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7EDA563B-7027-4A54-B424-A9E5DD7DAF83}" xr6:coauthVersionLast="45" xr6:coauthVersionMax="45" xr10:uidLastSave="{00000000-0000-0000-0000-000000000000}"/>
  <bookViews>
    <workbookView xWindow="-108" yWindow="-108" windowWidth="23256" windowHeight="12576" tabRatio="917" activeTab="17"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'7day'!$I$3:$I$24</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BKT!$B$1:$G$214</definedName>
    <definedName name="_xlnm._FilterDatabase" localSheetId="17" hidden="1">chitiet!$A$10:$S$2426</definedName>
    <definedName name="_xlnm._FilterDatabase" localSheetId="16" hidden="1">CT_tram!$A$24:$N$3097</definedName>
    <definedName name="_xlnm._FilterDatabase" localSheetId="15" hidden="1">'CT_tram (2)'!$A$26:$A$3558</definedName>
    <definedName name="_xlnm._FilterDatabase" localSheetId="0" hidden="1">DG!$A$1:$J$2053</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pp3p1m!$A$9:$AU$99</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7">chitiet!$E$6:$S$2443</definedName>
    <definedName name="_xlnm.Print_Area" localSheetId="16">CT_tram!$D$19:$L$3114</definedName>
    <definedName name="_xlnm.Print_Area" localSheetId="0">DG!$A$1:$D$1181</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pp3p1m!$A$5:$AU$107</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7" i="114" l="1"/>
  <c r="I7" i="114"/>
  <c r="J7" i="114"/>
  <c r="H22" i="113"/>
  <c r="I22" i="113"/>
  <c r="J22" i="113"/>
  <c r="K22" i="113"/>
  <c r="H21" i="113"/>
  <c r="I21" i="113"/>
  <c r="J21" i="113"/>
  <c r="K21" i="113"/>
  <c r="H19" i="113"/>
  <c r="I19" i="113"/>
  <c r="J19" i="113"/>
  <c r="K19" i="113"/>
  <c r="H20" i="113"/>
  <c r="I20" i="113"/>
  <c r="J20" i="113"/>
  <c r="K20" i="113"/>
  <c r="H18" i="113"/>
  <c r="I18" i="113"/>
  <c r="J18" i="113"/>
  <c r="K18" i="113"/>
  <c r="H9" i="113"/>
  <c r="I9" i="113"/>
  <c r="G39" i="130"/>
  <c r="F39" i="130"/>
  <c r="E37" i="130"/>
  <c r="D36" i="130"/>
  <c r="E36" i="130"/>
  <c r="E35" i="130"/>
  <c r="E34" i="130"/>
  <c r="E33" i="130"/>
  <c r="D32" i="130"/>
  <c r="E32" i="130"/>
  <c r="D31" i="130"/>
  <c r="E31" i="130"/>
  <c r="D30" i="130"/>
  <c r="E30" i="130"/>
  <c r="D29" i="130"/>
  <c r="E29" i="130"/>
  <c r="D28" i="130"/>
  <c r="E28" i="130"/>
  <c r="D27" i="130"/>
  <c r="E27" i="130"/>
  <c r="D26" i="130"/>
  <c r="E26" i="130"/>
  <c r="D25" i="130"/>
  <c r="E25" i="130"/>
  <c r="D24" i="130"/>
  <c r="E24" i="130"/>
  <c r="D23" i="130"/>
  <c r="E23" i="130"/>
  <c r="D22" i="130"/>
  <c r="E22" i="130"/>
  <c r="E21" i="130"/>
  <c r="D20" i="130"/>
  <c r="E20" i="130"/>
  <c r="D19" i="130"/>
  <c r="E19" i="130"/>
  <c r="D18" i="130"/>
  <c r="E18" i="130"/>
  <c r="D17" i="130"/>
  <c r="E17" i="130"/>
  <c r="D16" i="130"/>
  <c r="E16" i="130"/>
  <c r="M12" i="26" l="1"/>
  <c r="M7" i="26"/>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B146" i="97"/>
  <c r="D146" i="97"/>
  <c r="B7" i="97"/>
  <c r="D7" i="97"/>
  <c r="I5" i="97"/>
  <c r="B5" i="97"/>
  <c r="D5" i="97"/>
  <c r="H5" i="97"/>
  <c r="B4" i="97"/>
  <c r="B79" i="97"/>
  <c r="D79" i="97"/>
  <c r="B78" i="97"/>
  <c r="D78" i="97"/>
  <c r="B230" i="97"/>
  <c r="E230" i="97"/>
  <c r="F230" i="97"/>
  <c r="G230" i="97"/>
  <c r="B128" i="97"/>
  <c r="D128" i="97"/>
  <c r="B208" i="97"/>
  <c r="B212" i="97"/>
  <c r="B202" i="97"/>
  <c r="B203" i="97"/>
  <c r="B115" i="97"/>
  <c r="D115" i="97"/>
  <c r="E115" i="97"/>
  <c r="B64" i="97"/>
  <c r="D64" i="97"/>
  <c r="E64" i="97"/>
  <c r="B134" i="97"/>
  <c r="E134" i="97"/>
  <c r="B118" i="97"/>
  <c r="B124" i="97"/>
  <c r="B109" i="97"/>
  <c r="E109" i="97"/>
  <c r="B111" i="97"/>
  <c r="E111" i="97"/>
  <c r="B123" i="97"/>
  <c r="E123" i="97"/>
  <c r="B117" i="97"/>
  <c r="E117" i="97"/>
  <c r="B108" i="97"/>
  <c r="E108" i="97"/>
  <c r="B110" i="97"/>
  <c r="E110" i="97"/>
  <c r="B135" i="97"/>
  <c r="D135" i="97"/>
  <c r="E135" i="97"/>
  <c r="B133" i="97"/>
  <c r="E133" i="97"/>
  <c r="B63" i="97"/>
  <c r="E63" i="97"/>
  <c r="B66" i="97"/>
  <c r="D66" i="97"/>
  <c r="E66" i="97"/>
  <c r="B68" i="97"/>
  <c r="D68" i="97"/>
  <c r="E68" i="97"/>
  <c r="B85" i="97"/>
  <c r="E85" i="97"/>
  <c r="B83" i="97"/>
  <c r="D83" i="97"/>
  <c r="E83" i="97"/>
  <c r="B77" i="97"/>
  <c r="D77" i="97"/>
  <c r="E77" i="97"/>
  <c r="B82" i="97"/>
  <c r="D82" i="97"/>
  <c r="E82" i="97"/>
  <c r="B141" i="97"/>
  <c r="D141" i="97"/>
  <c r="E141" i="97"/>
  <c r="B143" i="97"/>
  <c r="D143" i="97"/>
  <c r="E143" i="97"/>
  <c r="B71" i="97"/>
  <c r="D71" i="97"/>
  <c r="E71" i="97"/>
  <c r="B98" i="97"/>
  <c r="D98" i="97"/>
  <c r="E98" i="97"/>
  <c r="B100" i="97"/>
  <c r="D100" i="97"/>
  <c r="E100" i="97"/>
  <c r="B74" i="97"/>
  <c r="D74" i="97"/>
  <c r="E74" i="97"/>
  <c r="B44" i="97"/>
  <c r="D44" i="97"/>
  <c r="E44" i="97"/>
  <c r="B57" i="97"/>
  <c r="D57" i="97"/>
  <c r="E57" i="97"/>
  <c r="B50" i="97"/>
  <c r="D50" i="97"/>
  <c r="E50" i="97"/>
  <c r="B254" i="97"/>
  <c r="E254" i="97"/>
  <c r="F254" i="97"/>
  <c r="G254" i="97"/>
  <c r="H254" i="97"/>
  <c r="B169" i="97"/>
  <c r="E169" i="97"/>
  <c r="B167" i="97"/>
  <c r="E167" i="97"/>
  <c r="B119" i="97"/>
  <c r="D119" i="97"/>
  <c r="E119" i="97"/>
  <c r="B104" i="97"/>
  <c r="D104" i="97"/>
  <c r="E104" i="97"/>
  <c r="B186" i="97"/>
  <c r="E186" i="97"/>
  <c r="G186" i="97"/>
  <c r="B11" i="97"/>
  <c r="D11" i="97"/>
  <c r="E11" i="97"/>
  <c r="B131" i="97"/>
  <c r="D131" i="97"/>
  <c r="E131" i="97"/>
  <c r="B103" i="97"/>
  <c r="D103" i="97"/>
  <c r="E103" i="97"/>
  <c r="B185" i="97"/>
  <c r="E185" i="97"/>
  <c r="F185" i="97"/>
  <c r="G185" i="97"/>
  <c r="B10" i="97"/>
  <c r="D10" i="97"/>
  <c r="E10" i="97"/>
  <c r="B130" i="97"/>
  <c r="D130" i="97"/>
  <c r="E130" i="97"/>
  <c r="B229" i="97"/>
  <c r="D229" i="97"/>
  <c r="E229" i="97"/>
  <c r="G229" i="97"/>
  <c r="B9" i="97"/>
  <c r="D9" i="97"/>
  <c r="E9" i="97"/>
  <c r="B94" i="97"/>
  <c r="D94" i="97"/>
  <c r="E94" i="97"/>
  <c r="B228" i="97"/>
  <c r="D228" i="97"/>
  <c r="E228" i="97"/>
  <c r="G228" i="97"/>
  <c r="B121" i="97"/>
  <c r="D121" i="97"/>
  <c r="E121" i="97"/>
  <c r="B70" i="97"/>
  <c r="D70" i="97"/>
  <c r="E70" i="97"/>
  <c r="B227" i="97"/>
  <c r="D227" i="97"/>
  <c r="E227" i="97"/>
  <c r="G227" i="97"/>
  <c r="B120" i="97"/>
  <c r="D120" i="97"/>
  <c r="E120" i="97"/>
  <c r="B69" i="97"/>
  <c r="D69" i="97"/>
  <c r="E69" i="97"/>
  <c r="B200" i="97"/>
  <c r="E200" i="97"/>
  <c r="F200" i="97"/>
  <c r="G200" i="97"/>
  <c r="B144" i="97"/>
  <c r="D144" i="97"/>
  <c r="E144" i="97"/>
  <c r="B37" i="97"/>
  <c r="D37" i="97"/>
  <c r="E37" i="97"/>
  <c r="B201" i="97"/>
  <c r="D201" i="97"/>
  <c r="E201" i="97"/>
  <c r="F201" i="97"/>
  <c r="G201" i="97"/>
  <c r="B145" i="97"/>
  <c r="D145" i="97"/>
  <c r="E145" i="97"/>
  <c r="B52" i="97"/>
  <c r="D52" i="97"/>
  <c r="E52" i="97"/>
  <c r="B23" i="97"/>
  <c r="B22" i="97"/>
  <c r="B18" i="97"/>
  <c r="B17" i="97"/>
  <c r="B13" i="97"/>
  <c r="E13" i="97"/>
  <c r="B14" i="97"/>
  <c r="E14" i="97"/>
  <c r="B196" i="97"/>
  <c r="E196" i="97"/>
  <c r="F196" i="97"/>
  <c r="G196" i="97"/>
  <c r="H196" i="97"/>
  <c r="B253" i="97"/>
  <c r="C253" i="97"/>
  <c r="E253" i="97"/>
  <c r="F253" i="97"/>
  <c r="G253" i="97"/>
  <c r="B197" i="97"/>
  <c r="E197" i="97"/>
  <c r="F197" i="97"/>
  <c r="G197" i="97"/>
  <c r="B242" i="97"/>
  <c r="D242" i="97"/>
  <c r="E242" i="97"/>
  <c r="F242" i="97"/>
  <c r="G242" i="97"/>
  <c r="B26" i="97"/>
  <c r="D26" i="97"/>
  <c r="E26" i="97"/>
  <c r="B90" i="97"/>
  <c r="D90" i="97"/>
  <c r="E90" i="97"/>
  <c r="B88" i="97"/>
  <c r="D88" i="97"/>
  <c r="E88" i="97"/>
  <c r="B30" i="97"/>
  <c r="D30" i="97"/>
  <c r="E30" i="97"/>
  <c r="B45" i="97"/>
  <c r="D45" i="97"/>
  <c r="E45" i="97"/>
  <c r="B218" i="97"/>
  <c r="D218" i="97"/>
  <c r="E218" i="97"/>
  <c r="B49" i="97"/>
  <c r="D49" i="97"/>
  <c r="E49" i="97"/>
  <c r="B214" i="97"/>
  <c r="D214" i="97"/>
  <c r="B237" i="97"/>
  <c r="D237" i="97"/>
  <c r="E237" i="97"/>
  <c r="F237" i="97"/>
  <c r="G237" i="97"/>
  <c r="B159" i="97"/>
  <c r="D159" i="97"/>
  <c r="E159" i="97"/>
  <c r="B152" i="97"/>
  <c r="D152" i="97"/>
  <c r="E152" i="97"/>
  <c r="B40" i="97"/>
  <c r="D40" i="97"/>
  <c r="E40" i="97"/>
  <c r="B36" i="97"/>
  <c r="D36" i="97"/>
  <c r="E36" i="97"/>
  <c r="B236" i="97"/>
  <c r="D236" i="97"/>
  <c r="E236" i="97"/>
  <c r="F236" i="97"/>
  <c r="G236" i="97"/>
  <c r="B158" i="97"/>
  <c r="D158" i="97"/>
  <c r="E158" i="97"/>
  <c r="B151" i="97"/>
  <c r="D151" i="97"/>
  <c r="E151" i="97"/>
  <c r="B32" i="97"/>
  <c r="D32" i="97"/>
  <c r="E32" i="97"/>
  <c r="B42" i="97"/>
  <c r="D42" i="97"/>
  <c r="E42" i="97"/>
  <c r="B217" i="97"/>
  <c r="D217" i="97"/>
  <c r="B39" i="97"/>
  <c r="D39" i="97"/>
  <c r="E39" i="97"/>
  <c r="B35" i="97"/>
  <c r="D35" i="97"/>
  <c r="E35" i="97"/>
  <c r="B41" i="97"/>
  <c r="D41" i="97"/>
  <c r="E41" i="97"/>
  <c r="B239" i="97"/>
  <c r="D239" i="97"/>
  <c r="E239" i="97"/>
  <c r="F239" i="97"/>
  <c r="G239" i="97"/>
  <c r="B161" i="97"/>
  <c r="D161" i="97"/>
  <c r="E161" i="97"/>
  <c r="B154" i="97"/>
  <c r="D154" i="97"/>
  <c r="E154" i="97"/>
  <c r="B34" i="97"/>
  <c r="D34" i="97"/>
  <c r="E34" i="97"/>
  <c r="B48" i="97"/>
  <c r="D48" i="97"/>
  <c r="E48" i="97"/>
  <c r="B238" i="97"/>
  <c r="D238" i="97"/>
  <c r="E238" i="97"/>
  <c r="F238" i="97"/>
  <c r="G238" i="97"/>
  <c r="B160" i="97"/>
  <c r="D160" i="97"/>
  <c r="E160" i="97"/>
  <c r="B153" i="97"/>
  <c r="D153" i="97"/>
  <c r="E153" i="97"/>
  <c r="B241" i="97"/>
  <c r="D241" i="97"/>
  <c r="E241" i="97"/>
  <c r="F241" i="97"/>
  <c r="G241" i="97"/>
  <c r="B163" i="97"/>
  <c r="D163" i="97"/>
  <c r="E163" i="97"/>
  <c r="B156" i="97"/>
  <c r="D156" i="97"/>
  <c r="E156" i="97"/>
  <c r="B51" i="97"/>
  <c r="D51" i="97"/>
  <c r="E51" i="97"/>
  <c r="B54" i="97"/>
  <c r="D54" i="97"/>
  <c r="E54" i="97"/>
  <c r="B53" i="97"/>
  <c r="D53" i="97"/>
  <c r="E53" i="97"/>
  <c r="B47" i="97"/>
  <c r="D47" i="97"/>
  <c r="E47" i="97"/>
  <c r="B216" i="97"/>
  <c r="D216" i="97"/>
  <c r="B240" i="97"/>
  <c r="D240" i="97"/>
  <c r="E240" i="97"/>
  <c r="F240" i="97"/>
  <c r="G240" i="97"/>
  <c r="B162" i="97"/>
  <c r="D162" i="97"/>
  <c r="E162" i="97"/>
  <c r="B155" i="97"/>
  <c r="D155" i="97"/>
  <c r="E155" i="97"/>
  <c r="B252" i="97"/>
  <c r="E252" i="97"/>
  <c r="F252" i="97"/>
  <c r="G252" i="97"/>
  <c r="H252" i="97"/>
  <c r="B183" i="97"/>
  <c r="D183" i="97"/>
  <c r="E183" i="97"/>
  <c r="F183" i="97"/>
  <c r="G183" i="97"/>
  <c r="B25" i="97"/>
  <c r="D25" i="97"/>
  <c r="E25" i="97"/>
  <c r="B184" i="97"/>
  <c r="D184" i="97"/>
  <c r="B182" i="97"/>
  <c r="D182" i="97"/>
  <c r="E182" i="97"/>
  <c r="F182" i="97"/>
  <c r="G182" i="97"/>
  <c r="B24" i="97"/>
  <c r="D24" i="97"/>
  <c r="E24" i="97"/>
  <c r="B205" i="97"/>
  <c r="B194" i="97"/>
  <c r="B232" i="97"/>
  <c r="D232" i="97"/>
  <c r="E232" i="97"/>
  <c r="G232" i="97"/>
  <c r="B21" i="97"/>
  <c r="D21" i="97"/>
  <c r="E21" i="97"/>
  <c r="B97" i="97"/>
  <c r="D97" i="97"/>
  <c r="E97" i="97"/>
  <c r="B105" i="97"/>
  <c r="D105" i="97"/>
  <c r="E105" i="97"/>
  <c r="B139" i="97"/>
  <c r="D139" i="97"/>
  <c r="E139" i="97"/>
  <c r="B138" i="97"/>
  <c r="D138" i="97"/>
  <c r="E138" i="97"/>
  <c r="B204" i="97"/>
  <c r="B193" i="97"/>
  <c r="B231" i="97"/>
  <c r="D231" i="97"/>
  <c r="E231" i="97"/>
  <c r="F231" i="97"/>
  <c r="G231" i="97"/>
  <c r="B20" i="97"/>
  <c r="D20" i="97"/>
  <c r="E20" i="97"/>
  <c r="B96" i="97"/>
  <c r="D96" i="97"/>
  <c r="E96" i="97"/>
  <c r="B107" i="97"/>
  <c r="D107" i="97"/>
  <c r="E107" i="97"/>
  <c r="B190" i="97"/>
  <c r="D190" i="97"/>
  <c r="B261" i="97"/>
  <c r="D261" i="97"/>
  <c r="B225" i="97"/>
  <c r="D225" i="97"/>
  <c r="B221" i="97"/>
  <c r="D221" i="97"/>
  <c r="E221" i="97"/>
  <c r="F221" i="97"/>
  <c r="G221" i="97"/>
  <c r="B175" i="97"/>
  <c r="D175" i="97"/>
  <c r="B178" i="97"/>
  <c r="D178" i="97"/>
  <c r="B181" i="97"/>
  <c r="D181" i="97"/>
  <c r="B222" i="97"/>
  <c r="D222" i="97"/>
  <c r="E222" i="97"/>
  <c r="F222" i="97"/>
  <c r="G222" i="97"/>
  <c r="B174" i="97"/>
  <c r="D174" i="97"/>
  <c r="B177" i="97"/>
  <c r="D177" i="97"/>
  <c r="B180" i="97"/>
  <c r="D180" i="97"/>
  <c r="B189" i="97"/>
  <c r="D189" i="97"/>
  <c r="B55" i="97"/>
  <c r="D55" i="97"/>
  <c r="B56" i="97"/>
  <c r="D56" i="97"/>
  <c r="B224" i="97"/>
  <c r="D224" i="97"/>
  <c r="B260" i="97"/>
  <c r="D260" i="97"/>
  <c r="B220" i="97"/>
  <c r="D220" i="97"/>
  <c r="E220" i="97"/>
  <c r="F220" i="97"/>
  <c r="G220" i="97"/>
  <c r="B173" i="97"/>
  <c r="D173" i="97"/>
  <c r="B176" i="97"/>
  <c r="D176" i="97"/>
  <c r="B179" i="97"/>
  <c r="D179" i="97"/>
  <c r="B219" i="97"/>
  <c r="D219" i="97"/>
  <c r="E219" i="97"/>
  <c r="F219" i="97"/>
  <c r="G219" i="97"/>
  <c r="B259" i="97"/>
  <c r="D259" i="97"/>
  <c r="E259" i="97"/>
  <c r="B223" i="97"/>
  <c r="D223" i="97"/>
  <c r="H2328" i="1"/>
  <c r="H78" i="97" s="1"/>
  <c r="H2327" i="1"/>
  <c r="H79" i="97" s="1"/>
  <c r="I432" i="1"/>
  <c r="J432" i="1"/>
  <c r="M432" i="1"/>
  <c r="N432" i="1"/>
  <c r="O432" i="1"/>
  <c r="F1867" i="1"/>
  <c r="AT35" i="41"/>
  <c r="AT99" i="41" s="1"/>
  <c r="H2347" i="1"/>
  <c r="H2348" i="1"/>
  <c r="H2349" i="1"/>
  <c r="H2350" i="1"/>
  <c r="H2351" i="1"/>
  <c r="H2352" i="1"/>
  <c r="H2353" i="1"/>
  <c r="H2354" i="1"/>
  <c r="H2355" i="1"/>
  <c r="H2356" i="1"/>
  <c r="H2357" i="1"/>
  <c r="H2358" i="1"/>
  <c r="H2359" i="1"/>
  <c r="H2360" i="1"/>
  <c r="H2361" i="1"/>
  <c r="H2362" i="1"/>
  <c r="H2363" i="1"/>
  <c r="H2364" i="1"/>
  <c r="H2365" i="1"/>
  <c r="H2343" i="1"/>
  <c r="H2344" i="1"/>
  <c r="H2345" i="1"/>
  <c r="H2346" i="1"/>
  <c r="H2342" i="1"/>
  <c r="J37" i="15"/>
  <c r="E37" i="15"/>
  <c r="T1956" i="1"/>
  <c r="K1956" i="1"/>
  <c r="H1956" i="1" s="1"/>
  <c r="P1956" i="1" s="1"/>
  <c r="I115" i="97" s="1"/>
  <c r="H1869" i="1"/>
  <c r="P1869" i="1" s="1"/>
  <c r="I135" i="97" s="1"/>
  <c r="J1068" i="15"/>
  <c r="E1068" i="15"/>
  <c r="H1877" i="1"/>
  <c r="P1877" i="1" s="1"/>
  <c r="I82" i="97" s="1"/>
  <c r="H1872" i="1"/>
  <c r="P1872" i="1" s="1"/>
  <c r="I66" i="97" s="1"/>
  <c r="F1873" i="1"/>
  <c r="F68" i="97" s="1"/>
  <c r="F1872" i="1"/>
  <c r="F66" i="97" s="1"/>
  <c r="G1868" i="1"/>
  <c r="F1868" i="1"/>
  <c r="G1867" i="1"/>
  <c r="F1866" i="1"/>
  <c r="F1865" i="1"/>
  <c r="I1846" i="1"/>
  <c r="J1846" i="1"/>
  <c r="L1846" i="1"/>
  <c r="M1846" i="1"/>
  <c r="N1846" i="1"/>
  <c r="O1846" i="1"/>
  <c r="I1847" i="1"/>
  <c r="J1847" i="1"/>
  <c r="L1847" i="1"/>
  <c r="M1847" i="1"/>
  <c r="N1847" i="1"/>
  <c r="O1847" i="1"/>
  <c r="I1848" i="1"/>
  <c r="J1848" i="1"/>
  <c r="L1848" i="1"/>
  <c r="M1848" i="1"/>
  <c r="N1848" i="1"/>
  <c r="O1848" i="1"/>
  <c r="I1849" i="1"/>
  <c r="J1849" i="1"/>
  <c r="L1849" i="1"/>
  <c r="M1849" i="1"/>
  <c r="N1849" i="1"/>
  <c r="O1849" i="1"/>
  <c r="I1844" i="1"/>
  <c r="J1844" i="1"/>
  <c r="L1844" i="1"/>
  <c r="M1844" i="1"/>
  <c r="N1844" i="1"/>
  <c r="O1844" i="1"/>
  <c r="I1845" i="1"/>
  <c r="J1845" i="1"/>
  <c r="L1845" i="1"/>
  <c r="M1845" i="1"/>
  <c r="N1845" i="1"/>
  <c r="O1845" i="1"/>
  <c r="F1849" i="1"/>
  <c r="F1846" i="1"/>
  <c r="G1845" i="1"/>
  <c r="G131" i="97" s="1"/>
  <c r="F1845" i="1"/>
  <c r="F131" i="97" s="1"/>
  <c r="G1779" i="1"/>
  <c r="G13" i="97" s="1"/>
  <c r="D1779" i="1"/>
  <c r="D13" i="97" s="1"/>
  <c r="D1776" i="1"/>
  <c r="D22" i="97" s="1"/>
  <c r="D1775" i="1"/>
  <c r="D23" i="97" s="1"/>
  <c r="D1517" i="1"/>
  <c r="D1518" i="1"/>
  <c r="E1778" i="1"/>
  <c r="E17" i="97" s="1"/>
  <c r="T667" i="1"/>
  <c r="O667" i="1"/>
  <c r="N667" i="1"/>
  <c r="M667" i="1"/>
  <c r="J667" i="1"/>
  <c r="I667" i="1"/>
  <c r="T666" i="1"/>
  <c r="O666" i="1"/>
  <c r="N666" i="1"/>
  <c r="M666" i="1"/>
  <c r="J666" i="1"/>
  <c r="I666" i="1"/>
  <c r="F666" i="1"/>
  <c r="F105" i="97" s="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L448" i="1"/>
  <c r="L454" i="1" s="1"/>
  <c r="U446" i="1"/>
  <c r="AU2" i="41"/>
  <c r="AU3" i="41" s="1"/>
  <c r="B2" i="41"/>
  <c r="B3" i="41" s="1"/>
  <c r="M56" i="41"/>
  <c r="N56" i="41"/>
  <c r="O56" i="41"/>
  <c r="P56" i="41"/>
  <c r="Q56" i="41"/>
  <c r="R56" i="41"/>
  <c r="S56" i="41"/>
  <c r="T56" i="41"/>
  <c r="U56" i="41"/>
  <c r="V56" i="41"/>
  <c r="W56" i="41"/>
  <c r="X56" i="41"/>
  <c r="Y56" i="41"/>
  <c r="Z56" i="41"/>
  <c r="AA56" i="41"/>
  <c r="AB56" i="41"/>
  <c r="AC56" i="41"/>
  <c r="AD56" i="41"/>
  <c r="AE56" i="41"/>
  <c r="AF56" i="41"/>
  <c r="AG56" i="41"/>
  <c r="AH56" i="41"/>
  <c r="AI56" i="41"/>
  <c r="AJ56" i="41"/>
  <c r="AK56" i="41"/>
  <c r="AL56" i="41"/>
  <c r="AM56" i="41"/>
  <c r="AN56" i="41"/>
  <c r="AO56" i="41"/>
  <c r="AP56" i="41"/>
  <c r="AQ56" i="41"/>
  <c r="AR56" i="41"/>
  <c r="AS56" i="41"/>
  <c r="AT56" i="41"/>
  <c r="L56" i="41"/>
  <c r="K56" i="41"/>
  <c r="L44" i="41"/>
  <c r="M44" i="41"/>
  <c r="N44" i="41"/>
  <c r="O44" i="41"/>
  <c r="P44" i="41"/>
  <c r="Q44" i="41"/>
  <c r="R44" i="41"/>
  <c r="S44" i="41"/>
  <c r="T44" i="41"/>
  <c r="U44" i="41"/>
  <c r="V44" i="41"/>
  <c r="W44" i="41"/>
  <c r="X44" i="41"/>
  <c r="Y44" i="41"/>
  <c r="Z44" i="41"/>
  <c r="AA44" i="41"/>
  <c r="AB44" i="41"/>
  <c r="AC44" i="41"/>
  <c r="AD44" i="41"/>
  <c r="AE44" i="41"/>
  <c r="AF44" i="41"/>
  <c r="AG44" i="41"/>
  <c r="AH44" i="41"/>
  <c r="AI44" i="41"/>
  <c r="AJ44" i="41"/>
  <c r="AK44" i="41"/>
  <c r="AL44" i="41"/>
  <c r="AM44" i="41"/>
  <c r="AN44" i="41"/>
  <c r="AO44" i="41"/>
  <c r="AP44" i="41"/>
  <c r="AQ44" i="41"/>
  <c r="AR44" i="41"/>
  <c r="AS44" i="41"/>
  <c r="K44" i="41"/>
  <c r="D56" i="41"/>
  <c r="F56" i="41" s="1"/>
  <c r="C56" i="41"/>
  <c r="F47" i="41"/>
  <c r="F48" i="41" s="1"/>
  <c r="F49" i="41" s="1"/>
  <c r="F50" i="41" s="1"/>
  <c r="F51" i="41" s="1"/>
  <c r="F52" i="41" s="1"/>
  <c r="F53" i="41" s="1"/>
  <c r="F54" i="41" s="1"/>
  <c r="F55" i="41" s="1"/>
  <c r="F38" i="41"/>
  <c r="F39" i="41" s="1"/>
  <c r="F40" i="41" s="1"/>
  <c r="F41" i="41" s="1"/>
  <c r="F42" i="41" s="1"/>
  <c r="F43" i="41" s="1"/>
  <c r="D44" i="41"/>
  <c r="F44" i="41" s="1"/>
  <c r="C44" i="41"/>
  <c r="F35" i="41"/>
  <c r="G35" i="41"/>
  <c r="G99" i="41" s="1"/>
  <c r="H35" i="41"/>
  <c r="H99" i="41" s="1"/>
  <c r="E12" i="41"/>
  <c r="E13" i="41" s="1"/>
  <c r="E14" i="41" s="1"/>
  <c r="E15" i="41" s="1"/>
  <c r="E16" i="41" s="1"/>
  <c r="E17" i="41" s="1"/>
  <c r="E18" i="41" s="1"/>
  <c r="E19" i="41" s="1"/>
  <c r="E20" i="41" s="1"/>
  <c r="E21" i="41" s="1"/>
  <c r="E22" i="41" s="1"/>
  <c r="E23" i="41" s="1"/>
  <c r="E24" i="41" s="1"/>
  <c r="E25" i="41" s="1"/>
  <c r="E26" i="41" s="1"/>
  <c r="E27" i="41" s="1"/>
  <c r="E28" i="41" s="1"/>
  <c r="E29" i="41" s="1"/>
  <c r="E30" i="41" s="1"/>
  <c r="E31" i="41" s="1"/>
  <c r="E32" i="41" s="1"/>
  <c r="E33" i="41" s="1"/>
  <c r="E34" i="41" s="1"/>
  <c r="E35" i="41" s="1"/>
  <c r="E99" i="41" s="1"/>
  <c r="E2" i="41" s="1"/>
  <c r="D35" i="41"/>
  <c r="I35" i="41"/>
  <c r="J35" i="41"/>
  <c r="K35" i="41"/>
  <c r="L35" i="41"/>
  <c r="M35" i="41"/>
  <c r="N35" i="41"/>
  <c r="O35" i="41"/>
  <c r="P35" i="41"/>
  <c r="Q35" i="41"/>
  <c r="R35" i="41"/>
  <c r="R99" i="41" s="1"/>
  <c r="R2" i="41" s="1"/>
  <c r="R3" i="41" s="1"/>
  <c r="S35" i="41"/>
  <c r="T35" i="41"/>
  <c r="U35" i="41"/>
  <c r="V35" i="41"/>
  <c r="W35" i="41"/>
  <c r="W99" i="41" s="1"/>
  <c r="W2" i="41" s="1"/>
  <c r="W3" i="41" s="1"/>
  <c r="X35" i="41"/>
  <c r="X99" i="41" s="1"/>
  <c r="X2" i="41" s="1"/>
  <c r="X3" i="41" s="1"/>
  <c r="Y35" i="41"/>
  <c r="Z35" i="41"/>
  <c r="AA35" i="41"/>
  <c r="AB35" i="41"/>
  <c r="AC35" i="41"/>
  <c r="AD35" i="41"/>
  <c r="AE35" i="41"/>
  <c r="AF35" i="41"/>
  <c r="AG35" i="41"/>
  <c r="AH35" i="41"/>
  <c r="AI35" i="41"/>
  <c r="AJ35" i="41"/>
  <c r="AK35" i="41"/>
  <c r="AL35" i="41"/>
  <c r="AM35" i="41"/>
  <c r="AN35" i="41"/>
  <c r="AO35" i="41"/>
  <c r="AP35" i="41"/>
  <c r="AQ35" i="41"/>
  <c r="AR35" i="41"/>
  <c r="AS35" i="41"/>
  <c r="C35" i="4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AF1" i="41"/>
  <c r="AG1" i="41"/>
  <c r="AH1" i="41"/>
  <c r="AI1" i="41"/>
  <c r="AJ1" i="41"/>
  <c r="AK1" i="41"/>
  <c r="AL1" i="41"/>
  <c r="AM1" i="41"/>
  <c r="AN1" i="41"/>
  <c r="AO1" i="41"/>
  <c r="AP1" i="41"/>
  <c r="AQ1" i="41"/>
  <c r="AR1" i="41"/>
  <c r="AS1" i="41"/>
  <c r="AT1" i="41"/>
  <c r="AU1" i="41"/>
  <c r="A1" i="41"/>
  <c r="K1887" i="1" s="1"/>
  <c r="D1887" i="1" s="1"/>
  <c r="H1887" i="1" s="1"/>
  <c r="F9" i="132"/>
  <c r="F10" i="132"/>
  <c r="F11" i="132"/>
  <c r="F12" i="132"/>
  <c r="F39" i="132"/>
  <c r="F40" i="132"/>
  <c r="F41" i="132"/>
  <c r="F42" i="132"/>
  <c r="F43" i="132"/>
  <c r="F51" i="132"/>
  <c r="F52" i="132"/>
  <c r="F53" i="132"/>
  <c r="F54" i="132"/>
  <c r="F55" i="132"/>
  <c r="F56" i="132"/>
  <c r="F57" i="132"/>
  <c r="F58" i="132"/>
  <c r="F59" i="132"/>
  <c r="F60" i="132"/>
  <c r="F61" i="132"/>
  <c r="F62" i="132"/>
  <c r="F63" i="132"/>
  <c r="F64" i="132"/>
  <c r="F65" i="132"/>
  <c r="F66" i="132"/>
  <c r="F67" i="132"/>
  <c r="F68" i="132"/>
  <c r="F107" i="132"/>
  <c r="F110" i="132"/>
  <c r="F121" i="132"/>
  <c r="F122" i="132"/>
  <c r="F137" i="132"/>
  <c r="F138" i="132"/>
  <c r="F139" i="132"/>
  <c r="F140" i="132"/>
  <c r="F141" i="132"/>
  <c r="F142" i="132"/>
  <c r="F143" i="132"/>
  <c r="F146" i="132"/>
  <c r="F157" i="132"/>
  <c r="F158" i="132"/>
  <c r="F159" i="132"/>
  <c r="F160" i="132"/>
  <c r="F161" i="132"/>
  <c r="F162" i="132"/>
  <c r="F163" i="132"/>
  <c r="F164" i="132"/>
  <c r="F165" i="132"/>
  <c r="F166" i="132"/>
  <c r="F167" i="132"/>
  <c r="F168" i="132"/>
  <c r="F169" i="132"/>
  <c r="F170" i="132"/>
  <c r="F171" i="132"/>
  <c r="F172" i="132"/>
  <c r="F173" i="132"/>
  <c r="F174" i="132"/>
  <c r="F175" i="132"/>
  <c r="F176" i="132"/>
  <c r="F177" i="132"/>
  <c r="F178" i="132"/>
  <c r="F179" i="132"/>
  <c r="F180" i="132"/>
  <c r="F181" i="132"/>
  <c r="F182" i="132"/>
  <c r="F183" i="132"/>
  <c r="F184" i="132"/>
  <c r="F185" i="132"/>
  <c r="F186" i="132"/>
  <c r="F187" i="132"/>
  <c r="F188" i="132"/>
  <c r="F189" i="132"/>
  <c r="F190" i="132"/>
  <c r="F191" i="132"/>
  <c r="F192" i="132"/>
  <c r="F193" i="132"/>
  <c r="F194" i="132"/>
  <c r="F195" i="132"/>
  <c r="F196" i="132"/>
  <c r="F197" i="132"/>
  <c r="F198" i="132"/>
  <c r="F199" i="132"/>
  <c r="F200" i="132"/>
  <c r="F201" i="132"/>
  <c r="F204" i="132"/>
  <c r="F205" i="132"/>
  <c r="F206" i="132"/>
  <c r="F207" i="132"/>
  <c r="F208" i="132"/>
  <c r="F209" i="132"/>
  <c r="F210" i="132"/>
  <c r="F211" i="132"/>
  <c r="F212" i="132"/>
  <c r="F213" i="132"/>
  <c r="J1467" i="15"/>
  <c r="J1327" i="15"/>
  <c r="F5" i="132"/>
  <c r="F4" i="132"/>
  <c r="F3" i="132"/>
  <c r="F2" i="132"/>
  <c r="J198" i="15"/>
  <c r="E198" i="15"/>
  <c r="A358" i="15"/>
  <c r="J358" i="15" s="1"/>
  <c r="A359" i="15"/>
  <c r="J359" i="15" s="1"/>
  <c r="A360" i="15"/>
  <c r="J360" i="15" s="1"/>
  <c r="A361" i="15"/>
  <c r="J361" i="15" s="1"/>
  <c r="A362" i="15"/>
  <c r="J362" i="15" s="1"/>
  <c r="A363" i="15"/>
  <c r="J363" i="15" s="1"/>
  <c r="A357" i="15"/>
  <c r="J357" i="15" s="1"/>
  <c r="C358" i="15"/>
  <c r="C359" i="15"/>
  <c r="C360" i="15"/>
  <c r="C361" i="15"/>
  <c r="C362" i="15"/>
  <c r="C363" i="15"/>
  <c r="C357" i="15"/>
  <c r="A1600" i="15"/>
  <c r="J1600" i="15" s="1"/>
  <c r="C1600" i="15"/>
  <c r="A1596" i="15"/>
  <c r="J1596" i="15" s="1"/>
  <c r="A1595" i="15"/>
  <c r="J1595" i="15" s="1"/>
  <c r="A1594" i="15"/>
  <c r="J1594" i="15" s="1"/>
  <c r="A1593" i="15"/>
  <c r="J1593" i="15" s="1"/>
  <c r="A1502" i="15"/>
  <c r="A1476" i="15"/>
  <c r="C1596" i="15"/>
  <c r="C1595" i="15"/>
  <c r="C1594" i="15"/>
  <c r="C1593" i="15"/>
  <c r="C1502" i="15"/>
  <c r="C1476" i="15"/>
  <c r="C541" i="15"/>
  <c r="A541" i="15"/>
  <c r="C1599" i="15"/>
  <c r="C1598" i="15"/>
  <c r="C1597" i="15"/>
  <c r="C1529" i="15"/>
  <c r="C1501" i="15"/>
  <c r="C1475" i="15"/>
  <c r="A1599" i="15"/>
  <c r="J1599" i="15" s="1"/>
  <c r="A1598" i="15"/>
  <c r="J1598" i="15" s="1"/>
  <c r="A1597" i="15"/>
  <c r="J1597" i="15" s="1"/>
  <c r="A1529" i="15"/>
  <c r="A1501" i="15"/>
  <c r="A1475" i="15"/>
  <c r="F8" i="132"/>
  <c r="F123" i="97" l="1"/>
  <c r="H10" i="114"/>
  <c r="G108" i="97"/>
  <c r="I12" i="114"/>
  <c r="F110" i="97"/>
  <c r="H13" i="114"/>
  <c r="F108" i="97"/>
  <c r="H12" i="114"/>
  <c r="G110" i="97"/>
  <c r="I13" i="114"/>
  <c r="F117" i="97"/>
  <c r="H11" i="114"/>
  <c r="H115" i="97"/>
  <c r="H82" i="97"/>
  <c r="H135" i="97"/>
  <c r="H66" i="97"/>
  <c r="G666" i="1"/>
  <c r="G105" i="97" s="1"/>
  <c r="G1846" i="1"/>
  <c r="G1865" i="1"/>
  <c r="G1872" i="1"/>
  <c r="G66" i="97" s="1"/>
  <c r="G1849" i="1"/>
  <c r="G1866" i="1"/>
  <c r="G1873" i="1"/>
  <c r="G68" i="97" s="1"/>
  <c r="F1779" i="1"/>
  <c r="F13" i="97" s="1"/>
  <c r="AT2" i="41"/>
  <c r="AT3" i="41" s="1"/>
  <c r="R1956" i="1"/>
  <c r="C1956" i="1"/>
  <c r="C115" i="97" s="1"/>
  <c r="Q1956" i="1"/>
  <c r="T1887" i="1"/>
  <c r="P1887" i="1" s="1"/>
  <c r="R1887" i="1" s="1"/>
  <c r="T1872" i="1"/>
  <c r="T1875" i="1"/>
  <c r="K1872" i="1"/>
  <c r="T1885" i="1"/>
  <c r="K1889" i="1"/>
  <c r="D1889" i="1" s="1"/>
  <c r="H1889" i="1" s="1"/>
  <c r="K1876" i="1"/>
  <c r="H1876" i="1" s="1"/>
  <c r="T1881" i="1"/>
  <c r="T1889" i="1"/>
  <c r="P1889" i="1" s="1"/>
  <c r="T1876" i="1"/>
  <c r="K1878" i="1"/>
  <c r="H1878" i="1" s="1"/>
  <c r="K1880" i="1"/>
  <c r="H1880" i="1" s="1"/>
  <c r="K1882" i="1"/>
  <c r="H1882" i="1" s="1"/>
  <c r="K1884" i="1"/>
  <c r="H1884" i="1" s="1"/>
  <c r="K1886" i="1"/>
  <c r="H1886" i="1" s="1"/>
  <c r="K1888" i="1"/>
  <c r="D1888" i="1" s="1"/>
  <c r="H1888" i="1" s="1"/>
  <c r="T1883" i="1"/>
  <c r="K1873" i="1"/>
  <c r="T1878" i="1"/>
  <c r="T1880" i="1"/>
  <c r="T1882" i="1"/>
  <c r="T1884" i="1"/>
  <c r="T1886" i="1"/>
  <c r="T1888" i="1"/>
  <c r="P1888" i="1" s="1"/>
  <c r="T1879" i="1"/>
  <c r="T1873" i="1"/>
  <c r="T1877" i="1"/>
  <c r="K1874" i="1"/>
  <c r="K1875" i="1"/>
  <c r="T1874" i="1"/>
  <c r="K1877" i="1"/>
  <c r="K1879" i="1"/>
  <c r="H1879" i="1" s="1"/>
  <c r="K1881" i="1"/>
  <c r="H1881" i="1" s="1"/>
  <c r="K1883" i="1"/>
  <c r="H1883" i="1" s="1"/>
  <c r="H74" i="97" s="1"/>
  <c r="K1885" i="1"/>
  <c r="H1885" i="1" s="1"/>
  <c r="C1877" i="1"/>
  <c r="C82" i="97" s="1"/>
  <c r="Q1877" i="1"/>
  <c r="R1877" i="1"/>
  <c r="F1869" i="1"/>
  <c r="F135" i="97" s="1"/>
  <c r="G1869" i="1"/>
  <c r="G135" i="97" s="1"/>
  <c r="R1872" i="1"/>
  <c r="R1869" i="1"/>
  <c r="C1872" i="1"/>
  <c r="C66" i="97" s="1"/>
  <c r="H1873" i="1"/>
  <c r="H68" i="97" s="1"/>
  <c r="Q1869" i="1"/>
  <c r="C1869" i="1"/>
  <c r="C135" i="97" s="1"/>
  <c r="Q1872" i="1"/>
  <c r="H1875" i="1"/>
  <c r="H83" i="97" s="1"/>
  <c r="E3" i="41"/>
  <c r="T1777" i="1" s="1"/>
  <c r="AV2" i="41"/>
  <c r="AV3" i="41" s="1"/>
  <c r="K99" i="41"/>
  <c r="K2" i="41" s="1"/>
  <c r="K3" i="41" s="1"/>
  <c r="T1847" i="1"/>
  <c r="G1844" i="1"/>
  <c r="G11" i="97" s="1"/>
  <c r="F1844" i="1"/>
  <c r="F11" i="97" s="1"/>
  <c r="T2003" i="1"/>
  <c r="K1773" i="1"/>
  <c r="T1994" i="1"/>
  <c r="T1962" i="1"/>
  <c r="T1932" i="1"/>
  <c r="T1910" i="1"/>
  <c r="T1859" i="1"/>
  <c r="T1812" i="1"/>
  <c r="T1796" i="1"/>
  <c r="T1788" i="1"/>
  <c r="K1772" i="1"/>
  <c r="K1785" i="1"/>
  <c r="T2009" i="1"/>
  <c r="T2001" i="1"/>
  <c r="T1993" i="1"/>
  <c r="T1985" i="1"/>
  <c r="T1977" i="1"/>
  <c r="T1969" i="1"/>
  <c r="T1961" i="1"/>
  <c r="T1953" i="1"/>
  <c r="T1945" i="1"/>
  <c r="T1938" i="1"/>
  <c r="T1931" i="1"/>
  <c r="T1925" i="1"/>
  <c r="T1917" i="1"/>
  <c r="T1909" i="1"/>
  <c r="T1903" i="1"/>
  <c r="T1895" i="1"/>
  <c r="T1858" i="1"/>
  <c r="T1850" i="1"/>
  <c r="T1835" i="1"/>
  <c r="T1827" i="1"/>
  <c r="T1819" i="1"/>
  <c r="T1811" i="1"/>
  <c r="T1803" i="1"/>
  <c r="T1795" i="1"/>
  <c r="T1787" i="1"/>
  <c r="T2002" i="1"/>
  <c r="T1954" i="1"/>
  <c r="T1918" i="1"/>
  <c r="T1896" i="1"/>
  <c r="T1828" i="1"/>
  <c r="K1784" i="1"/>
  <c r="T1992" i="1"/>
  <c r="T1968" i="1"/>
  <c r="T1960" i="1"/>
  <c r="T1952" i="1"/>
  <c r="T1944" i="1"/>
  <c r="T1937" i="1"/>
  <c r="T1930" i="1"/>
  <c r="T1924" i="1"/>
  <c r="T1916" i="1"/>
  <c r="T1908" i="1"/>
  <c r="T1902" i="1"/>
  <c r="T1894" i="1"/>
  <c r="T1857" i="1"/>
  <c r="T1842" i="1"/>
  <c r="T1834" i="1"/>
  <c r="T1826" i="1"/>
  <c r="T1818" i="1"/>
  <c r="T1810" i="1"/>
  <c r="T1802" i="1"/>
  <c r="T1786" i="1"/>
  <c r="T1846" i="1"/>
  <c r="T1848" i="1"/>
  <c r="T1986" i="1"/>
  <c r="T1946" i="1"/>
  <c r="T2008" i="1"/>
  <c r="T1984" i="1"/>
  <c r="K1770" i="1"/>
  <c r="K1783" i="1"/>
  <c r="T2007" i="1"/>
  <c r="T1999" i="1"/>
  <c r="T1991" i="1"/>
  <c r="T1983" i="1"/>
  <c r="T1975" i="1"/>
  <c r="T1967" i="1"/>
  <c r="T1959" i="1"/>
  <c r="T1951" i="1"/>
  <c r="T1943" i="1"/>
  <c r="T1936" i="1"/>
  <c r="T1929" i="1"/>
  <c r="T1923" i="1"/>
  <c r="T1915" i="1"/>
  <c r="T1901" i="1"/>
  <c r="T1893" i="1"/>
  <c r="T1856" i="1"/>
  <c r="T1841" i="1"/>
  <c r="T1833" i="1"/>
  <c r="T1825" i="1"/>
  <c r="T1817" i="1"/>
  <c r="T1809" i="1"/>
  <c r="T1801" i="1"/>
  <c r="T1793" i="1"/>
  <c r="T1785" i="1"/>
  <c r="K1786" i="1"/>
  <c r="T1970" i="1"/>
  <c r="T1926" i="1"/>
  <c r="T1904" i="1"/>
  <c r="T1851" i="1"/>
  <c r="T1820" i="1"/>
  <c r="K1771" i="1"/>
  <c r="T2000" i="1"/>
  <c r="T1976" i="1"/>
  <c r="K1790" i="1"/>
  <c r="K1782" i="1"/>
  <c r="T2006" i="1"/>
  <c r="T1998" i="1"/>
  <c r="T1990" i="1"/>
  <c r="T1982" i="1"/>
  <c r="T1974" i="1"/>
  <c r="T1966" i="1"/>
  <c r="T1958" i="1"/>
  <c r="T1950" i="1"/>
  <c r="T1942" i="1"/>
  <c r="T1922" i="1"/>
  <c r="T1914" i="1"/>
  <c r="T1900" i="1"/>
  <c r="T1892" i="1"/>
  <c r="T1855" i="1"/>
  <c r="T1840" i="1"/>
  <c r="T1832" i="1"/>
  <c r="T1824" i="1"/>
  <c r="T1800" i="1"/>
  <c r="T1792" i="1"/>
  <c r="T1784" i="1"/>
  <c r="T1978" i="1"/>
  <c r="K1789" i="1"/>
  <c r="K1781" i="1"/>
  <c r="T1774" i="1"/>
  <c r="T2005" i="1"/>
  <c r="T1997" i="1"/>
  <c r="T1989" i="1"/>
  <c r="T1981" i="1"/>
  <c r="T1973" i="1"/>
  <c r="T1965" i="1"/>
  <c r="T1957" i="1"/>
  <c r="T1949" i="1"/>
  <c r="T1941" i="1"/>
  <c r="T1935" i="1"/>
  <c r="T1928" i="1"/>
  <c r="T1921" i="1"/>
  <c r="T1913" i="1"/>
  <c r="T1907" i="1"/>
  <c r="T1899" i="1"/>
  <c r="T1891" i="1"/>
  <c r="T1854" i="1"/>
  <c r="T1839" i="1"/>
  <c r="T1831" i="1"/>
  <c r="T1823" i="1"/>
  <c r="T1815" i="1"/>
  <c r="T1807" i="1"/>
  <c r="T1799" i="1"/>
  <c r="T1783" i="1"/>
  <c r="K1788" i="1"/>
  <c r="T2004" i="1"/>
  <c r="T1996" i="1"/>
  <c r="T1988" i="1"/>
  <c r="T1980" i="1"/>
  <c r="T1972" i="1"/>
  <c r="T1964" i="1"/>
  <c r="T1948" i="1"/>
  <c r="T1940" i="1"/>
  <c r="T1934" i="1"/>
  <c r="T1920" i="1"/>
  <c r="T1912" i="1"/>
  <c r="T1906" i="1"/>
  <c r="T1898" i="1"/>
  <c r="T1890" i="1"/>
  <c r="T1853" i="1"/>
  <c r="T1838" i="1"/>
  <c r="T1830" i="1"/>
  <c r="T1822" i="1"/>
  <c r="T1814" i="1"/>
  <c r="T1806" i="1"/>
  <c r="T1798" i="1"/>
  <c r="T1790" i="1"/>
  <c r="T1782" i="1"/>
  <c r="T1844" i="1"/>
  <c r="T1849" i="1"/>
  <c r="K1774" i="1"/>
  <c r="K1787" i="1"/>
  <c r="T1775" i="1"/>
  <c r="T1995" i="1"/>
  <c r="T1987" i="1"/>
  <c r="T1979" i="1"/>
  <c r="T1971" i="1"/>
  <c r="T1963" i="1"/>
  <c r="T1955" i="1"/>
  <c r="T1947" i="1"/>
  <c r="T1939" i="1"/>
  <c r="T1933" i="1"/>
  <c r="T1927" i="1"/>
  <c r="T1919" i="1"/>
  <c r="T1911" i="1"/>
  <c r="T1905" i="1"/>
  <c r="T1897" i="1"/>
  <c r="T1860" i="1"/>
  <c r="T1852" i="1"/>
  <c r="T1837" i="1"/>
  <c r="T1829" i="1"/>
  <c r="T1821" i="1"/>
  <c r="T1813" i="1"/>
  <c r="T1805" i="1"/>
  <c r="T1797" i="1"/>
  <c r="T1789" i="1"/>
  <c r="T1781" i="1"/>
  <c r="T1845" i="1"/>
  <c r="M463" i="1"/>
  <c r="J463" i="1"/>
  <c r="I463" i="1"/>
  <c r="O463" i="1"/>
  <c r="L459" i="1"/>
  <c r="L449" i="1"/>
  <c r="L464" i="1"/>
  <c r="L456" i="1"/>
  <c r="L461" i="1"/>
  <c r="L453" i="1"/>
  <c r="L451" i="1"/>
  <c r="L458" i="1"/>
  <c r="L463" i="1"/>
  <c r="L455" i="1"/>
  <c r="L460" i="1"/>
  <c r="L452" i="1"/>
  <c r="L450" i="1"/>
  <c r="L457" i="1"/>
  <c r="L462" i="1"/>
  <c r="N664" i="1"/>
  <c r="I664" i="1"/>
  <c r="J664" i="1"/>
  <c r="C99" i="41"/>
  <c r="C2" i="41" s="1"/>
  <c r="C3" i="41" s="1"/>
  <c r="P99" i="41"/>
  <c r="P2" i="41" s="1"/>
  <c r="P3" i="41" s="1"/>
  <c r="L99" i="41"/>
  <c r="L2" i="41" s="1"/>
  <c r="L3" i="41" s="1"/>
  <c r="N99" i="41"/>
  <c r="N2" i="41" s="1"/>
  <c r="N3" i="41" s="1"/>
  <c r="M99" i="41"/>
  <c r="M2" i="41" s="1"/>
  <c r="M3" i="41" s="1"/>
  <c r="AP99" i="41"/>
  <c r="AP2" i="41" s="1"/>
  <c r="AP3" i="41" s="1"/>
  <c r="T1871" i="1" s="1"/>
  <c r="AC99" i="41"/>
  <c r="AC2" i="41" s="1"/>
  <c r="AC3" i="41" s="1"/>
  <c r="T1843" i="1" s="1"/>
  <c r="P1843" i="1" s="1"/>
  <c r="F99" i="41"/>
  <c r="F2" i="41" s="1"/>
  <c r="T99" i="41"/>
  <c r="T2" i="41" s="1"/>
  <c r="T3" i="41" s="1"/>
  <c r="D99" i="41"/>
  <c r="D2" i="41" s="1"/>
  <c r="D3" i="41" s="1"/>
  <c r="S99" i="41"/>
  <c r="S2" i="41" s="1"/>
  <c r="S3" i="41" s="1"/>
  <c r="Q99" i="41"/>
  <c r="Q2" i="41" s="1"/>
  <c r="Q3" i="41" s="1"/>
  <c r="T448" i="1" s="1"/>
  <c r="P448" i="1" s="1"/>
  <c r="G19" i="130" s="1"/>
  <c r="AS99" i="41"/>
  <c r="AS2" i="41" s="1"/>
  <c r="AS3" i="41" s="1"/>
  <c r="AR99" i="41"/>
  <c r="AR2" i="41" s="1"/>
  <c r="AR3" i="41" s="1"/>
  <c r="AQ99" i="41"/>
  <c r="AQ2" i="41" s="1"/>
  <c r="AQ3" i="41" s="1"/>
  <c r="AO99" i="41"/>
  <c r="AO2" i="41" s="1"/>
  <c r="AO3" i="41" s="1"/>
  <c r="AN99" i="41"/>
  <c r="AN2" i="41" s="1"/>
  <c r="AN3" i="41" s="1"/>
  <c r="T1869" i="1" s="1"/>
  <c r="AM99" i="41"/>
  <c r="AM2" i="41" s="1"/>
  <c r="AM3" i="41" s="1"/>
  <c r="AJ99" i="41"/>
  <c r="AJ2" i="41" s="1"/>
  <c r="AJ3" i="41" s="1"/>
  <c r="T1865" i="1" s="1"/>
  <c r="P1865" i="1" s="1"/>
  <c r="AL99" i="41"/>
  <c r="AL2" i="41" s="1"/>
  <c r="AL3" i="41" s="1"/>
  <c r="T1867" i="1" s="1"/>
  <c r="P1867" i="1" s="1"/>
  <c r="AK99" i="41"/>
  <c r="AK2" i="41" s="1"/>
  <c r="AK3" i="41" s="1"/>
  <c r="AI99" i="41"/>
  <c r="AI2" i="41" s="1"/>
  <c r="AH99" i="41"/>
  <c r="AH2" i="41" s="1"/>
  <c r="AG99" i="41"/>
  <c r="AG2" i="41" s="1"/>
  <c r="AG3" i="41" s="1"/>
  <c r="T1804" i="1" s="1"/>
  <c r="AE99" i="41"/>
  <c r="AE2" i="41" s="1"/>
  <c r="AE3" i="41" s="1"/>
  <c r="T1794" i="1" s="1"/>
  <c r="AF99" i="41"/>
  <c r="AF2" i="41" s="1"/>
  <c r="AF3" i="41" s="1"/>
  <c r="T1808" i="1" s="1"/>
  <c r="AD99" i="41"/>
  <c r="AD2" i="41" s="1"/>
  <c r="AD3" i="41" s="1"/>
  <c r="T1791" i="1" s="1"/>
  <c r="AB99" i="41"/>
  <c r="AB2" i="41" s="1"/>
  <c r="AB3" i="41" s="1"/>
  <c r="T1836" i="1" s="1"/>
  <c r="AA99" i="41"/>
  <c r="AA2" i="41" s="1"/>
  <c r="AA3" i="41" s="1"/>
  <c r="T1816" i="1" s="1"/>
  <c r="Z99" i="41"/>
  <c r="Z2" i="41" s="1"/>
  <c r="Z3" i="41" s="1"/>
  <c r="Y99" i="41"/>
  <c r="Y2" i="41" s="1"/>
  <c r="Y3" i="41" s="1"/>
  <c r="V99" i="41"/>
  <c r="V2" i="41" s="1"/>
  <c r="V3" i="41" s="1"/>
  <c r="U99" i="41"/>
  <c r="U2" i="41" s="1"/>
  <c r="U3" i="41" s="1"/>
  <c r="O99" i="41"/>
  <c r="O2" i="41" s="1"/>
  <c r="O3" i="41" s="1"/>
  <c r="F44" i="132"/>
  <c r="E361" i="15"/>
  <c r="E362" i="15"/>
  <c r="E358" i="15"/>
  <c r="E359" i="15"/>
  <c r="E363" i="15"/>
  <c r="E360" i="15"/>
  <c r="E357"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H16" i="107"/>
  <c r="H15" i="107"/>
  <c r="H14" i="107"/>
  <c r="H13" i="107"/>
  <c r="H12" i="107"/>
  <c r="H11" i="107"/>
  <c r="J1329" i="15"/>
  <c r="B73" i="97"/>
  <c r="C73" i="97"/>
  <c r="D73" i="97"/>
  <c r="B99" i="97"/>
  <c r="C99" i="97"/>
  <c r="D99" i="97"/>
  <c r="B132" i="97"/>
  <c r="C132" i="97"/>
  <c r="D132" i="97"/>
  <c r="B112" i="97"/>
  <c r="C112" i="97"/>
  <c r="D112" i="97"/>
  <c r="B62" i="97"/>
  <c r="C62" i="97"/>
  <c r="D62" i="97"/>
  <c r="B126" i="97"/>
  <c r="C126" i="97"/>
  <c r="D126" i="97"/>
  <c r="B125" i="97"/>
  <c r="C125" i="97"/>
  <c r="D125" i="97"/>
  <c r="B72" i="97"/>
  <c r="C72" i="97"/>
  <c r="D72" i="97"/>
  <c r="B171" i="97"/>
  <c r="C171" i="97"/>
  <c r="D171" i="97"/>
  <c r="B114" i="97"/>
  <c r="C114" i="97"/>
  <c r="D114" i="97"/>
  <c r="B129" i="97"/>
  <c r="C129" i="97"/>
  <c r="D129" i="97"/>
  <c r="E129" i="97"/>
  <c r="B137" i="97"/>
  <c r="C137" i="97"/>
  <c r="D137" i="97"/>
  <c r="B142" i="97"/>
  <c r="C142" i="97"/>
  <c r="D142" i="97"/>
  <c r="B28" i="97"/>
  <c r="C28" i="97"/>
  <c r="D28" i="97"/>
  <c r="B172" i="97"/>
  <c r="C172" i="97"/>
  <c r="D172" i="97"/>
  <c r="B92" i="97"/>
  <c r="C92" i="97"/>
  <c r="D92" i="97"/>
  <c r="B15" i="97"/>
  <c r="C15" i="97"/>
  <c r="D15" i="97"/>
  <c r="B127" i="97"/>
  <c r="C127" i="97"/>
  <c r="D127" i="97"/>
  <c r="B251" i="97"/>
  <c r="C251" i="97"/>
  <c r="E251" i="97"/>
  <c r="F251" i="97"/>
  <c r="G251" i="97"/>
  <c r="H251" i="97"/>
  <c r="B168" i="97"/>
  <c r="C168" i="97"/>
  <c r="D168" i="97"/>
  <c r="B258" i="97"/>
  <c r="C258" i="97"/>
  <c r="D258" i="97"/>
  <c r="B149" i="97"/>
  <c r="C149" i="97"/>
  <c r="D149" i="97"/>
  <c r="B148" i="97"/>
  <c r="C148" i="97"/>
  <c r="D148" i="97"/>
  <c r="B147" i="97"/>
  <c r="C147" i="97"/>
  <c r="D147" i="97"/>
  <c r="B58" i="97"/>
  <c r="C58" i="97"/>
  <c r="D58" i="97"/>
  <c r="B166" i="97"/>
  <c r="C166" i="97"/>
  <c r="D166" i="97"/>
  <c r="B29" i="97"/>
  <c r="C29" i="97"/>
  <c r="D29" i="97"/>
  <c r="B257" i="97"/>
  <c r="C257" i="97"/>
  <c r="D257" i="97"/>
  <c r="B102" i="97"/>
  <c r="C102" i="97"/>
  <c r="D102" i="97"/>
  <c r="B263" i="97"/>
  <c r="C263" i="97"/>
  <c r="D263" i="97"/>
  <c r="B209" i="97"/>
  <c r="D209" i="97"/>
  <c r="B192" i="97"/>
  <c r="D192" i="97"/>
  <c r="B250" i="97"/>
  <c r="C250" i="97"/>
  <c r="E250" i="97"/>
  <c r="F250" i="97"/>
  <c r="G250" i="97"/>
  <c r="H250" i="97"/>
  <c r="B210" i="97"/>
  <c r="C210" i="97"/>
  <c r="D210" i="97"/>
  <c r="B191" i="97"/>
  <c r="D191" i="97"/>
  <c r="B188" i="97"/>
  <c r="D188" i="97"/>
  <c r="B165" i="97"/>
  <c r="C165" i="97"/>
  <c r="D165" i="97"/>
  <c r="B256" i="97"/>
  <c r="C256" i="97"/>
  <c r="D256" i="97"/>
  <c r="B255" i="97"/>
  <c r="C255" i="97"/>
  <c r="D255" i="97"/>
  <c r="B113" i="97"/>
  <c r="C113" i="97"/>
  <c r="D113" i="97"/>
  <c r="E113" i="97"/>
  <c r="B101" i="97"/>
  <c r="C101" i="97"/>
  <c r="D101" i="97"/>
  <c r="B61" i="97"/>
  <c r="C61" i="97"/>
  <c r="D61" i="97"/>
  <c r="B207" i="97"/>
  <c r="D207" i="97"/>
  <c r="E207" i="97"/>
  <c r="B226" i="97"/>
  <c r="C226" i="97"/>
  <c r="E226" i="97"/>
  <c r="F226" i="97"/>
  <c r="G226" i="97"/>
  <c r="H226" i="97"/>
  <c r="B140" i="97"/>
  <c r="C140" i="97"/>
  <c r="D140" i="97"/>
  <c r="B12" i="97"/>
  <c r="C12" i="97"/>
  <c r="D12" i="97"/>
  <c r="B91" i="97"/>
  <c r="C91" i="97"/>
  <c r="D91" i="97"/>
  <c r="B75" i="97"/>
  <c r="D75" i="97"/>
  <c r="B249" i="97"/>
  <c r="C249" i="97"/>
  <c r="E249" i="97"/>
  <c r="F249" i="97"/>
  <c r="G249" i="97"/>
  <c r="H249" i="97"/>
  <c r="B122" i="97"/>
  <c r="C122" i="97"/>
  <c r="D122" i="97"/>
  <c r="B116" i="97"/>
  <c r="C116" i="97"/>
  <c r="D116" i="97"/>
  <c r="B84" i="97"/>
  <c r="C84" i="97"/>
  <c r="D84" i="97"/>
  <c r="B81" i="97"/>
  <c r="C81" i="97"/>
  <c r="D81" i="97"/>
  <c r="B76" i="97"/>
  <c r="C76" i="97"/>
  <c r="D76" i="97"/>
  <c r="B86" i="97"/>
  <c r="C86" i="97"/>
  <c r="D86" i="97"/>
  <c r="B8" i="97"/>
  <c r="C8" i="97"/>
  <c r="D8" i="97"/>
  <c r="B93" i="97"/>
  <c r="D93" i="97"/>
  <c r="B211" i="97"/>
  <c r="D211" i="97"/>
  <c r="B262" i="97"/>
  <c r="C262" i="97"/>
  <c r="D262" i="97"/>
  <c r="B16" i="97"/>
  <c r="C16" i="97"/>
  <c r="D16" i="97"/>
  <c r="B248" i="97"/>
  <c r="C248" i="97"/>
  <c r="E248" i="97"/>
  <c r="F248" i="97"/>
  <c r="G248" i="97"/>
  <c r="H248" i="97"/>
  <c r="B59" i="97"/>
  <c r="C59" i="97"/>
  <c r="D59" i="97"/>
  <c r="B60" i="97"/>
  <c r="C60" i="97"/>
  <c r="D60" i="97"/>
  <c r="B170" i="97"/>
  <c r="C170" i="97"/>
  <c r="D170" i="97"/>
  <c r="B247" i="97"/>
  <c r="C247" i="97"/>
  <c r="E247" i="97"/>
  <c r="F247" i="97"/>
  <c r="G247" i="97"/>
  <c r="H247" i="97"/>
  <c r="B199" i="97"/>
  <c r="C199" i="97"/>
  <c r="D199" i="97"/>
  <c r="B187" i="97"/>
  <c r="C187" i="97"/>
  <c r="D187" i="97"/>
  <c r="B195" i="97"/>
  <c r="D195" i="97"/>
  <c r="B206" i="97"/>
  <c r="D206" i="97"/>
  <c r="B136" i="97"/>
  <c r="C136" i="97"/>
  <c r="D136" i="97"/>
  <c r="B106" i="97"/>
  <c r="C106" i="97"/>
  <c r="D106" i="97"/>
  <c r="B19" i="97"/>
  <c r="C19" i="97"/>
  <c r="D19" i="97"/>
  <c r="B95" i="97"/>
  <c r="C95" i="97"/>
  <c r="D95" i="97"/>
  <c r="B246" i="97"/>
  <c r="C246" i="97"/>
  <c r="E246" i="97"/>
  <c r="F246" i="97"/>
  <c r="G246" i="97"/>
  <c r="H246" i="97"/>
  <c r="B215" i="97"/>
  <c r="C215" i="97"/>
  <c r="D215" i="97"/>
  <c r="E215" i="97"/>
  <c r="B164" i="97"/>
  <c r="C164" i="97"/>
  <c r="D164" i="97"/>
  <c r="E164" i="97"/>
  <c r="B157" i="97"/>
  <c r="C157" i="97"/>
  <c r="D157" i="97"/>
  <c r="E157" i="97"/>
  <c r="B33" i="97"/>
  <c r="C33" i="97"/>
  <c r="D33" i="97"/>
  <c r="E33" i="97"/>
  <c r="B46" i="97"/>
  <c r="C46" i="97"/>
  <c r="D46" i="97"/>
  <c r="E46" i="97"/>
  <c r="B38" i="97"/>
  <c r="C38" i="97"/>
  <c r="D38" i="97"/>
  <c r="E38" i="97"/>
  <c r="B245" i="97"/>
  <c r="C245" i="97"/>
  <c r="E245" i="97"/>
  <c r="F245" i="97"/>
  <c r="G245" i="97"/>
  <c r="H245" i="97"/>
  <c r="B87" i="97"/>
  <c r="C87" i="97"/>
  <c r="D87" i="97"/>
  <c r="E87" i="97"/>
  <c r="B89" i="97"/>
  <c r="C89" i="97"/>
  <c r="D89" i="97"/>
  <c r="E89" i="97"/>
  <c r="B31" i="97"/>
  <c r="C31" i="97"/>
  <c r="D31" i="97"/>
  <c r="E31" i="97"/>
  <c r="B43" i="97"/>
  <c r="C43" i="97"/>
  <c r="D43" i="97"/>
  <c r="E43" i="97"/>
  <c r="B67" i="97"/>
  <c r="C67" i="97"/>
  <c r="D67" i="97"/>
  <c r="E67" i="97"/>
  <c r="B65" i="97"/>
  <c r="C65" i="97"/>
  <c r="D65" i="97"/>
  <c r="E65" i="97"/>
  <c r="B213" i="97"/>
  <c r="C213" i="97"/>
  <c r="D213" i="97"/>
  <c r="E213" i="97"/>
  <c r="B244" i="97"/>
  <c r="C244" i="97"/>
  <c r="E244" i="97"/>
  <c r="F244" i="97"/>
  <c r="G244" i="97"/>
  <c r="H244" i="97"/>
  <c r="B243" i="97"/>
  <c r="C243" i="97"/>
  <c r="D243" i="97"/>
  <c r="E243" i="97"/>
  <c r="F243" i="97"/>
  <c r="G243" i="97"/>
  <c r="H243" i="97"/>
  <c r="B234" i="97"/>
  <c r="C234" i="97"/>
  <c r="B198" i="97"/>
  <c r="C198" i="97"/>
  <c r="B27" i="97"/>
  <c r="C27" i="97"/>
  <c r="B235" i="97"/>
  <c r="C235" i="97"/>
  <c r="B233" i="97"/>
  <c r="C233" i="97"/>
  <c r="B3" i="97"/>
  <c r="C3" i="97"/>
  <c r="B80" i="97"/>
  <c r="C80" i="97"/>
  <c r="B6" i="97"/>
  <c r="C6" i="97"/>
  <c r="B2" i="97"/>
  <c r="C2" i="97"/>
  <c r="I2578" i="23"/>
  <c r="I251" i="97" s="1"/>
  <c r="I2561" i="23"/>
  <c r="A2561" i="23" s="1"/>
  <c r="I2550" i="23"/>
  <c r="A2550" i="23" s="1"/>
  <c r="I2531" i="23"/>
  <c r="I249" i="97" s="1"/>
  <c r="I2511" i="23"/>
  <c r="I248" i="97" s="1"/>
  <c r="I2474" i="23"/>
  <c r="I247" i="97" s="1"/>
  <c r="I2450" i="23"/>
  <c r="I246" i="97" s="1"/>
  <c r="I2432" i="23"/>
  <c r="I245" i="97" s="1"/>
  <c r="A2389" i="23"/>
  <c r="F2601" i="23"/>
  <c r="F2600" i="23"/>
  <c r="F2599" i="23"/>
  <c r="F129" i="97" s="1"/>
  <c r="G2600" i="23"/>
  <c r="H2600" i="23"/>
  <c r="J2600" i="23"/>
  <c r="K2600" i="23"/>
  <c r="G2601" i="23"/>
  <c r="H2601" i="23"/>
  <c r="J2601" i="23"/>
  <c r="K2601" i="23"/>
  <c r="H2581" i="23"/>
  <c r="J2581" i="23"/>
  <c r="K2581" i="23"/>
  <c r="H2582" i="23"/>
  <c r="H28" i="97" s="1"/>
  <c r="J2582" i="23"/>
  <c r="K2582" i="23"/>
  <c r="H2583" i="23"/>
  <c r="H172" i="97" s="1"/>
  <c r="J2583" i="23"/>
  <c r="K2583" i="23"/>
  <c r="H2584" i="23"/>
  <c r="H92" i="97" s="1"/>
  <c r="J2584" i="23"/>
  <c r="K2584" i="23"/>
  <c r="H2585" i="23"/>
  <c r="J2585" i="23"/>
  <c r="K2585" i="23"/>
  <c r="H2586" i="23"/>
  <c r="H137" i="97" s="1"/>
  <c r="J2586" i="23"/>
  <c r="K2586" i="23"/>
  <c r="H2587" i="23"/>
  <c r="H142" i="97" s="1"/>
  <c r="J2587" i="23"/>
  <c r="K2587" i="23"/>
  <c r="H2588" i="23"/>
  <c r="J2588" i="23"/>
  <c r="K2588" i="23"/>
  <c r="H2589" i="23"/>
  <c r="H73" i="97" s="1"/>
  <c r="J2589" i="23"/>
  <c r="K2589" i="23"/>
  <c r="H2590" i="23"/>
  <c r="H99" i="97" s="1"/>
  <c r="J2590" i="23"/>
  <c r="K2590" i="23"/>
  <c r="H2591" i="23"/>
  <c r="H132" i="97" s="1"/>
  <c r="J2591" i="23"/>
  <c r="K2591" i="23"/>
  <c r="H2592" i="23"/>
  <c r="H112" i="97" s="1"/>
  <c r="J2592" i="23"/>
  <c r="K2592" i="23"/>
  <c r="H2593" i="23"/>
  <c r="H62" i="97" s="1"/>
  <c r="J2593" i="23"/>
  <c r="K2593" i="23"/>
  <c r="H2594" i="23"/>
  <c r="H126" i="97" s="1"/>
  <c r="J2594" i="23"/>
  <c r="K2594" i="23"/>
  <c r="H2595" i="23"/>
  <c r="H125" i="97" s="1"/>
  <c r="J2595" i="23"/>
  <c r="K2595" i="23"/>
  <c r="H2596" i="23"/>
  <c r="H72" i="97" s="1"/>
  <c r="J2596" i="23"/>
  <c r="K2596" i="23"/>
  <c r="H2597" i="23"/>
  <c r="H171" i="97" s="1"/>
  <c r="J2597" i="23"/>
  <c r="K2597" i="23"/>
  <c r="H2598" i="23"/>
  <c r="H114" i="97" s="1"/>
  <c r="J2598" i="23"/>
  <c r="K2598" i="23"/>
  <c r="H2599" i="23"/>
  <c r="H129" i="97" s="1"/>
  <c r="J2599" i="23"/>
  <c r="K2599" i="23"/>
  <c r="J2580" i="23"/>
  <c r="K2580" i="23"/>
  <c r="H2580" i="23"/>
  <c r="H15" i="97" s="1"/>
  <c r="C2575" i="23"/>
  <c r="K2575" i="23" s="1"/>
  <c r="C2574" i="23"/>
  <c r="K2574" i="23" s="1"/>
  <c r="K2576" i="23"/>
  <c r="J2576" i="23"/>
  <c r="H2576" i="23"/>
  <c r="K2573" i="23"/>
  <c r="J2573" i="23"/>
  <c r="H2573" i="23"/>
  <c r="H263" i="97" s="1"/>
  <c r="K2572" i="23"/>
  <c r="J2572" i="23"/>
  <c r="H2572" i="23"/>
  <c r="H102" i="97" s="1"/>
  <c r="K2571" i="23"/>
  <c r="J2571" i="23"/>
  <c r="H2571" i="23"/>
  <c r="H257" i="97" s="1"/>
  <c r="K2577" i="23"/>
  <c r="J2577" i="23"/>
  <c r="H2577" i="23"/>
  <c r="H127" i="97" s="1"/>
  <c r="K2570" i="23"/>
  <c r="J2570" i="23"/>
  <c r="H2570" i="23"/>
  <c r="H29" i="97" s="1"/>
  <c r="H2569" i="23"/>
  <c r="H166" i="97" s="1"/>
  <c r="K2568" i="23"/>
  <c r="J2568" i="23"/>
  <c r="H2568" i="23"/>
  <c r="H58" i="97" s="1"/>
  <c r="K2567" i="23"/>
  <c r="J2567" i="23"/>
  <c r="H2567" i="23"/>
  <c r="H147" i="97" s="1"/>
  <c r="G2567" i="23"/>
  <c r="G147" i="97" s="1"/>
  <c r="F2567" i="23"/>
  <c r="F147" i="97" s="1"/>
  <c r="E2567" i="23"/>
  <c r="E147" i="97" s="1"/>
  <c r="K2566" i="23"/>
  <c r="J2566" i="23"/>
  <c r="H2566" i="23"/>
  <c r="H148" i="97" s="1"/>
  <c r="K2565" i="23"/>
  <c r="J2565" i="23"/>
  <c r="H2565" i="23"/>
  <c r="H149" i="97" s="1"/>
  <c r="K2564" i="23"/>
  <c r="J2564" i="23"/>
  <c r="H2564" i="23"/>
  <c r="H258" i="97" s="1"/>
  <c r="K2563" i="23"/>
  <c r="J2563" i="23"/>
  <c r="H2563" i="23"/>
  <c r="H168" i="97" s="1"/>
  <c r="I2562" i="23"/>
  <c r="A2562" i="23" s="1"/>
  <c r="D2561" i="23"/>
  <c r="D250" i="97" s="1"/>
  <c r="C2559" i="23"/>
  <c r="C188" i="97" s="1"/>
  <c r="C2558" i="23"/>
  <c r="J2558" i="23" s="1"/>
  <c r="J2552" i="23"/>
  <c r="K2552" i="23"/>
  <c r="J2553" i="23"/>
  <c r="K2553" i="23"/>
  <c r="J2554" i="23"/>
  <c r="K2554" i="23"/>
  <c r="J2555" i="23"/>
  <c r="K2555" i="23"/>
  <c r="J2556" i="23"/>
  <c r="K2556" i="23"/>
  <c r="J2557" i="23"/>
  <c r="K2557" i="23"/>
  <c r="J2560" i="23"/>
  <c r="K2560" i="23"/>
  <c r="H2553" i="23"/>
  <c r="H165" i="97" s="1"/>
  <c r="H2554" i="23"/>
  <c r="H256" i="97" s="1"/>
  <c r="H2555" i="23"/>
  <c r="H255" i="97" s="1"/>
  <c r="H2556" i="23"/>
  <c r="H2557" i="23"/>
  <c r="H210" i="97" s="1"/>
  <c r="H2560" i="23"/>
  <c r="H2552" i="23"/>
  <c r="I2551" i="23"/>
  <c r="A2551" i="23" s="1"/>
  <c r="D2550" i="23"/>
  <c r="D226" i="97" s="1"/>
  <c r="C2549" i="23"/>
  <c r="K2549" i="23" s="1"/>
  <c r="C2535" i="23"/>
  <c r="K2535" i="23" s="1"/>
  <c r="N2534" i="23"/>
  <c r="K2534" i="23"/>
  <c r="J2534" i="23"/>
  <c r="F2533" i="23"/>
  <c r="F12"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J2523" i="23" s="1"/>
  <c r="C2522" i="23"/>
  <c r="K2522" i="23" s="1"/>
  <c r="J2526" i="23"/>
  <c r="K2520" i="23"/>
  <c r="J2520" i="23"/>
  <c r="K2519" i="23"/>
  <c r="J2519" i="23"/>
  <c r="K2518" i="23"/>
  <c r="J2518" i="23"/>
  <c r="K2517" i="23"/>
  <c r="J2517" i="23"/>
  <c r="F2513" i="23"/>
  <c r="F16"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F106" i="97" s="1"/>
  <c r="C2467" i="23"/>
  <c r="C206" i="97" s="1"/>
  <c r="G2459" i="23"/>
  <c r="C2466" i="23"/>
  <c r="K2466" i="23"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H157" i="97" s="1"/>
  <c r="J2435" i="23"/>
  <c r="K2435" i="23"/>
  <c r="H2436" i="23"/>
  <c r="H33" i="97" s="1"/>
  <c r="J2436" i="23"/>
  <c r="K2436" i="23"/>
  <c r="H2437" i="23"/>
  <c r="H46" i="97" s="1"/>
  <c r="J2437" i="23"/>
  <c r="K2437" i="23"/>
  <c r="H2438" i="23"/>
  <c r="H38" i="97" s="1"/>
  <c r="J2438" i="23"/>
  <c r="K2438" i="23"/>
  <c r="H2439" i="23"/>
  <c r="J2439" i="23"/>
  <c r="K2439" i="23"/>
  <c r="H2440" i="23"/>
  <c r="H215" i="97" s="1"/>
  <c r="J2440" i="23"/>
  <c r="K2440" i="23"/>
  <c r="J2434" i="23"/>
  <c r="K2434" i="23"/>
  <c r="H2434" i="23"/>
  <c r="H164" i="97" s="1"/>
  <c r="G2436" i="23"/>
  <c r="G33" i="97" s="1"/>
  <c r="K2422" i="23"/>
  <c r="J2422" i="23"/>
  <c r="H2422" i="23"/>
  <c r="H67" i="97" s="1"/>
  <c r="G2422" i="23"/>
  <c r="G67" i="97" s="1"/>
  <c r="F2422" i="23"/>
  <c r="F67" i="97" s="1"/>
  <c r="G2420" i="23"/>
  <c r="G31" i="97" s="1"/>
  <c r="G2414" i="23"/>
  <c r="G2408" i="23"/>
  <c r="G2407" i="23"/>
  <c r="G2397" i="23"/>
  <c r="G2392" i="23"/>
  <c r="K2418" i="23"/>
  <c r="J2418" i="23"/>
  <c r="H2418" i="23"/>
  <c r="H87" i="97" s="1"/>
  <c r="H2420" i="23"/>
  <c r="H31" i="97" s="1"/>
  <c r="J2420" i="23"/>
  <c r="K2420" i="23"/>
  <c r="H2421" i="23"/>
  <c r="H43" i="97" s="1"/>
  <c r="J2421" i="23"/>
  <c r="K2421" i="23"/>
  <c r="H2423" i="23"/>
  <c r="H65" i="97" s="1"/>
  <c r="J2423" i="23"/>
  <c r="K2423" i="23"/>
  <c r="H2424" i="23"/>
  <c r="H213" i="97" s="1"/>
  <c r="J2424" i="23"/>
  <c r="K2424" i="23"/>
  <c r="J2419" i="23"/>
  <c r="K2419" i="23"/>
  <c r="H2419" i="23"/>
  <c r="H89" i="97" s="1"/>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H2377" i="23" s="1"/>
  <c r="BI3" i="96"/>
  <c r="BI4" i="96" s="1"/>
  <c r="BJ3" i="96"/>
  <c r="BJ4" i="96" s="1"/>
  <c r="BK3" i="96"/>
  <c r="BL3" i="96"/>
  <c r="BM3" i="96"/>
  <c r="BM4" i="96" s="1"/>
  <c r="BN3" i="96"/>
  <c r="BN4" i="96" s="1"/>
  <c r="BO3" i="96"/>
  <c r="BO4" i="96" s="1"/>
  <c r="BP3" i="96"/>
  <c r="BQ3" i="96"/>
  <c r="BQ4" i="96" s="1"/>
  <c r="AZ4" i="96"/>
  <c r="BA4" i="96"/>
  <c r="BB4" i="96"/>
  <c r="BC4" i="96"/>
  <c r="BD4" i="96"/>
  <c r="BE4" i="96"/>
  <c r="BF4" i="96"/>
  <c r="BG4" i="96"/>
  <c r="BH4" i="96"/>
  <c r="BK4" i="96"/>
  <c r="BL4" i="96"/>
  <c r="BP4" i="96"/>
  <c r="I123" i="97" l="1"/>
  <c r="K10" i="114"/>
  <c r="G117" i="97"/>
  <c r="I11" i="114"/>
  <c r="I108" i="97"/>
  <c r="K12" i="114"/>
  <c r="G123" i="97"/>
  <c r="I10" i="114"/>
  <c r="C1888" i="1"/>
  <c r="I186" i="97"/>
  <c r="G37" i="130"/>
  <c r="Q1888" i="1"/>
  <c r="P1881" i="1"/>
  <c r="I98" i="97" s="1"/>
  <c r="H98" i="97"/>
  <c r="P1879" i="1"/>
  <c r="I143" i="97" s="1"/>
  <c r="H143" i="97"/>
  <c r="P1886" i="1"/>
  <c r="I50" i="97" s="1"/>
  <c r="H50" i="97"/>
  <c r="P1884" i="1"/>
  <c r="I44" i="97" s="1"/>
  <c r="H44" i="97"/>
  <c r="P1882" i="1"/>
  <c r="I100" i="97" s="1"/>
  <c r="H100" i="97"/>
  <c r="P1876" i="1"/>
  <c r="R1876" i="1" s="1"/>
  <c r="H77" i="97"/>
  <c r="P1880" i="1"/>
  <c r="I71" i="97" s="1"/>
  <c r="H71" i="97"/>
  <c r="P1885" i="1"/>
  <c r="I57" i="97" s="1"/>
  <c r="H57" i="97"/>
  <c r="P1878" i="1"/>
  <c r="I141" i="97" s="1"/>
  <c r="H141" i="97"/>
  <c r="P458" i="1"/>
  <c r="I221" i="97"/>
  <c r="Q1887" i="1"/>
  <c r="C1887" i="1"/>
  <c r="P1883" i="1"/>
  <c r="R1889" i="1"/>
  <c r="K1869" i="1"/>
  <c r="K1867" i="1"/>
  <c r="D1867" i="1" s="1"/>
  <c r="K1868" i="1"/>
  <c r="D1868" i="1" s="1"/>
  <c r="R1888" i="1"/>
  <c r="T1870" i="1"/>
  <c r="K1865" i="1"/>
  <c r="D1865" i="1" s="1"/>
  <c r="K1866" i="1"/>
  <c r="D1866" i="1" s="1"/>
  <c r="T1868" i="1"/>
  <c r="P1868" i="1" s="1"/>
  <c r="K1777" i="1"/>
  <c r="K1775" i="1" s="1"/>
  <c r="E1775" i="1" s="1"/>
  <c r="T1866" i="1"/>
  <c r="P1866" i="1" s="1"/>
  <c r="K1871" i="1"/>
  <c r="D1871" i="1" s="1"/>
  <c r="K1870" i="1"/>
  <c r="D1870" i="1" s="1"/>
  <c r="T1863" i="1"/>
  <c r="P1863" i="1" s="1"/>
  <c r="K1863" i="1"/>
  <c r="D1863" i="1" s="1"/>
  <c r="H1863" i="1" s="1"/>
  <c r="T1864" i="1"/>
  <c r="P1864" i="1" s="1"/>
  <c r="K1864" i="1"/>
  <c r="D1864" i="1" s="1"/>
  <c r="H1864" i="1" s="1"/>
  <c r="AH3" i="41"/>
  <c r="T1861" i="1" s="1"/>
  <c r="P1861" i="1" s="1"/>
  <c r="K1861" i="1"/>
  <c r="D1861" i="1" s="1"/>
  <c r="AI3" i="41"/>
  <c r="T1862" i="1" s="1"/>
  <c r="P1862" i="1" s="1"/>
  <c r="K1862" i="1"/>
  <c r="D1862" i="1" s="1"/>
  <c r="P1875" i="1"/>
  <c r="P1873" i="1"/>
  <c r="Q1889" i="1"/>
  <c r="C1889" i="1"/>
  <c r="P456" i="1"/>
  <c r="P464" i="1"/>
  <c r="I190" i="97" s="1"/>
  <c r="P453" i="1"/>
  <c r="P454" i="1"/>
  <c r="I261" i="97" s="1"/>
  <c r="P1846" i="1"/>
  <c r="P1844" i="1"/>
  <c r="I11" i="97" s="1"/>
  <c r="P1845" i="1"/>
  <c r="I131" i="97" s="1"/>
  <c r="P1848" i="1"/>
  <c r="I104" i="97" s="1"/>
  <c r="P1849" i="1"/>
  <c r="P1847" i="1"/>
  <c r="I119" i="97" s="1"/>
  <c r="AW2" i="41"/>
  <c r="AW3" i="41" s="1"/>
  <c r="T1776" i="1" s="1"/>
  <c r="F3" i="41"/>
  <c r="P457" i="1"/>
  <c r="P460" i="1"/>
  <c r="K448" i="1"/>
  <c r="P461" i="1"/>
  <c r="P449" i="1"/>
  <c r="I175" i="97" s="1"/>
  <c r="P450" i="1"/>
  <c r="I178" i="97" s="1"/>
  <c r="P455" i="1"/>
  <c r="I225" i="97" s="1"/>
  <c r="P462" i="1"/>
  <c r="K1843" i="1"/>
  <c r="P451" i="1"/>
  <c r="I181" i="97" s="1"/>
  <c r="P459" i="1"/>
  <c r="P452" i="1"/>
  <c r="P463" i="1"/>
  <c r="J2549" i="23"/>
  <c r="G8" i="130"/>
  <c r="G9" i="130"/>
  <c r="G10" i="130"/>
  <c r="G11" i="130"/>
  <c r="G12" i="130"/>
  <c r="G13" i="130"/>
  <c r="G14" i="130"/>
  <c r="H2" i="97"/>
  <c r="I226" i="97"/>
  <c r="C207" i="97"/>
  <c r="I250" i="97"/>
  <c r="C209" i="97"/>
  <c r="F3" i="130"/>
  <c r="C191" i="97"/>
  <c r="C195" i="97"/>
  <c r="C211" i="97"/>
  <c r="C93" i="97"/>
  <c r="C75" i="97"/>
  <c r="C192" i="97"/>
  <c r="D2468" i="23"/>
  <c r="H2575" i="23"/>
  <c r="H192" i="97" s="1"/>
  <c r="J2575" i="23"/>
  <c r="H2574" i="23"/>
  <c r="H209" i="97" s="1"/>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H188" i="97" s="1"/>
  <c r="K2559" i="23"/>
  <c r="J2559" i="23"/>
  <c r="I2558" i="23"/>
  <c r="H2558" i="23"/>
  <c r="H191" i="97" s="1"/>
  <c r="K2558" i="23"/>
  <c r="H2376" i="23"/>
  <c r="H2381" i="23"/>
  <c r="I2468" i="23"/>
  <c r="A2468" i="23" s="1"/>
  <c r="H2387" i="23"/>
  <c r="H198" i="97" s="1"/>
  <c r="H2386" i="23"/>
  <c r="H234" i="97" s="1"/>
  <c r="H2385" i="23"/>
  <c r="H2384" i="23"/>
  <c r="H233" i="97" s="1"/>
  <c r="H2383" i="23"/>
  <c r="H235" i="97" s="1"/>
  <c r="H2382" i="23"/>
  <c r="H27" i="97" s="1"/>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43" i="97" s="1"/>
  <c r="G2430" i="23"/>
  <c r="G2456" i="23"/>
  <c r="G2444" i="23"/>
  <c r="G2406" i="23"/>
  <c r="G2413" i="23"/>
  <c r="G2423" i="23"/>
  <c r="G65" i="97" s="1"/>
  <c r="G2431" i="23"/>
  <c r="G2438" i="23"/>
  <c r="G38" i="97" s="1"/>
  <c r="G2446" i="23"/>
  <c r="G2454" i="23"/>
  <c r="G2439" i="23"/>
  <c r="G2445" i="23"/>
  <c r="G2453" i="23"/>
  <c r="G2437" i="23"/>
  <c r="G46" i="97" s="1"/>
  <c r="G2447" i="23"/>
  <c r="G2452" i="23"/>
  <c r="J2466" i="23"/>
  <c r="H10" i="107"/>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28"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3"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I110" i="97" l="1"/>
  <c r="K13" i="114"/>
  <c r="Q1879" i="1"/>
  <c r="C1879" i="1"/>
  <c r="C143" i="97" s="1"/>
  <c r="Q1886" i="1"/>
  <c r="I167" i="97"/>
  <c r="K9" i="114"/>
  <c r="I117" i="97"/>
  <c r="K11" i="114"/>
  <c r="I169" i="97"/>
  <c r="K8" i="114"/>
  <c r="Q1878" i="1"/>
  <c r="R1881" i="1"/>
  <c r="C1881" i="1"/>
  <c r="C98" i="97" s="1"/>
  <c r="Q1881" i="1"/>
  <c r="Q1882" i="1"/>
  <c r="C1882" i="1"/>
  <c r="C100" i="97" s="1"/>
  <c r="R1879" i="1"/>
  <c r="C1886" i="1"/>
  <c r="C50" i="97" s="1"/>
  <c r="R1878" i="1"/>
  <c r="Q1885" i="1"/>
  <c r="C1885" i="1"/>
  <c r="C57" i="97" s="1"/>
  <c r="R1886" i="1"/>
  <c r="R1885" i="1"/>
  <c r="H1862" i="1"/>
  <c r="D167" i="97"/>
  <c r="H1867" i="1"/>
  <c r="D108" i="97"/>
  <c r="H1871" i="1"/>
  <c r="D63" i="97"/>
  <c r="H1861" i="1"/>
  <c r="D169" i="97"/>
  <c r="H1865" i="1"/>
  <c r="D123" i="97"/>
  <c r="R1884" i="1"/>
  <c r="Q1880" i="1"/>
  <c r="H1870" i="1"/>
  <c r="D133" i="97"/>
  <c r="Q1876" i="1"/>
  <c r="I77" i="97"/>
  <c r="H1868" i="1"/>
  <c r="D110" i="97"/>
  <c r="C1884" i="1"/>
  <c r="C44" i="97" s="1"/>
  <c r="C1876" i="1"/>
  <c r="C77" i="97" s="1"/>
  <c r="C1878" i="1"/>
  <c r="C141" i="97" s="1"/>
  <c r="Q1873" i="1"/>
  <c r="I68" i="97"/>
  <c r="C1880" i="1"/>
  <c r="C71" i="97" s="1"/>
  <c r="Q1884" i="1"/>
  <c r="R1883" i="1"/>
  <c r="I74" i="97"/>
  <c r="H1866" i="1"/>
  <c r="D117" i="97"/>
  <c r="C1875" i="1"/>
  <c r="C83" i="97" s="1"/>
  <c r="I83" i="97"/>
  <c r="R1880" i="1"/>
  <c r="R1882" i="1"/>
  <c r="H1775" i="1"/>
  <c r="H23" i="97" s="1"/>
  <c r="E23" i="97"/>
  <c r="Q1883" i="1"/>
  <c r="C1883" i="1"/>
  <c r="C74" i="97" s="1"/>
  <c r="D1874" i="1"/>
  <c r="C1873" i="1"/>
  <c r="C68" i="97" s="1"/>
  <c r="H1777" i="1"/>
  <c r="H18" i="97" s="1"/>
  <c r="Q1863" i="1"/>
  <c r="C1864" i="1"/>
  <c r="C1863" i="1"/>
  <c r="Q1864" i="1"/>
  <c r="R1864" i="1"/>
  <c r="Q1875" i="1"/>
  <c r="R1863" i="1"/>
  <c r="R1875" i="1"/>
  <c r="R1873" i="1"/>
  <c r="H1843" i="1"/>
  <c r="K1846" i="1"/>
  <c r="K1845" i="1"/>
  <c r="K1844" i="1"/>
  <c r="K1847" i="1"/>
  <c r="K1849" i="1"/>
  <c r="K1848" i="1"/>
  <c r="T1778" i="1"/>
  <c r="K1778" i="1"/>
  <c r="K457" i="1"/>
  <c r="K455" i="1"/>
  <c r="K449" i="1"/>
  <c r="K458" i="1"/>
  <c r="K450" i="1"/>
  <c r="K454" i="1"/>
  <c r="K452" i="1"/>
  <c r="K461" i="1"/>
  <c r="K464" i="1"/>
  <c r="K460" i="1"/>
  <c r="K453" i="1"/>
  <c r="K463" i="1"/>
  <c r="H448" i="1"/>
  <c r="K462" i="1"/>
  <c r="K459" i="1"/>
  <c r="K456" i="1"/>
  <c r="K451" i="1"/>
  <c r="G95" i="97"/>
  <c r="G106" i="97"/>
  <c r="G19" i="97"/>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H80" i="97"/>
  <c r="F5" i="130"/>
  <c r="A2553" i="23"/>
  <c r="I165" i="97"/>
  <c r="A2555" i="23"/>
  <c r="I255" i="97"/>
  <c r="A2565" i="23"/>
  <c r="I149" i="97"/>
  <c r="A2577" i="23"/>
  <c r="I127" i="97"/>
  <c r="A2575" i="23"/>
  <c r="I192" i="97"/>
  <c r="A2571" i="23"/>
  <c r="I257" i="97"/>
  <c r="H6" i="97"/>
  <c r="F6" i="130"/>
  <c r="A2558" i="23"/>
  <c r="I191" i="97"/>
  <c r="A2559" i="23"/>
  <c r="I188" i="97"/>
  <c r="A2557" i="23"/>
  <c r="I210" i="97"/>
  <c r="A2568" i="23"/>
  <c r="I58" i="97"/>
  <c r="A2564" i="23"/>
  <c r="I258" i="97"/>
  <c r="A2570" i="23"/>
  <c r="I29" i="97"/>
  <c r="A2574" i="23"/>
  <c r="I209" i="97"/>
  <c r="A2554" i="23"/>
  <c r="I256" i="97"/>
  <c r="A2567" i="23"/>
  <c r="I147" i="97"/>
  <c r="A2563" i="23"/>
  <c r="I168" i="97"/>
  <c r="A2573" i="23"/>
  <c r="I263" i="97"/>
  <c r="H3" i="97"/>
  <c r="F4" i="130"/>
  <c r="A2566" i="23"/>
  <c r="I148" i="97"/>
  <c r="A2569" i="23"/>
  <c r="I166" i="97"/>
  <c r="A2572" i="23"/>
  <c r="I102" i="97"/>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H169" i="97" l="1"/>
  <c r="J8" i="114"/>
  <c r="H110" i="97"/>
  <c r="J13" i="114"/>
  <c r="C1865" i="1"/>
  <c r="C123" i="97" s="1"/>
  <c r="J10" i="114"/>
  <c r="H167" i="97"/>
  <c r="J9" i="114"/>
  <c r="H117" i="97"/>
  <c r="J11" i="114"/>
  <c r="Q1867" i="1"/>
  <c r="J12" i="114"/>
  <c r="H186" i="97"/>
  <c r="F37" i="130"/>
  <c r="Q1865" i="1"/>
  <c r="Q1868" i="1"/>
  <c r="C1868" i="1"/>
  <c r="C110" i="97" s="1"/>
  <c r="Q1862" i="1"/>
  <c r="H221" i="97"/>
  <c r="F19" i="130"/>
  <c r="R1862" i="1"/>
  <c r="C1862" i="1"/>
  <c r="C167" i="97" s="1"/>
  <c r="C1867" i="1"/>
  <c r="C108" i="97" s="1"/>
  <c r="R1861" i="1"/>
  <c r="C1861" i="1"/>
  <c r="C169" i="97" s="1"/>
  <c r="Q1861" i="1"/>
  <c r="C1866" i="1"/>
  <c r="C117" i="97" s="1"/>
  <c r="R1866" i="1"/>
  <c r="R1868" i="1"/>
  <c r="Q1866" i="1"/>
  <c r="P1870" i="1"/>
  <c r="H133" i="97"/>
  <c r="P1871" i="1"/>
  <c r="H63" i="97"/>
  <c r="R1867" i="1"/>
  <c r="H108" i="97"/>
  <c r="H1874" i="1"/>
  <c r="D85" i="97"/>
  <c r="R1865" i="1"/>
  <c r="H123" i="97"/>
  <c r="K1776" i="1"/>
  <c r="E1776" i="1" s="1"/>
  <c r="H1778" i="1"/>
  <c r="H1846" i="1"/>
  <c r="H1847" i="1"/>
  <c r="H119" i="97" s="1"/>
  <c r="H1845" i="1"/>
  <c r="H131" i="97" s="1"/>
  <c r="R1843" i="1"/>
  <c r="H1848" i="1"/>
  <c r="H104" i="97" s="1"/>
  <c r="H1844" i="1"/>
  <c r="H11" i="97" s="1"/>
  <c r="D1843" i="1"/>
  <c r="D186" i="97" s="1"/>
  <c r="H1849" i="1"/>
  <c r="Q1843" i="1"/>
  <c r="C1843" i="1"/>
  <c r="C186" i="97" s="1"/>
  <c r="C448" i="1"/>
  <c r="C221" i="97" s="1"/>
  <c r="H459" i="1"/>
  <c r="R448" i="1"/>
  <c r="H454" i="1"/>
  <c r="H463" i="1"/>
  <c r="C463" i="1" s="1"/>
  <c r="H458" i="1"/>
  <c r="H462" i="1"/>
  <c r="H451" i="1"/>
  <c r="H181" i="97" s="1"/>
  <c r="H457" i="1"/>
  <c r="H453" i="1"/>
  <c r="C453" i="1" s="1"/>
  <c r="H450" i="1"/>
  <c r="H178" i="97" s="1"/>
  <c r="H461" i="1"/>
  <c r="H449" i="1"/>
  <c r="H175" i="97" s="1"/>
  <c r="H456" i="1"/>
  <c r="H452" i="1"/>
  <c r="C452" i="1" s="1"/>
  <c r="H464" i="1"/>
  <c r="H460" i="1"/>
  <c r="Q448" i="1"/>
  <c r="H455" i="1"/>
  <c r="H225" i="97" s="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D28" i="113"/>
  <c r="D27" i="113"/>
  <c r="G28" i="113"/>
  <c r="G27" i="113"/>
  <c r="I7" i="111"/>
  <c r="I8" i="111"/>
  <c r="I9" i="111"/>
  <c r="I10" i="111"/>
  <c r="I11" i="111"/>
  <c r="I12" i="111"/>
  <c r="I13" i="111"/>
  <c r="I14" i="111"/>
  <c r="I15" i="111"/>
  <c r="I16" i="111"/>
  <c r="I17" i="111"/>
  <c r="I18" i="111"/>
  <c r="I19" i="111"/>
  <c r="I20" i="111"/>
  <c r="I21" i="111"/>
  <c r="I22" i="111"/>
  <c r="I23" i="111"/>
  <c r="I24" i="111"/>
  <c r="I25" i="111"/>
  <c r="I26" i="111"/>
  <c r="I3" i="111"/>
  <c r="I4" i="111"/>
  <c r="I5" i="111"/>
  <c r="I6" i="111"/>
  <c r="I2" i="111"/>
  <c r="J2341" i="1"/>
  <c r="L2341" i="1"/>
  <c r="I2341" i="1"/>
  <c r="I1805" i="1"/>
  <c r="J1805" i="1"/>
  <c r="L1805" i="1"/>
  <c r="M1805" i="1"/>
  <c r="N1805" i="1"/>
  <c r="O1805" i="1"/>
  <c r="I919" i="1"/>
  <c r="J919" i="1"/>
  <c r="M919" i="1"/>
  <c r="N919" i="1"/>
  <c r="O919" i="1"/>
  <c r="P1874" i="1" l="1"/>
  <c r="H85" i="97"/>
  <c r="P1778" i="1"/>
  <c r="H17" i="97"/>
  <c r="C454" i="1"/>
  <c r="C261" i="97" s="1"/>
  <c r="H261" i="97"/>
  <c r="Q1871" i="1"/>
  <c r="I63" i="97"/>
  <c r="C1871" i="1"/>
  <c r="C63" i="97" s="1"/>
  <c r="R1871" i="1"/>
  <c r="C464" i="1"/>
  <c r="C190" i="97" s="1"/>
  <c r="H190" i="97"/>
  <c r="Q1870" i="1"/>
  <c r="I133" i="97"/>
  <c r="R1870" i="1"/>
  <c r="C1870" i="1"/>
  <c r="C133" i="97" s="1"/>
  <c r="H1776" i="1"/>
  <c r="H22" i="97" s="1"/>
  <c r="E22" i="97"/>
  <c r="R455" i="1"/>
  <c r="R449" i="1"/>
  <c r="R463" i="1"/>
  <c r="R459" i="1"/>
  <c r="R458" i="1"/>
  <c r="R454" i="1"/>
  <c r="R451" i="1"/>
  <c r="R462" i="1"/>
  <c r="R461" i="1"/>
  <c r="R450" i="1"/>
  <c r="R452" i="1"/>
  <c r="R456" i="1"/>
  <c r="R464" i="1"/>
  <c r="R453" i="1"/>
  <c r="R457" i="1"/>
  <c r="R460" i="1"/>
  <c r="Q455" i="1"/>
  <c r="Q462" i="1"/>
  <c r="Q453" i="1"/>
  <c r="Q452" i="1"/>
  <c r="Q457" i="1"/>
  <c r="Q454" i="1"/>
  <c r="Q451" i="1"/>
  <c r="Q459" i="1"/>
  <c r="Q458" i="1"/>
  <c r="Q456" i="1"/>
  <c r="Q449" i="1"/>
  <c r="Q461" i="1"/>
  <c r="Q464" i="1"/>
  <c r="Q463" i="1"/>
  <c r="Q460" i="1"/>
  <c r="Q450" i="1"/>
  <c r="R1848" i="1"/>
  <c r="R1846" i="1"/>
  <c r="R1844" i="1"/>
  <c r="R1849" i="1"/>
  <c r="R1847" i="1"/>
  <c r="R1845" i="1"/>
  <c r="Q1848" i="1"/>
  <c r="Q1845" i="1"/>
  <c r="Q1846" i="1"/>
  <c r="Q1849" i="1"/>
  <c r="Q1847" i="1"/>
  <c r="Q1844" i="1"/>
  <c r="F2093" i="23"/>
  <c r="F2092" i="23"/>
  <c r="F2091" i="23"/>
  <c r="F2090" i="23"/>
  <c r="I2076" i="23"/>
  <c r="A2076" i="23" s="1"/>
  <c r="I2075" i="23"/>
  <c r="A2075" i="23" s="1"/>
  <c r="G2074" i="23"/>
  <c r="F2074" i="23"/>
  <c r="E2074" i="23"/>
  <c r="C415" i="15"/>
  <c r="A415" i="15"/>
  <c r="J415" i="15" s="1"/>
  <c r="C1778" i="1" l="1"/>
  <c r="C17" i="97" s="1"/>
  <c r="I17" i="97"/>
  <c r="R1874" i="1"/>
  <c r="I85" i="97"/>
  <c r="Q1874" i="1"/>
  <c r="C1874" i="1"/>
  <c r="C85" i="97" s="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6" i="1"/>
  <c r="F194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124" i="26"/>
  <c r="G125" i="26"/>
  <c r="G126" i="26"/>
  <c r="G127" i="26"/>
  <c r="G128" i="26"/>
  <c r="G129" i="26"/>
  <c r="G130" i="26"/>
  <c r="G131" i="26"/>
  <c r="G132" i="26"/>
  <c r="G133" i="26"/>
  <c r="G134" i="26"/>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B150" i="97" l="1"/>
  <c r="D150" i="97"/>
  <c r="E150" i="97"/>
  <c r="I2610" i="23"/>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G3169" i="129"/>
  <c r="O3169" i="129" s="1"/>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N925" i="129" l="1"/>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M1039"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O2121"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A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J13" i="107" l="1"/>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2135" i="129" l="1"/>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A1113" i="129" s="1"/>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T1330" i="129" l="1"/>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15" i="15"/>
  <c r="E1503" i="15"/>
  <c r="E1462" i="15"/>
  <c r="E810" i="15"/>
  <c r="J1526" i="15" l="1"/>
  <c r="J1527" i="15"/>
  <c r="J1528" i="15"/>
  <c r="J1529" i="15"/>
  <c r="J1530" i="15"/>
  <c r="J1531" i="15"/>
  <c r="J1532" i="15"/>
  <c r="J1533" i="15"/>
  <c r="J1534" i="15"/>
  <c r="J1133" i="15"/>
  <c r="E1133" i="15"/>
  <c r="J64" i="15"/>
  <c r="E64" i="15"/>
  <c r="J498" i="15"/>
  <c r="E498"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J1525" i="15"/>
  <c r="J1524" i="15"/>
  <c r="T363" i="1"/>
  <c r="T361" i="1"/>
  <c r="T360" i="1"/>
  <c r="AC2" i="96"/>
  <c r="J85" i="15" l="1"/>
  <c r="E85" i="15"/>
  <c r="J1513" i="15"/>
  <c r="J197" i="15"/>
  <c r="E197" i="15"/>
  <c r="J380" i="15"/>
  <c r="E380" i="15"/>
  <c r="J379" i="15"/>
  <c r="E379" i="15"/>
  <c r="A412" i="15"/>
  <c r="J412" i="15" s="1"/>
  <c r="D5" i="110"/>
  <c r="D6"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H4" i="106"/>
  <c r="H5" i="106"/>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4" i="15"/>
  <c r="J1515" i="15"/>
  <c r="J1516" i="15"/>
  <c r="J1517" i="15"/>
  <c r="J1518" i="15"/>
  <c r="J1519" i="15"/>
  <c r="J1520" i="15"/>
  <c r="J1521" i="15"/>
  <c r="J1522" i="15"/>
  <c r="J152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I4" i="105"/>
  <c r="I5" i="105"/>
  <c r="I6" i="105"/>
  <c r="I7" i="105"/>
  <c r="I8" i="105"/>
  <c r="C11" i="26" l="1"/>
  <c r="C9" i="26"/>
  <c r="C10" i="26"/>
  <c r="H24" i="109"/>
  <c r="H23" i="109"/>
  <c r="C8" i="26" l="1"/>
  <c r="E3" i="26"/>
  <c r="E4" i="26" s="1"/>
  <c r="E5" i="26" s="1"/>
  <c r="E6" i="26" s="1"/>
  <c r="E7" i="26" s="1"/>
  <c r="E8" i="26" s="1"/>
  <c r="E9" i="26" s="1"/>
  <c r="E10" i="26" s="1"/>
  <c r="E11" i="26" s="1"/>
  <c r="D3" i="26"/>
  <c r="D4"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9" i="15"/>
  <c r="A1179" i="15"/>
  <c r="C1178" i="15"/>
  <c r="A1178" i="15"/>
  <c r="C1177" i="15"/>
  <c r="A1177" i="15"/>
  <c r="C1176" i="15"/>
  <c r="A1176" i="15"/>
  <c r="C1180" i="15"/>
  <c r="A1174" i="15"/>
  <c r="A1175" i="15"/>
  <c r="A1180" i="15"/>
  <c r="C1175" i="15"/>
  <c r="C1174" i="15"/>
  <c r="I987" i="23"/>
  <c r="A987" i="23" s="1"/>
  <c r="I982" i="23"/>
  <c r="A982" i="23" s="1"/>
  <c r="I981" i="23"/>
  <c r="A981" i="23" s="1"/>
  <c r="I980" i="23"/>
  <c r="A980" i="23" s="1"/>
  <c r="I979" i="23"/>
  <c r="A979" i="23" s="1"/>
  <c r="D979" i="23"/>
  <c r="E62" i="15"/>
  <c r="C404" i="15"/>
  <c r="A404" i="15"/>
  <c r="A403" i="15"/>
  <c r="C402" i="15"/>
  <c r="A402" i="15"/>
  <c r="C405" i="15"/>
  <c r="A405" i="15"/>
  <c r="C414" i="15"/>
  <c r="A414" i="15"/>
  <c r="A413" i="15"/>
  <c r="A411" i="15"/>
  <c r="C410" i="15"/>
  <c r="A410" i="15"/>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1956" i="1" l="1"/>
  <c r="F115" i="97" s="1"/>
  <c r="G1956" i="1"/>
  <c r="G115" i="97" s="1"/>
  <c r="G1878" i="1"/>
  <c r="G141" i="97" s="1"/>
  <c r="G1883" i="1"/>
  <c r="G74" i="97" s="1"/>
  <c r="G1888" i="1"/>
  <c r="F1882" i="1"/>
  <c r="F100" i="97" s="1"/>
  <c r="G1882" i="1"/>
  <c r="G100" i="97" s="1"/>
  <c r="G1887" i="1"/>
  <c r="F1877" i="1"/>
  <c r="F82" i="97" s="1"/>
  <c r="F1886" i="1"/>
  <c r="F50" i="97" s="1"/>
  <c r="G1886" i="1"/>
  <c r="G50" i="97" s="1"/>
  <c r="G1876" i="1"/>
  <c r="G77" i="97" s="1"/>
  <c r="F1881" i="1"/>
  <c r="F98" i="97" s="1"/>
  <c r="F1879" i="1"/>
  <c r="F143" i="97" s="1"/>
  <c r="F1880" i="1"/>
  <c r="F71" i="97" s="1"/>
  <c r="F1885" i="1"/>
  <c r="F57" i="97" s="1"/>
  <c r="F1883" i="1"/>
  <c r="F74" i="97" s="1"/>
  <c r="F1884" i="1"/>
  <c r="F44" i="97" s="1"/>
  <c r="G1877" i="1"/>
  <c r="G82" i="97" s="1"/>
  <c r="F1887" i="1"/>
  <c r="F1888" i="1"/>
  <c r="G1881" i="1"/>
  <c r="G98" i="97" s="1"/>
  <c r="G1885" i="1"/>
  <c r="G57" i="97" s="1"/>
  <c r="F1876" i="1"/>
  <c r="F77" i="97" s="1"/>
  <c r="G1880" i="1"/>
  <c r="G71" i="97" s="1"/>
  <c r="G1879" i="1"/>
  <c r="G143" i="97" s="1"/>
  <c r="G1884" i="1"/>
  <c r="G44" i="97" s="1"/>
  <c r="F1878" i="1"/>
  <c r="F141" i="97" s="1"/>
  <c r="F1862" i="1"/>
  <c r="F1864" i="1"/>
  <c r="G1875" i="1"/>
  <c r="G83" i="97" s="1"/>
  <c r="G1870" i="1"/>
  <c r="G133" i="97" s="1"/>
  <c r="G1864" i="1"/>
  <c r="G1861" i="1"/>
  <c r="G1874" i="1"/>
  <c r="G85" i="97" s="1"/>
  <c r="F1863" i="1"/>
  <c r="G1863" i="1"/>
  <c r="G1889" i="1"/>
  <c r="F1861" i="1"/>
  <c r="F1871" i="1"/>
  <c r="F63" i="97" s="1"/>
  <c r="F1870" i="1"/>
  <c r="F133" i="97" s="1"/>
  <c r="F1875" i="1"/>
  <c r="F83" i="97" s="1"/>
  <c r="F1874" i="1"/>
  <c r="F85" i="97" s="1"/>
  <c r="F1889" i="1"/>
  <c r="G1871" i="1"/>
  <c r="G63" i="97" s="1"/>
  <c r="G1862" i="1"/>
  <c r="F1804" i="1"/>
  <c r="F1812" i="1"/>
  <c r="F1816" i="1"/>
  <c r="G1847" i="1"/>
  <c r="G119" i="97" s="1"/>
  <c r="F1848" i="1"/>
  <c r="F104" i="97" s="1"/>
  <c r="G1848" i="1"/>
  <c r="G104" i="97" s="1"/>
  <c r="F1843" i="1"/>
  <c r="F1847" i="1"/>
  <c r="F119" i="97" s="1"/>
  <c r="F1808" i="1"/>
  <c r="F1778" i="1"/>
  <c r="F17" i="97" s="1"/>
  <c r="G1778" i="1"/>
  <c r="G17" i="97" s="1"/>
  <c r="G453" i="1"/>
  <c r="G451" i="1"/>
  <c r="G181" i="97" s="1"/>
  <c r="G449" i="1"/>
  <c r="G175" i="97" s="1"/>
  <c r="G459" i="1"/>
  <c r="E452" i="1"/>
  <c r="F456" i="1"/>
  <c r="G456" i="1"/>
  <c r="E449" i="1"/>
  <c r="E175" i="97" s="1"/>
  <c r="F451" i="1"/>
  <c r="F181" i="97" s="1"/>
  <c r="G461" i="1"/>
  <c r="E454" i="1"/>
  <c r="E261" i="97" s="1"/>
  <c r="F458" i="1"/>
  <c r="G460" i="1"/>
  <c r="E451" i="1"/>
  <c r="E181" i="97" s="1"/>
  <c r="F453" i="1"/>
  <c r="F463" i="1"/>
  <c r="E456" i="1"/>
  <c r="F460" i="1"/>
  <c r="G462" i="1"/>
  <c r="E453" i="1"/>
  <c r="F455" i="1"/>
  <c r="F225" i="97" s="1"/>
  <c r="F667" i="1"/>
  <c r="F139" i="97" s="1"/>
  <c r="E458" i="1"/>
  <c r="F462" i="1"/>
  <c r="F464" i="1"/>
  <c r="F190" i="97" s="1"/>
  <c r="E455" i="1"/>
  <c r="E225" i="97" s="1"/>
  <c r="F457" i="1"/>
  <c r="G463" i="1"/>
  <c r="E460" i="1"/>
  <c r="E464" i="1"/>
  <c r="E190" i="97" s="1"/>
  <c r="F450" i="1"/>
  <c r="F178" i="97" s="1"/>
  <c r="E457" i="1"/>
  <c r="F459" i="1"/>
  <c r="G667" i="1"/>
  <c r="G139" i="97" s="1"/>
  <c r="E462" i="1"/>
  <c r="F452" i="1"/>
  <c r="G452" i="1"/>
  <c r="E459" i="1"/>
  <c r="F461" i="1"/>
  <c r="F663" i="1"/>
  <c r="G457" i="1"/>
  <c r="G455" i="1"/>
  <c r="G225" i="97" s="1"/>
  <c r="G450" i="1"/>
  <c r="G178" i="97" s="1"/>
  <c r="G458" i="1"/>
  <c r="E461" i="1"/>
  <c r="E463" i="1"/>
  <c r="E450" i="1"/>
  <c r="E178" i="97" s="1"/>
  <c r="F454" i="1"/>
  <c r="F261" i="97" s="1"/>
  <c r="G454" i="1"/>
  <c r="G261" i="97" s="1"/>
  <c r="G464" i="1"/>
  <c r="G190" i="97" s="1"/>
  <c r="F449" i="1"/>
  <c r="F175" i="97" s="1"/>
  <c r="F148" i="132"/>
  <c r="F133" i="132"/>
  <c r="F156" i="132"/>
  <c r="F85" i="132"/>
  <c r="F147" i="132"/>
  <c r="F76" i="132"/>
  <c r="F131" i="132"/>
  <c r="F26" i="132"/>
  <c r="F130" i="132"/>
  <c r="F34" i="132"/>
  <c r="F129" i="132"/>
  <c r="F32" i="132"/>
  <c r="F112" i="132"/>
  <c r="F23" i="132"/>
  <c r="F95" i="132"/>
  <c r="F149" i="132"/>
  <c r="F70" i="132"/>
  <c r="F28" i="132"/>
  <c r="F132" i="132"/>
  <c r="F123" i="132"/>
  <c r="F18" i="132"/>
  <c r="F114" i="132"/>
  <c r="F25" i="132"/>
  <c r="F113" i="132"/>
  <c r="F24" i="132"/>
  <c r="F104" i="132"/>
  <c r="F15" i="132"/>
  <c r="F87" i="132"/>
  <c r="F134" i="132"/>
  <c r="F46" i="132"/>
  <c r="F125" i="132"/>
  <c r="F124" i="132"/>
  <c r="F36" i="132"/>
  <c r="F115" i="132"/>
  <c r="F101" i="132"/>
  <c r="F106" i="132"/>
  <c r="F17" i="132"/>
  <c r="F105" i="132"/>
  <c r="F16" i="132"/>
  <c r="F96" i="132"/>
  <c r="F150" i="132"/>
  <c r="F79" i="132"/>
  <c r="F126" i="132"/>
  <c r="F38" i="132"/>
  <c r="F93" i="132"/>
  <c r="F116" i="132"/>
  <c r="F27" i="132"/>
  <c r="F99" i="132"/>
  <c r="F69" i="132"/>
  <c r="F98" i="132"/>
  <c r="F109" i="132"/>
  <c r="F97" i="132"/>
  <c r="F151" i="132"/>
  <c r="F88" i="132"/>
  <c r="F135" i="132"/>
  <c r="F71" i="132"/>
  <c r="F118" i="132"/>
  <c r="F29" i="132"/>
  <c r="F21" i="132"/>
  <c r="F37" i="132"/>
  <c r="F108" i="132"/>
  <c r="F19" i="132"/>
  <c r="F91" i="132"/>
  <c r="F202" i="132"/>
  <c r="F90" i="132"/>
  <c r="F77" i="132"/>
  <c r="F89" i="132"/>
  <c r="F144" i="132"/>
  <c r="F80" i="132"/>
  <c r="F127" i="132"/>
  <c r="F47" i="132"/>
  <c r="F102" i="132"/>
  <c r="F20" i="132"/>
  <c r="F100" i="132"/>
  <c r="F117" i="132"/>
  <c r="F83" i="132"/>
  <c r="F33" i="132"/>
  <c r="F82" i="132"/>
  <c r="F7" i="132"/>
  <c r="F81" i="132"/>
  <c r="F136" i="132"/>
  <c r="F72" i="132"/>
  <c r="F119" i="132"/>
  <c r="F30" i="132"/>
  <c r="F94" i="132"/>
  <c r="F13" i="132"/>
  <c r="F31" i="132"/>
  <c r="F203" i="132"/>
  <c r="F92" i="132"/>
  <c r="F45" i="132"/>
  <c r="F75" i="132"/>
  <c r="F6" i="132"/>
  <c r="F74" i="132"/>
  <c r="F152" i="132"/>
  <c r="F73" i="132"/>
  <c r="F128" i="132"/>
  <c r="F48" i="132"/>
  <c r="F111" i="132"/>
  <c r="F22" i="132"/>
  <c r="F86" i="132"/>
  <c r="F120" i="132"/>
  <c r="F14" i="132"/>
  <c r="F78" i="132"/>
  <c r="F155" i="132"/>
  <c r="F84" i="132"/>
  <c r="F154" i="132"/>
  <c r="F35" i="132"/>
  <c r="F153" i="132"/>
  <c r="F50" i="132"/>
  <c r="F145" i="132"/>
  <c r="F49" i="132"/>
  <c r="F103" i="132"/>
  <c r="J157" i="97"/>
  <c r="K157" i="97" s="1"/>
  <c r="F2590" i="23"/>
  <c r="F99" i="97" s="1"/>
  <c r="G2576" i="23"/>
  <c r="F2575" i="23"/>
  <c r="F192" i="97" s="1"/>
  <c r="E2574" i="23"/>
  <c r="E209" i="97" s="1"/>
  <c r="G2573" i="23"/>
  <c r="G263" i="97" s="1"/>
  <c r="E2572" i="23"/>
  <c r="E102" i="97" s="1"/>
  <c r="G2571" i="23"/>
  <c r="G257" i="97" s="1"/>
  <c r="E2577" i="23"/>
  <c r="E127" i="97" s="1"/>
  <c r="F2570" i="23"/>
  <c r="F29" i="97" s="1"/>
  <c r="F2569" i="23"/>
  <c r="F166" i="97" s="1"/>
  <c r="E2568" i="23"/>
  <c r="E58" i="97" s="1"/>
  <c r="E2566" i="23"/>
  <c r="E148" i="97" s="1"/>
  <c r="G2565" i="23"/>
  <c r="G149" i="97" s="1"/>
  <c r="E2564" i="23"/>
  <c r="E258" i="97" s="1"/>
  <c r="G2563" i="23"/>
  <c r="G168" i="97" s="1"/>
  <c r="G2557" i="23"/>
  <c r="G210" i="97" s="1"/>
  <c r="F2556" i="23"/>
  <c r="E2555" i="23"/>
  <c r="E255" i="97" s="1"/>
  <c r="G2553" i="23"/>
  <c r="G165" i="97" s="1"/>
  <c r="F2552" i="23"/>
  <c r="E2560" i="23"/>
  <c r="G2534" i="23"/>
  <c r="G91" i="97" s="1"/>
  <c r="F2576" i="23"/>
  <c r="E2575" i="23"/>
  <c r="E192" i="97" s="1"/>
  <c r="F2573" i="23"/>
  <c r="F263" i="97" s="1"/>
  <c r="F2571" i="23"/>
  <c r="F257" i="97" s="1"/>
  <c r="E2570" i="23"/>
  <c r="E29" i="97" s="1"/>
  <c r="E2569" i="23"/>
  <c r="E166" i="97" s="1"/>
  <c r="F2565" i="23"/>
  <c r="F149" i="97" s="1"/>
  <c r="F2563" i="23"/>
  <c r="F168" i="97" s="1"/>
  <c r="G2558" i="23"/>
  <c r="G191" i="97" s="1"/>
  <c r="F2557" i="23"/>
  <c r="F210" i="97" s="1"/>
  <c r="E2556" i="23"/>
  <c r="G2554" i="23"/>
  <c r="G256" i="97" s="1"/>
  <c r="F2553" i="23"/>
  <c r="F165" i="97" s="1"/>
  <c r="E2552" i="23"/>
  <c r="G2559" i="23"/>
  <c r="G188" i="97" s="1"/>
  <c r="F2534" i="23"/>
  <c r="F91" i="97" s="1"/>
  <c r="G2525" i="23"/>
  <c r="G2523" i="23"/>
  <c r="G211" i="97" s="1"/>
  <c r="G2520" i="23"/>
  <c r="G86" i="97" s="1"/>
  <c r="F2523" i="23"/>
  <c r="F211" i="97" s="1"/>
  <c r="E2576" i="23"/>
  <c r="G2574" i="23"/>
  <c r="G209" i="97" s="1"/>
  <c r="E2573" i="23"/>
  <c r="E263" i="97" s="1"/>
  <c r="G2572" i="23"/>
  <c r="G102" i="97" s="1"/>
  <c r="E2571" i="23"/>
  <c r="E257" i="97" s="1"/>
  <c r="G2577" i="23"/>
  <c r="G127" i="97" s="1"/>
  <c r="G2568" i="23"/>
  <c r="G58" i="97" s="1"/>
  <c r="G2566" i="23"/>
  <c r="G148" i="97" s="1"/>
  <c r="E2565" i="23"/>
  <c r="E149" i="97" s="1"/>
  <c r="G2564" i="23"/>
  <c r="G258" i="97" s="1"/>
  <c r="E2563" i="23"/>
  <c r="E168" i="97" s="1"/>
  <c r="F2558" i="23"/>
  <c r="F191" i="97" s="1"/>
  <c r="E2557" i="23"/>
  <c r="E210" i="97" s="1"/>
  <c r="G2555" i="23"/>
  <c r="G255" i="97" s="1"/>
  <c r="F2554" i="23"/>
  <c r="F256" i="97" s="1"/>
  <c r="E2553" i="23"/>
  <c r="E165" i="97" s="1"/>
  <c r="G2560" i="23"/>
  <c r="F2559" i="23"/>
  <c r="F188" i="97" s="1"/>
  <c r="E2534" i="23"/>
  <c r="E91" i="97" s="1"/>
  <c r="F2525" i="23"/>
  <c r="G2524" i="23"/>
  <c r="G262" i="97" s="1"/>
  <c r="F2520" i="23"/>
  <c r="F86" i="97" s="1"/>
  <c r="G2575" i="23"/>
  <c r="G192" i="97" s="1"/>
  <c r="F2574" i="23"/>
  <c r="F209" i="97" s="1"/>
  <c r="F2572" i="23"/>
  <c r="F102" i="97" s="1"/>
  <c r="F2577" i="23"/>
  <c r="F127" i="97" s="1"/>
  <c r="G2570" i="23"/>
  <c r="G29" i="97" s="1"/>
  <c r="G2569" i="23"/>
  <c r="G166" i="97" s="1"/>
  <c r="F2568" i="23"/>
  <c r="F58" i="97" s="1"/>
  <c r="F2566" i="23"/>
  <c r="F148" i="97" s="1"/>
  <c r="F2564" i="23"/>
  <c r="F258" i="97" s="1"/>
  <c r="E2558" i="23"/>
  <c r="E191" i="97" s="1"/>
  <c r="G2556" i="23"/>
  <c r="F2555" i="23"/>
  <c r="F255" i="97" s="1"/>
  <c r="E2554" i="23"/>
  <c r="E256" i="97" s="1"/>
  <c r="G2552" i="23"/>
  <c r="F2560" i="23"/>
  <c r="E2559" i="23"/>
  <c r="E188" i="97" s="1"/>
  <c r="F2535" i="23"/>
  <c r="F75" i="97" s="1"/>
  <c r="E2525" i="23"/>
  <c r="F2524" i="23"/>
  <c r="F262" i="97" s="1"/>
  <c r="E2523" i="23"/>
  <c r="E211" i="97" s="1"/>
  <c r="E2520" i="23"/>
  <c r="E86" i="97" s="1"/>
  <c r="E2524" i="23"/>
  <c r="E262" i="97" s="1"/>
  <c r="F2518" i="23"/>
  <c r="F81" i="97" s="1"/>
  <c r="G2519" i="23"/>
  <c r="E2518" i="23"/>
  <c r="E81" i="97" s="1"/>
  <c r="G2517" i="23"/>
  <c r="G84" i="97" s="1"/>
  <c r="F2519" i="23"/>
  <c r="F2517" i="23"/>
  <c r="F84" i="97" s="1"/>
  <c r="E2519" i="23"/>
  <c r="E76" i="97" s="1"/>
  <c r="G2518" i="23"/>
  <c r="G81" i="97" s="1"/>
  <c r="E2517" i="23"/>
  <c r="E84" i="97" s="1"/>
  <c r="G2473" i="23"/>
  <c r="F2472" i="23"/>
  <c r="F2473" i="23"/>
  <c r="E2472" i="23"/>
  <c r="G2470" i="23"/>
  <c r="E2473" i="23"/>
  <c r="F2470" i="23"/>
  <c r="G2472" i="23"/>
  <c r="E2470" i="23"/>
  <c r="G2458" i="23"/>
  <c r="G2465" i="23"/>
  <c r="G2448" i="23"/>
  <c r="G2404" i="23"/>
  <c r="F2418" i="23"/>
  <c r="F87" i="97" s="1"/>
  <c r="G2424" i="23"/>
  <c r="G213" i="97" s="1"/>
  <c r="G2419" i="23"/>
  <c r="G89" i="97" s="1"/>
  <c r="G2403" i="23"/>
  <c r="G2394" i="23"/>
  <c r="G2418" i="23"/>
  <c r="G87" i="97" s="1"/>
  <c r="G2391" i="23"/>
  <c r="G2461" i="23"/>
  <c r="G2440" i="23"/>
  <c r="G215" i="97" s="1"/>
  <c r="G2434" i="23"/>
  <c r="G164" i="97" s="1"/>
  <c r="G2393" i="23"/>
  <c r="G2427" i="23"/>
  <c r="G2415" i="23"/>
  <c r="G2411" i="23"/>
  <c r="G2405" i="23"/>
  <c r="G2395" i="23"/>
  <c r="G2429" i="23"/>
  <c r="G2455" i="23"/>
  <c r="G2466" i="23"/>
  <c r="G2464" i="23"/>
  <c r="G2435" i="23"/>
  <c r="G157" i="97" s="1"/>
  <c r="G2462" i="23"/>
  <c r="F2435" i="23"/>
  <c r="F157" i="97" s="1"/>
  <c r="G2460" i="23"/>
  <c r="G2463" i="23"/>
  <c r="G2443" i="23"/>
  <c r="G2449" i="23"/>
  <c r="G2467" i="23"/>
  <c r="F2381" i="23"/>
  <c r="E2381" i="23"/>
  <c r="G2381" i="23"/>
  <c r="J46" i="97"/>
  <c r="K46" i="97" s="1"/>
  <c r="J33" i="97"/>
  <c r="K33" i="97" s="1"/>
  <c r="J250" i="97"/>
  <c r="K250" i="97" s="1"/>
  <c r="J91" i="97"/>
  <c r="K91" i="97" s="1"/>
  <c r="J84" i="97"/>
  <c r="K84"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45" i="97"/>
  <c r="K45" i="97" s="1"/>
  <c r="J205" i="97"/>
  <c r="K205" i="97" s="1"/>
  <c r="J32" i="97"/>
  <c r="K32" i="97" s="1"/>
  <c r="J182" i="97"/>
  <c r="K182" i="97" s="1"/>
  <c r="J105" i="97"/>
  <c r="K105" i="97" s="1"/>
  <c r="J221" i="97"/>
  <c r="K221" i="97" s="1"/>
  <c r="J222" i="97"/>
  <c r="K222" i="97" s="1"/>
  <c r="J138" i="97"/>
  <c r="K138" i="97" s="1"/>
  <c r="J204" i="97"/>
  <c r="K204" i="97" s="1"/>
  <c r="J232" i="97"/>
  <c r="K232" i="97" s="1"/>
  <c r="J175" i="97"/>
  <c r="K175" i="97" s="1"/>
  <c r="J49" i="97"/>
  <c r="K49" i="97" s="1"/>
  <c r="F920" i="1"/>
  <c r="J189" i="97"/>
  <c r="K189" i="97" s="1"/>
  <c r="J262" i="97"/>
  <c r="K262" i="97" s="1"/>
  <c r="J211" i="97"/>
  <c r="K211" i="97" s="1"/>
  <c r="J34" i="97"/>
  <c r="K34" i="97" s="1"/>
  <c r="J90" i="97"/>
  <c r="K90" i="97" s="1"/>
  <c r="J35" i="97"/>
  <c r="K35" i="97" s="1"/>
  <c r="J101" i="97"/>
  <c r="K101" i="97" s="1"/>
  <c r="J255" i="97"/>
  <c r="K255" i="97" s="1"/>
  <c r="J47" i="97"/>
  <c r="K47" i="97" s="1"/>
  <c r="J190" i="97"/>
  <c r="K190" i="97" s="1"/>
  <c r="J238" i="97"/>
  <c r="K238" i="97" s="1"/>
  <c r="J239" i="97"/>
  <c r="K239" i="97" s="1"/>
  <c r="J20" i="97"/>
  <c r="K20" i="97" s="1"/>
  <c r="J27" i="97"/>
  <c r="K27" i="97" s="1"/>
  <c r="J58" i="97"/>
  <c r="K58" i="97" s="1"/>
  <c r="J55" i="97"/>
  <c r="K55" i="97" s="1"/>
  <c r="J39" i="97"/>
  <c r="K39" i="97" s="1"/>
  <c r="J28" i="97"/>
  <c r="K28" i="97" s="1"/>
  <c r="J107" i="97"/>
  <c r="K107" i="97" s="1"/>
  <c r="J257" i="97"/>
  <c r="K257" i="97" s="1"/>
  <c r="J253" i="97"/>
  <c r="K253" i="97" s="1"/>
  <c r="J233" i="97"/>
  <c r="K233" i="97" s="1"/>
  <c r="J154" i="97"/>
  <c r="K154" i="97" s="1"/>
  <c r="J2" i="97"/>
  <c r="J218" i="97"/>
  <c r="K218" i="97" s="1"/>
  <c r="J258" i="97"/>
  <c r="K258" i="97" s="1"/>
  <c r="J42" i="97"/>
  <c r="K42" i="97" s="1"/>
  <c r="J219" i="97"/>
  <c r="K219" i="97" s="1"/>
  <c r="J156" i="97"/>
  <c r="K156" i="97" s="1"/>
  <c r="J114" i="97"/>
  <c r="K114" i="97" s="1"/>
  <c r="J245" i="97"/>
  <c r="K245" i="97" s="1"/>
  <c r="J24" i="97"/>
  <c r="K24" i="97" s="1"/>
  <c r="J59" i="97"/>
  <c r="K59" i="97" s="1"/>
  <c r="F2104" i="23"/>
  <c r="F2103" i="23"/>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251" i="97"/>
  <c r="K251"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62" i="97"/>
  <c r="K62" i="97" s="1"/>
  <c r="J113" i="97"/>
  <c r="K113" i="97" s="1"/>
  <c r="J178" i="97"/>
  <c r="K178" i="97" s="1"/>
  <c r="J179" i="97"/>
  <c r="K179" i="97" s="1"/>
  <c r="J48" i="97"/>
  <c r="K48" i="97" s="1"/>
  <c r="J25" i="97"/>
  <c r="K25" i="97" s="1"/>
  <c r="J260" i="97"/>
  <c r="K260" i="97" s="1"/>
  <c r="J129" i="97"/>
  <c r="K129" i="97" s="1"/>
  <c r="J152" i="97"/>
  <c r="K152" i="97" s="1"/>
  <c r="J76" i="97"/>
  <c r="K76" i="97" s="1"/>
  <c r="J60" i="97"/>
  <c r="K60" i="97" s="1"/>
  <c r="J31" i="97"/>
  <c r="K31" i="97" s="1"/>
  <c r="J8" i="97"/>
  <c r="K8" i="97" s="1"/>
  <c r="J206" i="97"/>
  <c r="K206" i="97" s="1"/>
  <c r="J6" i="97"/>
  <c r="K6" i="97" s="1"/>
  <c r="J17" i="97"/>
  <c r="K17" i="97" s="1"/>
  <c r="J52" i="97"/>
  <c r="K52" i="97" s="1"/>
  <c r="J9" i="97"/>
  <c r="K9" i="97" s="1"/>
  <c r="J131" i="97"/>
  <c r="K131" i="97" s="1"/>
  <c r="J108" i="97"/>
  <c r="K108" i="97" s="1"/>
  <c r="J83" i="97"/>
  <c r="K83" i="97" s="1"/>
  <c r="J74" i="97"/>
  <c r="K74" i="97" s="1"/>
  <c r="J134" i="97"/>
  <c r="K134" i="97" s="1"/>
  <c r="J128" i="97"/>
  <c r="K128" i="97" s="1"/>
  <c r="J265" i="97"/>
  <c r="K265" i="97" s="1"/>
  <c r="J235" i="97"/>
  <c r="K235" i="97" s="1"/>
  <c r="J213" i="97"/>
  <c r="K213" i="97" s="1"/>
  <c r="J166" i="97"/>
  <c r="K166" i="97" s="1"/>
  <c r="J226" i="97"/>
  <c r="K226" i="97" s="1"/>
  <c r="J201" i="97"/>
  <c r="K201" i="97" s="1"/>
  <c r="J70" i="97"/>
  <c r="K70" i="97" s="1"/>
  <c r="J186" i="97"/>
  <c r="K186" i="97" s="1"/>
  <c r="J123" i="97"/>
  <c r="K123" i="97" s="1"/>
  <c r="J98" i="97"/>
  <c r="K98" i="97" s="1"/>
  <c r="J124" i="97"/>
  <c r="K124" i="97" s="1"/>
  <c r="J7" i="97"/>
  <c r="K7" i="97" s="1"/>
  <c r="J136" i="97"/>
  <c r="K136" i="97" s="1"/>
  <c r="J54" i="97"/>
  <c r="K54" i="97" s="1"/>
  <c r="J249" i="97"/>
  <c r="K249" i="97" s="1"/>
  <c r="J191" i="97"/>
  <c r="K191" i="97" s="1"/>
  <c r="J225" i="97"/>
  <c r="K225" i="97" s="1"/>
  <c r="J196" i="97"/>
  <c r="K196" i="97" s="1"/>
  <c r="J3" i="97"/>
  <c r="K3" i="97" s="1"/>
  <c r="J162" i="97"/>
  <c r="K162" i="97" s="1"/>
  <c r="J163" i="97"/>
  <c r="K163" i="97" s="1"/>
  <c r="J96" i="97"/>
  <c r="K96" i="97" s="1"/>
  <c r="J112" i="97"/>
  <c r="K112" i="97" s="1"/>
  <c r="J125" i="97"/>
  <c r="K125" i="97" s="1"/>
  <c r="J151" i="97"/>
  <c r="K151" i="97" s="1"/>
  <c r="J236" i="97"/>
  <c r="K236" i="97" s="1"/>
  <c r="J244" i="97"/>
  <c r="K244" i="97" s="1"/>
  <c r="J172" i="97"/>
  <c r="K172" i="97" s="1"/>
  <c r="J13" i="97"/>
  <c r="K13" i="97" s="1"/>
  <c r="J227" i="97"/>
  <c r="K227" i="97" s="1"/>
  <c r="J94" i="97"/>
  <c r="K94" i="97" s="1"/>
  <c r="J119" i="97"/>
  <c r="K119" i="97" s="1"/>
  <c r="J110" i="97"/>
  <c r="K110" i="97" s="1"/>
  <c r="J77" i="97"/>
  <c r="K77" i="97" s="1"/>
  <c r="J44" i="97"/>
  <c r="K44" i="97" s="1"/>
  <c r="J115" i="97"/>
  <c r="K115" i="97" s="1"/>
  <c r="J5" i="97"/>
  <c r="K5" i="97" s="1"/>
  <c r="J266" i="97"/>
  <c r="K266" i="97" s="1"/>
  <c r="J184" i="97"/>
  <c r="K184" i="97" s="1"/>
  <c r="J259" i="97"/>
  <c r="K259" i="97" s="1"/>
  <c r="J188" i="97"/>
  <c r="K188" i="97" s="1"/>
  <c r="J132" i="97"/>
  <c r="K132" i="97" s="1"/>
  <c r="J168" i="97"/>
  <c r="K168" i="97" s="1"/>
  <c r="J147" i="97"/>
  <c r="K147" i="97" s="1"/>
  <c r="J161" i="97"/>
  <c r="K161" i="97" s="1"/>
  <c r="J26" i="97"/>
  <c r="K26" i="97" s="1"/>
  <c r="J61" i="97"/>
  <c r="K61" i="97" s="1"/>
  <c r="J180" i="97"/>
  <c r="K180" i="97" s="1"/>
  <c r="J51" i="97"/>
  <c r="K51" i="97" s="1"/>
  <c r="J220" i="97"/>
  <c r="K220" i="97" s="1"/>
  <c r="J36" i="97"/>
  <c r="K36" i="97" s="1"/>
  <c r="J165" i="97"/>
  <c r="K165" i="97" s="1"/>
  <c r="J173" i="97"/>
  <c r="K173" i="97" s="1"/>
  <c r="J209" i="97"/>
  <c r="K209" i="97" s="1"/>
  <c r="J171" i="97"/>
  <c r="K171" i="97" s="1"/>
  <c r="J246" i="97"/>
  <c r="K246" i="97" s="1"/>
  <c r="J75" i="97"/>
  <c r="K75" i="97" s="1"/>
  <c r="J210" i="97"/>
  <c r="K210" i="97" s="1"/>
  <c r="J242" i="97"/>
  <c r="K242" i="97" s="1"/>
  <c r="J14" i="97"/>
  <c r="K14" i="97" s="1"/>
  <c r="J120" i="97"/>
  <c r="K120" i="97" s="1"/>
  <c r="J185" i="97"/>
  <c r="K185" i="97" s="1"/>
  <c r="J104" i="97"/>
  <c r="K104" i="97" s="1"/>
  <c r="J135" i="97"/>
  <c r="K135" i="97" s="1"/>
  <c r="J82" i="97"/>
  <c r="K82" i="97" s="1"/>
  <c r="J57" i="97"/>
  <c r="K57" i="97" s="1"/>
  <c r="J64" i="97"/>
  <c r="K64" i="97" s="1"/>
  <c r="J4" i="97"/>
  <c r="K4" i="97" s="1"/>
  <c r="J267" i="97"/>
  <c r="K267" i="97" s="1"/>
  <c r="J248" i="97"/>
  <c r="K248" i="97" s="1"/>
  <c r="J231" i="97"/>
  <c r="K231" i="97" s="1"/>
  <c r="J158" i="97"/>
  <c r="K158" i="97" s="1"/>
  <c r="J150" i="97"/>
  <c r="K150" i="97" s="1"/>
  <c r="J53" i="97"/>
  <c r="K53" i="97" s="1"/>
  <c r="J240" i="97"/>
  <c r="K240" i="97" s="1"/>
  <c r="J19" i="97"/>
  <c r="K19" i="97" s="1"/>
  <c r="J243" i="97"/>
  <c r="K243" i="97" s="1"/>
  <c r="J187" i="97"/>
  <c r="K187" i="97" s="1"/>
  <c r="J207" i="97"/>
  <c r="K207" i="97" s="1"/>
  <c r="J215" i="97"/>
  <c r="K215" i="97" s="1"/>
  <c r="J21" i="97"/>
  <c r="K21" i="97" s="1"/>
  <c r="J89" i="97"/>
  <c r="K89" i="97" s="1"/>
  <c r="J40" i="97"/>
  <c r="K40" i="97" s="1"/>
  <c r="J148" i="97"/>
  <c r="K148" i="97" s="1"/>
  <c r="J73" i="97"/>
  <c r="K73" i="97" s="1"/>
  <c r="J16" i="97"/>
  <c r="K16" i="97" s="1"/>
  <c r="J140" i="97"/>
  <c r="K140" i="97" s="1"/>
  <c r="J224" i="97"/>
  <c r="K224" i="97" s="1"/>
  <c r="J234" i="97"/>
  <c r="K234" i="97" s="1"/>
  <c r="J194" i="97"/>
  <c r="K194" i="97" s="1"/>
  <c r="J193" i="97"/>
  <c r="K193" i="97" s="1"/>
  <c r="J200" i="97"/>
  <c r="K200" i="97" s="1"/>
  <c r="J69" i="97"/>
  <c r="K69" i="97" s="1"/>
  <c r="J10" i="97"/>
  <c r="K10" i="97" s="1"/>
  <c r="J254" i="97"/>
  <c r="K254" i="97" s="1"/>
  <c r="J133" i="97"/>
  <c r="K133" i="97" s="1"/>
  <c r="J141" i="97"/>
  <c r="K141" i="97" s="1"/>
  <c r="J50" i="97"/>
  <c r="K50" i="97" s="1"/>
  <c r="J202" i="97"/>
  <c r="K202" i="97" s="1"/>
  <c r="J79" i="97"/>
  <c r="K79" i="97" s="1"/>
  <c r="J268" i="97"/>
  <c r="K268" i="97" s="1"/>
  <c r="J252" i="97"/>
  <c r="K252" i="97" s="1"/>
  <c r="J122" i="97"/>
  <c r="K122" i="97" s="1"/>
  <c r="J155" i="97"/>
  <c r="K155" i="97" s="1"/>
  <c r="J56" i="97"/>
  <c r="K56" i="97" s="1"/>
  <c r="J22" i="97"/>
  <c r="K22" i="97" s="1"/>
  <c r="J99" i="97"/>
  <c r="K99" i="97" s="1"/>
  <c r="J214" i="97"/>
  <c r="K214" i="97" s="1"/>
  <c r="J164" i="97"/>
  <c r="K164" i="97" s="1"/>
  <c r="J177" i="97"/>
  <c r="K177" i="97" s="1"/>
  <c r="J43" i="97"/>
  <c r="K43" i="97" s="1"/>
  <c r="J65" i="97"/>
  <c r="K65" i="97" s="1"/>
  <c r="J23" i="97"/>
  <c r="K23" i="97" s="1"/>
  <c r="J12" i="97"/>
  <c r="K12" i="97" s="1"/>
  <c r="J116" i="97"/>
  <c r="K116" i="97" s="1"/>
  <c r="J192" i="97"/>
  <c r="K192" i="97" s="1"/>
  <c r="J86" i="97"/>
  <c r="K86" i="97" s="1"/>
  <c r="J88" i="97"/>
  <c r="K88" i="97" s="1"/>
  <c r="J30" i="97"/>
  <c r="K30" i="97" s="1"/>
  <c r="J263" i="97"/>
  <c r="K263" i="97" s="1"/>
  <c r="J139" i="97"/>
  <c r="K139" i="97" s="1"/>
  <c r="J160" i="97"/>
  <c r="K160" i="97" s="1"/>
  <c r="J181" i="97"/>
  <c r="K181" i="97" s="1"/>
  <c r="J92" i="97"/>
  <c r="K92" i="97" s="1"/>
  <c r="J144" i="97"/>
  <c r="K144" i="97" s="1"/>
  <c r="J228" i="97"/>
  <c r="K228" i="97" s="1"/>
  <c r="J130" i="97"/>
  <c r="K130" i="97" s="1"/>
  <c r="J169" i="97"/>
  <c r="K169" i="97" s="1"/>
  <c r="J63" i="97"/>
  <c r="K63" i="97" s="1"/>
  <c r="J143" i="97"/>
  <c r="K143" i="97" s="1"/>
  <c r="J109" i="97"/>
  <c r="K109" i="97" s="1"/>
  <c r="J203" i="97"/>
  <c r="K203" i="97" s="1"/>
  <c r="J78" i="97"/>
  <c r="K78" i="97" s="1"/>
  <c r="J256" i="97"/>
  <c r="K256" i="97" s="1"/>
  <c r="J159" i="97"/>
  <c r="K159" i="97" s="1"/>
  <c r="J41" i="97"/>
  <c r="K41" i="97" s="1"/>
  <c r="J81" i="97"/>
  <c r="K81" i="97" s="1"/>
  <c r="J93" i="97"/>
  <c r="K93" i="97" s="1"/>
  <c r="J183" i="97"/>
  <c r="K183" i="97" s="1"/>
  <c r="J97" i="97"/>
  <c r="K97" i="97" s="1"/>
  <c r="J216" i="97"/>
  <c r="K216" i="97" s="1"/>
  <c r="J126" i="97"/>
  <c r="K126" i="97" s="1"/>
  <c r="J195" i="97"/>
  <c r="K195" i="97" s="1"/>
  <c r="J142" i="97"/>
  <c r="K142" i="97" s="1"/>
  <c r="J199" i="97"/>
  <c r="K199" i="97" s="1"/>
  <c r="J197" i="97"/>
  <c r="K197" i="97" s="1"/>
  <c r="J87" i="97"/>
  <c r="K87" i="97" s="1"/>
  <c r="J241" i="97"/>
  <c r="K241" i="97" s="1"/>
  <c r="J174" i="97"/>
  <c r="K174" i="97" s="1"/>
  <c r="J223" i="97"/>
  <c r="K223" i="97" s="1"/>
  <c r="J38" i="97"/>
  <c r="K38" i="97" s="1"/>
  <c r="J217" i="97"/>
  <c r="K217" i="97" s="1"/>
  <c r="J37" i="97"/>
  <c r="K37" i="97" s="1"/>
  <c r="J121" i="97"/>
  <c r="K121" i="97" s="1"/>
  <c r="J103" i="97"/>
  <c r="K103" i="97" s="1"/>
  <c r="J167" i="97"/>
  <c r="K167" i="97" s="1"/>
  <c r="J66" i="97"/>
  <c r="K66" i="97" s="1"/>
  <c r="J71" i="97"/>
  <c r="K71" i="97" s="1"/>
  <c r="J111" i="97"/>
  <c r="K111" i="97" s="1"/>
  <c r="J212" i="97"/>
  <c r="K212" i="97" s="1"/>
  <c r="J146" i="97"/>
  <c r="K146" i="97" s="1"/>
  <c r="J153" i="97"/>
  <c r="K153" i="97" s="1"/>
  <c r="J127" i="97"/>
  <c r="K127" i="97" s="1"/>
  <c r="J106" i="97"/>
  <c r="K106" i="97" s="1"/>
  <c r="J137" i="97"/>
  <c r="K137" i="97" s="1"/>
  <c r="J102" i="97"/>
  <c r="K102" i="97" s="1"/>
  <c r="J170" i="97"/>
  <c r="K170" i="97" s="1"/>
  <c r="J29" i="97"/>
  <c r="K29" i="97" s="1"/>
  <c r="J15" i="97"/>
  <c r="K15" i="97" s="1"/>
  <c r="J176" i="97"/>
  <c r="K176" i="97" s="1"/>
  <c r="J149" i="97"/>
  <c r="K149" i="97" s="1"/>
  <c r="J95" i="97"/>
  <c r="K95" i="97" s="1"/>
  <c r="J198" i="97"/>
  <c r="K198" i="97" s="1"/>
  <c r="J237" i="97"/>
  <c r="K237" i="97" s="1"/>
  <c r="J247" i="97"/>
  <c r="K247" i="97" s="1"/>
  <c r="J67" i="97"/>
  <c r="K67" i="97" s="1"/>
  <c r="J18" i="97"/>
  <c r="K18" i="97" s="1"/>
  <c r="J145" i="97"/>
  <c r="K145" i="97" s="1"/>
  <c r="J229" i="97"/>
  <c r="K229" i="97" s="1"/>
  <c r="J11" i="97"/>
  <c r="K11" i="97" s="1"/>
  <c r="J117" i="97"/>
  <c r="K117" i="97" s="1"/>
  <c r="J85" i="97"/>
  <c r="K85" i="97" s="1"/>
  <c r="J100" i="97"/>
  <c r="K100" i="97" s="1"/>
  <c r="J118" i="97"/>
  <c r="K118" i="97" s="1"/>
  <c r="J230" i="97"/>
  <c r="K230" i="97" s="1"/>
  <c r="J264" i="97"/>
  <c r="K264" i="97" s="1"/>
  <c r="J72" i="97"/>
  <c r="K72" i="97" s="1"/>
  <c r="J80" i="97"/>
  <c r="K80" i="97" s="1"/>
  <c r="J68" i="97"/>
  <c r="K68" i="97" s="1"/>
  <c r="J208" i="97"/>
  <c r="K208"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8" i="1"/>
  <c r="G78" i="97" s="1"/>
  <c r="F2328" i="1"/>
  <c r="F78" i="97" s="1"/>
  <c r="E2328" i="1"/>
  <c r="E78" i="97" s="1"/>
  <c r="G1954" i="1"/>
  <c r="F1955" i="1"/>
  <c r="G1955" i="1"/>
  <c r="F1954" i="1"/>
  <c r="F974" i="1"/>
  <c r="F158" i="97" s="1"/>
  <c r="F975" i="1"/>
  <c r="J261" i="97"/>
  <c r="K261" i="97" s="1"/>
  <c r="E5" i="110"/>
  <c r="F865" i="1"/>
  <c r="F155" i="97" s="1"/>
  <c r="F875" i="1"/>
  <c r="F163" i="97" s="1"/>
  <c r="F876" i="1"/>
  <c r="F156" i="97" s="1"/>
  <c r="G897" i="23"/>
  <c r="F909" i="23"/>
  <c r="E908" i="23"/>
  <c r="E909" i="23"/>
  <c r="F897" i="23"/>
  <c r="G909" i="23"/>
  <c r="G908" i="23"/>
  <c r="E897" i="23"/>
  <c r="F908" i="23"/>
  <c r="F904" i="23"/>
  <c r="G904" i="23"/>
  <c r="E904" i="23"/>
  <c r="F370" i="1"/>
  <c r="F260" i="97" s="1"/>
  <c r="F364" i="1"/>
  <c r="F360" i="1"/>
  <c r="F362" i="1"/>
  <c r="F361" i="1"/>
  <c r="F363" i="1"/>
  <c r="G361" i="1"/>
  <c r="E360" i="1"/>
  <c r="G360" i="1"/>
  <c r="G363" i="1"/>
  <c r="E361" i="1"/>
  <c r="E363" i="1"/>
  <c r="D5" i="26"/>
  <c r="AO2" i="96"/>
  <c r="AN2" i="96"/>
  <c r="E982" i="23"/>
  <c r="F1147" i="23"/>
  <c r="F1123" i="23"/>
  <c r="F1125" i="23"/>
  <c r="F1148" i="23"/>
  <c r="E413" i="15"/>
  <c r="J413" i="15"/>
  <c r="E403" i="15"/>
  <c r="J403" i="15"/>
  <c r="G1125" i="23"/>
  <c r="G1148" i="23"/>
  <c r="E1176" i="15"/>
  <c r="J1176" i="15"/>
  <c r="G1123" i="23"/>
  <c r="E1177" i="15"/>
  <c r="J1177" i="15"/>
  <c r="E1077" i="23"/>
  <c r="F1077" i="23"/>
  <c r="E1124" i="23"/>
  <c r="E1147" i="23"/>
  <c r="E414" i="15"/>
  <c r="J414" i="15"/>
  <c r="G1077" i="23"/>
  <c r="F1124" i="23"/>
  <c r="E411" i="15"/>
  <c r="J411" i="15"/>
  <c r="E402" i="15"/>
  <c r="J402" i="15"/>
  <c r="E404" i="15"/>
  <c r="J404" i="15"/>
  <c r="E410" i="15"/>
  <c r="J410" i="15"/>
  <c r="E405" i="15"/>
  <c r="J405" i="15"/>
  <c r="E1175" i="15"/>
  <c r="J1175" i="15"/>
  <c r="G1147" i="23"/>
  <c r="E1180" i="15"/>
  <c r="J1180" i="15"/>
  <c r="E1178" i="15"/>
  <c r="J1178" i="15"/>
  <c r="G1124" i="23"/>
  <c r="E1174" i="15"/>
  <c r="J1174" i="15"/>
  <c r="E1179" i="15"/>
  <c r="J1179"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3" i="1"/>
  <c r="E905" i="1"/>
  <c r="E906" i="1"/>
  <c r="G659" i="1"/>
  <c r="G1933" i="1"/>
  <c r="G905" i="1"/>
  <c r="F906" i="1"/>
  <c r="E908" i="1"/>
  <c r="F656" i="1"/>
  <c r="F658" i="1"/>
  <c r="E660" i="1"/>
  <c r="F905" i="1"/>
  <c r="F908" i="1"/>
  <c r="G656" i="1"/>
  <c r="G658" i="1"/>
  <c r="F660" i="1"/>
  <c r="E907" i="1"/>
  <c r="G908" i="1"/>
  <c r="G660" i="1"/>
  <c r="F1932" i="1"/>
  <c r="F899" i="1"/>
  <c r="F907" i="1"/>
  <c r="G1932" i="1"/>
  <c r="G899" i="1"/>
  <c r="G907" i="1"/>
  <c r="E659" i="1"/>
  <c r="E661" i="1"/>
  <c r="F659" i="1"/>
  <c r="G661" i="1"/>
  <c r="E662" i="1"/>
  <c r="F662" i="1"/>
  <c r="G662" i="1"/>
  <c r="F661" i="1"/>
  <c r="F900" i="1"/>
  <c r="F953" i="1"/>
  <c r="F160" i="97" s="1"/>
  <c r="F954" i="1"/>
  <c r="F153" i="97" s="1"/>
  <c r="F963" i="1"/>
  <c r="F161" i="97" s="1"/>
  <c r="F964" i="1"/>
  <c r="F154" i="97" s="1"/>
  <c r="F889" i="1"/>
  <c r="I658" i="1"/>
  <c r="O659" i="1"/>
  <c r="N659" i="1"/>
  <c r="O658" i="1"/>
  <c r="M659" i="1"/>
  <c r="N658" i="1"/>
  <c r="M658" i="1"/>
  <c r="J659" i="1"/>
  <c r="I899" i="1"/>
  <c r="M900" i="1"/>
  <c r="J899" i="1"/>
  <c r="D907" i="1"/>
  <c r="D906" i="1" s="1"/>
  <c r="M899" i="1"/>
  <c r="G2" i="114"/>
  <c r="F2" i="114"/>
  <c r="F169" i="97" l="1"/>
  <c r="H8" i="114"/>
  <c r="G167" i="97"/>
  <c r="I9" i="114"/>
  <c r="F167" i="97"/>
  <c r="H9" i="114"/>
  <c r="G169" i="97"/>
  <c r="I8" i="114"/>
  <c r="F228" i="97"/>
  <c r="D34" i="130"/>
  <c r="F227" i="97"/>
  <c r="D33" i="130"/>
  <c r="F186" i="97"/>
  <c r="D37" i="130"/>
  <c r="F232" i="97"/>
  <c r="D21" i="130"/>
  <c r="F229" i="97"/>
  <c r="D35" i="130"/>
  <c r="F150" i="97"/>
  <c r="F151" i="97"/>
  <c r="G187" i="97"/>
  <c r="G206" i="97"/>
  <c r="G199" i="97"/>
  <c r="G195" i="97"/>
  <c r="G136" i="97"/>
  <c r="G76" i="97"/>
  <c r="F76" i="97"/>
  <c r="D36" i="109"/>
  <c r="D123" i="109"/>
  <c r="E36" i="109"/>
  <c r="E123" i="109"/>
  <c r="E44" i="105"/>
  <c r="D8" i="107"/>
  <c r="F44" i="105"/>
  <c r="E8" i="107"/>
  <c r="K12" i="109"/>
  <c r="D6" i="26"/>
  <c r="AP2" i="96"/>
  <c r="K8" i="109"/>
  <c r="K9" i="109"/>
  <c r="K10" i="109"/>
  <c r="K11" i="109"/>
  <c r="K5" i="109"/>
  <c r="K7" i="109"/>
  <c r="K4" i="109"/>
  <c r="K6" i="109"/>
  <c r="M5" i="109" l="1"/>
  <c r="M11" i="109"/>
  <c r="M12" i="109"/>
  <c r="M10" i="109"/>
  <c r="M6" i="109"/>
  <c r="M9" i="109"/>
  <c r="M4" i="109"/>
  <c r="M8" i="109"/>
  <c r="M7" i="109"/>
  <c r="AQ2" i="96"/>
  <c r="D7" i="26"/>
  <c r="I357" i="23"/>
  <c r="A357" i="23" s="1"/>
  <c r="H364" i="23"/>
  <c r="I366" i="23"/>
  <c r="A366" i="23" s="1"/>
  <c r="H365" i="23"/>
  <c r="I365" i="23" s="1"/>
  <c r="A365" i="23" s="1"/>
  <c r="G337" i="23"/>
  <c r="F337" i="23"/>
  <c r="E337" i="23"/>
  <c r="G322" i="23"/>
  <c r="F322" i="23"/>
  <c r="E322" i="23"/>
  <c r="G320" i="23"/>
  <c r="F320" i="23"/>
  <c r="E320" i="23"/>
  <c r="D8" i="26" l="1"/>
  <c r="AR2" i="96"/>
  <c r="I364" i="23"/>
  <c r="A364" i="23" s="1"/>
  <c r="D9" i="26" l="1"/>
  <c r="AS2" i="96"/>
  <c r="D31" i="113"/>
  <c r="D45" i="113"/>
  <c r="G44" i="113"/>
  <c r="D44" i="113"/>
  <c r="G43" i="113"/>
  <c r="G42" i="113"/>
  <c r="G41" i="113"/>
  <c r="D29" i="113"/>
  <c r="D30" i="113"/>
  <c r="AC3" i="96"/>
  <c r="F1930" i="1"/>
  <c r="D1859" i="1"/>
  <c r="I963" i="1"/>
  <c r="J963" i="1"/>
  <c r="M963" i="1"/>
  <c r="N963" i="1"/>
  <c r="O963" i="1"/>
  <c r="I953" i="1"/>
  <c r="J953" i="1"/>
  <c r="M953" i="1"/>
  <c r="N953" i="1"/>
  <c r="O953" i="1"/>
  <c r="D647" i="1"/>
  <c r="D204" i="97" s="1"/>
  <c r="D10" i="26" l="1"/>
  <c r="AT2" i="96"/>
  <c r="G1636" i="23"/>
  <c r="F1636" i="23"/>
  <c r="E1636" i="23"/>
  <c r="E1637" i="23"/>
  <c r="F1637" i="23"/>
  <c r="G1637" i="23"/>
  <c r="H1637" i="23"/>
  <c r="G1638" i="23"/>
  <c r="F1638" i="23"/>
  <c r="E1638" i="23"/>
  <c r="G1606" i="23"/>
  <c r="F1606" i="23"/>
  <c r="E1606" i="23"/>
  <c r="G1600" i="23"/>
  <c r="F1600" i="23"/>
  <c r="E1600" i="23"/>
  <c r="AU2" i="96" l="1"/>
  <c r="D11" i="26"/>
  <c r="AV2" i="96" s="1"/>
  <c r="D46" i="113"/>
  <c r="C7" i="26"/>
  <c r="C6" i="26"/>
  <c r="C5" i="26"/>
  <c r="C4" i="26"/>
  <c r="C3" i="26"/>
  <c r="CB2" i="18" l="1"/>
  <c r="CC2" i="18"/>
  <c r="CD2" i="18"/>
  <c r="CE2" i="18"/>
  <c r="CF2" i="18"/>
  <c r="CB3" i="18"/>
  <c r="CC3" i="18"/>
  <c r="CD3" i="18"/>
  <c r="CE3" i="18"/>
  <c r="CF3" i="18"/>
  <c r="T1772" i="1"/>
  <c r="T1773" i="1"/>
  <c r="P1794" i="1"/>
  <c r="P1797" i="1"/>
  <c r="P1800" i="1"/>
  <c r="P1808" i="1"/>
  <c r="P1812" i="1"/>
  <c r="P1819" i="1"/>
  <c r="P1823" i="1"/>
  <c r="P1827" i="1"/>
  <c r="P1833" i="1"/>
  <c r="P1850" i="1"/>
  <c r="P1857" i="1"/>
  <c r="P1890" i="1"/>
  <c r="P1891" i="1"/>
  <c r="P1892" i="1"/>
  <c r="P1893" i="1"/>
  <c r="P1894" i="1"/>
  <c r="P1895" i="1"/>
  <c r="P1896" i="1"/>
  <c r="P1897" i="1"/>
  <c r="P1898" i="1"/>
  <c r="P1899" i="1"/>
  <c r="P1900" i="1"/>
  <c r="P1901" i="1"/>
  <c r="P1902" i="1"/>
  <c r="P1903" i="1"/>
  <c r="P1904" i="1"/>
  <c r="P1905" i="1"/>
  <c r="P1906" i="1"/>
  <c r="I109" i="97"/>
  <c r="P1908" i="1"/>
  <c r="P1909" i="1"/>
  <c r="P1910" i="1"/>
  <c r="P1911" i="1"/>
  <c r="P1912" i="1"/>
  <c r="P1913" i="1"/>
  <c r="P1914" i="1"/>
  <c r="P1915" i="1"/>
  <c r="P1916" i="1"/>
  <c r="P1917" i="1"/>
  <c r="P1919" i="1"/>
  <c r="P1920" i="1"/>
  <c r="P1921" i="1"/>
  <c r="P1922" i="1"/>
  <c r="P1923" i="1"/>
  <c r="P1926" i="1"/>
  <c r="I124" i="97"/>
  <c r="I228" i="97" l="1"/>
  <c r="G34" i="130"/>
  <c r="I201" i="97"/>
  <c r="G32" i="130"/>
  <c r="P1796" i="1"/>
  <c r="I52" i="97" s="1"/>
  <c r="P1795" i="1"/>
  <c r="I145" i="97" s="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4" i="15"/>
  <c r="B905" i="23"/>
  <c r="F902" i="23"/>
  <c r="B901" i="23"/>
  <c r="B900" i="23"/>
  <c r="B899" i="23"/>
  <c r="B898" i="23"/>
  <c r="G894" i="23"/>
  <c r="F894" i="23"/>
  <c r="E894" i="23"/>
  <c r="F893" i="23"/>
  <c r="F895" i="23"/>
  <c r="E1019" i="15"/>
  <c r="G837" i="23"/>
  <c r="F837" i="23"/>
  <c r="E837" i="23"/>
  <c r="H828" i="23"/>
  <c r="G828" i="23"/>
  <c r="F828" i="23"/>
  <c r="E828" i="23"/>
  <c r="H822" i="23"/>
  <c r="H2061" i="1"/>
  <c r="H2087" i="1"/>
  <c r="G1990" i="1"/>
  <c r="F1990" i="1"/>
  <c r="E1990" i="1"/>
  <c r="G1989" i="1"/>
  <c r="F1989" i="1"/>
  <c r="E1989" i="1"/>
  <c r="M1818" i="1"/>
  <c r="M1817"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5" i="1" l="1"/>
  <c r="F2085" i="1"/>
  <c r="L10" i="18"/>
  <c r="P2085"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71" i="1"/>
  <c r="F2371" i="1"/>
  <c r="C154" i="33" s="1"/>
  <c r="G2371" i="1"/>
  <c r="D154" i="33" s="1"/>
  <c r="D2366" i="1"/>
  <c r="E2367" i="1"/>
  <c r="F2367" i="1"/>
  <c r="C152" i="33" s="1"/>
  <c r="G2367" i="1"/>
  <c r="D152" i="33" s="1"/>
  <c r="E2368" i="1"/>
  <c r="F2368" i="1"/>
  <c r="G2368" i="1"/>
  <c r="E2096" i="1"/>
  <c r="F2096" i="1"/>
  <c r="G2096" i="1"/>
  <c r="E2091" i="1"/>
  <c r="F2091" i="1"/>
  <c r="G2091" i="1"/>
  <c r="E2089" i="1"/>
  <c r="F2089" i="1"/>
  <c r="G2089" i="1"/>
  <c r="E2011" i="1"/>
  <c r="D2090" i="1" s="1"/>
  <c r="H2090" i="1" s="1"/>
  <c r="P2090" i="1" s="1"/>
  <c r="C2090" i="1" s="1"/>
  <c r="F2084" i="1"/>
  <c r="G2084" i="1"/>
  <c r="E2078" i="1"/>
  <c r="F2078" i="1"/>
  <c r="C144" i="33" s="1"/>
  <c r="G2078" i="1"/>
  <c r="D144" i="33" s="1"/>
  <c r="F2079" i="1"/>
  <c r="C145" i="33" s="1"/>
  <c r="G2079" i="1"/>
  <c r="D145" i="33" s="1"/>
  <c r="E2076" i="1"/>
  <c r="F2076" i="1"/>
  <c r="G2076" i="1"/>
  <c r="D143" i="33" s="1"/>
  <c r="F2062" i="1"/>
  <c r="G2062" i="1"/>
  <c r="D129" i="33" s="1"/>
  <c r="F2052" i="1"/>
  <c r="C119" i="33" s="1"/>
  <c r="G2052" i="1"/>
  <c r="D119" i="33" s="1"/>
  <c r="F2048" i="1"/>
  <c r="C115" i="33" s="1"/>
  <c r="F2049" i="1"/>
  <c r="C116" i="33" s="1"/>
  <c r="F2050" i="1"/>
  <c r="C117" i="33" s="1"/>
  <c r="F2022" i="1"/>
  <c r="F2023" i="1"/>
  <c r="F2024" i="1"/>
  <c r="F2025" i="1"/>
  <c r="F2012" i="1"/>
  <c r="G2012" i="1"/>
  <c r="F2013" i="1"/>
  <c r="G2013"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F26" i="97" s="1"/>
  <c r="G1108" i="1"/>
  <c r="G26" i="97" s="1"/>
  <c r="F1109" i="1"/>
  <c r="F90" i="97" s="1"/>
  <c r="G1109" i="1"/>
  <c r="G90" i="97" s="1"/>
  <c r="F1110" i="1"/>
  <c r="F88" i="97" s="1"/>
  <c r="G1110" i="1"/>
  <c r="G88" i="97" s="1"/>
  <c r="F1111" i="1"/>
  <c r="F30" i="97" s="1"/>
  <c r="G1111" i="1"/>
  <c r="G30" i="97" s="1"/>
  <c r="F1112" i="1"/>
  <c r="F45" i="97" s="1"/>
  <c r="G1112" i="1"/>
  <c r="G45" i="97" s="1"/>
  <c r="F1113" i="1"/>
  <c r="F218" i="97" s="1"/>
  <c r="G1113" i="1"/>
  <c r="G218" i="97" s="1"/>
  <c r="F766" i="1"/>
  <c r="G766" i="1"/>
  <c r="F767" i="1"/>
  <c r="G767" i="1"/>
  <c r="F245" i="1"/>
  <c r="F259" i="97" s="1"/>
  <c r="G245" i="1"/>
  <c r="G259" i="97" s="1"/>
  <c r="E246" i="1"/>
  <c r="E223" i="97" s="1"/>
  <c r="F246" i="1"/>
  <c r="F223" i="97" s="1"/>
  <c r="G246" i="1"/>
  <c r="G223"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0" i="1"/>
  <c r="F2370" i="1"/>
  <c r="E2370" i="1"/>
  <c r="CV94" i="18"/>
  <c r="CU94" i="18"/>
  <c r="CT94" i="18"/>
  <c r="CR94" i="18"/>
  <c r="D2079" i="1" s="1"/>
  <c r="H2079"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0" i="1"/>
  <c r="M1860" i="1"/>
  <c r="N1860" i="1"/>
  <c r="O1860" i="1"/>
  <c r="D1798" i="1"/>
  <c r="D1799" i="1"/>
  <c r="K1799" i="1" s="1"/>
  <c r="D1801" i="1"/>
  <c r="K1801" i="1" s="1"/>
  <c r="D1802" i="1"/>
  <c r="K1802" i="1" s="1"/>
  <c r="D1803" i="1"/>
  <c r="K1803" i="1" s="1"/>
  <c r="K1807" i="1"/>
  <c r="K1809" i="1"/>
  <c r="K1810" i="1"/>
  <c r="D1811" i="1"/>
  <c r="K1811" i="1" s="1"/>
  <c r="D1813" i="1"/>
  <c r="K1813" i="1" s="1"/>
  <c r="D1814" i="1"/>
  <c r="K1814" i="1" s="1"/>
  <c r="D1815" i="1"/>
  <c r="K1815" i="1" s="1"/>
  <c r="D1824" i="1"/>
  <c r="K1824" i="1" s="1"/>
  <c r="D1825" i="1"/>
  <c r="K1825" i="1" s="1"/>
  <c r="K1826" i="1"/>
  <c r="D1828" i="1"/>
  <c r="K1828" i="1" s="1"/>
  <c r="D1829" i="1"/>
  <c r="K1829" i="1" s="1"/>
  <c r="D1830" i="1"/>
  <c r="D1831" i="1"/>
  <c r="K1831" i="1" s="1"/>
  <c r="D1832" i="1"/>
  <c r="K1832" i="1" s="1"/>
  <c r="K1834" i="1"/>
  <c r="D1835" i="1"/>
  <c r="K1835" i="1" s="1"/>
  <c r="K1842" i="1"/>
  <c r="D1851" i="1"/>
  <c r="K1851" i="1" s="1"/>
  <c r="D1852" i="1"/>
  <c r="K1852" i="1" s="1"/>
  <c r="D1853" i="1"/>
  <c r="D1854" i="1"/>
  <c r="K1854" i="1" s="1"/>
  <c r="K1855" i="1"/>
  <c r="K1856"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7" i="1"/>
  <c r="F64" i="97" s="1"/>
  <c r="G1957" i="1"/>
  <c r="G64" i="97" s="1"/>
  <c r="F1931" i="1"/>
  <c r="G1931" i="1"/>
  <c r="F1928" i="1"/>
  <c r="G1928" i="1"/>
  <c r="F1927" i="1"/>
  <c r="G1927" i="1"/>
  <c r="F1924" i="1"/>
  <c r="G1924" i="1"/>
  <c r="F1925" i="1"/>
  <c r="G1925" i="1"/>
  <c r="F1918" i="1"/>
  <c r="G1918" i="1"/>
  <c r="E1777" i="1"/>
  <c r="E18" i="97" s="1"/>
  <c r="G1923" i="1"/>
  <c r="F1923" i="1"/>
  <c r="E1923" i="1"/>
  <c r="G1922" i="1"/>
  <c r="F1922" i="1"/>
  <c r="E1922" i="1"/>
  <c r="I1838" i="1"/>
  <c r="J1838" i="1"/>
  <c r="L1838" i="1"/>
  <c r="M1838" i="1"/>
  <c r="N1838" i="1"/>
  <c r="O1838" i="1"/>
  <c r="I1837" i="1"/>
  <c r="J1837" i="1"/>
  <c r="L1837" i="1"/>
  <c r="M1837" i="1"/>
  <c r="N1837" i="1"/>
  <c r="O1837" i="1"/>
  <c r="G1839" i="1"/>
  <c r="F1839"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5"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8" i="1"/>
  <c r="F2338" i="1"/>
  <c r="E2338" i="1"/>
  <c r="G2337" i="1"/>
  <c r="F2337" i="1"/>
  <c r="E2337" i="1"/>
  <c r="E7" i="97" s="1"/>
  <c r="D6" i="113"/>
  <c r="A2" i="91"/>
  <c r="H71" i="109"/>
  <c r="F2158" i="1"/>
  <c r="F2116" i="1"/>
  <c r="G2116" i="1"/>
  <c r="F2115"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5" i="15"/>
  <c r="G2077" i="1"/>
  <c r="F2077" i="1"/>
  <c r="E207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74" i="15"/>
  <c r="E992"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9" i="1" s="1"/>
  <c r="BP94" i="18"/>
  <c r="D2033" i="1" s="1"/>
  <c r="BQ94" i="18"/>
  <c r="BR94" i="18"/>
  <c r="BS94" i="18"/>
  <c r="D2026" i="1" s="1"/>
  <c r="BT94" i="18"/>
  <c r="D2043" i="1" s="1"/>
  <c r="D2044" i="1" s="1"/>
  <c r="H2044" i="1" s="1"/>
  <c r="BU94" i="18"/>
  <c r="D2047" i="1" s="1"/>
  <c r="D2051" i="1" s="1"/>
  <c r="BV94" i="18"/>
  <c r="D2037" i="1" s="1"/>
  <c r="BW94" i="18"/>
  <c r="D2053" i="1" s="1"/>
  <c r="D2055" i="1" s="1"/>
  <c r="BX94" i="18"/>
  <c r="D2014" i="1" s="1"/>
  <c r="BY94" i="18"/>
  <c r="D2017" i="1" s="1"/>
  <c r="BZ94" i="18"/>
  <c r="D2021" i="1" s="1"/>
  <c r="CA94" i="18"/>
  <c r="CC94" i="18"/>
  <c r="D2062" i="1" s="1"/>
  <c r="H2062" i="1" s="1"/>
  <c r="CD94" i="18"/>
  <c r="D2063" i="1" s="1"/>
  <c r="H2063" i="1" s="1"/>
  <c r="CE94" i="18"/>
  <c r="D2064" i="1" s="1"/>
  <c r="H2064" i="1" s="1"/>
  <c r="CF94" i="18"/>
  <c r="D2065" i="1" s="1"/>
  <c r="CG94" i="18"/>
  <c r="D2066" i="1" s="1"/>
  <c r="H2066" i="1" s="1"/>
  <c r="CH94" i="18"/>
  <c r="D2067" i="1" s="1"/>
  <c r="H2067" i="1" s="1"/>
  <c r="CI94" i="18"/>
  <c r="D2068" i="1" s="1"/>
  <c r="H2068" i="1" s="1"/>
  <c r="CJ94" i="18"/>
  <c r="D2069" i="1" s="1"/>
  <c r="H2069" i="1" s="1"/>
  <c r="CK94" i="18"/>
  <c r="D2070" i="1" s="1"/>
  <c r="CL94" i="18"/>
  <c r="D2071" i="1" s="1"/>
  <c r="H2071" i="1" s="1"/>
  <c r="CM94" i="18"/>
  <c r="D2072" i="1" s="1"/>
  <c r="H2072" i="1" s="1"/>
  <c r="CN94" i="18"/>
  <c r="D2073" i="1" s="1"/>
  <c r="H2073" i="1" s="1"/>
  <c r="CO94" i="18"/>
  <c r="CP94" i="18"/>
  <c r="CQ94" i="18"/>
  <c r="CW94" i="18"/>
  <c r="D2081" i="1" s="1"/>
  <c r="H2081" i="1" s="1"/>
  <c r="J94" i="18"/>
  <c r="B94" i="18"/>
  <c r="D94" i="18" s="1"/>
  <c r="B66" i="117"/>
  <c r="F1991"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3" i="1"/>
  <c r="P2303" i="1" s="1"/>
  <c r="F2323" i="1"/>
  <c r="F2321" i="1"/>
  <c r="F1988" i="1"/>
  <c r="F1986" i="1"/>
  <c r="I4" i="110"/>
  <c r="H17" i="107"/>
  <c r="H9" i="107"/>
  <c r="H8" i="107"/>
  <c r="H7" i="107"/>
  <c r="H6" i="107"/>
  <c r="H5" i="107"/>
  <c r="H4" i="107"/>
  <c r="D850" i="1"/>
  <c r="E234" i="15"/>
  <c r="E1069" i="15"/>
  <c r="E311" i="15"/>
  <c r="D633" i="1"/>
  <c r="G2" i="41"/>
  <c r="G3" i="41" s="1"/>
  <c r="T1779" i="1" s="1"/>
  <c r="H2" i="41"/>
  <c r="H3" i="41" s="1"/>
  <c r="T1780" i="1" s="1"/>
  <c r="I99" i="41"/>
  <c r="I2" i="41" s="1"/>
  <c r="I3" i="41" s="1"/>
  <c r="J99" i="41"/>
  <c r="J2" i="41" s="1"/>
  <c r="J3" i="41" s="1"/>
  <c r="D1819"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93" i="1"/>
  <c r="G2424" i="1"/>
  <c r="G2423" i="1"/>
  <c r="G2422" i="1"/>
  <c r="G2421" i="1"/>
  <c r="G2240" i="1"/>
  <c r="G2239" i="1"/>
  <c r="G2238" i="1"/>
  <c r="G2104" i="1"/>
  <c r="G2103" i="1"/>
  <c r="G210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0"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4" i="1"/>
  <c r="F2423" i="1"/>
  <c r="F2422" i="1"/>
  <c r="F2421" i="1"/>
  <c r="F2240" i="1"/>
  <c r="F2239" i="1"/>
  <c r="F2238" i="1"/>
  <c r="F2104" i="1"/>
  <c r="F2103" i="1"/>
  <c r="F2102"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4" i="1"/>
  <c r="E2423" i="1"/>
  <c r="E2422" i="1"/>
  <c r="E2421" i="1"/>
  <c r="E2240" i="1"/>
  <c r="E2239" i="1"/>
  <c r="E2238" i="1"/>
  <c r="E2104" i="1"/>
  <c r="E2103" i="1"/>
  <c r="E2102"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0" i="15"/>
  <c r="E1271" i="15"/>
  <c r="E1272" i="15"/>
  <c r="E1273" i="15"/>
  <c r="E1274" i="15"/>
  <c r="E1275" i="15"/>
  <c r="E1276" i="15"/>
  <c r="E1277" i="15"/>
  <c r="E1278" i="15"/>
  <c r="E1279" i="15"/>
  <c r="E1280" i="15"/>
  <c r="H801" i="23"/>
  <c r="H802" i="23"/>
  <c r="F630" i="1"/>
  <c r="F1837" i="1"/>
  <c r="F10" i="97" s="1"/>
  <c r="B3" i="16"/>
  <c r="H332" i="23"/>
  <c r="F710" i="23"/>
  <c r="F2353" i="1"/>
  <c r="F2354"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129" i="97" s="1"/>
  <c r="G2598" i="23"/>
  <c r="G114" i="97" s="1"/>
  <c r="F2598" i="23"/>
  <c r="F114" i="97" s="1"/>
  <c r="E2598" i="23"/>
  <c r="E114" i="97" s="1"/>
  <c r="G2597" i="23"/>
  <c r="G171" i="97" s="1"/>
  <c r="F2597" i="23"/>
  <c r="F171" i="97" s="1"/>
  <c r="E2597" i="23"/>
  <c r="E171" i="97" s="1"/>
  <c r="G2596" i="23"/>
  <c r="G72" i="97" s="1"/>
  <c r="F2596" i="23"/>
  <c r="F72" i="97" s="1"/>
  <c r="E2596" i="23"/>
  <c r="E72" i="97" s="1"/>
  <c r="G2595" i="23"/>
  <c r="G125" i="97" s="1"/>
  <c r="F2595" i="23"/>
  <c r="F125" i="97" s="1"/>
  <c r="E2595" i="23"/>
  <c r="E125" i="97" s="1"/>
  <c r="G2594" i="23"/>
  <c r="G126" i="97" s="1"/>
  <c r="F2594" i="23"/>
  <c r="F126" i="97" s="1"/>
  <c r="E2594" i="23"/>
  <c r="E126" i="97" s="1"/>
  <c r="G2593" i="23"/>
  <c r="G62" i="97" s="1"/>
  <c r="F2593" i="23"/>
  <c r="F62" i="97" s="1"/>
  <c r="E2593" i="23"/>
  <c r="E62" i="97" s="1"/>
  <c r="G2592" i="23"/>
  <c r="G112" i="97" s="1"/>
  <c r="F2592" i="23"/>
  <c r="F112" i="97" s="1"/>
  <c r="E2592" i="23"/>
  <c r="E112" i="97" s="1"/>
  <c r="G2591" i="23"/>
  <c r="G132" i="97" s="1"/>
  <c r="F2591" i="23"/>
  <c r="F132" i="97" s="1"/>
  <c r="E2591" i="23"/>
  <c r="E132" i="97" s="1"/>
  <c r="G2590" i="23"/>
  <c r="G99" i="97" s="1"/>
  <c r="E2590" i="23"/>
  <c r="E99" i="97" s="1"/>
  <c r="G2589" i="23"/>
  <c r="G73" i="97" s="1"/>
  <c r="F2589" i="23"/>
  <c r="F73" i="97" s="1"/>
  <c r="E2589" i="23"/>
  <c r="E73" i="97" s="1"/>
  <c r="G2588" i="23"/>
  <c r="F2588" i="23"/>
  <c r="E2588" i="23"/>
  <c r="G2587" i="23"/>
  <c r="G142" i="97" s="1"/>
  <c r="F2587" i="23"/>
  <c r="F142" i="97" s="1"/>
  <c r="E2587" i="23"/>
  <c r="E142" i="97" s="1"/>
  <c r="G2586" i="23"/>
  <c r="G137" i="97" s="1"/>
  <c r="F2586" i="23"/>
  <c r="F137" i="97" s="1"/>
  <c r="E2586" i="23"/>
  <c r="E137" i="97" s="1"/>
  <c r="G2585" i="23"/>
  <c r="F2585" i="23"/>
  <c r="E2585" i="23"/>
  <c r="G2584" i="23"/>
  <c r="G92" i="97" s="1"/>
  <c r="F2584" i="23"/>
  <c r="F92" i="97" s="1"/>
  <c r="E2584" i="23"/>
  <c r="E92" i="97" s="1"/>
  <c r="G2583" i="23"/>
  <c r="G172" i="97" s="1"/>
  <c r="F2583" i="23"/>
  <c r="F172" i="97" s="1"/>
  <c r="E2583" i="23"/>
  <c r="E172" i="97" s="1"/>
  <c r="G2582" i="23"/>
  <c r="G28" i="97" s="1"/>
  <c r="F2582" i="23"/>
  <c r="F28" i="97" s="1"/>
  <c r="E2582" i="23"/>
  <c r="E28" i="97" s="1"/>
  <c r="G2581" i="23"/>
  <c r="F2581" i="23"/>
  <c r="E2581" i="23"/>
  <c r="G2580" i="23"/>
  <c r="G15" i="97" s="1"/>
  <c r="F2580" i="23"/>
  <c r="F15" i="97" s="1"/>
  <c r="E2580" i="23"/>
  <c r="E15" i="97" s="1"/>
  <c r="G2549" i="23"/>
  <c r="G207" i="97" s="1"/>
  <c r="F2549" i="23"/>
  <c r="F207" i="97" s="1"/>
  <c r="G2548" i="23"/>
  <c r="G61" i="97" s="1"/>
  <c r="F2548" i="23"/>
  <c r="F61" i="97" s="1"/>
  <c r="E2548" i="23"/>
  <c r="E61" i="97" s="1"/>
  <c r="G2547" i="23"/>
  <c r="G101" i="97" s="1"/>
  <c r="F2547" i="23"/>
  <c r="F101" i="97" s="1"/>
  <c r="E2547" i="23"/>
  <c r="E101" i="97" s="1"/>
  <c r="G2546" i="23"/>
  <c r="G113" i="97" s="1"/>
  <c r="F2546" i="23"/>
  <c r="F113" i="97" s="1"/>
  <c r="G2545" i="23"/>
  <c r="F2545" i="23"/>
  <c r="E2545" i="23"/>
  <c r="G2544" i="23"/>
  <c r="F2544" i="23"/>
  <c r="E2544" i="23"/>
  <c r="G2543" i="23"/>
  <c r="F2543" i="23"/>
  <c r="E2543" i="23"/>
  <c r="G2542" i="23"/>
  <c r="F2542" i="23"/>
  <c r="E2542" i="23"/>
  <c r="G2541" i="23"/>
  <c r="F2541" i="23"/>
  <c r="E2541" i="23"/>
  <c r="G2540" i="23"/>
  <c r="G140" i="97" s="1"/>
  <c r="F2540" i="23"/>
  <c r="F140" i="97" s="1"/>
  <c r="E2540" i="23"/>
  <c r="E140" i="97" s="1"/>
  <c r="G2539" i="23"/>
  <c r="F2539" i="23"/>
  <c r="E2539" i="23"/>
  <c r="G2538" i="23"/>
  <c r="F2538" i="23"/>
  <c r="E2538" i="23"/>
  <c r="G2537" i="23"/>
  <c r="F2537" i="23"/>
  <c r="E2537" i="23"/>
  <c r="G2536" i="23"/>
  <c r="F2536" i="23"/>
  <c r="E2536" i="23"/>
  <c r="G2535" i="23"/>
  <c r="G75" i="97" s="1"/>
  <c r="E2535" i="23"/>
  <c r="E75" i="97" s="1"/>
  <c r="G2533" i="23"/>
  <c r="G12" i="97" s="1"/>
  <c r="E2533" i="23"/>
  <c r="E12" i="97" s="1"/>
  <c r="G2530" i="23"/>
  <c r="F2530" i="23"/>
  <c r="E2530" i="23"/>
  <c r="G2529" i="23"/>
  <c r="F2529" i="23"/>
  <c r="E2529" i="23"/>
  <c r="G2526" i="23"/>
  <c r="F2526" i="23"/>
  <c r="E2526" i="23"/>
  <c r="G2522" i="23"/>
  <c r="G93" i="97" s="1"/>
  <c r="F2522" i="23"/>
  <c r="F93" i="97" s="1"/>
  <c r="E2522" i="23"/>
  <c r="E93" i="97" s="1"/>
  <c r="G2521" i="23"/>
  <c r="G8" i="97" s="1"/>
  <c r="F2521" i="23"/>
  <c r="F8" i="97" s="1"/>
  <c r="E2521" i="23"/>
  <c r="E8" i="97" s="1"/>
  <c r="G2516" i="23"/>
  <c r="F2516" i="23"/>
  <c r="E2516" i="23"/>
  <c r="E116" i="97" s="1"/>
  <c r="G2515" i="23"/>
  <c r="F2515" i="23"/>
  <c r="E2515" i="23"/>
  <c r="E122" i="97" s="1"/>
  <c r="G2514" i="23"/>
  <c r="F2514" i="23"/>
  <c r="E2514" i="23"/>
  <c r="G2513" i="23"/>
  <c r="E2513" i="23"/>
  <c r="E16"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60" i="97" s="1"/>
  <c r="F2479" i="23"/>
  <c r="F60" i="97" s="1"/>
  <c r="E2479" i="23"/>
  <c r="E60" i="97" s="1"/>
  <c r="G2478" i="23"/>
  <c r="G59" i="97" s="1"/>
  <c r="F2478" i="23"/>
  <c r="F59" i="97" s="1"/>
  <c r="E2478" i="23"/>
  <c r="E59" i="97" s="1"/>
  <c r="G2477" i="23"/>
  <c r="F2477" i="23"/>
  <c r="E2477" i="23"/>
  <c r="G2476" i="23"/>
  <c r="G170" i="97" s="1"/>
  <c r="E109" i="109" s="1"/>
  <c r="F2476" i="23"/>
  <c r="F170" i="97" s="1"/>
  <c r="D109" i="109" s="1"/>
  <c r="E2476" i="23"/>
  <c r="E170" i="97" s="1"/>
  <c r="F2467" i="23"/>
  <c r="E2467" i="23"/>
  <c r="E206" i="97" s="1"/>
  <c r="F2466" i="23"/>
  <c r="E2466" i="23"/>
  <c r="E195" i="97" s="1"/>
  <c r="F2465" i="23"/>
  <c r="E2465" i="23"/>
  <c r="E187" i="97" s="1"/>
  <c r="F2464" i="23"/>
  <c r="E2464" i="23"/>
  <c r="E199" i="97" s="1"/>
  <c r="E2463" i="23"/>
  <c r="F2462" i="23"/>
  <c r="E2462" i="23"/>
  <c r="F2461" i="23"/>
  <c r="E2461" i="23"/>
  <c r="F2460" i="23"/>
  <c r="E2460" i="23"/>
  <c r="F2459" i="23"/>
  <c r="E2459" i="23"/>
  <c r="F2458" i="23"/>
  <c r="E2458" i="23"/>
  <c r="E136" i="97" s="1"/>
  <c r="E2456" i="23"/>
  <c r="E106" i="97" s="1"/>
  <c r="F2455" i="23"/>
  <c r="E2455" i="23"/>
  <c r="F2454" i="23"/>
  <c r="E2454" i="23"/>
  <c r="E95" i="97" s="1"/>
  <c r="F2453" i="23"/>
  <c r="E2453" i="23"/>
  <c r="E19" i="97" s="1"/>
  <c r="E2452" i="23"/>
  <c r="F2449" i="23"/>
  <c r="F2448" i="23"/>
  <c r="F2447" i="23"/>
  <c r="F2446" i="23"/>
  <c r="F2445" i="23"/>
  <c r="F2444" i="23"/>
  <c r="F2443" i="23"/>
  <c r="F2440" i="23"/>
  <c r="F215" i="97" s="1"/>
  <c r="F2439" i="23"/>
  <c r="F2438" i="23"/>
  <c r="F38" i="97" s="1"/>
  <c r="F2437" i="23"/>
  <c r="F46" i="97" s="1"/>
  <c r="F2436" i="23"/>
  <c r="F33" i="97" s="1"/>
  <c r="F2434" i="23"/>
  <c r="F164" i="97" s="1"/>
  <c r="F2431" i="23"/>
  <c r="F2430" i="23"/>
  <c r="F2429" i="23"/>
  <c r="F2428" i="23"/>
  <c r="F2427" i="23"/>
  <c r="F2424" i="23"/>
  <c r="F213" i="97" s="1"/>
  <c r="F2423" i="23"/>
  <c r="F65" i="97" s="1"/>
  <c r="F2421" i="23"/>
  <c r="F43" i="97" s="1"/>
  <c r="F2420" i="23"/>
  <c r="F31" i="97" s="1"/>
  <c r="F2419" i="23"/>
  <c r="F89"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198" i="97" s="1"/>
  <c r="F2387" i="23"/>
  <c r="F198" i="97" s="1"/>
  <c r="E2387" i="23"/>
  <c r="E198" i="97" s="1"/>
  <c r="G2385" i="23"/>
  <c r="F2385" i="23"/>
  <c r="E2385" i="23"/>
  <c r="G2383" i="23"/>
  <c r="G235" i="97" s="1"/>
  <c r="F2383" i="23"/>
  <c r="F235" i="97" s="1"/>
  <c r="E2383" i="23"/>
  <c r="E235" i="97" s="1"/>
  <c r="G2382" i="23"/>
  <c r="G27" i="97" s="1"/>
  <c r="F2382" i="23"/>
  <c r="F27" i="97" s="1"/>
  <c r="E2382" i="23"/>
  <c r="E27" i="97" s="1"/>
  <c r="G2380" i="23"/>
  <c r="F2380" i="23"/>
  <c r="E2380" i="23"/>
  <c r="E6" i="97" s="1"/>
  <c r="G2378" i="23"/>
  <c r="F2378" i="23"/>
  <c r="E2378" i="23"/>
  <c r="E3"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5" i="15"/>
  <c r="E1116" i="15"/>
  <c r="E1117" i="15"/>
  <c r="E1118" i="15"/>
  <c r="E1119" i="15"/>
  <c r="E1121" i="15"/>
  <c r="E1122" i="15"/>
  <c r="E1123" i="15"/>
  <c r="E1124" i="15"/>
  <c r="E1125" i="15"/>
  <c r="E1126" i="15"/>
  <c r="E1127" i="15"/>
  <c r="E1128" i="15"/>
  <c r="E1129" i="15"/>
  <c r="E1130" i="15"/>
  <c r="E1131" i="15"/>
  <c r="E1132"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6" i="15"/>
  <c r="E1267" i="15"/>
  <c r="E1268" i="15"/>
  <c r="E1269"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72" i="1"/>
  <c r="C2372" i="1" s="1"/>
  <c r="C2377" i="1"/>
  <c r="C2289" i="1"/>
  <c r="C1649" i="1"/>
  <c r="D638" i="1"/>
  <c r="D634" i="1"/>
  <c r="N634" i="1" s="1"/>
  <c r="P2058" i="1"/>
  <c r="P2188" i="1"/>
  <c r="C2188" i="1" s="1"/>
  <c r="P2189" i="1"/>
  <c r="C2189" i="1" s="1"/>
  <c r="P2190" i="1"/>
  <c r="C2190" i="1" s="1"/>
  <c r="P2191" i="1"/>
  <c r="C2191" i="1" s="1"/>
  <c r="P2192" i="1"/>
  <c r="C2192" i="1" s="1"/>
  <c r="P2193" i="1"/>
  <c r="C2193" i="1" s="1"/>
  <c r="P2196" i="1"/>
  <c r="C2196" i="1" s="1"/>
  <c r="P2197" i="1"/>
  <c r="C2197" i="1" s="1"/>
  <c r="P2198" i="1"/>
  <c r="C2198" i="1" s="1"/>
  <c r="P2199" i="1"/>
  <c r="C2199" i="1" s="1"/>
  <c r="P2200" i="1"/>
  <c r="C2200" i="1" s="1"/>
  <c r="P2201" i="1"/>
  <c r="C2201" i="1" s="1"/>
  <c r="P2202" i="1"/>
  <c r="C2202" i="1" s="1"/>
  <c r="P2203" i="1"/>
  <c r="C2203" i="1" s="1"/>
  <c r="P2204" i="1"/>
  <c r="C2204" i="1" s="1"/>
  <c r="P2205" i="1"/>
  <c r="C2205" i="1" s="1"/>
  <c r="P2206" i="1"/>
  <c r="C2206" i="1" s="1"/>
  <c r="P2207" i="1"/>
  <c r="C2207" i="1" s="1"/>
  <c r="P2228" i="1"/>
  <c r="C2228" i="1" s="1"/>
  <c r="P2229" i="1"/>
  <c r="C2229" i="1" s="1"/>
  <c r="P2230" i="1"/>
  <c r="C2230" i="1" s="1"/>
  <c r="P2231" i="1"/>
  <c r="C2231" i="1" s="1"/>
  <c r="P2232" i="1"/>
  <c r="C2232" i="1" s="1"/>
  <c r="P2233" i="1"/>
  <c r="C2233" i="1" s="1"/>
  <c r="P2234" i="1"/>
  <c r="C2234" i="1" s="1"/>
  <c r="P2235" i="1"/>
  <c r="C2235" i="1" s="1"/>
  <c r="P2236" i="1"/>
  <c r="C2236" i="1" s="1"/>
  <c r="P2237" i="1"/>
  <c r="C2237" i="1" s="1"/>
  <c r="P2238" i="1"/>
  <c r="C2238" i="1" s="1"/>
  <c r="P2239" i="1"/>
  <c r="C2239" i="1" s="1"/>
  <c r="P2240" i="1"/>
  <c r="C2240" i="1" s="1"/>
  <c r="P2418" i="1"/>
  <c r="C2418" i="1" s="1"/>
  <c r="P2419" i="1"/>
  <c r="C2419" i="1" s="1"/>
  <c r="P2420" i="1"/>
  <c r="C2420" i="1" s="1"/>
  <c r="P2421" i="1"/>
  <c r="C2421" i="1" s="1"/>
  <c r="P2422" i="1"/>
  <c r="C2422" i="1" s="1"/>
  <c r="P2423" i="1"/>
  <c r="C2423" i="1" s="1"/>
  <c r="P2424" i="1"/>
  <c r="C2424" i="1" s="1"/>
  <c r="P1858" i="1"/>
  <c r="C1858" i="1" s="1"/>
  <c r="P1859" i="1"/>
  <c r="C1859"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G2412" i="1"/>
  <c r="F2412" i="1"/>
  <c r="G2411" i="1"/>
  <c r="F2411" i="1"/>
  <c r="G2410" i="1"/>
  <c r="F2410" i="1"/>
  <c r="G2409" i="1"/>
  <c r="F2409" i="1"/>
  <c r="G2408" i="1"/>
  <c r="F2408" i="1"/>
  <c r="G2407" i="1"/>
  <c r="F2407" i="1"/>
  <c r="G2405" i="1"/>
  <c r="F2405" i="1"/>
  <c r="E2405" i="1"/>
  <c r="G2404" i="1"/>
  <c r="F2404" i="1"/>
  <c r="E2404" i="1"/>
  <c r="G2403" i="1"/>
  <c r="F2403" i="1"/>
  <c r="E2403" i="1"/>
  <c r="G2402" i="1"/>
  <c r="F2402" i="1"/>
  <c r="G2401" i="1"/>
  <c r="F2401" i="1"/>
  <c r="G2400" i="1"/>
  <c r="F2400" i="1"/>
  <c r="G2399" i="1"/>
  <c r="F2399" i="1"/>
  <c r="G2398" i="1"/>
  <c r="F2398" i="1"/>
  <c r="G2397" i="1"/>
  <c r="F2397" i="1"/>
  <c r="G2396" i="1"/>
  <c r="F2396" i="1"/>
  <c r="G2395" i="1"/>
  <c r="F2395" i="1"/>
  <c r="G2394" i="1"/>
  <c r="F2394" i="1"/>
  <c r="G2393" i="1"/>
  <c r="F2393" i="1"/>
  <c r="G2391" i="1"/>
  <c r="F2391" i="1"/>
  <c r="E2391" i="1"/>
  <c r="G2390" i="1"/>
  <c r="F2390" i="1"/>
  <c r="E2390" i="1"/>
  <c r="G2389" i="1"/>
  <c r="F2389" i="1"/>
  <c r="E2389" i="1"/>
  <c r="G2388" i="1"/>
  <c r="F2388" i="1"/>
  <c r="G2387" i="1"/>
  <c r="F2387" i="1"/>
  <c r="G2386" i="1"/>
  <c r="F2386" i="1"/>
  <c r="G2385" i="1"/>
  <c r="F2385" i="1"/>
  <c r="G2384" i="1"/>
  <c r="F2384" i="1"/>
  <c r="G2383" i="1"/>
  <c r="F2383" i="1"/>
  <c r="G2382" i="1"/>
  <c r="F2382" i="1"/>
  <c r="G2381" i="1"/>
  <c r="F2381" i="1"/>
  <c r="G2380" i="1"/>
  <c r="F2380" i="1"/>
  <c r="G2379" i="1"/>
  <c r="F2379" i="1"/>
  <c r="G2376" i="1"/>
  <c r="F2376" i="1"/>
  <c r="E2376" i="1"/>
  <c r="G2375" i="1"/>
  <c r="F2375" i="1"/>
  <c r="E2375" i="1"/>
  <c r="G2374" i="1"/>
  <c r="F2374" i="1"/>
  <c r="E2374" i="1"/>
  <c r="G2373" i="1"/>
  <c r="F2373" i="1"/>
  <c r="E2373" i="1"/>
  <c r="G2369" i="1"/>
  <c r="D153" i="33" s="1"/>
  <c r="F2369" i="1"/>
  <c r="C153" i="33" s="1"/>
  <c r="E2369"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E2354" i="1"/>
  <c r="G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0" i="1"/>
  <c r="F2340" i="1"/>
  <c r="E2340" i="1"/>
  <c r="G2339" i="1"/>
  <c r="F2339" i="1"/>
  <c r="E2339" i="1"/>
  <c r="G2336" i="1"/>
  <c r="F2336" i="1"/>
  <c r="E2336" i="1"/>
  <c r="E146" i="97" s="1"/>
  <c r="G2335" i="1"/>
  <c r="F2335" i="1"/>
  <c r="E2335" i="1"/>
  <c r="G2334" i="1"/>
  <c r="F2334" i="1"/>
  <c r="E2334" i="1"/>
  <c r="G2333" i="1"/>
  <c r="F2333" i="1"/>
  <c r="E2333" i="1"/>
  <c r="G2332" i="1"/>
  <c r="F2332" i="1"/>
  <c r="E2332" i="1"/>
  <c r="G2331" i="1"/>
  <c r="F2331" i="1"/>
  <c r="E2331" i="1"/>
  <c r="G2329" i="1"/>
  <c r="F2329" i="1"/>
  <c r="E2329" i="1"/>
  <c r="G2327" i="1"/>
  <c r="G79" i="97" s="1"/>
  <c r="F2327" i="1"/>
  <c r="F79" i="97" s="1"/>
  <c r="E2327" i="1"/>
  <c r="E79" i="97" s="1"/>
  <c r="G2324" i="1"/>
  <c r="F2324" i="1"/>
  <c r="E2324" i="1"/>
  <c r="G2322" i="1"/>
  <c r="F2322" i="1"/>
  <c r="E2322" i="1"/>
  <c r="G2320" i="1"/>
  <c r="F2320" i="1"/>
  <c r="E2320" i="1"/>
  <c r="E128" i="97" s="1"/>
  <c r="G2318" i="1"/>
  <c r="F2318" i="1"/>
  <c r="E2318" i="1"/>
  <c r="G2317" i="1"/>
  <c r="F2317" i="1"/>
  <c r="E2317" i="1"/>
  <c r="G2316" i="1"/>
  <c r="F2316" i="1"/>
  <c r="E2316" i="1"/>
  <c r="G2315" i="1"/>
  <c r="F2315" i="1"/>
  <c r="E2315" i="1"/>
  <c r="G2314" i="1"/>
  <c r="F2314" i="1"/>
  <c r="E2314" i="1"/>
  <c r="G2313" i="1"/>
  <c r="F2313" i="1"/>
  <c r="E2313" i="1"/>
  <c r="G2309" i="1"/>
  <c r="F2309" i="1"/>
  <c r="E2309" i="1"/>
  <c r="G2307" i="1"/>
  <c r="F2307" i="1"/>
  <c r="E2307" i="1"/>
  <c r="G2306" i="1"/>
  <c r="F2306" i="1"/>
  <c r="E2306" i="1"/>
  <c r="G2305" i="1"/>
  <c r="F2305" i="1"/>
  <c r="E2305" i="1"/>
  <c r="G2304" i="1"/>
  <c r="F2304" i="1"/>
  <c r="E2304" i="1"/>
  <c r="G2303" i="1"/>
  <c r="F2303" i="1"/>
  <c r="E2303" i="1"/>
  <c r="G2302" i="1"/>
  <c r="F2302" i="1"/>
  <c r="E2302"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G2272" i="1"/>
  <c r="F2272" i="1"/>
  <c r="E2272" i="1"/>
  <c r="G2271" i="1"/>
  <c r="F2271" i="1"/>
  <c r="E2271" i="1"/>
  <c r="G2270" i="1"/>
  <c r="F2270" i="1"/>
  <c r="E2270" i="1"/>
  <c r="G2269" i="1"/>
  <c r="F2269" i="1"/>
  <c r="E2269" i="1"/>
  <c r="G2268" i="1"/>
  <c r="F2268" i="1"/>
  <c r="G2267" i="1"/>
  <c r="F2267" i="1"/>
  <c r="E2267" i="1"/>
  <c r="G2266" i="1"/>
  <c r="F2266" i="1"/>
  <c r="E2266" i="1"/>
  <c r="G2265" i="1"/>
  <c r="F2265" i="1"/>
  <c r="E2265" i="1"/>
  <c r="G2264" i="1"/>
  <c r="F2264" i="1"/>
  <c r="E2264" i="1"/>
  <c r="G2263" i="1"/>
  <c r="F2263" i="1"/>
  <c r="E2263" i="1"/>
  <c r="G2262" i="1"/>
  <c r="F2262" i="1"/>
  <c r="E2262" i="1"/>
  <c r="G2261" i="1"/>
  <c r="F2261" i="1"/>
  <c r="G2260" i="1"/>
  <c r="F2260" i="1"/>
  <c r="E2260" i="1"/>
  <c r="G2259" i="1"/>
  <c r="F2259" i="1"/>
  <c r="G2258" i="1"/>
  <c r="F2258" i="1"/>
  <c r="G2257" i="1"/>
  <c r="F2257" i="1"/>
  <c r="E2257" i="1"/>
  <c r="G2256" i="1"/>
  <c r="F2256" i="1"/>
  <c r="E2256" i="1"/>
  <c r="G2255" i="1"/>
  <c r="F2255" i="1"/>
  <c r="E2255" i="1"/>
  <c r="G2254" i="1"/>
  <c r="F2254" i="1"/>
  <c r="G2253" i="1"/>
  <c r="F2253" i="1"/>
  <c r="E2253" i="1"/>
  <c r="G2252" i="1"/>
  <c r="F2252" i="1"/>
  <c r="G2251" i="1"/>
  <c r="F2251" i="1"/>
  <c r="G2250" i="1"/>
  <c r="F2250" i="1"/>
  <c r="G2249" i="1"/>
  <c r="F2249" i="1"/>
  <c r="G2248" i="1"/>
  <c r="F2248" i="1"/>
  <c r="G2247" i="1"/>
  <c r="F2247" i="1"/>
  <c r="G2246" i="1"/>
  <c r="F2246" i="1"/>
  <c r="G2245" i="1"/>
  <c r="F2245" i="1"/>
  <c r="G2244" i="1"/>
  <c r="F2244" i="1"/>
  <c r="G2243" i="1"/>
  <c r="F2243" i="1"/>
  <c r="G2242" i="1"/>
  <c r="F2242"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4" i="1"/>
  <c r="F2204" i="1"/>
  <c r="E2204" i="1"/>
  <c r="G2203" i="1"/>
  <c r="F2203" i="1"/>
  <c r="E2203" i="1"/>
  <c r="G2202" i="1"/>
  <c r="F2202" i="1"/>
  <c r="E2202" i="1"/>
  <c r="G2201" i="1"/>
  <c r="F2201" i="1"/>
  <c r="E2201" i="1"/>
  <c r="G2200" i="1"/>
  <c r="F2200" i="1"/>
  <c r="E2200" i="1"/>
  <c r="G2199" i="1"/>
  <c r="F2199" i="1"/>
  <c r="E2199" i="1"/>
  <c r="G2198" i="1"/>
  <c r="F2198" i="1"/>
  <c r="E2198" i="1"/>
  <c r="G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G2186" i="1"/>
  <c r="F2186" i="1"/>
  <c r="G2185" i="1"/>
  <c r="F2185" i="1"/>
  <c r="G2184" i="1"/>
  <c r="F2184" i="1"/>
  <c r="G2183" i="1"/>
  <c r="F2183" i="1"/>
  <c r="G2182" i="1"/>
  <c r="F2182" i="1"/>
  <c r="G2181" i="1"/>
  <c r="F2181" i="1"/>
  <c r="G2160" i="1"/>
  <c r="F2160" i="1"/>
  <c r="G2159" i="1"/>
  <c r="F2159" i="1"/>
  <c r="G2180" i="1"/>
  <c r="F2180" i="1"/>
  <c r="G2179" i="1"/>
  <c r="F2179" i="1"/>
  <c r="G2178" i="1"/>
  <c r="F2178" i="1"/>
  <c r="G2177" i="1"/>
  <c r="F2177" i="1"/>
  <c r="G2176" i="1"/>
  <c r="F2176" i="1"/>
  <c r="G2175" i="1"/>
  <c r="F2175" i="1"/>
  <c r="G2174" i="1"/>
  <c r="F2174" i="1"/>
  <c r="G2173" i="1"/>
  <c r="F2173" i="1"/>
  <c r="G2172" i="1"/>
  <c r="F2172" i="1"/>
  <c r="E2172" i="1"/>
  <c r="G2171" i="1"/>
  <c r="F2171" i="1"/>
  <c r="E2171" i="1"/>
  <c r="G2170" i="1"/>
  <c r="F2170" i="1"/>
  <c r="E2170" i="1"/>
  <c r="G2169" i="1"/>
  <c r="F2169" i="1"/>
  <c r="E2169" i="1"/>
  <c r="G2168" i="1"/>
  <c r="F2168" i="1"/>
  <c r="G2167" i="1"/>
  <c r="F2167" i="1"/>
  <c r="G2166" i="1"/>
  <c r="F2166" i="1"/>
  <c r="E2166" i="1"/>
  <c r="G2165" i="1"/>
  <c r="F2165" i="1"/>
  <c r="E2165" i="1"/>
  <c r="G2164" i="1"/>
  <c r="F2164" i="1"/>
  <c r="E2164" i="1"/>
  <c r="G2163" i="1"/>
  <c r="F2163" i="1"/>
  <c r="G2162" i="1"/>
  <c r="F2162" i="1"/>
  <c r="G2161" i="1"/>
  <c r="F2161" i="1"/>
  <c r="G2155" i="1"/>
  <c r="F2155" i="1"/>
  <c r="G2154" i="1"/>
  <c r="F2154" i="1"/>
  <c r="G2153" i="1"/>
  <c r="F2153" i="1"/>
  <c r="G2152" i="1"/>
  <c r="F2152" i="1"/>
  <c r="G2151" i="1"/>
  <c r="F2151" i="1"/>
  <c r="G2150" i="1"/>
  <c r="F2150" i="1"/>
  <c r="G2149" i="1"/>
  <c r="F2149" i="1"/>
  <c r="G2148" i="1"/>
  <c r="F2148" i="1"/>
  <c r="G2147" i="1"/>
  <c r="F2147" i="1"/>
  <c r="E2147" i="1"/>
  <c r="G2146" i="1"/>
  <c r="F2146" i="1"/>
  <c r="G2145" i="1"/>
  <c r="F2145" i="1"/>
  <c r="G2144" i="1"/>
  <c r="F2144" i="1"/>
  <c r="G2143" i="1"/>
  <c r="F2143" i="1"/>
  <c r="G2142" i="1"/>
  <c r="F2142" i="1"/>
  <c r="E2142" i="1"/>
  <c r="G2141" i="1"/>
  <c r="F2141" i="1"/>
  <c r="G2140" i="1"/>
  <c r="F2140" i="1"/>
  <c r="G2139" i="1"/>
  <c r="E2139" i="1"/>
  <c r="G2138" i="1"/>
  <c r="F2138" i="1"/>
  <c r="G2137" i="1"/>
  <c r="F2137" i="1"/>
  <c r="G2136" i="1"/>
  <c r="F2136" i="1"/>
  <c r="G2135" i="1"/>
  <c r="F2135" i="1"/>
  <c r="G2157" i="1"/>
  <c r="F2157" i="1"/>
  <c r="G2156" i="1"/>
  <c r="F2156" i="1"/>
  <c r="G2158" i="1"/>
  <c r="G2134" i="1"/>
  <c r="F2134" i="1"/>
  <c r="G2133" i="1"/>
  <c r="F2133" i="1"/>
  <c r="G2132" i="1"/>
  <c r="F2132" i="1"/>
  <c r="G2131" i="1"/>
  <c r="F2131" i="1"/>
  <c r="G2130" i="1"/>
  <c r="F2130" i="1"/>
  <c r="G2129" i="1"/>
  <c r="F2129" i="1"/>
  <c r="G2128" i="1"/>
  <c r="F2128" i="1"/>
  <c r="G2127" i="1"/>
  <c r="F2127" i="1"/>
  <c r="G2126" i="1"/>
  <c r="F2126" i="1"/>
  <c r="G2125" i="1"/>
  <c r="G2124" i="1"/>
  <c r="F2124" i="1"/>
  <c r="G2123" i="1"/>
  <c r="F2123" i="1"/>
  <c r="G2122" i="1"/>
  <c r="F2122" i="1"/>
  <c r="G2121" i="1"/>
  <c r="F2121" i="1"/>
  <c r="G2120" i="1"/>
  <c r="F2120" i="1"/>
  <c r="G2119" i="1"/>
  <c r="F2119" i="1"/>
  <c r="G2118" i="1"/>
  <c r="F2118" i="1"/>
  <c r="G2117" i="1"/>
  <c r="F2117" i="1"/>
  <c r="G2115" i="1"/>
  <c r="G2114" i="1"/>
  <c r="F2114" i="1"/>
  <c r="G2113" i="1"/>
  <c r="F2113" i="1"/>
  <c r="G2112" i="1"/>
  <c r="F2112" i="1"/>
  <c r="G2111" i="1"/>
  <c r="F2111" i="1"/>
  <c r="G2110" i="1"/>
  <c r="F2110" i="1"/>
  <c r="G2109" i="1"/>
  <c r="F2109" i="1"/>
  <c r="G2108" i="1"/>
  <c r="F2108" i="1"/>
  <c r="G2107" i="1"/>
  <c r="F2107" i="1"/>
  <c r="G2106" i="1"/>
  <c r="F2106" i="1"/>
  <c r="G2101" i="1"/>
  <c r="F2101" i="1"/>
  <c r="E2101" i="1"/>
  <c r="G2100" i="1"/>
  <c r="F2100" i="1"/>
  <c r="E2100" i="1"/>
  <c r="G2099" i="1"/>
  <c r="E2099" i="1"/>
  <c r="G2098" i="1"/>
  <c r="F2098" i="1"/>
  <c r="E2098" i="1"/>
  <c r="G2097" i="1"/>
  <c r="F2097" i="1"/>
  <c r="E2097" i="1"/>
  <c r="G2095" i="1"/>
  <c r="F2095" i="1"/>
  <c r="E2095" i="1"/>
  <c r="G2094" i="1"/>
  <c r="F2094" i="1"/>
  <c r="E2094" i="1"/>
  <c r="G2093" i="1"/>
  <c r="F2093" i="1"/>
  <c r="E2093" i="1"/>
  <c r="G2092" i="1"/>
  <c r="F2092" i="1"/>
  <c r="E2092" i="1"/>
  <c r="G2090" i="1"/>
  <c r="F2090" i="1"/>
  <c r="E2090" i="1"/>
  <c r="G2088" i="1"/>
  <c r="F2088" i="1"/>
  <c r="G2087" i="1"/>
  <c r="D150" i="33" s="1"/>
  <c r="F2087" i="1"/>
  <c r="C150" i="33" s="1"/>
  <c r="G2086" i="1"/>
  <c r="F2086" i="1"/>
  <c r="G2083" i="1"/>
  <c r="D148" i="33" s="1"/>
  <c r="F2083" i="1"/>
  <c r="C148" i="33" s="1"/>
  <c r="G2082" i="1"/>
  <c r="D147" i="33" s="1"/>
  <c r="F2082" i="1"/>
  <c r="C147" i="33" s="1"/>
  <c r="G2081" i="1"/>
  <c r="F2081" i="1"/>
  <c r="G2080" i="1"/>
  <c r="D146" i="33" s="1"/>
  <c r="F2080" i="1"/>
  <c r="C146" i="33" s="1"/>
  <c r="G2075" i="1"/>
  <c r="D142" i="33" s="1"/>
  <c r="F2075" i="1"/>
  <c r="C142" i="33" s="1"/>
  <c r="E2075" i="1"/>
  <c r="G2074" i="1"/>
  <c r="D141" i="33" s="1"/>
  <c r="F2074" i="1"/>
  <c r="C141" i="33" s="1"/>
  <c r="E2074" i="1"/>
  <c r="G2073" i="1"/>
  <c r="D140" i="33" s="1"/>
  <c r="F2073" i="1"/>
  <c r="C140" i="33" s="1"/>
  <c r="E2073" i="1"/>
  <c r="G2072" i="1"/>
  <c r="D139" i="33" s="1"/>
  <c r="F2072" i="1"/>
  <c r="C139" i="33" s="1"/>
  <c r="E2072" i="1"/>
  <c r="G2071" i="1"/>
  <c r="D138" i="33" s="1"/>
  <c r="F2071" i="1"/>
  <c r="C138" i="33" s="1"/>
  <c r="E2071" i="1"/>
  <c r="G2070" i="1"/>
  <c r="D137" i="33" s="1"/>
  <c r="F2070" i="1"/>
  <c r="C137" i="33" s="1"/>
  <c r="E2070" i="1"/>
  <c r="G2069" i="1"/>
  <c r="D136" i="33" s="1"/>
  <c r="F2069" i="1"/>
  <c r="C136" i="33" s="1"/>
  <c r="E2069" i="1"/>
  <c r="G2068" i="1"/>
  <c r="D135" i="33" s="1"/>
  <c r="F2068" i="1"/>
  <c r="C135" i="33" s="1"/>
  <c r="G2067" i="1"/>
  <c r="D134" i="33" s="1"/>
  <c r="F2067" i="1"/>
  <c r="C134" i="33" s="1"/>
  <c r="G2066" i="1"/>
  <c r="D133" i="33" s="1"/>
  <c r="F2066" i="1"/>
  <c r="C133" i="33" s="1"/>
  <c r="G2065" i="1"/>
  <c r="D132" i="33" s="1"/>
  <c r="F2065" i="1"/>
  <c r="C132" i="33" s="1"/>
  <c r="G2064" i="1"/>
  <c r="D131" i="33" s="1"/>
  <c r="F2064" i="1"/>
  <c r="C131" i="33" s="1"/>
  <c r="G2063" i="1"/>
  <c r="D130" i="33" s="1"/>
  <c r="F2063" i="1"/>
  <c r="C130" i="33" s="1"/>
  <c r="G2061" i="1"/>
  <c r="D128" i="33" s="1"/>
  <c r="F2061" i="1"/>
  <c r="C128" i="33" s="1"/>
  <c r="G2060" i="1"/>
  <c r="D127" i="33" s="1"/>
  <c r="F2060" i="1"/>
  <c r="C127" i="33" s="1"/>
  <c r="G2059" i="1"/>
  <c r="D126" i="33" s="1"/>
  <c r="F2059" i="1"/>
  <c r="C126" i="33" s="1"/>
  <c r="G2057" i="1"/>
  <c r="D124" i="33" s="1"/>
  <c r="F2057" i="1"/>
  <c r="C124" i="33" s="1"/>
  <c r="G2056" i="1"/>
  <c r="D123" i="33" s="1"/>
  <c r="F2056" i="1"/>
  <c r="C123" i="33" s="1"/>
  <c r="G2055" i="1"/>
  <c r="D122" i="33" s="1"/>
  <c r="F2055" i="1"/>
  <c r="C122" i="33" s="1"/>
  <c r="G2054" i="1"/>
  <c r="D121" i="33" s="1"/>
  <c r="F2054" i="1"/>
  <c r="C121" i="33" s="1"/>
  <c r="F2051" i="1"/>
  <c r="G2046" i="1"/>
  <c r="D113" i="33" s="1"/>
  <c r="F2046" i="1"/>
  <c r="C113" i="33" s="1"/>
  <c r="F2045" i="1"/>
  <c r="C112" i="33" s="1"/>
  <c r="F2044" i="1"/>
  <c r="C111" i="33" s="1"/>
  <c r="G2042" i="1"/>
  <c r="D109" i="33" s="1"/>
  <c r="F2042" i="1"/>
  <c r="C109" i="33" s="1"/>
  <c r="G2041" i="1"/>
  <c r="D108" i="33" s="1"/>
  <c r="F2041" i="1"/>
  <c r="C108" i="33" s="1"/>
  <c r="G2040" i="1"/>
  <c r="D107" i="33" s="1"/>
  <c r="F2040" i="1"/>
  <c r="C107" i="33" s="1"/>
  <c r="G2039" i="1"/>
  <c r="D106" i="33" s="1"/>
  <c r="F2039" i="1"/>
  <c r="C106" i="33" s="1"/>
  <c r="G2038" i="1"/>
  <c r="D105" i="33" s="1"/>
  <c r="F2038" i="1"/>
  <c r="C105" i="33" s="1"/>
  <c r="G2036" i="1"/>
  <c r="F2036" i="1"/>
  <c r="G2035" i="1"/>
  <c r="F2035" i="1"/>
  <c r="G2034" i="1"/>
  <c r="F2034" i="1"/>
  <c r="G2032" i="1"/>
  <c r="F2032" i="1"/>
  <c r="G2031" i="1"/>
  <c r="F2031" i="1"/>
  <c r="G2030" i="1"/>
  <c r="F2030" i="1"/>
  <c r="G2028" i="1"/>
  <c r="D95" i="33" s="1"/>
  <c r="F2028" i="1"/>
  <c r="C95" i="33" s="1"/>
  <c r="G2027" i="1"/>
  <c r="D94" i="33" s="1"/>
  <c r="F2027" i="1"/>
  <c r="C94" i="33" s="1"/>
  <c r="G2020" i="1"/>
  <c r="D87" i="33" s="1"/>
  <c r="F2020" i="1"/>
  <c r="C87" i="33" s="1"/>
  <c r="G2019" i="1"/>
  <c r="D86" i="33" s="1"/>
  <c r="F2019" i="1"/>
  <c r="C86" i="33" s="1"/>
  <c r="G2018" i="1"/>
  <c r="D85" i="33" s="1"/>
  <c r="F2018" i="1"/>
  <c r="C85" i="33" s="1"/>
  <c r="G2016" i="1"/>
  <c r="F2016" i="1"/>
  <c r="G2015" i="1"/>
  <c r="F2015" i="1"/>
  <c r="G2011" i="1"/>
  <c r="D78" i="33" s="1"/>
  <c r="F2011" i="1"/>
  <c r="C78" i="33" s="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E2001" i="1"/>
  <c r="G2000" i="1"/>
  <c r="F2000" i="1"/>
  <c r="E2000" i="1"/>
  <c r="G1999" i="1"/>
  <c r="E1999" i="1"/>
  <c r="G1998" i="1"/>
  <c r="F1998" i="1"/>
  <c r="E1998" i="1"/>
  <c r="G1997" i="1"/>
  <c r="F1997" i="1"/>
  <c r="E1997" i="1"/>
  <c r="G1996" i="1"/>
  <c r="E1996" i="1"/>
  <c r="G1995" i="1"/>
  <c r="E1995" i="1"/>
  <c r="G1994" i="1"/>
  <c r="E1994" i="1"/>
  <c r="G1993" i="1"/>
  <c r="E1993" i="1"/>
  <c r="G1992" i="1"/>
  <c r="E1992" i="1"/>
  <c r="G1985" i="1"/>
  <c r="G208" i="97" s="1"/>
  <c r="F1985" i="1"/>
  <c r="F208" i="97" s="1"/>
  <c r="E1985" i="1"/>
  <c r="E208" i="97" s="1"/>
  <c r="G1984" i="1"/>
  <c r="F1984" i="1"/>
  <c r="E1984" i="1"/>
  <c r="G1983" i="1"/>
  <c r="E1983" i="1"/>
  <c r="G1982" i="1"/>
  <c r="F1982" i="1"/>
  <c r="E1982" i="1"/>
  <c r="G1981" i="1"/>
  <c r="F1981" i="1"/>
  <c r="E1981" i="1"/>
  <c r="G1980" i="1"/>
  <c r="F1980" i="1"/>
  <c r="E1980" i="1"/>
  <c r="G1979" i="1"/>
  <c r="G212" i="97" s="1"/>
  <c r="F1979" i="1"/>
  <c r="F212" i="97" s="1"/>
  <c r="E1979" i="1"/>
  <c r="E212" i="97" s="1"/>
  <c r="G1978" i="1"/>
  <c r="E1978" i="1"/>
  <c r="G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G203" i="97" s="1"/>
  <c r="F1960" i="1"/>
  <c r="F203" i="97" s="1"/>
  <c r="E1960" i="1"/>
  <c r="E203" i="97" s="1"/>
  <c r="G1959" i="1"/>
  <c r="G202" i="97" s="1"/>
  <c r="F1959" i="1"/>
  <c r="F202" i="97" s="1"/>
  <c r="E1959" i="1"/>
  <c r="E202" i="97" s="1"/>
  <c r="G1958" i="1"/>
  <c r="F1958" i="1"/>
  <c r="G1953" i="1"/>
  <c r="F1953" i="1"/>
  <c r="G1952" i="1"/>
  <c r="F1952" i="1"/>
  <c r="G1951" i="1"/>
  <c r="F1951" i="1"/>
  <c r="G1950" i="1"/>
  <c r="F1950" i="1"/>
  <c r="G1949" i="1"/>
  <c r="F1949" i="1"/>
  <c r="G1948" i="1"/>
  <c r="F1948" i="1"/>
  <c r="G1947" i="1"/>
  <c r="F1947" i="1"/>
  <c r="G1945" i="1"/>
  <c r="F1945" i="1"/>
  <c r="G1944" i="1"/>
  <c r="F1944" i="1"/>
  <c r="G1943" i="1"/>
  <c r="F1943" i="1"/>
  <c r="G1942" i="1"/>
  <c r="F1942" i="1"/>
  <c r="G1941" i="1"/>
  <c r="F1941" i="1"/>
  <c r="G1940" i="1"/>
  <c r="F1940" i="1"/>
  <c r="G1939" i="1"/>
  <c r="F1939" i="1"/>
  <c r="G1938" i="1"/>
  <c r="F1938" i="1"/>
  <c r="G1937" i="1"/>
  <c r="F1937" i="1"/>
  <c r="G1936" i="1"/>
  <c r="F1936" i="1"/>
  <c r="G134" i="97"/>
  <c r="F134" i="97"/>
  <c r="G1935" i="1"/>
  <c r="F1935" i="1"/>
  <c r="G1934" i="1"/>
  <c r="F1934" i="1"/>
  <c r="G1930" i="1"/>
  <c r="G1929" i="1"/>
  <c r="F1929" i="1"/>
  <c r="G118" i="97"/>
  <c r="F118" i="97"/>
  <c r="E118" i="97"/>
  <c r="E1928" i="1"/>
  <c r="G124" i="97"/>
  <c r="F124" i="97"/>
  <c r="E124" i="97"/>
  <c r="E1927" i="1"/>
  <c r="G1926" i="1"/>
  <c r="F1926" i="1"/>
  <c r="E1926" i="1"/>
  <c r="E1925" i="1"/>
  <c r="E1924" i="1"/>
  <c r="G1921" i="1"/>
  <c r="F1921" i="1"/>
  <c r="E1921" i="1"/>
  <c r="G1920" i="1"/>
  <c r="F1920" i="1"/>
  <c r="E1920" i="1"/>
  <c r="G1919" i="1"/>
  <c r="F1919" i="1"/>
  <c r="E1919" i="1"/>
  <c r="E1918" i="1"/>
  <c r="G1917" i="1"/>
  <c r="F1917" i="1"/>
  <c r="G1916" i="1"/>
  <c r="F1916" i="1"/>
  <c r="G1915" i="1"/>
  <c r="F1915" i="1"/>
  <c r="G1914" i="1"/>
  <c r="F1914" i="1"/>
  <c r="G1913" i="1"/>
  <c r="F1913" i="1"/>
  <c r="G1912" i="1"/>
  <c r="F1912" i="1"/>
  <c r="G1911" i="1"/>
  <c r="F1911" i="1"/>
  <c r="G1910" i="1"/>
  <c r="F1910" i="1"/>
  <c r="G1909" i="1"/>
  <c r="F1909" i="1"/>
  <c r="G1908" i="1"/>
  <c r="F1908" i="1"/>
  <c r="G111" i="97"/>
  <c r="F111" i="97"/>
  <c r="G109" i="97"/>
  <c r="F109" i="97"/>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59" i="1"/>
  <c r="F1859" i="1"/>
  <c r="G1858" i="1"/>
  <c r="F1858" i="1"/>
  <c r="F1856" i="1"/>
  <c r="F1855" i="1"/>
  <c r="G1854" i="1"/>
  <c r="F1854" i="1"/>
  <c r="G1853" i="1"/>
  <c r="F1853" i="1"/>
  <c r="G1852" i="1"/>
  <c r="F1852" i="1"/>
  <c r="G1851" i="1"/>
  <c r="F1851" i="1"/>
  <c r="G1842" i="1"/>
  <c r="F1842" i="1"/>
  <c r="G1841" i="1"/>
  <c r="G103" i="97" s="1"/>
  <c r="F1841" i="1"/>
  <c r="F103" i="97" s="1"/>
  <c r="G1840" i="1"/>
  <c r="F1840" i="1"/>
  <c r="G1838" i="1"/>
  <c r="G130" i="97" s="1"/>
  <c r="F1838" i="1"/>
  <c r="F130" i="97" s="1"/>
  <c r="G1837" i="1"/>
  <c r="G10" i="97" s="1"/>
  <c r="G1835" i="1"/>
  <c r="F1835" i="1"/>
  <c r="G1834" i="1"/>
  <c r="F1834" i="1"/>
  <c r="G1832" i="1"/>
  <c r="F1832" i="1"/>
  <c r="G1831" i="1"/>
  <c r="F1831" i="1"/>
  <c r="G1830" i="1"/>
  <c r="F1830" i="1"/>
  <c r="G1829" i="1"/>
  <c r="F1829" i="1"/>
  <c r="G1828" i="1"/>
  <c r="F1828" i="1"/>
  <c r="G1826" i="1"/>
  <c r="F1826" i="1"/>
  <c r="G1825" i="1"/>
  <c r="F1825" i="1"/>
  <c r="G1824" i="1"/>
  <c r="F1824" i="1"/>
  <c r="G1822" i="1"/>
  <c r="F1822" i="1"/>
  <c r="G1821" i="1"/>
  <c r="F1821" i="1"/>
  <c r="G1820" i="1"/>
  <c r="F1820" i="1"/>
  <c r="G1818" i="1"/>
  <c r="G94" i="97" s="1"/>
  <c r="F1818" i="1"/>
  <c r="F94" i="97" s="1"/>
  <c r="G1817" i="1"/>
  <c r="G9" i="97" s="1"/>
  <c r="F1817" i="1"/>
  <c r="F9" i="97" s="1"/>
  <c r="G1815" i="1"/>
  <c r="F1815" i="1"/>
  <c r="G1814" i="1"/>
  <c r="F1814" i="1"/>
  <c r="G1813" i="1"/>
  <c r="F1813" i="1"/>
  <c r="G1811" i="1"/>
  <c r="F1811" i="1"/>
  <c r="G1810" i="1"/>
  <c r="G70" i="97" s="1"/>
  <c r="F1810" i="1"/>
  <c r="F70" i="97" s="1"/>
  <c r="G1809" i="1"/>
  <c r="G121" i="97" s="1"/>
  <c r="F1809" i="1"/>
  <c r="F121" i="97" s="1"/>
  <c r="G1807" i="1"/>
  <c r="F1807" i="1"/>
  <c r="G1806" i="1"/>
  <c r="G69" i="97" s="1"/>
  <c r="F1806" i="1"/>
  <c r="F69" i="97" s="1"/>
  <c r="G1805" i="1"/>
  <c r="G120" i="97" s="1"/>
  <c r="F1805" i="1"/>
  <c r="F120" i="97" s="1"/>
  <c r="G1803" i="1"/>
  <c r="F1803" i="1"/>
  <c r="G1802" i="1"/>
  <c r="F1802" i="1"/>
  <c r="G1801" i="1"/>
  <c r="F1801" i="1"/>
  <c r="G1799" i="1"/>
  <c r="F1799" i="1"/>
  <c r="G1798" i="1"/>
  <c r="F1798" i="1"/>
  <c r="G1796" i="1"/>
  <c r="G52" i="97" s="1"/>
  <c r="F1796" i="1"/>
  <c r="F52" i="97" s="1"/>
  <c r="G1795" i="1"/>
  <c r="G145" i="97" s="1"/>
  <c r="F1795" i="1"/>
  <c r="F145" i="97" s="1"/>
  <c r="G1793" i="1"/>
  <c r="G37" i="97" s="1"/>
  <c r="F1793" i="1"/>
  <c r="F37" i="97" s="1"/>
  <c r="G1792" i="1"/>
  <c r="G144" i="97" s="1"/>
  <c r="F1792" i="1"/>
  <c r="F144" i="97" s="1"/>
  <c r="G1790" i="1"/>
  <c r="F1790" i="1"/>
  <c r="G1789" i="1"/>
  <c r="F1789" i="1"/>
  <c r="F1788" i="1"/>
  <c r="F1787" i="1"/>
  <c r="G1786" i="1"/>
  <c r="F1786" i="1"/>
  <c r="G1785" i="1"/>
  <c r="F1785" i="1"/>
  <c r="G1784" i="1"/>
  <c r="F1784" i="1"/>
  <c r="G1783" i="1"/>
  <c r="F1783" i="1"/>
  <c r="G1782" i="1"/>
  <c r="F1782" i="1"/>
  <c r="G1781" i="1"/>
  <c r="F1781" i="1"/>
  <c r="G1780" i="1"/>
  <c r="G14" i="97" s="1"/>
  <c r="F1780" i="1"/>
  <c r="F14" i="97" s="1"/>
  <c r="G1777" i="1"/>
  <c r="G18" i="97" s="1"/>
  <c r="F1777" i="1"/>
  <c r="F18" i="97" s="1"/>
  <c r="G1776" i="1"/>
  <c r="G22" i="97" s="1"/>
  <c r="F1776" i="1"/>
  <c r="F22" i="97" s="1"/>
  <c r="G1775" i="1"/>
  <c r="G23" i="97" s="1"/>
  <c r="F1775" i="1"/>
  <c r="F23" i="97" s="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G214" i="97" s="1"/>
  <c r="F989" i="1"/>
  <c r="F214" i="97" s="1"/>
  <c r="E989" i="1"/>
  <c r="E214" i="97" s="1"/>
  <c r="G988" i="1"/>
  <c r="G49" i="97" s="1"/>
  <c r="F988" i="1"/>
  <c r="F49" i="97" s="1"/>
  <c r="G987" i="1"/>
  <c r="F987" i="1"/>
  <c r="G986" i="1"/>
  <c r="G36" i="97" s="1"/>
  <c r="F986" i="1"/>
  <c r="F36" i="97" s="1"/>
  <c r="G985" i="1"/>
  <c r="G40" i="97" s="1"/>
  <c r="F985" i="1"/>
  <c r="F40" i="97" s="1"/>
  <c r="G984" i="1"/>
  <c r="G152" i="97" s="1"/>
  <c r="F984" i="1"/>
  <c r="F152" i="97" s="1"/>
  <c r="G983" i="1"/>
  <c r="G159" i="97" s="1"/>
  <c r="F983" i="1"/>
  <c r="F159" i="97" s="1"/>
  <c r="G979" i="1"/>
  <c r="F979" i="1"/>
  <c r="E979" i="1"/>
  <c r="G978" i="1"/>
  <c r="G217" i="97" s="1"/>
  <c r="F978" i="1"/>
  <c r="F217" i="97" s="1"/>
  <c r="E978" i="1"/>
  <c r="E217" i="97" s="1"/>
  <c r="G977" i="1"/>
  <c r="G42" i="97" s="1"/>
  <c r="F977" i="1"/>
  <c r="F42" i="97" s="1"/>
  <c r="G976" i="1"/>
  <c r="G32" i="97" s="1"/>
  <c r="F976" i="1"/>
  <c r="F32" i="97" s="1"/>
  <c r="G975" i="1"/>
  <c r="G974" i="1"/>
  <c r="G158" i="97" s="1"/>
  <c r="G970" i="1"/>
  <c r="F970" i="1"/>
  <c r="E970" i="1"/>
  <c r="G969" i="1"/>
  <c r="F969" i="1"/>
  <c r="E969" i="1"/>
  <c r="G968" i="1"/>
  <c r="G41" i="97" s="1"/>
  <c r="F968" i="1"/>
  <c r="F41" i="97" s="1"/>
  <c r="G967" i="1"/>
  <c r="G35" i="97" s="1"/>
  <c r="F967" i="1"/>
  <c r="F35" i="97" s="1"/>
  <c r="G966" i="1"/>
  <c r="G39" i="97" s="1"/>
  <c r="F966" i="1"/>
  <c r="F39" i="97" s="1"/>
  <c r="G965" i="1"/>
  <c r="F965" i="1"/>
  <c r="G964" i="1"/>
  <c r="G154" i="97" s="1"/>
  <c r="G963" i="1"/>
  <c r="G161" i="97" s="1"/>
  <c r="G959" i="1"/>
  <c r="F959" i="1"/>
  <c r="E959" i="1"/>
  <c r="G958" i="1"/>
  <c r="F958" i="1"/>
  <c r="E958" i="1"/>
  <c r="G957" i="1"/>
  <c r="G48" i="97" s="1"/>
  <c r="F957" i="1"/>
  <c r="F48" i="97" s="1"/>
  <c r="G956" i="1"/>
  <c r="G34" i="97" s="1"/>
  <c r="F956" i="1"/>
  <c r="F34" i="97" s="1"/>
  <c r="G955" i="1"/>
  <c r="F955" i="1"/>
  <c r="G954" i="1"/>
  <c r="G153" i="97" s="1"/>
  <c r="G953" i="1"/>
  <c r="G160" i="97" s="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216" i="97" s="1"/>
  <c r="F881" i="1"/>
  <c r="F216" i="97" s="1"/>
  <c r="E881" i="1"/>
  <c r="E216" i="97" s="1"/>
  <c r="G880" i="1"/>
  <c r="G47" i="97" s="1"/>
  <c r="F880" i="1"/>
  <c r="F47" i="97" s="1"/>
  <c r="G879" i="1"/>
  <c r="G53" i="97" s="1"/>
  <c r="F879" i="1"/>
  <c r="F53" i="97" s="1"/>
  <c r="G878" i="1"/>
  <c r="G54" i="97" s="1"/>
  <c r="F878" i="1"/>
  <c r="F54" i="97" s="1"/>
  <c r="G877" i="1"/>
  <c r="G51" i="97" s="1"/>
  <c r="F877" i="1"/>
  <c r="F51" i="97" s="1"/>
  <c r="G876" i="1"/>
  <c r="G156" i="97" s="1"/>
  <c r="G875" i="1"/>
  <c r="G163"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155" i="97" s="1"/>
  <c r="G864" i="1"/>
  <c r="G162" i="97" s="1"/>
  <c r="F864" i="1"/>
  <c r="F162"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G25" i="97" s="1"/>
  <c r="F784" i="1"/>
  <c r="F25" i="97" s="1"/>
  <c r="G782" i="1"/>
  <c r="F782" i="1"/>
  <c r="E782" i="1"/>
  <c r="G781" i="1"/>
  <c r="F781" i="1"/>
  <c r="G780" i="1"/>
  <c r="F780" i="1"/>
  <c r="G776" i="1"/>
  <c r="F776" i="1"/>
  <c r="E776" i="1"/>
  <c r="G775" i="1"/>
  <c r="G184" i="97" s="1"/>
  <c r="F775" i="1"/>
  <c r="F184" i="97" s="1"/>
  <c r="E775" i="1"/>
  <c r="E184" i="97" s="1"/>
  <c r="G774" i="1"/>
  <c r="F774" i="1"/>
  <c r="G773" i="1"/>
  <c r="G24" i="97" s="1"/>
  <c r="F773" i="1"/>
  <c r="F24"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G194" i="97" s="1"/>
  <c r="F672" i="1"/>
  <c r="F194" i="97" s="1"/>
  <c r="E672" i="1"/>
  <c r="E194" i="97" s="1"/>
  <c r="G671" i="1"/>
  <c r="G205" i="97" s="1"/>
  <c r="F671" i="1"/>
  <c r="F205" i="97" s="1"/>
  <c r="E671" i="1"/>
  <c r="E205" i="97" s="1"/>
  <c r="G670" i="1"/>
  <c r="F670" i="1"/>
  <c r="G669" i="1"/>
  <c r="F669" i="1"/>
  <c r="G668" i="1"/>
  <c r="F668" i="1"/>
  <c r="G665" i="1"/>
  <c r="G97" i="97" s="1"/>
  <c r="F665" i="1"/>
  <c r="F97" i="97" s="1"/>
  <c r="G664" i="1"/>
  <c r="G21" i="97" s="1"/>
  <c r="F664" i="1"/>
  <c r="F21" i="97" s="1"/>
  <c r="G650" i="1"/>
  <c r="F650" i="1"/>
  <c r="E650" i="1"/>
  <c r="G649" i="1"/>
  <c r="F649" i="1"/>
  <c r="E649" i="1"/>
  <c r="G648" i="1"/>
  <c r="G193" i="97" s="1"/>
  <c r="F648" i="1"/>
  <c r="F193" i="97" s="1"/>
  <c r="E648" i="1"/>
  <c r="E193" i="97" s="1"/>
  <c r="G647" i="1"/>
  <c r="G204" i="97" s="1"/>
  <c r="F647" i="1"/>
  <c r="F204" i="97" s="1"/>
  <c r="E647" i="1"/>
  <c r="E204" i="97" s="1"/>
  <c r="G646" i="1"/>
  <c r="F646" i="1"/>
  <c r="G644" i="1"/>
  <c r="F644" i="1"/>
  <c r="G643" i="1"/>
  <c r="I12" i="113" s="1"/>
  <c r="F643" i="1"/>
  <c r="H12" i="113" s="1"/>
  <c r="G642" i="1"/>
  <c r="I11" i="113" s="1"/>
  <c r="F642" i="1"/>
  <c r="H11" i="113" s="1"/>
  <c r="G641" i="1"/>
  <c r="I10" i="113" s="1"/>
  <c r="F641" i="1"/>
  <c r="H10" i="113" s="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G180" i="97" s="1"/>
  <c r="F434" i="1"/>
  <c r="F180" i="97" s="1"/>
  <c r="E434" i="1"/>
  <c r="E180" i="97" s="1"/>
  <c r="G433" i="1"/>
  <c r="G177" i="97" s="1"/>
  <c r="F433" i="1"/>
  <c r="F177" i="97" s="1"/>
  <c r="E433" i="1"/>
  <c r="E177" i="97" s="1"/>
  <c r="G432" i="1"/>
  <c r="G174" i="97" s="1"/>
  <c r="F432" i="1"/>
  <c r="F174" i="97" s="1"/>
  <c r="E432" i="1"/>
  <c r="E174" i="97" s="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89" i="97" s="1"/>
  <c r="F375" i="1"/>
  <c r="F189" i="97" s="1"/>
  <c r="E375" i="1"/>
  <c r="E189" i="97" s="1"/>
  <c r="G374" i="1"/>
  <c r="F374" i="1"/>
  <c r="E374" i="1"/>
  <c r="G373" i="1"/>
  <c r="F373" i="1"/>
  <c r="E373" i="1"/>
  <c r="G372" i="1"/>
  <c r="F372" i="1"/>
  <c r="E372" i="1"/>
  <c r="G371" i="1"/>
  <c r="F371" i="1"/>
  <c r="E371" i="1"/>
  <c r="G370" i="1"/>
  <c r="G260" i="97" s="1"/>
  <c r="E370" i="1"/>
  <c r="E260" i="97" s="1"/>
  <c r="G368" i="1"/>
  <c r="G56" i="97" s="1"/>
  <c r="F368" i="1"/>
  <c r="F56" i="97" s="1"/>
  <c r="E368" i="1"/>
  <c r="E56" i="97" s="1"/>
  <c r="G367" i="1"/>
  <c r="G55" i="97" s="1"/>
  <c r="F367" i="1"/>
  <c r="F55" i="97" s="1"/>
  <c r="E367" i="1"/>
  <c r="E55" i="97" s="1"/>
  <c r="G366" i="1"/>
  <c r="F366" i="1"/>
  <c r="E366" i="1"/>
  <c r="G369" i="1"/>
  <c r="G224" i="97" s="1"/>
  <c r="F369" i="1"/>
  <c r="F224" i="97" s="1"/>
  <c r="E369" i="1"/>
  <c r="E224" i="97" s="1"/>
  <c r="G364" i="1"/>
  <c r="E364" i="1"/>
  <c r="G362" i="1"/>
  <c r="E362" i="1"/>
  <c r="G359" i="1"/>
  <c r="G179" i="97" s="1"/>
  <c r="F359" i="1"/>
  <c r="F179" i="97" s="1"/>
  <c r="E359" i="1"/>
  <c r="E179" i="97" s="1"/>
  <c r="G358" i="1"/>
  <c r="G176" i="97" s="1"/>
  <c r="F358" i="1"/>
  <c r="F176" i="97" s="1"/>
  <c r="E358" i="1"/>
  <c r="E176" i="97" s="1"/>
  <c r="G357" i="1"/>
  <c r="G173" i="97" s="1"/>
  <c r="F357" i="1"/>
  <c r="F173" i="97" s="1"/>
  <c r="E357" i="1"/>
  <c r="E173"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2" i="1"/>
  <c r="J2303"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6" i="1"/>
  <c r="P2186" i="1" s="1"/>
  <c r="C2186" i="1" s="1"/>
  <c r="H2154" i="1"/>
  <c r="P2154" i="1" s="1"/>
  <c r="C2154" i="1" s="1"/>
  <c r="H2136" i="1"/>
  <c r="P2136" i="1" s="1"/>
  <c r="C2136" i="1" s="1"/>
  <c r="H2135" i="1"/>
  <c r="P2135" i="1" s="1"/>
  <c r="C2135"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9" i="1" s="1"/>
  <c r="N21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4" i="1" s="1"/>
  <c r="N2124" i="1" s="1"/>
  <c r="CS337" i="20"/>
  <c r="CS341" i="20" s="1"/>
  <c r="D2123" i="1" s="1"/>
  <c r="H2123" i="1" s="1"/>
  <c r="P2123" i="1" s="1"/>
  <c r="C2123" i="1" s="1"/>
  <c r="CT337" i="20"/>
  <c r="CT341" i="20" s="1"/>
  <c r="CU337" i="20"/>
  <c r="CU341" i="20" s="1"/>
  <c r="D2125" i="1" s="1"/>
  <c r="CV337" i="20"/>
  <c r="CW337" i="20"/>
  <c r="CX337" i="20"/>
  <c r="CY337" i="20"/>
  <c r="CY341" i="20" s="1"/>
  <c r="D2153" i="1" s="1"/>
  <c r="H2153" i="1" s="1"/>
  <c r="P2153" i="1" s="1"/>
  <c r="C2153" i="1" s="1"/>
  <c r="CZ337" i="20"/>
  <c r="CZ341" i="20" s="1"/>
  <c r="D2152" i="1" s="1"/>
  <c r="N2152" i="1" s="1"/>
  <c r="DA337" i="20"/>
  <c r="DB337" i="20"/>
  <c r="DB341" i="20" s="1"/>
  <c r="DC337" i="20"/>
  <c r="DD337" i="20"/>
  <c r="D2143" i="1" s="1"/>
  <c r="H2143" i="1" s="1"/>
  <c r="P2143" i="1" s="1"/>
  <c r="C2143" i="1" s="1"/>
  <c r="DE337" i="20"/>
  <c r="DE341" i="20" s="1"/>
  <c r="DF337" i="20"/>
  <c r="DF341" i="20" s="1"/>
  <c r="DG337" i="20"/>
  <c r="DH337" i="20"/>
  <c r="DI337" i="20"/>
  <c r="DI341" i="20" s="1"/>
  <c r="DJ337" i="20"/>
  <c r="DK337" i="20"/>
  <c r="DK341" i="20" s="1"/>
  <c r="D2116"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5" i="1"/>
  <c r="P2155" i="1" s="1"/>
  <c r="C2155" i="1" s="1"/>
  <c r="H2158" i="1"/>
  <c r="P2158" i="1" s="1"/>
  <c r="C2158" i="1" s="1"/>
  <c r="H2156" i="1"/>
  <c r="P2156" i="1" s="1"/>
  <c r="C2156" i="1" s="1"/>
  <c r="H2157" i="1"/>
  <c r="P2157" i="1" s="1"/>
  <c r="C2157" i="1" s="1"/>
  <c r="D602" i="1"/>
  <c r="M602" i="1" s="1"/>
  <c r="A2" i="94"/>
  <c r="A2" i="93"/>
  <c r="A2" i="92"/>
  <c r="D2279" i="1"/>
  <c r="H2279" i="1" s="1"/>
  <c r="P2279" i="1" s="1"/>
  <c r="C227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4" i="1"/>
  <c r="E2114" i="1"/>
  <c r="E2113" i="1"/>
  <c r="D2113" i="1" s="1"/>
  <c r="E2111" i="1"/>
  <c r="E2109" i="1"/>
  <c r="D2109" i="1" s="1"/>
  <c r="E2107" i="1"/>
  <c r="D2189" i="1" s="1"/>
  <c r="E2106" i="1"/>
  <c r="C349" i="20"/>
  <c r="E2110" i="1" s="1"/>
  <c r="D2194" i="1" s="1"/>
  <c r="H2194" i="1" s="1"/>
  <c r="P2194" i="1" s="1"/>
  <c r="C2194"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193" i="97" s="1"/>
  <c r="D672" i="1"/>
  <c r="D194" i="97" s="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0" i="1"/>
  <c r="D14" i="97" s="1"/>
  <c r="D1781" i="1"/>
  <c r="D1782" i="1"/>
  <c r="H1782" i="1" s="1"/>
  <c r="P1782" i="1" s="1"/>
  <c r="C1782" i="1" s="1"/>
  <c r="D1783" i="1"/>
  <c r="D1784" i="1"/>
  <c r="H1784" i="1" s="1"/>
  <c r="P1784" i="1" s="1"/>
  <c r="C1784" i="1" s="1"/>
  <c r="D1785" i="1"/>
  <c r="D1786" i="1"/>
  <c r="D1788" i="1"/>
  <c r="D1789" i="1"/>
  <c r="H1789" i="1" s="1"/>
  <c r="P1789" i="1" s="1"/>
  <c r="C1789" i="1" s="1"/>
  <c r="D1790" i="1"/>
  <c r="H1835" i="1"/>
  <c r="P1835" i="1" s="1"/>
  <c r="C1835" i="1" s="1"/>
  <c r="D1858" i="1"/>
  <c r="D134" i="97"/>
  <c r="D1936" i="1"/>
  <c r="E231" i="42" s="1"/>
  <c r="G231" i="42" s="1"/>
  <c r="D1937" i="1"/>
  <c r="E232" i="42" s="1"/>
  <c r="B232" i="42" s="1"/>
  <c r="D1938" i="1"/>
  <c r="E233" i="42" s="1"/>
  <c r="G233" i="42" s="1"/>
  <c r="E234" i="42"/>
  <c r="D1939" i="1"/>
  <c r="E235" i="42" s="1"/>
  <c r="D1960" i="1"/>
  <c r="D1961" i="1"/>
  <c r="D1962" i="1"/>
  <c r="D1963" i="1"/>
  <c r="D1964" i="1"/>
  <c r="D1965" i="1"/>
  <c r="D1967" i="1"/>
  <c r="D1969" i="1"/>
  <c r="D1970" i="1"/>
  <c r="D1971" i="1"/>
  <c r="D1972" i="1"/>
  <c r="D1973" i="1"/>
  <c r="D1974" i="1"/>
  <c r="D1975" i="1"/>
  <c r="D1976" i="1"/>
  <c r="D1998"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9" i="1"/>
  <c r="D2314" i="1"/>
  <c r="S35" i="61"/>
  <c r="S67" i="61"/>
  <c r="D65" i="1"/>
  <c r="GT53" i="16"/>
  <c r="GT95" i="16" s="1"/>
  <c r="GT184" i="16" s="1"/>
  <c r="D1643" i="1" s="1"/>
  <c r="K2414" i="1"/>
  <c r="K2413" i="1"/>
  <c r="K2412" i="1"/>
  <c r="K2411" i="1"/>
  <c r="K2410" i="1"/>
  <c r="K2409" i="1"/>
  <c r="K2408" i="1"/>
  <c r="K2407" i="1"/>
  <c r="K2404" i="1"/>
  <c r="K2402" i="1"/>
  <c r="K2401" i="1"/>
  <c r="K2400" i="1"/>
  <c r="K2399" i="1"/>
  <c r="K2398" i="1"/>
  <c r="K2397" i="1"/>
  <c r="K2396" i="1"/>
  <c r="K2395" i="1"/>
  <c r="K2394" i="1"/>
  <c r="K2393" i="1"/>
  <c r="K2390" i="1"/>
  <c r="K2388" i="1"/>
  <c r="K2387" i="1"/>
  <c r="K2386" i="1"/>
  <c r="K2385" i="1"/>
  <c r="K2384" i="1"/>
  <c r="K2383" i="1"/>
  <c r="K2382" i="1"/>
  <c r="K2381" i="1"/>
  <c r="K2380" i="1"/>
  <c r="K2379" i="1"/>
  <c r="L2376" i="1"/>
  <c r="H2376" i="1"/>
  <c r="P2376" i="1" s="1"/>
  <c r="C2376" i="1" s="1"/>
  <c r="L2375" i="1"/>
  <c r="H2375" i="1"/>
  <c r="P2375" i="1" s="1"/>
  <c r="C2375" i="1" s="1"/>
  <c r="L2374" i="1"/>
  <c r="H2374" i="1"/>
  <c r="P2374" i="1" s="1"/>
  <c r="C2374" i="1" s="1"/>
  <c r="L2373" i="1"/>
  <c r="H2373" i="1"/>
  <c r="P2373" i="1" s="1"/>
  <c r="C2373" i="1" s="1"/>
  <c r="C2325" i="1"/>
  <c r="C5" i="97" s="1"/>
  <c r="I2318" i="1"/>
  <c r="H2318" i="1"/>
  <c r="P2318" i="1" s="1"/>
  <c r="C2318" i="1" s="1"/>
  <c r="I2317" i="1"/>
  <c r="H2317" i="1"/>
  <c r="P2317" i="1" s="1"/>
  <c r="C2317" i="1" s="1"/>
  <c r="I2316" i="1"/>
  <c r="H2316" i="1"/>
  <c r="P2316" i="1" s="1"/>
  <c r="C2316" i="1" s="1"/>
  <c r="I2315" i="1"/>
  <c r="H2315" i="1"/>
  <c r="P2315" i="1" s="1"/>
  <c r="C2315" i="1" s="1"/>
  <c r="I2313" i="1"/>
  <c r="H2313" i="1"/>
  <c r="P2313" i="1" s="1"/>
  <c r="C2313" i="1" s="1"/>
  <c r="I2312" i="1"/>
  <c r="H2312" i="1"/>
  <c r="P2312" i="1" s="1"/>
  <c r="C2312" i="1" s="1"/>
  <c r="I2311" i="1"/>
  <c r="H2311" i="1"/>
  <c r="P2311" i="1" s="1"/>
  <c r="C2311" i="1" s="1"/>
  <c r="I2310" i="1"/>
  <c r="H2310" i="1"/>
  <c r="P2310" i="1" s="1"/>
  <c r="C2310" i="1" s="1"/>
  <c r="J2307" i="1"/>
  <c r="H2307" i="1"/>
  <c r="P2307" i="1" s="1"/>
  <c r="C2307" i="1" s="1"/>
  <c r="J2306" i="1"/>
  <c r="H2306" i="1"/>
  <c r="P2306" i="1" s="1"/>
  <c r="C2306" i="1" s="1"/>
  <c r="J2304" i="1"/>
  <c r="H2304" i="1"/>
  <c r="P2304" i="1" s="1"/>
  <c r="C2304" i="1" s="1"/>
  <c r="J2296" i="1"/>
  <c r="H2296" i="1"/>
  <c r="P2296" i="1" s="1"/>
  <c r="C2296" i="1" s="1"/>
  <c r="J2295" i="1"/>
  <c r="H2295" i="1"/>
  <c r="P2295" i="1" s="1"/>
  <c r="C2295" i="1" s="1"/>
  <c r="J2294" i="1"/>
  <c r="H2294" i="1"/>
  <c r="P2294" i="1" s="1"/>
  <c r="C2294" i="1" s="1"/>
  <c r="J2293" i="1"/>
  <c r="H2293" i="1"/>
  <c r="P2293" i="1" s="1"/>
  <c r="C2293" i="1" s="1"/>
  <c r="J2292" i="1"/>
  <c r="H2292" i="1"/>
  <c r="P2292" i="1" s="1"/>
  <c r="C2292" i="1" s="1"/>
  <c r="J2291" i="1"/>
  <c r="H2291" i="1"/>
  <c r="P2291" i="1" s="1"/>
  <c r="C2291" i="1" s="1"/>
  <c r="J2290" i="1"/>
  <c r="H2290" i="1"/>
  <c r="P2290" i="1" s="1"/>
  <c r="C2290" i="1" s="1"/>
  <c r="D2263" i="1"/>
  <c r="H2263" i="1" s="1"/>
  <c r="P2263" i="1" s="1"/>
  <c r="C2263" i="1" s="1"/>
  <c r="Z35" i="61"/>
  <c r="Z67" i="61"/>
  <c r="AA35" i="61"/>
  <c r="AA67" i="61"/>
  <c r="AB35" i="61"/>
  <c r="AB67" i="61"/>
  <c r="AD35" i="61"/>
  <c r="AD67" i="61"/>
  <c r="D2257" i="1"/>
  <c r="H2257" i="1" s="1"/>
  <c r="P2257" i="1" s="1"/>
  <c r="C22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1" i="1"/>
  <c r="H2281" i="1" s="1"/>
  <c r="P2281" i="1" s="1"/>
  <c r="C2281" i="1" s="1"/>
  <c r="D2254" i="1"/>
  <c r="H2278" i="1"/>
  <c r="P2278" i="1" s="1"/>
  <c r="C2278" i="1" s="1"/>
  <c r="H2277" i="1"/>
  <c r="P2277" i="1" s="1"/>
  <c r="C2277" i="1" s="1"/>
  <c r="H2276" i="1"/>
  <c r="P2276" i="1" s="1"/>
  <c r="C2276" i="1" s="1"/>
  <c r="BL35" i="61"/>
  <c r="BL67" i="61"/>
  <c r="BI35" i="61"/>
  <c r="BI67" i="61"/>
  <c r="BH35" i="61"/>
  <c r="BH67" i="61"/>
  <c r="AP35" i="61"/>
  <c r="AP67" i="61"/>
  <c r="AO35" i="61"/>
  <c r="AO67" i="61"/>
  <c r="BJ35" i="61"/>
  <c r="BJ67" i="61"/>
  <c r="BK35" i="61"/>
  <c r="BK67" i="61"/>
  <c r="H2268" i="1"/>
  <c r="P2268" i="1" s="1"/>
  <c r="C2268" i="1" s="1"/>
  <c r="BE35" i="61"/>
  <c r="BE67" i="61"/>
  <c r="BB35" i="61"/>
  <c r="BB67" i="61"/>
  <c r="H2265" i="1"/>
  <c r="P2265" i="1" s="1"/>
  <c r="C2265" i="1" s="1"/>
  <c r="D2258" i="1"/>
  <c r="D2259" i="1" s="1"/>
  <c r="D2256" i="1"/>
  <c r="H2256" i="1" s="1"/>
  <c r="P2256" i="1" s="1"/>
  <c r="C2256" i="1" s="1"/>
  <c r="D2255" i="1"/>
  <c r="H2255" i="1" s="1"/>
  <c r="P2255" i="1" s="1"/>
  <c r="C2255" i="1" s="1"/>
  <c r="H2253" i="1"/>
  <c r="P2253" i="1" s="1"/>
  <c r="C2253" i="1" s="1"/>
  <c r="D2246" i="1"/>
  <c r="H2246" i="1" s="1"/>
  <c r="P2246" i="1" s="1"/>
  <c r="C2246" i="1" s="1"/>
  <c r="I35" i="61"/>
  <c r="I67" i="61"/>
  <c r="E2209" i="1"/>
  <c r="D2209" i="1" s="1"/>
  <c r="D2225" i="1" s="1"/>
  <c r="H2225" i="1" s="1"/>
  <c r="E2210" i="1"/>
  <c r="D2228" i="1" s="1"/>
  <c r="D2215" i="1"/>
  <c r="EM181" i="16"/>
  <c r="EM163" i="16"/>
  <c r="EM154" i="16"/>
  <c r="EM148" i="16"/>
  <c r="EM139" i="16"/>
  <c r="EM131" i="16"/>
  <c r="EM119" i="16"/>
  <c r="EN181" i="16"/>
  <c r="EN163" i="16"/>
  <c r="EN154" i="16"/>
  <c r="EN148" i="16"/>
  <c r="EN139" i="16"/>
  <c r="EN131" i="16"/>
  <c r="EN119" i="16"/>
  <c r="D2218" i="1"/>
  <c r="H2218" i="1" s="1"/>
  <c r="M2218" i="1" s="1"/>
  <c r="S181" i="16"/>
  <c r="S163" i="16"/>
  <c r="S154" i="16"/>
  <c r="S148" i="16"/>
  <c r="S139" i="16"/>
  <c r="S131" i="16"/>
  <c r="S119" i="16"/>
  <c r="D2230" i="1"/>
  <c r="H2224" i="1"/>
  <c r="D2223" i="1"/>
  <c r="H2223" i="1" s="1"/>
  <c r="D2222" i="1"/>
  <c r="H2222" i="1" s="1"/>
  <c r="P2222" i="1" s="1"/>
  <c r="C2222" i="1" s="1"/>
  <c r="D2221" i="1"/>
  <c r="H2221" i="1" s="1"/>
  <c r="P2221" i="1" s="1"/>
  <c r="C2221" i="1" s="1"/>
  <c r="D2220" i="1"/>
  <c r="H2220" i="1" s="1"/>
  <c r="M2220" i="1" s="1"/>
  <c r="D2219" i="1"/>
  <c r="H2219" i="1" s="1"/>
  <c r="P2219" i="1" s="1"/>
  <c r="C2219" i="1" s="1"/>
  <c r="D2214" i="1"/>
  <c r="H2214" i="1" s="1"/>
  <c r="D2213" i="1"/>
  <c r="H2213" i="1" s="1"/>
  <c r="P200" i="16"/>
  <c r="E2212" i="1" s="1"/>
  <c r="D2212" i="1" s="1"/>
  <c r="H2212" i="1" s="1"/>
  <c r="P2212" i="1" s="1"/>
  <c r="C2212" i="1" s="1"/>
  <c r="D2211" i="1"/>
  <c r="H2211" i="1" s="1"/>
  <c r="P2211" i="1" s="1"/>
  <c r="C2211" i="1" s="1"/>
  <c r="D2203" i="1"/>
  <c r="D2115" i="1"/>
  <c r="D2190" i="1"/>
  <c r="N2187" i="1"/>
  <c r="H2187" i="1"/>
  <c r="P2187" i="1" s="1"/>
  <c r="C2187" i="1" s="1"/>
  <c r="N2184" i="1"/>
  <c r="H2184" i="1"/>
  <c r="P2184" i="1" s="1"/>
  <c r="C2184" i="1" s="1"/>
  <c r="D2108" i="1"/>
  <c r="H2108" i="1" s="1"/>
  <c r="P2108" i="1" s="1"/>
  <c r="C2108"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D2059" i="1"/>
  <c r="D2080" i="1"/>
  <c r="H2080" i="1" s="1"/>
  <c r="D2074" i="1"/>
  <c r="H2074" i="1" s="1"/>
  <c r="K2061" i="1"/>
  <c r="L2058" i="1"/>
  <c r="H1856" i="1"/>
  <c r="P1856" i="1" s="1"/>
  <c r="C1856" i="1" s="1"/>
  <c r="H1855" i="1"/>
  <c r="P1855" i="1" s="1"/>
  <c r="C1855" i="1" s="1"/>
  <c r="H1834" i="1"/>
  <c r="P1834" i="1" s="1"/>
  <c r="C1834" i="1" s="1"/>
  <c r="H1826" i="1"/>
  <c r="P1826" i="1" s="1"/>
  <c r="C1826"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1" i="1"/>
  <c r="A97" i="42"/>
  <c r="A96" i="42"/>
  <c r="A100" i="42"/>
  <c r="J95" i="1"/>
  <c r="D734" i="23"/>
  <c r="D740" i="23" s="1"/>
  <c r="H1810" i="1"/>
  <c r="H1813" i="1"/>
  <c r="P1813" i="1" s="1"/>
  <c r="C1813" i="1" s="1"/>
  <c r="A71" i="31"/>
  <c r="G71" i="31" s="1"/>
  <c r="M97" i="1"/>
  <c r="M95" i="1"/>
  <c r="M94" i="1"/>
  <c r="M93" i="1"/>
  <c r="M80" i="1"/>
  <c r="M79" i="1"/>
  <c r="M78" i="1"/>
  <c r="M77" i="1"/>
  <c r="N747" i="1"/>
  <c r="E152" i="33"/>
  <c r="G152" i="33" s="1"/>
  <c r="I2407" i="1"/>
  <c r="I2397" i="1"/>
  <c r="I2386" i="1"/>
  <c r="D2178"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4" i="1"/>
  <c r="P1854" i="1" s="1"/>
  <c r="C1854" i="1" s="1"/>
  <c r="H1828" i="1"/>
  <c r="P1828" i="1" s="1"/>
  <c r="C1828" i="1" s="1"/>
  <c r="B38" i="42"/>
  <c r="H1807" i="1"/>
  <c r="P1807" i="1" s="1"/>
  <c r="C1807"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8" i="1"/>
  <c r="H2088" i="1" s="1"/>
  <c r="N68" i="1"/>
  <c r="J97" i="1"/>
  <c r="J93" i="1"/>
  <c r="J79" i="1"/>
  <c r="J96" i="1"/>
  <c r="J77" i="1"/>
  <c r="J94" i="1"/>
  <c r="J78" i="1"/>
  <c r="J76" i="1"/>
  <c r="H1108" i="23"/>
  <c r="H1106" i="23"/>
  <c r="H1092" i="23"/>
  <c r="H1097" i="23" s="1"/>
  <c r="A95" i="42"/>
  <c r="A105" i="42"/>
  <c r="D1968" i="1"/>
  <c r="D1787" i="1"/>
  <c r="B91" i="42"/>
  <c r="J2385" i="1"/>
  <c r="N157" i="1"/>
  <c r="N158" i="1" s="1"/>
  <c r="H1569" i="1"/>
  <c r="P1569" i="1" s="1"/>
  <c r="C1569" i="1" s="1"/>
  <c r="J1569" i="1"/>
  <c r="H2302" i="1"/>
  <c r="P2302" i="1" s="1"/>
  <c r="C2302" i="1" s="1"/>
  <c r="H1568" i="1"/>
  <c r="P1568" i="1" s="1"/>
  <c r="C1568" i="1" s="1"/>
  <c r="J1568" i="1"/>
  <c r="D1764" i="1"/>
  <c r="H2336" i="23"/>
  <c r="M604" i="1"/>
  <c r="M614" i="1"/>
  <c r="M613" i="1"/>
  <c r="M593" i="1"/>
  <c r="M594" i="1"/>
  <c r="J1197" i="1"/>
  <c r="J1086" i="1"/>
  <c r="J1251" i="1"/>
  <c r="N740" i="1"/>
  <c r="I2412" i="1"/>
  <c r="I2410" i="1"/>
  <c r="I2408" i="1"/>
  <c r="I2414" i="1"/>
  <c r="I2402" i="1"/>
  <c r="I2400" i="1"/>
  <c r="I2398" i="1"/>
  <c r="I2396" i="1"/>
  <c r="I2394" i="1"/>
  <c r="I2390" i="1"/>
  <c r="I2387" i="1"/>
  <c r="I2385" i="1"/>
  <c r="I2383" i="1"/>
  <c r="I2381" i="1"/>
  <c r="I2379" i="1"/>
  <c r="I2413" i="1"/>
  <c r="I2409" i="1"/>
  <c r="I2404" i="1"/>
  <c r="I2399" i="1"/>
  <c r="I2395" i="1"/>
  <c r="I2388" i="1"/>
  <c r="I2384" i="1"/>
  <c r="I2380" i="1"/>
  <c r="I2382" i="1"/>
  <c r="I2393" i="1"/>
  <c r="I2401" i="1"/>
  <c r="I2411" i="1"/>
  <c r="E183" i="42"/>
  <c r="G183" i="42" s="1"/>
  <c r="H1814" i="1"/>
  <c r="P1814" i="1" s="1"/>
  <c r="C1814" i="1" s="1"/>
  <c r="H1799" i="1"/>
  <c r="P1799" i="1" s="1"/>
  <c r="C1799" i="1" s="1"/>
  <c r="M603" i="1"/>
  <c r="M752" i="1"/>
  <c r="M751" i="1"/>
  <c r="E88" i="33"/>
  <c r="G88" i="33" s="1"/>
  <c r="H1853" i="1"/>
  <c r="P1853" i="1" s="1"/>
  <c r="C1853" i="1" s="1"/>
  <c r="H1851" i="1"/>
  <c r="P1851" i="1" s="1"/>
  <c r="C1851" i="1" s="1"/>
  <c r="M875" i="1"/>
  <c r="M865" i="1"/>
  <c r="N865" i="1"/>
  <c r="N974" i="1"/>
  <c r="M974" i="1"/>
  <c r="N965" i="1"/>
  <c r="M965" i="1"/>
  <c r="D872" i="1"/>
  <c r="M753" i="1"/>
  <c r="H1831" i="1"/>
  <c r="P1831" i="1" s="1"/>
  <c r="C1831" i="1" s="1"/>
  <c r="H1825" i="1"/>
  <c r="P1825" i="1" s="1"/>
  <c r="C1825" i="1" s="1"/>
  <c r="M76" i="1"/>
  <c r="J831" i="1"/>
  <c r="E174" i="42"/>
  <c r="G174" i="42" s="1"/>
  <c r="I76" i="1"/>
  <c r="I1140" i="1"/>
  <c r="I1359" i="1"/>
  <c r="I1262" i="1"/>
  <c r="B70" i="33"/>
  <c r="J2401" i="1"/>
  <c r="I853" i="1"/>
  <c r="I852" i="1"/>
  <c r="I854" i="1"/>
  <c r="I850" i="1"/>
  <c r="B72" i="42"/>
  <c r="H1449" i="23"/>
  <c r="H1173" i="23"/>
  <c r="H1107" i="23"/>
  <c r="H1187" i="23"/>
  <c r="H1190" i="23"/>
  <c r="H1182" i="23"/>
  <c r="H1185" i="23"/>
  <c r="M719" i="1"/>
  <c r="E175" i="42"/>
  <c r="G175" i="42" s="1"/>
  <c r="J2407" i="1"/>
  <c r="J2396" i="1"/>
  <c r="J2382" i="1"/>
  <c r="H1308" i="23"/>
  <c r="H1311" i="23"/>
  <c r="H1170" i="23"/>
  <c r="H1186" i="23"/>
  <c r="H1180" i="23"/>
  <c r="H1171" i="23"/>
  <c r="H1179" i="23"/>
  <c r="H1109" i="23"/>
  <c r="J2395" i="1"/>
  <c r="J2402" i="1"/>
  <c r="J2381" i="1"/>
  <c r="J2411" i="1"/>
  <c r="J2413" i="1"/>
  <c r="J2410" i="1"/>
  <c r="J2379" i="1"/>
  <c r="J2388" i="1"/>
  <c r="J2397" i="1"/>
  <c r="J2404" i="1"/>
  <c r="J2414" i="1"/>
  <c r="J2400" i="1"/>
  <c r="J2380" i="1"/>
  <c r="J2394" i="1"/>
  <c r="J2399" i="1"/>
  <c r="J2393" i="1"/>
  <c r="J2383" i="1"/>
  <c r="J2412" i="1"/>
  <c r="J2409" i="1"/>
  <c r="J2390" i="1"/>
  <c r="J2408" i="1"/>
  <c r="J2386" i="1"/>
  <c r="J2387" i="1"/>
  <c r="J2384" i="1"/>
  <c r="J239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E2" i="97" s="1"/>
  <c r="G2379" i="23"/>
  <c r="F2379" i="23"/>
  <c r="E2379" i="23"/>
  <c r="E80" i="97" s="1"/>
  <c r="G2384" i="23"/>
  <c r="G233" i="97" s="1"/>
  <c r="F2384" i="23"/>
  <c r="F233" i="97" s="1"/>
  <c r="E2384" i="23"/>
  <c r="E233" i="97" s="1"/>
  <c r="G2386" i="23"/>
  <c r="G234" i="97" s="1"/>
  <c r="F2386" i="23"/>
  <c r="F234" i="97" s="1"/>
  <c r="E2386" i="23"/>
  <c r="E234"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2" i="1"/>
  <c r="F2312" i="1"/>
  <c r="E2312" i="1"/>
  <c r="G2311" i="1"/>
  <c r="F2311" i="1"/>
  <c r="E2311" i="1"/>
  <c r="G2310" i="1"/>
  <c r="F2310" i="1"/>
  <c r="E2310" i="1"/>
  <c r="G2301" i="1"/>
  <c r="F2301" i="1"/>
  <c r="E2301" i="1"/>
  <c r="G2300" i="1"/>
  <c r="F2300" i="1"/>
  <c r="E2300" i="1"/>
  <c r="G2299" i="1"/>
  <c r="F2299" i="1"/>
  <c r="E2299" i="1"/>
  <c r="G2330" i="1"/>
  <c r="F2330" i="1"/>
  <c r="E2330" i="1"/>
  <c r="G2326" i="1"/>
  <c r="F2326" i="1"/>
  <c r="E2326" i="1"/>
  <c r="E4" i="97" s="1"/>
  <c r="G2325" i="1"/>
  <c r="F2325" i="1"/>
  <c r="E2325" i="1"/>
  <c r="E5" i="97" s="1"/>
  <c r="G2323" i="1"/>
  <c r="E2323" i="1"/>
  <c r="G2321" i="1"/>
  <c r="E2321" i="1"/>
  <c r="G1988" i="1"/>
  <c r="E1988" i="1"/>
  <c r="G1987" i="1"/>
  <c r="F1987" i="1"/>
  <c r="E1987" i="1"/>
  <c r="G1986" i="1"/>
  <c r="E1986"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1" i="1"/>
  <c r="E1991"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8" i="1"/>
  <c r="H2138" i="1"/>
  <c r="P2138" i="1" s="1"/>
  <c r="C2138"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3"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0" i="1"/>
  <c r="P2160" i="1" s="1"/>
  <c r="C2160" i="1" s="1"/>
  <c r="N2160"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5" i="1"/>
  <c r="H2226"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3" i="1"/>
  <c r="J1003" i="1"/>
  <c r="J1004" i="1"/>
  <c r="J1002" i="1"/>
  <c r="C1187" i="1"/>
  <c r="C1202" i="1"/>
  <c r="D66" i="117"/>
  <c r="G66" i="117" s="1"/>
  <c r="E286" i="42"/>
  <c r="E277" i="42"/>
  <c r="G277" i="42" s="1"/>
  <c r="E295" i="42"/>
  <c r="E293" i="42"/>
  <c r="E276" i="42"/>
  <c r="G276" i="42" s="1"/>
  <c r="E228" i="42"/>
  <c r="G228" i="42" s="1"/>
  <c r="P2098" i="1"/>
  <c r="C2098" i="1" s="1"/>
  <c r="C2058" i="1"/>
  <c r="F393" i="23" l="1"/>
  <c r="F146" i="97"/>
  <c r="D41" i="130"/>
  <c r="F7" i="97"/>
  <c r="D42" i="130"/>
  <c r="J686" i="1"/>
  <c r="G146" i="97"/>
  <c r="E41" i="130"/>
  <c r="G7" i="97"/>
  <c r="E42" i="130"/>
  <c r="F5" i="97"/>
  <c r="D39" i="130"/>
  <c r="F128" i="97"/>
  <c r="D38" i="130"/>
  <c r="G4" i="97"/>
  <c r="E40" i="130"/>
  <c r="F138" i="97"/>
  <c r="H13" i="113"/>
  <c r="G138" i="97"/>
  <c r="I13" i="113"/>
  <c r="G5" i="97"/>
  <c r="E39" i="130"/>
  <c r="G128" i="97"/>
  <c r="E38" i="130"/>
  <c r="F4" i="97"/>
  <c r="D40" i="130"/>
  <c r="P1810" i="1"/>
  <c r="H70" i="97"/>
  <c r="H1960" i="1"/>
  <c r="D203" i="97"/>
  <c r="C1775" i="1"/>
  <c r="C23" i="97" s="1"/>
  <c r="I23" i="97"/>
  <c r="F20" i="97"/>
  <c r="G20" i="97"/>
  <c r="F96" i="97"/>
  <c r="G96" i="97"/>
  <c r="F107" i="97"/>
  <c r="G150" i="97"/>
  <c r="G151" i="97"/>
  <c r="G107" i="97"/>
  <c r="I686" i="1"/>
  <c r="M620" i="1"/>
  <c r="I1046" i="1"/>
  <c r="E230" i="42"/>
  <c r="G230" i="42" s="1"/>
  <c r="H1779" i="1"/>
  <c r="K1779" i="1"/>
  <c r="H1780" i="1"/>
  <c r="H14" i="97" s="1"/>
  <c r="K1780" i="1"/>
  <c r="M672" i="1"/>
  <c r="N672" i="1"/>
  <c r="O672" i="1"/>
  <c r="I672" i="1"/>
  <c r="J672" i="1"/>
  <c r="K1915" i="1"/>
  <c r="K1914" i="1"/>
  <c r="D1914" i="1" s="1"/>
  <c r="K1913" i="1"/>
  <c r="T2326" i="1"/>
  <c r="H2326" i="1" s="1"/>
  <c r="P1804" i="1"/>
  <c r="K1909" i="1"/>
  <c r="D1909" i="1" s="1"/>
  <c r="I118" i="97"/>
  <c r="P1928" i="1"/>
  <c r="F195" i="97"/>
  <c r="F136" i="97"/>
  <c r="D1777" i="1"/>
  <c r="D18" i="97" s="1"/>
  <c r="F19" i="97"/>
  <c r="F206" i="97"/>
  <c r="F95" i="97"/>
  <c r="F199" i="97"/>
  <c r="P1791" i="1"/>
  <c r="G31" i="130" s="1"/>
  <c r="P1925" i="1"/>
  <c r="K1897" i="1"/>
  <c r="K1939" i="1"/>
  <c r="H1939" i="1" s="1"/>
  <c r="K1979" i="1"/>
  <c r="T2352" i="1"/>
  <c r="P1816" i="1"/>
  <c r="G35" i="130" s="1"/>
  <c r="K1968" i="1"/>
  <c r="H1968" i="1" s="1"/>
  <c r="K2000" i="1"/>
  <c r="H2000" i="1" s="1"/>
  <c r="P1966" i="1"/>
  <c r="K1895" i="1"/>
  <c r="K1949" i="1"/>
  <c r="H1949" i="1" s="1"/>
  <c r="K1981" i="1"/>
  <c r="H1981" i="1" s="1"/>
  <c r="T2354" i="1"/>
  <c r="K1926" i="1"/>
  <c r="K1970" i="1"/>
  <c r="H1970" i="1" s="1"/>
  <c r="K2006" i="1"/>
  <c r="P1944" i="1"/>
  <c r="P1984" i="1"/>
  <c r="P1941" i="1"/>
  <c r="P1973" i="1"/>
  <c r="P1974" i="1"/>
  <c r="P1939" i="1"/>
  <c r="P1983" i="1"/>
  <c r="K1901" i="1"/>
  <c r="D1901" i="1" s="1"/>
  <c r="K1943" i="1"/>
  <c r="H1943" i="1" s="1"/>
  <c r="K1983" i="1"/>
  <c r="H1983" i="1" s="1"/>
  <c r="T2356" i="1"/>
  <c r="K1934" i="1"/>
  <c r="H1934" i="1" s="1"/>
  <c r="K1972" i="1"/>
  <c r="H1972" i="1" s="1"/>
  <c r="K2004" i="1"/>
  <c r="H2004" i="1" s="1"/>
  <c r="P1860" i="1"/>
  <c r="K1899" i="1"/>
  <c r="K1953" i="1"/>
  <c r="H1953" i="1" s="1"/>
  <c r="K1985" i="1"/>
  <c r="T2358" i="1"/>
  <c r="K1892" i="1"/>
  <c r="D1892" i="1" s="1"/>
  <c r="K1974" i="1"/>
  <c r="H1974" i="1" s="1"/>
  <c r="K1890" i="1"/>
  <c r="D1890" i="1" s="1"/>
  <c r="H1890" i="1" s="1"/>
  <c r="P1948" i="1"/>
  <c r="P1945" i="1"/>
  <c r="P1977" i="1"/>
  <c r="P1978" i="1"/>
  <c r="P1943" i="1"/>
  <c r="P1987" i="1"/>
  <c r="K1905" i="1"/>
  <c r="K1947" i="1"/>
  <c r="H1947" i="1" s="1"/>
  <c r="K1987" i="1"/>
  <c r="H1987" i="1" s="1"/>
  <c r="T2360" i="1"/>
  <c r="K1894" i="1"/>
  <c r="K1937" i="1"/>
  <c r="H1937" i="1" s="1"/>
  <c r="K1976" i="1"/>
  <c r="H1976" i="1" s="1"/>
  <c r="K2008" i="1"/>
  <c r="H2008" i="1" s="1"/>
  <c r="P1836" i="1"/>
  <c r="K1903" i="1"/>
  <c r="K1957" i="1"/>
  <c r="H1957" i="1" s="1"/>
  <c r="H64" i="97" s="1"/>
  <c r="K1993" i="1"/>
  <c r="H1993" i="1" s="1"/>
  <c r="T2362" i="1"/>
  <c r="K1896" i="1"/>
  <c r="D1896" i="1" s="1"/>
  <c r="K1978" i="1"/>
  <c r="H1978" i="1" s="1"/>
  <c r="T2351" i="1"/>
  <c r="D1778" i="1"/>
  <c r="D17" i="97" s="1"/>
  <c r="P1949" i="1"/>
  <c r="P1981" i="1"/>
  <c r="P1942" i="1"/>
  <c r="P1982" i="1"/>
  <c r="P1947" i="1"/>
  <c r="P1991" i="1"/>
  <c r="K1919" i="1"/>
  <c r="K1995" i="1"/>
  <c r="H1995" i="1" s="1"/>
  <c r="K1902" i="1"/>
  <c r="K1984" i="1"/>
  <c r="H1984" i="1" s="1"/>
  <c r="K1965" i="1"/>
  <c r="H1965" i="1" s="1"/>
  <c r="T2342" i="1"/>
  <c r="K1911" i="1"/>
  <c r="K1959" i="1"/>
  <c r="K1991" i="1"/>
  <c r="H1991" i="1" s="1"/>
  <c r="T2349" i="1"/>
  <c r="K1898" i="1"/>
  <c r="D1898" i="1" s="1"/>
  <c r="K1940" i="1"/>
  <c r="H1940" i="1" s="1"/>
  <c r="K1980" i="1"/>
  <c r="T2357" i="1"/>
  <c r="K1921" i="1"/>
  <c r="K1961" i="1"/>
  <c r="H1961" i="1" s="1"/>
  <c r="K1997" i="1"/>
  <c r="H1997" i="1" s="1"/>
  <c r="T2347" i="1"/>
  <c r="K1900" i="1"/>
  <c r="D1900" i="1" s="1"/>
  <c r="K1942" i="1"/>
  <c r="H1942" i="1" s="1"/>
  <c r="K1982" i="1"/>
  <c r="T2355" i="1"/>
  <c r="P1964" i="1"/>
  <c r="P1953" i="1"/>
  <c r="P1950" i="1"/>
  <c r="P1963" i="1"/>
  <c r="K1963" i="1"/>
  <c r="H1963" i="1" s="1"/>
  <c r="T2345" i="1"/>
  <c r="K1944" i="1"/>
  <c r="T2361" i="1"/>
  <c r="K1925" i="1"/>
  <c r="K2001" i="1"/>
  <c r="H2001" i="1" s="1"/>
  <c r="K1904" i="1"/>
  <c r="K1923" i="1"/>
  <c r="K1967" i="1"/>
  <c r="H1967" i="1" s="1"/>
  <c r="K1999" i="1"/>
  <c r="H1999" i="1" s="1"/>
  <c r="T2319" i="1"/>
  <c r="P2319" i="1" s="1"/>
  <c r="I230" i="97" s="1"/>
  <c r="K1906" i="1"/>
  <c r="K1948" i="1"/>
  <c r="H1948" i="1" s="1"/>
  <c r="K1988" i="1"/>
  <c r="H1988" i="1" s="1"/>
  <c r="T2348" i="1"/>
  <c r="T1769" i="1"/>
  <c r="K1938" i="1"/>
  <c r="H1938" i="1" s="1"/>
  <c r="K1969" i="1"/>
  <c r="H1969" i="1" s="1"/>
  <c r="K2005" i="1"/>
  <c r="H2005" i="1" s="1"/>
  <c r="P1986" i="1"/>
  <c r="K1958" i="1"/>
  <c r="H1958" i="1" s="1"/>
  <c r="K1994" i="1"/>
  <c r="H1994" i="1" s="1"/>
  <c r="T2363" i="1"/>
  <c r="P1934" i="1"/>
  <c r="P1972" i="1"/>
  <c r="P1961" i="1"/>
  <c r="P1962" i="1"/>
  <c r="P1971" i="1"/>
  <c r="T2343" i="1"/>
  <c r="K2009" i="1"/>
  <c r="H2009" i="1" s="1"/>
  <c r="K1966" i="1"/>
  <c r="P1938" i="1"/>
  <c r="K1893" i="1"/>
  <c r="P1988" i="1"/>
  <c r="T2350" i="1"/>
  <c r="K1986" i="1"/>
  <c r="H1986" i="1" s="1"/>
  <c r="P1937" i="1"/>
  <c r="P1957" i="1"/>
  <c r="I64" i="97" s="1"/>
  <c r="P1970" i="1"/>
  <c r="K1933" i="1"/>
  <c r="H1933" i="1" s="1"/>
  <c r="K1920" i="1"/>
  <c r="K1998" i="1"/>
  <c r="H1998" i="1" s="1"/>
  <c r="P1940" i="1"/>
  <c r="P1965" i="1"/>
  <c r="K1936" i="1"/>
  <c r="H1936" i="1" s="1"/>
  <c r="K1924" i="1"/>
  <c r="K1891" i="1"/>
  <c r="K2002" i="1"/>
  <c r="H2002" i="1" s="1"/>
  <c r="P1968" i="1"/>
  <c r="P1969" i="1"/>
  <c r="P1933" i="1"/>
  <c r="K1971" i="1"/>
  <c r="H1971" i="1" s="1"/>
  <c r="K1960" i="1"/>
  <c r="K1941" i="1"/>
  <c r="H1941" i="1" s="1"/>
  <c r="T2359" i="1"/>
  <c r="P1976" i="1"/>
  <c r="P1936" i="1"/>
  <c r="K1975" i="1"/>
  <c r="H1975" i="1" s="1"/>
  <c r="K1964" i="1"/>
  <c r="H1964" i="1" s="1"/>
  <c r="K1945" i="1"/>
  <c r="H1945" i="1" s="1"/>
  <c r="K1922" i="1"/>
  <c r="T2346" i="1"/>
  <c r="P1980" i="1"/>
  <c r="P1967" i="1"/>
  <c r="K2003" i="1"/>
  <c r="H2003" i="1" s="1"/>
  <c r="K1992" i="1"/>
  <c r="H1992" i="1" s="1"/>
  <c r="K1973" i="1"/>
  <c r="K1950" i="1"/>
  <c r="H1950" i="1" s="1"/>
  <c r="P1975" i="1"/>
  <c r="K2007" i="1"/>
  <c r="H2007" i="1" s="1"/>
  <c r="K1996" i="1"/>
  <c r="H1996" i="1" s="1"/>
  <c r="K1977" i="1"/>
  <c r="H1977" i="1" s="1"/>
  <c r="K1962" i="1"/>
  <c r="H1962" i="1" s="1"/>
  <c r="P1958" i="1"/>
  <c r="P1931" i="1"/>
  <c r="P1955" i="1"/>
  <c r="P1935" i="1"/>
  <c r="P1952" i="1"/>
  <c r="P1946" i="1"/>
  <c r="P1951" i="1"/>
  <c r="T2353" i="1"/>
  <c r="P1954" i="1"/>
  <c r="K1952" i="1"/>
  <c r="H1952" i="1" s="1"/>
  <c r="K1935" i="1"/>
  <c r="K1955" i="1"/>
  <c r="H1955" i="1" s="1"/>
  <c r="K1930" i="1"/>
  <c r="H1930" i="1" s="1"/>
  <c r="P1930" i="1" s="1"/>
  <c r="K1931" i="1"/>
  <c r="H1931" i="1" s="1"/>
  <c r="K1951" i="1"/>
  <c r="H1951" i="1" s="1"/>
  <c r="K1954" i="1"/>
  <c r="K1946" i="1"/>
  <c r="H1946" i="1" s="1"/>
  <c r="P1990" i="1"/>
  <c r="P1989" i="1"/>
  <c r="K1989" i="1"/>
  <c r="H1989" i="1" s="1"/>
  <c r="K1990" i="1"/>
  <c r="H1990" i="1" s="1"/>
  <c r="P1924" i="1"/>
  <c r="F187" i="97"/>
  <c r="M935" i="1"/>
  <c r="F6" i="97"/>
  <c r="D6" i="130"/>
  <c r="G122" i="97"/>
  <c r="F2" i="97"/>
  <c r="D3" i="130"/>
  <c r="F3" i="97"/>
  <c r="D4" i="130"/>
  <c r="G6" i="97"/>
  <c r="E6" i="130"/>
  <c r="F80" i="97"/>
  <c r="D5" i="130"/>
  <c r="G2" i="97"/>
  <c r="E3" i="130"/>
  <c r="G3" i="97"/>
  <c r="E4" i="130"/>
  <c r="G16" i="97"/>
  <c r="F116" i="97"/>
  <c r="G80" i="97"/>
  <c r="E5" i="130"/>
  <c r="F122" i="97"/>
  <c r="G116" i="97"/>
  <c r="H2525" i="23"/>
  <c r="H2521" i="23"/>
  <c r="H8" i="97" s="1"/>
  <c r="H2526" i="23"/>
  <c r="H2524" i="23"/>
  <c r="H262" i="97" s="1"/>
  <c r="H2520" i="23"/>
  <c r="H86" i="97" s="1"/>
  <c r="H2517" i="23"/>
  <c r="H84" i="97" s="1"/>
  <c r="H2516" i="23"/>
  <c r="H2518" i="23"/>
  <c r="H81" i="97" s="1"/>
  <c r="H2515" i="23"/>
  <c r="H2519" i="23"/>
  <c r="H2514" i="23"/>
  <c r="H2513" i="23"/>
  <c r="H2522" i="23"/>
  <c r="H93" i="97" s="1"/>
  <c r="H2523" i="23"/>
  <c r="H211" i="97" s="1"/>
  <c r="F2400" i="23"/>
  <c r="G2400" i="23"/>
  <c r="D3028" i="23"/>
  <c r="I3028" i="23"/>
  <c r="D85" i="109"/>
  <c r="E92" i="109"/>
  <c r="E93" i="109"/>
  <c r="E85" i="109"/>
  <c r="D92" i="109"/>
  <c r="D84" i="109"/>
  <c r="D94" i="109"/>
  <c r="E84" i="109"/>
  <c r="E94" i="109"/>
  <c r="D93" i="109"/>
  <c r="K1912" i="1"/>
  <c r="K1917" i="1"/>
  <c r="P1806" i="1"/>
  <c r="I69" i="97" s="1"/>
  <c r="P1805" i="1"/>
  <c r="I120" i="97" s="1"/>
  <c r="E12" i="109"/>
  <c r="E134" i="115" s="1"/>
  <c r="E16" i="105"/>
  <c r="D4" i="109"/>
  <c r="C125" i="115" s="1"/>
  <c r="D5" i="109"/>
  <c r="C126" i="115" s="1"/>
  <c r="E4" i="109"/>
  <c r="E125" i="115" s="1"/>
  <c r="E5" i="109"/>
  <c r="E126" i="115" s="1"/>
  <c r="D12" i="109"/>
  <c r="C134" i="115" s="1"/>
  <c r="F16" i="105"/>
  <c r="P1929" i="1"/>
  <c r="E1654" i="1"/>
  <c r="D1747" i="1" s="1"/>
  <c r="K1857" i="1"/>
  <c r="H1857" i="1" s="1"/>
  <c r="C1857" i="1" s="1"/>
  <c r="K1800" i="1"/>
  <c r="H1800" i="1" s="1"/>
  <c r="C1800" i="1" s="1"/>
  <c r="K1342" i="1"/>
  <c r="K1175" i="1"/>
  <c r="K1072" i="1"/>
  <c r="K993" i="1"/>
  <c r="K725" i="1"/>
  <c r="K652" i="1"/>
  <c r="K326" i="1"/>
  <c r="K164" i="1"/>
  <c r="K92" i="1"/>
  <c r="K14" i="1"/>
  <c r="K619" i="1"/>
  <c r="K156" i="1"/>
  <c r="K750" i="1"/>
  <c r="K134" i="1"/>
  <c r="K1819" i="1"/>
  <c r="H1819" i="1" s="1"/>
  <c r="C1819" i="1" s="1"/>
  <c r="K858" i="1"/>
  <c r="K583" i="1"/>
  <c r="K1008" i="1"/>
  <c r="K675" i="1"/>
  <c r="K188" i="1"/>
  <c r="K1850" i="1"/>
  <c r="H1850" i="1" s="1"/>
  <c r="K1797" i="1"/>
  <c r="H1797" i="1" s="1"/>
  <c r="K1328" i="1"/>
  <c r="K1135" i="1"/>
  <c r="K1053" i="1"/>
  <c r="K942" i="1"/>
  <c r="K779" i="1"/>
  <c r="K718" i="1"/>
  <c r="K1833" i="1"/>
  <c r="H1833" i="1" s="1"/>
  <c r="K1794" i="1"/>
  <c r="K1313" i="1"/>
  <c r="K1131" i="1"/>
  <c r="K1043" i="1"/>
  <c r="K933" i="1"/>
  <c r="K772" i="1"/>
  <c r="K773" i="1" s="1"/>
  <c r="K717" i="1"/>
  <c r="K611" i="1"/>
  <c r="K152" i="1"/>
  <c r="K53" i="1"/>
  <c r="K1286" i="1"/>
  <c r="K1023" i="1"/>
  <c r="K591" i="1"/>
  <c r="K1271" i="1"/>
  <c r="K746" i="1"/>
  <c r="K125" i="1"/>
  <c r="K1258" i="1"/>
  <c r="K849" i="1"/>
  <c r="K117" i="1"/>
  <c r="K1827" i="1"/>
  <c r="H1827" i="1" s="1"/>
  <c r="C1827" i="1" s="1"/>
  <c r="K1410" i="1"/>
  <c r="K1300" i="1"/>
  <c r="K1122" i="1"/>
  <c r="K1033" i="1"/>
  <c r="K928" i="1"/>
  <c r="K763" i="1"/>
  <c r="K702" i="1"/>
  <c r="K601" i="1"/>
  <c r="K213" i="1"/>
  <c r="K142" i="1"/>
  <c r="K1398" i="1"/>
  <c r="K1107" i="1"/>
  <c r="K693" i="1"/>
  <c r="K45" i="1"/>
  <c r="K1100" i="1"/>
  <c r="K196" i="1"/>
  <c r="K1371" i="1"/>
  <c r="K27" i="1"/>
  <c r="K1823" i="1"/>
  <c r="H1823" i="1" s="1"/>
  <c r="C1823" i="1" s="1"/>
  <c r="K1808" i="1"/>
  <c r="H1808" i="1" s="1"/>
  <c r="F34" i="130" s="1"/>
  <c r="K1355" i="1"/>
  <c r="K1188" i="1"/>
  <c r="K1082" i="1"/>
  <c r="K1000" i="1"/>
  <c r="K827" i="1"/>
  <c r="K732" i="1"/>
  <c r="K663" i="1"/>
  <c r="K667" i="1" s="1"/>
  <c r="K551" i="1"/>
  <c r="K174" i="1"/>
  <c r="K109" i="1"/>
  <c r="K18" i="1"/>
  <c r="K234" i="1"/>
  <c r="K75" i="1"/>
  <c r="K224" i="1"/>
  <c r="K63" i="1"/>
  <c r="K205" i="1"/>
  <c r="K1385" i="1"/>
  <c r="K1015" i="1"/>
  <c r="K685" i="1"/>
  <c r="K37" i="1"/>
  <c r="K1812" i="1"/>
  <c r="H1812" i="1" s="1"/>
  <c r="C1812" i="1" s="1"/>
  <c r="K1092" i="1"/>
  <c r="K739" i="1"/>
  <c r="K567" i="1"/>
  <c r="K898" i="1"/>
  <c r="K952" i="1"/>
  <c r="K953" i="1" s="1"/>
  <c r="K1114" i="1"/>
  <c r="K1118" i="1" s="1"/>
  <c r="K1836" i="1"/>
  <c r="K887" i="1"/>
  <c r="K888" i="1" s="1"/>
  <c r="L2043" i="1"/>
  <c r="L2017" i="1"/>
  <c r="L2037" i="1"/>
  <c r="L2033" i="1"/>
  <c r="L2029" i="1"/>
  <c r="L2026" i="1"/>
  <c r="L2021" i="1"/>
  <c r="L2053" i="1"/>
  <c r="L2047" i="1"/>
  <c r="L2014" i="1"/>
  <c r="BJ69" i="61"/>
  <c r="D2270" i="1" s="1"/>
  <c r="H2270" i="1" s="1"/>
  <c r="P2270" i="1" s="1"/>
  <c r="C2270" i="1" s="1"/>
  <c r="E95" i="16"/>
  <c r="K629" i="1"/>
  <c r="K632" i="1" s="1"/>
  <c r="J851" i="1"/>
  <c r="H1803" i="1"/>
  <c r="P1803" i="1" s="1"/>
  <c r="C1803" i="1" s="1"/>
  <c r="H1824" i="1"/>
  <c r="P1824" i="1" s="1"/>
  <c r="C1824" i="1" s="1"/>
  <c r="H1815" i="1"/>
  <c r="P1815" i="1" s="1"/>
  <c r="C1815" i="1" s="1"/>
  <c r="H1832" i="1"/>
  <c r="P1832" i="1" s="1"/>
  <c r="C1832" i="1" s="1"/>
  <c r="H1802" i="1"/>
  <c r="P1802" i="1" s="1"/>
  <c r="C1802" i="1" s="1"/>
  <c r="G14" i="114"/>
  <c r="T2328" i="1"/>
  <c r="K2328"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6" i="41"/>
  <c r="J809" i="1"/>
  <c r="N612" i="1"/>
  <c r="I935" i="1"/>
  <c r="N809" i="1"/>
  <c r="BK69" i="61"/>
  <c r="D2269" i="1" s="1"/>
  <c r="H2269" i="1" s="1"/>
  <c r="P2269" i="1" s="1"/>
  <c r="C2269"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1" i="1"/>
  <c r="F1225" i="23"/>
  <c r="F476" i="23"/>
  <c r="CP134" i="70"/>
  <c r="EY95" i="16"/>
  <c r="BQ182" i="16"/>
  <c r="CW95" i="16"/>
  <c r="T898" i="1"/>
  <c r="P898" i="1" s="1"/>
  <c r="L898" i="1"/>
  <c r="L652" i="1"/>
  <c r="D2159" i="1"/>
  <c r="H2159" i="1" s="1"/>
  <c r="P2159" i="1" s="1"/>
  <c r="C2159" i="1" s="1"/>
  <c r="AC69" i="61"/>
  <c r="FM95" i="16"/>
  <c r="ED95" i="16"/>
  <c r="B36" i="31"/>
  <c r="J920" i="1"/>
  <c r="D926" i="1"/>
  <c r="D925" i="1" s="1"/>
  <c r="DT95" i="16"/>
  <c r="BC95" i="16"/>
  <c r="B13" i="35"/>
  <c r="I920" i="1"/>
  <c r="G28" i="33"/>
  <c r="I1009" i="1"/>
  <c r="AH229" i="70"/>
  <c r="K1840" i="1"/>
  <c r="B86" i="31"/>
  <c r="AJ69" i="61"/>
  <c r="BR134" i="70"/>
  <c r="F182" i="16"/>
  <c r="FH182" i="16"/>
  <c r="AR95" i="16"/>
  <c r="D2161" i="1"/>
  <c r="H2161" i="1" s="1"/>
  <c r="P2161" i="1" s="1"/>
  <c r="C2161" i="1" s="1"/>
  <c r="D2146" i="1"/>
  <c r="N2146" i="1" s="1"/>
  <c r="D2131" i="1"/>
  <c r="N2131" i="1" s="1"/>
  <c r="D2141" i="1"/>
  <c r="N2141" i="1" s="1"/>
  <c r="H2152" i="1"/>
  <c r="P2152" i="1" s="1"/>
  <c r="C2152"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7" i="1"/>
  <c r="F78" i="33"/>
  <c r="D1676" i="1"/>
  <c r="H1676" i="1" s="1"/>
  <c r="P1676" i="1" s="1"/>
  <c r="C1676" i="1" s="1"/>
  <c r="H2179" i="1"/>
  <c r="P2179" i="1" s="1"/>
  <c r="C2179" i="1" s="1"/>
  <c r="I1721" i="1"/>
  <c r="I1695" i="1"/>
  <c r="G177" i="23"/>
  <c r="G945" i="23"/>
  <c r="E945" i="23"/>
  <c r="D2148" i="1"/>
  <c r="N2148" i="1" s="1"/>
  <c r="DH341" i="20"/>
  <c r="M633" i="1"/>
  <c r="I633" i="1"/>
  <c r="G671" i="23"/>
  <c r="F671" i="23"/>
  <c r="F1777" i="23"/>
  <c r="G1777" i="23"/>
  <c r="F965" i="23"/>
  <c r="E965" i="23"/>
  <c r="E2400" i="23"/>
  <c r="H2050" i="23"/>
  <c r="H2063" i="23" s="1"/>
  <c r="H2064" i="23"/>
  <c r="K1798" i="1"/>
  <c r="H1798" i="1"/>
  <c r="P1798" i="1" s="1"/>
  <c r="C1798"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9" i="1"/>
  <c r="N2129" i="1" s="1"/>
  <c r="I1093" i="1"/>
  <c r="H1760" i="23"/>
  <c r="H1770" i="23" s="1"/>
  <c r="H1771" i="23" s="1"/>
  <c r="H1772" i="23" s="1"/>
  <c r="GN95" i="16"/>
  <c r="G66" i="35"/>
  <c r="B68" i="31"/>
  <c r="G68" i="31"/>
  <c r="B21" i="42"/>
  <c r="G57" i="42"/>
  <c r="F1472" i="23"/>
  <c r="G237" i="23"/>
  <c r="E181" i="42"/>
  <c r="G181" i="42" s="1"/>
  <c r="G13" i="34"/>
  <c r="G45" i="42"/>
  <c r="CV182" i="16"/>
  <c r="D2308" i="1"/>
  <c r="C2308" i="1" s="1"/>
  <c r="J828" i="1"/>
  <c r="M828" i="1"/>
  <c r="GN182" i="16"/>
  <c r="G13" i="42"/>
  <c r="G13" i="35"/>
  <c r="J1063" i="1"/>
  <c r="I1063" i="1"/>
  <c r="I1024" i="1"/>
  <c r="J1024" i="1"/>
  <c r="G65" i="31"/>
  <c r="B23" i="33"/>
  <c r="F217" i="23"/>
  <c r="H1958" i="23"/>
  <c r="DL95" i="16"/>
  <c r="B66" i="33"/>
  <c r="M134" i="70"/>
  <c r="X182" i="16"/>
  <c r="DZ182" i="16"/>
  <c r="D2099" i="1"/>
  <c r="H2099" i="1" s="1"/>
  <c r="P2099" i="1" s="1"/>
  <c r="C2099" i="1" s="1"/>
  <c r="EG95" i="16"/>
  <c r="I820" i="1"/>
  <c r="J820" i="1"/>
  <c r="D696" i="1"/>
  <c r="N696" i="1" s="1"/>
  <c r="J695" i="1"/>
  <c r="D671" i="1"/>
  <c r="D205" i="97" s="1"/>
  <c r="ES95" i="16"/>
  <c r="CP307" i="70"/>
  <c r="C134" i="70"/>
  <c r="FK95" i="16"/>
  <c r="FK184" i="16" s="1"/>
  <c r="CG182" i="16"/>
  <c r="DH95" i="16"/>
  <c r="AI69" i="61"/>
  <c r="FQ182" i="16"/>
  <c r="FC95" i="16"/>
  <c r="FK182" i="16"/>
  <c r="GA182" i="16"/>
  <c r="BL182" i="16"/>
  <c r="DO95" i="16"/>
  <c r="D1538" i="1" s="1"/>
  <c r="D1541" i="1" s="1"/>
  <c r="J1541" i="1" s="1"/>
  <c r="AP69" i="61"/>
  <c r="D2272" i="1" s="1"/>
  <c r="H2272" i="1" s="1"/>
  <c r="P2272" i="1" s="1"/>
  <c r="C2272"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6" i="1"/>
  <c r="N2176"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0" i="1"/>
  <c r="H1830" i="1"/>
  <c r="P1830" i="1" s="1"/>
  <c r="C1830"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80" i="1"/>
  <c r="H2180" i="1" s="1"/>
  <c r="P2180" i="1" s="1"/>
  <c r="C2180"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2" i="1"/>
  <c r="N2142"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1" i="1"/>
  <c r="D2145" i="1"/>
  <c r="H2145" i="1" s="1"/>
  <c r="P2145" i="1" s="1"/>
  <c r="C2145"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1" i="1" s="1"/>
  <c r="H2271" i="1" s="1"/>
  <c r="P2271" i="1" s="1"/>
  <c r="C2271" i="1" s="1"/>
  <c r="D2177"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3" i="1"/>
  <c r="E182" i="42"/>
  <c r="G182" i="42" s="1"/>
  <c r="FG182" i="16"/>
  <c r="T1062" i="1"/>
  <c r="P1062" i="1" s="1"/>
  <c r="T818" i="1"/>
  <c r="P818" i="1" s="1"/>
  <c r="T1456" i="1"/>
  <c r="P1456" i="1" s="1"/>
  <c r="T1155" i="1"/>
  <c r="P1155" i="1" s="1"/>
  <c r="T482" i="1"/>
  <c r="P482" i="1" s="1"/>
  <c r="T396" i="1"/>
  <c r="P396" i="1" s="1"/>
  <c r="T283" i="1"/>
  <c r="P283" i="1" s="1"/>
  <c r="T783" i="1"/>
  <c r="P783" i="1" s="1"/>
  <c r="G23" i="130"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4" i="1" s="1"/>
  <c r="H2274" i="1" s="1"/>
  <c r="P2274" i="1" s="1"/>
  <c r="C2274" i="1" s="1"/>
  <c r="K2323" i="1"/>
  <c r="K2335" i="1"/>
  <c r="K2345" i="1"/>
  <c r="K2354" i="1"/>
  <c r="K2362" i="1"/>
  <c r="K2363" i="1"/>
  <c r="K2327" i="1"/>
  <c r="K2348" i="1"/>
  <c r="K2365" i="1"/>
  <c r="K2357" i="1"/>
  <c r="K2325" i="1"/>
  <c r="K2347" i="1"/>
  <c r="K2356" i="1"/>
  <c r="K2364" i="1"/>
  <c r="K2338" i="1"/>
  <c r="K2331" i="1"/>
  <c r="K2350" i="1"/>
  <c r="K2359" i="1"/>
  <c r="K2330" i="1"/>
  <c r="K2340" i="1"/>
  <c r="K2349" i="1"/>
  <c r="K2358" i="1"/>
  <c r="K2321" i="1"/>
  <c r="K2332" i="1"/>
  <c r="K2342" i="1"/>
  <c r="K2351" i="1"/>
  <c r="K2322" i="1"/>
  <c r="K2333" i="1"/>
  <c r="K2343" i="1"/>
  <c r="K2352" i="1"/>
  <c r="K2361" i="1"/>
  <c r="K2324" i="1"/>
  <c r="K2346" i="1"/>
  <c r="K2355" i="1"/>
  <c r="K2360" i="1"/>
  <c r="K2334" i="1"/>
  <c r="D1897" i="1"/>
  <c r="T2333" i="1"/>
  <c r="H2333" i="1" s="1"/>
  <c r="T2339" i="1"/>
  <c r="H2339" i="1" s="1"/>
  <c r="P2339" i="1" s="1"/>
  <c r="C2339" i="1" s="1"/>
  <c r="T2330" i="1"/>
  <c r="H2330" i="1" s="1"/>
  <c r="T2321" i="1"/>
  <c r="H2321" i="1" s="1"/>
  <c r="P2321" i="1" s="1"/>
  <c r="C2321" i="1" s="1"/>
  <c r="T2324" i="1"/>
  <c r="H2324" i="1" s="1"/>
  <c r="P2324" i="1" s="1"/>
  <c r="C2324" i="1" s="1"/>
  <c r="T2331" i="1"/>
  <c r="H2331" i="1" s="1"/>
  <c r="T2336" i="1"/>
  <c r="H2336" i="1" s="1"/>
  <c r="T2340" i="1"/>
  <c r="H2340" i="1" s="1"/>
  <c r="T2322" i="1"/>
  <c r="H2322" i="1" s="1"/>
  <c r="P2322" i="1" s="1"/>
  <c r="C2322" i="1" s="1"/>
  <c r="K2353" i="1"/>
  <c r="T2327" i="1"/>
  <c r="T2332" i="1"/>
  <c r="H2332" i="1" s="1"/>
  <c r="K2329" i="1"/>
  <c r="D1895" i="1"/>
  <c r="P2005" i="1"/>
  <c r="T2323" i="1"/>
  <c r="H2323" i="1" s="1"/>
  <c r="P2323" i="1" s="1"/>
  <c r="C2323" i="1" s="1"/>
  <c r="K2344" i="1"/>
  <c r="T2335" i="1"/>
  <c r="H2335" i="1" s="1"/>
  <c r="D1923" i="1"/>
  <c r="H1923" i="1" s="1"/>
  <c r="T2337" i="1"/>
  <c r="H2337" i="1" s="1"/>
  <c r="T2334" i="1"/>
  <c r="H2334" i="1" s="1"/>
  <c r="D1915" i="1"/>
  <c r="D1891" i="1"/>
  <c r="D1911" i="1"/>
  <c r="T2329" i="1"/>
  <c r="H2329" i="1" s="1"/>
  <c r="D1905" i="1"/>
  <c r="H1905" i="1" s="1"/>
  <c r="T2325" i="1"/>
  <c r="T2320" i="1"/>
  <c r="H2320" i="1" s="1"/>
  <c r="F38" i="130" s="1"/>
  <c r="T2338" i="1"/>
  <c r="H2338" i="1" s="1"/>
  <c r="P1769" i="1"/>
  <c r="I196" i="97"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I252" i="97" s="1"/>
  <c r="T611" i="1"/>
  <c r="P611" i="1" s="1"/>
  <c r="T1122" i="1"/>
  <c r="P1122" i="1" s="1"/>
  <c r="T164" i="1"/>
  <c r="P164" i="1" s="1"/>
  <c r="T717" i="1"/>
  <c r="P717" i="1" s="1"/>
  <c r="T583" i="1"/>
  <c r="P583" i="1" s="1"/>
  <c r="T591" i="1"/>
  <c r="P591" i="1" s="1"/>
  <c r="T858" i="1"/>
  <c r="P858" i="1" s="1"/>
  <c r="T702" i="1"/>
  <c r="P702" i="1" s="1"/>
  <c r="T763" i="1"/>
  <c r="P763" i="1" s="1"/>
  <c r="T1188" i="1"/>
  <c r="P1188" i="1" s="1"/>
  <c r="T2018" i="1"/>
  <c r="T2026" i="1"/>
  <c r="T2034" i="1"/>
  <c r="T2042" i="1"/>
  <c r="T2050" i="1"/>
  <c r="T2058" i="1"/>
  <c r="T2066" i="1"/>
  <c r="T2074" i="1"/>
  <c r="T2083" i="1"/>
  <c r="T2091" i="1"/>
  <c r="T2099" i="1"/>
  <c r="T2019" i="1"/>
  <c r="T2027" i="1"/>
  <c r="T2035" i="1"/>
  <c r="T2043" i="1"/>
  <c r="T2051" i="1"/>
  <c r="T2059" i="1"/>
  <c r="T2067" i="1"/>
  <c r="T2075" i="1"/>
  <c r="T2084" i="1"/>
  <c r="T2092" i="1"/>
  <c r="T2100" i="1"/>
  <c r="T2011" i="1"/>
  <c r="T2020" i="1"/>
  <c r="T2028" i="1"/>
  <c r="T2036" i="1"/>
  <c r="T2044" i="1"/>
  <c r="T2052" i="1"/>
  <c r="T2060" i="1"/>
  <c r="T2068" i="1"/>
  <c r="T2077" i="1"/>
  <c r="D2077" i="1" s="1"/>
  <c r="H2077" i="1" s="1"/>
  <c r="T2085" i="1"/>
  <c r="T2093" i="1"/>
  <c r="T2101" i="1"/>
  <c r="T2013" i="1"/>
  <c r="T2021" i="1"/>
  <c r="T2029" i="1"/>
  <c r="T2037" i="1"/>
  <c r="T2045" i="1"/>
  <c r="T2053" i="1"/>
  <c r="T2061" i="1"/>
  <c r="T2069" i="1"/>
  <c r="T2078" i="1"/>
  <c r="T2086" i="1"/>
  <c r="T2094" i="1"/>
  <c r="T2102" i="1"/>
  <c r="T2032" i="1"/>
  <c r="T2040" i="1"/>
  <c r="T2056" i="1"/>
  <c r="T2081" i="1"/>
  <c r="T2010" i="1"/>
  <c r="P2010" i="1" s="1"/>
  <c r="T2014" i="1"/>
  <c r="T2022" i="1"/>
  <c r="T2030" i="1"/>
  <c r="T2038" i="1"/>
  <c r="T2046" i="1"/>
  <c r="T2054" i="1"/>
  <c r="T2062" i="1"/>
  <c r="T2070" i="1"/>
  <c r="T2079" i="1"/>
  <c r="T2087" i="1"/>
  <c r="T2095" i="1"/>
  <c r="T2103" i="1"/>
  <c r="T2024" i="1"/>
  <c r="T2048" i="1"/>
  <c r="T2072" i="1"/>
  <c r="T2097" i="1"/>
  <c r="T2015" i="1"/>
  <c r="T2023" i="1"/>
  <c r="T2031" i="1"/>
  <c r="T2039" i="1"/>
  <c r="T2047" i="1"/>
  <c r="T2055" i="1"/>
  <c r="T2063" i="1"/>
  <c r="T2071" i="1"/>
  <c r="T2080" i="1"/>
  <c r="T2088" i="1"/>
  <c r="T2096" i="1"/>
  <c r="T2104" i="1"/>
  <c r="T2016" i="1"/>
  <c r="T2064" i="1"/>
  <c r="T2089" i="1"/>
  <c r="T2017" i="1"/>
  <c r="T2025" i="1"/>
  <c r="T2033" i="1"/>
  <c r="T2041" i="1"/>
  <c r="T2049" i="1"/>
  <c r="T2057" i="1"/>
  <c r="T2065" i="1"/>
  <c r="T2073" i="1"/>
  <c r="T2082" i="1"/>
  <c r="T2090" i="1"/>
  <c r="T2098"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17" i="130" s="1"/>
  <c r="T302" i="1"/>
  <c r="P302" i="1" s="1"/>
  <c r="T790" i="1"/>
  <c r="P790" i="1" s="1"/>
  <c r="T2076" i="1"/>
  <c r="D2076" i="1" s="1"/>
  <c r="E143" i="33" s="1"/>
  <c r="G143" i="33" s="1"/>
  <c r="K1928" i="1"/>
  <c r="K1927" i="1"/>
  <c r="P1927" i="1"/>
  <c r="K1907" i="1"/>
  <c r="P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6" i="1"/>
  <c r="P2326" i="1"/>
  <c r="L2012" i="1"/>
  <c r="T2012"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6" i="1"/>
  <c r="H2126" i="1" s="1"/>
  <c r="P2126" i="1" s="1"/>
  <c r="C2126"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3" i="1" s="1"/>
  <c r="D2243" i="1" s="1"/>
  <c r="H2243" i="1" s="1"/>
  <c r="P2243" i="1" s="1"/>
  <c r="C2243" i="1" s="1"/>
  <c r="D1060" i="1"/>
  <c r="D1059" i="1" s="1"/>
  <c r="N889" i="1"/>
  <c r="M889" i="1"/>
  <c r="J889" i="1"/>
  <c r="H2125" i="1"/>
  <c r="P2125" i="1" s="1"/>
  <c r="C2125" i="1" s="1"/>
  <c r="N2125" i="1"/>
  <c r="B63" i="42"/>
  <c r="G63" i="42"/>
  <c r="G73" i="42"/>
  <c r="B73" i="42"/>
  <c r="G86" i="31"/>
  <c r="G12" i="33"/>
  <c r="B80" i="42"/>
  <c r="G44" i="31"/>
  <c r="B44" i="31"/>
  <c r="B26" i="42"/>
  <c r="S134" i="70"/>
  <c r="AA134" i="70"/>
  <c r="I934" i="1"/>
  <c r="J934" i="1"/>
  <c r="N840" i="1"/>
  <c r="M840" i="1"/>
  <c r="N829" i="1"/>
  <c r="M829" i="1"/>
  <c r="C347" i="20"/>
  <c r="E2112"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4" i="1"/>
  <c r="N2144"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5" i="1" s="1"/>
  <c r="D2245" i="1" s="1"/>
  <c r="H2245" i="1" s="1"/>
  <c r="P2245" i="1" s="1"/>
  <c r="C2245" i="1" s="1"/>
  <c r="H69" i="61"/>
  <c r="C76" i="61" s="1"/>
  <c r="E2244" i="1" s="1"/>
  <c r="D2244" i="1" s="1"/>
  <c r="H2244" i="1" s="1"/>
  <c r="P2244" i="1" s="1"/>
  <c r="C2244"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3" i="1" s="1"/>
  <c r="H2273" i="1" s="1"/>
  <c r="P2273" i="1" s="1"/>
  <c r="C2273" i="1" s="1"/>
  <c r="AB69" i="61"/>
  <c r="D2251" i="1" s="1"/>
  <c r="D2248" i="1" s="1"/>
  <c r="H2248" i="1" s="1"/>
  <c r="P2248" i="1" s="1"/>
  <c r="C2248"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0" i="1"/>
  <c r="N2150" i="1" s="1"/>
  <c r="D2175" i="1"/>
  <c r="H2175" i="1" s="1"/>
  <c r="P2175" i="1" s="1"/>
  <c r="C2175" i="1" s="1"/>
  <c r="CC341" i="20"/>
  <c r="D1674" i="1"/>
  <c r="I1674" i="1" s="1"/>
  <c r="I1670" i="1"/>
  <c r="B38" i="33"/>
  <c r="G38" i="33"/>
  <c r="B57" i="33"/>
  <c r="G57" i="33"/>
  <c r="CC229" i="70"/>
  <c r="BG169" i="70"/>
  <c r="B47" i="31"/>
  <c r="J984" i="1"/>
  <c r="G14" i="35"/>
  <c r="G110" i="42"/>
  <c r="B54" i="33"/>
  <c r="G54" i="33"/>
  <c r="H2176" i="1"/>
  <c r="P2176" i="1" s="1"/>
  <c r="C2176" i="1" s="1"/>
  <c r="G53" i="34"/>
  <c r="B79" i="42"/>
  <c r="H1719" i="1"/>
  <c r="P1719" i="1" s="1"/>
  <c r="C1719" i="1" s="1"/>
  <c r="I1719" i="1"/>
  <c r="D2134" i="1"/>
  <c r="CH341" i="20"/>
  <c r="CB341" i="20"/>
  <c r="D2174" i="1"/>
  <c r="H2174" i="1" s="1"/>
  <c r="P2174" i="1" s="1"/>
  <c r="C2174"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9" i="1"/>
  <c r="H2139" i="1" s="1"/>
  <c r="P2139" i="1" s="1"/>
  <c r="C2139"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66" i="1" s="1"/>
  <c r="H2266" i="1" s="1"/>
  <c r="P2266" i="1" s="1"/>
  <c r="C2266" i="1" s="1"/>
  <c r="B37" i="35"/>
  <c r="G37" i="35"/>
  <c r="B28" i="31"/>
  <c r="G28" i="31"/>
  <c r="G24" i="34"/>
  <c r="B66" i="31"/>
  <c r="B61" i="35"/>
  <c r="G111" i="42"/>
  <c r="B111" i="42"/>
  <c r="B41" i="35"/>
  <c r="CN248" i="70"/>
  <c r="CF229" i="70"/>
  <c r="BP229" i="70"/>
  <c r="AS229" i="70"/>
  <c r="G13" i="33"/>
  <c r="B13" i="33"/>
  <c r="G74" i="33"/>
  <c r="BZ341" i="20"/>
  <c r="D2162"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6" i="1" s="1"/>
  <c r="D1090" i="1"/>
  <c r="D1089" i="1" s="1"/>
  <c r="J1083" i="1"/>
  <c r="D1031" i="1"/>
  <c r="D1030" i="1" s="1"/>
  <c r="J1026" i="1"/>
  <c r="O810" i="1"/>
  <c r="M810" i="1"/>
  <c r="M820" i="1"/>
  <c r="N820" i="1"/>
  <c r="N695" i="1"/>
  <c r="I695" i="1"/>
  <c r="D2128" i="1"/>
  <c r="CK341" i="20"/>
  <c r="B51" i="33"/>
  <c r="CB182" i="16"/>
  <c r="AD307" i="70"/>
  <c r="BF306" i="70"/>
  <c r="CN293" i="70"/>
  <c r="BG196" i="70"/>
  <c r="BI229" i="70"/>
  <c r="EP182" i="16"/>
  <c r="AW95" i="16"/>
  <c r="CP182" i="16"/>
  <c r="B182" i="16"/>
  <c r="BH307" i="70"/>
  <c r="AI229" i="70"/>
  <c r="X229" i="70"/>
  <c r="BF189" i="70"/>
  <c r="G123" i="70"/>
  <c r="G133" i="70" s="1"/>
  <c r="AH95" i="16"/>
  <c r="BW95" i="16"/>
  <c r="S341" i="20"/>
  <c r="D2202"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9" i="1"/>
  <c r="P2309" i="1" s="1"/>
  <c r="C2309" i="1" s="1"/>
  <c r="I2309" i="1"/>
  <c r="CX341" i="20"/>
  <c r="D2151" i="1"/>
  <c r="H2151" i="1" s="1"/>
  <c r="P2151" i="1" s="1"/>
  <c r="C2151"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3" i="1"/>
  <c r="D2201"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7" i="1" s="1"/>
  <c r="H2267" i="1" s="1"/>
  <c r="P2267" i="1" s="1"/>
  <c r="C2267"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5" i="1"/>
  <c r="P2065" i="1" s="1"/>
  <c r="C2065"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0" i="1" s="1"/>
  <c r="H2250" i="1" s="1"/>
  <c r="P2250" i="1" s="1"/>
  <c r="C2250" i="1" s="1"/>
  <c r="EJ182" i="16"/>
  <c r="B124" i="115"/>
  <c r="B198" i="115" s="1"/>
  <c r="B204" i="115" s="1"/>
  <c r="B233" i="115" s="1"/>
  <c r="B258" i="115" s="1"/>
  <c r="L2101" i="1"/>
  <c r="L2093" i="1"/>
  <c r="L2085" i="1"/>
  <c r="L2077" i="1"/>
  <c r="L2069" i="1"/>
  <c r="L2061" i="1"/>
  <c r="L2103" i="1"/>
  <c r="L2094" i="1"/>
  <c r="L2084" i="1"/>
  <c r="L2075" i="1"/>
  <c r="L2066" i="1"/>
  <c r="L2102" i="1"/>
  <c r="L2092" i="1"/>
  <c r="L2083" i="1"/>
  <c r="L2074" i="1"/>
  <c r="L2065" i="1"/>
  <c r="L2100" i="1"/>
  <c r="L2091" i="1"/>
  <c r="L2082" i="1"/>
  <c r="L2073" i="1"/>
  <c r="L2064" i="1"/>
  <c r="L2090" i="1"/>
  <c r="L2078" i="1"/>
  <c r="L2062" i="1"/>
  <c r="L2104" i="1"/>
  <c r="L2088" i="1"/>
  <c r="L2072" i="1"/>
  <c r="L2059" i="1"/>
  <c r="H2059" i="1" s="1"/>
  <c r="L2099" i="1"/>
  <c r="L2087" i="1"/>
  <c r="L2071" i="1"/>
  <c r="L2098" i="1"/>
  <c r="L2086" i="1"/>
  <c r="L2070" i="1"/>
  <c r="L2097" i="1"/>
  <c r="L2081" i="1"/>
  <c r="L2068" i="1"/>
  <c r="L2067" i="1"/>
  <c r="L2063" i="1"/>
  <c r="L2096" i="1"/>
  <c r="L2060" i="1"/>
  <c r="L2095" i="1"/>
  <c r="L2089" i="1"/>
  <c r="L2080" i="1"/>
  <c r="L2079" i="1"/>
  <c r="L2076" i="1"/>
  <c r="E137" i="33"/>
  <c r="B137" i="33" s="1"/>
  <c r="H2070" i="1"/>
  <c r="P2070" i="1" s="1"/>
  <c r="C2070"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2" i="1" s="1"/>
  <c r="D2285" i="1" s="1"/>
  <c r="H2285" i="1" s="1"/>
  <c r="P2285" i="1" s="1"/>
  <c r="C2285" i="1" s="1"/>
  <c r="D1051" i="1"/>
  <c r="D1050" i="1" s="1"/>
  <c r="T2420" i="1"/>
  <c r="T2412" i="1"/>
  <c r="T2404" i="1"/>
  <c r="T2396" i="1"/>
  <c r="T2388" i="1"/>
  <c r="T2380" i="1"/>
  <c r="T2372" i="1"/>
  <c r="P2372" i="1" s="1"/>
  <c r="T2364"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115" i="1"/>
  <c r="T2424" i="1"/>
  <c r="T2415" i="1"/>
  <c r="T2406" i="1"/>
  <c r="P2406" i="1" s="1"/>
  <c r="T2397" i="1"/>
  <c r="T2387" i="1"/>
  <c r="T2378" i="1"/>
  <c r="P2378" i="1" s="1"/>
  <c r="T2369" i="1"/>
  <c r="T2423" i="1"/>
  <c r="T2414" i="1"/>
  <c r="T2405" i="1"/>
  <c r="T2395" i="1"/>
  <c r="T2386" i="1"/>
  <c r="T2377" i="1"/>
  <c r="P2377" i="1" s="1"/>
  <c r="T2368" i="1"/>
  <c r="T2341" i="1"/>
  <c r="P2341" i="1" s="1"/>
  <c r="T2312" i="1"/>
  <c r="T2303" i="1"/>
  <c r="T2294" i="1"/>
  <c r="T2285" i="1"/>
  <c r="T2276" i="1"/>
  <c r="T2266" i="1"/>
  <c r="T2257" i="1"/>
  <c r="T2248" i="1"/>
  <c r="T2239" i="1"/>
  <c r="T2230" i="1"/>
  <c r="T2221" i="1"/>
  <c r="T2212" i="1"/>
  <c r="T2202" i="1"/>
  <c r="T2193" i="1"/>
  <c r="T2184" i="1"/>
  <c r="T2175" i="1"/>
  <c r="T2166" i="1"/>
  <c r="T2157" i="1"/>
  <c r="T2148" i="1"/>
  <c r="T2138" i="1"/>
  <c r="T2129" i="1"/>
  <c r="T2120" i="1"/>
  <c r="T2111" i="1"/>
  <c r="T2422" i="1"/>
  <c r="T2413" i="1"/>
  <c r="T2403" i="1"/>
  <c r="T2394" i="1"/>
  <c r="T2385" i="1"/>
  <c r="T2376" i="1"/>
  <c r="T2367" i="1"/>
  <c r="T2311" i="1"/>
  <c r="T2302" i="1"/>
  <c r="T2293" i="1"/>
  <c r="T2284" i="1"/>
  <c r="T2274" i="1"/>
  <c r="T2265" i="1"/>
  <c r="T2256" i="1"/>
  <c r="T2247" i="1"/>
  <c r="T2238" i="1"/>
  <c r="T2229" i="1"/>
  <c r="T2220" i="1"/>
  <c r="T2210" i="1"/>
  <c r="T2201" i="1"/>
  <c r="T2192" i="1"/>
  <c r="T2183" i="1"/>
  <c r="T2174" i="1"/>
  <c r="T2165" i="1"/>
  <c r="T2156" i="1"/>
  <c r="T2146" i="1"/>
  <c r="T2137" i="1"/>
  <c r="D2137" i="1" s="1"/>
  <c r="T2128" i="1"/>
  <c r="T2119" i="1"/>
  <c r="T2110" i="1"/>
  <c r="T1768" i="1"/>
  <c r="T1760" i="1"/>
  <c r="T1752" i="1"/>
  <c r="T1744" i="1"/>
  <c r="T1736" i="1"/>
  <c r="T1728" i="1"/>
  <c r="T1720" i="1"/>
  <c r="T2416" i="1"/>
  <c r="T2400" i="1"/>
  <c r="T2384" i="1"/>
  <c r="T2371" i="1"/>
  <c r="T2314" i="1"/>
  <c r="T2301" i="1"/>
  <c r="T2289" i="1"/>
  <c r="P2289" i="1" s="1"/>
  <c r="T2278" i="1"/>
  <c r="T2264" i="1"/>
  <c r="T2253" i="1"/>
  <c r="T2241" i="1"/>
  <c r="P2241" i="1" s="1"/>
  <c r="T2228" i="1"/>
  <c r="T2216" i="1"/>
  <c r="T2205" i="1"/>
  <c r="T2191" i="1"/>
  <c r="T2180" i="1"/>
  <c r="T2168" i="1"/>
  <c r="T2154" i="1"/>
  <c r="T2143" i="1"/>
  <c r="T2132" i="1"/>
  <c r="T2410" i="1"/>
  <c r="T2398" i="1"/>
  <c r="T2382" i="1"/>
  <c r="T2366" i="1"/>
  <c r="P2366" i="1" s="1"/>
  <c r="T2310" i="1"/>
  <c r="T2298" i="1"/>
  <c r="T2287" i="1"/>
  <c r="T2273" i="1"/>
  <c r="T2262" i="1"/>
  <c r="T2250" i="1"/>
  <c r="T2237" i="1"/>
  <c r="T2225" i="1"/>
  <c r="T2214" i="1"/>
  <c r="T2200" i="1"/>
  <c r="T2189" i="1"/>
  <c r="T2177" i="1"/>
  <c r="T2164" i="1"/>
  <c r="T2152" i="1"/>
  <c r="T2141" i="1"/>
  <c r="T2127" i="1"/>
  <c r="T2116" i="1"/>
  <c r="T2105" i="1"/>
  <c r="P2105"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5" i="1"/>
  <c r="T2409" i="1"/>
  <c r="T2393" i="1"/>
  <c r="T2381" i="1"/>
  <c r="T2365" i="1"/>
  <c r="T2309" i="1"/>
  <c r="T2297" i="1"/>
  <c r="P2297" i="1" s="1"/>
  <c r="T2286" i="1"/>
  <c r="T2272" i="1"/>
  <c r="T2261" i="1"/>
  <c r="T2249" i="1"/>
  <c r="T2236" i="1"/>
  <c r="T2224" i="1"/>
  <c r="T2213" i="1"/>
  <c r="T2199" i="1"/>
  <c r="T2188" i="1"/>
  <c r="T2176" i="1"/>
  <c r="T2162" i="1"/>
  <c r="T2151" i="1"/>
  <c r="T2140" i="1"/>
  <c r="T2126" i="1"/>
  <c r="T2114"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1" i="1"/>
  <c r="T2408" i="1"/>
  <c r="T2392" i="1"/>
  <c r="P2392" i="1" s="1"/>
  <c r="T2379" i="1"/>
  <c r="T2308" i="1"/>
  <c r="P2308" i="1" s="1"/>
  <c r="T2296" i="1"/>
  <c r="T2282" i="1"/>
  <c r="T2271" i="1"/>
  <c r="T2260" i="1"/>
  <c r="T2246" i="1"/>
  <c r="T2234" i="1"/>
  <c r="T2223" i="1"/>
  <c r="T2209" i="1"/>
  <c r="T2198" i="1"/>
  <c r="T2186" i="1"/>
  <c r="T2173" i="1"/>
  <c r="T2161" i="1"/>
  <c r="T2150" i="1"/>
  <c r="T2136" i="1"/>
  <c r="T2125" i="1"/>
  <c r="T2113"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9" i="1"/>
  <c r="T2407" i="1"/>
  <c r="T2391" i="1"/>
  <c r="T2375" i="1"/>
  <c r="T2318" i="1"/>
  <c r="T2306" i="1"/>
  <c r="T2295" i="1"/>
  <c r="T2281" i="1"/>
  <c r="T2270" i="1"/>
  <c r="T2258" i="1"/>
  <c r="T2245" i="1"/>
  <c r="T2233" i="1"/>
  <c r="T2222" i="1"/>
  <c r="T2208" i="1"/>
  <c r="P2208" i="1" s="1"/>
  <c r="T2197" i="1"/>
  <c r="T2185" i="1"/>
  <c r="T2172" i="1"/>
  <c r="T2160" i="1"/>
  <c r="T2149" i="1"/>
  <c r="T2135" i="1"/>
  <c r="T2124" i="1"/>
  <c r="T2112"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9" i="1"/>
  <c r="T2317" i="1"/>
  <c r="T2288" i="1"/>
  <c r="T2254" i="1"/>
  <c r="T2218" i="1"/>
  <c r="T2190" i="1"/>
  <c r="T2158" i="1"/>
  <c r="T2122" i="1"/>
  <c r="T1766" i="1"/>
  <c r="T1748" i="1"/>
  <c r="T1730" i="1"/>
  <c r="T1712" i="1"/>
  <c r="T1696" i="1"/>
  <c r="T1680" i="1"/>
  <c r="T1664" i="1"/>
  <c r="T1648" i="1"/>
  <c r="T1632" i="1"/>
  <c r="T1616" i="1"/>
  <c r="T1600" i="1"/>
  <c r="T1584" i="1"/>
  <c r="T1568" i="1"/>
  <c r="T1554" i="1"/>
  <c r="T1543" i="1"/>
  <c r="T1534" i="1"/>
  <c r="T1526" i="1"/>
  <c r="T1518" i="1"/>
  <c r="T1510" i="1"/>
  <c r="P1510" i="1" s="1"/>
  <c r="I253" i="97"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0" i="1"/>
  <c r="T2316" i="1"/>
  <c r="T2280" i="1"/>
  <c r="T2252" i="1"/>
  <c r="T2217" i="1"/>
  <c r="T2182" i="1"/>
  <c r="T2153" i="1"/>
  <c r="T2121"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9" i="1"/>
  <c r="T2313" i="1"/>
  <c r="T2279" i="1"/>
  <c r="T2244" i="1"/>
  <c r="T2215" i="1"/>
  <c r="T2181" i="1"/>
  <c r="T2145" i="1"/>
  <c r="T2118"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8" i="1"/>
  <c r="T2383" i="1"/>
  <c r="T2344" i="1"/>
  <c r="T2305" i="1"/>
  <c r="T2277" i="1"/>
  <c r="T2242" i="1"/>
  <c r="T2207" i="1"/>
  <c r="T2178" i="1"/>
  <c r="T2144" i="1"/>
  <c r="T2117"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7" i="1"/>
  <c r="T2374" i="1"/>
  <c r="T2304" i="1"/>
  <c r="T2269" i="1"/>
  <c r="T2240" i="1"/>
  <c r="T2206" i="1"/>
  <c r="T2170" i="1"/>
  <c r="T2142" i="1"/>
  <c r="T2109"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1" i="1"/>
  <c r="T2373" i="1"/>
  <c r="T2300" i="1"/>
  <c r="T2268" i="1"/>
  <c r="T2232" i="1"/>
  <c r="T2204" i="1"/>
  <c r="T2169" i="1"/>
  <c r="T2134" i="1"/>
  <c r="T2108"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2" i="1"/>
  <c r="T2370" i="1"/>
  <c r="T2292" i="1"/>
  <c r="T2263" i="1"/>
  <c r="T2231" i="1"/>
  <c r="T2196" i="1"/>
  <c r="T2167" i="1"/>
  <c r="T2133" i="1"/>
  <c r="H2133" i="1" s="1"/>
  <c r="P2133" i="1" s="1"/>
  <c r="C2133" i="1" s="1"/>
  <c r="T2107" i="1"/>
  <c r="T1755" i="1"/>
  <c r="T1737" i="1"/>
  <c r="T1718" i="1"/>
  <c r="T1702" i="1"/>
  <c r="T1686" i="1"/>
  <c r="T1670" i="1"/>
  <c r="T1654" i="1"/>
  <c r="T1638" i="1"/>
  <c r="T1622" i="1"/>
  <c r="T1606" i="1"/>
  <c r="T2401" i="1"/>
  <c r="T2290" i="1"/>
  <c r="T2255" i="1"/>
  <c r="T2226" i="1"/>
  <c r="T2194" i="1"/>
  <c r="T2159" i="1"/>
  <c r="T2130" i="1"/>
  <c r="T2106" i="1"/>
  <c r="T1754" i="1"/>
  <c r="T1735" i="1"/>
  <c r="T1717" i="1"/>
  <c r="T1701" i="1"/>
  <c r="T1685" i="1"/>
  <c r="T1669" i="1"/>
  <c r="T1653" i="1"/>
  <c r="T1637" i="1"/>
  <c r="T1621" i="1"/>
  <c r="T1605" i="1"/>
  <c r="T1589" i="1"/>
  <c r="T1544" i="1"/>
  <c r="T1511" i="1"/>
  <c r="P1511" i="1" s="1"/>
  <c r="I197" i="97"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8" i="1"/>
  <c r="N1817"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1" i="1"/>
  <c r="E180" i="42"/>
  <c r="G180" i="42" s="1"/>
  <c r="H1811" i="1"/>
  <c r="P1811" i="1" s="1"/>
  <c r="C1811" i="1" s="1"/>
  <c r="H1829" i="1"/>
  <c r="P1829" i="1" s="1"/>
  <c r="C1829" i="1" s="1"/>
  <c r="H1801" i="1"/>
  <c r="P1801" i="1" s="1"/>
  <c r="C1801"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1"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9" i="1"/>
  <c r="D2227" i="1" s="1"/>
  <c r="H2227" i="1" s="1"/>
  <c r="P2227" i="1" s="1"/>
  <c r="C2227" i="1" s="1"/>
  <c r="D2210" i="1"/>
  <c r="D2239" i="1" s="1"/>
  <c r="D2236"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8" i="1"/>
  <c r="P2148" i="1" s="1"/>
  <c r="C2148" i="1" s="1"/>
  <c r="D1751" i="1"/>
  <c r="D1684" i="1"/>
  <c r="I1684" i="1" s="1"/>
  <c r="N2153" i="1"/>
  <c r="D2107" i="1"/>
  <c r="N2107" i="1" s="1"/>
  <c r="D1661" i="1"/>
  <c r="H1661" i="1" s="1"/>
  <c r="P1661" i="1" s="1"/>
  <c r="C1661" i="1" s="1"/>
  <c r="H1682" i="1"/>
  <c r="P1682" i="1" s="1"/>
  <c r="C1682" i="1" s="1"/>
  <c r="H1716" i="1"/>
  <c r="P1716" i="1" s="1"/>
  <c r="C1716" i="1" s="1"/>
  <c r="H2124" i="1"/>
  <c r="P2124" i="1" s="1"/>
  <c r="C2124" i="1" s="1"/>
  <c r="D1761" i="1"/>
  <c r="D1651" i="1"/>
  <c r="I1651" i="1" s="1"/>
  <c r="F118" i="42"/>
  <c r="D1611" i="1"/>
  <c r="E192" i="31" s="1"/>
  <c r="B192" i="31" s="1"/>
  <c r="H1715" i="1"/>
  <c r="P1715" i="1" s="1"/>
  <c r="C1715" i="1" s="1"/>
  <c r="D1664" i="1"/>
  <c r="H1664" i="1" s="1"/>
  <c r="P1664" i="1" s="1"/>
  <c r="C1664" i="1" s="1"/>
  <c r="D2094" i="1"/>
  <c r="H2094" i="1" s="1"/>
  <c r="P2094" i="1" s="1"/>
  <c r="C2094" i="1" s="1"/>
  <c r="D1654" i="1"/>
  <c r="H1654" i="1" s="1"/>
  <c r="P1654" i="1" s="1"/>
  <c r="C1654" i="1" s="1"/>
  <c r="D1612" i="1"/>
  <c r="E193" i="31" s="1"/>
  <c r="B193" i="31" s="1"/>
  <c r="N2123"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0" i="1"/>
  <c r="C2220" i="1" s="1"/>
  <c r="B274" i="42"/>
  <c r="H1691" i="1"/>
  <c r="P1691" i="1" s="1"/>
  <c r="C1691" i="1" s="1"/>
  <c r="B255" i="42"/>
  <c r="D97" i="33"/>
  <c r="B74" i="34"/>
  <c r="M2219" i="1"/>
  <c r="B171" i="31"/>
  <c r="D102" i="33"/>
  <c r="B132" i="35"/>
  <c r="G132" i="35"/>
  <c r="E291" i="42"/>
  <c r="G291" i="42" s="1"/>
  <c r="E190" i="31"/>
  <c r="G190" i="31" s="1"/>
  <c r="G232" i="42"/>
  <c r="I997" i="1"/>
  <c r="I860" i="1"/>
  <c r="G262" i="42"/>
  <c r="B170" i="31"/>
  <c r="D103" i="33"/>
  <c r="D2098" i="1"/>
  <c r="H1609" i="1"/>
  <c r="P1609" i="1" s="1"/>
  <c r="C1609" i="1" s="1"/>
  <c r="J860" i="1"/>
  <c r="B158" i="31"/>
  <c r="J1561" i="1"/>
  <c r="D101" i="33"/>
  <c r="D79" i="33"/>
  <c r="H1706" i="1"/>
  <c r="P1706" i="1" s="1"/>
  <c r="C1706" i="1" s="1"/>
  <c r="D1762" i="1"/>
  <c r="D82" i="33"/>
  <c r="D98" i="33"/>
  <c r="H1852" i="1"/>
  <c r="P1852" i="1" s="1"/>
  <c r="C1852" i="1" s="1"/>
  <c r="I1650" i="1"/>
  <c r="G136" i="35"/>
  <c r="B136" i="35"/>
  <c r="B107" i="31"/>
  <c r="G107" i="31"/>
  <c r="B116" i="31"/>
  <c r="G116" i="31"/>
  <c r="B273" i="42"/>
  <c r="B81" i="34"/>
  <c r="B231" i="42"/>
  <c r="G140" i="31"/>
  <c r="P1780" i="1"/>
  <c r="B245" i="42"/>
  <c r="B194" i="31"/>
  <c r="E78" i="33"/>
  <c r="B78" i="33" s="1"/>
  <c r="E166" i="42"/>
  <c r="M2221" i="1"/>
  <c r="I1658" i="1"/>
  <c r="E283" i="42"/>
  <c r="B151" i="31"/>
  <c r="G123" i="31"/>
  <c r="E85" i="34"/>
  <c r="G85" i="34" s="1"/>
  <c r="G112" i="31"/>
  <c r="G109" i="35"/>
  <c r="G105" i="35"/>
  <c r="G95" i="35"/>
  <c r="J1558" i="1"/>
  <c r="G243" i="42"/>
  <c r="G174" i="31"/>
  <c r="C102" i="33"/>
  <c r="B120" i="42"/>
  <c r="G120" i="42"/>
  <c r="B233" i="42"/>
  <c r="B113" i="31"/>
  <c r="G90" i="35"/>
  <c r="C103" i="33"/>
  <c r="D2198" i="1"/>
  <c r="N2115" i="1"/>
  <c r="G125" i="31"/>
  <c r="G295" i="42"/>
  <c r="G110" i="31"/>
  <c r="G88" i="35"/>
  <c r="B129" i="31"/>
  <c r="H1694" i="1"/>
  <c r="P1694" i="1" s="1"/>
  <c r="C1694" i="1" s="1"/>
  <c r="I1694" i="1"/>
  <c r="P2213" i="1"/>
  <c r="C2213" i="1" s="1"/>
  <c r="M2213"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7" i="1"/>
  <c r="C2087" i="1" s="1"/>
  <c r="C2085" i="1"/>
  <c r="D871" i="1"/>
  <c r="H2209" i="1"/>
  <c r="P2209" i="1" s="1"/>
  <c r="C2209" i="1" s="1"/>
  <c r="G240" i="42"/>
  <c r="N2108"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5" i="1"/>
  <c r="H2035"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2" i="1"/>
  <c r="B163" i="42"/>
  <c r="B259" i="42"/>
  <c r="D2288" i="1"/>
  <c r="H2288" i="1" s="1"/>
  <c r="P2288" i="1" s="1"/>
  <c r="C2288" i="1" s="1"/>
  <c r="H1606" i="1"/>
  <c r="P1606" i="1" s="1"/>
  <c r="C1606" i="1" s="1"/>
  <c r="E290" i="42"/>
  <c r="B70" i="35"/>
  <c r="J1012" i="1"/>
  <c r="D2264" i="1"/>
  <c r="H2264" i="1" s="1"/>
  <c r="P2264" i="1" s="1"/>
  <c r="C2264" i="1" s="1"/>
  <c r="H1770" i="1"/>
  <c r="P1770" i="1" s="1"/>
  <c r="C1770" i="1" s="1"/>
  <c r="H1783" i="1"/>
  <c r="P1783" i="1" s="1"/>
  <c r="C1783" i="1" s="1"/>
  <c r="B271" i="42"/>
  <c r="I1688" i="1"/>
  <c r="D2283" i="1"/>
  <c r="H2283" i="1" s="1"/>
  <c r="P2283" i="1" s="1"/>
  <c r="C2283"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5" i="1"/>
  <c r="C2225" i="1" s="1"/>
  <c r="M2225" i="1"/>
  <c r="D2234" i="1"/>
  <c r="E126" i="33"/>
  <c r="D1757" i="1"/>
  <c r="D1610" i="1"/>
  <c r="B183" i="31"/>
  <c r="B157" i="31"/>
  <c r="B167" i="31"/>
  <c r="D2110" i="1"/>
  <c r="H2110" i="1" s="1"/>
  <c r="P2110" i="1" s="1"/>
  <c r="C2110" i="1" s="1"/>
  <c r="I1717" i="1"/>
  <c r="I1682" i="1"/>
  <c r="D76" i="34"/>
  <c r="F107" i="31"/>
  <c r="H1725" i="1"/>
  <c r="P1725" i="1" s="1"/>
  <c r="C1725" i="1" s="1"/>
  <c r="D1627" i="1"/>
  <c r="K2059" i="1"/>
  <c r="D1683" i="1"/>
  <c r="F94" i="31"/>
  <c r="C71" i="34"/>
  <c r="B159" i="31"/>
  <c r="G120" i="35"/>
  <c r="I1708" i="1"/>
  <c r="D1698" i="1"/>
  <c r="G101" i="35"/>
  <c r="D1697" i="1"/>
  <c r="G244" i="42"/>
  <c r="D1514" i="1"/>
  <c r="D1626" i="1"/>
  <c r="N2143"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7" i="1"/>
  <c r="P1787" i="1" s="1"/>
  <c r="C1787"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8" i="1"/>
  <c r="P2258" i="1" s="1"/>
  <c r="C2258" i="1" s="1"/>
  <c r="B150" i="33"/>
  <c r="I630" i="1"/>
  <c r="E76" i="34"/>
  <c r="D71" i="34"/>
  <c r="B144" i="42"/>
  <c r="B107" i="35"/>
  <c r="G107" i="35"/>
  <c r="M2222" i="1"/>
  <c r="E80" i="34"/>
  <c r="C80" i="34"/>
  <c r="D80" i="34"/>
  <c r="B162" i="31"/>
  <c r="G162" i="31"/>
  <c r="G187" i="31"/>
  <c r="B187" i="31"/>
  <c r="I1690" i="1"/>
  <c r="H1690" i="1"/>
  <c r="P1690" i="1" s="1"/>
  <c r="C1690" i="1" s="1"/>
  <c r="D1742" i="1"/>
  <c r="P2088" i="1"/>
  <c r="C2088" i="1" s="1"/>
  <c r="I1738" i="1"/>
  <c r="H1738" i="1"/>
  <c r="P1738" i="1" s="1"/>
  <c r="C1738" i="1" s="1"/>
  <c r="D79" i="34"/>
  <c r="C79" i="34"/>
  <c r="C72" i="34"/>
  <c r="E72" i="34"/>
  <c r="G272" i="42"/>
  <c r="B272" i="42"/>
  <c r="G260" i="42"/>
  <c r="B260" i="42"/>
  <c r="G256" i="42"/>
  <c r="E151" i="42"/>
  <c r="G151" i="42" s="1"/>
  <c r="E150" i="42"/>
  <c r="G150" i="42" s="1"/>
  <c r="J552" i="1"/>
  <c r="N552" i="1"/>
  <c r="P2223" i="1"/>
  <c r="C2223" i="1" s="1"/>
  <c r="M2223" i="1"/>
  <c r="H1786" i="1"/>
  <c r="P1786" i="1" s="1"/>
  <c r="C1786" i="1" s="1"/>
  <c r="E296" i="42"/>
  <c r="B123" i="42"/>
  <c r="G96" i="31"/>
  <c r="I856" i="1"/>
  <c r="D78" i="34"/>
  <c r="E78" i="34"/>
  <c r="B250" i="42"/>
  <c r="G250" i="42"/>
  <c r="G237" i="42"/>
  <c r="D1709" i="1"/>
  <c r="I1701" i="1"/>
  <c r="D1758" i="1"/>
  <c r="D1759" i="1" s="1"/>
  <c r="D1760" i="1" s="1"/>
  <c r="M2224" i="1"/>
  <c r="P2224" i="1"/>
  <c r="C2224" i="1" s="1"/>
  <c r="E289" i="42"/>
  <c r="G75" i="34"/>
  <c r="B92" i="31"/>
  <c r="M2211" i="1"/>
  <c r="B141" i="42"/>
  <c r="G242" i="42"/>
  <c r="B242" i="42"/>
  <c r="I554" i="1"/>
  <c r="N554" i="1"/>
  <c r="J554" i="1"/>
  <c r="H1557" i="1"/>
  <c r="P1557" i="1" s="1"/>
  <c r="C1557" i="1" s="1"/>
  <c r="J1557" i="1"/>
  <c r="J1563" i="1"/>
  <c r="H1563" i="1"/>
  <c r="P1563" i="1" s="1"/>
  <c r="C1563" i="1" s="1"/>
  <c r="I1687" i="1"/>
  <c r="H1687" i="1"/>
  <c r="P1687" i="1" s="1"/>
  <c r="C1687" i="1" s="1"/>
  <c r="P2214" i="1"/>
  <c r="C2214" i="1" s="1"/>
  <c r="M2214"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0" i="1"/>
  <c r="P1790" i="1" s="1"/>
  <c r="C1790" i="1" s="1"/>
  <c r="J1606" i="1"/>
  <c r="C78" i="34"/>
  <c r="B166" i="31"/>
  <c r="G166" i="31"/>
  <c r="B114" i="35"/>
  <c r="G114" i="35"/>
  <c r="P2061" i="1"/>
  <c r="C2061" i="1" s="1"/>
  <c r="H2113" i="1"/>
  <c r="P2113" i="1" s="1"/>
  <c r="C2113" i="1" s="1"/>
  <c r="N2113" i="1"/>
  <c r="K1012" i="1"/>
  <c r="L1012" i="1"/>
  <c r="I1012" i="1"/>
  <c r="O354" i="1"/>
  <c r="N354" i="1"/>
  <c r="H2115" i="1"/>
  <c r="P2115" i="1" s="1"/>
  <c r="C2115" i="1" s="1"/>
  <c r="B270" i="42"/>
  <c r="C75" i="34"/>
  <c r="D75" i="34"/>
  <c r="G160" i="31"/>
  <c r="B160" i="31"/>
  <c r="P1740" i="1"/>
  <c r="C1740" i="1" s="1"/>
  <c r="B169" i="31"/>
  <c r="G169" i="31"/>
  <c r="H1788" i="1"/>
  <c r="P1788" i="1" s="1"/>
  <c r="C1788" i="1" s="1"/>
  <c r="C84" i="34"/>
  <c r="D84" i="34"/>
  <c r="E77" i="34"/>
  <c r="C77" i="34"/>
  <c r="P2218" i="1"/>
  <c r="C2218" i="1" s="1"/>
  <c r="J553" i="1"/>
  <c r="E96" i="33"/>
  <c r="G96" i="33" s="1"/>
  <c r="D2032" i="1"/>
  <c r="H2032" i="1" s="1"/>
  <c r="D2030" i="1"/>
  <c r="E97" i="33" s="1"/>
  <c r="G97" i="33" s="1"/>
  <c r="D2028" i="1"/>
  <c r="E95" i="33" s="1"/>
  <c r="G95" i="33" s="1"/>
  <c r="H2026" i="1"/>
  <c r="P2026" i="1" s="1"/>
  <c r="C2026" i="1" s="1"/>
  <c r="E93" i="33"/>
  <c r="G93" i="33" s="1"/>
  <c r="D2027" i="1"/>
  <c r="E94" i="33" s="1"/>
  <c r="G94" i="33" s="1"/>
  <c r="D2045" i="1"/>
  <c r="H2045" i="1" s="1"/>
  <c r="L2045" i="1" s="1"/>
  <c r="D2046" i="1"/>
  <c r="H2046" i="1" s="1"/>
  <c r="P2046" i="1" s="1"/>
  <c r="C2046" i="1" s="1"/>
  <c r="E110" i="33"/>
  <c r="B110" i="33" s="1"/>
  <c r="K2043" i="1"/>
  <c r="H2043" i="1"/>
  <c r="P2043" i="1" s="1"/>
  <c r="C2043" i="1" s="1"/>
  <c r="E104" i="33"/>
  <c r="G104" i="33" s="1"/>
  <c r="D2040" i="1"/>
  <c r="H2040" i="1" s="1"/>
  <c r="L2040" i="1" s="1"/>
  <c r="L2044" i="1"/>
  <c r="P2044" i="1"/>
  <c r="C2044" i="1" s="1"/>
  <c r="D2031" i="1"/>
  <c r="H2029" i="1"/>
  <c r="E130" i="33"/>
  <c r="B130" i="33" s="1"/>
  <c r="E133" i="33"/>
  <c r="G133" i="33" s="1"/>
  <c r="E81" i="33"/>
  <c r="D2015" i="1"/>
  <c r="E135" i="33"/>
  <c r="B135" i="33" s="1"/>
  <c r="E139" i="33"/>
  <c r="G139" i="33" s="1"/>
  <c r="P2072" i="1"/>
  <c r="C2072" i="1" s="1"/>
  <c r="E131" i="33"/>
  <c r="P2064" i="1"/>
  <c r="C2064" i="1" s="1"/>
  <c r="H2037" i="1"/>
  <c r="P2037" i="1" s="1"/>
  <c r="C2037" i="1" s="1"/>
  <c r="L27" i="1"/>
  <c r="L28" i="1" s="1"/>
  <c r="L53" i="1"/>
  <c r="L248" i="1"/>
  <c r="L326" i="1"/>
  <c r="D2036" i="1"/>
  <c r="H2053" i="1"/>
  <c r="P2053" i="1" s="1"/>
  <c r="C2053" i="1" s="1"/>
  <c r="L1465" i="1"/>
  <c r="L413" i="1"/>
  <c r="P2071" i="1"/>
  <c r="C2071" i="1" s="1"/>
  <c r="P2063" i="1"/>
  <c r="C2063" i="1" s="1"/>
  <c r="C101" i="18"/>
  <c r="E2013" i="1" s="1"/>
  <c r="L101" i="18"/>
  <c r="D101" i="18"/>
  <c r="L98" i="18"/>
  <c r="D98" i="18"/>
  <c r="C98" i="18"/>
  <c r="E2012" i="1" s="1"/>
  <c r="P2081" i="1"/>
  <c r="C2081" i="1" s="1"/>
  <c r="P2074" i="1"/>
  <c r="C2074" i="1" s="1"/>
  <c r="P2086" i="1"/>
  <c r="E134" i="33"/>
  <c r="D2020" i="1"/>
  <c r="D2019" i="1"/>
  <c r="E86" i="33" s="1"/>
  <c r="G86" i="33" s="1"/>
  <c r="D2102" i="1"/>
  <c r="E84" i="33"/>
  <c r="G84" i="33" s="1"/>
  <c r="H2017" i="1"/>
  <c r="P2017" i="1" s="1"/>
  <c r="C2017" i="1" s="1"/>
  <c r="D2018" i="1"/>
  <c r="H2018" i="1" s="1"/>
  <c r="L1178" i="1"/>
  <c r="L1182" i="1" s="1"/>
  <c r="P2068" i="1"/>
  <c r="C2068" i="1" s="1"/>
  <c r="L838" i="1"/>
  <c r="L1258" i="1"/>
  <c r="L1860" i="1"/>
  <c r="L2378" i="1"/>
  <c r="H2378" i="1" s="1"/>
  <c r="D2034" i="1"/>
  <c r="L302" i="1"/>
  <c r="L75" i="1"/>
  <c r="L376" i="1"/>
  <c r="L858" i="1"/>
  <c r="L1286" i="1"/>
  <c r="L2392" i="1"/>
  <c r="H2392" i="1" s="1"/>
  <c r="E141" i="33"/>
  <c r="E138" i="33"/>
  <c r="L134" i="1"/>
  <c r="L396" i="1"/>
  <c r="L874" i="1"/>
  <c r="L1422" i="1"/>
  <c r="L142" i="1"/>
  <c r="L490" i="1"/>
  <c r="L952" i="1"/>
  <c r="L953" i="1" s="1"/>
  <c r="L1501" i="1"/>
  <c r="L152" i="1"/>
  <c r="L675" i="1"/>
  <c r="L1053" i="1"/>
  <c r="L1769" i="1"/>
  <c r="L2208" i="1"/>
  <c r="H2208" i="1" s="1"/>
  <c r="L164" i="1"/>
  <c r="L685" i="1"/>
  <c r="L703" i="1" s="1"/>
  <c r="L1100" i="1"/>
  <c r="L2297" i="1"/>
  <c r="H2297" i="1" s="1"/>
  <c r="L18" i="1"/>
  <c r="L213" i="1"/>
  <c r="L746" i="1"/>
  <c r="L747" i="1" s="1"/>
  <c r="L1146" i="1"/>
  <c r="G49" i="35"/>
  <c r="B49" i="35"/>
  <c r="B24" i="42"/>
  <c r="G293" i="42"/>
  <c r="B31" i="35"/>
  <c r="E292" i="42"/>
  <c r="E287" i="42"/>
  <c r="E281" i="42"/>
  <c r="G286" i="42"/>
  <c r="G67" i="42"/>
  <c r="B67" i="42"/>
  <c r="G25" i="42"/>
  <c r="B25" i="42"/>
  <c r="E279" i="42"/>
  <c r="M2226" i="1"/>
  <c r="P2226" i="1"/>
  <c r="C2226" i="1" s="1"/>
  <c r="B29" i="31"/>
  <c r="G29" i="31"/>
  <c r="H2109" i="1"/>
  <c r="P2109" i="1" s="1"/>
  <c r="C2109" i="1" s="1"/>
  <c r="N2109"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1" i="1"/>
  <c r="H2181" i="1"/>
  <c r="P2181" i="1" s="1"/>
  <c r="C2181"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2" i="1" s="1"/>
  <c r="D2242" i="1" s="1"/>
  <c r="H2242" i="1" s="1"/>
  <c r="P2242" i="1" s="1"/>
  <c r="C2242" i="1" s="1"/>
  <c r="BG72" i="70"/>
  <c r="D134" i="70"/>
  <c r="BS182" i="16"/>
  <c r="AY182" i="16"/>
  <c r="AA182" i="16"/>
  <c r="H1707" i="1"/>
  <c r="P1707" i="1" s="1"/>
  <c r="C1707" i="1" s="1"/>
  <c r="I1707" i="1"/>
  <c r="EY182" i="16"/>
  <c r="AP182" i="16"/>
  <c r="D307" i="70"/>
  <c r="E122" i="33"/>
  <c r="G122" i="33" s="1"/>
  <c r="H2055" i="1"/>
  <c r="L134" i="70"/>
  <c r="AX182" i="16"/>
  <c r="AD182" i="16"/>
  <c r="AD184" i="16" s="1"/>
  <c r="B156" i="31"/>
  <c r="G156" i="31"/>
  <c r="AO307" i="70"/>
  <c r="K307" i="70"/>
  <c r="AH134" i="70"/>
  <c r="AM134" i="70"/>
  <c r="BM134" i="70"/>
  <c r="CI134" i="70"/>
  <c r="U69" i="61"/>
  <c r="H1562" i="1"/>
  <c r="P1562" i="1" s="1"/>
  <c r="C1562" i="1" s="1"/>
  <c r="J1562" i="1"/>
  <c r="H2014" i="1"/>
  <c r="D2016" i="1"/>
  <c r="H1781" i="1"/>
  <c r="P1781" i="1" s="1"/>
  <c r="C1781" i="1" s="1"/>
  <c r="H2246" i="23"/>
  <c r="H2243" i="23"/>
  <c r="H2244" i="23" s="1"/>
  <c r="H2242" i="23"/>
  <c r="FT182" i="16"/>
  <c r="GF182" i="16"/>
  <c r="GF184" i="16" s="1"/>
  <c r="AC182" i="16"/>
  <c r="N307" i="70"/>
  <c r="AQ229" i="70"/>
  <c r="BG209" i="70"/>
  <c r="CN196" i="70"/>
  <c r="J133" i="70"/>
  <c r="J134" i="70" s="1"/>
  <c r="BC134" i="70"/>
  <c r="BG123" i="70"/>
  <c r="BG91" i="70"/>
  <c r="E136" i="33"/>
  <c r="D2075" i="1"/>
  <c r="H2075" i="1" s="1"/>
  <c r="E146" i="33"/>
  <c r="D2057" i="1"/>
  <c r="E120" i="33"/>
  <c r="D2054" i="1"/>
  <c r="D2056" i="1"/>
  <c r="D2060" i="1"/>
  <c r="H2060" i="1" s="1"/>
  <c r="S182" i="16"/>
  <c r="I2314" i="1"/>
  <c r="H2314" i="1"/>
  <c r="P2314" i="1" s="1"/>
  <c r="C2314" i="1" s="1"/>
  <c r="ED182" i="16"/>
  <c r="ED184" i="16" s="1"/>
  <c r="CV341" i="20"/>
  <c r="D2149"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88" i="1"/>
  <c r="D2185" i="1" s="1"/>
  <c r="D2106"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59" i="1"/>
  <c r="P2259" i="1" s="1"/>
  <c r="C2259" i="1" s="1"/>
  <c r="D2260" i="1"/>
  <c r="H2260" i="1" s="1"/>
  <c r="P2260" i="1" s="1"/>
  <c r="C2260" i="1" s="1"/>
  <c r="N860" i="1"/>
  <c r="M860" i="1"/>
  <c r="CN341" i="20"/>
  <c r="D2132"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1" i="1"/>
  <c r="D2196"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7" i="1"/>
  <c r="E111" i="33"/>
  <c r="G111" i="33" s="1"/>
  <c r="K2044"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1" i="1" s="1"/>
  <c r="EF182" i="16"/>
  <c r="D27" i="92"/>
  <c r="H2178" i="1"/>
  <c r="P2178" i="1" s="1"/>
  <c r="C2178" i="1" s="1"/>
  <c r="N2178"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6" i="1"/>
  <c r="P2116" i="1" s="1"/>
  <c r="C2116" i="1" s="1"/>
  <c r="N2116"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4" i="1"/>
  <c r="D2193"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3" i="1"/>
  <c r="E100" i="33"/>
  <c r="D2231" i="1"/>
  <c r="H2215" i="1"/>
  <c r="H2254" i="1"/>
  <c r="P2254" i="1" s="1"/>
  <c r="C2254" i="1" s="1"/>
  <c r="D2280" i="1"/>
  <c r="H2280" i="1" s="1"/>
  <c r="P2280" i="1" s="1"/>
  <c r="C2280" i="1" s="1"/>
  <c r="EG182" i="16"/>
  <c r="EG184" i="16" s="1"/>
  <c r="D2300" i="1" s="1"/>
  <c r="H1785" i="1"/>
  <c r="P1785" i="1" s="1"/>
  <c r="C1785"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30"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1" i="1"/>
  <c r="D2038" i="1"/>
  <c r="D2042" i="1"/>
  <c r="D2039" i="1"/>
  <c r="EF95" i="16"/>
  <c r="DG341" i="20"/>
  <c r="D2147" i="1"/>
  <c r="DA341" i="20"/>
  <c r="D2140"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49" i="1" s="1"/>
  <c r="BL69" i="61"/>
  <c r="D2275" i="1" s="1"/>
  <c r="H2275" i="1" s="1"/>
  <c r="P2275" i="1" s="1"/>
  <c r="C2275" i="1" s="1"/>
  <c r="H743" i="23"/>
  <c r="H758" i="23"/>
  <c r="H753" i="23"/>
  <c r="H756" i="23"/>
  <c r="H755" i="23"/>
  <c r="H757" i="23"/>
  <c r="H2021" i="1"/>
  <c r="D2022" i="1"/>
  <c r="D2025" i="1"/>
  <c r="D2023" i="1"/>
  <c r="C1850" i="1"/>
  <c r="C1833" i="1"/>
  <c r="C1808" i="1"/>
  <c r="C228" i="97" s="1"/>
  <c r="C1797"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6" i="1"/>
  <c r="D2048" i="1"/>
  <c r="H2047"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2" i="1"/>
  <c r="H2372" i="1" s="1"/>
  <c r="H309" i="23"/>
  <c r="L765" i="1"/>
  <c r="L2368" i="1"/>
  <c r="H2368" i="1" s="1"/>
  <c r="L629" i="1"/>
  <c r="L632" i="1" s="1"/>
  <c r="L2371" i="1"/>
  <c r="H2371" i="1" s="1"/>
  <c r="L2367" i="1"/>
  <c r="L2369" i="1"/>
  <c r="H2369" i="1" s="1"/>
  <c r="P2369" i="1" s="1"/>
  <c r="C2369"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H253" i="97" s="1"/>
  <c r="L2308" i="1"/>
  <c r="H2308" i="1" s="1"/>
  <c r="L2105" i="1"/>
  <c r="H2105" i="1" s="1"/>
  <c r="L2406" i="1"/>
  <c r="H2406" i="1" s="1"/>
  <c r="L2289" i="1"/>
  <c r="H2289" i="1" s="1"/>
  <c r="L693" i="1"/>
  <c r="L663" i="1"/>
  <c r="L667" i="1" s="1"/>
  <c r="L611" i="1"/>
  <c r="L583" i="1"/>
  <c r="L543" i="1"/>
  <c r="L512" i="1"/>
  <c r="L482" i="1"/>
  <c r="L45" i="1"/>
  <c r="L2013" i="1"/>
  <c r="L1107" i="1"/>
  <c r="L1192" i="1"/>
  <c r="L1430" i="1"/>
  <c r="L2319" i="1"/>
  <c r="H2319" i="1" s="1"/>
  <c r="H230" i="97" s="1"/>
  <c r="L1649" i="1"/>
  <c r="H1649" i="1" s="1"/>
  <c r="L1371" i="1"/>
  <c r="L1313" i="1"/>
  <c r="L1204" i="1"/>
  <c r="L1135" i="1"/>
  <c r="L1023" i="1"/>
  <c r="L962" i="1"/>
  <c r="L963" i="1" s="1"/>
  <c r="L849" i="1"/>
  <c r="L863" i="1"/>
  <c r="L702" i="1"/>
  <c r="L465" i="1"/>
  <c r="L356" i="1"/>
  <c r="L291" i="1"/>
  <c r="L224" i="1"/>
  <c r="L156" i="1"/>
  <c r="L157" i="1" s="1"/>
  <c r="L158" i="1" s="1"/>
  <c r="L2370" i="1"/>
  <c r="H2370" i="1" s="1"/>
  <c r="P2370" i="1" s="1"/>
  <c r="C2370"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H197" i="97" s="1"/>
  <c r="L2241" i="1"/>
  <c r="H2241" i="1" s="1"/>
  <c r="L2377" i="1"/>
  <c r="H2377"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1" i="1"/>
  <c r="L174" i="1"/>
  <c r="L256" i="1"/>
  <c r="L421" i="1"/>
  <c r="L522" i="1"/>
  <c r="L567" i="1"/>
  <c r="L717" i="1"/>
  <c r="L739" i="1"/>
  <c r="L763" i="1"/>
  <c r="L790" i="1"/>
  <c r="L909" i="1"/>
  <c r="L942" i="1"/>
  <c r="L982" i="1"/>
  <c r="L1015" i="1"/>
  <c r="L1213" i="1"/>
  <c r="L1300" i="1"/>
  <c r="L1410" i="1"/>
  <c r="L1492" i="1"/>
  <c r="N630" i="1"/>
  <c r="M630" i="1"/>
  <c r="H1538" i="1" l="1"/>
  <c r="P1538" i="1" s="1"/>
  <c r="C1538" i="1" s="1"/>
  <c r="D1540" i="1"/>
  <c r="D1539" i="1"/>
  <c r="H146" i="97"/>
  <c r="F41" i="130"/>
  <c r="I254" i="97"/>
  <c r="K7" i="114"/>
  <c r="H7" i="97"/>
  <c r="F42" i="130"/>
  <c r="R1649" i="1"/>
  <c r="H4" i="97"/>
  <c r="F40" i="130"/>
  <c r="I4" i="97"/>
  <c r="G40" i="130"/>
  <c r="I242" i="97"/>
  <c r="G30" i="130"/>
  <c r="I236" i="97"/>
  <c r="G28" i="130"/>
  <c r="I227" i="97"/>
  <c r="G33" i="130"/>
  <c r="I182" i="97"/>
  <c r="G22" i="130"/>
  <c r="I185" i="97"/>
  <c r="G36" i="130"/>
  <c r="I238" i="97"/>
  <c r="G26" i="130"/>
  <c r="I231" i="97"/>
  <c r="G20" i="130"/>
  <c r="I240" i="97"/>
  <c r="G24" i="130"/>
  <c r="I241" i="97"/>
  <c r="G25" i="130"/>
  <c r="I222" i="97"/>
  <c r="G10" i="107" s="1"/>
  <c r="G18" i="130"/>
  <c r="I219" i="97"/>
  <c r="G16" i="130"/>
  <c r="I232" i="97"/>
  <c r="G21" i="130"/>
  <c r="I239" i="97"/>
  <c r="G27" i="130"/>
  <c r="I237" i="97"/>
  <c r="G29" i="130"/>
  <c r="K784" i="1"/>
  <c r="K787" i="1"/>
  <c r="K785" i="1"/>
  <c r="K789" i="1"/>
  <c r="K788" i="1"/>
  <c r="K786" i="1"/>
  <c r="P785" i="1"/>
  <c r="P788" i="1"/>
  <c r="P786" i="1"/>
  <c r="P789" i="1"/>
  <c r="P787" i="1"/>
  <c r="L784" i="1"/>
  <c r="L789" i="1"/>
  <c r="L787" i="1"/>
  <c r="L785" i="1"/>
  <c r="L788" i="1"/>
  <c r="L786" i="1"/>
  <c r="P2320" i="1"/>
  <c r="G38" i="130" s="1"/>
  <c r="H128" i="97"/>
  <c r="P1793" i="1"/>
  <c r="I37" i="97" s="1"/>
  <c r="I200" i="97"/>
  <c r="P369" i="1"/>
  <c r="I224" i="97" s="1"/>
  <c r="I220" i="97"/>
  <c r="C1780" i="1"/>
  <c r="C14" i="97" s="1"/>
  <c r="I14" i="97"/>
  <c r="P1818" i="1"/>
  <c r="I94" i="97" s="1"/>
  <c r="I229" i="97"/>
  <c r="I183" i="97"/>
  <c r="P784" i="1"/>
  <c r="I25" i="97" s="1"/>
  <c r="H1809" i="1"/>
  <c r="H228" i="97"/>
  <c r="P1779" i="1"/>
  <c r="H13" i="97"/>
  <c r="C1810" i="1"/>
  <c r="C70" i="97" s="1"/>
  <c r="I70" i="97"/>
  <c r="I134" i="97"/>
  <c r="H134" i="97"/>
  <c r="P1960" i="1"/>
  <c r="I203" i="97" s="1"/>
  <c r="H203" i="97"/>
  <c r="P434" i="1"/>
  <c r="I180" i="97" s="1"/>
  <c r="P432" i="1"/>
  <c r="I174" i="97" s="1"/>
  <c r="P433" i="1"/>
  <c r="I177" i="97" s="1"/>
  <c r="Q1961" i="1"/>
  <c r="J1512" i="1"/>
  <c r="B262" i="42"/>
  <c r="P2340" i="1"/>
  <c r="C2340" i="1" s="1"/>
  <c r="P2334" i="1"/>
  <c r="C2334" i="1" s="1"/>
  <c r="P2333" i="1"/>
  <c r="C2333" i="1" s="1"/>
  <c r="P2330" i="1"/>
  <c r="C2330" i="1" s="1"/>
  <c r="P2332" i="1"/>
  <c r="C2332" i="1" s="1"/>
  <c r="P2338" i="1"/>
  <c r="C2338" i="1" s="1"/>
  <c r="P2335" i="1"/>
  <c r="C2335" i="1" s="1"/>
  <c r="Q1949" i="1"/>
  <c r="H1513" i="1"/>
  <c r="P1513" i="1" s="1"/>
  <c r="C1513" i="1" s="1"/>
  <c r="E195" i="42"/>
  <c r="B195" i="42" s="1"/>
  <c r="H1898" i="1"/>
  <c r="Q1898" i="1" s="1"/>
  <c r="E207" i="42"/>
  <c r="G207" i="42" s="1"/>
  <c r="H1909" i="1"/>
  <c r="Q1909" i="1" s="1"/>
  <c r="H1954" i="1"/>
  <c r="R1954" i="1" s="1"/>
  <c r="H1973" i="1"/>
  <c r="R1973" i="1" s="1"/>
  <c r="E194" i="42"/>
  <c r="B194" i="42" s="1"/>
  <c r="H1897" i="1"/>
  <c r="Q1897" i="1" s="1"/>
  <c r="H1944" i="1"/>
  <c r="R1944" i="1" s="1"/>
  <c r="E193" i="42"/>
  <c r="G193" i="42" s="1"/>
  <c r="H1896" i="1"/>
  <c r="R1896" i="1" s="1"/>
  <c r="E197" i="42"/>
  <c r="B197" i="42" s="1"/>
  <c r="H1900" i="1"/>
  <c r="Q1900" i="1" s="1"/>
  <c r="E209" i="42"/>
  <c r="B209" i="42" s="1"/>
  <c r="H1911" i="1"/>
  <c r="R1911" i="1" s="1"/>
  <c r="E212" i="42"/>
  <c r="G212" i="42" s="1"/>
  <c r="H1914" i="1"/>
  <c r="E189" i="42"/>
  <c r="G189" i="42" s="1"/>
  <c r="H1892" i="1"/>
  <c r="R1892" i="1" s="1"/>
  <c r="E188" i="42"/>
  <c r="G188" i="42" s="1"/>
  <c r="H1891" i="1"/>
  <c r="R1891" i="1" s="1"/>
  <c r="E213" i="42"/>
  <c r="G213" i="42" s="1"/>
  <c r="H1915" i="1"/>
  <c r="E192" i="42"/>
  <c r="B192" i="42" s="1"/>
  <c r="H1895" i="1"/>
  <c r="Q1895" i="1" s="1"/>
  <c r="E198" i="42"/>
  <c r="G198" i="42" s="1"/>
  <c r="H1901" i="1"/>
  <c r="Q1901" i="1" s="1"/>
  <c r="Q1937" i="1"/>
  <c r="H2006" i="1"/>
  <c r="P2006" i="1" s="1"/>
  <c r="R1941" i="1"/>
  <c r="Q1976" i="1"/>
  <c r="Q1953" i="1"/>
  <c r="R1948" i="1"/>
  <c r="D1903" i="1"/>
  <c r="Q1933" i="1"/>
  <c r="H1836" i="1"/>
  <c r="F36" i="130" s="1"/>
  <c r="H1794" i="1"/>
  <c r="K1796" i="1"/>
  <c r="K1795" i="1"/>
  <c r="Q1965" i="1"/>
  <c r="Q1940" i="1"/>
  <c r="D1899" i="1"/>
  <c r="D1904" i="1"/>
  <c r="D1913" i="1"/>
  <c r="H1791" i="1"/>
  <c r="F31" i="130" s="1"/>
  <c r="D1791" i="1"/>
  <c r="D200" i="97" s="1"/>
  <c r="D2199" i="1"/>
  <c r="P672" i="1"/>
  <c r="I194" i="97" s="1"/>
  <c r="P667" i="1"/>
  <c r="I139" i="97" s="1"/>
  <c r="N2161" i="1"/>
  <c r="H2142" i="1"/>
  <c r="P2142" i="1" s="1"/>
  <c r="C2142" i="1" s="1"/>
  <c r="H2146" i="1"/>
  <c r="P2146" i="1" s="1"/>
  <c r="C2146" i="1" s="1"/>
  <c r="K666" i="1"/>
  <c r="K668" i="1"/>
  <c r="K673" i="1"/>
  <c r="K669" i="1"/>
  <c r="K674" i="1"/>
  <c r="K665" i="1"/>
  <c r="K670" i="1"/>
  <c r="K664" i="1"/>
  <c r="L668" i="1"/>
  <c r="L673" i="1"/>
  <c r="L669" i="1"/>
  <c r="L674" i="1"/>
  <c r="L665" i="1"/>
  <c r="L666" i="1"/>
  <c r="L670" i="1"/>
  <c r="L664" i="1"/>
  <c r="P669" i="1"/>
  <c r="P674" i="1"/>
  <c r="P665" i="1"/>
  <c r="I97" i="97" s="1"/>
  <c r="P666" i="1"/>
  <c r="I105" i="97" s="1"/>
  <c r="P670" i="1"/>
  <c r="P668" i="1"/>
  <c r="P673" i="1"/>
  <c r="P664" i="1"/>
  <c r="I21" i="97" s="1"/>
  <c r="L672" i="1"/>
  <c r="K672" i="1"/>
  <c r="L671" i="1"/>
  <c r="M671" i="1"/>
  <c r="P671" i="1"/>
  <c r="I205" i="97" s="1"/>
  <c r="N671" i="1"/>
  <c r="O671" i="1"/>
  <c r="I671" i="1"/>
  <c r="J671" i="1"/>
  <c r="K671" i="1"/>
  <c r="R2105" i="1"/>
  <c r="D1893" i="1"/>
  <c r="K1839" i="1"/>
  <c r="R1977" i="1"/>
  <c r="Q1934" i="1"/>
  <c r="Q1970" i="1"/>
  <c r="Q1947" i="1"/>
  <c r="D1912" i="1"/>
  <c r="D1894" i="1"/>
  <c r="D1902" i="1"/>
  <c r="R1984" i="1"/>
  <c r="Q1981" i="1"/>
  <c r="Q1972" i="1"/>
  <c r="Q1967" i="1"/>
  <c r="D1906" i="1"/>
  <c r="Q1939" i="1"/>
  <c r="R1974" i="1"/>
  <c r="R1990" i="1"/>
  <c r="K2337" i="1"/>
  <c r="P2337" i="1" s="1"/>
  <c r="K1816" i="1"/>
  <c r="H1816" i="1" s="1"/>
  <c r="K1804" i="1"/>
  <c r="H1804" i="1" s="1"/>
  <c r="K1910" i="1"/>
  <c r="Q1983" i="1"/>
  <c r="Q1951" i="1"/>
  <c r="R1962" i="1"/>
  <c r="R1987" i="1"/>
  <c r="K2320" i="1"/>
  <c r="K962" i="1"/>
  <c r="K963" i="1" s="1"/>
  <c r="Q1943" i="1"/>
  <c r="K2336" i="1"/>
  <c r="P2336" i="1" s="1"/>
  <c r="G41" i="130" s="1"/>
  <c r="R1991" i="1"/>
  <c r="Q1938" i="1"/>
  <c r="R1950" i="1"/>
  <c r="D1926" i="1"/>
  <c r="D1919" i="1"/>
  <c r="D1921" i="1"/>
  <c r="Q1968" i="1"/>
  <c r="Q1957" i="1"/>
  <c r="R1945" i="1"/>
  <c r="R1963" i="1"/>
  <c r="R1964" i="1"/>
  <c r="D1917" i="1"/>
  <c r="Q1989" i="1"/>
  <c r="R1975" i="1"/>
  <c r="R1971" i="1"/>
  <c r="R1936" i="1"/>
  <c r="R1969" i="1"/>
  <c r="R1946" i="1"/>
  <c r="Q1930" i="1"/>
  <c r="Q1958" i="1"/>
  <c r="R1942" i="1"/>
  <c r="R1978" i="1"/>
  <c r="D1922" i="1"/>
  <c r="H1922" i="1" s="1"/>
  <c r="Q1922" i="1" s="1"/>
  <c r="R1955" i="1"/>
  <c r="Q1952" i="1"/>
  <c r="Q1964" i="1"/>
  <c r="R1957" i="1"/>
  <c r="Q1945" i="1"/>
  <c r="R1968" i="1"/>
  <c r="D1920" i="1"/>
  <c r="Q1990" i="1"/>
  <c r="R1952" i="1"/>
  <c r="Q1955" i="1"/>
  <c r="Q1975" i="1"/>
  <c r="Q1936" i="1"/>
  <c r="R1933" i="1"/>
  <c r="R1938" i="1"/>
  <c r="R1967" i="1"/>
  <c r="Q1991" i="1"/>
  <c r="R1947" i="1"/>
  <c r="Q1931" i="1"/>
  <c r="C1931" i="1"/>
  <c r="Q1969" i="1"/>
  <c r="Q1971" i="1"/>
  <c r="Q1923" i="1"/>
  <c r="R1923" i="1"/>
  <c r="Q1905" i="1"/>
  <c r="R1905" i="1"/>
  <c r="Q1948" i="1"/>
  <c r="R1953" i="1"/>
  <c r="R1983" i="1"/>
  <c r="Q1941" i="1"/>
  <c r="AW184" i="16"/>
  <c r="Q1963" i="1"/>
  <c r="R1965" i="1"/>
  <c r="Q1987" i="1"/>
  <c r="R1943" i="1"/>
  <c r="Q1984" i="1"/>
  <c r="R1981" i="1"/>
  <c r="AP184" i="16"/>
  <c r="T184" i="16"/>
  <c r="H1845" i="23"/>
  <c r="BK184" i="16"/>
  <c r="R1951" i="1"/>
  <c r="Q1962" i="1"/>
  <c r="R1958" i="1"/>
  <c r="R1940" i="1"/>
  <c r="Q1942" i="1"/>
  <c r="R1976" i="1"/>
  <c r="Q1860" i="1"/>
  <c r="R1860" i="1"/>
  <c r="R1949" i="1"/>
  <c r="H2131" i="1"/>
  <c r="P2131" i="1" s="1"/>
  <c r="C2131" i="1" s="1"/>
  <c r="R1931" i="1"/>
  <c r="I1931" i="1"/>
  <c r="Q1950" i="1"/>
  <c r="R1937" i="1"/>
  <c r="Q1978" i="1"/>
  <c r="R1939" i="1"/>
  <c r="Z184" i="16"/>
  <c r="EU184" i="16"/>
  <c r="R1989" i="1"/>
  <c r="R1930" i="1"/>
  <c r="Q1946" i="1"/>
  <c r="C1946" i="1"/>
  <c r="R1972" i="1"/>
  <c r="BB184" i="16"/>
  <c r="DY184" i="16"/>
  <c r="D1596" i="1" s="1"/>
  <c r="R1961" i="1"/>
  <c r="Q1977" i="1"/>
  <c r="R1934" i="1"/>
  <c r="Q1974" i="1"/>
  <c r="R1970" i="1"/>
  <c r="I2375" i="23"/>
  <c r="I2376" i="23" s="1"/>
  <c r="A2376" i="23" s="1"/>
  <c r="D2" i="97"/>
  <c r="H76" i="97"/>
  <c r="H122" i="97"/>
  <c r="H16" i="97"/>
  <c r="H116" i="97"/>
  <c r="I2379" i="23"/>
  <c r="I2383" i="23"/>
  <c r="I235" i="97" s="1"/>
  <c r="I2384" i="23"/>
  <c r="I233" i="97" s="1"/>
  <c r="I2387" i="23"/>
  <c r="I198" i="97" s="1"/>
  <c r="H2453" i="23"/>
  <c r="H2458" i="23"/>
  <c r="H2462" i="23"/>
  <c r="H2452" i="23"/>
  <c r="H2455" i="23"/>
  <c r="H2460" i="23"/>
  <c r="H2464" i="23"/>
  <c r="H2454" i="23"/>
  <c r="H2459" i="23"/>
  <c r="H2463" i="23"/>
  <c r="H2457" i="23"/>
  <c r="H2456" i="23"/>
  <c r="H2461" i="23"/>
  <c r="H2465" i="23"/>
  <c r="H2467" i="23"/>
  <c r="H2466" i="23"/>
  <c r="H2479" i="23"/>
  <c r="H60" i="97" s="1"/>
  <c r="H2478" i="23"/>
  <c r="H59" i="97" s="1"/>
  <c r="H2476" i="23"/>
  <c r="H170" i="97" s="1"/>
  <c r="H2477" i="23"/>
  <c r="A3028" i="23"/>
  <c r="I3030" i="23"/>
  <c r="A3030" i="23" s="1"/>
  <c r="I3031" i="23"/>
  <c r="I3032" i="23"/>
  <c r="I3033" i="23"/>
  <c r="A3033" i="23" s="1"/>
  <c r="I3034" i="23"/>
  <c r="A3034" i="23" s="1"/>
  <c r="I3035" i="23"/>
  <c r="I3029" i="23"/>
  <c r="H1962" i="23"/>
  <c r="H2015" i="23"/>
  <c r="H1968" i="23"/>
  <c r="H2071" i="23"/>
  <c r="H1963" i="23"/>
  <c r="H2078" i="23"/>
  <c r="D1927" i="1"/>
  <c r="D1908" i="1"/>
  <c r="D1928" i="1"/>
  <c r="G7" i="107"/>
  <c r="K1918" i="1"/>
  <c r="K1932" i="1"/>
  <c r="H1932" i="1" s="1"/>
  <c r="P1932" i="1" s="1"/>
  <c r="K1929" i="1"/>
  <c r="K1916" i="1"/>
  <c r="P2342" i="1"/>
  <c r="P957" i="1"/>
  <c r="I48" i="97" s="1"/>
  <c r="P968" i="1"/>
  <c r="I41" i="97" s="1"/>
  <c r="K2341" i="1"/>
  <c r="I1676" i="1"/>
  <c r="Q2005" i="1"/>
  <c r="R2005" i="1"/>
  <c r="Q1988" i="1"/>
  <c r="R1988" i="1"/>
  <c r="Q1986" i="1"/>
  <c r="R1986" i="1"/>
  <c r="P922" i="1"/>
  <c r="P919" i="1"/>
  <c r="P923" i="1"/>
  <c r="P921" i="1"/>
  <c r="P920" i="1"/>
  <c r="I797" i="1"/>
  <c r="N797" i="1"/>
  <c r="M797" i="1"/>
  <c r="O797" i="1"/>
  <c r="P1918" i="1"/>
  <c r="P1998" i="1"/>
  <c r="P2009" i="1"/>
  <c r="P2007" i="1"/>
  <c r="P1994" i="1"/>
  <c r="P2002" i="1"/>
  <c r="P2000" i="1"/>
  <c r="P1996" i="1"/>
  <c r="P1995" i="1"/>
  <c r="P1999" i="1"/>
  <c r="P2008" i="1"/>
  <c r="P1993" i="1"/>
  <c r="P2004" i="1"/>
  <c r="P2003" i="1"/>
  <c r="P2001" i="1"/>
  <c r="P1992" i="1"/>
  <c r="I111" i="97"/>
  <c r="K918" i="1"/>
  <c r="K919" i="1" s="1"/>
  <c r="C2241" i="1"/>
  <c r="AF184" i="16"/>
  <c r="H1714" i="23"/>
  <c r="BJ184" i="16"/>
  <c r="EY184" i="16"/>
  <c r="C2378" i="1"/>
  <c r="ER184" i="16"/>
  <c r="Q1823" i="1"/>
  <c r="R1823" i="1"/>
  <c r="BM184" i="16"/>
  <c r="Q1812" i="1"/>
  <c r="R1812" i="1"/>
  <c r="C2392" i="1"/>
  <c r="R2308" i="1"/>
  <c r="AH184" i="16"/>
  <c r="R2208" i="1"/>
  <c r="EE184" i="16"/>
  <c r="EN184" i="16"/>
  <c r="DA184" i="16"/>
  <c r="CV184" i="16"/>
  <c r="GD184" i="16"/>
  <c r="Q1827" i="1"/>
  <c r="R1827" i="1"/>
  <c r="R1819" i="1"/>
  <c r="Q1819" i="1"/>
  <c r="Q1800" i="1"/>
  <c r="R1800" i="1"/>
  <c r="R1797" i="1"/>
  <c r="Q1797" i="1"/>
  <c r="Q1857" i="1"/>
  <c r="R1857" i="1"/>
  <c r="R1808" i="1"/>
  <c r="Q1808" i="1"/>
  <c r="R1833" i="1"/>
  <c r="Q1833" i="1"/>
  <c r="Q1850" i="1"/>
  <c r="R1850" i="1"/>
  <c r="R1791" i="1"/>
  <c r="P775" i="1"/>
  <c r="I184" i="97" s="1"/>
  <c r="P774" i="1"/>
  <c r="P773" i="1"/>
  <c r="I24" i="97" s="1"/>
  <c r="Q2208" i="1"/>
  <c r="Q1649" i="1"/>
  <c r="Q2308" i="1"/>
  <c r="Q2319" i="1"/>
  <c r="Q2406" i="1"/>
  <c r="Q2105" i="1"/>
  <c r="R2319" i="1"/>
  <c r="C2406" i="1"/>
  <c r="R2406" i="1"/>
  <c r="R1511" i="1"/>
  <c r="Q1511" i="1"/>
  <c r="R1510" i="1"/>
  <c r="Q1510" i="1"/>
  <c r="R2392" i="1"/>
  <c r="Q2392" i="1"/>
  <c r="R2297" i="1"/>
  <c r="Q2297" i="1"/>
  <c r="Q2366" i="1"/>
  <c r="R2366" i="1"/>
  <c r="R2241" i="1"/>
  <c r="Q2241" i="1"/>
  <c r="R2289" i="1"/>
  <c r="Q2289" i="1"/>
  <c r="R2377" i="1"/>
  <c r="Q2377" i="1"/>
  <c r="R2378" i="1"/>
  <c r="Q2378" i="1"/>
  <c r="R2372" i="1"/>
  <c r="Q2372" i="1"/>
  <c r="H1541" i="1"/>
  <c r="P1541" i="1" s="1"/>
  <c r="C1541" i="1" s="1"/>
  <c r="J1005" i="1"/>
  <c r="J797" i="1" s="1"/>
  <c r="D14" i="114"/>
  <c r="FJ184" i="16"/>
  <c r="C1955" i="1"/>
  <c r="H2861" i="23"/>
  <c r="DW184" i="16"/>
  <c r="D1595" i="1" s="1"/>
  <c r="J1595" i="1" s="1"/>
  <c r="H475" i="23"/>
  <c r="FZ184" i="16"/>
  <c r="EB184" i="16"/>
  <c r="AX184" i="16"/>
  <c r="CF184" i="16"/>
  <c r="R184" i="16"/>
  <c r="DV184" i="16"/>
  <c r="C71" i="61"/>
  <c r="D2151" i="23"/>
  <c r="D2152" i="23" s="1"/>
  <c r="P2328" i="1"/>
  <c r="I78" i="97" s="1"/>
  <c r="D1924" i="1"/>
  <c r="H1924" i="1" s="1"/>
  <c r="Q1924" i="1" s="1"/>
  <c r="D1907" i="1"/>
  <c r="H1907" i="1" s="1"/>
  <c r="Q1907" i="1" s="1"/>
  <c r="D2329" i="1"/>
  <c r="D1925" i="1"/>
  <c r="H1925" i="1" s="1"/>
  <c r="R1925" i="1" s="1"/>
  <c r="N2159"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7" i="1"/>
  <c r="EV184" i="16"/>
  <c r="BH184" i="16"/>
  <c r="AY184" i="16"/>
  <c r="BO184" i="16"/>
  <c r="G114" i="42"/>
  <c r="DD184" i="16"/>
  <c r="J1600" i="1"/>
  <c r="AE184" i="16"/>
  <c r="H2221" i="23"/>
  <c r="G87" i="31"/>
  <c r="CY184" i="16"/>
  <c r="DN184" i="16"/>
  <c r="D1533" i="1" s="1"/>
  <c r="H1533" i="1" s="1"/>
  <c r="P1533" i="1" s="1"/>
  <c r="C1533" i="1" s="1"/>
  <c r="AL184" i="16"/>
  <c r="N2126"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1" i="1"/>
  <c r="P2141" i="1" s="1"/>
  <c r="C2141" i="1" s="1"/>
  <c r="K360" i="1"/>
  <c r="K361" i="1"/>
  <c r="J1538" i="1"/>
  <c r="H2129" i="1"/>
  <c r="P2129" i="1" s="1"/>
  <c r="C2129"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0" i="1"/>
  <c r="D1840" i="1"/>
  <c r="E176" i="42" s="1"/>
  <c r="G176" i="42" s="1"/>
  <c r="D42" i="113"/>
  <c r="D43" i="113"/>
  <c r="D41" i="113"/>
  <c r="N2180" i="1"/>
  <c r="H2144" i="1"/>
  <c r="P2144" i="1" s="1"/>
  <c r="C2144" i="1" s="1"/>
  <c r="N2145" i="1"/>
  <c r="D2326" i="1"/>
  <c r="D4" i="97" s="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4" i="1"/>
  <c r="H1114" i="1"/>
  <c r="I1737" i="1"/>
  <c r="H2251" i="1"/>
  <c r="P2251" i="1" s="1"/>
  <c r="C2251" i="1" s="1"/>
  <c r="H2150" i="1"/>
  <c r="P2150" i="1" s="1"/>
  <c r="C2150" i="1" s="1"/>
  <c r="J1594" i="1"/>
  <c r="R2341" i="1"/>
  <c r="L902" i="1"/>
  <c r="L904" i="1"/>
  <c r="L899" i="1"/>
  <c r="L901" i="1"/>
  <c r="L903" i="1"/>
  <c r="L900" i="1"/>
  <c r="K902" i="1"/>
  <c r="K899" i="1"/>
  <c r="K904" i="1"/>
  <c r="K901" i="1"/>
  <c r="K900" i="1"/>
  <c r="K903" i="1"/>
  <c r="N2139" i="1"/>
  <c r="G194" i="42"/>
  <c r="G197" i="42"/>
  <c r="D2078" i="1"/>
  <c r="H2078" i="1" s="1"/>
  <c r="I1468" i="23"/>
  <c r="A1468" i="23" s="1"/>
  <c r="I119" i="23"/>
  <c r="A119" i="23" s="1"/>
  <c r="H2162" i="23"/>
  <c r="H2164" i="23" s="1"/>
  <c r="H2224" i="23"/>
  <c r="FU184" i="16"/>
  <c r="CP184" i="16"/>
  <c r="FV184" i="16"/>
  <c r="B17" i="31"/>
  <c r="G17" i="31"/>
  <c r="CO184" i="16"/>
  <c r="H2225" i="23"/>
  <c r="G35" i="42"/>
  <c r="FW184" i="16"/>
  <c r="FQ184" i="16"/>
  <c r="H2203" i="23"/>
  <c r="P2329"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7" i="1"/>
  <c r="P2177" i="1" s="1"/>
  <c r="C2177" i="1" s="1"/>
  <c r="N2177" i="1"/>
  <c r="I1467" i="23"/>
  <c r="A1467" i="23" s="1"/>
  <c r="I320" i="23"/>
  <c r="A320" i="23" s="1"/>
  <c r="I822" i="23"/>
  <c r="A822" i="23" s="1"/>
  <c r="EP184" i="16"/>
  <c r="CI184" i="16"/>
  <c r="BW184" i="16"/>
  <c r="H2882" i="23"/>
  <c r="EZ184" i="16"/>
  <c r="I1665" i="23"/>
  <c r="A1665" i="23" s="1"/>
  <c r="I510" i="23"/>
  <c r="A510" i="23" s="1"/>
  <c r="BG307" i="70"/>
  <c r="AO184" i="16"/>
  <c r="N184" i="16"/>
  <c r="DP184" i="16"/>
  <c r="V184" i="16"/>
  <c r="H2076" i="1"/>
  <c r="P2076" i="1" s="1"/>
  <c r="D1982" i="1"/>
  <c r="H1982" i="1" s="1"/>
  <c r="R1982" i="1" s="1"/>
  <c r="E187" i="42"/>
  <c r="G28" i="35"/>
  <c r="B28" i="35"/>
  <c r="DX184" i="16"/>
  <c r="H2879" i="23"/>
  <c r="BG134" i="70"/>
  <c r="I1654" i="23"/>
  <c r="A1654" i="23" s="1"/>
  <c r="I1554" i="23"/>
  <c r="A1554" i="23" s="1"/>
  <c r="B50" i="33"/>
  <c r="G50" i="33"/>
  <c r="G48" i="35"/>
  <c r="B48" i="35"/>
  <c r="G41" i="35"/>
  <c r="H2252" i="1"/>
  <c r="P2252" i="1" s="1"/>
  <c r="C2252" i="1" s="1"/>
  <c r="I1671" i="23"/>
  <c r="A1671" i="23" s="1"/>
  <c r="I1673" i="23"/>
  <c r="A1673" i="23" s="1"/>
  <c r="N2151"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5"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6" i="1"/>
  <c r="H1966" i="1" s="1"/>
  <c r="Q1966"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A2387"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A2383" i="23"/>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3" i="97" s="1"/>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A2384" i="23"/>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D39" i="113"/>
  <c r="C250" i="115" s="1"/>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D36" i="113"/>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D40" i="113"/>
  <c r="C251" i="115" s="1"/>
  <c r="H1540" i="23"/>
  <c r="I1523" i="23"/>
  <c r="A1523" i="23" s="1"/>
  <c r="I111" i="23"/>
  <c r="A111" i="23" s="1"/>
  <c r="P2077"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0" i="1"/>
  <c r="G78" i="33"/>
  <c r="H2210" i="1"/>
  <c r="P2210" i="1" s="1"/>
  <c r="C2210"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209" i="1"/>
  <c r="D1633" i="1"/>
  <c r="H1633" i="1" s="1"/>
  <c r="P1633" i="1" s="1"/>
  <c r="C1633" i="1" s="1"/>
  <c r="D2112" i="1"/>
  <c r="D2105" i="1" s="1"/>
  <c r="C2105" i="1" s="1"/>
  <c r="D2195"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9" i="1" s="1"/>
  <c r="J2299"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2" i="1"/>
  <c r="J1529" i="1"/>
  <c r="J1605"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4" i="1"/>
  <c r="H2134" i="1"/>
  <c r="P2134" i="1" s="1"/>
  <c r="C2134" i="1" s="1"/>
  <c r="BI184" i="16"/>
  <c r="B54" i="42"/>
  <c r="G54" i="42"/>
  <c r="B50" i="35"/>
  <c r="G50" i="35"/>
  <c r="D49" i="115"/>
  <c r="D33" i="115"/>
  <c r="E6" i="108"/>
  <c r="F17" i="108"/>
  <c r="D107" i="115" s="1"/>
  <c r="C107" i="115" s="1"/>
  <c r="B185" i="31"/>
  <c r="N2128" i="1"/>
  <c r="H2128" i="1"/>
  <c r="P2128" i="1" s="1"/>
  <c r="C2128"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0" i="1"/>
  <c r="H2162" i="1"/>
  <c r="P2162" i="1" s="1"/>
  <c r="C2162" i="1" s="1"/>
  <c r="N2162"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3" i="1"/>
  <c r="H2163" i="1"/>
  <c r="P2163" i="1" s="1"/>
  <c r="C2163" i="1" s="1"/>
  <c r="G29" i="33"/>
  <c r="B29" i="33"/>
  <c r="G44" i="42"/>
  <c r="B44" i="42"/>
  <c r="G16" i="33"/>
  <c r="B16" i="33"/>
  <c r="B54" i="34"/>
  <c r="G54" i="34"/>
  <c r="G82" i="34"/>
  <c r="G283" i="42"/>
  <c r="G152" i="31"/>
  <c r="E126" i="31"/>
  <c r="B115" i="35"/>
  <c r="G113" i="31"/>
  <c r="B125" i="31"/>
  <c r="B90" i="35"/>
  <c r="B85" i="34"/>
  <c r="E114" i="31"/>
  <c r="G114" i="31" s="1"/>
  <c r="J1611" i="1"/>
  <c r="N2110"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7"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1" i="1"/>
  <c r="P2011" i="1" s="1"/>
  <c r="C2011" i="1" s="1"/>
  <c r="B120" i="35"/>
  <c r="H1665" i="1"/>
  <c r="P1665" i="1" s="1"/>
  <c r="C1665" i="1" s="1"/>
  <c r="J1516" i="1"/>
  <c r="H2107" i="1"/>
  <c r="P2107" i="1" s="1"/>
  <c r="C2107" i="1" s="1"/>
  <c r="H1653" i="1"/>
  <c r="P1653" i="1" s="1"/>
  <c r="C1653" i="1" s="1"/>
  <c r="G192" i="31"/>
  <c r="H1651" i="1"/>
  <c r="P1651" i="1" s="1"/>
  <c r="C1651" i="1" s="1"/>
  <c r="H1657" i="1"/>
  <c r="P1657" i="1" s="1"/>
  <c r="C1657" i="1" s="1"/>
  <c r="D2240" i="1"/>
  <c r="O1817" i="1"/>
  <c r="O1818" i="1"/>
  <c r="B93" i="35"/>
  <c r="H2028" i="1"/>
  <c r="P2028" i="1" s="1"/>
  <c r="C2028" i="1" s="1"/>
  <c r="B137" i="31"/>
  <c r="E107" i="33"/>
  <c r="G107" i="33" s="1"/>
  <c r="L802" i="1"/>
  <c r="L806" i="1"/>
  <c r="L799" i="1"/>
  <c r="L801" i="1"/>
  <c r="L805" i="1"/>
  <c r="L800" i="1"/>
  <c r="L804" i="1"/>
  <c r="L803" i="1"/>
  <c r="L807" i="1"/>
  <c r="B113" i="35"/>
  <c r="K801" i="1"/>
  <c r="K805" i="1"/>
  <c r="K807" i="1"/>
  <c r="K800" i="1"/>
  <c r="K804" i="1"/>
  <c r="K799" i="1"/>
  <c r="K803" i="1"/>
  <c r="K802" i="1"/>
  <c r="K806" i="1"/>
  <c r="D2282" i="1"/>
  <c r="H2282" i="1" s="1"/>
  <c r="P2282" i="1" s="1"/>
  <c r="C2282" i="1" s="1"/>
  <c r="G75" i="35"/>
  <c r="B75" i="35"/>
  <c r="G86" i="35"/>
  <c r="G95" i="31"/>
  <c r="B111" i="31"/>
  <c r="G111" i="31"/>
  <c r="B131" i="42"/>
  <c r="G131" i="42"/>
  <c r="B76" i="35"/>
  <c r="G76" i="35"/>
  <c r="B123" i="35"/>
  <c r="G123" i="35"/>
  <c r="E130" i="31"/>
  <c r="G129" i="31"/>
  <c r="C2086"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3" i="1"/>
  <c r="H2030" i="1"/>
  <c r="L2030" i="1" s="1"/>
  <c r="P2033" i="1"/>
  <c r="F79" i="33"/>
  <c r="H2036" i="1"/>
  <c r="L2036" i="1" s="1"/>
  <c r="H2015" i="1"/>
  <c r="E99" i="33"/>
  <c r="G99" i="33" s="1"/>
  <c r="P2014" i="1"/>
  <c r="P2029"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5" i="1"/>
  <c r="H2027" i="1"/>
  <c r="P2027" i="1" s="1"/>
  <c r="C2027" i="1" s="1"/>
  <c r="D2" i="18"/>
  <c r="B93" i="33"/>
  <c r="H376" i="1"/>
  <c r="Q376" i="1" s="1"/>
  <c r="B139" i="33"/>
  <c r="E103" i="33"/>
  <c r="G103" i="33" s="1"/>
  <c r="L29" i="1"/>
  <c r="E113" i="33"/>
  <c r="G113" i="33" s="1"/>
  <c r="P2045" i="1"/>
  <c r="C2045" i="1" s="1"/>
  <c r="E112" i="33"/>
  <c r="G112" i="33" s="1"/>
  <c r="G110" i="33"/>
  <c r="D3" i="18"/>
  <c r="P2040" i="1"/>
  <c r="C2040" i="1" s="1"/>
  <c r="L2046" i="1"/>
  <c r="B104" i="33"/>
  <c r="F80" i="33"/>
  <c r="D2013" i="1"/>
  <c r="D2091" i="1"/>
  <c r="H2031" i="1"/>
  <c r="E98" i="33"/>
  <c r="G98" i="33" s="1"/>
  <c r="H152" i="1"/>
  <c r="Q152" i="1" s="1"/>
  <c r="D2097" i="1"/>
  <c r="E82" i="33"/>
  <c r="G82" i="33" s="1"/>
  <c r="L694" i="1"/>
  <c r="D2012" i="1"/>
  <c r="H2012" i="1" s="1"/>
  <c r="D2089" i="1"/>
  <c r="P2066" i="1"/>
  <c r="C2066" i="1" s="1"/>
  <c r="L249" i="1"/>
  <c r="L250" i="1"/>
  <c r="G131" i="33"/>
  <c r="B131" i="33"/>
  <c r="H2019" i="1"/>
  <c r="P2019" i="1" s="1"/>
  <c r="C2019" i="1" s="1"/>
  <c r="L414" i="1"/>
  <c r="L415" i="1"/>
  <c r="L1466" i="1"/>
  <c r="L1468" i="1"/>
  <c r="L1467" i="1"/>
  <c r="L54" i="1"/>
  <c r="L55" i="1"/>
  <c r="L329" i="1"/>
  <c r="L328" i="1"/>
  <c r="L327" i="1"/>
  <c r="K1792" i="1"/>
  <c r="L860" i="1"/>
  <c r="L859" i="1"/>
  <c r="L2035" i="1"/>
  <c r="P2035" i="1"/>
  <c r="L1149" i="1"/>
  <c r="L1148" i="1"/>
  <c r="L1151" i="1"/>
  <c r="L1147" i="1"/>
  <c r="L1152" i="1"/>
  <c r="L1150" i="1"/>
  <c r="L1055" i="1"/>
  <c r="L1054" i="1"/>
  <c r="L1056" i="1"/>
  <c r="L1057" i="1"/>
  <c r="G138" i="33"/>
  <c r="B138" i="33"/>
  <c r="P2067" i="1"/>
  <c r="C2067"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0"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2" i="1"/>
  <c r="H2034"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2" i="1"/>
  <c r="P2102" i="1" s="1"/>
  <c r="C2102" i="1" s="1"/>
  <c r="D2101" i="1"/>
  <c r="H2101" i="1" s="1"/>
  <c r="P2101" i="1" s="1"/>
  <c r="C2101"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7" i="1"/>
  <c r="K1838"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5" i="1"/>
  <c r="E92" i="33"/>
  <c r="G92" i="33" s="1"/>
  <c r="K2025" i="1"/>
  <c r="H2039" i="1"/>
  <c r="E106" i="33"/>
  <c r="G106" i="33" s="1"/>
  <c r="B130" i="42"/>
  <c r="G130" i="42"/>
  <c r="I1736" i="1"/>
  <c r="H1736" i="1"/>
  <c r="P1736" i="1" s="1"/>
  <c r="C1736" i="1" s="1"/>
  <c r="G105" i="31"/>
  <c r="B105" i="31"/>
  <c r="D2183" i="1"/>
  <c r="H2106" i="1"/>
  <c r="P2106" i="1" s="1"/>
  <c r="C2106" i="1" s="1"/>
  <c r="N2106" i="1"/>
  <c r="P1517" i="1"/>
  <c r="C1517" i="1" s="1"/>
  <c r="J1517" i="1"/>
  <c r="H2149" i="1"/>
  <c r="P2149" i="1" s="1"/>
  <c r="C2149" i="1" s="1"/>
  <c r="N2149" i="1"/>
  <c r="P2080" i="1"/>
  <c r="C2080"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4" i="1"/>
  <c r="H2022" i="1"/>
  <c r="K2022" i="1"/>
  <c r="E89" i="33"/>
  <c r="G89" i="33" s="1"/>
  <c r="D1591" i="1"/>
  <c r="DS184" i="16"/>
  <c r="E109" i="33"/>
  <c r="G109" i="33" s="1"/>
  <c r="H2042" i="1"/>
  <c r="P2215" i="1"/>
  <c r="C2215" i="1" s="1"/>
  <c r="M2215" i="1"/>
  <c r="G99" i="31"/>
  <c r="B99" i="31"/>
  <c r="D1564" i="1"/>
  <c r="DJ184" i="16"/>
  <c r="K1632" i="1" s="1"/>
  <c r="D1632" i="1" s="1"/>
  <c r="H1632" i="1" s="1"/>
  <c r="P1632" i="1" s="1"/>
  <c r="C1632" i="1" s="1"/>
  <c r="J1525" i="1"/>
  <c r="H1525" i="1"/>
  <c r="P1525" i="1" s="1"/>
  <c r="C1525" i="1" s="1"/>
  <c r="H2132" i="1"/>
  <c r="P2132" i="1" s="1"/>
  <c r="C2132" i="1" s="1"/>
  <c r="N2132" i="1"/>
  <c r="G121" i="35"/>
  <c r="B121" i="35"/>
  <c r="G73" i="34"/>
  <c r="B73" i="34"/>
  <c r="N2185" i="1"/>
  <c r="H2185" i="1"/>
  <c r="P2185" i="1" s="1"/>
  <c r="C2185"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2"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1" i="1"/>
  <c r="H1821"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1" i="1"/>
  <c r="D2262" i="1"/>
  <c r="H2249" i="1"/>
  <c r="P2249" i="1" s="1"/>
  <c r="C2249" i="1" s="1"/>
  <c r="D2284" i="1"/>
  <c r="H2284" i="1" s="1"/>
  <c r="P2284" i="1" s="1"/>
  <c r="C2284" i="1" s="1"/>
  <c r="D2261" i="1"/>
  <c r="H2261" i="1" s="1"/>
  <c r="P2261" i="1" s="1"/>
  <c r="C2261" i="1" s="1"/>
  <c r="H2038" i="1"/>
  <c r="E105" i="33"/>
  <c r="G105" i="33" s="1"/>
  <c r="G122" i="35"/>
  <c r="B122" i="35"/>
  <c r="B68" i="34"/>
  <c r="G68" i="34"/>
  <c r="EX184" i="16"/>
  <c r="W184" i="16"/>
  <c r="I1733" i="1"/>
  <c r="H1733" i="1"/>
  <c r="P1733" i="1" s="1"/>
  <c r="C1733" i="1" s="1"/>
  <c r="P2073" i="1"/>
  <c r="C2073" i="1" s="1"/>
  <c r="G55" i="31"/>
  <c r="B55" i="31"/>
  <c r="H1524" i="1"/>
  <c r="P1524" i="1" s="1"/>
  <c r="C1524" i="1" s="1"/>
  <c r="J1524" i="1"/>
  <c r="E197" i="31"/>
  <c r="D2298" i="1"/>
  <c r="D2095" i="1"/>
  <c r="H2095" i="1" s="1"/>
  <c r="P2095" i="1" s="1"/>
  <c r="C2095" i="1" s="1"/>
  <c r="E127" i="33"/>
  <c r="P2069" i="1"/>
  <c r="C2069" i="1" s="1"/>
  <c r="B89" i="35"/>
  <c r="G89" i="35"/>
  <c r="B94" i="31"/>
  <c r="G94" i="31"/>
  <c r="G134" i="35"/>
  <c r="B134" i="35"/>
  <c r="G279" i="42"/>
  <c r="B279" i="42"/>
  <c r="L1449" i="1"/>
  <c r="L1448" i="1"/>
  <c r="L1450" i="1"/>
  <c r="H2383" i="1"/>
  <c r="H2411" i="1"/>
  <c r="H2398" i="1"/>
  <c r="H2395" i="1"/>
  <c r="H2381" i="1"/>
  <c r="H2410" i="1"/>
  <c r="H2384" i="1"/>
  <c r="H2388" i="1"/>
  <c r="H2408" i="1"/>
  <c r="H2404" i="1"/>
  <c r="H2382" i="1"/>
  <c r="H2393" i="1"/>
  <c r="H2397" i="1"/>
  <c r="H2394" i="1"/>
  <c r="H2417" i="1"/>
  <c r="P2417" i="1" s="1"/>
  <c r="C2417" i="1" s="1"/>
  <c r="H2414" i="1"/>
  <c r="H2415" i="1"/>
  <c r="P2415" i="1" s="1"/>
  <c r="C2415" i="1" s="1"/>
  <c r="H2385" i="1"/>
  <c r="H2399" i="1"/>
  <c r="H2402" i="1"/>
  <c r="H2403" i="1"/>
  <c r="P2403" i="1" s="1"/>
  <c r="C2403" i="1" s="1"/>
  <c r="H2405" i="1"/>
  <c r="P2405" i="1" s="1"/>
  <c r="C2405" i="1" s="1"/>
  <c r="H2416" i="1"/>
  <c r="P2416" i="1" s="1"/>
  <c r="C2416" i="1" s="1"/>
  <c r="H2389" i="1"/>
  <c r="P2389" i="1" s="1"/>
  <c r="C2389" i="1" s="1"/>
  <c r="H2396" i="1"/>
  <c r="H2407" i="1"/>
  <c r="H2391" i="1"/>
  <c r="P2391" i="1" s="1"/>
  <c r="C2391" i="1" s="1"/>
  <c r="H2379" i="1"/>
  <c r="H2400" i="1"/>
  <c r="H2390" i="1"/>
  <c r="H2387" i="1"/>
  <c r="H2412" i="1"/>
  <c r="H2401" i="1"/>
  <c r="H2409" i="1"/>
  <c r="H2380" i="1"/>
  <c r="H2386" i="1"/>
  <c r="H241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0" i="1"/>
  <c r="H1820"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30" i="130" s="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0" i="1"/>
  <c r="P2140" i="1" s="1"/>
  <c r="C2140" i="1" s="1"/>
  <c r="N2140" i="1"/>
  <c r="H2041" i="1"/>
  <c r="E108" i="33"/>
  <c r="G108" i="33" s="1"/>
  <c r="G100" i="33"/>
  <c r="I1679" i="1"/>
  <c r="H1679" i="1"/>
  <c r="P1679" i="1" s="1"/>
  <c r="C1679" i="1" s="1"/>
  <c r="B41" i="42"/>
  <c r="G41" i="42"/>
  <c r="H2127" i="1"/>
  <c r="P2127" i="1" s="1"/>
  <c r="C2127" i="1" s="1"/>
  <c r="N2127" i="1"/>
  <c r="CN229" i="70"/>
  <c r="B140" i="33"/>
  <c r="G140" i="33"/>
  <c r="E189" i="31"/>
  <c r="J1608" i="1"/>
  <c r="H1608" i="1"/>
  <c r="P1608" i="1" s="1"/>
  <c r="C1608" i="1" s="1"/>
  <c r="B175" i="31"/>
  <c r="G106" i="31"/>
  <c r="B106" i="31"/>
  <c r="H2056" i="1"/>
  <c r="E123" i="33"/>
  <c r="G123" i="33" s="1"/>
  <c r="G136" i="33"/>
  <c r="B136" i="33"/>
  <c r="G58" i="42"/>
  <c r="B58" i="42"/>
  <c r="G126" i="35"/>
  <c r="B126" i="35"/>
  <c r="P2055" i="1"/>
  <c r="C2055" i="1" s="1"/>
  <c r="L2055"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67" i="1"/>
  <c r="L2366" i="1"/>
  <c r="C2366" i="1" s="1"/>
  <c r="P2047" i="1"/>
  <c r="H279" i="23"/>
  <c r="I278" i="23"/>
  <c r="A278" i="23" s="1"/>
  <c r="K1822" i="1"/>
  <c r="H1822" i="1"/>
  <c r="H763" i="1"/>
  <c r="C763" i="1" s="1"/>
  <c r="H431" i="1"/>
  <c r="K435" i="1"/>
  <c r="K433" i="1"/>
  <c r="K434" i="1"/>
  <c r="K436" i="1"/>
  <c r="H1000" i="1"/>
  <c r="R1000" i="1" s="1"/>
  <c r="K1002" i="1"/>
  <c r="K1003" i="1"/>
  <c r="K1001" i="1"/>
  <c r="K1004" i="1"/>
  <c r="K1005" i="1"/>
  <c r="H783" i="1"/>
  <c r="F23" i="130" s="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37" i="1"/>
  <c r="P2137" i="1" s="1"/>
  <c r="C2137" i="1" s="1"/>
  <c r="N2137" i="1"/>
  <c r="H1669" i="1"/>
  <c r="P1669" i="1" s="1"/>
  <c r="C1669" i="1" s="1"/>
  <c r="I1669" i="1"/>
  <c r="I1681" i="1"/>
  <c r="H1681" i="1"/>
  <c r="P1681" i="1" s="1"/>
  <c r="C1681" i="1" s="1"/>
  <c r="B128" i="35"/>
  <c r="G128" i="35"/>
  <c r="G125" i="35"/>
  <c r="B125" i="35"/>
  <c r="G26" i="34"/>
  <c r="B26" i="34"/>
  <c r="B100" i="31"/>
  <c r="G100" i="31"/>
  <c r="H2054" i="1"/>
  <c r="E121" i="33"/>
  <c r="G121" i="33" s="1"/>
  <c r="B32" i="42"/>
  <c r="G32" i="42"/>
  <c r="E297" i="42"/>
  <c r="G285" i="42"/>
  <c r="P2331" i="1"/>
  <c r="C2331"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21"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7" i="1"/>
  <c r="H2147" i="1"/>
  <c r="P2147" i="1" s="1"/>
  <c r="C2147" i="1" s="1"/>
  <c r="I1668" i="1"/>
  <c r="H1668" i="1"/>
  <c r="P1668" i="1" s="1"/>
  <c r="C1668" i="1" s="1"/>
  <c r="G32" i="34"/>
  <c r="B32" i="34"/>
  <c r="I1734" i="1"/>
  <c r="H1734" i="1"/>
  <c r="P1734" i="1" s="1"/>
  <c r="C1734" i="1" s="1"/>
  <c r="G52" i="33"/>
  <c r="B52" i="33"/>
  <c r="J1607" i="1"/>
  <c r="E188" i="31"/>
  <c r="H1607" i="1"/>
  <c r="P1607" i="1" s="1"/>
  <c r="C1607" i="1" s="1"/>
  <c r="D2305" i="1"/>
  <c r="E204" i="31"/>
  <c r="G204" i="31" s="1"/>
  <c r="G120" i="33"/>
  <c r="B120" i="33"/>
  <c r="E83" i="33"/>
  <c r="G83" i="33" s="1"/>
  <c r="H2016" i="1"/>
  <c r="B90" i="42"/>
  <c r="G90" i="42"/>
  <c r="E136" i="42"/>
  <c r="E137" i="42" s="1"/>
  <c r="B135" i="42"/>
  <c r="G135" i="42"/>
  <c r="G136" i="42" s="1"/>
  <c r="G137" i="42" s="1"/>
  <c r="D2238" i="1"/>
  <c r="D2237" i="1" s="1"/>
  <c r="H2216" i="1"/>
  <c r="D2232" i="1"/>
  <c r="D2208" i="1"/>
  <c r="C2208"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1" i="1"/>
  <c r="D1201" i="23"/>
  <c r="D1202" i="23" s="1"/>
  <c r="D1203" i="23" s="1"/>
  <c r="D1204" i="23" s="1"/>
  <c r="D1205" i="23" s="1"/>
  <c r="E8" i="1"/>
  <c r="A7" i="18" s="1"/>
  <c r="A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F29" i="130" s="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3" i="1"/>
  <c r="K2023" i="1"/>
  <c r="E90" i="33"/>
  <c r="G90" i="33" s="1"/>
  <c r="D1673" i="1"/>
  <c r="H1671" i="1"/>
  <c r="P1671" i="1" s="1"/>
  <c r="C1671" i="1" s="1"/>
  <c r="I1671" i="1"/>
  <c r="N2130" i="1"/>
  <c r="H2130" i="1"/>
  <c r="P2130" i="1" s="1"/>
  <c r="C2130" i="1" s="1"/>
  <c r="H2300" i="1"/>
  <c r="P2300" i="1" s="1"/>
  <c r="C2300" i="1" s="1"/>
  <c r="J2300" i="1"/>
  <c r="H2114" i="1"/>
  <c r="P2114" i="1" s="1"/>
  <c r="C2114" i="1" s="1"/>
  <c r="N2114" i="1"/>
  <c r="D1749" i="1"/>
  <c r="D1741" i="1" s="1"/>
  <c r="D1739" i="1"/>
  <c r="D1656" i="1"/>
  <c r="H2301" i="1"/>
  <c r="P2301" i="1" s="1"/>
  <c r="C2301" i="1" s="1"/>
  <c r="J2301" i="1"/>
  <c r="H2217" i="1"/>
  <c r="D2233" i="1"/>
  <c r="I1731" i="1"/>
  <c r="H1731" i="1"/>
  <c r="P1731" i="1" s="1"/>
  <c r="C1731" i="1" s="1"/>
  <c r="EK184" i="16"/>
  <c r="B126" i="42"/>
  <c r="G126" i="42"/>
  <c r="I1728" i="1"/>
  <c r="H1728" i="1"/>
  <c r="P1728" i="1" s="1"/>
  <c r="C1728" i="1" s="1"/>
  <c r="G19" i="34"/>
  <c r="B19" i="34"/>
  <c r="H2057" i="1"/>
  <c r="E124" i="33"/>
  <c r="G124" i="33" s="1"/>
  <c r="P2018" i="1"/>
  <c r="C2018" i="1" s="1"/>
  <c r="L2018"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9" i="1"/>
  <c r="H2048"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253" i="97" s="1"/>
  <c r="L1365" i="1"/>
  <c r="L1356" i="1"/>
  <c r="L1366" i="1"/>
  <c r="L1357" i="1"/>
  <c r="L1361" i="1"/>
  <c r="L1362" i="1"/>
  <c r="L1358" i="1"/>
  <c r="L1364" i="1"/>
  <c r="L1363" i="1"/>
  <c r="L1360" i="1"/>
  <c r="L1359" i="1"/>
  <c r="L630" i="1"/>
  <c r="L631" i="1"/>
  <c r="L679" i="1"/>
  <c r="L623" i="1"/>
  <c r="L606" i="1"/>
  <c r="L680" i="1"/>
  <c r="L634" i="1"/>
  <c r="L633" i="1"/>
  <c r="L624" i="1"/>
  <c r="L635" i="1"/>
  <c r="L605" i="1"/>
  <c r="P2079"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8" i="1"/>
  <c r="L1331" i="1"/>
  <c r="L1334" i="1"/>
  <c r="L1338" i="1"/>
  <c r="L1333" i="1"/>
  <c r="L1332" i="1"/>
  <c r="L1329" i="1"/>
  <c r="L1337" i="1"/>
  <c r="L1336" i="1"/>
  <c r="L1335" i="1"/>
  <c r="H2096"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17"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32" i="1"/>
  <c r="P2032" i="1"/>
  <c r="B138" i="42"/>
  <c r="E139" i="42"/>
  <c r="E140" i="42" s="1"/>
  <c r="G138" i="42"/>
  <c r="G139" i="42" s="1"/>
  <c r="G140" i="42" s="1"/>
  <c r="N2111" i="1"/>
  <c r="H2111" i="1"/>
  <c r="P2111" i="1" s="1"/>
  <c r="C2111" i="1" s="1"/>
  <c r="H1730" i="1"/>
  <c r="P1730" i="1" s="1"/>
  <c r="C1730" i="1" s="1"/>
  <c r="I1730" i="1"/>
  <c r="D1732" i="1"/>
  <c r="G80" i="35"/>
  <c r="B80" i="35"/>
  <c r="B104" i="31"/>
  <c r="G104" i="31"/>
  <c r="D2247" i="1"/>
  <c r="G116" i="35"/>
  <c r="B116" i="35"/>
  <c r="G146" i="33"/>
  <c r="B146" i="33"/>
  <c r="H1598" i="1"/>
  <c r="P1598" i="1" s="1"/>
  <c r="C1598" i="1" s="1"/>
  <c r="J1598" i="1"/>
  <c r="E179" i="31"/>
  <c r="E282" i="42"/>
  <c r="J1533" i="1" l="1"/>
  <c r="D1535" i="1"/>
  <c r="G195" i="42"/>
  <c r="D1537" i="1"/>
  <c r="B189" i="42"/>
  <c r="I7" i="97"/>
  <c r="G42" i="130"/>
  <c r="F20" i="130"/>
  <c r="J9" i="113"/>
  <c r="D1534" i="1"/>
  <c r="D1536" i="1" s="1"/>
  <c r="B198" i="42"/>
  <c r="R1960" i="1"/>
  <c r="H236" i="97"/>
  <c r="F28" i="130"/>
  <c r="H227" i="97"/>
  <c r="F33" i="130"/>
  <c r="H201" i="97"/>
  <c r="F32" i="130"/>
  <c r="H238" i="97"/>
  <c r="F26" i="130"/>
  <c r="Q1973" i="1"/>
  <c r="H182" i="97"/>
  <c r="F22" i="130"/>
  <c r="H240" i="97"/>
  <c r="F24" i="130"/>
  <c r="H229" i="97"/>
  <c r="F35" i="130"/>
  <c r="H219" i="97"/>
  <c r="F16" i="130"/>
  <c r="R1922" i="1"/>
  <c r="H241" i="97"/>
  <c r="F25" i="130"/>
  <c r="H222" i="97"/>
  <c r="F10" i="107" s="1"/>
  <c r="J10" i="107" s="1"/>
  <c r="F18" i="130"/>
  <c r="H785" i="1"/>
  <c r="H788" i="1"/>
  <c r="C788" i="1" s="1"/>
  <c r="H786" i="1"/>
  <c r="C786" i="1" s="1"/>
  <c r="H789" i="1"/>
  <c r="C789" i="1" s="1"/>
  <c r="H787" i="1"/>
  <c r="C787" i="1" s="1"/>
  <c r="C1779" i="1"/>
  <c r="C13" i="97" s="1"/>
  <c r="I13" i="97"/>
  <c r="R982" i="1"/>
  <c r="H237" i="97"/>
  <c r="H231" i="97"/>
  <c r="H667" i="1"/>
  <c r="H139" i="97" s="1"/>
  <c r="H232" i="97"/>
  <c r="Q783" i="1"/>
  <c r="H183" i="97"/>
  <c r="C2336" i="1"/>
  <c r="C146" i="97" s="1"/>
  <c r="I146" i="97"/>
  <c r="P1809" i="1"/>
  <c r="H121" i="97"/>
  <c r="R1107" i="1"/>
  <c r="R1110" i="1" s="1"/>
  <c r="H242" i="97"/>
  <c r="H369" i="1"/>
  <c r="H224" i="97" s="1"/>
  <c r="H220" i="97"/>
  <c r="F8" i="107" s="1"/>
  <c r="Q1791" i="1"/>
  <c r="Q1793" i="1" s="1"/>
  <c r="H200" i="97"/>
  <c r="Q1836" i="1"/>
  <c r="Q1837" i="1" s="1"/>
  <c r="H185" i="97"/>
  <c r="C2320" i="1"/>
  <c r="C128" i="97" s="1"/>
  <c r="I128" i="97"/>
  <c r="Q1960" i="1"/>
  <c r="B188" i="42"/>
  <c r="H433" i="1"/>
  <c r="H177" i="97" s="1"/>
  <c r="H432" i="1"/>
  <c r="H174" i="97" s="1"/>
  <c r="H434" i="1"/>
  <c r="H180" i="97" s="1"/>
  <c r="Q1892" i="1"/>
  <c r="Q1896" i="1"/>
  <c r="G192" i="42"/>
  <c r="G209" i="42"/>
  <c r="C1954" i="1"/>
  <c r="Q1891" i="1"/>
  <c r="R1897" i="1"/>
  <c r="R1836" i="1"/>
  <c r="R1837" i="1" s="1"/>
  <c r="R1816" i="1"/>
  <c r="R1818" i="1" s="1"/>
  <c r="D1979" i="1"/>
  <c r="R1909" i="1"/>
  <c r="R1895" i="1"/>
  <c r="Q1911" i="1"/>
  <c r="R1898" i="1"/>
  <c r="R1901" i="1"/>
  <c r="R1900" i="1"/>
  <c r="Q1954" i="1"/>
  <c r="B193" i="42"/>
  <c r="Q1944" i="1"/>
  <c r="Q2006" i="1"/>
  <c r="R2006" i="1"/>
  <c r="Q1925" i="1"/>
  <c r="E225" i="42"/>
  <c r="G225" i="42" s="1"/>
  <c r="H1928" i="1"/>
  <c r="Q1982" i="1"/>
  <c r="E202" i="42"/>
  <c r="B202" i="42" s="1"/>
  <c r="H1906" i="1"/>
  <c r="R1966" i="1"/>
  <c r="E206" i="42"/>
  <c r="G206" i="42" s="1"/>
  <c r="H1908" i="1"/>
  <c r="I1908" i="1" s="1"/>
  <c r="I1860" i="1" s="1"/>
  <c r="E223" i="42"/>
  <c r="G223" i="42" s="1"/>
  <c r="H1927" i="1"/>
  <c r="E211" i="42"/>
  <c r="G211" i="42" s="1"/>
  <c r="H1913" i="1"/>
  <c r="Q1914" i="1"/>
  <c r="R1914" i="1"/>
  <c r="E215" i="42"/>
  <c r="G215" i="42" s="1"/>
  <c r="H1917" i="1"/>
  <c r="E201" i="42"/>
  <c r="H1904" i="1"/>
  <c r="R1915" i="1"/>
  <c r="Q1915" i="1"/>
  <c r="R1907" i="1"/>
  <c r="R1924" i="1"/>
  <c r="E219" i="42"/>
  <c r="B219" i="42" s="1"/>
  <c r="H1921" i="1"/>
  <c r="E199" i="42"/>
  <c r="B199" i="42" s="1"/>
  <c r="H1902" i="1"/>
  <c r="E196" i="42"/>
  <c r="B196" i="42" s="1"/>
  <c r="H1899" i="1"/>
  <c r="E218" i="42"/>
  <c r="B218" i="42" s="1"/>
  <c r="H1920" i="1"/>
  <c r="E217" i="42"/>
  <c r="B217" i="42" s="1"/>
  <c r="H1919" i="1"/>
  <c r="E191" i="42"/>
  <c r="B191" i="42" s="1"/>
  <c r="H1894" i="1"/>
  <c r="E190" i="42"/>
  <c r="G190" i="42" s="1"/>
  <c r="H1893" i="1"/>
  <c r="E200" i="42"/>
  <c r="H1903" i="1"/>
  <c r="E222" i="42"/>
  <c r="G222" i="42" s="1"/>
  <c r="H1926" i="1"/>
  <c r="E210" i="42"/>
  <c r="G210" i="42" s="1"/>
  <c r="H1912" i="1"/>
  <c r="Q1841" i="1"/>
  <c r="C1849" i="1"/>
  <c r="C1846" i="1"/>
  <c r="C1845" i="1"/>
  <c r="C131" i="97" s="1"/>
  <c r="C1844" i="1"/>
  <c r="C11" i="97" s="1"/>
  <c r="H1796" i="1"/>
  <c r="H1795" i="1"/>
  <c r="H145" i="97" s="1"/>
  <c r="Q663" i="1"/>
  <c r="Q667" i="1" s="1"/>
  <c r="H669" i="1"/>
  <c r="H674" i="1"/>
  <c r="H665" i="1"/>
  <c r="H97" i="97" s="1"/>
  <c r="H666" i="1"/>
  <c r="H670" i="1"/>
  <c r="H668" i="1"/>
  <c r="H673" i="1"/>
  <c r="H664" i="1"/>
  <c r="H21" i="97" s="1"/>
  <c r="H672" i="1"/>
  <c r="H194" i="97" s="1"/>
  <c r="H671" i="1"/>
  <c r="H205" i="97" s="1"/>
  <c r="R431" i="1"/>
  <c r="C455" i="1"/>
  <c r="C225" i="97" s="1"/>
  <c r="C456" i="1"/>
  <c r="C457" i="1"/>
  <c r="C449" i="1"/>
  <c r="C175" i="97" s="1"/>
  <c r="C458" i="1"/>
  <c r="C459" i="1"/>
  <c r="C450" i="1"/>
  <c r="C178" i="97" s="1"/>
  <c r="C460" i="1"/>
  <c r="C461" i="1"/>
  <c r="C451" i="1"/>
  <c r="C181" i="97" s="1"/>
  <c r="C462" i="1"/>
  <c r="D109" i="97"/>
  <c r="D118" i="97"/>
  <c r="K965" i="1"/>
  <c r="K967" i="1"/>
  <c r="K968" i="1"/>
  <c r="K964" i="1"/>
  <c r="K966" i="1"/>
  <c r="H962" i="1"/>
  <c r="F27" i="130" s="1"/>
  <c r="K1805" i="1"/>
  <c r="D111" i="97"/>
  <c r="H1818" i="1"/>
  <c r="H1817" i="1"/>
  <c r="Q1816" i="1"/>
  <c r="Q1818" i="1" s="1"/>
  <c r="D1910" i="1"/>
  <c r="D124" i="97"/>
  <c r="H918" i="1"/>
  <c r="Q918" i="1" s="1"/>
  <c r="Q921" i="1" s="1"/>
  <c r="K922" i="1"/>
  <c r="K923" i="1"/>
  <c r="K920" i="1"/>
  <c r="K921" i="1"/>
  <c r="K1860" i="1"/>
  <c r="D1860" i="1" s="1"/>
  <c r="D254" i="97" s="1"/>
  <c r="H106" i="97"/>
  <c r="E176" i="31"/>
  <c r="B176" i="31" s="1"/>
  <c r="I2378" i="23"/>
  <c r="A2378" i="23" s="1"/>
  <c r="H136" i="97"/>
  <c r="H2163" i="23"/>
  <c r="D1552" i="1"/>
  <c r="J1552" i="1" s="1"/>
  <c r="H19" i="97"/>
  <c r="J1549" i="1"/>
  <c r="H195" i="97"/>
  <c r="H95" i="97"/>
  <c r="I2381" i="23"/>
  <c r="A2381" i="23" s="1"/>
  <c r="D1551" i="1"/>
  <c r="H1551" i="1" s="1"/>
  <c r="P1551" i="1" s="1"/>
  <c r="C1551" i="1" s="1"/>
  <c r="H206" i="97"/>
  <c r="D26" i="113"/>
  <c r="H199" i="97"/>
  <c r="D23" i="113"/>
  <c r="H187" i="97"/>
  <c r="D24" i="113"/>
  <c r="I2386" i="23"/>
  <c r="I2382" i="23"/>
  <c r="I2377" i="23"/>
  <c r="A2377" i="23" s="1"/>
  <c r="I2385" i="23"/>
  <c r="A2385" i="23" s="1"/>
  <c r="I2380" i="23"/>
  <c r="A2380" i="23" s="1"/>
  <c r="D2379" i="23"/>
  <c r="D80" i="97" s="1"/>
  <c r="D3" i="97"/>
  <c r="I6" i="97"/>
  <c r="G5" i="130"/>
  <c r="I80" i="97"/>
  <c r="G4" i="130"/>
  <c r="I3" i="97"/>
  <c r="G3" i="130"/>
  <c r="I2" i="97"/>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140" i="97" s="1"/>
  <c r="H2544" i="23"/>
  <c r="H2548" i="23"/>
  <c r="H61" i="97" s="1"/>
  <c r="H2534" i="23"/>
  <c r="H91" i="97" s="1"/>
  <c r="H2539" i="23"/>
  <c r="H2543" i="23"/>
  <c r="H2547" i="23"/>
  <c r="H101" i="97" s="1"/>
  <c r="H2538" i="23"/>
  <c r="H2542" i="23"/>
  <c r="H2546" i="23"/>
  <c r="H113" i="97" s="1"/>
  <c r="H2533" i="23"/>
  <c r="H12" i="97" s="1"/>
  <c r="H2537" i="23"/>
  <c r="H2541" i="23"/>
  <c r="H2545" i="23"/>
  <c r="H2535" i="23"/>
  <c r="H75" i="97" s="1"/>
  <c r="H2549" i="23"/>
  <c r="H207" i="97" s="1"/>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G24" i="113" s="1"/>
  <c r="I2457" i="23"/>
  <c r="A2457" i="23" s="1"/>
  <c r="I2452" i="23"/>
  <c r="A2452" i="23" s="1"/>
  <c r="I2467" i="23"/>
  <c r="I2466" i="23"/>
  <c r="A2432" i="23"/>
  <c r="I2434" i="23"/>
  <c r="I2435" i="23"/>
  <c r="I2436" i="23"/>
  <c r="I2437" i="23"/>
  <c r="I2438" i="23"/>
  <c r="I2439" i="23"/>
  <c r="A2439" i="23" s="1"/>
  <c r="I2440" i="23"/>
  <c r="D2380" i="23"/>
  <c r="D2381" i="23"/>
  <c r="I2409" i="23"/>
  <c r="A2409" i="23" s="1"/>
  <c r="I2416" i="23"/>
  <c r="G7" i="130" s="1"/>
  <c r="I2490" i="23"/>
  <c r="A2490" i="23" s="1"/>
  <c r="I2396" i="23"/>
  <c r="A2396" i="23" s="1"/>
  <c r="A3029" i="23"/>
  <c r="A3032" i="23"/>
  <c r="A3035" i="23"/>
  <c r="A3031" i="23"/>
  <c r="H2030" i="23"/>
  <c r="G25" i="113"/>
  <c r="I1997" i="23"/>
  <c r="A1997" i="23" s="1"/>
  <c r="I1969" i="23"/>
  <c r="A1969" i="23" s="1"/>
  <c r="I1970" i="23"/>
  <c r="A1970" i="23" s="1"/>
  <c r="I2004" i="23"/>
  <c r="A2004" i="23" s="1"/>
  <c r="H2102" i="23"/>
  <c r="I2102" i="23" s="1"/>
  <c r="A2102" i="23" s="1"/>
  <c r="I2028" i="23"/>
  <c r="A2028" i="23" s="1"/>
  <c r="I1904" i="23"/>
  <c r="A1904" i="23" s="1"/>
  <c r="I1940" i="23"/>
  <c r="A1940" i="23" s="1"/>
  <c r="H2081" i="23"/>
  <c r="G23" i="113"/>
  <c r="I1942" i="23"/>
  <c r="A1942" i="23" s="1"/>
  <c r="I2010" i="23"/>
  <c r="A2010" i="23" s="1"/>
  <c r="G26" i="113"/>
  <c r="I1903" i="23"/>
  <c r="A1903" i="23" s="1"/>
  <c r="I1939" i="23"/>
  <c r="A1939" i="23" s="1"/>
  <c r="I1941" i="23"/>
  <c r="A1941" i="23" s="1"/>
  <c r="D1918" i="1"/>
  <c r="R1932" i="1"/>
  <c r="Q1932" i="1"/>
  <c r="D1916" i="1"/>
  <c r="H1916" i="1" s="1"/>
  <c r="D1929" i="1"/>
  <c r="R874" i="1"/>
  <c r="R952" i="1"/>
  <c r="R957" i="1" s="1"/>
  <c r="R640" i="1"/>
  <c r="Q1804" i="1"/>
  <c r="Q1806" i="1" s="1"/>
  <c r="R339" i="1"/>
  <c r="F7" i="107"/>
  <c r="C2328" i="1"/>
  <c r="C78" i="97" s="1"/>
  <c r="C2342" i="1"/>
  <c r="P2343" i="1" s="1"/>
  <c r="C2343" i="1" s="1"/>
  <c r="R1804" i="1"/>
  <c r="R1806" i="1" s="1"/>
  <c r="Q1992" i="1"/>
  <c r="R1992" i="1"/>
  <c r="Q2004" i="1"/>
  <c r="R2004" i="1"/>
  <c r="Q1999" i="1"/>
  <c r="R1999" i="1"/>
  <c r="Q1995" i="1"/>
  <c r="R1995" i="1"/>
  <c r="Q1994" i="1"/>
  <c r="R1994" i="1"/>
  <c r="Q2001" i="1"/>
  <c r="R2001" i="1"/>
  <c r="Q1993" i="1"/>
  <c r="R1993" i="1"/>
  <c r="Q1996" i="1"/>
  <c r="R1996" i="1"/>
  <c r="Q2008" i="1"/>
  <c r="R2008" i="1"/>
  <c r="Q2000" i="1"/>
  <c r="R2000" i="1"/>
  <c r="Q2007" i="1"/>
  <c r="R2007" i="1"/>
  <c r="Q2009" i="1"/>
  <c r="R2009" i="1"/>
  <c r="Q2003" i="1"/>
  <c r="R2003" i="1"/>
  <c r="Q2002" i="1"/>
  <c r="R2002" i="1"/>
  <c r="Q1998" i="1"/>
  <c r="R1998" i="1"/>
  <c r="R1792" i="1"/>
  <c r="R1793" i="1"/>
  <c r="H1805" i="1"/>
  <c r="H120" i="97" s="1"/>
  <c r="H1806" i="1"/>
  <c r="H69" i="97" s="1"/>
  <c r="I2061" i="23"/>
  <c r="A2061" i="23" s="1"/>
  <c r="H2074" i="23"/>
  <c r="I2074" i="23" s="1"/>
  <c r="A2074" i="23" s="1"/>
  <c r="L797" i="1"/>
  <c r="R1890" i="1"/>
  <c r="Q1890"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Q1838" i="1"/>
  <c r="E144" i="33"/>
  <c r="Q772" i="1"/>
  <c r="H775" i="1"/>
  <c r="H184" i="97" s="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1"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1109" i="1"/>
  <c r="R1108" i="1"/>
  <c r="R1113" i="1"/>
  <c r="R1112" i="1"/>
  <c r="R1111"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9" i="1"/>
  <c r="H1182" i="1"/>
  <c r="E12" i="108"/>
  <c r="H632" i="1"/>
  <c r="C2337" i="1"/>
  <c r="C7" i="97" s="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0" i="1"/>
  <c r="H903" i="1"/>
  <c r="H900" i="1"/>
  <c r="H902" i="1"/>
  <c r="H901" i="1"/>
  <c r="H904" i="1"/>
  <c r="H899" i="1"/>
  <c r="H2299" i="1"/>
  <c r="P2299" i="1" s="1"/>
  <c r="C2299"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D37" i="113"/>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5" i="1"/>
  <c r="D1959" i="1"/>
  <c r="H957" i="1"/>
  <c r="H48" i="97" s="1"/>
  <c r="H956" i="1"/>
  <c r="H34" i="97" s="1"/>
  <c r="H954" i="1"/>
  <c r="H153" i="97" s="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7"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3" i="1"/>
  <c r="E115" i="31"/>
  <c r="K1769" i="1"/>
  <c r="I6" i="108"/>
  <c r="I15" i="108"/>
  <c r="I28" i="108"/>
  <c r="I13" i="108"/>
  <c r="B139" i="31"/>
  <c r="I22" i="108"/>
  <c r="I26" i="108"/>
  <c r="I32" i="108"/>
  <c r="I18" i="108"/>
  <c r="I31" i="108"/>
  <c r="L2019" i="1"/>
  <c r="I20" i="108"/>
  <c r="I16" i="108"/>
  <c r="I25" i="108"/>
  <c r="N2112" i="1"/>
  <c r="H2112"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8" i="1"/>
  <c r="H2182" i="1"/>
  <c r="P2182" i="1" s="1"/>
  <c r="C2182" i="1" s="1"/>
  <c r="N2182"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2" i="1"/>
  <c r="P1820" i="1"/>
  <c r="P1821" i="1"/>
  <c r="C1816" i="1"/>
  <c r="C229" i="97" s="1"/>
  <c r="C1804" i="1"/>
  <c r="C227" i="97" s="1"/>
  <c r="D1836" i="1"/>
  <c r="D185" i="97" s="1"/>
  <c r="P2327" i="1"/>
  <c r="I79" i="97" s="1"/>
  <c r="C2326" i="1"/>
  <c r="C4" i="97" s="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7" i="1"/>
  <c r="I9" i="97" s="1"/>
  <c r="H1792" i="1"/>
  <c r="H144" i="97" s="1"/>
  <c r="H1793" i="1"/>
  <c r="H37" i="97" s="1"/>
  <c r="H864" i="1"/>
  <c r="H162" i="97" s="1"/>
  <c r="H865" i="1"/>
  <c r="H155" i="97" s="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D33" i="113"/>
  <c r="C244" i="115" s="1"/>
  <c r="G264" i="42"/>
  <c r="C2035" i="1"/>
  <c r="C2033" i="1"/>
  <c r="C2032" i="1"/>
  <c r="D2084" i="1"/>
  <c r="P2015" i="1"/>
  <c r="C765" i="1"/>
  <c r="D2082" i="1"/>
  <c r="E147" i="33" s="1"/>
  <c r="G147" i="33" s="1"/>
  <c r="C2029" i="1"/>
  <c r="P2036" i="1"/>
  <c r="P2030" i="1"/>
  <c r="L2015" i="1"/>
  <c r="H2091" i="1"/>
  <c r="P2091" i="1" s="1"/>
  <c r="H636" i="1"/>
  <c r="H2092" i="1"/>
  <c r="H2097" i="1"/>
  <c r="D2083" i="1"/>
  <c r="E148" i="33" s="1"/>
  <c r="G148" i="33" s="1"/>
  <c r="C2014" i="1"/>
  <c r="H2093"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27" i="1"/>
  <c r="K1793" i="1"/>
  <c r="E79" i="33"/>
  <c r="G79" i="33" s="1"/>
  <c r="D2103" i="1"/>
  <c r="D2104" i="1" s="1"/>
  <c r="H2104" i="1" s="1"/>
  <c r="P2104" i="1" s="1"/>
  <c r="C2104" i="1" s="1"/>
  <c r="H2089" i="1"/>
  <c r="H153" i="1"/>
  <c r="C153" i="1" s="1"/>
  <c r="C152" i="1"/>
  <c r="P2031" i="1"/>
  <c r="L2031" i="1"/>
  <c r="C849" i="1"/>
  <c r="H856" i="1"/>
  <c r="C856" i="1" s="1"/>
  <c r="H850" i="1"/>
  <c r="C850" i="1" s="1"/>
  <c r="H852" i="1"/>
  <c r="C852" i="1" s="1"/>
  <c r="H853" i="1"/>
  <c r="C853" i="1" s="1"/>
  <c r="H851" i="1"/>
  <c r="C851" i="1" s="1"/>
  <c r="H854" i="1"/>
  <c r="C854" i="1" s="1"/>
  <c r="H857" i="1"/>
  <c r="C857" i="1" s="1"/>
  <c r="P2020" i="1"/>
  <c r="C2020" i="1" s="1"/>
  <c r="L2020" i="1"/>
  <c r="P2034" i="1"/>
  <c r="L2034" i="1"/>
  <c r="G179" i="31"/>
  <c r="B179" i="31"/>
  <c r="C746" i="1"/>
  <c r="H747" i="1"/>
  <c r="C747" i="1" s="1"/>
  <c r="P2096"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7" i="1"/>
  <c r="P2397" i="1"/>
  <c r="C2397" i="1" s="1"/>
  <c r="C827" i="1"/>
  <c r="H830" i="1"/>
  <c r="C830" i="1" s="1"/>
  <c r="H833" i="1"/>
  <c r="C833" i="1" s="1"/>
  <c r="H832" i="1"/>
  <c r="C832" i="1" s="1"/>
  <c r="H831" i="1"/>
  <c r="C831" i="1" s="1"/>
  <c r="H829" i="1"/>
  <c r="C829" i="1" s="1"/>
  <c r="H828" i="1"/>
  <c r="C828" i="1" s="1"/>
  <c r="P2075" i="1"/>
  <c r="C2075" i="1" s="1"/>
  <c r="P2022" i="1"/>
  <c r="C2079" i="1"/>
  <c r="H1441" i="1"/>
  <c r="C1441" i="1" s="1"/>
  <c r="H1439" i="1"/>
  <c r="C1439" i="1" s="1"/>
  <c r="C1438" i="1"/>
  <c r="H1440" i="1"/>
  <c r="C1440" i="1" s="1"/>
  <c r="H2049" i="1"/>
  <c r="D2052" i="1"/>
  <c r="D2050" i="1"/>
  <c r="E116" i="33"/>
  <c r="G116" i="33" s="1"/>
  <c r="H1403" i="1"/>
  <c r="C1403" i="1" s="1"/>
  <c r="H1399" i="1"/>
  <c r="C1399" i="1" s="1"/>
  <c r="H1405" i="1"/>
  <c r="C1405" i="1" s="1"/>
  <c r="C1398" i="1"/>
  <c r="H1406" i="1"/>
  <c r="C1406" i="1" s="1"/>
  <c r="H1401" i="1"/>
  <c r="C1401" i="1" s="1"/>
  <c r="H1400" i="1"/>
  <c r="C1400" i="1" s="1"/>
  <c r="H1404" i="1"/>
  <c r="C1404" i="1" s="1"/>
  <c r="H1402" i="1"/>
  <c r="C1402" i="1" s="1"/>
  <c r="H985" i="1"/>
  <c r="H40" i="97" s="1"/>
  <c r="H984" i="1"/>
  <c r="H152" i="97" s="1"/>
  <c r="H989" i="1"/>
  <c r="H214" i="97" s="1"/>
  <c r="H987" i="1"/>
  <c r="H988" i="1"/>
  <c r="H49" i="97" s="1"/>
  <c r="H983" i="1"/>
  <c r="H159" i="97" s="1"/>
  <c r="H986" i="1"/>
  <c r="H36" i="97" s="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6" i="1"/>
  <c r="P2216" i="1"/>
  <c r="C2216"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7" i="1"/>
  <c r="P2041" i="1"/>
  <c r="C2041" i="1" s="1"/>
  <c r="L2041" i="1"/>
  <c r="H1109" i="1"/>
  <c r="H90" i="97" s="1"/>
  <c r="H1113" i="1"/>
  <c r="H218" i="97" s="1"/>
  <c r="H1110" i="1"/>
  <c r="H88" i="97" s="1"/>
  <c r="H1111" i="1"/>
  <c r="H30" i="97" s="1"/>
  <c r="H1108" i="1"/>
  <c r="H26" i="97" s="1"/>
  <c r="H1112" i="1"/>
  <c r="H45" i="97" s="1"/>
  <c r="H1077" i="1"/>
  <c r="C1077" i="1" s="1"/>
  <c r="H1074" i="1"/>
  <c r="C1074" i="1" s="1"/>
  <c r="C1072" i="1"/>
  <c r="H1076" i="1"/>
  <c r="C1076" i="1" s="1"/>
  <c r="H1073" i="1"/>
  <c r="C1073" i="1" s="1"/>
  <c r="H1075" i="1"/>
  <c r="C1075" i="1" s="1"/>
  <c r="C1100" i="1"/>
  <c r="H1101" i="1"/>
  <c r="C1101" i="1" s="1"/>
  <c r="H1102" i="1"/>
  <c r="C1102" i="1" s="1"/>
  <c r="P2380" i="1"/>
  <c r="C2380" i="1" s="1"/>
  <c r="L2380" i="1"/>
  <c r="P2399" i="1"/>
  <c r="C2399" i="1" s="1"/>
  <c r="L2399" i="1"/>
  <c r="P2382" i="1"/>
  <c r="C2382" i="1" s="1"/>
  <c r="L2382" i="1"/>
  <c r="P2398" i="1"/>
  <c r="C2398" i="1" s="1"/>
  <c r="L239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7" i="1"/>
  <c r="H10" i="97" s="1"/>
  <c r="H1841" i="1"/>
  <c r="H103" i="97" s="1"/>
  <c r="H1838" i="1"/>
  <c r="H130" i="97" s="1"/>
  <c r="C1840" i="1"/>
  <c r="H1839" i="1"/>
  <c r="P1839" i="1" s="1"/>
  <c r="C1839" i="1" s="1"/>
  <c r="H1842" i="1"/>
  <c r="P1842" i="1" s="1"/>
  <c r="C1842" i="1" s="1"/>
  <c r="C45" i="1"/>
  <c r="H46" i="1"/>
  <c r="C46" i="1" s="1"/>
  <c r="H47" i="1"/>
  <c r="C47" i="1" s="1"/>
  <c r="H1485" i="1"/>
  <c r="C1485" i="1" s="1"/>
  <c r="H1486" i="1"/>
  <c r="C1486" i="1" s="1"/>
  <c r="H1484" i="1"/>
  <c r="C1484" i="1" s="1"/>
  <c r="C1483" i="1"/>
  <c r="P2386" i="1"/>
  <c r="C2386" i="1" s="1"/>
  <c r="L2386" i="1"/>
  <c r="L2400" i="1"/>
  <c r="P2400" i="1"/>
  <c r="C2400" i="1" s="1"/>
  <c r="B127" i="33"/>
  <c r="G127" i="33"/>
  <c r="C188" i="1"/>
  <c r="H190" i="1"/>
  <c r="C190" i="1" s="1"/>
  <c r="H189" i="1"/>
  <c r="C189" i="1" s="1"/>
  <c r="I1732" i="1"/>
  <c r="H1732" i="1"/>
  <c r="P1732" i="1" s="1"/>
  <c r="C1732" i="1" s="1"/>
  <c r="H411" i="1"/>
  <c r="C411" i="1" s="1"/>
  <c r="H410" i="1"/>
  <c r="C410" i="1" s="1"/>
  <c r="H412" i="1"/>
  <c r="C412" i="1" s="1"/>
  <c r="C409" i="1"/>
  <c r="H773" i="1"/>
  <c r="H24" i="97" s="1"/>
  <c r="H359" i="1"/>
  <c r="H179" i="97" s="1"/>
  <c r="H357" i="1"/>
  <c r="H173" i="97" s="1"/>
  <c r="H358" i="1"/>
  <c r="H176" i="97" s="1"/>
  <c r="H375" i="1"/>
  <c r="H189" i="97" s="1"/>
  <c r="H388" i="1"/>
  <c r="C388" i="1" s="1"/>
  <c r="H384" i="1"/>
  <c r="C384" i="1" s="1"/>
  <c r="H387" i="1"/>
  <c r="C387" i="1" s="1"/>
  <c r="G8" i="107"/>
  <c r="G18" i="107" s="1"/>
  <c r="H393" i="1"/>
  <c r="C393" i="1" s="1"/>
  <c r="H370" i="1"/>
  <c r="H260" i="97" s="1"/>
  <c r="H381" i="1"/>
  <c r="C381" i="1" s="1"/>
  <c r="H368" i="1"/>
  <c r="H56" i="97" s="1"/>
  <c r="H385" i="1"/>
  <c r="C385" i="1" s="1"/>
  <c r="H389" i="1"/>
  <c r="C389" i="1" s="1"/>
  <c r="H377" i="1"/>
  <c r="C377" i="1" s="1"/>
  <c r="H380" i="1"/>
  <c r="C380" i="1" s="1"/>
  <c r="H390" i="1"/>
  <c r="C390" i="1" s="1"/>
  <c r="H395" i="1"/>
  <c r="C395" i="1" s="1"/>
  <c r="H379" i="1"/>
  <c r="C379" i="1" s="1"/>
  <c r="H392" i="1"/>
  <c r="C392" i="1" s="1"/>
  <c r="H378" i="1"/>
  <c r="C378" i="1" s="1"/>
  <c r="H367" i="1"/>
  <c r="H55"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8"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C222" i="97" s="1"/>
  <c r="H445" i="1"/>
  <c r="C445" i="1" s="1"/>
  <c r="H443" i="1"/>
  <c r="C443" i="1" s="1"/>
  <c r="C435" i="1"/>
  <c r="H442" i="1"/>
  <c r="C442" i="1" s="1"/>
  <c r="H439" i="1"/>
  <c r="C439" i="1" s="1"/>
  <c r="C434" i="1"/>
  <c r="C180" i="97" s="1"/>
  <c r="C437" i="1"/>
  <c r="H440" i="1"/>
  <c r="C440" i="1" s="1"/>
  <c r="C446" i="1"/>
  <c r="H441" i="1"/>
  <c r="C441" i="1" s="1"/>
  <c r="H246" i="1"/>
  <c r="H223" i="97" s="1"/>
  <c r="H245" i="1"/>
  <c r="H259" i="97" s="1"/>
  <c r="H753" i="1"/>
  <c r="C753" i="1" s="1"/>
  <c r="H752" i="1"/>
  <c r="C752" i="1" s="1"/>
  <c r="H751" i="1"/>
  <c r="C751" i="1" s="1"/>
  <c r="H754" i="1"/>
  <c r="C754" i="1" s="1"/>
  <c r="C750" i="1"/>
  <c r="H492" i="1"/>
  <c r="C492" i="1" s="1"/>
  <c r="H494" i="1"/>
  <c r="C494" i="1" s="1"/>
  <c r="H491" i="1"/>
  <c r="C491" i="1" s="1"/>
  <c r="C490" i="1"/>
  <c r="H493" i="1"/>
  <c r="C493" i="1" s="1"/>
  <c r="L2409" i="1"/>
  <c r="P2409" i="1"/>
  <c r="C2409" i="1" s="1"/>
  <c r="L2407" i="1"/>
  <c r="P2407" i="1"/>
  <c r="C2407" i="1" s="1"/>
  <c r="P2385" i="1"/>
  <c r="C2385" i="1" s="1"/>
  <c r="L2385" i="1"/>
  <c r="L2404" i="1"/>
  <c r="P2404" i="1"/>
  <c r="C2404" i="1" s="1"/>
  <c r="P2411" i="1"/>
  <c r="C2411" i="1" s="1"/>
  <c r="L2411" i="1"/>
  <c r="D2297" i="1"/>
  <c r="J2298" i="1"/>
  <c r="H2298" i="1"/>
  <c r="P2298" i="1" s="1"/>
  <c r="C2298" i="1" s="1"/>
  <c r="C1166" i="1"/>
  <c r="H1168" i="1"/>
  <c r="C1168" i="1" s="1"/>
  <c r="H1170" i="1"/>
  <c r="C1170" i="1" s="1"/>
  <c r="H1172" i="1"/>
  <c r="C1172" i="1" s="1"/>
  <c r="H1167" i="1"/>
  <c r="C1167" i="1" s="1"/>
  <c r="H1169" i="1"/>
  <c r="C1169" i="1" s="1"/>
  <c r="H1171" i="1"/>
  <c r="C1171" i="1" s="1"/>
  <c r="H268" i="1"/>
  <c r="C268" i="1" s="1"/>
  <c r="C266" i="1"/>
  <c r="H267" i="1"/>
  <c r="C267" i="1" s="1"/>
  <c r="C2076" i="1"/>
  <c r="L2042" i="1"/>
  <c r="P2042" i="1"/>
  <c r="C2042"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5"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401" i="1"/>
  <c r="C2401" i="1" s="1"/>
  <c r="L2401" i="1"/>
  <c r="P2396" i="1"/>
  <c r="C2396" i="1" s="1"/>
  <c r="L2396" i="1"/>
  <c r="L2408" i="1"/>
  <c r="P2408" i="1"/>
  <c r="C2408" i="1" s="1"/>
  <c r="L2383" i="1"/>
  <c r="P2383" i="1"/>
  <c r="C2383" i="1" s="1"/>
  <c r="B197" i="31"/>
  <c r="G197" i="31"/>
  <c r="H953" i="1"/>
  <c r="H160" i="97" s="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9" i="1"/>
  <c r="C2039" i="1" s="1"/>
  <c r="L2039"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7" i="1"/>
  <c r="P2247" i="1" s="1"/>
  <c r="C2247" i="1" s="1"/>
  <c r="D2286" i="1"/>
  <c r="H2286" i="1" s="1"/>
  <c r="P2286" i="1" s="1"/>
  <c r="C2286"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2" i="1"/>
  <c r="C2412" i="1" s="1"/>
  <c r="L2412" i="1"/>
  <c r="P2414" i="1"/>
  <c r="C2414" i="1" s="1"/>
  <c r="L2414" i="1"/>
  <c r="P2388" i="1"/>
  <c r="C2388" i="1" s="1"/>
  <c r="L2388" i="1"/>
  <c r="D2287" i="1"/>
  <c r="H2287" i="1" s="1"/>
  <c r="P2287" i="1" s="1"/>
  <c r="C2287" i="1" s="1"/>
  <c r="H2262" i="1"/>
  <c r="P2262" i="1" s="1"/>
  <c r="C2262"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J10" i="113" s="1"/>
  <c r="H643" i="1"/>
  <c r="J12" i="113" s="1"/>
  <c r="H649" i="1"/>
  <c r="H646" i="1"/>
  <c r="H642" i="1"/>
  <c r="J11" i="113" s="1"/>
  <c r="H651" i="1"/>
  <c r="C651" i="1" s="1"/>
  <c r="H647" i="1"/>
  <c r="H204" i="97" s="1"/>
  <c r="H650" i="1"/>
  <c r="H644" i="1"/>
  <c r="C644" i="1" s="1"/>
  <c r="H648" i="1"/>
  <c r="H193" i="97" s="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1"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51" i="97" s="1"/>
  <c r="H876" i="1"/>
  <c r="H156" i="97" s="1"/>
  <c r="H879" i="1"/>
  <c r="H53" i="97" s="1"/>
  <c r="H881" i="1"/>
  <c r="H216" i="97" s="1"/>
  <c r="H875" i="1"/>
  <c r="H163" i="97" s="1"/>
  <c r="H880" i="1"/>
  <c r="H47" i="97" s="1"/>
  <c r="H878" i="1"/>
  <c r="H54" i="97" s="1"/>
  <c r="C1043" i="1"/>
  <c r="H1048" i="1"/>
  <c r="C1048" i="1" s="1"/>
  <c r="H1047" i="1"/>
  <c r="C1047" i="1" s="1"/>
  <c r="H1044" i="1"/>
  <c r="C1044" i="1" s="1"/>
  <c r="H1045" i="1"/>
  <c r="C1045" i="1" s="1"/>
  <c r="H1046" i="1"/>
  <c r="C1046" i="1" s="1"/>
  <c r="P2054" i="1"/>
  <c r="C2054" i="1" s="1"/>
  <c r="L2054"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5" i="1"/>
  <c r="P2305" i="1" s="1"/>
  <c r="C2305" i="1" s="1"/>
  <c r="J2305"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87" i="1"/>
  <c r="C2387" i="1" s="1"/>
  <c r="L2387" i="1"/>
  <c r="P2384" i="1"/>
  <c r="C2384" i="1" s="1"/>
  <c r="L2384"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2"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D32" i="113"/>
  <c r="C243" i="115" s="1"/>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3"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1" i="1"/>
  <c r="P2057" i="1"/>
  <c r="C2057" i="1" s="1"/>
  <c r="L2057"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C183" i="97" s="1"/>
  <c r="C785" i="1"/>
  <c r="H784" i="1"/>
  <c r="C2047" i="1"/>
  <c r="P2056" i="1"/>
  <c r="C2056" i="1" s="1"/>
  <c r="L2056" i="1"/>
  <c r="C174" i="1"/>
  <c r="H177" i="1"/>
  <c r="C177" i="1" s="1"/>
  <c r="H176" i="1"/>
  <c r="C176" i="1" s="1"/>
  <c r="H179" i="1"/>
  <c r="C179" i="1" s="1"/>
  <c r="H178" i="1"/>
  <c r="C178" i="1" s="1"/>
  <c r="H175" i="1"/>
  <c r="C175" i="1" s="1"/>
  <c r="H994" i="1"/>
  <c r="C994" i="1" s="1"/>
  <c r="C993" i="1"/>
  <c r="H997" i="1"/>
  <c r="C997" i="1" s="1"/>
  <c r="H996" i="1"/>
  <c r="C996" i="1" s="1"/>
  <c r="H995" i="1"/>
  <c r="C995" i="1" s="1"/>
  <c r="P2078" i="1"/>
  <c r="P2413" i="1"/>
  <c r="C2413" i="1" s="1"/>
  <c r="L2413" i="1"/>
  <c r="P2390" i="1"/>
  <c r="C2390" i="1" s="1"/>
  <c r="L2390" i="1"/>
  <c r="L2394" i="1"/>
  <c r="P2394" i="1"/>
  <c r="C2394" i="1" s="1"/>
  <c r="L2410" i="1"/>
  <c r="P2410" i="1"/>
  <c r="C241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1" i="1"/>
  <c r="C2381" i="1" s="1"/>
  <c r="L2381"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8" i="1"/>
  <c r="L2048" i="1"/>
  <c r="P2217" i="1"/>
  <c r="C2217" i="1" s="1"/>
  <c r="M2217"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6" i="1"/>
  <c r="L2016" i="1"/>
  <c r="C663" i="1"/>
  <c r="C232" i="97" s="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32" i="97" s="1"/>
  <c r="H977" i="1"/>
  <c r="H42" i="97" s="1"/>
  <c r="H978" i="1"/>
  <c r="H217" i="97" s="1"/>
  <c r="H974" i="1"/>
  <c r="H158" i="97" s="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9" i="1"/>
  <c r="C2379" i="1" s="1"/>
  <c r="L2379" i="1"/>
  <c r="P2402" i="1"/>
  <c r="C2402" i="1" s="1"/>
  <c r="L2402" i="1"/>
  <c r="P2393" i="1"/>
  <c r="C2393" i="1" s="1"/>
  <c r="L2393" i="1"/>
  <c r="L2395" i="1"/>
  <c r="P2395" i="1"/>
  <c r="C2395" i="1" s="1"/>
  <c r="P2060" i="1"/>
  <c r="C2060" i="1" s="1"/>
  <c r="P2038" i="1"/>
  <c r="C2038" i="1" s="1"/>
  <c r="L2038" i="1"/>
  <c r="C2021" i="1"/>
  <c r="H2135" i="23"/>
  <c r="I2135" i="23" s="1"/>
  <c r="A2135" i="23" s="1"/>
  <c r="H2128" i="23"/>
  <c r="I2128" i="23" s="1"/>
  <c r="A2128" i="23" s="1"/>
  <c r="H2132" i="23"/>
  <c r="H2024" i="1"/>
  <c r="K2024" i="1"/>
  <c r="E91" i="33"/>
  <c r="G91" i="33" s="1"/>
  <c r="H1245" i="1"/>
  <c r="C1245" i="1" s="1"/>
  <c r="H1247" i="1"/>
  <c r="C1247" i="1" s="1"/>
  <c r="C1242" i="1"/>
  <c r="H1243" i="1"/>
  <c r="C1243" i="1" s="1"/>
  <c r="H1246" i="1"/>
  <c r="C1246" i="1" s="1"/>
  <c r="H1244" i="1"/>
  <c r="C1244" i="1" s="1"/>
  <c r="C465" i="1"/>
  <c r="H467" i="1"/>
  <c r="C467" i="1" s="1"/>
  <c r="H466" i="1"/>
  <c r="C466" i="1" s="1"/>
  <c r="N2183" i="1"/>
  <c r="H2183" i="1"/>
  <c r="P2183" i="1" s="1"/>
  <c r="C2183"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80" i="1"/>
  <c r="H1980" i="1" s="1"/>
  <c r="C432" i="1" l="1"/>
  <c r="C174" i="97" s="1"/>
  <c r="C1795" i="1"/>
  <c r="C145" i="97" s="1"/>
  <c r="H138" i="97"/>
  <c r="J13" i="113"/>
  <c r="J1534" i="1"/>
  <c r="C433" i="1"/>
  <c r="C177" i="97" s="1"/>
  <c r="G176" i="31"/>
  <c r="H919" i="1"/>
  <c r="C919" i="1" s="1"/>
  <c r="C918" i="1"/>
  <c r="R1838" i="1"/>
  <c r="R784" i="1"/>
  <c r="R787" i="1"/>
  <c r="R785" i="1"/>
  <c r="R788" i="1"/>
  <c r="R786" i="1"/>
  <c r="R789" i="1"/>
  <c r="Q784" i="1"/>
  <c r="Q785" i="1"/>
  <c r="Q788" i="1"/>
  <c r="Q787" i="1"/>
  <c r="Q786" i="1"/>
  <c r="Q789" i="1"/>
  <c r="H150" i="97"/>
  <c r="H151" i="97"/>
  <c r="H20" i="97"/>
  <c r="Q1792" i="1"/>
  <c r="L1817" i="1"/>
  <c r="H9" i="97"/>
  <c r="L1818" i="1"/>
  <c r="H94" i="97"/>
  <c r="H1979" i="1"/>
  <c r="H212" i="97" s="1"/>
  <c r="D212" i="97"/>
  <c r="C784" i="1"/>
  <c r="C25" i="97" s="1"/>
  <c r="H25" i="97"/>
  <c r="C667" i="1"/>
  <c r="C139" i="97" s="1"/>
  <c r="C1809" i="1"/>
  <c r="C121" i="97" s="1"/>
  <c r="I121" i="97"/>
  <c r="H96" i="97"/>
  <c r="Q962" i="1"/>
  <c r="H239" i="97"/>
  <c r="C1796" i="1"/>
  <c r="C52" i="97" s="1"/>
  <c r="H52" i="97"/>
  <c r="C666" i="1"/>
  <c r="C105" i="97" s="1"/>
  <c r="H105" i="97"/>
  <c r="H107" i="97"/>
  <c r="H1959" i="1"/>
  <c r="D202" i="97"/>
  <c r="J1551" i="1"/>
  <c r="D1511" i="1"/>
  <c r="D197" i="97" s="1"/>
  <c r="R434" i="1"/>
  <c r="R432" i="1"/>
  <c r="R433" i="1"/>
  <c r="Q432" i="1"/>
  <c r="Q434" i="1"/>
  <c r="Q433" i="1"/>
  <c r="R1817" i="1"/>
  <c r="R1980" i="1"/>
  <c r="Q1980" i="1"/>
  <c r="G199" i="42"/>
  <c r="G218" i="42"/>
  <c r="G191" i="42"/>
  <c r="G202" i="42"/>
  <c r="B190" i="42"/>
  <c r="G196" i="42"/>
  <c r="G217" i="42"/>
  <c r="G219" i="42"/>
  <c r="B222" i="42"/>
  <c r="E205" i="42"/>
  <c r="G205" i="42" s="1"/>
  <c r="H111" i="97"/>
  <c r="R1912" i="1"/>
  <c r="Q1912" i="1"/>
  <c r="Q1893" i="1"/>
  <c r="R1893" i="1"/>
  <c r="Q1899" i="1"/>
  <c r="R1899" i="1"/>
  <c r="Q1894" i="1"/>
  <c r="R1894" i="1"/>
  <c r="Q1906" i="1"/>
  <c r="R1906" i="1"/>
  <c r="E216" i="42"/>
  <c r="G216" i="42" s="1"/>
  <c r="H1918" i="1"/>
  <c r="Q1902" i="1"/>
  <c r="R1902" i="1"/>
  <c r="Q1913" i="1"/>
  <c r="R1913" i="1"/>
  <c r="E226" i="42"/>
  <c r="G226" i="42" s="1"/>
  <c r="H118" i="97"/>
  <c r="Q1926" i="1"/>
  <c r="R1926" i="1"/>
  <c r="Q1904" i="1"/>
  <c r="R1904" i="1"/>
  <c r="E224" i="42"/>
  <c r="G224" i="42" s="1"/>
  <c r="Q1919" i="1"/>
  <c r="R1919" i="1"/>
  <c r="G201" i="42"/>
  <c r="B201" i="42"/>
  <c r="Q1927" i="1"/>
  <c r="R1927" i="1"/>
  <c r="Q1928" i="1"/>
  <c r="R1928" i="1"/>
  <c r="E229" i="42"/>
  <c r="G229" i="42" s="1"/>
  <c r="H1935" i="1"/>
  <c r="E208" i="42"/>
  <c r="H1910" i="1"/>
  <c r="E204" i="42"/>
  <c r="G204" i="42" s="1"/>
  <c r="H109" i="97"/>
  <c r="Q1903" i="1"/>
  <c r="R1903" i="1"/>
  <c r="Q1921" i="1"/>
  <c r="R1921" i="1"/>
  <c r="E214" i="42"/>
  <c r="G214" i="42" s="1"/>
  <c r="H1929" i="1"/>
  <c r="Q1929" i="1" s="1"/>
  <c r="B200" i="42"/>
  <c r="G200" i="42"/>
  <c r="Q1920" i="1"/>
  <c r="R1920" i="1"/>
  <c r="Q1917" i="1"/>
  <c r="R1917" i="1"/>
  <c r="Q1908" i="1"/>
  <c r="R1908" i="1"/>
  <c r="C1848" i="1"/>
  <c r="C104" i="97" s="1"/>
  <c r="R673" i="1"/>
  <c r="R666" i="1"/>
  <c r="R669" i="1"/>
  <c r="R674" i="1"/>
  <c r="R665" i="1"/>
  <c r="R670" i="1"/>
  <c r="R668" i="1"/>
  <c r="R664" i="1"/>
  <c r="R672" i="1"/>
  <c r="R671" i="1"/>
  <c r="Q664" i="1"/>
  <c r="Q669" i="1"/>
  <c r="Q666" i="1"/>
  <c r="Q674" i="1"/>
  <c r="Q665" i="1"/>
  <c r="Q670" i="1"/>
  <c r="Q668" i="1"/>
  <c r="Q673" i="1"/>
  <c r="Q672" i="1"/>
  <c r="Q671" i="1"/>
  <c r="H1552" i="1"/>
  <c r="P1552" i="1" s="1"/>
  <c r="C1552" i="1" s="1"/>
  <c r="H968" i="1"/>
  <c r="H41" i="97" s="1"/>
  <c r="R962" i="1"/>
  <c r="R964" i="1" s="1"/>
  <c r="H965" i="1"/>
  <c r="C965" i="1" s="1"/>
  <c r="H963" i="1"/>
  <c r="H161" i="97" s="1"/>
  <c r="H964" i="1"/>
  <c r="H154" i="97" s="1"/>
  <c r="H967" i="1"/>
  <c r="H35" i="97" s="1"/>
  <c r="H966" i="1"/>
  <c r="H39" i="97" s="1"/>
  <c r="Q1817" i="1"/>
  <c r="G208" i="42"/>
  <c r="H920" i="1"/>
  <c r="C920" i="1" s="1"/>
  <c r="K797" i="1"/>
  <c r="C797" i="1" s="1"/>
  <c r="C252" i="97" s="1"/>
  <c r="H921" i="1"/>
  <c r="C921" i="1" s="1"/>
  <c r="R918" i="1"/>
  <c r="R920" i="1" s="1"/>
  <c r="H923" i="1"/>
  <c r="C923" i="1" s="1"/>
  <c r="H922" i="1"/>
  <c r="C922" i="1" s="1"/>
  <c r="Q1805" i="1"/>
  <c r="Q920" i="1"/>
  <c r="D239" i="115"/>
  <c r="D25" i="113"/>
  <c r="C239" i="115" s="1"/>
  <c r="G6" i="130"/>
  <c r="I27" i="97"/>
  <c r="A2382" i="23"/>
  <c r="I234" i="97"/>
  <c r="A2386" i="23"/>
  <c r="D2425" i="23"/>
  <c r="D2432" i="23" s="1"/>
  <c r="D244" i="97"/>
  <c r="D2382" i="23"/>
  <c r="D6" i="97"/>
  <c r="A2437" i="23"/>
  <c r="I46" i="97"/>
  <c r="A2458" i="23"/>
  <c r="I136" i="97"/>
  <c r="A2453" i="23"/>
  <c r="I19" i="97"/>
  <c r="A2521" i="23"/>
  <c r="I8" i="97"/>
  <c r="A2517" i="23"/>
  <c r="I84" i="97"/>
  <c r="A2513" i="23"/>
  <c r="I16" i="97"/>
  <c r="A2598" i="23"/>
  <c r="I114" i="97"/>
  <c r="A2594" i="23"/>
  <c r="I126" i="97"/>
  <c r="A2590" i="23"/>
  <c r="I99" i="97"/>
  <c r="A2586" i="23"/>
  <c r="I137" i="97"/>
  <c r="A2582" i="23"/>
  <c r="I28" i="97"/>
  <c r="I2422" i="23"/>
  <c r="I244" i="97"/>
  <c r="A2440" i="23"/>
  <c r="I215" i="97"/>
  <c r="A2436" i="23"/>
  <c r="I33" i="97"/>
  <c r="A2466" i="23"/>
  <c r="I195" i="97"/>
  <c r="A2465" i="23"/>
  <c r="I187" i="97"/>
  <c r="A2456" i="23"/>
  <c r="I106" i="97"/>
  <c r="A2476" i="23"/>
  <c r="I170" i="97"/>
  <c r="A2516" i="23"/>
  <c r="I116" i="97"/>
  <c r="A2518" i="23"/>
  <c r="I81" i="97"/>
  <c r="A2597" i="23"/>
  <c r="I171" i="97"/>
  <c r="A2593" i="23"/>
  <c r="I62" i="97"/>
  <c r="A2589" i="23"/>
  <c r="I73" i="97"/>
  <c r="A2435" i="23"/>
  <c r="I157" i="97"/>
  <c r="A2467" i="23"/>
  <c r="I206" i="97"/>
  <c r="A2464" i="23"/>
  <c r="I199" i="97"/>
  <c r="A2479" i="23"/>
  <c r="I60" i="97"/>
  <c r="A2515" i="23"/>
  <c r="I122" i="97"/>
  <c r="A2519" i="23"/>
  <c r="I76" i="97"/>
  <c r="A2523" i="23"/>
  <c r="I211" i="97"/>
  <c r="A2596" i="23"/>
  <c r="I72" i="97"/>
  <c r="A2592" i="23"/>
  <c r="I112" i="97"/>
  <c r="A2584" i="23"/>
  <c r="I92" i="97"/>
  <c r="A2438" i="23"/>
  <c r="I38" i="97"/>
  <c r="A2434" i="23"/>
  <c r="I164" i="97"/>
  <c r="A2454" i="23"/>
  <c r="I95" i="97"/>
  <c r="A2478" i="23"/>
  <c r="I59" i="97"/>
  <c r="A2522" i="23"/>
  <c r="I93" i="97"/>
  <c r="A2520" i="23"/>
  <c r="I86" i="97"/>
  <c r="A2524" i="23"/>
  <c r="I262" i="97"/>
  <c r="A2599" i="23"/>
  <c r="I129" i="97"/>
  <c r="A2595" i="23"/>
  <c r="I125" i="97"/>
  <c r="A2591" i="23"/>
  <c r="I132" i="97"/>
  <c r="A2587" i="23"/>
  <c r="I142" i="97"/>
  <c r="A2583" i="23"/>
  <c r="I172" i="97"/>
  <c r="A2580" i="23"/>
  <c r="I15" i="97"/>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16" i="1"/>
  <c r="R1916" i="1"/>
  <c r="Q246" i="1"/>
  <c r="Q845" i="1"/>
  <c r="Q919" i="1"/>
  <c r="F18" i="107"/>
  <c r="Q922" i="1"/>
  <c r="R1805" i="1"/>
  <c r="D1769" i="1"/>
  <c r="D196" i="97" s="1"/>
  <c r="Q966" i="1"/>
  <c r="Q968" i="1"/>
  <c r="Q359" i="1"/>
  <c r="Q375" i="1"/>
  <c r="Q370" i="1"/>
  <c r="Q368" i="1"/>
  <c r="Q367" i="1"/>
  <c r="Q870" i="1"/>
  <c r="Q867" i="1"/>
  <c r="G13" i="114"/>
  <c r="D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67" i="1"/>
  <c r="Q964" i="1"/>
  <c r="Q963"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632" i="1"/>
  <c r="P1182" i="1"/>
  <c r="F12" i="108"/>
  <c r="H1814" i="23"/>
  <c r="J1527" i="1"/>
  <c r="J1531" i="1"/>
  <c r="G115" i="31"/>
  <c r="B123" i="31"/>
  <c r="H968" i="23"/>
  <c r="I968" i="23" s="1"/>
  <c r="A968" i="23" s="1"/>
  <c r="D21" i="113"/>
  <c r="P650" i="1"/>
  <c r="P646" i="1"/>
  <c r="P649" i="1"/>
  <c r="P648" i="1"/>
  <c r="I193" i="97" s="1"/>
  <c r="P647" i="1"/>
  <c r="I204" i="97" s="1"/>
  <c r="D20" i="113"/>
  <c r="C236" i="115" s="1"/>
  <c r="D238" i="115"/>
  <c r="D22" i="113"/>
  <c r="C238" i="115" s="1"/>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19" i="113"/>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D34" i="113"/>
  <c r="C245" i="115" s="1"/>
  <c r="D1490" i="23"/>
  <c r="I1643" i="23"/>
  <c r="A1643" i="23" s="1"/>
  <c r="I1541" i="23"/>
  <c r="A1541" i="23" s="1"/>
  <c r="I1614" i="23"/>
  <c r="A1614" i="23" s="1"/>
  <c r="I1613" i="23"/>
  <c r="A1613" i="23" s="1"/>
  <c r="D236" i="115"/>
  <c r="D62" i="115"/>
  <c r="C962" i="1"/>
  <c r="C239" i="97" s="1"/>
  <c r="P966" i="1"/>
  <c r="I39" i="97" s="1"/>
  <c r="P964" i="1"/>
  <c r="I154" i="97" s="1"/>
  <c r="P967" i="1"/>
  <c r="I35" i="97" s="1"/>
  <c r="P963" i="1"/>
  <c r="I161" i="97" s="1"/>
  <c r="C952" i="1"/>
  <c r="C238" i="97" s="1"/>
  <c r="P954" i="1"/>
  <c r="I153" i="97" s="1"/>
  <c r="P953" i="1"/>
  <c r="I160" i="97" s="1"/>
  <c r="P956" i="1"/>
  <c r="I34"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D35" i="113"/>
  <c r="C246" i="115" s="1"/>
  <c r="H1628" i="23"/>
  <c r="I1626" i="23"/>
  <c r="A1626" i="23" s="1"/>
  <c r="D108" i="23"/>
  <c r="H1647" i="23"/>
  <c r="I1624" i="23"/>
  <c r="A1624" i="23" s="1"/>
  <c r="D136" i="23"/>
  <c r="I157" i="23"/>
  <c r="A157" i="23" s="1"/>
  <c r="H675" i="23"/>
  <c r="I190" i="23"/>
  <c r="A190" i="23" s="1"/>
  <c r="D249" i="115"/>
  <c r="D38" i="113"/>
  <c r="C249" i="115" s="1"/>
  <c r="H1471" i="23"/>
  <c r="I1471" i="23" s="1"/>
  <c r="A1471" i="23" s="1"/>
  <c r="I1470" i="23"/>
  <c r="A1470" i="23" s="1"/>
  <c r="I167" i="23"/>
  <c r="A167" i="23" s="1"/>
  <c r="I159" i="23"/>
  <c r="A159" i="23" s="1"/>
  <c r="H164" i="23"/>
  <c r="I156" i="23"/>
  <c r="A156" i="23" s="1"/>
  <c r="P1777" i="1"/>
  <c r="I18" i="97" s="1"/>
  <c r="C1860" i="1"/>
  <c r="C7" i="108"/>
  <c r="C9" i="108"/>
  <c r="C6" i="108"/>
  <c r="C4" i="108"/>
  <c r="C5" i="108"/>
  <c r="C8" i="108"/>
  <c r="C11" i="108"/>
  <c r="C10" i="108"/>
  <c r="J1546" i="1"/>
  <c r="H1546" i="1"/>
  <c r="P1546" i="1" s="1"/>
  <c r="C1546" i="1" s="1"/>
  <c r="J1547" i="1"/>
  <c r="H1547" i="1"/>
  <c r="P1547" i="1" s="1"/>
  <c r="C1547" i="1" s="1"/>
  <c r="J1519" i="1"/>
  <c r="H1519" i="1"/>
  <c r="P1519" i="1" s="1"/>
  <c r="C1519" i="1" s="1"/>
  <c r="C1511" i="1"/>
  <c r="C197" i="97" s="1"/>
  <c r="D18" i="113"/>
  <c r="C234" i="115" s="1"/>
  <c r="D234" i="115"/>
  <c r="P2112" i="1"/>
  <c r="C2112" i="1" s="1"/>
  <c r="H2195" i="1"/>
  <c r="P2195" i="1" s="1"/>
  <c r="C2195"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0" i="1"/>
  <c r="H2100" i="1" s="1"/>
  <c r="P2100" i="1" s="1"/>
  <c r="C2100" i="1" s="1"/>
  <c r="G127" i="31"/>
  <c r="E128" i="31"/>
  <c r="G128" i="31" s="1"/>
  <c r="C1818" i="1"/>
  <c r="C94" i="97" s="1"/>
  <c r="C800" i="1"/>
  <c r="D237" i="115"/>
  <c r="C1821" i="1"/>
  <c r="C1820" i="1"/>
  <c r="C1822" i="1"/>
  <c r="D1985" i="1"/>
  <c r="C241" i="115"/>
  <c r="P1841" i="1"/>
  <c r="I103" i="97" s="1"/>
  <c r="C1817" i="1"/>
  <c r="C9" i="97" s="1"/>
  <c r="C803" i="1"/>
  <c r="C799" i="1"/>
  <c r="C802" i="1"/>
  <c r="C801" i="1"/>
  <c r="C2327" i="1"/>
  <c r="C79" i="97" s="1"/>
  <c r="C1806" i="1"/>
  <c r="C69" i="97" s="1"/>
  <c r="D43" i="115"/>
  <c r="C804" i="1"/>
  <c r="C1805" i="1"/>
  <c r="C120" i="97" s="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3" i="1"/>
  <c r="H2082" i="1"/>
  <c r="P2082" i="1" s="1"/>
  <c r="H2084" i="1"/>
  <c r="C1791" i="1"/>
  <c r="C200" i="97" s="1"/>
  <c r="P1792" i="1"/>
  <c r="I144" i="97" s="1"/>
  <c r="P2013" i="1"/>
  <c r="C2013"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9" i="1"/>
  <c r="P2097" i="1"/>
  <c r="C2015" i="1"/>
  <c r="C2031" i="1"/>
  <c r="P2093" i="1"/>
  <c r="P2092" i="1"/>
  <c r="C2016" i="1"/>
  <c r="C2030" i="1"/>
  <c r="D44" i="115"/>
  <c r="C2034" i="1"/>
  <c r="C2036" i="1"/>
  <c r="P2012" i="1"/>
  <c r="D726" i="23"/>
  <c r="D728" i="23" s="1"/>
  <c r="D730" i="23" s="1"/>
  <c r="D315" i="23"/>
  <c r="H2103" i="1"/>
  <c r="P2103" i="1" s="1"/>
  <c r="C2103" i="1" s="1"/>
  <c r="C766" i="1"/>
  <c r="Q1769" i="1"/>
  <c r="P1108" i="1"/>
  <c r="I26" i="97" s="1"/>
  <c r="P1109" i="1"/>
  <c r="I90" i="97" s="1"/>
  <c r="C1107" i="1"/>
  <c r="C242" i="97" s="1"/>
  <c r="P1111" i="1"/>
  <c r="I30" i="97" s="1"/>
  <c r="P1110" i="1"/>
  <c r="I88" i="97" s="1"/>
  <c r="P1112" i="1"/>
  <c r="I45" i="97" s="1"/>
  <c r="P1113" i="1"/>
  <c r="I218" i="97" s="1"/>
  <c r="H2052" i="1"/>
  <c r="E119" i="33"/>
  <c r="G119" i="33" s="1"/>
  <c r="I323" i="23"/>
  <c r="A323" i="23" s="1"/>
  <c r="P880" i="1"/>
  <c r="I47" i="97" s="1"/>
  <c r="P876" i="1"/>
  <c r="I156" i="97" s="1"/>
  <c r="P878" i="1"/>
  <c r="I54" i="97" s="1"/>
  <c r="P879" i="1"/>
  <c r="I53" i="97" s="1"/>
  <c r="P877" i="1"/>
  <c r="I51" i="97" s="1"/>
  <c r="C874" i="1"/>
  <c r="C241" i="97" s="1"/>
  <c r="P875" i="1"/>
  <c r="I163" i="97" s="1"/>
  <c r="P881" i="1"/>
  <c r="I216" i="97" s="1"/>
  <c r="I335" i="23"/>
  <c r="A335" i="23" s="1"/>
  <c r="C244" i="1"/>
  <c r="C219" i="97" s="1"/>
  <c r="P245" i="1"/>
  <c r="I259" i="97" s="1"/>
  <c r="P246" i="1"/>
  <c r="I223" i="97" s="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49" i="1"/>
  <c r="L2049" i="1"/>
  <c r="C2096" i="1"/>
  <c r="E33" i="108"/>
  <c r="P840" i="1"/>
  <c r="C838" i="1"/>
  <c r="P843" i="1"/>
  <c r="P845" i="1"/>
  <c r="P839" i="1"/>
  <c r="P844" i="1"/>
  <c r="C1422" i="1"/>
  <c r="P1425" i="1"/>
  <c r="P1424" i="1"/>
  <c r="P1423" i="1"/>
  <c r="P1426" i="1"/>
  <c r="C2048" i="1"/>
  <c r="C2078"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C237" i="97" s="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2" i="1"/>
  <c r="C973" i="1"/>
  <c r="C236" i="97" s="1"/>
  <c r="P976" i="1"/>
  <c r="I32" i="97" s="1"/>
  <c r="P975" i="1"/>
  <c r="I151" i="97" s="1"/>
  <c r="P977" i="1"/>
  <c r="I42" i="97" s="1"/>
  <c r="P978" i="1"/>
  <c r="I217" i="97" s="1"/>
  <c r="P974" i="1"/>
  <c r="I158" i="97" s="1"/>
  <c r="I328" i="23"/>
  <c r="A328" i="23" s="1"/>
  <c r="I336" i="23"/>
  <c r="A336" i="23" s="1"/>
  <c r="H741" i="1"/>
  <c r="C740" i="1"/>
  <c r="B172" i="31"/>
  <c r="G172" i="31"/>
  <c r="H1567" i="1"/>
  <c r="P1567" i="1" s="1"/>
  <c r="C1567" i="1" s="1"/>
  <c r="J1567" i="1"/>
  <c r="P864" i="1"/>
  <c r="I162" i="97" s="1"/>
  <c r="C863" i="1"/>
  <c r="C240" i="97" s="1"/>
  <c r="C866" i="1"/>
  <c r="P865" i="1"/>
  <c r="I155" i="97" s="1"/>
  <c r="I326" i="23"/>
  <c r="A326" i="23" s="1"/>
  <c r="H342" i="23"/>
  <c r="H343" i="23"/>
  <c r="I339" i="23"/>
  <c r="A339" i="23" s="1"/>
  <c r="C2025" i="1"/>
  <c r="C1836" i="1"/>
  <c r="C185" i="97" s="1"/>
  <c r="P1838" i="1"/>
  <c r="I130" i="97" s="1"/>
  <c r="P1837" i="1"/>
  <c r="I10" i="97" s="1"/>
  <c r="C664" i="1"/>
  <c r="C21" i="97" s="1"/>
  <c r="C2091" i="1"/>
  <c r="P2024" i="1"/>
  <c r="C2023"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C231" i="97" s="1"/>
  <c r="P643" i="1"/>
  <c r="P642" i="1"/>
  <c r="P641" i="1"/>
  <c r="P606" i="1"/>
  <c r="C606" i="1" s="1"/>
  <c r="P605" i="1"/>
  <c r="C605" i="1" s="1"/>
  <c r="C601" i="1"/>
  <c r="C248" i="1"/>
  <c r="P250" i="1"/>
  <c r="C250" i="1" s="1"/>
  <c r="P252" i="1"/>
  <c r="C252" i="1" s="1"/>
  <c r="P249" i="1"/>
  <c r="C249" i="1" s="1"/>
  <c r="P251" i="1"/>
  <c r="C251" i="1" s="1"/>
  <c r="C356" i="1"/>
  <c r="C220" i="97" s="1"/>
  <c r="P368" i="1"/>
  <c r="I56" i="97" s="1"/>
  <c r="P358" i="1"/>
  <c r="I176" i="97" s="1"/>
  <c r="P373" i="1"/>
  <c r="C373" i="1" s="1"/>
  <c r="P367" i="1"/>
  <c r="I55" i="97" s="1"/>
  <c r="P374" i="1"/>
  <c r="C374" i="1" s="1"/>
  <c r="P357" i="1"/>
  <c r="I173" i="97" s="1"/>
  <c r="P372" i="1"/>
  <c r="C372" i="1" s="1"/>
  <c r="P359" i="1"/>
  <c r="I179" i="97" s="1"/>
  <c r="P371" i="1"/>
  <c r="C371" i="1" s="1"/>
  <c r="P375" i="1"/>
  <c r="I189" i="97" s="1"/>
  <c r="P370" i="1"/>
  <c r="I260" i="97" s="1"/>
  <c r="C2367" i="1"/>
  <c r="B182" i="31"/>
  <c r="G182" i="31"/>
  <c r="P1194" i="1"/>
  <c r="P1199" i="1"/>
  <c r="P1197" i="1"/>
  <c r="F14" i="108"/>
  <c r="P1198" i="1"/>
  <c r="P1193" i="1"/>
  <c r="P1200" i="1"/>
  <c r="P1195" i="1"/>
  <c r="P1201" i="1"/>
  <c r="C1192" i="1"/>
  <c r="P2051" i="1"/>
  <c r="L2051" i="1"/>
  <c r="P733" i="1"/>
  <c r="C733" i="1" s="1"/>
  <c r="C732" i="1"/>
  <c r="P735" i="1"/>
  <c r="C735" i="1" s="1"/>
  <c r="P734" i="1"/>
  <c r="C734" i="1" s="1"/>
  <c r="I338" i="23"/>
  <c r="A338" i="23" s="1"/>
  <c r="C767" i="1"/>
  <c r="C772" i="1"/>
  <c r="C182" i="97" s="1"/>
  <c r="H2050" i="1"/>
  <c r="E117" i="33"/>
  <c r="G117" i="33" s="1"/>
  <c r="I20" i="97" l="1"/>
  <c r="K10" i="113"/>
  <c r="I96" i="97"/>
  <c r="K11" i="113"/>
  <c r="I107" i="97"/>
  <c r="K12" i="113"/>
  <c r="G12" i="113" s="1"/>
  <c r="I138" i="97"/>
  <c r="K13" i="113"/>
  <c r="B205" i="42"/>
  <c r="C254" i="97"/>
  <c r="P1979" i="1"/>
  <c r="R1979" i="1" s="1"/>
  <c r="C988" i="1"/>
  <c r="C49" i="97" s="1"/>
  <c r="I49" i="97"/>
  <c r="C984" i="1"/>
  <c r="C152" i="97" s="1"/>
  <c r="I152" i="97"/>
  <c r="C986" i="1"/>
  <c r="C36" i="97" s="1"/>
  <c r="I36" i="97"/>
  <c r="C989" i="1"/>
  <c r="C214" i="97" s="1"/>
  <c r="I214" i="97"/>
  <c r="H124" i="97"/>
  <c r="C985" i="1"/>
  <c r="C40" i="97" s="1"/>
  <c r="I40" i="97"/>
  <c r="C983" i="1"/>
  <c r="C159" i="97" s="1"/>
  <c r="I159" i="97"/>
  <c r="H1985" i="1"/>
  <c r="D208" i="97"/>
  <c r="P1959" i="1"/>
  <c r="H202" i="97"/>
  <c r="Q1918" i="1"/>
  <c r="R1918" i="1"/>
  <c r="Q1910" i="1"/>
  <c r="R1910" i="1"/>
  <c r="R1929" i="1"/>
  <c r="Q1935" i="1"/>
  <c r="R1935" i="1"/>
  <c r="R966" i="1"/>
  <c r="R968" i="1"/>
  <c r="R963" i="1"/>
  <c r="R967" i="1"/>
  <c r="R922" i="1"/>
  <c r="R923" i="1"/>
  <c r="D797" i="1"/>
  <c r="D252" i="97" s="1"/>
  <c r="R921" i="1"/>
  <c r="R919" i="1"/>
  <c r="A2423" i="23"/>
  <c r="I65" i="97"/>
  <c r="A2418" i="23"/>
  <c r="I87" i="97"/>
  <c r="A2549" i="23"/>
  <c r="I207" i="97"/>
  <c r="A2422" i="23"/>
  <c r="I67" i="97"/>
  <c r="G8" i="114"/>
  <c r="D8" i="114"/>
  <c r="C260" i="115" s="1"/>
  <c r="A2421" i="23"/>
  <c r="I43" i="97"/>
  <c r="A2548" i="23"/>
  <c r="I61" i="97"/>
  <c r="A2540" i="23"/>
  <c r="I140" i="97"/>
  <c r="G10" i="114"/>
  <c r="D10" i="114"/>
  <c r="D27" i="97"/>
  <c r="D2383" i="23"/>
  <c r="D2384" i="23"/>
  <c r="D233" i="97" s="1"/>
  <c r="A2420" i="23"/>
  <c r="I31" i="97"/>
  <c r="A2533" i="23"/>
  <c r="I12" i="97"/>
  <c r="A2547" i="23"/>
  <c r="I101" i="97"/>
  <c r="A2535" i="23"/>
  <c r="I75" i="97"/>
  <c r="D9" i="114"/>
  <c r="G9" i="114"/>
  <c r="A2424" i="23"/>
  <c r="I213" i="97"/>
  <c r="A2419" i="23"/>
  <c r="I89" i="97"/>
  <c r="A2534" i="23"/>
  <c r="I91" i="97"/>
  <c r="A2546" i="23"/>
  <c r="I113" i="97"/>
  <c r="G11" i="114"/>
  <c r="D11" i="114"/>
  <c r="D2441" i="23"/>
  <c r="D2450" i="23" s="1"/>
  <c r="D245" i="97"/>
  <c r="I2097" i="23"/>
  <c r="A2097" i="23" s="1"/>
  <c r="I2113" i="23"/>
  <c r="A2113" i="23" s="1"/>
  <c r="I2109" i="23"/>
  <c r="A2109" i="23" s="1"/>
  <c r="D1974" i="23"/>
  <c r="D1982" i="23" s="1"/>
  <c r="D1991" i="23" s="1"/>
  <c r="D1905" i="23"/>
  <c r="C646" i="1"/>
  <c r="C138" i="97" s="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97" i="1"/>
  <c r="B207" i="42"/>
  <c r="B211" i="42" s="1"/>
  <c r="G13" i="113"/>
  <c r="G11" i="113"/>
  <c r="G10" i="113"/>
  <c r="P1776" i="1"/>
  <c r="I22" i="97" s="1"/>
  <c r="C774" i="1"/>
  <c r="C974" i="1"/>
  <c r="C158" i="97" s="1"/>
  <c r="C978" i="1"/>
  <c r="C217" i="97" s="1"/>
  <c r="C977" i="1"/>
  <c r="C42" i="97" s="1"/>
  <c r="C975" i="1"/>
  <c r="I150" i="97"/>
  <c r="C976" i="1"/>
  <c r="C32" i="97" s="1"/>
  <c r="C632" i="1"/>
  <c r="G38" i="113"/>
  <c r="C650" i="1"/>
  <c r="G22" i="113"/>
  <c r="C366" i="1"/>
  <c r="C775" i="1"/>
  <c r="C184" i="97" s="1"/>
  <c r="C369" i="1"/>
  <c r="C224" i="97" s="1"/>
  <c r="C878" i="1"/>
  <c r="C54" i="97" s="1"/>
  <c r="C360" i="1"/>
  <c r="C370" i="1"/>
  <c r="C260" i="97" s="1"/>
  <c r="C364" i="1"/>
  <c r="C367" i="1"/>
  <c r="C55" i="97" s="1"/>
  <c r="C368" i="1"/>
  <c r="C56" i="97" s="1"/>
  <c r="C773" i="1"/>
  <c r="C24" i="97" s="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160" i="97" s="1"/>
  <c r="C966" i="1"/>
  <c r="C39" i="97" s="1"/>
  <c r="C957" i="1"/>
  <c r="C48" i="97" s="1"/>
  <c r="C845" i="1"/>
  <c r="C954" i="1"/>
  <c r="C153" i="97" s="1"/>
  <c r="C647" i="1"/>
  <c r="C204" i="97" s="1"/>
  <c r="C843" i="1"/>
  <c r="C877" i="1"/>
  <c r="C51" i="97" s="1"/>
  <c r="C844" i="1"/>
  <c r="C642" i="1"/>
  <c r="C96" i="97" s="1"/>
  <c r="C879" i="1"/>
  <c r="C53" i="97" s="1"/>
  <c r="C963" i="1"/>
  <c r="C161" i="97" s="1"/>
  <c r="C880" i="1"/>
  <c r="C47" i="97" s="1"/>
  <c r="C648" i="1"/>
  <c r="C193" i="97" s="1"/>
  <c r="C839" i="1"/>
  <c r="C840" i="1"/>
  <c r="C967" i="1"/>
  <c r="C35" i="97" s="1"/>
  <c r="C881" i="1"/>
  <c r="C216" i="97" s="1"/>
  <c r="C875" i="1"/>
  <c r="C163" i="97" s="1"/>
  <c r="C876" i="1"/>
  <c r="C156" i="97" s="1"/>
  <c r="C964" i="1"/>
  <c r="C154" i="97" s="1"/>
  <c r="C956" i="1"/>
  <c r="C34" i="97" s="1"/>
  <c r="C968" i="1"/>
  <c r="C41" i="97" s="1"/>
  <c r="B228" i="42"/>
  <c r="C2051" i="1"/>
  <c r="D154" i="23"/>
  <c r="D109" i="23"/>
  <c r="H1641" i="23"/>
  <c r="I1640" i="23"/>
  <c r="A1640" i="23" s="1"/>
  <c r="I164" i="23"/>
  <c r="A164" i="23" s="1"/>
  <c r="C1777" i="1"/>
  <c r="C18" i="97" s="1"/>
  <c r="C237" i="115"/>
  <c r="C235" i="115"/>
  <c r="D235" i="115"/>
  <c r="C248" i="115"/>
  <c r="D248" i="115"/>
  <c r="D31" i="115"/>
  <c r="I914" i="23"/>
  <c r="A914" i="23" s="1"/>
  <c r="D859" i="23"/>
  <c r="I900" i="23"/>
  <c r="A900" i="23" s="1"/>
  <c r="G35" i="113"/>
  <c r="I875" i="23"/>
  <c r="A875" i="23" s="1"/>
  <c r="D826" i="23"/>
  <c r="G37" i="113"/>
  <c r="G20" i="113"/>
  <c r="C355" i="1"/>
  <c r="C1837" i="1"/>
  <c r="C10" i="97" s="1"/>
  <c r="C870" i="1"/>
  <c r="C867" i="1"/>
  <c r="C1838" i="1"/>
  <c r="C130" i="97" s="1"/>
  <c r="C868" i="1"/>
  <c r="C864" i="1"/>
  <c r="C162" i="97" s="1"/>
  <c r="C1792" i="1"/>
  <c r="C144" i="97" s="1"/>
  <c r="C346" i="1"/>
  <c r="C341" i="1"/>
  <c r="C869" i="1"/>
  <c r="C1793" i="1"/>
  <c r="C37" i="97" s="1"/>
  <c r="C1841" i="1"/>
  <c r="C103" i="97" s="1"/>
  <c r="C641" i="1"/>
  <c r="C20" i="97" s="1"/>
  <c r="C340" i="1"/>
  <c r="C649" i="1"/>
  <c r="C342" i="1"/>
  <c r="C865" i="1"/>
  <c r="C155" i="97" s="1"/>
  <c r="I932" i="23"/>
  <c r="A932" i="23" s="1"/>
  <c r="P2083" i="1"/>
  <c r="P2084" i="1"/>
  <c r="C2084" i="1" s="1"/>
  <c r="C1990" i="1"/>
  <c r="C1989" i="1"/>
  <c r="D510" i="23"/>
  <c r="D461" i="23"/>
  <c r="D462" i="23" s="1"/>
  <c r="C2089" i="1"/>
  <c r="C2012" i="1"/>
  <c r="C362" i="1"/>
  <c r="C1425" i="1"/>
  <c r="C1181" i="1"/>
  <c r="C636" i="1"/>
  <c r="C1184" i="1"/>
  <c r="C2093" i="1"/>
  <c r="G21" i="113"/>
  <c r="C1180" i="1"/>
  <c r="C637" i="1"/>
  <c r="C1185" i="1"/>
  <c r="C1426" i="1"/>
  <c r="C1186" i="1"/>
  <c r="C375" i="1"/>
  <c r="C189" i="97" s="1"/>
  <c r="C359" i="1"/>
  <c r="C179" i="97" s="1"/>
  <c r="C357" i="1"/>
  <c r="C173" i="97" s="1"/>
  <c r="C358" i="1"/>
  <c r="C176" i="97" s="1"/>
  <c r="C1423" i="1"/>
  <c r="C1183" i="1"/>
  <c r="C2097" i="1"/>
  <c r="C365" i="1"/>
  <c r="C1424" i="1"/>
  <c r="C2082" i="1"/>
  <c r="G19" i="113"/>
  <c r="C1179" i="1"/>
  <c r="C2092" i="1"/>
  <c r="B96" i="33"/>
  <c r="C1769" i="1"/>
  <c r="C196" i="97" s="1"/>
  <c r="C1201" i="1"/>
  <c r="C1194" i="1"/>
  <c r="C1198" i="1"/>
  <c r="C2024" i="1"/>
  <c r="C665" i="1"/>
  <c r="C97" i="97" s="1"/>
  <c r="C1110" i="1"/>
  <c r="C88" i="97" s="1"/>
  <c r="C1199" i="1"/>
  <c r="C158" i="1"/>
  <c r="C1112" i="1"/>
  <c r="C45" i="97" s="1"/>
  <c r="D104" i="115"/>
  <c r="F33" i="108"/>
  <c r="C1197" i="1"/>
  <c r="G36" i="113"/>
  <c r="C741" i="1"/>
  <c r="H742" i="1"/>
  <c r="C742" i="1" s="1"/>
  <c r="C1433" i="1"/>
  <c r="C631" i="1"/>
  <c r="C1111" i="1"/>
  <c r="C30" i="97" s="1"/>
  <c r="I341" i="23"/>
  <c r="A341" i="23" s="1"/>
  <c r="H347" i="23"/>
  <c r="C1432" i="1"/>
  <c r="C246" i="1"/>
  <c r="C223" i="97" s="1"/>
  <c r="C1431" i="1"/>
  <c r="I14" i="108"/>
  <c r="C630" i="1"/>
  <c r="C245" i="1"/>
  <c r="C259" i="97" s="1"/>
  <c r="C1109" i="1"/>
  <c r="C90" i="97" s="1"/>
  <c r="I343" i="23"/>
  <c r="A343" i="23" s="1"/>
  <c r="D277" i="23"/>
  <c r="P2052" i="1"/>
  <c r="L2052" i="1"/>
  <c r="C1108" i="1"/>
  <c r="C26" i="97" s="1"/>
  <c r="C2049" i="1"/>
  <c r="C1195" i="1"/>
  <c r="P2050" i="1"/>
  <c r="L2050" i="1"/>
  <c r="C1200" i="1"/>
  <c r="G30" i="113"/>
  <c r="C643" i="1"/>
  <c r="C107" i="97" s="1"/>
  <c r="I342" i="23"/>
  <c r="A342" i="23" s="1"/>
  <c r="C1193" i="1"/>
  <c r="C1434" i="1"/>
  <c r="C633" i="1"/>
  <c r="C1927" i="1"/>
  <c r="C1981" i="1"/>
  <c r="C1966" i="1"/>
  <c r="C1908" i="1"/>
  <c r="C1951" i="1"/>
  <c r="C1907" i="1"/>
  <c r="C1113" i="1"/>
  <c r="C218" i="97" s="1"/>
  <c r="Q1979" i="1" l="1"/>
  <c r="I212" i="97"/>
  <c r="C150" i="97"/>
  <c r="C151" i="97"/>
  <c r="P1985" i="1"/>
  <c r="H208" i="97"/>
  <c r="I202" i="97"/>
  <c r="Q1959" i="1"/>
  <c r="R1959" i="1"/>
  <c r="A458" i="1"/>
  <c r="A667" i="1"/>
  <c r="A666" i="1"/>
  <c r="A449" i="1"/>
  <c r="A464" i="1"/>
  <c r="A453" i="1"/>
  <c r="A461" i="1"/>
  <c r="A448" i="1"/>
  <c r="A463" i="1"/>
  <c r="A459" i="1"/>
  <c r="A454" i="1"/>
  <c r="A462" i="1"/>
  <c r="A455" i="1"/>
  <c r="A460" i="1"/>
  <c r="A451" i="1"/>
  <c r="A457" i="1"/>
  <c r="A456" i="1"/>
  <c r="A452" i="1"/>
  <c r="A450" i="1"/>
  <c r="B208" i="42"/>
  <c r="D2385" i="23"/>
  <c r="D2386" i="23" s="1"/>
  <c r="D235" i="97"/>
  <c r="D2474" i="23"/>
  <c r="D246" i="97"/>
  <c r="D1910" i="23"/>
  <c r="D1906" i="23"/>
  <c r="D1907" i="23" s="1"/>
  <c r="D1908" i="23" s="1"/>
  <c r="D1909" i="23" s="1"/>
  <c r="D2012" i="23"/>
  <c r="D2018" i="23" s="1"/>
  <c r="D2024" i="23" s="1"/>
  <c r="Q1997" i="1"/>
  <c r="R1997"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C22" i="97" s="1"/>
  <c r="D259" i="115"/>
  <c r="C1959" i="1"/>
  <c r="C202" i="97" s="1"/>
  <c r="B237" i="42"/>
  <c r="B238" i="42" s="1"/>
  <c r="C2009" i="1"/>
  <c r="C1974" i="1"/>
  <c r="C1982" i="1"/>
  <c r="C1983" i="1"/>
  <c r="C1967" i="1"/>
  <c r="C1975" i="1"/>
  <c r="C1898" i="1"/>
  <c r="C1993" i="1"/>
  <c r="C1962" i="1"/>
  <c r="C1894" i="1"/>
  <c r="C1968" i="1"/>
  <c r="C1911" i="1"/>
  <c r="C1922" i="1"/>
  <c r="C2005" i="1"/>
  <c r="C1980" i="1"/>
  <c r="C1991" i="1"/>
  <c r="C1912" i="1"/>
  <c r="C1926" i="1"/>
  <c r="C1999" i="1"/>
  <c r="C1995" i="1"/>
  <c r="C2008" i="1"/>
  <c r="C1960" i="1"/>
  <c r="C203" i="97" s="1"/>
  <c r="C1939" i="1"/>
  <c r="C1893" i="1"/>
  <c r="C1919" i="1"/>
  <c r="C1900" i="1"/>
  <c r="C1904" i="1"/>
  <c r="C1986" i="1"/>
  <c r="C1978" i="1"/>
  <c r="C1969" i="1"/>
  <c r="C134" i="97"/>
  <c r="C1935" i="1"/>
  <c r="C1953" i="1"/>
  <c r="C1947" i="1"/>
  <c r="C1910" i="1"/>
  <c r="C1923" i="1"/>
  <c r="C1988" i="1"/>
  <c r="C1973" i="1"/>
  <c r="C1971" i="1"/>
  <c r="C2001" i="1"/>
  <c r="C1938" i="1"/>
  <c r="C1897" i="1"/>
  <c r="C1895" i="1"/>
  <c r="C1937" i="1"/>
  <c r="C1984" i="1"/>
  <c r="C2004" i="1"/>
  <c r="C109" i="97"/>
  <c r="C1899" i="1"/>
  <c r="C1917" i="1"/>
  <c r="C1909" i="1"/>
  <c r="C1936" i="1"/>
  <c r="C1950" i="1"/>
  <c r="C1914" i="1"/>
  <c r="C2007" i="1"/>
  <c r="C1941" i="1"/>
  <c r="C1934" i="1"/>
  <c r="C1963" i="1"/>
  <c r="C1929" i="1"/>
  <c r="C1913" i="1"/>
  <c r="C1921" i="1"/>
  <c r="C1940" i="1"/>
  <c r="C118" i="97"/>
  <c r="C1901" i="1"/>
  <c r="C1992" i="1"/>
  <c r="C1949" i="1"/>
  <c r="C1906" i="1"/>
  <c r="C1915" i="1"/>
  <c r="C1998" i="1"/>
  <c r="C1964" i="1"/>
  <c r="C2006" i="1"/>
  <c r="C1892" i="1"/>
  <c r="C1903" i="1"/>
  <c r="C2000" i="1"/>
  <c r="C1902" i="1"/>
  <c r="C1948" i="1"/>
  <c r="C124" i="97"/>
  <c r="C1976" i="1"/>
  <c r="C1987" i="1"/>
  <c r="C1996" i="1"/>
  <c r="C1961" i="1"/>
  <c r="C1890" i="1"/>
  <c r="C1994" i="1"/>
  <c r="C1970" i="1"/>
  <c r="C1896" i="1"/>
  <c r="C1965" i="1"/>
  <c r="C1972" i="1"/>
  <c r="C1952" i="1"/>
  <c r="C1977" i="1"/>
  <c r="C1920" i="1"/>
  <c r="C1905" i="1"/>
  <c r="C1945" i="1"/>
  <c r="C1916" i="1"/>
  <c r="C2003" i="1"/>
  <c r="C1891" i="1"/>
  <c r="C2002" i="1"/>
  <c r="C263" i="115"/>
  <c r="D348" i="23"/>
  <c r="D1506" i="23"/>
  <c r="D1514" i="23" s="1"/>
  <c r="D1523" i="23" s="1"/>
  <c r="D1450" i="23"/>
  <c r="C13" i="108"/>
  <c r="D264" i="115"/>
  <c r="D110" i="23"/>
  <c r="H1642" i="23"/>
  <c r="I1641" i="23"/>
  <c r="A1641" i="23" s="1"/>
  <c r="D160" i="23"/>
  <c r="H2010" i="1"/>
  <c r="C1979" i="1"/>
  <c r="C212" i="97" s="1"/>
  <c r="D827" i="23"/>
  <c r="D829" i="23" s="1"/>
  <c r="D828" i="23"/>
  <c r="D876" i="23"/>
  <c r="C1997" i="1"/>
  <c r="C1924" i="1"/>
  <c r="I933" i="23"/>
  <c r="A933" i="23" s="1"/>
  <c r="C2083" i="1"/>
  <c r="D528" i="23"/>
  <c r="G32" i="113"/>
  <c r="G45" i="113" s="1"/>
  <c r="B100" i="33"/>
  <c r="C2050" i="1"/>
  <c r="C668" i="1"/>
  <c r="C1957" i="1"/>
  <c r="C64" i="97" s="1"/>
  <c r="C2052" i="1"/>
  <c r="C26" i="108"/>
  <c r="C25" i="108"/>
  <c r="C23" i="108"/>
  <c r="C22" i="108"/>
  <c r="C18" i="108"/>
  <c r="C30" i="108"/>
  <c r="C24" i="108"/>
  <c r="C21" i="108"/>
  <c r="C17" i="108"/>
  <c r="C20" i="108"/>
  <c r="C32" i="108"/>
  <c r="C29" i="108"/>
  <c r="C14" i="108"/>
  <c r="C31" i="108"/>
  <c r="C16" i="108"/>
  <c r="C19" i="108"/>
  <c r="C28" i="108"/>
  <c r="C15" i="108"/>
  <c r="C27" i="108"/>
  <c r="C1928" i="1"/>
  <c r="D278" i="23"/>
  <c r="I347" i="23"/>
  <c r="A347" i="23" s="1"/>
  <c r="C104" i="115"/>
  <c r="D93" i="115"/>
  <c r="I208" i="97" l="1"/>
  <c r="R1985" i="1"/>
  <c r="Q1985" i="1"/>
  <c r="D2480" i="23"/>
  <c r="D2490" i="23" s="1"/>
  <c r="D2499" i="23" s="1"/>
  <c r="D2511" i="23" s="1"/>
  <c r="D247" i="97"/>
  <c r="D2387" i="23"/>
  <c r="D198" i="97" s="1"/>
  <c r="D234" i="97"/>
  <c r="D2031" i="23"/>
  <c r="D2041" i="23" s="1"/>
  <c r="D2050" i="23" s="1"/>
  <c r="D2064" i="23" s="1"/>
  <c r="D1911" i="23"/>
  <c r="A668" i="1"/>
  <c r="B213" i="42"/>
  <c r="B214" i="42" s="1"/>
  <c r="B215" i="42" s="1"/>
  <c r="Q2010" i="1"/>
  <c r="R2010" i="1"/>
  <c r="C111" i="97"/>
  <c r="C1918" i="1"/>
  <c r="C1943" i="1"/>
  <c r="C1942" i="1"/>
  <c r="C1944" i="1"/>
  <c r="C1930" i="1"/>
  <c r="C1958" i="1"/>
  <c r="C1932" i="1"/>
  <c r="C1925" i="1"/>
  <c r="C1933" i="1"/>
  <c r="D263" i="115"/>
  <c r="B239" i="42"/>
  <c r="B248" i="42" s="1"/>
  <c r="D366" i="23"/>
  <c r="C261" i="115"/>
  <c r="D261" i="115"/>
  <c r="D1451" i="23"/>
  <c r="D1544" i="23"/>
  <c r="D111" i="23"/>
  <c r="D173" i="23"/>
  <c r="H1645" i="23"/>
  <c r="I1642" i="23"/>
  <c r="A1642" i="23" s="1"/>
  <c r="C2010" i="1"/>
  <c r="B114" i="33"/>
  <c r="B125" i="33" s="1"/>
  <c r="B143" i="33" s="1"/>
  <c r="B144" i="33" s="1"/>
  <c r="B145" i="33" s="1"/>
  <c r="D881" i="23"/>
  <c r="D830" i="23"/>
  <c r="C1985" i="1"/>
  <c r="C208" i="97" s="1"/>
  <c r="G46" i="113"/>
  <c r="C669" i="1"/>
  <c r="D279" i="23"/>
  <c r="C264" i="115"/>
  <c r="D2527" i="23" l="1"/>
  <c r="D2531" i="23" s="1"/>
  <c r="D248" i="97"/>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51" i="97" s="1"/>
  <c r="D249" i="97"/>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C205" i="97" s="1"/>
  <c r="B229" i="42" l="1"/>
  <c r="B224" i="42"/>
  <c r="B226" i="42" s="1"/>
  <c r="A671" i="1"/>
  <c r="D15" i="115"/>
  <c r="D1615" i="23"/>
  <c r="D1621" i="23" s="1"/>
  <c r="C672" i="1"/>
  <c r="C194" i="97" s="1"/>
  <c r="B230" i="42" l="1"/>
  <c r="B263" i="42" s="1"/>
  <c r="B264" i="42" s="1"/>
  <c r="A672" i="1"/>
  <c r="D89" i="115"/>
  <c r="J7" i="107"/>
  <c r="D127" i="115"/>
  <c r="C2" i="111"/>
  <c r="C3" i="111"/>
  <c r="C4" i="111"/>
  <c r="C5" i="111"/>
  <c r="C6" i="111"/>
  <c r="C7" i="111"/>
  <c r="C8" i="111"/>
  <c r="C9" i="111"/>
  <c r="C10" i="111"/>
  <c r="C11" i="111"/>
  <c r="C12" i="111"/>
  <c r="C20" i="111"/>
  <c r="C16" i="111"/>
  <c r="C14" i="111"/>
  <c r="C23" i="111"/>
  <c r="C24" i="111"/>
  <c r="C18" i="111"/>
  <c r="C22" i="111"/>
  <c r="C17" i="111"/>
  <c r="C21" i="111"/>
  <c r="C19" i="111"/>
  <c r="C15" i="111"/>
  <c r="C13" i="111"/>
  <c r="D1650" i="23"/>
  <c r="C673" i="1"/>
  <c r="A673" i="1" l="1"/>
  <c r="A1574" i="1"/>
  <c r="B265" i="42"/>
  <c r="D87" i="115"/>
  <c r="D88" i="115"/>
  <c r="D202" i="115"/>
  <c r="C674" i="1"/>
  <c r="A1779" i="1" s="1"/>
  <c r="A1474" i="1" l="1"/>
  <c r="A1778" i="1"/>
  <c r="A1383" i="1"/>
  <c r="A1160" i="1"/>
  <c r="A861" i="1"/>
  <c r="A765" i="1"/>
  <c r="A1239" i="1"/>
  <c r="A886" i="1"/>
  <c r="A995" i="1"/>
  <c r="A741" i="1"/>
  <c r="A1084" i="1"/>
  <c r="A1679" i="1"/>
  <c r="A1360" i="1"/>
  <c r="A1259" i="1"/>
  <c r="A1314" i="1"/>
  <c r="A862" i="1"/>
  <c r="A908" i="1"/>
  <c r="A1020" i="1"/>
  <c r="A1497" i="1"/>
  <c r="A1784"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7"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2" i="1"/>
  <c r="A1343" i="1"/>
  <c r="A1616" i="1"/>
  <c r="A1382" i="1"/>
  <c r="A1243" i="1"/>
  <c r="A1132" i="1"/>
  <c r="A921" i="1"/>
  <c r="A1491" i="1"/>
  <c r="A1533" i="1"/>
  <c r="A902" i="1"/>
  <c r="A1328" i="1"/>
  <c r="A749" i="1"/>
  <c r="A705" i="1"/>
  <c r="A955" i="1"/>
  <c r="A1192" i="1"/>
  <c r="A1190" i="1"/>
  <c r="A1580" i="1"/>
  <c r="A1252" i="1"/>
  <c r="A1656" i="1"/>
  <c r="A1793"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0"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88"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1"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6"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2" i="1"/>
  <c r="A1070" i="1"/>
  <c r="A753" i="1"/>
  <c r="A1781"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5"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3"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89"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0"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31" i="113" l="1"/>
  <c r="P2059" i="1"/>
  <c r="C2059" i="1" l="1"/>
  <c r="A3" i="79" l="1"/>
  <c r="K1" i="97" l="1"/>
  <c r="A67" i="97" l="1"/>
  <c r="A59" i="97"/>
  <c r="A169" i="97"/>
  <c r="A200" i="97"/>
  <c r="A225" i="97"/>
  <c r="A23" i="97"/>
  <c r="A91" i="97"/>
  <c r="A75" i="97"/>
  <c r="A12" i="97"/>
  <c r="A139" i="97"/>
  <c r="A104" i="97"/>
  <c r="A159" i="97"/>
  <c r="A50" i="97"/>
  <c r="A188" i="97"/>
  <c r="A180" i="97"/>
  <c r="A11" i="97"/>
  <c r="A128" i="97"/>
  <c r="A173" i="97"/>
  <c r="A30" i="97"/>
  <c r="A113" i="97"/>
  <c r="A19" i="97"/>
  <c r="A53" i="97"/>
  <c r="A234" i="97"/>
  <c r="A16" i="97"/>
  <c r="A64" i="97"/>
  <c r="A137" i="97"/>
  <c r="A233" i="97"/>
  <c r="A251" i="97"/>
  <c r="A42" i="97"/>
  <c r="A5" i="97"/>
  <c r="A195" i="97"/>
  <c r="A193" i="97"/>
  <c r="A122" i="97"/>
  <c r="A98" i="97"/>
  <c r="A145" i="97"/>
  <c r="A246" i="97"/>
  <c r="A153" i="97"/>
  <c r="A267" i="97"/>
  <c r="A224" i="97"/>
  <c r="A256" i="97"/>
  <c r="A38" i="97"/>
  <c r="A27" i="97"/>
  <c r="A36" i="97"/>
  <c r="A197" i="97"/>
  <c r="A199" i="97"/>
  <c r="A179" i="97"/>
  <c r="A58" i="97"/>
  <c r="A103" i="97"/>
  <c r="A223" i="97"/>
  <c r="A108" i="97"/>
  <c r="A71" i="97"/>
  <c r="A219" i="97"/>
  <c r="A45" i="97"/>
  <c r="A8" i="97"/>
  <c r="A266" i="97"/>
  <c r="A51" i="97"/>
  <c r="A9" i="97"/>
  <c r="A66" i="97"/>
  <c r="A94" i="97"/>
  <c r="A89" i="97"/>
  <c r="A194" i="97"/>
  <c r="A141" i="97"/>
  <c r="A198" i="97"/>
  <c r="A203" i="97"/>
  <c r="A97" i="97"/>
  <c r="A258" i="97"/>
  <c r="A124" i="97"/>
  <c r="A172" i="97"/>
  <c r="A232" i="97"/>
  <c r="A57" i="97"/>
  <c r="A163" i="97"/>
  <c r="A237" i="97"/>
  <c r="A37" i="97"/>
  <c r="A212" i="97"/>
  <c r="A184" i="97"/>
  <c r="A155" i="97"/>
  <c r="A196" i="97"/>
  <c r="A34" i="97"/>
  <c r="A35" i="97"/>
  <c r="A142" i="97"/>
  <c r="A164" i="97"/>
  <c r="A24" i="97"/>
  <c r="A40" i="97"/>
  <c r="A32" i="97"/>
  <c r="A93" i="97"/>
  <c r="A247" i="97"/>
  <c r="A100" i="97"/>
  <c r="A26" i="97"/>
  <c r="A125" i="97"/>
  <c r="A249" i="97"/>
  <c r="A10" i="97"/>
  <c r="A242" i="97"/>
  <c r="A60" i="97"/>
  <c r="A143" i="97"/>
  <c r="A144" i="97"/>
  <c r="A161" i="97"/>
  <c r="A41" i="97"/>
  <c r="A152" i="97"/>
  <c r="A82" i="97"/>
  <c r="A86" i="97"/>
  <c r="A15" i="97"/>
  <c r="A116" i="97"/>
  <c r="A112" i="97"/>
  <c r="A115" i="97"/>
  <c r="A48" i="97"/>
  <c r="A120" i="97"/>
  <c r="A228" i="97"/>
  <c r="A7" i="97"/>
  <c r="A227" i="97"/>
  <c r="A136" i="97"/>
  <c r="A2" i="97"/>
  <c r="A101" i="97"/>
  <c r="A80" i="97"/>
  <c r="A190" i="97"/>
  <c r="A156" i="97"/>
  <c r="A127" i="97"/>
  <c r="A268" i="97"/>
  <c r="A138" i="97"/>
  <c r="A123" i="97"/>
  <c r="A99" i="97"/>
  <c r="A134" i="97"/>
  <c r="A177" i="97"/>
  <c r="A151" i="97"/>
  <c r="A253" i="97"/>
  <c r="A146" i="97"/>
  <c r="A259" i="97"/>
  <c r="A261" i="97"/>
  <c r="A216" i="97"/>
  <c r="A106" i="97"/>
  <c r="A84" i="97"/>
  <c r="A262" i="97"/>
  <c r="A54" i="97"/>
  <c r="A174" i="97"/>
  <c r="A76" i="97"/>
  <c r="A265" i="97"/>
  <c r="A244" i="97"/>
  <c r="A220" i="97"/>
  <c r="A168" i="97"/>
  <c r="A33" i="97"/>
  <c r="A13" i="97"/>
  <c r="A117" i="97"/>
  <c r="A170" i="97"/>
  <c r="A69" i="97"/>
  <c r="A157" i="97"/>
  <c r="A43" i="97"/>
  <c r="A70" i="97"/>
  <c r="A61" i="97"/>
  <c r="A102" i="97"/>
  <c r="A65" i="97"/>
  <c r="A135" i="97"/>
  <c r="A154" i="97"/>
  <c r="A264" i="97"/>
  <c r="A189" i="97"/>
  <c r="A201" i="97"/>
  <c r="A87" i="97"/>
  <c r="A88" i="97"/>
  <c r="A222" i="97"/>
  <c r="A148" i="97"/>
  <c r="A250" i="97"/>
  <c r="A207" i="97"/>
  <c r="A204" i="97"/>
  <c r="A110" i="97"/>
  <c r="A202" i="97"/>
  <c r="A183" i="97"/>
  <c r="A17" i="97"/>
  <c r="A186" i="97"/>
  <c r="A162" i="97"/>
  <c r="A263" i="97"/>
  <c r="A185" i="97"/>
  <c r="A252" i="97"/>
  <c r="A111" i="97"/>
  <c r="A62" i="97"/>
  <c r="A257" i="97"/>
  <c r="A77" i="97"/>
  <c r="A4" i="97"/>
  <c r="A167" i="97"/>
  <c r="A165" i="97"/>
  <c r="A20" i="97"/>
  <c r="A72" i="97"/>
  <c r="A182" i="97"/>
  <c r="A245" i="97"/>
  <c r="A229" i="97"/>
  <c r="A209" i="97"/>
  <c r="A181" i="97"/>
  <c r="A255" i="97"/>
  <c r="A192" i="97"/>
  <c r="A81" i="97"/>
  <c r="A109" i="97"/>
  <c r="A52" i="97"/>
  <c r="A96" i="97"/>
  <c r="A150" i="97"/>
  <c r="A107" i="97"/>
  <c r="A171" i="97"/>
  <c r="A238" i="97"/>
  <c r="A248" i="97"/>
  <c r="A68" i="97"/>
  <c r="A129" i="97"/>
  <c r="A114" i="97"/>
  <c r="A49" i="97"/>
  <c r="A121" i="97"/>
  <c r="A118" i="97"/>
  <c r="A231" i="97"/>
  <c r="A215" i="97"/>
  <c r="A130" i="97"/>
  <c r="A78" i="97"/>
  <c r="A191" i="97"/>
  <c r="A239" i="97"/>
  <c r="A149" i="97"/>
  <c r="A28" i="97"/>
  <c r="A205" i="97"/>
  <c r="A131" i="97"/>
  <c r="A221" i="97"/>
  <c r="A211" i="97"/>
  <c r="A166" i="97"/>
  <c r="A29" i="97"/>
  <c r="A92" i="97"/>
  <c r="A217" i="97"/>
  <c r="A254" i="97"/>
  <c r="A236" i="97"/>
  <c r="A22" i="97"/>
  <c r="A240" i="97"/>
  <c r="A79" i="97"/>
  <c r="A18" i="97"/>
  <c r="A260" i="97"/>
  <c r="A176" i="97"/>
  <c r="A74" i="97"/>
  <c r="A140" i="97"/>
  <c r="A226" i="97"/>
  <c r="A210" i="97"/>
  <c r="A132" i="97"/>
  <c r="A39" i="97"/>
  <c r="A178" i="97"/>
  <c r="A213" i="97"/>
  <c r="A235" i="97"/>
  <c r="A90" i="97"/>
  <c r="A55" i="97"/>
  <c r="A83" i="97"/>
  <c r="A126" i="97"/>
  <c r="A158" i="97"/>
  <c r="A187" i="97"/>
  <c r="A243" i="97"/>
  <c r="A95" i="97"/>
  <c r="A133" i="97"/>
  <c r="A25" i="97"/>
  <c r="A31" i="97"/>
  <c r="A63" i="97"/>
  <c r="A105" i="97"/>
  <c r="A14" i="97"/>
  <c r="A175" i="97"/>
  <c r="A6" i="97"/>
  <c r="A44" i="97"/>
  <c r="A241" i="97"/>
  <c r="A218" i="97"/>
  <c r="A56" i="97"/>
  <c r="A208" i="97"/>
  <c r="A119" i="97"/>
  <c r="A46" i="97"/>
  <c r="A206" i="97"/>
  <c r="A3" i="97"/>
  <c r="A147" i="97"/>
  <c r="A21" i="97"/>
  <c r="A214" i="97"/>
  <c r="A47" i="97"/>
  <c r="A160" i="97"/>
  <c r="A230" i="97"/>
  <c r="A73" i="97"/>
  <c r="A85" i="97"/>
  <c r="A24" i="78" l="1"/>
  <c r="A25" i="78"/>
  <c r="A36" i="78"/>
  <c r="A23" i="78"/>
  <c r="A115" i="78"/>
  <c r="G111" i="26" s="1"/>
  <c r="A21" i="78"/>
  <c r="A59" i="78"/>
  <c r="A61" i="78"/>
  <c r="A111" i="78"/>
  <c r="G107" i="26" s="1"/>
  <c r="A33" i="78"/>
  <c r="A22" i="78"/>
  <c r="A113" i="78"/>
  <c r="G109" i="26" s="1"/>
  <c r="A105" i="78"/>
  <c r="G101" i="26" s="1"/>
  <c r="A12" i="78"/>
  <c r="B8" i="111" s="1"/>
  <c r="A88" i="78"/>
  <c r="A32" i="78"/>
  <c r="A52" i="78"/>
  <c r="A58" i="78"/>
  <c r="A92" i="78"/>
  <c r="A80" i="78"/>
  <c r="A7" i="78"/>
  <c r="B3" i="111" s="1"/>
  <c r="A39" i="78"/>
  <c r="A116" i="78"/>
  <c r="G112" i="26" s="1"/>
  <c r="A122" i="78"/>
  <c r="G118" i="26" s="1"/>
  <c r="A47" i="78"/>
  <c r="A67" i="78"/>
  <c r="A64" i="78"/>
  <c r="A75" i="78"/>
  <c r="A118" i="78"/>
  <c r="G114" i="26" s="1"/>
  <c r="A66" i="78"/>
  <c r="A81" i="78"/>
  <c r="A87" i="78"/>
  <c r="A101" i="78"/>
  <c r="G97" i="26" s="1"/>
  <c r="A46" i="78"/>
  <c r="A56" i="78"/>
  <c r="A127" i="78"/>
  <c r="G123" i="26" s="1"/>
  <c r="A57" i="78"/>
  <c r="A99" i="78"/>
  <c r="A69" i="78"/>
  <c r="A20" i="78"/>
  <c r="A10" i="78"/>
  <c r="B6" i="111" s="1"/>
  <c r="A45" i="78"/>
  <c r="A85" i="78"/>
  <c r="A51" i="78"/>
  <c r="A95" i="78"/>
  <c r="A54" i="78"/>
  <c r="A120" i="78"/>
  <c r="G116" i="26" s="1"/>
  <c r="A49" i="78"/>
  <c r="A60" i="78"/>
  <c r="A83" i="78"/>
  <c r="A42" i="78"/>
  <c r="A17" i="78"/>
  <c r="B13" i="111" s="1"/>
  <c r="A41" i="78"/>
  <c r="A44" i="78"/>
  <c r="A76" i="78"/>
  <c r="A102" i="78"/>
  <c r="G98" i="26" s="1"/>
  <c r="A100" i="78"/>
  <c r="A29" i="78"/>
  <c r="G25" i="26" s="1"/>
  <c r="A8" i="78"/>
  <c r="B4" i="111" s="1"/>
  <c r="A65" i="78"/>
  <c r="A117" i="78"/>
  <c r="G113" i="26" s="1"/>
  <c r="A27" i="78"/>
  <c r="A114" i="78"/>
  <c r="G110" i="26" s="1"/>
  <c r="A107" i="78"/>
  <c r="G103" i="26" s="1"/>
  <c r="A125" i="78"/>
  <c r="G121" i="26" s="1"/>
  <c r="A19" i="78"/>
  <c r="A62" i="78"/>
  <c r="A108" i="78"/>
  <c r="G104" i="26" s="1"/>
  <c r="A126" i="78"/>
  <c r="G122" i="26" s="1"/>
  <c r="A40" i="78"/>
  <c r="A89" i="78"/>
  <c r="A31" i="78"/>
  <c r="A43" i="78"/>
  <c r="A53" i="78"/>
  <c r="A112" i="78"/>
  <c r="G108" i="26" s="1"/>
  <c r="A86" i="78"/>
  <c r="A109" i="78"/>
  <c r="G105" i="26" s="1"/>
  <c r="A72" i="78"/>
  <c r="A123" i="78"/>
  <c r="G119" i="26" s="1"/>
  <c r="A30" i="78"/>
  <c r="A13" i="78"/>
  <c r="B9" i="111" s="1"/>
  <c r="A71" i="78"/>
  <c r="A37" i="78"/>
  <c r="A110" i="78"/>
  <c r="G106" i="26" s="1"/>
  <c r="A119" i="78"/>
  <c r="G115" i="26" s="1"/>
  <c r="A28" i="78"/>
  <c r="A26" i="78"/>
  <c r="A34" i="78"/>
  <c r="A73" i="78"/>
  <c r="A14" i="78"/>
  <c r="B10" i="111" s="1"/>
  <c r="A103" i="78"/>
  <c r="G99" i="26" s="1"/>
  <c r="A124" i="78"/>
  <c r="G120" i="26" s="1"/>
  <c r="A96" i="78"/>
  <c r="A11" i="78"/>
  <c r="B7" i="111" s="1"/>
  <c r="A74" i="78"/>
  <c r="A48" i="78"/>
  <c r="A77" i="78"/>
  <c r="A78" i="78"/>
  <c r="A121" i="78"/>
  <c r="G117" i="26" s="1"/>
  <c r="A94" i="78"/>
  <c r="A68" i="78"/>
  <c r="A90" i="78"/>
  <c r="A98" i="78"/>
  <c r="A16" i="78"/>
  <c r="B12" i="111" s="1"/>
  <c r="A6" i="78"/>
  <c r="A18" i="78"/>
  <c r="A70" i="78"/>
  <c r="A84" i="78"/>
  <c r="A50" i="78"/>
  <c r="A63" i="78"/>
  <c r="A9" i="78"/>
  <c r="B5" i="111" s="1"/>
  <c r="A91" i="78"/>
  <c r="A38" i="78"/>
  <c r="A55" i="78"/>
  <c r="A104" i="78"/>
  <c r="G100" i="26" s="1"/>
  <c r="A106" i="78"/>
  <c r="G102" i="26" s="1"/>
  <c r="A97" i="78"/>
  <c r="A15" i="78"/>
  <c r="B11" i="111" s="1"/>
  <c r="A35" i="78"/>
  <c r="A93" i="78"/>
  <c r="A82" i="78"/>
  <c r="A79" i="78"/>
  <c r="G22" i="26" l="1"/>
  <c r="B22" i="111"/>
  <c r="G16" i="26"/>
  <c r="B16" i="111"/>
  <c r="G24" i="26"/>
  <c r="B24" i="111"/>
  <c r="G23" i="26"/>
  <c r="B23" i="111"/>
  <c r="G17" i="26"/>
  <c r="B17" i="111"/>
  <c r="G19" i="26"/>
  <c r="B19" i="111"/>
  <c r="G18" i="26"/>
  <c r="B18" i="111"/>
  <c r="G15" i="26"/>
  <c r="J20" i="78" s="1"/>
  <c r="B15" i="111"/>
  <c r="G21" i="26"/>
  <c r="B21" i="111"/>
  <c r="G14" i="26"/>
  <c r="B14" i="111"/>
  <c r="G20" i="26"/>
  <c r="B20" i="111"/>
  <c r="G46" i="26"/>
  <c r="E50" i="78"/>
  <c r="E6" i="78"/>
  <c r="G87" i="26"/>
  <c r="E91" i="78"/>
  <c r="G80" i="26"/>
  <c r="E84" i="78"/>
  <c r="E16" i="78"/>
  <c r="G90" i="26"/>
  <c r="E94" i="78"/>
  <c r="G44" i="26"/>
  <c r="E48" i="78"/>
  <c r="G30" i="26"/>
  <c r="E34" i="78"/>
  <c r="G26" i="26"/>
  <c r="E30" i="78"/>
  <c r="G82" i="26"/>
  <c r="E86" i="78"/>
  <c r="G27" i="26"/>
  <c r="E31" i="78"/>
  <c r="G61" i="26"/>
  <c r="E65" i="78"/>
  <c r="E17" i="78"/>
  <c r="G45" i="26"/>
  <c r="E49" i="78"/>
  <c r="G47" i="26"/>
  <c r="E51" i="78"/>
  <c r="E20" i="78"/>
  <c r="G83" i="26"/>
  <c r="E87" i="78"/>
  <c r="G71" i="26"/>
  <c r="E75" i="78"/>
  <c r="G76" i="26"/>
  <c r="E80" i="78"/>
  <c r="G28" i="26"/>
  <c r="E32" i="78"/>
  <c r="G57" i="26"/>
  <c r="E61" i="78"/>
  <c r="E23" i="78"/>
  <c r="G93" i="26"/>
  <c r="E97" i="78"/>
  <c r="D94" i="79" s="1"/>
  <c r="G92" i="26"/>
  <c r="E96" i="78"/>
  <c r="M5" i="26"/>
  <c r="E9" i="78"/>
  <c r="G70" i="26"/>
  <c r="E74" i="78"/>
  <c r="E26" i="78"/>
  <c r="G33" i="26"/>
  <c r="E37" i="78"/>
  <c r="G85" i="26"/>
  <c r="E89" i="78"/>
  <c r="G58" i="26"/>
  <c r="E62" i="78"/>
  <c r="M4" i="26"/>
  <c r="E8" i="78"/>
  <c r="G72" i="26"/>
  <c r="E76" i="78"/>
  <c r="G38" i="26"/>
  <c r="E42" i="78"/>
  <c r="G81" i="26"/>
  <c r="E85" i="78"/>
  <c r="G65" i="26"/>
  <c r="E69" i="78"/>
  <c r="G52" i="26"/>
  <c r="E56" i="78"/>
  <c r="G77" i="26"/>
  <c r="E81" i="78"/>
  <c r="G60" i="26"/>
  <c r="E64" i="78"/>
  <c r="G88" i="26"/>
  <c r="E92" i="78"/>
  <c r="D89" i="79" s="1"/>
  <c r="G84" i="26"/>
  <c r="E88" i="78"/>
  <c r="E22" i="78"/>
  <c r="G55" i="26"/>
  <c r="E59" i="78"/>
  <c r="G32" i="26"/>
  <c r="E36" i="78"/>
  <c r="G34" i="26"/>
  <c r="E38" i="78"/>
  <c r="G73" i="26"/>
  <c r="E77" i="78"/>
  <c r="G89" i="26"/>
  <c r="E93" i="78"/>
  <c r="G31" i="26"/>
  <c r="E35" i="78"/>
  <c r="G66" i="26"/>
  <c r="E70" i="78"/>
  <c r="G94" i="26"/>
  <c r="E98" i="78"/>
  <c r="D95" i="79" s="1"/>
  <c r="G75" i="26"/>
  <c r="E79" i="78"/>
  <c r="M11" i="26"/>
  <c r="E15" i="78"/>
  <c r="G51" i="26"/>
  <c r="E55" i="78"/>
  <c r="G59" i="26"/>
  <c r="E63" i="78"/>
  <c r="E18" i="78"/>
  <c r="G86" i="26"/>
  <c r="E90" i="78"/>
  <c r="G74" i="26"/>
  <c r="E78" i="78"/>
  <c r="E11" i="78"/>
  <c r="E14" i="78"/>
  <c r="E28" i="78"/>
  <c r="G67" i="26"/>
  <c r="E71" i="78"/>
  <c r="G68" i="26"/>
  <c r="E72" i="78"/>
  <c r="G49" i="26"/>
  <c r="E53" i="78"/>
  <c r="G36" i="26"/>
  <c r="E40" i="78"/>
  <c r="I15" i="26"/>
  <c r="E19" i="78"/>
  <c r="E27" i="78"/>
  <c r="E29" i="78"/>
  <c r="G40" i="26"/>
  <c r="E44" i="78"/>
  <c r="G79" i="26"/>
  <c r="E83" i="78"/>
  <c r="G50" i="26"/>
  <c r="E54" i="78"/>
  <c r="G41" i="26"/>
  <c r="E45" i="78"/>
  <c r="G95" i="26"/>
  <c r="E99" i="78"/>
  <c r="D96" i="79" s="1"/>
  <c r="G42" i="26"/>
  <c r="E46" i="78"/>
  <c r="G62" i="26"/>
  <c r="E66" i="78"/>
  <c r="G63" i="26"/>
  <c r="E67" i="78"/>
  <c r="G35" i="26"/>
  <c r="E39" i="78"/>
  <c r="G54" i="26"/>
  <c r="E58" i="78"/>
  <c r="M8" i="26"/>
  <c r="E12" i="78"/>
  <c r="G29" i="26"/>
  <c r="E33" i="78"/>
  <c r="E21" i="78"/>
  <c r="E25" i="78"/>
  <c r="G78" i="26"/>
  <c r="E82" i="78"/>
  <c r="G64" i="26"/>
  <c r="E68" i="78"/>
  <c r="G69" i="26"/>
  <c r="E73" i="78"/>
  <c r="M9" i="26"/>
  <c r="M13" i="78" s="1"/>
  <c r="E13" i="78"/>
  <c r="G39" i="26"/>
  <c r="E43" i="78"/>
  <c r="G96" i="26"/>
  <c r="E100" i="78"/>
  <c r="D97" i="79" s="1"/>
  <c r="G37" i="26"/>
  <c r="E41" i="78"/>
  <c r="G56" i="26"/>
  <c r="E60" i="78"/>
  <c r="G91" i="26"/>
  <c r="E95" i="78"/>
  <c r="M6" i="26"/>
  <c r="E10" i="78"/>
  <c r="G53" i="26"/>
  <c r="E57" i="78"/>
  <c r="G43" i="26"/>
  <c r="E47" i="78"/>
  <c r="M3" i="26"/>
  <c r="E7" i="78"/>
  <c r="G48" i="26"/>
  <c r="E52" i="78"/>
  <c r="E24" i="78"/>
  <c r="I14" i="26"/>
  <c r="H14" i="26"/>
  <c r="M123" i="26"/>
  <c r="I123" i="26"/>
  <c r="H123" i="26"/>
  <c r="M14" i="26"/>
  <c r="L14" i="26"/>
  <c r="O11" i="26"/>
  <c r="K123" i="26"/>
  <c r="J123" i="26"/>
  <c r="J99" i="26"/>
  <c r="J100" i="26"/>
  <c r="O14" i="26"/>
  <c r="O15" i="26"/>
  <c r="K97" i="26"/>
  <c r="J18" i="78"/>
  <c r="J16" i="78"/>
  <c r="M9" i="78"/>
  <c r="K9" i="78"/>
  <c r="K15" i="78"/>
  <c r="I16" i="26" s="1"/>
  <c r="K11" i="78"/>
  <c r="L28" i="78"/>
  <c r="K12" i="78"/>
  <c r="K21" i="78"/>
  <c r="J7" i="78"/>
  <c r="K7" i="78"/>
  <c r="M7" i="78"/>
  <c r="K17" i="78"/>
  <c r="J17" i="78"/>
  <c r="K127" i="78"/>
  <c r="L127" i="78"/>
  <c r="M127" i="78"/>
  <c r="F127" i="78"/>
  <c r="E124" i="79" s="1"/>
  <c r="G127" i="78"/>
  <c r="F124" i="79" s="1"/>
  <c r="J127" i="78"/>
  <c r="J23" i="78"/>
  <c r="L37" i="78"/>
  <c r="J8" i="78"/>
  <c r="K8" i="78"/>
  <c r="M8" i="78"/>
  <c r="J22" i="78"/>
  <c r="K14" i="78"/>
  <c r="J19" i="78"/>
  <c r="K19" i="78"/>
  <c r="L29" i="78"/>
  <c r="L25" i="78"/>
  <c r="J6" i="78"/>
  <c r="K6" i="78"/>
  <c r="K13" i="78"/>
  <c r="J13" i="78"/>
  <c r="J10" i="78"/>
  <c r="K10" i="78"/>
  <c r="M10" i="78"/>
  <c r="J24" i="78"/>
  <c r="L24"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L36" i="78" l="1"/>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O4" i="26"/>
  <c r="J120" i="26"/>
  <c r="O13"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O5" i="26"/>
  <c r="L5" i="26" s="1"/>
  <c r="L9" i="78" s="1"/>
  <c r="H107" i="26"/>
  <c r="F111" i="78" s="1"/>
  <c r="E108" i="79" s="1"/>
  <c r="M101" i="26"/>
  <c r="I114" i="26"/>
  <c r="G118" i="78" s="1"/>
  <c r="F115" i="79" s="1"/>
  <c r="M95" i="26"/>
  <c r="M99" i="78" s="1"/>
  <c r="M98" i="26"/>
  <c r="I103" i="26"/>
  <c r="G107" i="78" s="1"/>
  <c r="F104" i="79" s="1"/>
  <c r="H122" i="26"/>
  <c r="F126" i="78" s="1"/>
  <c r="E123" i="79" s="1"/>
  <c r="M105" i="26"/>
  <c r="I115" i="26"/>
  <c r="G119" i="78" s="1"/>
  <c r="F116" i="79" s="1"/>
  <c r="I7" i="26"/>
  <c r="G11" i="78" s="1"/>
  <c r="M100" i="26"/>
  <c r="M104" i="78" s="1"/>
  <c r="H96" i="26"/>
  <c r="M13"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6"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L13"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O12" i="26"/>
  <c r="L12" i="26" s="1"/>
  <c r="L10" i="26"/>
  <c r="H12" i="26"/>
  <c r="I12" i="26"/>
  <c r="J97" i="26"/>
  <c r="J101" i="78" s="1"/>
  <c r="K99" i="26"/>
  <c r="K103" i="78" s="1"/>
  <c r="K109" i="26"/>
  <c r="K113" i="78" s="1"/>
  <c r="J106" i="26"/>
  <c r="J113" i="26"/>
  <c r="J117" i="78" s="1"/>
  <c r="K93" i="26"/>
  <c r="J116" i="26"/>
  <c r="J120" i="78" s="1"/>
  <c r="O16" i="26"/>
  <c r="M16" i="26"/>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O8" i="26"/>
  <c r="L8" i="26" s="1"/>
  <c r="L12" i="78" s="1"/>
  <c r="J110" i="26"/>
  <c r="J114" i="78" s="1"/>
  <c r="J98" i="26"/>
  <c r="J102" i="78" s="1"/>
  <c r="L16" i="26"/>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I4" i="26"/>
  <c r="G8" i="78" s="1"/>
  <c r="F5" i="79" s="1"/>
  <c r="J117" i="26"/>
  <c r="J121" i="78" s="1"/>
  <c r="J111" i="26"/>
  <c r="J115" i="78" s="1"/>
  <c r="K122" i="26"/>
  <c r="K126" i="78" s="1"/>
  <c r="K95" i="26"/>
  <c r="K99" i="78" s="1"/>
  <c r="K110" i="26"/>
  <c r="K114" i="78" s="1"/>
  <c r="K98" i="26"/>
  <c r="K102" i="78" s="1"/>
  <c r="H111" i="26"/>
  <c r="F115" i="78" s="1"/>
  <c r="E112" i="79" s="1"/>
  <c r="M109" i="26"/>
  <c r="M113" i="78" s="1"/>
  <c r="I118" i="26"/>
  <c r="G122" i="78" s="1"/>
  <c r="F119" i="79" s="1"/>
  <c r="H13" i="26"/>
  <c r="F17" i="78" s="1"/>
  <c r="E14"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H4" i="26"/>
  <c r="F8" i="78" s="1"/>
  <c r="E5" i="117"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5"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O3" i="26"/>
  <c r="L3" i="26" s="1"/>
  <c r="L7" i="78" s="1"/>
  <c r="O7" i="26"/>
  <c r="L129" i="78"/>
  <c r="H8" i="26"/>
  <c r="F12" i="78" s="1"/>
  <c r="E9" i="79" s="1"/>
  <c r="J12" i="78"/>
  <c r="J11" i="78"/>
  <c r="L49" i="78"/>
  <c r="L31" i="78"/>
  <c r="J15" i="78"/>
  <c r="L26" i="78"/>
  <c r="L30" i="78"/>
  <c r="H3" i="26"/>
  <c r="F7" i="78" s="1"/>
  <c r="E4" i="79" s="1"/>
  <c r="K16" i="78"/>
  <c r="I5" i="26"/>
  <c r="G9" i="78" s="1"/>
  <c r="F6" i="117" s="1"/>
  <c r="J94" i="26"/>
  <c r="J98" i="78" s="1"/>
  <c r="G26" i="111"/>
  <c r="H5" i="26"/>
  <c r="F9" i="78" s="1"/>
  <c r="E6" i="79" s="1"/>
  <c r="I10" i="26"/>
  <c r="G14" i="78" s="1"/>
  <c r="L15" i="26"/>
  <c r="L18" i="78" s="1"/>
  <c r="H7" i="26"/>
  <c r="F11" i="78" s="1"/>
  <c r="E8" i="117" s="1"/>
  <c r="I3" i="26"/>
  <c r="G7" i="78" s="1"/>
  <c r="F4" i="79" s="1"/>
  <c r="I13" i="26"/>
  <c r="L54" i="78"/>
  <c r="M15" i="78"/>
  <c r="L35" i="78"/>
  <c r="K94" i="26"/>
  <c r="K98" i="78" s="1"/>
  <c r="L55" i="78"/>
  <c r="I8" i="26"/>
  <c r="G12" i="78" s="1"/>
  <c r="F9" i="79" s="1"/>
  <c r="H95" i="26"/>
  <c r="F99" i="78" s="1"/>
  <c r="E96" i="79" s="1"/>
  <c r="K18" i="78"/>
  <c r="H15" i="26"/>
  <c r="F19" i="78" s="1"/>
  <c r="E16" i="79" s="1"/>
  <c r="I9" i="26"/>
  <c r="G13" i="78" s="1"/>
  <c r="F9" i="117" s="1"/>
  <c r="H94" i="26"/>
  <c r="F98" i="78" s="1"/>
  <c r="E95" i="79" s="1"/>
  <c r="L16" i="78"/>
  <c r="M94" i="26"/>
  <c r="M98" i="78" s="1"/>
  <c r="H6" i="26"/>
  <c r="F10" i="78" s="1"/>
  <c r="E7" i="117" s="1"/>
  <c r="O9" i="26"/>
  <c r="L9" i="26" s="1"/>
  <c r="L13" i="78" s="1"/>
  <c r="M17" i="78"/>
  <c r="M16" i="78"/>
  <c r="I6" i="26"/>
  <c r="G10" i="78" s="1"/>
  <c r="F7" i="117" s="1"/>
  <c r="L60" i="78"/>
  <c r="L43" i="78"/>
  <c r="L38" i="78"/>
  <c r="L58" i="78"/>
  <c r="L53" i="78"/>
  <c r="J14" i="78"/>
  <c r="L42" i="78"/>
  <c r="L62" i="78"/>
  <c r="K23" i="78"/>
  <c r="L51" i="78"/>
  <c r="L41" i="78"/>
  <c r="M12" i="78"/>
  <c r="L66" i="78"/>
  <c r="L27" i="78"/>
  <c r="M11" i="78"/>
  <c r="L63" i="78"/>
  <c r="L32" i="78"/>
  <c r="K20" i="78"/>
  <c r="L34" i="78"/>
  <c r="K96" i="26"/>
  <c r="K100" i="78" s="1"/>
  <c r="G25" i="111"/>
  <c r="O10" i="26"/>
  <c r="L14" i="78" s="1"/>
  <c r="M15" i="26"/>
  <c r="M19" i="78" s="1"/>
  <c r="O6" i="26"/>
  <c r="L6" i="26" s="1"/>
  <c r="L10" i="78" s="1"/>
  <c r="G18" i="78"/>
  <c r="F14" i="117" s="1"/>
  <c r="I96" i="26"/>
  <c r="G100" i="78" s="1"/>
  <c r="F97" i="79" s="1"/>
  <c r="G19" i="78"/>
  <c r="F16" i="79" s="1"/>
  <c r="H9" i="26"/>
  <c r="F13" i="78" s="1"/>
  <c r="E9" i="117" s="1"/>
  <c r="H10" i="26"/>
  <c r="F14" i="78" s="1"/>
  <c r="E11" i="79" s="1"/>
  <c r="F16" i="78"/>
  <c r="E13" i="79" s="1"/>
  <c r="H11" i="26"/>
  <c r="F15" i="78" s="1"/>
  <c r="E12" i="79" s="1"/>
  <c r="G98" i="78"/>
  <c r="F95" i="79" s="1"/>
  <c r="I11" i="26"/>
  <c r="G15" i="78" s="1"/>
  <c r="F11" i="117" s="1"/>
  <c r="L17" i="78"/>
  <c r="L4" i="26"/>
  <c r="L8" i="78" s="1"/>
  <c r="L11" i="26"/>
  <c r="L15" i="78" s="1"/>
  <c r="L7" i="26"/>
  <c r="L11" i="78" s="1"/>
  <c r="D21" i="117"/>
  <c r="G21" i="117" s="1"/>
  <c r="D21" i="79"/>
  <c r="D20" i="111"/>
  <c r="B21" i="117"/>
  <c r="O24" i="78"/>
  <c r="B21" i="79"/>
  <c r="G21" i="79" s="1"/>
  <c r="E20" i="111"/>
  <c r="C21" i="79"/>
  <c r="C21" i="117"/>
  <c r="D22" i="79"/>
  <c r="D22" i="117"/>
  <c r="G22" i="117" s="1"/>
  <c r="O25" i="78"/>
  <c r="B22" i="117"/>
  <c r="B22" i="79"/>
  <c r="G22" i="79" s="1"/>
  <c r="E21" i="111"/>
  <c r="C22" i="117"/>
  <c r="C22" i="79"/>
  <c r="B33" i="79"/>
  <c r="G33" i="79" s="1"/>
  <c r="O36" i="78"/>
  <c r="B33" i="117"/>
  <c r="C33" i="117"/>
  <c r="C33" i="79"/>
  <c r="D33" i="117"/>
  <c r="G33" i="117" s="1"/>
  <c r="D33" i="79"/>
  <c r="C20" i="117"/>
  <c r="E19" i="111"/>
  <c r="C20" i="79"/>
  <c r="B20" i="117"/>
  <c r="B20" i="79"/>
  <c r="G20" i="79" s="1"/>
  <c r="O23" i="78"/>
  <c r="D20" i="79"/>
  <c r="D20" i="117"/>
  <c r="G20" i="117" s="1"/>
  <c r="D19" i="111"/>
  <c r="O115" i="78"/>
  <c r="B18" i="117"/>
  <c r="O21" i="78"/>
  <c r="B18" i="79"/>
  <c r="G18" i="79" s="1"/>
  <c r="C18" i="117"/>
  <c r="E17" i="111"/>
  <c r="C18" i="79"/>
  <c r="D18" i="117"/>
  <c r="G18" i="117" s="1"/>
  <c r="D18" i="79"/>
  <c r="D17"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8" i="111"/>
  <c r="C19" i="117"/>
  <c r="C19" i="79"/>
  <c r="B19" i="117"/>
  <c r="B19" i="79"/>
  <c r="G19" i="79" s="1"/>
  <c r="O22" i="78"/>
  <c r="D18" i="111"/>
  <c r="O113" i="78"/>
  <c r="O105" i="78"/>
  <c r="B102" i="79"/>
  <c r="G102" i="79" s="1"/>
  <c r="B9" i="117"/>
  <c r="B9" i="79"/>
  <c r="G9" i="79" s="1"/>
  <c r="O12" i="78"/>
  <c r="E8" i="111"/>
  <c r="C9" i="117"/>
  <c r="C9" i="79"/>
  <c r="D9" i="79"/>
  <c r="D9" i="117"/>
  <c r="G9" i="117" s="1"/>
  <c r="D8"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6" i="111"/>
  <c r="C17" i="79"/>
  <c r="C17" i="117"/>
  <c r="E16" i="111"/>
  <c r="C7" i="117"/>
  <c r="E6" i="111"/>
  <c r="C7" i="79"/>
  <c r="B7" i="79"/>
  <c r="G7" i="79" s="1"/>
  <c r="O10" i="78"/>
  <c r="B7" i="117"/>
  <c r="D7" i="117"/>
  <c r="G7" i="117" s="1"/>
  <c r="D7" i="79"/>
  <c r="D6"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3" i="111"/>
  <c r="C14" i="117"/>
  <c r="C14" i="79"/>
  <c r="D14" i="117"/>
  <c r="G14" i="117" s="1"/>
  <c r="D14" i="79"/>
  <c r="D13"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E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5" i="111"/>
  <c r="C16" i="79"/>
  <c r="D16" i="117"/>
  <c r="G16" i="117" s="1"/>
  <c r="D16" i="79"/>
  <c r="D15"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9" i="111"/>
  <c r="C10" i="79"/>
  <c r="B10" i="79"/>
  <c r="G10" i="79" s="1"/>
  <c r="B10" i="117"/>
  <c r="O13" i="78"/>
  <c r="D10" i="79"/>
  <c r="D10" i="117"/>
  <c r="G10" i="117" s="1"/>
  <c r="D9"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0" i="111"/>
  <c r="C11" i="79"/>
  <c r="D11" i="117"/>
  <c r="G11" i="117" s="1"/>
  <c r="D11" i="79"/>
  <c r="D10" i="111"/>
  <c r="B100" i="79"/>
  <c r="G100" i="79" s="1"/>
  <c r="O103" i="78"/>
  <c r="B93" i="79"/>
  <c r="G93" i="79" s="1"/>
  <c r="O96" i="78"/>
  <c r="C93" i="79"/>
  <c r="C93" i="117"/>
  <c r="D93" i="79"/>
  <c r="D93" i="117"/>
  <c r="G93" i="117" s="1"/>
  <c r="C8" i="117"/>
  <c r="E7" i="111"/>
  <c r="C8" i="79"/>
  <c r="B8" i="79"/>
  <c r="G8" i="79" s="1"/>
  <c r="O11" i="78"/>
  <c r="B8" i="117"/>
  <c r="D8" i="117"/>
  <c r="G8" i="117" s="1"/>
  <c r="D8" i="79"/>
  <c r="D7" i="111"/>
  <c r="F8" i="117"/>
  <c r="F8" i="79"/>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2" i="111"/>
  <c r="C13" i="117"/>
  <c r="C13" i="79"/>
  <c r="O16" i="78"/>
  <c r="B13" i="117"/>
  <c r="B13" i="79"/>
  <c r="G13" i="79" s="1"/>
  <c r="D13" i="117"/>
  <c r="G13" i="117" s="1"/>
  <c r="D13" i="79"/>
  <c r="D12" i="111"/>
  <c r="C3" i="117"/>
  <c r="E2" i="111"/>
  <c r="C3" i="79"/>
  <c r="D3" i="117"/>
  <c r="G3" i="117" s="1"/>
  <c r="D3" i="79"/>
  <c r="F3" i="117"/>
  <c r="F3" i="79"/>
  <c r="B3" i="117"/>
  <c r="O6" i="78"/>
  <c r="B3" i="79"/>
  <c r="E3" i="117"/>
  <c r="E3" i="79"/>
  <c r="D2" i="111"/>
  <c r="B15" i="117"/>
  <c r="B15" i="79"/>
  <c r="G15" i="79" s="1"/>
  <c r="O18" i="78"/>
  <c r="E14" i="111"/>
  <c r="C15" i="79"/>
  <c r="C15" i="117"/>
  <c r="D15" i="79"/>
  <c r="D15" i="117"/>
  <c r="G15" i="117" s="1"/>
  <c r="D14"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1" i="111"/>
  <c r="C12" i="117"/>
  <c r="C12" i="79"/>
  <c r="D11"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A119" i="79" l="1"/>
  <c r="A120" i="79"/>
  <c r="A121" i="79"/>
  <c r="A113" i="79"/>
  <c r="A115" i="79"/>
  <c r="A117" i="79"/>
  <c r="A118" i="79"/>
  <c r="A123" i="79"/>
  <c r="A124" i="79"/>
  <c r="A122" i="79"/>
  <c r="A114" i="79"/>
  <c r="A116" i="79"/>
  <c r="E94" i="117"/>
  <c r="E94" i="79"/>
  <c r="L19" i="78"/>
  <c r="F6" i="79"/>
  <c r="M18" i="78"/>
  <c r="G17" i="78"/>
  <c r="F13" i="117" s="1"/>
  <c r="G16" i="78"/>
  <c r="F18" i="78"/>
  <c r="F4" i="117"/>
  <c r="E4" i="117"/>
  <c r="F15" i="79"/>
  <c r="E6" i="117"/>
  <c r="F5" i="117"/>
  <c r="F11" i="79"/>
  <c r="F10" i="117"/>
  <c r="E12" i="117"/>
  <c r="E10" i="79"/>
  <c r="E10" i="117"/>
  <c r="F7" i="79"/>
  <c r="F12" i="79"/>
  <c r="E15" i="117"/>
  <c r="E7" i="79"/>
  <c r="F10" i="79"/>
  <c r="E13" i="117"/>
  <c r="E11" i="117"/>
  <c r="F15" i="117"/>
  <c r="E8"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F12" i="117" l="1"/>
  <c r="F13" i="79"/>
  <c r="F14" i="79"/>
  <c r="E14" i="117"/>
  <c r="E15" i="79"/>
  <c r="C11" i="107"/>
  <c r="C14" i="107"/>
  <c r="C15" i="107"/>
  <c r="C16" i="107"/>
  <c r="C12" i="107"/>
  <c r="C13" i="107"/>
  <c r="C5" i="107"/>
  <c r="C10" i="107"/>
  <c r="C9" i="107"/>
  <c r="C6" i="107"/>
  <c r="C7" i="107"/>
  <c r="C17" i="107"/>
  <c r="C8" i="107"/>
  <c r="C4" i="107"/>
  <c r="R1794" i="1"/>
  <c r="Q1794" i="1"/>
  <c r="C1794" i="1"/>
  <c r="C201" i="97" s="1"/>
  <c r="A1843" i="1" l="1"/>
  <c r="A1845" i="1"/>
  <c r="A1846" i="1"/>
  <c r="A1844" i="1"/>
  <c r="Q1796" i="1"/>
  <c r="Q1795" i="1"/>
  <c r="R1796" i="1"/>
  <c r="R1795" i="1"/>
  <c r="O1794" i="1"/>
  <c r="A1831" i="1"/>
  <c r="A1814" i="1"/>
  <c r="A1820" i="1"/>
  <c r="A1809" i="1"/>
  <c r="A1815" i="1"/>
  <c r="A1839" i="1"/>
  <c r="A1797" i="1"/>
  <c r="A1806" i="1"/>
  <c r="A1819" i="1"/>
  <c r="A1821" i="1"/>
  <c r="A1802" i="1"/>
  <c r="A1808" i="1"/>
  <c r="A1818" i="1"/>
  <c r="A1803" i="1"/>
  <c r="A1838" i="1"/>
  <c r="A1823" i="1"/>
  <c r="A1796" i="1"/>
  <c r="A1829" i="1"/>
  <c r="A1822" i="1"/>
  <c r="A1805" i="1"/>
  <c r="A1841" i="1"/>
  <c r="A1842" i="1"/>
  <c r="A1811" i="1"/>
  <c r="A1817" i="1"/>
  <c r="A1824" i="1"/>
  <c r="A1840" i="1"/>
  <c r="A1833" i="1"/>
  <c r="A1800" i="1"/>
  <c r="A1836" i="1"/>
  <c r="A1801" i="1"/>
  <c r="A1835" i="1"/>
  <c r="A1830" i="1"/>
  <c r="A1810" i="1"/>
  <c r="A1832" i="1"/>
  <c r="A1827" i="1"/>
  <c r="A1812" i="1"/>
  <c r="A1794" i="1"/>
  <c r="A1798" i="1"/>
  <c r="A1816" i="1"/>
  <c r="A1799" i="1"/>
  <c r="A1826" i="1"/>
  <c r="A1807" i="1"/>
  <c r="A1834" i="1"/>
  <c r="A1795" i="1"/>
  <c r="A1837" i="1"/>
  <c r="A1804" i="1"/>
  <c r="A1828" i="1"/>
  <c r="A1813" i="1"/>
  <c r="A1825" i="1"/>
  <c r="D2332" i="1"/>
  <c r="E268" i="42" s="1"/>
  <c r="G268" i="42" s="1"/>
  <c r="D2365" i="1"/>
  <c r="D2364" i="1"/>
  <c r="E298" i="42" s="1"/>
  <c r="D2330" i="1"/>
  <c r="N1794" i="1" l="1"/>
  <c r="O1795" i="1"/>
  <c r="O1796" i="1"/>
  <c r="P2344" i="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E278" i="42"/>
  <c r="D2331" i="1"/>
  <c r="E266" i="42"/>
  <c r="E299" i="42"/>
  <c r="G298" i="42"/>
  <c r="B298" i="42"/>
  <c r="M1794" i="1" l="1"/>
  <c r="N1795" i="1"/>
  <c r="N1796" i="1"/>
  <c r="B266" i="42"/>
  <c r="G266" i="42"/>
  <c r="E267" i="42"/>
  <c r="D2319" i="1"/>
  <c r="D230" i="97" s="1"/>
  <c r="G278" i="42"/>
  <c r="B278" i="42"/>
  <c r="G299" i="42"/>
  <c r="B299" i="42"/>
  <c r="L1794" i="1" l="1"/>
  <c r="M1795" i="1"/>
  <c r="M1796" i="1"/>
  <c r="C2319" i="1"/>
  <c r="C230" i="97" s="1"/>
  <c r="G267" i="42"/>
  <c r="B267" i="42"/>
  <c r="B268" i="42" s="1"/>
  <c r="B280" i="42"/>
  <c r="J1794" i="1" l="1"/>
  <c r="L1795" i="1"/>
  <c r="L1796" i="1"/>
  <c r="B281" i="42"/>
  <c r="P13" i="78"/>
  <c r="P8" i="78"/>
  <c r="P7" i="78"/>
  <c r="P6" i="78"/>
  <c r="P17" i="78"/>
  <c r="P19" i="78"/>
  <c r="P11" i="78"/>
  <c r="P16" i="78"/>
  <c r="P14" i="78"/>
  <c r="P12" i="78"/>
  <c r="P15" i="78"/>
  <c r="P10" i="78"/>
  <c r="P9" i="78"/>
  <c r="P18" i="78"/>
  <c r="I1794" i="1" l="1"/>
  <c r="J1796" i="1"/>
  <c r="J1795" i="1"/>
  <c r="B282" i="42"/>
  <c r="I1796" i="1" l="1"/>
  <c r="I1795"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7" i="1"/>
  <c r="A1956" i="1" l="1"/>
  <c r="C119" i="97"/>
  <c r="A1888" i="1"/>
  <c r="A1884" i="1"/>
  <c r="A1883" i="1"/>
  <c r="A1878" i="1"/>
  <c r="A1881" i="1"/>
  <c r="A1879" i="1"/>
  <c r="A1882" i="1"/>
  <c r="A1877" i="1"/>
  <c r="A1887" i="1"/>
  <c r="A1880" i="1"/>
  <c r="A1876" i="1"/>
  <c r="A1885" i="1"/>
  <c r="A1886" i="1"/>
  <c r="A1874" i="1"/>
  <c r="A1873" i="1"/>
  <c r="A1865" i="1"/>
  <c r="A1862" i="1"/>
  <c r="A1875" i="1"/>
  <c r="A1872" i="1"/>
  <c r="A1861" i="1"/>
  <c r="A1871" i="1"/>
  <c r="A1889" i="1"/>
  <c r="A1863" i="1"/>
  <c r="A1866" i="1"/>
  <c r="A1864" i="1"/>
  <c r="A1867" i="1"/>
  <c r="A1869" i="1"/>
  <c r="A1870" i="1"/>
  <c r="A1868" i="1"/>
  <c r="A1847" i="1"/>
  <c r="A2332" i="1"/>
  <c r="A2335" i="1"/>
  <c r="A2405" i="1"/>
  <c r="A2321" i="1"/>
  <c r="A2379" i="1"/>
  <c r="A2384" i="1"/>
  <c r="A2402" i="1"/>
  <c r="A2380" i="1"/>
  <c r="A2400" i="1"/>
  <c r="A2407" i="1"/>
  <c r="A2337" i="1"/>
  <c r="A2417" i="1"/>
  <c r="A2175" i="1"/>
  <c r="A2279" i="1"/>
  <c r="A2114" i="1"/>
  <c r="A2298" i="1"/>
  <c r="A2132" i="1"/>
  <c r="A2073" i="1"/>
  <c r="A1967" i="1"/>
  <c r="A1903" i="1"/>
  <c r="A2220" i="1"/>
  <c r="A2183" i="1"/>
  <c r="A2033" i="1"/>
  <c r="A2248" i="1"/>
  <c r="A2214" i="1"/>
  <c r="A1908" i="1"/>
  <c r="A1922" i="1"/>
  <c r="A2080" i="1"/>
  <c r="A2128" i="1"/>
  <c r="A2269" i="1"/>
  <c r="A2019" i="1"/>
  <c r="A2255" i="1"/>
  <c r="A1848" i="1"/>
  <c r="A1959" i="1"/>
  <c r="A2192" i="1"/>
  <c r="A1988" i="1"/>
  <c r="A2190" i="1"/>
  <c r="A2048" i="1"/>
  <c r="A2300" i="1"/>
  <c r="A1897" i="1"/>
  <c r="A1934" i="1"/>
  <c r="A2144" i="1"/>
  <c r="A2037" i="1"/>
  <c r="A2302" i="1"/>
  <c r="A2224" i="1"/>
  <c r="A2150" i="1"/>
  <c r="A1952" i="1"/>
  <c r="A2164" i="1"/>
  <c r="A2157" i="1"/>
  <c r="A1985" i="1"/>
  <c r="A2000" i="1"/>
  <c r="A2010" i="1"/>
  <c r="A2212" i="1"/>
  <c r="A1910" i="1"/>
  <c r="A2138" i="1"/>
  <c r="A2264" i="1"/>
  <c r="A1955" i="1"/>
  <c r="A2271" i="1"/>
  <c r="A2217" i="1"/>
  <c r="A2341" i="1"/>
  <c r="A275" i="42" s="1"/>
  <c r="A2391" i="1"/>
  <c r="A2374" i="1"/>
  <c r="A2420" i="1"/>
  <c r="A2336" i="1"/>
  <c r="A2323" i="1"/>
  <c r="A2411" i="1"/>
  <c r="A2322" i="1"/>
  <c r="A2373" i="1"/>
  <c r="A2377" i="1"/>
  <c r="A2395" i="1"/>
  <c r="A2338" i="1"/>
  <c r="A2397" i="1"/>
  <c r="A1932" i="1"/>
  <c r="A1914" i="1"/>
  <c r="A2016" i="1"/>
  <c r="A2017" i="1"/>
  <c r="A2185" i="1"/>
  <c r="A2152" i="1"/>
  <c r="A2278" i="1"/>
  <c r="A1893" i="1"/>
  <c r="A1850" i="1"/>
  <c r="A2045" i="1"/>
  <c r="A2297" i="1"/>
  <c r="A2104" i="1"/>
  <c r="A2074" i="1"/>
  <c r="A1917" i="1"/>
  <c r="A1907" i="1"/>
  <c r="A1931" i="1"/>
  <c r="A2044" i="1"/>
  <c r="A2023" i="1"/>
  <c r="A2291" i="1"/>
  <c r="A2076" i="1"/>
  <c r="A2028" i="1"/>
  <c r="A1896" i="1"/>
  <c r="A1954" i="1"/>
  <c r="A2118" i="1"/>
  <c r="A2025" i="1"/>
  <c r="A2047" i="1"/>
  <c r="A2260" i="1"/>
  <c r="A2035" i="1"/>
  <c r="A2205" i="1"/>
  <c r="A1939" i="1"/>
  <c r="A1930" i="1"/>
  <c r="A2158" i="1"/>
  <c r="A2293" i="1"/>
  <c r="A1993" i="1"/>
  <c r="A2257" i="1"/>
  <c r="A2227" i="1"/>
  <c r="A1947" i="1"/>
  <c r="A2129" i="1"/>
  <c r="A2197" i="1"/>
  <c r="A1992" i="1"/>
  <c r="A2108" i="1"/>
  <c r="A2043" i="1"/>
  <c r="A2179" i="1"/>
  <c r="A1921" i="1"/>
  <c r="A2247" i="1"/>
  <c r="A2084" i="1"/>
  <c r="A2136" i="1"/>
  <c r="A2201" i="1"/>
  <c r="A2054" i="1"/>
  <c r="A2209" i="1"/>
  <c r="A2031" i="1"/>
  <c r="A2122" i="1"/>
  <c r="A2030" i="1"/>
  <c r="A2309" i="1"/>
  <c r="A2171" i="1"/>
  <c r="A2285" i="1"/>
  <c r="A1857" i="1"/>
  <c r="A2039" i="1"/>
  <c r="A2124" i="1"/>
  <c r="A2328" i="1"/>
  <c r="A2419" i="1"/>
  <c r="A2357" i="1"/>
  <c r="A2393" i="1"/>
  <c r="A2401" i="1"/>
  <c r="A2396" i="1"/>
  <c r="A2339" i="1"/>
  <c r="A2327" i="1"/>
  <c r="A2372" i="1"/>
  <c r="A2344" i="1"/>
  <c r="A2356" i="1"/>
  <c r="A2376" i="1"/>
  <c r="A2387" i="1"/>
  <c r="A2369" i="1"/>
  <c r="A1951" i="1"/>
  <c r="A2280" i="1"/>
  <c r="A2286" i="1"/>
  <c r="A2061" i="1"/>
  <c r="A2064" i="1"/>
  <c r="A1982" i="1"/>
  <c r="A2211" i="1"/>
  <c r="A1916" i="1"/>
  <c r="A2092" i="1"/>
  <c r="A2121" i="1"/>
  <c r="A2244" i="1"/>
  <c r="A2219" i="1"/>
  <c r="A2077" i="1"/>
  <c r="A2113" i="1"/>
  <c r="A2119" i="1"/>
  <c r="A2112" i="1"/>
  <c r="A2254" i="1"/>
  <c r="A2053" i="1"/>
  <c r="A2149" i="1"/>
  <c r="A2106" i="1"/>
  <c r="A1856" i="1"/>
  <c r="A1976" i="1"/>
  <c r="A2281" i="1"/>
  <c r="A1962" i="1"/>
  <c r="A2009" i="1"/>
  <c r="A2289" i="1"/>
  <c r="A2056" i="1"/>
  <c r="A2143" i="1"/>
  <c r="A1965" i="1"/>
  <c r="A1915" i="1"/>
  <c r="A2188" i="1"/>
  <c r="A2115" i="1"/>
  <c r="A2087" i="1"/>
  <c r="A2173" i="1"/>
  <c r="A2005" i="1"/>
  <c r="A1860" i="1"/>
  <c r="A1855" i="1"/>
  <c r="A2315" i="1"/>
  <c r="A1902" i="1"/>
  <c r="A2011" i="1"/>
  <c r="A2199" i="1"/>
  <c r="A2002" i="1"/>
  <c r="A1894" i="1"/>
  <c r="A1858" i="1"/>
  <c r="A2275" i="1"/>
  <c r="A2100" i="1"/>
  <c r="A2305" i="1"/>
  <c r="A2040" i="1"/>
  <c r="A2127" i="1"/>
  <c r="A2070" i="1"/>
  <c r="A2055" i="1"/>
  <c r="A1945" i="1"/>
  <c r="A2270" i="1"/>
  <c r="A2042" i="1"/>
  <c r="A1996" i="1"/>
  <c r="A2223" i="1"/>
  <c r="A2067" i="1"/>
  <c r="A1851" i="1"/>
  <c r="A2348" i="1"/>
  <c r="A2421" i="1"/>
  <c r="A2375" i="1"/>
  <c r="A2414" i="1"/>
  <c r="A2346" i="1"/>
  <c r="A2398" i="1"/>
  <c r="A2354" i="1"/>
  <c r="A2370" i="1"/>
  <c r="A2416" i="1"/>
  <c r="A2399" i="1"/>
  <c r="A2324" i="1"/>
  <c r="A2423" i="1"/>
  <c r="A2325" i="1"/>
  <c r="A2412" i="1"/>
  <c r="A1944" i="1"/>
  <c r="A2063" i="1"/>
  <c r="A1987" i="1"/>
  <c r="A1979" i="1"/>
  <c r="A2110" i="1"/>
  <c r="A2249" i="1"/>
  <c r="A2169" i="1"/>
  <c r="A1986" i="1"/>
  <c r="A2155" i="1"/>
  <c r="A2020" i="1"/>
  <c r="A2252" i="1"/>
  <c r="A2238" i="1"/>
  <c r="A2091" i="1"/>
  <c r="A1913" i="1"/>
  <c r="A2215" i="1"/>
  <c r="A2050" i="1"/>
  <c r="A2242" i="1"/>
  <c r="A2022" i="1"/>
  <c r="A2088" i="1"/>
  <c r="A1994" i="1"/>
  <c r="A1966" i="1"/>
  <c r="A1938" i="1"/>
  <c r="A2159" i="1"/>
  <c r="A2225" i="1"/>
  <c r="A2246" i="1"/>
  <c r="A2213" i="1"/>
  <c r="A2282" i="1"/>
  <c r="A1973" i="1"/>
  <c r="A1890" i="1"/>
  <c r="A1970" i="1"/>
  <c r="A2147" i="1"/>
  <c r="A2103" i="1"/>
  <c r="A2097" i="1"/>
  <c r="A2126" i="1"/>
  <c r="A2204" i="1"/>
  <c r="A1975" i="1"/>
  <c r="A2284" i="1"/>
  <c r="A2210" i="1"/>
  <c r="A2117" i="1"/>
  <c r="A2191" i="1"/>
  <c r="A2222" i="1"/>
  <c r="A1981" i="1"/>
  <c r="A1853" i="1"/>
  <c r="A1990" i="1"/>
  <c r="A2165" i="1"/>
  <c r="A2296" i="1"/>
  <c r="A2308" i="1"/>
  <c r="A2311" i="1"/>
  <c r="A1849" i="1"/>
  <c r="A2161" i="1"/>
  <c r="A2066" i="1"/>
  <c r="A2038" i="1"/>
  <c r="A2208" i="1"/>
  <c r="A2261" i="1"/>
  <c r="A2196" i="1"/>
  <c r="A2036" i="1"/>
  <c r="A2094" i="1"/>
  <c r="A2404" i="1"/>
  <c r="A2415" i="1"/>
  <c r="A2343" i="1"/>
  <c r="A2329" i="1"/>
  <c r="A2359" i="1"/>
  <c r="A2382" i="1"/>
  <c r="A2424" i="1"/>
  <c r="A2351" i="1"/>
  <c r="A2347" i="1"/>
  <c r="A2418" i="1"/>
  <c r="A2367" i="1"/>
  <c r="A2392" i="1"/>
  <c r="A2360" i="1"/>
  <c r="A2381" i="1"/>
  <c r="A2176" i="1"/>
  <c r="A2032" i="1"/>
  <c r="A2250" i="1"/>
  <c r="A2140" i="1"/>
  <c r="A2160" i="1"/>
  <c r="A2006" i="1"/>
  <c r="A1961" i="1"/>
  <c r="A2162" i="1"/>
  <c r="A2060" i="1"/>
  <c r="A2306" i="1"/>
  <c r="A2232" i="1"/>
  <c r="A2041" i="1"/>
  <c r="A2292" i="1"/>
  <c r="A1942" i="1"/>
  <c r="A2207" i="1"/>
  <c r="A2186" i="1"/>
  <c r="A2107" i="1"/>
  <c r="A2251" i="1"/>
  <c r="A2001" i="1"/>
  <c r="A2316" i="1"/>
  <c r="A1898" i="1"/>
  <c r="A1936" i="1"/>
  <c r="A2166" i="1"/>
  <c r="A2142" i="1"/>
  <c r="A2071" i="1"/>
  <c r="A2072" i="1"/>
  <c r="A2099" i="1"/>
  <c r="A1854" i="1"/>
  <c r="A1946" i="1"/>
  <c r="A2277" i="1"/>
  <c r="A2004" i="1"/>
  <c r="A2133" i="1"/>
  <c r="A2065" i="1"/>
  <c r="A2027" i="1"/>
  <c r="A2235" i="1"/>
  <c r="A1918" i="1"/>
  <c r="A2081" i="1"/>
  <c r="A2230" i="1"/>
  <c r="A2268" i="1"/>
  <c r="A2310" i="1"/>
  <c r="A2089" i="1"/>
  <c r="A2109" i="1"/>
  <c r="A1892" i="1"/>
  <c r="A2012" i="1"/>
  <c r="A1971" i="1"/>
  <c r="A1972" i="1"/>
  <c r="A2365" i="1"/>
  <c r="A2371" i="1"/>
  <c r="A2378" i="1"/>
  <c r="A2331" i="1"/>
  <c r="A2425" i="1"/>
  <c r="A2410" i="1"/>
  <c r="A2342" i="1"/>
  <c r="A2389" i="1"/>
  <c r="A2330" i="1"/>
  <c r="A2383" i="1"/>
  <c r="A2361" i="1"/>
  <c r="A2408" i="1"/>
  <c r="A2386" i="1"/>
  <c r="A2333" i="1"/>
  <c r="A1960" i="1"/>
  <c r="A2008" i="1"/>
  <c r="A1983" i="1"/>
  <c r="A2135" i="1"/>
  <c r="A2082" i="1"/>
  <c r="A1980" i="1"/>
  <c r="A2059" i="1"/>
  <c r="A1899" i="1"/>
  <c r="A2034" i="1"/>
  <c r="A2263" i="1"/>
  <c r="A2170" i="1"/>
  <c r="A2163" i="1"/>
  <c r="A2233" i="1"/>
  <c r="A2177" i="1"/>
  <c r="A1949" i="1"/>
  <c r="A2256" i="1"/>
  <c r="A2111" i="1"/>
  <c r="A2145" i="1"/>
  <c r="A1997" i="1"/>
  <c r="A2156" i="1"/>
  <c r="A2258" i="1"/>
  <c r="A1906" i="1"/>
  <c r="A2304" i="1"/>
  <c r="A2168" i="1"/>
  <c r="A2086" i="1"/>
  <c r="A2276" i="1"/>
  <c r="A2182" i="1"/>
  <c r="A2062" i="1"/>
  <c r="A1950" i="1"/>
  <c r="A1935" i="1"/>
  <c r="A2206" i="1"/>
  <c r="A2259" i="1"/>
  <c r="A2273" i="1"/>
  <c r="A2131" i="1"/>
  <c r="A2181" i="1"/>
  <c r="A2148" i="1"/>
  <c r="A1941" i="1"/>
  <c r="A2193" i="1"/>
  <c r="A2079" i="1"/>
  <c r="A2313" i="1"/>
  <c r="A1901" i="1"/>
  <c r="A2116" i="1"/>
  <c r="A1937" i="1"/>
  <c r="A1852" i="1"/>
  <c r="A2237" i="1"/>
  <c r="A2151" i="1"/>
  <c r="A2312" i="1"/>
  <c r="A2068" i="1"/>
  <c r="A2083" i="1"/>
  <c r="A1977" i="1"/>
  <c r="A2294" i="1"/>
  <c r="A2274" i="1"/>
  <c r="A1929" i="1"/>
  <c r="A2137" i="1"/>
  <c r="A1998" i="1"/>
  <c r="A2240" i="1"/>
  <c r="A2243" i="1"/>
  <c r="A2301" i="1"/>
  <c r="A2283" i="1"/>
  <c r="A2340" i="1"/>
  <c r="A2353" i="1"/>
  <c r="A2366" i="1"/>
  <c r="A2350" i="1"/>
  <c r="A2334" i="1"/>
  <c r="A2355" i="1"/>
  <c r="A2362" i="1"/>
  <c r="A2364" i="1"/>
  <c r="A2413" i="1"/>
  <c r="A2403" i="1"/>
  <c r="A2358" i="1"/>
  <c r="A2349" i="1"/>
  <c r="A2320" i="1"/>
  <c r="A1978" i="1"/>
  <c r="A1969" i="1"/>
  <c r="A2018" i="1"/>
  <c r="A2200" i="1"/>
  <c r="A2024" i="1"/>
  <c r="A2234" i="1"/>
  <c r="A2245" i="1"/>
  <c r="A1904" i="1"/>
  <c r="A1912" i="1"/>
  <c r="A2146" i="1"/>
  <c r="A2052" i="1"/>
  <c r="A2221" i="1"/>
  <c r="A2272" i="1"/>
  <c r="A1984" i="1"/>
  <c r="A2093" i="1"/>
  <c r="A1948" i="1"/>
  <c r="A1989" i="1"/>
  <c r="A2307" i="1"/>
  <c r="A2049" i="1"/>
  <c r="A2317" i="1"/>
  <c r="A2096" i="1"/>
  <c r="A2123" i="1"/>
  <c r="A1900" i="1"/>
  <c r="A2105" i="1"/>
  <c r="A2195" i="1"/>
  <c r="A2069" i="1"/>
  <c r="A2046" i="1"/>
  <c r="A1928" i="1"/>
  <c r="A2303" i="1"/>
  <c r="A1891" i="1"/>
  <c r="A1859" i="1"/>
  <c r="A2125" i="1"/>
  <c r="A2013" i="1"/>
  <c r="A2180" i="1"/>
  <c r="A2295" i="1"/>
  <c r="A2014" i="1"/>
  <c r="A1933" i="1"/>
  <c r="A1926" i="1"/>
  <c r="A1923" i="1"/>
  <c r="A2021" i="1"/>
  <c r="A2189" i="1"/>
  <c r="A2090" i="1"/>
  <c r="A2290" i="1"/>
  <c r="A1895" i="1"/>
  <c r="A2095" i="1"/>
  <c r="A2241" i="1"/>
  <c r="A1991" i="1"/>
  <c r="A1911" i="1"/>
  <c r="A2266" i="1"/>
  <c r="A2172" i="1"/>
  <c r="A1920" i="1"/>
  <c r="A2187" i="1"/>
  <c r="A2239" i="1"/>
  <c r="A2231" i="1"/>
  <c r="A2058" i="1"/>
  <c r="A2029" i="1"/>
  <c r="A2139" i="1"/>
  <c r="A2154" i="1"/>
  <c r="A2368" i="1"/>
  <c r="A2409" i="1"/>
  <c r="A2319" i="1"/>
  <c r="A2406" i="1"/>
  <c r="A2352" i="1"/>
  <c r="A2394" i="1"/>
  <c r="A2388" i="1"/>
  <c r="A2326" i="1"/>
  <c r="A2422" i="1"/>
  <c r="A2390" i="1"/>
  <c r="A2345" i="1"/>
  <c r="A2385" i="1"/>
  <c r="A2363" i="1"/>
  <c r="A1940" i="1"/>
  <c r="A1905" i="1"/>
  <c r="A2102" i="1"/>
  <c r="A2216" i="1"/>
  <c r="A2236" i="1"/>
  <c r="A2318" i="1"/>
  <c r="A2299" i="1"/>
  <c r="A1943" i="1"/>
  <c r="A1909" i="1"/>
  <c r="A2265" i="1"/>
  <c r="A2253" i="1"/>
  <c r="A2288" i="1"/>
  <c r="A2203" i="1"/>
  <c r="A2078" i="1"/>
  <c r="A1968" i="1"/>
  <c r="A1958" i="1"/>
  <c r="A2057" i="1"/>
  <c r="A2007" i="1"/>
  <c r="A1999" i="1"/>
  <c r="A2003" i="1"/>
  <c r="A2051" i="1"/>
  <c r="A2130" i="1"/>
  <c r="A1925" i="1"/>
  <c r="A2194" i="1"/>
  <c r="A2167" i="1"/>
  <c r="A2287" i="1"/>
  <c r="A2015" i="1"/>
  <c r="A2218" i="1"/>
  <c r="A1974" i="1"/>
  <c r="A1957" i="1"/>
  <c r="A1919" i="1"/>
  <c r="A2262" i="1"/>
  <c r="A2075" i="1"/>
  <c r="A2026" i="1"/>
  <c r="A1927" i="1"/>
  <c r="A2226" i="1"/>
  <c r="A1963" i="1"/>
  <c r="A2098" i="1"/>
  <c r="A2134" i="1"/>
  <c r="A2184" i="1"/>
  <c r="A2085" i="1"/>
  <c r="A1964" i="1"/>
  <c r="A2228" i="1"/>
  <c r="A1953" i="1"/>
  <c r="A2178" i="1"/>
  <c r="A2314" i="1"/>
  <c r="A2198" i="1"/>
  <c r="A2120" i="1"/>
  <c r="A2101" i="1"/>
  <c r="A1924" i="1"/>
  <c r="A2174" i="1"/>
  <c r="A2153" i="1"/>
  <c r="A2202" i="1"/>
  <c r="A2267" i="1"/>
  <c r="A2229" i="1"/>
  <c r="A1995" i="1"/>
  <c r="A2141" i="1"/>
  <c r="F5" i="111" l="1"/>
  <c r="F11" i="111"/>
  <c r="G8" i="111"/>
  <c r="F6" i="111"/>
  <c r="G5" i="111"/>
  <c r="G11" i="111"/>
  <c r="F8" i="111"/>
  <c r="G6" i="111"/>
  <c r="G7" i="111"/>
  <c r="F4" i="111"/>
  <c r="F7" i="111"/>
  <c r="G4" i="111"/>
  <c r="F12" i="111"/>
  <c r="F3" i="111"/>
  <c r="G12" i="111"/>
  <c r="G3" i="111"/>
  <c r="F13" i="111"/>
  <c r="F10" i="111"/>
  <c r="F9" i="111"/>
  <c r="G13" i="111"/>
  <c r="G10" i="111"/>
  <c r="G9" i="111"/>
  <c r="F14" i="111"/>
  <c r="F22" i="111"/>
  <c r="F23" i="111"/>
  <c r="G14" i="111"/>
  <c r="F20" i="111"/>
  <c r="G22" i="111"/>
  <c r="G23" i="111"/>
  <c r="F18" i="111"/>
  <c r="G20" i="111"/>
  <c r="G18" i="111"/>
  <c r="F21" i="111"/>
  <c r="G15" i="111"/>
  <c r="G16" i="111"/>
  <c r="F24" i="111"/>
  <c r="G21" i="111"/>
  <c r="F15" i="111"/>
  <c r="F16" i="111"/>
  <c r="G24" i="111"/>
  <c r="G19" i="111"/>
  <c r="F17" i="111"/>
  <c r="F19" i="111"/>
  <c r="G17" i="111"/>
  <c r="G122" i="109"/>
  <c r="G123" i="109"/>
  <c r="G124" i="109"/>
  <c r="F123" i="109"/>
  <c r="F124" i="109"/>
  <c r="F122" i="109"/>
  <c r="F62" i="109"/>
  <c r="F59" i="109"/>
  <c r="F58" i="109"/>
  <c r="G11" i="106"/>
  <c r="G110" i="109"/>
  <c r="J110" i="109" s="1"/>
  <c r="F52" i="109"/>
  <c r="F36" i="109"/>
  <c r="F94" i="109"/>
  <c r="H24" i="105"/>
  <c r="F50" i="109"/>
  <c r="G57" i="109"/>
  <c r="H40" i="105"/>
  <c r="H15" i="105"/>
  <c r="H31" i="105"/>
  <c r="H43" i="105"/>
  <c r="G16" i="105"/>
  <c r="G33" i="109"/>
  <c r="G9" i="106"/>
  <c r="F39" i="109"/>
  <c r="F22" i="109"/>
  <c r="F111" i="109"/>
  <c r="H19" i="105"/>
  <c r="G114" i="109"/>
  <c r="J114" i="109" s="1"/>
  <c r="G19" i="109"/>
  <c r="G74" i="109"/>
  <c r="G38" i="105"/>
  <c r="G22" i="105"/>
  <c r="G69" i="109"/>
  <c r="G50" i="109"/>
  <c r="G52" i="105"/>
  <c r="G39" i="105"/>
  <c r="G95" i="109"/>
  <c r="J95" i="109" s="1"/>
  <c r="G42" i="109"/>
  <c r="G15" i="105"/>
  <c r="G28" i="105"/>
  <c r="G34" i="109"/>
  <c r="G15" i="109"/>
  <c r="G15" i="106"/>
  <c r="F63" i="109"/>
  <c r="H13" i="105"/>
  <c r="F84" i="109"/>
  <c r="H22" i="105"/>
  <c r="F14" i="109"/>
  <c r="G99" i="109"/>
  <c r="J99" i="109" s="1"/>
  <c r="F7" i="109"/>
  <c r="F20" i="109"/>
  <c r="F18" i="109"/>
  <c r="H41" i="105"/>
  <c r="F113" i="109"/>
  <c r="H26" i="105"/>
  <c r="G84" i="109"/>
  <c r="J84" i="109" s="1"/>
  <c r="G115" i="109"/>
  <c r="J115" i="109" s="1"/>
  <c r="H46" i="105"/>
  <c r="F21" i="109"/>
  <c r="H61" i="105"/>
  <c r="H37" i="105"/>
  <c r="F68" i="109"/>
  <c r="G76" i="109"/>
  <c r="J76" i="109" s="1"/>
  <c r="G45" i="109"/>
  <c r="F42" i="109"/>
  <c r="H18" i="105"/>
  <c r="F30" i="109"/>
  <c r="F102" i="109"/>
  <c r="F100" i="109"/>
  <c r="G119" i="109"/>
  <c r="J119" i="109" s="1"/>
  <c r="G40" i="109"/>
  <c r="G37" i="105"/>
  <c r="G38" i="109"/>
  <c r="J38" i="109" s="1"/>
  <c r="G92" i="109"/>
  <c r="J92" i="109" s="1"/>
  <c r="G5" i="109"/>
  <c r="G54" i="109"/>
  <c r="G56" i="109"/>
  <c r="G106" i="109"/>
  <c r="J106" i="109" s="1"/>
  <c r="G107" i="109"/>
  <c r="J107" i="109" s="1"/>
  <c r="G71" i="109"/>
  <c r="G56" i="105"/>
  <c r="H10" i="105"/>
  <c r="D12" i="115" s="1"/>
  <c r="G55" i="109"/>
  <c r="G58" i="105"/>
  <c r="G51" i="105"/>
  <c r="H12" i="105"/>
  <c r="D14" i="115" s="1"/>
  <c r="G19" i="105"/>
  <c r="H4" i="105"/>
  <c r="F9" i="106"/>
  <c r="F13" i="106"/>
  <c r="F108" i="109"/>
  <c r="F9" i="109"/>
  <c r="F95" i="109"/>
  <c r="F76" i="109"/>
  <c r="F112" i="109"/>
  <c r="H60" i="105"/>
  <c r="G68" i="109"/>
  <c r="J68" i="109" s="1"/>
  <c r="F77" i="109"/>
  <c r="F93" i="109"/>
  <c r="H21" i="105"/>
  <c r="F4" i="109"/>
  <c r="F116" i="109"/>
  <c r="H25" i="105"/>
  <c r="G86" i="109"/>
  <c r="J86" i="109" s="1"/>
  <c r="G23" i="109"/>
  <c r="J23" i="109" s="1"/>
  <c r="F97" i="109"/>
  <c r="F33" i="109"/>
  <c r="F60" i="109"/>
  <c r="F16" i="109"/>
  <c r="F47" i="109"/>
  <c r="G83" i="109"/>
  <c r="J83" i="109" s="1"/>
  <c r="F74" i="109"/>
  <c r="F88" i="109"/>
  <c r="F73" i="109"/>
  <c r="F83" i="109"/>
  <c r="F75" i="109"/>
  <c r="G2" i="111"/>
  <c r="F46" i="109"/>
  <c r="G82" i="109"/>
  <c r="J82" i="109" s="1"/>
  <c r="G52" i="109"/>
  <c r="G28" i="109"/>
  <c r="G102" i="109"/>
  <c r="J102" i="109" s="1"/>
  <c r="G62" i="109"/>
  <c r="J62" i="109" s="1"/>
  <c r="G64" i="105"/>
  <c r="G117" i="109"/>
  <c r="J117" i="109" s="1"/>
  <c r="G27" i="109"/>
  <c r="G27" i="105"/>
  <c r="G59" i="105"/>
  <c r="G60" i="109"/>
  <c r="G59" i="109"/>
  <c r="G30" i="105"/>
  <c r="G18" i="109"/>
  <c r="G36" i="105"/>
  <c r="G8" i="105"/>
  <c r="G9" i="105"/>
  <c r="F10" i="106"/>
  <c r="G60" i="105"/>
  <c r="G7" i="105"/>
  <c r="G4" i="109"/>
  <c r="G6" i="110"/>
  <c r="D200" i="115" s="1"/>
  <c r="G12" i="109"/>
  <c r="G5" i="110"/>
  <c r="D199" i="115" s="1"/>
  <c r="G7" i="110"/>
  <c r="D201" i="115" s="1"/>
  <c r="G24" i="105"/>
  <c r="G61" i="105"/>
  <c r="K61" i="105" s="1"/>
  <c r="F5" i="106"/>
  <c r="G47" i="105"/>
  <c r="H33" i="105"/>
  <c r="F57" i="109"/>
  <c r="F81" i="109"/>
  <c r="F8" i="109"/>
  <c r="G10" i="106"/>
  <c r="G12" i="106"/>
  <c r="H36" i="105"/>
  <c r="G104" i="109"/>
  <c r="J104" i="109" s="1"/>
  <c r="F72" i="109"/>
  <c r="F90" i="109"/>
  <c r="F109" i="109"/>
  <c r="H17" i="105"/>
  <c r="G13" i="106"/>
  <c r="F38" i="109"/>
  <c r="G111" i="109"/>
  <c r="J111" i="109" s="1"/>
  <c r="G61" i="109"/>
  <c r="J61" i="109" s="1"/>
  <c r="F40" i="109"/>
  <c r="H51" i="105"/>
  <c r="F99" i="109"/>
  <c r="F15" i="109"/>
  <c r="F96" i="109"/>
  <c r="F91" i="109"/>
  <c r="G94" i="109"/>
  <c r="J94" i="109" s="1"/>
  <c r="F98" i="109"/>
  <c r="F79" i="109"/>
  <c r="F23" i="109"/>
  <c r="F66" i="109"/>
  <c r="F101" i="109"/>
  <c r="F19" i="109"/>
  <c r="G73" i="109"/>
  <c r="G41" i="109"/>
  <c r="G44" i="109"/>
  <c r="G32" i="105"/>
  <c r="H11" i="105"/>
  <c r="D13" i="115" s="1"/>
  <c r="G11" i="109"/>
  <c r="G35" i="105"/>
  <c r="G70" i="109"/>
  <c r="G43" i="105"/>
  <c r="K43" i="105" s="1"/>
  <c r="G62" i="105"/>
  <c r="G49" i="109"/>
  <c r="G29" i="109"/>
  <c r="F7" i="110"/>
  <c r="G6" i="105"/>
  <c r="H6" i="105"/>
  <c r="D8" i="115" s="1"/>
  <c r="G6" i="106"/>
  <c r="D77" i="115" s="1"/>
  <c r="G40" i="105"/>
  <c r="F15" i="106"/>
  <c r="F6" i="106"/>
  <c r="G44" i="105"/>
  <c r="G12" i="105"/>
  <c r="G49" i="105"/>
  <c r="G7" i="106"/>
  <c r="D78" i="115" s="1"/>
  <c r="F71" i="109"/>
  <c r="F121" i="109"/>
  <c r="F44" i="109"/>
  <c r="H47" i="105"/>
  <c r="F120" i="109"/>
  <c r="F32" i="109"/>
  <c r="F119" i="109"/>
  <c r="G105" i="109"/>
  <c r="J105" i="109" s="1"/>
  <c r="F5" i="109"/>
  <c r="F115" i="109"/>
  <c r="H27" i="105"/>
  <c r="H23" i="105"/>
  <c r="F110" i="109"/>
  <c r="G63" i="109"/>
  <c r="J63" i="109" s="1"/>
  <c r="G16" i="109"/>
  <c r="H48" i="105"/>
  <c r="F85" i="109"/>
  <c r="F78" i="109"/>
  <c r="F87" i="109"/>
  <c r="F17" i="109"/>
  <c r="G113" i="109"/>
  <c r="J113" i="109" s="1"/>
  <c r="F61" i="109"/>
  <c r="F48" i="109"/>
  <c r="H57" i="105"/>
  <c r="F6" i="109"/>
  <c r="H62" i="105"/>
  <c r="G93" i="109"/>
  <c r="J93" i="109" s="1"/>
  <c r="G100" i="109"/>
  <c r="J100" i="109" s="1"/>
  <c r="G72" i="109"/>
  <c r="G8" i="109"/>
  <c r="G47" i="109"/>
  <c r="G31" i="105"/>
  <c r="G48" i="109"/>
  <c r="G11" i="105"/>
  <c r="G90" i="109"/>
  <c r="J90" i="109" s="1"/>
  <c r="G21" i="109"/>
  <c r="G103" i="109"/>
  <c r="J103" i="109" s="1"/>
  <c r="G66" i="109"/>
  <c r="J66" i="109" s="1"/>
  <c r="G25" i="109"/>
  <c r="G55" i="105"/>
  <c r="H5" i="105"/>
  <c r="D7" i="115" s="1"/>
  <c r="H52" i="105"/>
  <c r="H45" i="105"/>
  <c r="F24" i="109"/>
  <c r="H53" i="105"/>
  <c r="H59" i="105"/>
  <c r="H42" i="105"/>
  <c r="G96" i="109"/>
  <c r="J96" i="109" s="1"/>
  <c r="G39" i="109"/>
  <c r="H49" i="105"/>
  <c r="H32" i="105"/>
  <c r="H58" i="105"/>
  <c r="F12" i="109"/>
  <c r="H30" i="105"/>
  <c r="H35" i="105"/>
  <c r="G109" i="109"/>
  <c r="J109" i="109" s="1"/>
  <c r="H39" i="105"/>
  <c r="F35" i="109"/>
  <c r="F118" i="109"/>
  <c r="F89" i="109"/>
  <c r="F103" i="109"/>
  <c r="G101" i="109"/>
  <c r="J101" i="109" s="1"/>
  <c r="F13" i="109"/>
  <c r="H20" i="105"/>
  <c r="F41" i="109"/>
  <c r="F55" i="109"/>
  <c r="F53" i="109"/>
  <c r="F10" i="109"/>
  <c r="G108" i="109"/>
  <c r="J108" i="109" s="1"/>
  <c r="G78" i="109"/>
  <c r="J78" i="109" s="1"/>
  <c r="G20" i="109"/>
  <c r="G120" i="109"/>
  <c r="J120" i="109" s="1"/>
  <c r="G63" i="105"/>
  <c r="G121" i="109"/>
  <c r="J121" i="109" s="1"/>
  <c r="G43" i="109"/>
  <c r="G58" i="109"/>
  <c r="G67" i="109"/>
  <c r="J67" i="109" s="1"/>
  <c r="G35" i="109"/>
  <c r="G48" i="105"/>
  <c r="G46" i="105"/>
  <c r="G29" i="105"/>
  <c r="G14" i="105"/>
  <c r="F7" i="106"/>
  <c r="G18" i="105"/>
  <c r="K18" i="105" s="1"/>
  <c r="H7" i="105"/>
  <c r="D9" i="115" s="1"/>
  <c r="G26" i="109"/>
  <c r="F11" i="106"/>
  <c r="J11" i="106" s="1"/>
  <c r="F12" i="106"/>
  <c r="G5" i="106"/>
  <c r="D76" i="115" s="1"/>
  <c r="F92" i="109"/>
  <c r="H28" i="105"/>
  <c r="H55" i="105"/>
  <c r="G14" i="106"/>
  <c r="H50" i="105"/>
  <c r="G77" i="109"/>
  <c r="J77" i="109" s="1"/>
  <c r="G31" i="109"/>
  <c r="F26" i="109"/>
  <c r="H14" i="105"/>
  <c r="F65" i="109"/>
  <c r="H64" i="105"/>
  <c r="F28" i="109"/>
  <c r="F69" i="109"/>
  <c r="G81" i="109"/>
  <c r="J81" i="109" s="1"/>
  <c r="F56" i="109"/>
  <c r="H16" i="105"/>
  <c r="F67" i="109"/>
  <c r="H38" i="105"/>
  <c r="F29" i="109"/>
  <c r="G118" i="109"/>
  <c r="J118" i="109" s="1"/>
  <c r="F27" i="109"/>
  <c r="F11" i="109"/>
  <c r="F54" i="109"/>
  <c r="F107" i="109"/>
  <c r="H54" i="105"/>
  <c r="F105" i="109"/>
  <c r="G37" i="109"/>
  <c r="J37" i="109" s="1"/>
  <c r="G24" i="109"/>
  <c r="J24" i="109" s="1"/>
  <c r="F5" i="110"/>
  <c r="G85" i="109"/>
  <c r="J85" i="109" s="1"/>
  <c r="G53" i="109"/>
  <c r="G80" i="109"/>
  <c r="J80" i="109" s="1"/>
  <c r="G13" i="109"/>
  <c r="H9" i="105"/>
  <c r="D11" i="115" s="1"/>
  <c r="G22" i="109"/>
  <c r="G50" i="105"/>
  <c r="G89" i="109"/>
  <c r="J89" i="109" s="1"/>
  <c r="G13" i="105"/>
  <c r="G79" i="109"/>
  <c r="J79" i="109" s="1"/>
  <c r="G98" i="109"/>
  <c r="J98" i="109" s="1"/>
  <c r="G75" i="109"/>
  <c r="J75" i="109" s="1"/>
  <c r="G10" i="109"/>
  <c r="G17" i="105"/>
  <c r="G25" i="105"/>
  <c r="G6" i="109"/>
  <c r="G4" i="106"/>
  <c r="F8" i="106"/>
  <c r="G4" i="105"/>
  <c r="G26" i="105"/>
  <c r="G46" i="109"/>
  <c r="G87" i="109"/>
  <c r="J87" i="109" s="1"/>
  <c r="F2" i="111"/>
  <c r="G7" i="109"/>
  <c r="F14" i="106"/>
  <c r="F86" i="109"/>
  <c r="F37" i="109"/>
  <c r="F82" i="109"/>
  <c r="F114" i="109"/>
  <c r="F51" i="109"/>
  <c r="G17" i="109"/>
  <c r="H56" i="105"/>
  <c r="F70" i="109"/>
  <c r="F80" i="109"/>
  <c r="F34" i="109"/>
  <c r="F106" i="109"/>
  <c r="F45" i="109"/>
  <c r="G91" i="109"/>
  <c r="J91" i="109" s="1"/>
  <c r="G8" i="106"/>
  <c r="F104" i="109"/>
  <c r="F43" i="109"/>
  <c r="F49" i="109"/>
  <c r="F64" i="109"/>
  <c r="F117" i="109"/>
  <c r="G23" i="105"/>
  <c r="G112" i="109"/>
  <c r="J112" i="109" s="1"/>
  <c r="H44" i="105"/>
  <c r="H29" i="105"/>
  <c r="F31" i="109"/>
  <c r="H34" i="105"/>
  <c r="F25" i="109"/>
  <c r="H63" i="105"/>
  <c r="G64" i="109"/>
  <c r="J64" i="109" s="1"/>
  <c r="G97" i="109"/>
  <c r="J97" i="109" s="1"/>
  <c r="G51" i="109"/>
  <c r="G45" i="105"/>
  <c r="G30" i="109"/>
  <c r="G21" i="105"/>
  <c r="G36" i="109"/>
  <c r="J36" i="109" s="1"/>
  <c r="H8" i="105"/>
  <c r="D10" i="115" s="1"/>
  <c r="G33" i="105"/>
  <c r="G10" i="105"/>
  <c r="G32" i="109"/>
  <c r="G54" i="105"/>
  <c r="G41" i="105"/>
  <c r="G65" i="109"/>
  <c r="J65" i="109" s="1"/>
  <c r="G116" i="109"/>
  <c r="J116" i="109" s="1"/>
  <c r="G53" i="105"/>
  <c r="G88" i="109"/>
  <c r="J88" i="109" s="1"/>
  <c r="G34" i="105"/>
  <c r="G9" i="109"/>
  <c r="G5" i="105"/>
  <c r="G57" i="105"/>
  <c r="F4" i="106"/>
  <c r="G20" i="105"/>
  <c r="G14" i="109"/>
  <c r="G42" i="105"/>
  <c r="F6" i="110"/>
  <c r="D11" i="110"/>
  <c r="D14" i="110"/>
  <c r="D15" i="110"/>
  <c r="D10" i="110"/>
  <c r="D8" i="110"/>
  <c r="D9" i="110"/>
  <c r="D12" i="110"/>
  <c r="D13" i="110"/>
  <c r="K31" i="105" l="1"/>
  <c r="K23" i="105"/>
  <c r="J15" i="106"/>
  <c r="D205" i="115"/>
  <c r="C206" i="115"/>
  <c r="J14" i="106"/>
  <c r="K17" i="105"/>
  <c r="K26" i="105"/>
  <c r="K46" i="105"/>
  <c r="K57" i="105"/>
  <c r="K19" i="105"/>
  <c r="K42" i="105"/>
  <c r="K60" i="105"/>
  <c r="K45" i="105"/>
  <c r="J7" i="106"/>
  <c r="K15" i="105"/>
  <c r="K20" i="105"/>
  <c r="K21" i="105"/>
  <c r="K41" i="105"/>
  <c r="J12" i="106"/>
  <c r="K13" i="105"/>
  <c r="K50" i="105"/>
  <c r="K40" i="105"/>
  <c r="J9" i="106"/>
  <c r="K48" i="105"/>
  <c r="K24" i="105"/>
  <c r="K33" i="105"/>
  <c r="K37" i="105"/>
  <c r="K53" i="105"/>
  <c r="K25" i="105"/>
  <c r="K54" i="105"/>
  <c r="K34" i="105"/>
  <c r="C212" i="115"/>
  <c r="D211" i="115"/>
  <c r="D132" i="115"/>
  <c r="J10" i="109"/>
  <c r="J22" i="109"/>
  <c r="D150" i="115"/>
  <c r="D206" i="115"/>
  <c r="C207" i="115"/>
  <c r="K14" i="105"/>
  <c r="J72" i="109"/>
  <c r="D195" i="115"/>
  <c r="D142" i="115"/>
  <c r="J16" i="109"/>
  <c r="C222" i="115"/>
  <c r="D221" i="115"/>
  <c r="D210" i="115"/>
  <c r="C211" i="115"/>
  <c r="K62" i="105"/>
  <c r="J41" i="109"/>
  <c r="D164" i="115"/>
  <c r="K47" i="105"/>
  <c r="K36" i="105"/>
  <c r="D212" i="115"/>
  <c r="C213" i="115"/>
  <c r="K51" i="105"/>
  <c r="J56" i="109"/>
  <c r="D187" i="115"/>
  <c r="K28" i="105"/>
  <c r="K22" i="105"/>
  <c r="D208" i="115"/>
  <c r="C209" i="115"/>
  <c r="J30" i="109"/>
  <c r="D156" i="115"/>
  <c r="K4" i="105"/>
  <c r="G65" i="105"/>
  <c r="O4" i="105"/>
  <c r="K29" i="105"/>
  <c r="K63" i="105"/>
  <c r="D149" i="115"/>
  <c r="J21" i="109"/>
  <c r="J73" i="109"/>
  <c r="D196" i="115"/>
  <c r="J5" i="106"/>
  <c r="J4" i="109"/>
  <c r="D125" i="115"/>
  <c r="J18" i="109"/>
  <c r="D145" i="115"/>
  <c r="K64" i="105"/>
  <c r="C220" i="115"/>
  <c r="D219" i="115"/>
  <c r="K58" i="105"/>
  <c r="J54" i="109"/>
  <c r="D185" i="115"/>
  <c r="K38" i="105"/>
  <c r="C200" i="115"/>
  <c r="I6" i="110"/>
  <c r="O5" i="105"/>
  <c r="K5" i="105"/>
  <c r="J8" i="106"/>
  <c r="C225" i="115"/>
  <c r="D224" i="115"/>
  <c r="D139" i="115"/>
  <c r="J13" i="109"/>
  <c r="K49" i="105"/>
  <c r="C223" i="115"/>
  <c r="D222" i="115"/>
  <c r="D193" i="115"/>
  <c r="J70" i="109"/>
  <c r="C227" i="115"/>
  <c r="D226" i="115"/>
  <c r="K30" i="105"/>
  <c r="C210" i="115"/>
  <c r="D209" i="115"/>
  <c r="J55" i="109"/>
  <c r="D186" i="115"/>
  <c r="D126" i="115"/>
  <c r="J5" i="109"/>
  <c r="J42" i="109"/>
  <c r="D165" i="115"/>
  <c r="J74" i="109"/>
  <c r="D197" i="115"/>
  <c r="D158" i="115"/>
  <c r="J32" i="109"/>
  <c r="D75" i="115"/>
  <c r="D74" i="115" s="1"/>
  <c r="D123" i="115" s="1"/>
  <c r="G16" i="106"/>
  <c r="D225" i="115"/>
  <c r="C226" i="115"/>
  <c r="C217" i="115"/>
  <c r="D216" i="115"/>
  <c r="J20" i="109"/>
  <c r="D148" i="115"/>
  <c r="D162" i="115"/>
  <c r="J39" i="109"/>
  <c r="K11" i="105"/>
  <c r="O11" i="105"/>
  <c r="K12" i="105"/>
  <c r="O12" i="105"/>
  <c r="K35" i="105"/>
  <c r="O7" i="105"/>
  <c r="K7" i="105"/>
  <c r="J59" i="109"/>
  <c r="D190" i="115"/>
  <c r="H65" i="105"/>
  <c r="D6" i="115"/>
  <c r="J19" i="109"/>
  <c r="D147" i="115"/>
  <c r="J33" i="109"/>
  <c r="D159" i="115"/>
  <c r="D188" i="115"/>
  <c r="J57" i="109"/>
  <c r="J9" i="109"/>
  <c r="D131" i="115"/>
  <c r="D180" i="115"/>
  <c r="J51" i="109"/>
  <c r="D140" i="115"/>
  <c r="J14" i="109"/>
  <c r="O10" i="105"/>
  <c r="K10" i="105"/>
  <c r="J17" i="109"/>
  <c r="D143" i="115"/>
  <c r="J7" i="109"/>
  <c r="D129" i="115"/>
  <c r="D128" i="115"/>
  <c r="J6" i="109"/>
  <c r="J26" i="109"/>
  <c r="D152" i="115"/>
  <c r="J35" i="109"/>
  <c r="D161" i="115"/>
  <c r="D213" i="115"/>
  <c r="C214" i="115"/>
  <c r="J48" i="109"/>
  <c r="D172" i="115"/>
  <c r="K44" i="105"/>
  <c r="O6" i="105"/>
  <c r="K6" i="105"/>
  <c r="D133" i="115"/>
  <c r="J11" i="109"/>
  <c r="D207" i="115"/>
  <c r="C208" i="115"/>
  <c r="D191" i="115"/>
  <c r="J60" i="109"/>
  <c r="J28" i="109"/>
  <c r="D154" i="115"/>
  <c r="C215" i="115"/>
  <c r="D214" i="115"/>
  <c r="D218" i="115"/>
  <c r="C219" i="115"/>
  <c r="K56" i="105"/>
  <c r="K39" i="105"/>
  <c r="K16" i="105"/>
  <c r="C205" i="115"/>
  <c r="D204" i="115"/>
  <c r="D223" i="115"/>
  <c r="C224" i="115"/>
  <c r="J53" i="109"/>
  <c r="D184" i="115"/>
  <c r="K55" i="105"/>
  <c r="J6" i="106"/>
  <c r="C201" i="115"/>
  <c r="I7" i="110"/>
  <c r="J10" i="106"/>
  <c r="K59" i="105"/>
  <c r="D183" i="115"/>
  <c r="J52" i="109"/>
  <c r="J13" i="106"/>
  <c r="D194" i="115"/>
  <c r="J71" i="109"/>
  <c r="D215" i="115"/>
  <c r="C216" i="115"/>
  <c r="K52" i="105"/>
  <c r="F16" i="106"/>
  <c r="J4" i="106"/>
  <c r="J58" i="109"/>
  <c r="D189" i="115"/>
  <c r="D151" i="115"/>
  <c r="J25" i="109"/>
  <c r="D171" i="115"/>
  <c r="J47" i="109"/>
  <c r="D155" i="115"/>
  <c r="J29" i="109"/>
  <c r="K32" i="105"/>
  <c r="O9" i="105"/>
  <c r="K9" i="105"/>
  <c r="K27" i="105"/>
  <c r="D220" i="115"/>
  <c r="C221" i="115"/>
  <c r="D217" i="115"/>
  <c r="C218" i="115"/>
  <c r="J40" i="109"/>
  <c r="D163" i="115"/>
  <c r="J45" i="109"/>
  <c r="D168" i="115"/>
  <c r="J15" i="109"/>
  <c r="D141" i="115"/>
  <c r="D174" i="115"/>
  <c r="J50" i="109"/>
  <c r="D170" i="115"/>
  <c r="J46" i="109"/>
  <c r="I5" i="110"/>
  <c r="C199" i="115"/>
  <c r="J31" i="109"/>
  <c r="D157" i="115"/>
  <c r="J43" i="109"/>
  <c r="D166" i="115"/>
  <c r="D130" i="115"/>
  <c r="J8" i="109"/>
  <c r="J49" i="109"/>
  <c r="D173" i="115"/>
  <c r="J44" i="109"/>
  <c r="D167" i="115"/>
  <c r="D134" i="115"/>
  <c r="J12" i="109"/>
  <c r="O8" i="105"/>
  <c r="K8" i="105"/>
  <c r="D153" i="115"/>
  <c r="J27" i="109"/>
  <c r="D160" i="115"/>
  <c r="J34" i="109"/>
  <c r="J69" i="109"/>
  <c r="D192" i="115"/>
  <c r="J16" i="106" l="1"/>
  <c r="D124" i="115"/>
  <c r="D198" i="115" s="1"/>
  <c r="D203" i="115" s="1"/>
  <c r="C10" i="106"/>
  <c r="C9" i="106"/>
  <c r="C4" i="106"/>
  <c r="C8" i="106"/>
  <c r="C6" i="106"/>
  <c r="C13" i="106"/>
  <c r="C15" i="106"/>
  <c r="C11" i="106"/>
  <c r="C5" i="106"/>
  <c r="C14" i="106"/>
  <c r="C7" i="106"/>
  <c r="C12" i="106"/>
  <c r="C124" i="109"/>
  <c r="C6" i="109"/>
  <c r="C52" i="109"/>
  <c r="C107" i="109"/>
  <c r="C43" i="109"/>
  <c r="C93" i="109"/>
  <c r="C8" i="109"/>
  <c r="C92" i="109"/>
  <c r="C24" i="109"/>
  <c r="C25" i="109"/>
  <c r="C109" i="109"/>
  <c r="C97" i="109"/>
  <c r="C96" i="109"/>
  <c r="C61" i="109"/>
  <c r="C102" i="109"/>
  <c r="C73" i="109"/>
  <c r="C123" i="109"/>
  <c r="C53" i="109"/>
  <c r="C54" i="109"/>
  <c r="C104" i="109"/>
  <c r="C58" i="109"/>
  <c r="C51" i="109"/>
  <c r="C80" i="109"/>
  <c r="C7" i="109"/>
  <c r="C31" i="109"/>
  <c r="C23" i="109"/>
  <c r="C70" i="109"/>
  <c r="C26" i="109"/>
  <c r="C13" i="109"/>
  <c r="C45" i="109"/>
  <c r="C83" i="109"/>
  <c r="C122" i="109"/>
  <c r="C111" i="109"/>
  <c r="C19" i="109"/>
  <c r="C37" i="109"/>
  <c r="C121" i="109"/>
  <c r="C75" i="109"/>
  <c r="C28" i="109"/>
  <c r="C71" i="109"/>
  <c r="C77" i="109"/>
  <c r="C48" i="109"/>
  <c r="C66" i="109"/>
  <c r="C50" i="109"/>
  <c r="C67" i="109"/>
  <c r="C46" i="109"/>
  <c r="C18" i="109"/>
  <c r="C94" i="109"/>
  <c r="C79" i="109"/>
  <c r="C87" i="109"/>
  <c r="C55" i="109"/>
  <c r="C30" i="109"/>
  <c r="C91" i="109"/>
  <c r="C106" i="109"/>
  <c r="C116" i="109"/>
  <c r="C59" i="109"/>
  <c r="C108" i="109"/>
  <c r="C103" i="109"/>
  <c r="C117" i="109"/>
  <c r="C86" i="109"/>
  <c r="C16" i="109"/>
  <c r="C120" i="109"/>
  <c r="C100" i="109"/>
  <c r="C49" i="109"/>
  <c r="C29" i="109"/>
  <c r="C44" i="109"/>
  <c r="C39" i="109"/>
  <c r="C36" i="109"/>
  <c r="C118" i="109"/>
  <c r="C27" i="109"/>
  <c r="C11" i="109"/>
  <c r="C56" i="109"/>
  <c r="C101" i="109"/>
  <c r="C74" i="109"/>
  <c r="C88" i="109"/>
  <c r="C95" i="109"/>
  <c r="C82" i="109"/>
  <c r="C69" i="109"/>
  <c r="C22" i="109"/>
  <c r="C38" i="109"/>
  <c r="C112" i="109"/>
  <c r="C99" i="109"/>
  <c r="C105" i="109"/>
  <c r="C15" i="109"/>
  <c r="C62" i="109"/>
  <c r="C40" i="109"/>
  <c r="C42" i="109"/>
  <c r="C68" i="109"/>
  <c r="C14" i="109"/>
  <c r="C12" i="109"/>
  <c r="C72" i="109"/>
  <c r="C41" i="109"/>
  <c r="C17" i="109"/>
  <c r="C9" i="109"/>
  <c r="C63" i="109"/>
  <c r="C57" i="109"/>
  <c r="C78" i="109"/>
  <c r="C64" i="109"/>
  <c r="C34" i="109"/>
  <c r="C33" i="109"/>
  <c r="C47" i="109"/>
  <c r="C32" i="109"/>
  <c r="C110" i="109"/>
  <c r="C4" i="109"/>
  <c r="C60" i="109"/>
  <c r="C84" i="109"/>
  <c r="C65" i="109"/>
  <c r="C10" i="109"/>
  <c r="C89" i="109"/>
  <c r="C5" i="109"/>
  <c r="C85" i="109"/>
  <c r="C113" i="109"/>
  <c r="C20" i="109"/>
  <c r="C21" i="109"/>
  <c r="C115" i="109"/>
  <c r="C76" i="109"/>
  <c r="C119" i="109"/>
  <c r="C35" i="109"/>
  <c r="C98" i="109"/>
  <c r="C114" i="109"/>
  <c r="C90" i="109"/>
  <c r="C81" i="109"/>
  <c r="K65" i="105"/>
  <c r="D42" i="105"/>
  <c r="D45" i="105"/>
  <c r="D29" i="105"/>
  <c r="D50" i="105"/>
  <c r="D57" i="105"/>
  <c r="D12" i="105"/>
  <c r="D46" i="105"/>
  <c r="D41" i="105"/>
  <c r="D64" i="105"/>
  <c r="D6" i="105"/>
  <c r="D14" i="105"/>
  <c r="D58" i="105"/>
  <c r="D10" i="105"/>
  <c r="D37" i="105"/>
  <c r="D60" i="105"/>
  <c r="D18" i="105"/>
  <c r="D30" i="105"/>
  <c r="D20" i="105"/>
  <c r="D16" i="105"/>
  <c r="D63" i="105"/>
  <c r="D52" i="105"/>
  <c r="D61" i="105"/>
  <c r="D51" i="105"/>
  <c r="D48" i="105"/>
  <c r="D22" i="105"/>
  <c r="D49" i="105"/>
  <c r="D15" i="105"/>
  <c r="D23" i="105"/>
  <c r="D24" i="105"/>
  <c r="D34" i="105"/>
  <c r="D38" i="105"/>
  <c r="D56" i="105"/>
  <c r="D62" i="105"/>
  <c r="D47" i="105"/>
  <c r="D35" i="105"/>
  <c r="D7" i="105"/>
  <c r="D55" i="105"/>
  <c r="D4" i="105"/>
  <c r="D21" i="105"/>
  <c r="D31" i="105"/>
  <c r="D25" i="105"/>
  <c r="D28" i="105"/>
  <c r="D43" i="105"/>
  <c r="D44" i="105"/>
  <c r="D13" i="105"/>
  <c r="D59" i="105"/>
  <c r="D36" i="105"/>
  <c r="D19" i="105"/>
  <c r="D39" i="105"/>
  <c r="D5" i="105"/>
  <c r="D17" i="105"/>
  <c r="D11" i="105"/>
  <c r="D40" i="105"/>
  <c r="D53" i="105"/>
  <c r="D9" i="105"/>
  <c r="D27" i="105"/>
  <c r="D8" i="105"/>
  <c r="D32" i="105"/>
  <c r="D33" i="105"/>
  <c r="D54" i="105"/>
  <c r="D26" i="10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E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E00-000002000000}">
      <text>
        <r>
          <rPr>
            <b/>
            <sz val="12"/>
            <color indexed="81"/>
            <rFont val="Times New Roman"/>
            <family val="1"/>
          </rPr>
          <t xml:space="preserve">Lưu ý: cáp hạ thế 0,6kV
</t>
        </r>
      </text>
    </comment>
    <comment ref="B1332" authorId="0" shapeId="0" xr:uid="{00000000-0006-0000-0E00-000003000000}">
      <text>
        <r>
          <rPr>
            <b/>
            <sz val="12"/>
            <color indexed="81"/>
            <rFont val="Times New Roman"/>
            <family val="1"/>
          </rPr>
          <t xml:space="preserve">Lưu ý: cáp hạ thế 0,6kV
</t>
        </r>
      </text>
    </comment>
    <comment ref="B1486" authorId="0" shapeId="0" xr:uid="{00000000-0006-0000-0E00-000004000000}">
      <text>
        <r>
          <rPr>
            <b/>
            <sz val="12"/>
            <color indexed="81"/>
            <rFont val="Times New Roman"/>
            <family val="1"/>
          </rPr>
          <t xml:space="preserve">Lưu ý: cáp hạ thế 0,6kV
</t>
        </r>
      </text>
    </comment>
    <comment ref="B1610" authorId="0" shapeId="0" xr:uid="{00000000-0006-0000-0E00-000005000000}">
      <text>
        <r>
          <rPr>
            <b/>
            <sz val="12"/>
            <color indexed="81"/>
            <rFont val="Times New Roman"/>
            <family val="1"/>
          </rPr>
          <t xml:space="preserve">Lưu ý: cáp hạ thế 0,6kV
</t>
        </r>
      </text>
    </comment>
    <comment ref="B1878" authorId="0" shapeId="0" xr:uid="{00000000-0006-0000-0E00-000006000000}">
      <text>
        <r>
          <rPr>
            <b/>
            <sz val="12"/>
            <color indexed="81"/>
            <rFont val="Times New Roman"/>
            <family val="1"/>
          </rPr>
          <t xml:space="preserve">Lưu ý: cáp hạ thế 0,6kV
</t>
        </r>
      </text>
    </comment>
    <comment ref="B2367" authorId="0" shapeId="0" xr:uid="{00000000-0006-0000-0E00-000007000000}">
      <text>
        <r>
          <rPr>
            <b/>
            <sz val="12"/>
            <color indexed="81"/>
            <rFont val="Times New Roman"/>
            <family val="1"/>
          </rPr>
          <t xml:space="preserve">Lưu ý: cáp hạ thế 0,6kV
</t>
        </r>
      </text>
    </comment>
    <comment ref="B2551"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0F00-000001000000}">
      <text>
        <r>
          <rPr>
            <b/>
            <sz val="12"/>
            <color indexed="81"/>
            <rFont val="Times New Roman"/>
            <family val="1"/>
          </rPr>
          <t xml:space="preserve">Lưu ý: cáp hạ thế 0,6kV
</t>
        </r>
      </text>
    </comment>
    <comment ref="B1393" authorId="0" shapeId="0" xr:uid="{00000000-0006-0000-0F00-000002000000}">
      <text>
        <r>
          <rPr>
            <b/>
            <sz val="12"/>
            <color indexed="81"/>
            <rFont val="Times New Roman"/>
            <family val="1"/>
          </rPr>
          <t xml:space="preserve">Lưu ý: cáp hạ thế 0,6kV
</t>
        </r>
      </text>
    </comment>
    <comment ref="B1623" authorId="0" shapeId="0" xr:uid="{00000000-0006-0000-0F00-000003000000}">
      <text>
        <r>
          <rPr>
            <b/>
            <sz val="12"/>
            <color indexed="81"/>
            <rFont val="Times New Roman"/>
            <family val="1"/>
          </rPr>
          <t xml:space="preserve">Lưu ý: cáp hạ thế 0,6kV
</t>
        </r>
      </text>
    </comment>
    <comment ref="B1853" authorId="0" shapeId="0" xr:uid="{00000000-0006-0000-0F00-000004000000}">
      <text>
        <r>
          <rPr>
            <b/>
            <sz val="12"/>
            <color indexed="81"/>
            <rFont val="Times New Roman"/>
            <family val="1"/>
          </rPr>
          <t xml:space="preserve">Lưu ý: cáp hạ thế 0,6kV
</t>
        </r>
      </text>
    </comment>
    <comment ref="B2090" authorId="0" shapeId="0" xr:uid="{00000000-0006-0000-0F00-000005000000}">
      <text>
        <r>
          <rPr>
            <b/>
            <sz val="12"/>
            <color indexed="81"/>
            <rFont val="Times New Roman"/>
            <family val="1"/>
          </rPr>
          <t xml:space="preserve">Lưu ý: cáp hạ thế 0,6kV
</t>
        </r>
      </text>
    </comment>
    <comment ref="B2092" authorId="0" shapeId="0" xr:uid="{00000000-0006-0000-0F00-000006000000}">
      <text>
        <r>
          <rPr>
            <b/>
            <sz val="12"/>
            <color indexed="81"/>
            <rFont val="Times New Roman"/>
            <family val="1"/>
          </rPr>
          <t xml:space="preserve">Lưu ý: cáp hạ thế 0,6kV
</t>
        </r>
      </text>
    </comment>
    <comment ref="B2093" authorId="0" shapeId="0" xr:uid="{00000000-0006-0000-0F00-000007000000}">
      <text>
        <r>
          <rPr>
            <b/>
            <sz val="12"/>
            <color indexed="81"/>
            <rFont val="Times New Roman"/>
            <family val="1"/>
          </rPr>
          <t xml:space="preserve">Lưu ý: cáp hạ thế 0,6kV
</t>
        </r>
      </text>
    </comment>
    <comment ref="B2322" authorId="0" shapeId="0" xr:uid="{00000000-0006-0000-0F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300-000001000000}">
      <text>
        <r>
          <rPr>
            <b/>
            <sz val="9"/>
            <color indexed="81"/>
            <rFont val="Tahoma"/>
            <family val="2"/>
          </rPr>
          <t>Author:</t>
        </r>
        <r>
          <rPr>
            <sz val="9"/>
            <color indexed="81"/>
            <rFont val="Tahoma"/>
            <family val="2"/>
          </rPr>
          <t xml:space="preserve">
2DT
</t>
        </r>
      </text>
    </comment>
    <comment ref="I15" authorId="0" shapeId="0" xr:uid="{00000000-0006-0000-13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<sst xmlns="http://schemas.openxmlformats.org/spreadsheetml/2006/main" count="30319" uniqueCount="6601">
  <si>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</si>
  <si>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</si>
  <si>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</si>
  <si>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</si>
  <si>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</si>
  <si>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</si>
  <si>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</si>
  <si>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</si>
  <si>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</si>
  <si>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</si>
  <si>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</si>
  <si>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</si>
  <si>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</si>
  <si>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</si>
  <si>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</si>
  <si>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</si>
  <si>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</si>
  <si>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</si>
  <si>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</si>
  <si>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</si>
  <si>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</si>
  <si>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</si>
  <si>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</si>
  <si>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</si>
  <si>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</si>
  <si>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</si>
  <si>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</si>
  <si>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</si>
  <si>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</si>
  <si>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</si>
  <si>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</si>
  <si>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</si>
  <si>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</si>
  <si>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</si>
  <si>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</si>
  <si>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</si>
  <si>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</si>
  <si>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</si>
  <si>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</si>
  <si>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</si>
  <si>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</si>
  <si>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</si>
  <si>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</si>
  <si>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</si>
  <si>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</si>
  <si>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</si>
  <si>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</si>
  <si>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</si>
  <si>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</si>
  <si>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</si>
  <si>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</si>
  <si>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</si>
  <si>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</si>
  <si>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</si>
  <si>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</si>
  <si>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</si>
  <si>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</si>
  <si>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</si>
  <si>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</si>
  <si>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</si>
  <si>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</si>
  <si>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</si>
  <si>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</si>
  <si>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</si>
  <si>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</si>
  <si>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</si>
  <si>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</si>
  <si>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</si>
  <si>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</si>
  <si>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</si>
  <si>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</si>
  <si>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</si>
  <si>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</si>
  <si>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</si>
  <si>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</si>
  <si>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</si>
  <si>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</si>
  <si>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</si>
  <si>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</si>
  <si>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</si>
  <si>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</si>
  <si>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</si>
  <si>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</si>
  <si>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</si>
  <si>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</si>
  <si>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</si>
  <si>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</si>
  <si>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</si>
  <si>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</si>
  <si>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</si>
  <si>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</si>
  <si>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</si>
  <si>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</si>
  <si>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</si>
  <si>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</si>
  <si>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</si>
  <si>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</si>
  <si>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</si>
  <si>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</si>
  <si>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</si>
  <si>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</si>
  <si>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</si>
  <si>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</si>
  <si>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</si>
  <si>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</si>
  <si>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</si>
  <si>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</si>
  <si>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</si>
  <si>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</si>
  <si>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</si>
  <si>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</si>
  <si>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</si>
  <si>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</si>
  <si>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</si>
  <si>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</si>
  <si>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</si>
  <si>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</si>
  <si>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</si>
  <si>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</si>
  <si>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</si>
  <si>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</si>
  <si>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</si>
  <si>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</si>
  <si>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</si>
  <si>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</si>
  <si>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</si>
  <si>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</si>
  <si>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</si>
  <si>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</si>
  <si>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</si>
  <si>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</si>
  <si>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</si>
  <si>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</si>
  <si>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</si>
  <si>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</si>
  <si>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</si>
  <si>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</si>
  <si>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</si>
  <si>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</si>
  <si>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</si>
  <si>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</si>
  <si>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</si>
  <si>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</si>
  <si>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</si>
  <si>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</si>
  <si>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</si>
  <si>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</si>
  <si>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</si>
  <si>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</si>
  <si>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</si>
  <si>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</si>
  <si>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</si>
  <si>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</si>
  <si>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</si>
  <si>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</si>
  <si>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</si>
  <si>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</si>
  <si>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</si>
  <si>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</si>
  <si>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</si>
  <si>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</si>
  <si>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</si>
  <si>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</si>
  <si>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</si>
  <si>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</si>
  <si>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</si>
  <si>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</si>
  <si>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</si>
  <si>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</si>
  <si>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</si>
  <si>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</si>
  <si>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</si>
  <si>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</si>
  <si>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</si>
  <si>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</si>
  <si>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</si>
  <si>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</si>
  <si>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</si>
  <si>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</si>
  <si>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</si>
  <si>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</si>
  <si>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</si>
  <si>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</si>
  <si>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</si>
  <si>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</si>
  <si>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</si>
  <si>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</si>
  <si>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</si>
  <si>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</si>
  <si>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</si>
  <si>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</si>
  <si>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</si>
  <si>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</si>
  <si>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</si>
  <si>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</si>
  <si>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</si>
  <si>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</si>
  <si>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</si>
  <si>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</si>
  <si>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</si>
  <si>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</si>
  <si>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</si>
  <si>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</si>
  <si>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</si>
  <si>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</si>
  <si>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</si>
  <si>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</si>
  <si>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</si>
  <si>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</si>
  <si>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</si>
  <si>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</si>
  <si>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</si>
  <si>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</si>
  <si>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</si>
  <si>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</si>
  <si>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</si>
  <si>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</si>
  <si>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</si>
  <si>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</si>
  <si>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</si>
  <si>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</si>
  <si>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</si>
  <si>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</si>
  <si>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</si>
  <si>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</si>
  <si>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</si>
  <si>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</si>
  <si>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</si>
  <si>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</si>
  <si>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</si>
  <si>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</si>
  <si>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</si>
  <si>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</si>
  <si>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</si>
  <si>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</si>
  <si>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</si>
  <si>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</si>
  <si>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</si>
  <si>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</si>
  <si>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</si>
  <si>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</si>
  <si>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</si>
  <si>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</si>
  <si>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</si>
  <si>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</si>
  <si>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</si>
  <si>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</si>
  <si>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</si>
  <si>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</si>
  <si>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</si>
  <si>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</si>
  <si>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</si>
  <si>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</si>
  <si>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</si>
  <si>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</si>
  <si>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</si>
  <si>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</si>
  <si>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</si>
  <si>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</si>
  <si>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</si>
  <si>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</si>
  <si>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</si>
  <si>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</si>
  <si>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</si>
  <si>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</si>
  <si>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</si>
  <si>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</si>
  <si>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</si>
  <si>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</si>
  <si>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</si>
  <si>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</si>
  <si>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</si>
  <si>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</si>
  <si>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</si>
  <si>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</si>
  <si>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</si>
  <si>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</si>
  <si>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</si>
  <si>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</si>
  <si>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</si>
  <si>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</si>
  <si>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</si>
  <si>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</si>
  <si>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</si>
  <si>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</si>
  <si>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</si>
  <si>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</si>
  <si>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</si>
  <si>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</si>
  <si>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</si>
  <si>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</si>
  <si>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</si>
  <si>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</si>
  <si>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</si>
  <si>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</si>
  <si>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</si>
  <si>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</si>
  <si>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</si>
  <si>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</si>
  <si>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</si>
  <si>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</si>
  <si>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</si>
  <si>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</si>
  <si>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</si>
  <si>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</si>
  <si>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</si>
  <si>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</si>
  <si>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</si>
  <si>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</si>
  <si>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</si>
  <si>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</si>
  <si>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</si>
  <si>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</si>
  <si>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</si>
  <si>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</si>
  <si>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</si>
  <si>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</si>
  <si>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</si>
  <si>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</si>
  <si>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</si>
  <si>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</si>
  <si>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</si>
  <si>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</si>
  <si>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</si>
  <si>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</si>
  <si>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</si>
  <si>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</si>
  <si>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</si>
  <si>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</si>
  <si>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</si>
  <si>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</si>
  <si>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</si>
  <si>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</si>
  <si>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</si>
  <si>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</si>
  <si>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</si>
  <si>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</si>
  <si>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</si>
  <si>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</si>
  <si>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</si>
  <si>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</si>
  <si>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</si>
  <si>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</si>
  <si>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</si>
  <si>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</si>
  <si>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</si>
  <si>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</si>
  <si>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</si>
  <si>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</si>
  <si>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</si>
  <si>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</si>
  <si>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</si>
  <si>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</si>
  <si>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</si>
  <si>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</si>
  <si>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</si>
  <si>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</si>
  <si>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</si>
  <si>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</si>
  <si>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</si>
  <si>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</si>
  <si>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</si>
  <si>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</si>
  <si>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</si>
  <si>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</si>
  <si>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</si>
  <si>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</si>
  <si>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</si>
  <si>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</si>
  <si>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</si>
  <si>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</si>
  <si>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</si>
  <si>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</si>
  <si>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</si>
  <si>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</si>
  <si>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</si>
  <si>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</si>
  <si>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</si>
  <si>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</si>
  <si>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</si>
  <si>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</si>
  <si>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</si>
  <si>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</si>
  <si>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</si>
  <si>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</si>
  <si>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</si>
  <si>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</si>
  <si>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</si>
  <si>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</si>
  <si>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</si>
  <si>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</si>
  <si>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</si>
  <si>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</si>
  <si>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</si>
  <si>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</si>
  <si>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</si>
  <si>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</si>
  <si>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</si>
  <si>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</si>
  <si>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</si>
  <si>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</si>
  <si>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</si>
  <si>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</si>
  <si>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</si>
  <si>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</si>
  <si>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</si>
  <si>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</si>
  <si>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</si>
  <si>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</si>
  <si>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</si>
  <si>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</si>
  <si>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</si>
  <si>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</si>
  <si>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</si>
  <si>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</si>
  <si>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</si>
  <si>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</si>
  <si>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</si>
  <si>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</si>
  <si>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</si>
  <si>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</si>
  <si>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</si>
  <si>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</si>
  <si>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</si>
  <si>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</si>
  <si>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</si>
  <si>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</si>
  <si>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</si>
  <si>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</si>
  <si>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</si>
  <si>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</si>
  <si>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</si>
  <si>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</si>
  <si>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</si>
  <si>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</si>
  <si>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</si>
  <si>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</si>
  <si>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</si>
  <si>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</si>
  <si>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</si>
  <si>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</si>
  <si>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</si>
  <si>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</si>
  <si>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</si>
  <si>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</si>
  <si>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</si>
  <si>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</si>
  <si>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</si>
  <si>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</si>
  <si>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</si>
  <si>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</si>
  <si>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</si>
  <si>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</si>
  <si>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</si>
  <si>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</si>
  <si>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</si>
  <si>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</si>
  <si>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</si>
  <si>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</si>
  <si>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</si>
  <si>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</si>
  <si>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</si>
  <si>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</si>
  <si>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</si>
  <si>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</si>
  <si>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</si>
  <si>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</si>
  <si>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</si>
  <si>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</si>
  <si>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</si>
  <si>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</si>
  <si>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</si>
  <si>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</si>
  <si>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</si>
  <si>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</si>
  <si>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</si>
  <si>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</si>
  <si>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</si>
  <si>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</si>
  <si>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</si>
  <si>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</si>
  <si>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</si>
  <si>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</si>
  <si>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</si>
  <si>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</si>
  <si>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</si>
  <si>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</si>
  <si>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</si>
  <si>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</si>
  <si>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</si>
  <si>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</si>
  <si>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</si>
  <si>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</si>
  <si>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</si>
  <si>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</si>
  <si>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</si>
  <si>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</si>
  <si>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</si>
  <si>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</si>
  <si>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</si>
  <si>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</si>
  <si>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</si>
  <si>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</si>
  <si>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</si>
  <si>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</si>
  <si>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</si>
  <si>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</si>
  <si>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</si>
  <si>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</si>
  <si>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</si>
  <si>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</si>
  <si>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</si>
  <si>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</si>
  <si>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</si>
  <si>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</si>
  <si>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</si>
  <si>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</si>
  <si>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</si>
  <si>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</si>
  <si>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</si>
  <si>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</si>
  <si>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</si>
  <si>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</si>
  <si>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</si>
  <si>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</si>
  <si>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</si>
  <si>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</si>
  <si>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</si>
  <si>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</si>
  <si>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</si>
  <si>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</si>
  <si>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</si>
  <si>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</si>
  <si>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</si>
  <si>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</si>
  <si>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</si>
  <si>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</si>
  <si>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</si>
  <si>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</si>
  <si>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</si>
  <si>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</si>
  <si>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</si>
  <si>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</si>
  <si>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</si>
  <si>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</si>
  <si>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</si>
  <si>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</si>
  <si>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</si>
  <si>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</si>
  <si>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</si>
  <si>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</si>
  <si>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</si>
  <si>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</si>
  <si>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</si>
  <si>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</si>
  <si>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</si>
  <si>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</si>
  <si>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</si>
  <si>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</si>
  <si>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</si>
  <si>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</si>
  <si>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</si>
  <si>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</si>
  <si>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</si>
  <si>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</si>
  <si>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</si>
  <si>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</si>
  <si>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</si>
  <si>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</si>
  <si>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</si>
  <si>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</si>
  <si>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</si>
  <si>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</si>
  <si>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</si>
  <si>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</si>
  <si>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</si>
  <si>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</si>
  <si>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</si>
  <si>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</si>
  <si>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</si>
  <si>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</si>
  <si>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</si>
  <si>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</si>
  <si>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</si>
  <si>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</si>
  <si>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</si>
  <si>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</si>
  <si>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</si>
  <si>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</si>
  <si>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</si>
  <si>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</si>
  <si>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</si>
  <si>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</si>
  <si>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</si>
  <si>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</si>
  <si>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</si>
  <si>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</si>
  <si>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</si>
  <si>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</si>
  <si>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</si>
  <si>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</si>
  <si>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</si>
  <si>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</si>
  <si>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</si>
  <si>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</si>
  <si>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</si>
  <si>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</si>
  <si>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</si>
  <si>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</si>
  <si>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</si>
  <si>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</si>
  <si>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</si>
  <si>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</si>
  <si>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</si>
  <si>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</si>
  <si>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</si>
  <si>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</si>
  <si>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</si>
  <si>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</si>
  <si>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</si>
  <si>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</si>
  <si>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</si>
  <si>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</si>
  <si>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</si>
  <si>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</si>
  <si>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</si>
  <si>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</si>
  <si>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</si>
  <si>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</si>
  <si>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</si>
  <si>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</si>
  <si>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</si>
  <si>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</si>
  <si>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</si>
  <si>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</si>
  <si>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</si>
  <si>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</si>
  <si>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</si>
  <si>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</si>
  <si>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</si>
  <si>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</si>
  <si>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</si>
  <si>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</si>
  <si>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</si>
  <si>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</si>
  <si>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</si>
  <si>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</si>
  <si>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</si>
  <si>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</si>
  <si>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</si>
  <si>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</si>
  <si>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</si>
  <si>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</si>
  <si>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</si>
  <si>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</si>
  <si>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</si>
  <si>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</si>
  <si>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</si>
  <si>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</si>
  <si>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</si>
  <si>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</si>
  <si>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</si>
  <si>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</si>
  <si>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</si>
  <si>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</si>
  <si>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</si>
  <si>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</si>
  <si>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</si>
  <si>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</si>
  <si>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</si>
  <si>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</si>
  <si>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</si>
  <si>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</si>
  <si>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</si>
  <si>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</si>
  <si>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</si>
  <si>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</si>
  <si>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</si>
  <si>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</si>
  <si>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</si>
  <si>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</si>
  <si>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</si>
  <si>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</si>
  <si>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</si>
  <si>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</si>
  <si>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</si>
  <si>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</si>
  <si>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</si>
  <si>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</si>
  <si>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</si>
  <si>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</si>
  <si>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</si>
  <si>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</si>
  <si>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</si>
  <si>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</si>
  <si>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</si>
  <si>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</si>
  <si>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</si>
  <si>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</si>
  <si>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</si>
  <si>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</si>
  <si>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</si>
  <si>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</si>
  <si>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</si>
  <si>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</si>
  <si>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</si>
  <si>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</si>
  <si>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</si>
  <si>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</si>
  <si>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</si>
  <si>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</si>
  <si>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</si>
  <si>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</si>
  <si>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</si>
  <si>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</si>
  <si>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</si>
  <si>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</si>
  <si>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</si>
  <si>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</si>
  <si>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</si>
  <si>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</si>
  <si>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</si>
  <si>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</si>
  <si>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</si>
  <si>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</si>
  <si>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</si>
  <si>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</si>
  <si>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</si>
  <si>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</si>
  <si>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</si>
  <si>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</si>
  <si>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</si>
  <si>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</si>
  <si>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</si>
  <si>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</si>
  <si>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</si>
  <si>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</si>
  <si>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</si>
  <si>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</si>
  <si>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</si>
  <si>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</si>
  <si>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</si>
  <si>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</si>
  <si>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</si>
  <si>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</si>
  <si>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</si>
  <si>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</si>
  <si>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</si>
  <si>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</si>
  <si>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</si>
  <si>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</si>
  <si>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</si>
  <si>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</si>
  <si>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</si>
  <si>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</si>
  <si>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</si>
  <si>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</si>
  <si>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</si>
  <si>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</si>
  <si>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</si>
  <si>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</si>
  <si>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</si>
  <si>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</si>
  <si>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</si>
  <si>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</si>
  <si>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</si>
  <si>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</si>
  <si>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</si>
  <si>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</si>
  <si>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</si>
  <si>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</si>
  <si>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</si>
  <si>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</si>
  <si>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</si>
  <si>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</si>
  <si>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</si>
  <si>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</si>
  <si>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</si>
  <si>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</si>
  <si>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</si>
  <si>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</si>
  <si>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</si>
  <si>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</si>
  <si>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</si>
  <si>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</si>
  <si>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</si>
  <si>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</si>
  <si>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</si>
  <si>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</si>
  <si>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</si>
  <si>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</si>
  <si>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</si>
  <si>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</si>
  <si>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</si>
  <si>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</si>
  <si>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</si>
  <si>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</si>
  <si>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</si>
  <si>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</si>
  <si>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</si>
  <si>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</si>
  <si>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</si>
  <si>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</si>
  <si>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</si>
  <si>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</si>
  <si>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</si>
  <si>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</si>
  <si>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</si>
  <si>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</si>
  <si>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</si>
  <si>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</si>
  <si>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</si>
  <si>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</si>
  <si>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</si>
  <si>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</si>
  <si>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</si>
  <si>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</si>
  <si>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</si>
  <si>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</si>
  <si>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</si>
  <si>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</si>
  <si>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</si>
  <si>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</si>
  <si>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</si>
  <si>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</si>
  <si>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</si>
  <si>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</si>
  <si>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</si>
  <si>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</si>
  <si>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</si>
  <si>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</si>
  <si>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</si>
  <si>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</si>
  <si>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</si>
  <si>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</si>
  <si>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</si>
  <si>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</si>
  <si>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</si>
  <si>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</si>
  <si>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</si>
  <si>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</si>
  <si>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</si>
  <si>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</si>
  <si>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</si>
  <si>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</si>
  <si>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</si>
  <si>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</si>
  <si>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</si>
  <si>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</si>
  <si>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</si>
  <si>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</si>
  <si>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</si>
  <si>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</si>
  <si>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</si>
  <si>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</si>
  <si>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</si>
  <si>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</si>
  <si>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</si>
  <si>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</si>
  <si>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</si>
  <si>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</si>
  <si>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</si>
  <si>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</si>
  <si>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</si>
  <si>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</si>
  <si>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</si>
  <si>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</si>
  <si>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</si>
  <si>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</si>
  <si>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</si>
  <si>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</si>
  <si>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</si>
  <si>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</si>
  <si>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</si>
  <si>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</si>
  <si>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</si>
  <si>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</si>
  <si>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</si>
  <si>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</si>
  <si>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</si>
  <si>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</si>
  <si>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</si>
  <si>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</si>
  <si>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</si>
  <si>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</si>
  <si>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</si>
  <si>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</si>
  <si>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</si>
  <si>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</si>
  <si>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</si>
  <si>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</si>
  <si>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</si>
  <si>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</si>
  <si>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</si>
  <si>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</si>
  <si>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</si>
  <si>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</si>
  <si>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</si>
  <si>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</si>
  <si>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</si>
  <si>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</si>
  <si>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</si>
  <si>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</si>
  <si>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</si>
  <si>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</si>
  <si>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</si>
  <si>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</si>
  <si>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</si>
  <si>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</si>
  <si>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</si>
  <si>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</si>
  <si>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</si>
  <si>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</si>
  <si>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</si>
  <si>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</si>
  <si>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</si>
  <si>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</si>
  <si>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</si>
  <si>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</si>
  <si>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</si>
  <si>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</si>
  <si>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</si>
  <si>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</si>
  <si>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</si>
  <si>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</si>
  <si>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</si>
  <si>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</si>
  <si>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</si>
  <si>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</si>
  <si>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</si>
  <si>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</si>
  <si>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</si>
  <si>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</si>
  <si>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</si>
  <si>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</si>
  <si>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</si>
  <si>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</si>
  <si>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</si>
  <si>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</si>
  <si>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</si>
  <si>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</si>
  <si>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</si>
  <si>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</si>
  <si>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</si>
  <si>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</si>
  <si>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</si>
  <si>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</si>
  <si>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</si>
  <si>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</si>
  <si>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</si>
  <si>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</si>
  <si>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</si>
  <si>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</si>
  <si>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</si>
  <si>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</si>
  <si>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</si>
  <si>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</si>
  <si>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</si>
  <si>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</si>
  <si>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</si>
  <si>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</si>
  <si>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</si>
  <si>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</si>
  <si>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</si>
  <si>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</si>
  <si>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</si>
  <si>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</si>
  <si>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</si>
  <si>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</si>
  <si>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</si>
  <si>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</si>
  <si>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</si>
  <si>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</si>
  <si>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</si>
  <si>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</si>
  <si>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</si>
  <si>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</si>
  <si>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</si>
  <si>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</si>
  <si>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</si>
  <si>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</si>
  <si>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</si>
  <si>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</si>
  <si>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</si>
  <si>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</si>
  <si>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</si>
  <si>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</si>
  <si>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</si>
  <si>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</si>
  <si>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</si>
  <si>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</si>
  <si>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</si>
  <si>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</si>
  <si>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</si>
  <si>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</si>
  <si>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</si>
  <si>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</si>
  <si>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</si>
  <si>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</si>
  <si>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</si>
  <si>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</si>
  <si>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</si>
  <si>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</si>
  <si>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</si>
  <si>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</si>
  <si>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</si>
  <si>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</si>
  <si>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</si>
  <si>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</si>
  <si>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</si>
  <si>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</si>
  <si>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</si>
  <si>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</si>
  <si>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</si>
  <si>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</si>
  <si>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</si>
  <si>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</si>
  <si>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</si>
  <si>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</si>
  <si>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</si>
  <si>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</si>
  <si>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</si>
  <si>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</si>
  <si>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</si>
  <si>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</si>
  <si>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</si>
  <si>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</si>
  <si>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</si>
  <si>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</si>
  <si>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</si>
  <si>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</si>
  <si>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</si>
  <si>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</si>
  <si>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</si>
  <si>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</si>
  <si>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</si>
  <si>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</si>
  <si>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</si>
  <si>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</si>
  <si>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</si>
  <si>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</si>
  <si>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</si>
  <si>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</si>
  <si>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</si>
  <si>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</si>
  <si>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</si>
  <si>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</si>
  <si>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</si>
  <si>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</si>
  <si>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</si>
  <si>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</si>
  <si>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</si>
  <si>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</si>
  <si>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</si>
  <si>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</si>
  <si>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</si>
  <si>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</si>
  <si>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</si>
  <si>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</si>
  <si>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</si>
  <si>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</si>
  <si>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</si>
  <si>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</si>
  <si>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</si>
  <si>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</si>
  <si>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</si>
  <si>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</si>
  <si>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</si>
  <si>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</si>
  <si>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</si>
  <si>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</si>
  <si>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</si>
  <si>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</si>
  <si>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</si>
  <si>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</si>
  <si>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</si>
  <si>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</si>
  <si>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</si>
  <si>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</si>
  <si>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</si>
  <si>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</si>
  <si>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</si>
  <si>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</si>
  <si>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</si>
  <si>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</si>
  <si>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</si>
  <si>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</si>
  <si>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</si>
  <si>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</si>
  <si>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</si>
  <si>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</si>
  <si>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</si>
  <si>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</si>
  <si>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</si>
  <si>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</si>
  <si>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</si>
  <si>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</si>
  <si>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</si>
  <si>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</si>
  <si>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</si>
  <si>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</si>
  <si>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</si>
  <si>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</si>
  <si>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</si>
  <si>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</si>
  <si>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</si>
  <si>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</si>
  <si>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</si>
  <si>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</si>
  <si>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</si>
  <si>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</si>
  <si>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</si>
  <si>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</si>
  <si>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</si>
  <si>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</si>
  <si>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</si>
  <si>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</si>
  <si>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</si>
  <si>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</si>
  <si>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</si>
  <si>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</si>
  <si>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</si>
  <si>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</si>
  <si>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</si>
  <si>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</si>
  <si>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</si>
  <si>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</si>
  <si>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</si>
  <si>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</si>
  <si>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</si>
  <si>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</si>
  <si>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</si>
  <si>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</si>
  <si>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</si>
  <si>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</si>
  <si>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</si>
  <si>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</si>
  <si>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</si>
  <si>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</si>
  <si>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</si>
  <si>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</si>
  <si>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</si>
  <si>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</si>
  <si>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</si>
  <si>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</si>
  <si>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</si>
  <si>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</si>
  <si>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</si>
  <si>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</si>
  <si>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</si>
  <si>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</si>
  <si>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</si>
  <si>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</si>
  <si>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</si>
  <si>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</si>
  <si>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</si>
  <si>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</si>
  <si>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</si>
  <si>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</si>
  <si>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</si>
  <si>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</si>
  <si>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</si>
  <si>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</si>
  <si>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</si>
  <si>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</si>
  <si>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</si>
  <si>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</si>
  <si>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</si>
  <si>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</si>
  <si>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</si>
  <si>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</si>
  <si>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</si>
  <si>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</si>
  <si>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</si>
  <si>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</si>
  <si>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</si>
  <si>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</si>
  <si>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</si>
  <si>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</si>
  <si>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</si>
  <si>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</si>
  <si>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</si>
  <si>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</si>
  <si>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</si>
  <si>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</si>
  <si>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</si>
  <si>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</si>
  <si>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</si>
  <si>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</si>
  <si>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</si>
  <si>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</si>
  <si>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</si>
  <si>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</si>
  <si>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</si>
  <si>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</si>
  <si>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</si>
  <si>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</si>
  <si>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</si>
  <si>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</si>
  <si>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</si>
  <si>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</si>
  <si>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</si>
  <si>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</si>
  <si>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</si>
  <si>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</si>
  <si>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</si>
  <si>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</si>
  <si>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</si>
  <si>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</si>
  <si>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</si>
  <si>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</si>
  <si>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</si>
  <si>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</si>
  <si>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</si>
  <si>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</si>
  <si>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</si>
  <si>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</si>
  <si>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</si>
  <si>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</si>
  <si>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</si>
  <si>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</si>
  <si>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</si>
  <si>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</si>
  <si>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</si>
  <si>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</si>
  <si>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</si>
  <si>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</si>
  <si>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</si>
  <si>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</si>
  <si>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</si>
  <si>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</si>
  <si>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</si>
  <si>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</si>
  <si>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</si>
  <si>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</si>
  <si>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</si>
  <si>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</si>
  <si>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</si>
  <si>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</si>
  <si>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</si>
  <si>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</si>
  <si>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</si>
  <si>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</si>
  <si>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</si>
  <si>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</si>
  <si>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</si>
  <si>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</si>
  <si>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</si>
  <si>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</si>
  <si>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</si>
  <si>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</si>
  <si>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</si>
  <si>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</si>
  <si>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</si>
  <si>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</si>
  <si>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</si>
  <si>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</si>
  <si>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</si>
  <si>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</si>
  <si>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</si>
  <si>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</si>
  <si>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</si>
  <si>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</si>
  <si>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</si>
  <si>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</si>
  <si>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</si>
  <si>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</si>
  <si>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</si>
  <si>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</si>
  <si>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</si>
  <si>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</si>
  <si>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</si>
  <si>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</si>
  <si>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</si>
  <si>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</si>
  <si>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</si>
  <si>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</si>
  <si>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</si>
  <si>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</si>
  <si>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</si>
  <si>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</si>
  <si>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</si>
  <si>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</si>
  <si>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</si>
  <si>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</si>
  <si>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</si>
  <si>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</si>
  <si>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</si>
  <si>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</si>
  <si>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</si>
  <si>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</si>
  <si>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</si>
  <si>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</si>
  <si>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</si>
  <si>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</si>
  <si>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</si>
  <si>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</si>
  <si>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</si>
  <si>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</si>
  <si>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</si>
  <si>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</si>
  <si>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</si>
  <si>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</si>
  <si>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</si>
  <si>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</si>
  <si>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</si>
  <si>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</si>
  <si>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</si>
  <si>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</si>
  <si>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</si>
  <si>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</si>
  <si>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</si>
  <si>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</si>
  <si>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</si>
  <si>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</si>
  <si>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</si>
  <si>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</si>
  <si>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</si>
  <si>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</si>
  <si>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</si>
  <si>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</si>
  <si>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</si>
  <si>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</si>
  <si>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</si>
  <si>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</si>
  <si>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</si>
  <si>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</si>
  <si>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</si>
  <si>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</si>
  <si>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</si>
  <si>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</si>
  <si>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</si>
  <si>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</si>
  <si>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</si>
  <si>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</si>
  <si>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</si>
  <si>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</si>
  <si>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</si>
  <si>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</si>
  <si>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</si>
  <si>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</si>
  <si>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</si>
  <si>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</si>
  <si>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</si>
  <si>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</si>
  <si>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</si>
  <si>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</si>
  <si>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</si>
  <si>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</si>
  <si>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</si>
  <si>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</si>
  <si>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</si>
  <si>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</si>
  <si>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</si>
  <si>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</si>
  <si>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</si>
  <si>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</si>
  <si>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</si>
  <si>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</si>
  <si>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</si>
  <si>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</si>
  <si>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</si>
  <si>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</si>
  <si>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</si>
  <si>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</si>
  <si>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</si>
  <si>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</si>
  <si>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</si>
  <si>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</si>
  <si>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</si>
  <si>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</si>
  <si>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</si>
  <si>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</si>
  <si>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</si>
  <si>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</si>
  <si>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</si>
  <si>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</si>
  <si>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</si>
  <si>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</si>
  <si>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</si>
  <si>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</si>
  <si>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</si>
  <si>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</si>
  <si>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</si>
  <si>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</si>
  <si>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</si>
  <si>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</si>
  <si>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</si>
  <si>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</si>
  <si>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</si>
  <si>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</si>
  <si>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</si>
  <si>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</si>
  <si>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</si>
  <si>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</si>
  <si>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</si>
  <si>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</si>
  <si>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</si>
  <si>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</si>
  <si>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</si>
  <si>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</si>
  <si>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</si>
  <si>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</si>
  <si>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</si>
  <si>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</si>
  <si>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</si>
  <si>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</si>
  <si>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</si>
  <si>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</si>
  <si>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</si>
  <si>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</si>
  <si>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</si>
  <si>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</si>
  <si>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</si>
  <si>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</si>
  <si>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</si>
  <si>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</si>
  <si>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</si>
  <si>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</si>
  <si>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</si>
  <si>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</si>
  <si>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</si>
  <si>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</si>
  <si>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</si>
  <si>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</si>
  <si>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</si>
  <si>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</si>
  <si>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</si>
  <si>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</si>
  <si>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</si>
  <si>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</si>
  <si>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</si>
  <si>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</si>
  <si>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</si>
  <si>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</si>
  <si>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</si>
  <si>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</si>
  <si>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</si>
  <si>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</si>
  <si>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</si>
  <si>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</si>
  <si>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</si>
  <si>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</si>
  <si>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</si>
  <si>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</si>
  <si>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</si>
  <si>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</si>
  <si>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</si>
  <si>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</si>
  <si>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</si>
  <si>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</si>
  <si>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</si>
  <si>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</si>
  <si>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</si>
  <si>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</si>
  <si>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</si>
  <si>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</si>
  <si>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</si>
  <si>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</si>
  <si>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</si>
  <si>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</si>
  <si>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</si>
  <si>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</si>
  <si>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</si>
  <si>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</si>
  <si>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</si>
  <si>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</si>
  <si>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</si>
  <si>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</si>
  <si>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</si>
  <si>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</si>
  <si>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</si>
  <si>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</si>
  <si>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</si>
  <si>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</si>
  <si>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</si>
  <si>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</si>
  <si>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</si>
  <si>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</si>
  <si>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</si>
  <si>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</si>
  <si>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</si>
  <si>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</si>
  <si>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</si>
  <si>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</si>
  <si>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</si>
  <si>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</si>
  <si>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</si>
  <si>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</si>
  <si>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</si>
  <si>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</si>
  <si>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</si>
  <si>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</si>
  <si>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</si>
  <si>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</si>
  <si>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</si>
  <si>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</si>
  <si>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</si>
  <si>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</si>
  <si>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</si>
  <si>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</si>
  <si>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</si>
  <si>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</si>
  <si>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</si>
  <si>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</si>
  <si>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</si>
  <si>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</si>
  <si>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</si>
  <si>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</si>
  <si>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</si>
  <si>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</si>
  <si>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</si>
  <si>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</si>
  <si>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</si>
  <si>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</si>
  <si>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</si>
  <si>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</si>
  <si>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</si>
  <si>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</si>
  <si>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</si>
  <si>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</si>
  <si>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</si>
  <si>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</si>
  <si>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</si>
  <si>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</si>
  <si>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</si>
  <si>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</si>
  <si>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</si>
  <si>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</si>
  <si>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</si>
  <si>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</si>
  <si>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</si>
  <si>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</si>
  <si>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</si>
  <si>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</si>
  <si>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</si>
  <si>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</si>
  <si>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</si>
  <si>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</si>
  <si>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</si>
  <si>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</si>
  <si>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</si>
  <si>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</si>
  <si>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</si>
  <si>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</si>
  <si>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</si>
  <si>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</si>
  <si>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</si>
  <si>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</si>
  <si>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</si>
  <si>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</si>
  <si>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</si>
  <si>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</si>
  <si>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</si>
  <si>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</si>
  <si>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</si>
  <si>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</si>
  <si>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</si>
  <si>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</si>
  <si>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</si>
  <si>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</si>
  <si>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</si>
  <si>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</si>
  <si>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</si>
  <si>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</si>
  <si>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</si>
  <si>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</si>
  <si>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</si>
  <si>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</si>
  <si>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</si>
  <si>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</si>
  <si>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</si>
  <si>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</si>
  <si>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</si>
  <si>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</si>
  <si>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</si>
  <si>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</si>
  <si>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</si>
  <si>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</si>
  <si>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</si>
  <si>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</si>
  <si>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</si>
  <si>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</si>
  <si>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</si>
  <si>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</si>
  <si>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</si>
  <si>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</si>
  <si>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</si>
  <si>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</si>
  <si>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</si>
  <si>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</si>
  <si>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</si>
  <si>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</si>
  <si>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</si>
  <si>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</si>
  <si>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</si>
  <si>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</si>
  <si>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</si>
  <si>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</si>
  <si>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</si>
  <si>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</si>
  <si>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</si>
  <si>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</si>
  <si>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</si>
  <si>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</si>
  <si>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</si>
  <si>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</si>
  <si>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</si>
  <si>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</si>
  <si>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</si>
  <si>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</si>
  <si>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</si>
  <si>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</si>
  <si>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</si>
  <si>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</si>
  <si>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</si>
  <si>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</si>
  <si>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</si>
  <si>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</si>
  <si>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</si>
  <si>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</si>
  <si>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</si>
  <si>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</si>
  <si>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</si>
  <si>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</si>
  <si>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</si>
  <si>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</si>
  <si>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</si>
  <si>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</si>
  <si>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</si>
  <si>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</si>
  <si>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</si>
  <si>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</si>
  <si>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</si>
  <si>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</si>
  <si>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</si>
  <si>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</si>
  <si>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</si>
  <si>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</si>
  <si>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</si>
  <si>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</si>
  <si>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</si>
  <si>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</si>
  <si>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</si>
  <si>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</si>
  <si>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</si>
  <si>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</si>
  <si>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</si>
  <si>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</si>
  <si>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</si>
  <si>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</si>
  <si>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</si>
  <si>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</si>
  <si>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</si>
  <si>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</si>
  <si>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</si>
  <si>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</si>
  <si>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</si>
  <si>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</si>
  <si>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</si>
  <si>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</si>
  <si>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</si>
  <si>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</si>
  <si>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</si>
  <si>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</si>
  <si>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</si>
  <si>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</si>
  <si>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</si>
  <si>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</si>
  <si>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</si>
  <si>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</si>
  <si>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</si>
  <si>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</si>
  <si>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</si>
  <si>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</si>
  <si>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</si>
  <si>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</si>
  <si>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</si>
  <si>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</si>
  <si>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</si>
  <si>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</si>
  <si>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</si>
  <si>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</si>
  <si>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</si>
  <si>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</si>
  <si>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</si>
  <si>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</si>
  <si>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</si>
  <si>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</si>
  <si>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</si>
  <si>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</si>
  <si>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</si>
  <si>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</si>
  <si>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</si>
  <si>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</si>
  <si>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</si>
  <si>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</si>
  <si>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</si>
  <si>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</si>
  <si>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</si>
  <si>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</si>
  <si>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</si>
  <si>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</si>
  <si>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</si>
  <si>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</si>
  <si>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</si>
  <si>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</si>
  <si>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</si>
  <si>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</si>
  <si>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</si>
  <si>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</si>
  <si>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</si>
  <si>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</si>
  <si>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</si>
  <si>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</si>
  <si>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</si>
  <si>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</si>
  <si>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</si>
  <si>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</si>
  <si>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</si>
  <si>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</si>
  <si>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</si>
  <si>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</si>
  <si>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</si>
  <si>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</si>
  <si>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</si>
  <si>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</si>
  <si>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</si>
  <si>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</si>
  <si>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</si>
  <si>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</si>
  <si>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</si>
  <si>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</si>
  <si>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</si>
  <si>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</si>
  <si>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</si>
  <si>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</si>
  <si>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</si>
  <si>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</si>
  <si>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</si>
  <si>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</si>
  <si>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</si>
  <si>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</si>
  <si>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</si>
  <si>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</si>
  <si>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</si>
  <si>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</si>
  <si>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</si>
  <si>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</si>
  <si>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</si>
  <si>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</si>
  <si>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</si>
  <si>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</si>
  <si>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</si>
  <si>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</si>
  <si>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</si>
  <si>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</si>
  <si>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</si>
  <si>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</si>
  <si>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</si>
  <si>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</si>
  <si>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</si>
  <si>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</si>
  <si>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</si>
  <si>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</si>
  <si>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</si>
  <si>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</si>
  <si>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</si>
  <si>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</si>
  <si>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</si>
  <si>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</si>
  <si>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</si>
  <si>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</si>
  <si>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</si>
  <si>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</si>
  <si>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</si>
  <si>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</si>
  <si>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</si>
  <si>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</si>
  <si>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</si>
  <si>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</si>
  <si>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</si>
  <si>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</si>
  <si>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</si>
  <si>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</si>
  <si>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</si>
  <si>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</si>
  <si>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</si>
  <si>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</si>
  <si>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</si>
  <si>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</si>
  <si>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</si>
  <si>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</si>
  <si>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</si>
  <si>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</si>
  <si>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</si>
  <si>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</si>
  <si>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</si>
  <si>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</si>
  <si>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</si>
  <si>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</si>
  <si>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</si>
  <si>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</si>
  <si>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</si>
  <si>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</si>
  <si>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</si>
  <si>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</si>
  <si>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</si>
  <si>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</si>
  <si>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</si>
  <si>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</si>
  <si>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</si>
  <si>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</si>
  <si>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</si>
  <si>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</si>
  <si>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</si>
  <si>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</si>
  <si>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</si>
  <si>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</si>
  <si>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</si>
  <si>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</si>
  <si>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</si>
  <si>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</si>
  <si>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</si>
  <si>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</si>
  <si>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</si>
  <si>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</si>
  <si>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</si>
  <si>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</si>
  <si>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</si>
  <si>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</si>
  <si>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</si>
  <si>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</si>
  <si>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</si>
  <si>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</si>
  <si>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</si>
  <si>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</si>
  <si>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</si>
  <si>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</si>
  <si>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</si>
  <si>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</si>
  <si>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</si>
  <si>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</si>
  <si>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</si>
  <si>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</si>
  <si>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</si>
  <si>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</si>
  <si>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</si>
  <si>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</si>
  <si>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</si>
  <si>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</si>
  <si>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</si>
  <si>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</si>
  <si>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</si>
  <si>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</si>
  <si>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</si>
  <si>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</si>
  <si>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</si>
  <si>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</si>
  <si>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</si>
  <si>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</si>
  <si>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</si>
  <si>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</si>
  <si>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</si>
  <si>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</si>
  <si>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</si>
  <si>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</si>
  <si>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</si>
  <si>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</si>
  <si>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</si>
  <si>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</si>
  <si>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</si>
  <si>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</si>
  <si>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</si>
  <si>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</si>
  <si>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</si>
  <si>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</si>
  <si>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</si>
  <si>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</si>
  <si>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</si>
  <si>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</si>
  <si>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</si>
  <si>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</si>
  <si>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</si>
  <si>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</si>
  <si>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</si>
  <si>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</si>
  <si>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</si>
  <si>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</si>
  <si>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</si>
  <si>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</si>
  <si>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</si>
  <si>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</si>
  <si>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</si>
  <si>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</si>
  <si>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</si>
  <si>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</si>
  <si>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</si>
  <si>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</si>
  <si>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</si>
  <si>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</si>
  <si>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</si>
  <si>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</si>
  <si>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</si>
  <si>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</si>
  <si>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</si>
  <si>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</si>
  <si>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</si>
  <si>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</si>
  <si>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</si>
  <si>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</si>
  <si>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</si>
  <si>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</si>
  <si>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</si>
  <si>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</si>
  <si>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</si>
  <si>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</si>
  <si>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</si>
  <si>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</si>
  <si>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</si>
  <si>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</si>
  <si>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</si>
  <si>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</si>
  <si>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</si>
  <si>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</si>
  <si>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</si>
  <si>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</si>
  <si>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</si>
  <si>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</si>
  <si>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</si>
  <si>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</si>
  <si>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</si>
  <si>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</si>
  <si>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</si>
  <si>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</si>
  <si>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</si>
  <si>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</si>
  <si>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</si>
  <si>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</si>
  <si>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</si>
  <si>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</si>
  <si>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</si>
  <si>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</si>
  <si>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</si>
  <si>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</si>
  <si>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</si>
  <si>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</si>
  <si>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</si>
  <si>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</si>
  <si>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</si>
  <si>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</si>
  <si>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</si>
  <si>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</si>
  <si>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</si>
  <si>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</si>
  <si>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</si>
  <si>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</si>
  <si>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</si>
  <si>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</si>
  <si>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</si>
  <si>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</si>
  <si>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</si>
  <si>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</si>
  <si>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</si>
  <si>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</si>
  <si>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</si>
  <si>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</si>
  <si>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</si>
  <si>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</si>
  <si>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</si>
  <si>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</si>
  <si>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</si>
  <si>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</si>
  <si>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</si>
  <si>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</si>
  <si>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</si>
  <si>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</si>
  <si>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</si>
  <si>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</si>
  <si>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</si>
  <si>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</si>
  <si>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</si>
  <si>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</si>
  <si>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</si>
  <si>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</si>
  <si>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</si>
  <si>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</si>
  <si>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</si>
  <si>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</si>
  <si>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</si>
  <si>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</si>
  <si>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</si>
  <si>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</si>
  <si>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</si>
  <si>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</si>
  <si>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</si>
  <si>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</si>
  <si>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</si>
  <si>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</si>
  <si>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</si>
  <si>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</si>
  <si>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</si>
  <si>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</si>
  <si>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</si>
  <si>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</si>
  <si>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</si>
  <si>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</si>
  <si>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</si>
  <si>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</si>
  <si>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</si>
  <si>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</si>
  <si>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</si>
  <si>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</si>
  <si>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</si>
  <si>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</si>
  <si>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</si>
  <si>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</si>
  <si>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</si>
  <si>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</si>
  <si>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</si>
  <si>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</si>
  <si>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</si>
  <si>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</si>
  <si>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</si>
  <si>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</si>
  <si>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</si>
  <si>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</si>
  <si>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</si>
  <si>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</si>
  <si>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</si>
  <si>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</si>
  <si>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</si>
  <si>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</si>
  <si>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</si>
  <si>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</si>
  <si>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</si>
  <si>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</si>
  <si>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</si>
  <si>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</si>
  <si>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</si>
  <si>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</si>
  <si>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</si>
  <si>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</si>
  <si>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</si>
  <si>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</si>
  <si>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</si>
  <si>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</si>
  <si>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</si>
  <si>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</si>
  <si>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</si>
  <si>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</si>
  <si>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</si>
  <si>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</si>
  <si>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</si>
  <si>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</si>
  <si>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</si>
  <si>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</si>
  <si>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</si>
  <si>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</si>
  <si>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</si>
  <si>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</si>
  <si>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</si>
  <si>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</si>
  <si>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</si>
  <si>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</si>
  <si>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</si>
  <si>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</si>
  <si>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</si>
  <si>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</si>
  <si>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</si>
  <si>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</si>
  <si>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</si>
  <si>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</si>
  <si>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</si>
  <si>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</si>
  <si>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</si>
  <si>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</si>
  <si>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</si>
  <si>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</si>
  <si>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</si>
  <si>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</si>
  <si>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</si>
  <si>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</si>
  <si>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</si>
  <si>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</si>
  <si>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</si>
  <si>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</si>
  <si>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</si>
  <si>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</si>
  <si>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</si>
  <si>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</si>
  <si>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</si>
  <si>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</si>
  <si>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</si>
  <si>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</si>
  <si>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</si>
  <si>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</si>
  <si>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</si>
  <si>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</si>
  <si>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</si>
  <si>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</si>
  <si>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</si>
  <si>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</si>
  <si>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</si>
  <si>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</si>
  <si>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</si>
  <si>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</si>
  <si>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</si>
  <si>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</si>
  <si>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</si>
  <si>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</si>
  <si>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</si>
  <si>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</si>
  <si>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</si>
  <si>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</si>
  <si>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</si>
  <si>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</si>
  <si>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</si>
  <si>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</si>
  <si>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</si>
  <si>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</si>
  <si>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</si>
  <si>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</si>
  <si>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</si>
  <si>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</si>
  <si>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</si>
  <si>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</si>
  <si>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</si>
  <si>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</si>
  <si>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</si>
  <si>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</si>
  <si>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</si>
  <si>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</si>
  <si>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</si>
  <si>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</si>
  <si>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</si>
  <si>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</si>
  <si>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</si>
  <si>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</si>
  <si>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</si>
  <si>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</si>
  <si>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</si>
  <si>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</si>
  <si>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</si>
  <si>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</si>
  <si>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</si>
  <si>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</si>
  <si>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</si>
  <si>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</si>
  <si>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</si>
  <si>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</si>
  <si>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</si>
  <si>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</si>
  <si>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</si>
  <si>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</si>
  <si>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</si>
  <si>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</si>
  <si>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</si>
  <si>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</si>
  <si>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</si>
  <si>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</si>
  <si>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</si>
  <si>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</si>
  <si>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</si>
  <si>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</si>
  <si>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</si>
  <si>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</si>
  <si>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</si>
  <si>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</si>
  <si>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</si>
  <si>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</si>
  <si>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</si>
  <si>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</si>
  <si>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</si>
  <si>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</si>
  <si>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</si>
  <si>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</si>
  <si>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</si>
  <si>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</si>
  <si>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</si>
  <si>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</si>
  <si>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</si>
  <si>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</si>
  <si>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</si>
  <si>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</si>
  <si>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</si>
  <si>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</si>
  <si>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</si>
  <si>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</si>
  <si>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</si>
  <si>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</si>
  <si>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</si>
  <si>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</si>
  <si>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</si>
  <si>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</si>
  <si>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</si>
  <si>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</si>
  <si>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</si>
  <si>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</si>
  <si>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</si>
  <si>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</si>
  <si>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</si>
  <si>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</si>
  <si>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</si>
  <si>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</si>
  <si>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</si>
  <si>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</si>
  <si>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</si>
  <si>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</si>
  <si>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</si>
  <si>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</si>
  <si>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</si>
  <si>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</si>
  <si>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</si>
  <si>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</si>
  <si>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</si>
  <si>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</si>
  <si>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</si>
  <si>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</si>
  <si>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</si>
  <si>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</si>
  <si>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</si>
  <si>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</si>
  <si>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</si>
  <si>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</si>
  <si>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</si>
  <si>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</si>
  <si>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</si>
  <si>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</si>
  <si>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</si>
  <si>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</si>
  <si>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</si>
  <si>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</si>
  <si>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</si>
  <si>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</si>
  <si>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</si>
  <si>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</si>
  <si>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</si>
  <si>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</si>
  <si>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</si>
  <si>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</si>
  <si>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</si>
  <si>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</si>
  <si>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</si>
  <si>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</si>
  <si>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</si>
  <si>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</si>
  <si>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</si>
  <si>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</si>
  <si>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</si>
  <si>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</si>
  <si>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</si>
  <si>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</si>
  <si>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</si>
  <si>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</si>
  <si>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</si>
  <si>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</si>
  <si>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</si>
  <si>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</si>
  <si>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</si>
  <si>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</si>
  <si>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</si>
  <si>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</si>
  <si>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</si>
  <si>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</si>
  <si>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</si>
  <si>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</si>
  <si>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</si>
  <si>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</si>
  <si>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</si>
  <si>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</si>
  <si>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</si>
  <si>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</si>
  <si>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</si>
  <si>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</si>
  <si>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</si>
  <si>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</si>
  <si>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</si>
  <si>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</si>
  <si>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</si>
  <si>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</si>
  <si>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</si>
  <si>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</si>
  <si>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</si>
  <si>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</si>
  <si>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</si>
  <si>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</si>
  <si>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</si>
  <si>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</si>
  <si>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</si>
  <si>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</si>
  <si>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</si>
  <si>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</si>
  <si>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</si>
  <si>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</si>
  <si>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</si>
  <si>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</si>
  <si>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</si>
  <si>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</si>
  <si>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</si>
  <si>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</si>
  <si>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</si>
  <si>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</si>
  <si>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</si>
  <si>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</si>
  <si>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</si>
  <si>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</si>
  <si>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</si>
  <si>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</si>
  <si>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</si>
  <si>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</si>
  <si>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</si>
  <si>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</si>
  <si>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</si>
  <si>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</si>
  <si>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</si>
  <si>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</si>
  <si>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</si>
  <si>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</si>
  <si>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</si>
  <si>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</si>
  <si>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</si>
  <si>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</si>
  <si>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</si>
  <si>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</si>
  <si>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</si>
  <si>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</si>
  <si>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</si>
  <si>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</si>
  <si>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</si>
  <si>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</si>
  <si>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</si>
  <si>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</si>
  <si>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</si>
  <si>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</si>
  <si>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</si>
  <si>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</si>
  <si>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</si>
  <si>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</si>
  <si>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</si>
  <si>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</si>
  <si>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</si>
  <si>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</si>
  <si>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</si>
  <si>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</si>
  <si>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</si>
  <si>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</si>
  <si>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</si>
  <si>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</si>
  <si>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</si>
  <si>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</si>
  <si>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</si>
  <si>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</si>
  <si>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</si>
  <si>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</si>
  <si>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</si>
  <si>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</si>
  <si>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</si>
  <si>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</si>
  <si>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</si>
  <si>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</si>
  <si>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</si>
  <si>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</si>
  <si>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</si>
  <si>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</si>
  <si>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</si>
  <si>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</si>
  <si>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</si>
  <si>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</si>
  <si>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</si>
  <si>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</si>
  <si>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</si>
  <si>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</si>
  <si>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</si>
  <si>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</si>
  <si>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</si>
  <si>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</si>
  <si>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</si>
  <si>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</si>
  <si>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</si>
  <si>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</si>
  <si>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</si>
  <si>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</si>
  <si>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</si>
  <si>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</si>
  <si>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</si>
  <si>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</si>
  <si>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</si>
  <si>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</si>
  <si>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</si>
  <si>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</si>
  <si>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</si>
  <si>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</si>
  <si>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</si>
  <si>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</si>
  <si>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</si>
  <si>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</si>
  <si>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</si>
  <si>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</si>
  <si>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</si>
  <si>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</si>
  <si>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</si>
  <si>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</si>
  <si>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</si>
  <si>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</si>
  <si>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</si>
  <si>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</si>
  <si>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</si>
  <si>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</si>
  <si>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</si>
  <si>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</si>
  <si>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</si>
  <si>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</si>
  <si>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</si>
  <si>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</si>
  <si>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</si>
  <si>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</si>
  <si>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</si>
  <si>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</si>
  <si>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</si>
  <si>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</si>
  <si>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</si>
  <si>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</si>
  <si>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</si>
  <si>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</si>
  <si>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</si>
  <si>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</si>
  <si>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</si>
  <si>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</si>
  <si>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</si>
  <si>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</si>
  <si>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</si>
  <si>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</si>
  <si>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</si>
  <si>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</si>
  <si>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</si>
  <si>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</si>
  <si>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</si>
  <si>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</si>
  <si>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</si>
  <si>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</si>
  <si>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</si>
  <si>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</si>
  <si>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</si>
  <si>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</si>
  <si>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</si>
  <si>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</si>
  <si>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</si>
  <si>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</si>
  <si>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</si>
  <si>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</si>
  <si>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</si>
  <si>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</si>
  <si>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</si>
  <si>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</si>
  <si>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</si>
  <si>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</si>
  <si>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</si>
  <si>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</si>
  <si>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</si>
  <si>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</si>
  <si>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</si>
  <si>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</si>
  <si>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</si>
  <si>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</si>
  <si>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</si>
  <si>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</si>
  <si>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</si>
  <si>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</si>
  <si>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</si>
  <si>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</si>
  <si>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</si>
  <si>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</si>
  <si>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</si>
  <si>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</si>
  <si>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</si>
  <si>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</si>
  <si>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</si>
  <si>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</si>
  <si>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</si>
  <si>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</si>
  <si>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</si>
  <si>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</si>
  <si>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</si>
  <si>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</si>
  <si>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</si>
  <si>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</si>
  <si>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</si>
  <si>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</si>
  <si>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</si>
  <si>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</si>
  <si>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</si>
  <si>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</si>
  <si>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</si>
  <si>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</si>
  <si>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</si>
  <si>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</si>
  <si>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</si>
  <si>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</si>
  <si>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</si>
  <si>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</si>
  <si>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</si>
  <si>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</si>
  <si>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</si>
  <si>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</si>
  <si>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</si>
  <si>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</si>
  <si>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</si>
  <si>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</si>
  <si>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</si>
  <si>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</si>
  <si>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</si>
  <si>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</si>
  <si>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</si>
  <si>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</si>
  <si>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</si>
  <si>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</si>
  <si>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</si>
  <si>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</si>
  <si>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</si>
  <si>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</si>
  <si>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</si>
  <si>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</si>
  <si>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</si>
  <si>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</si>
  <si>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</si>
  <si>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</si>
  <si>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</si>
  <si>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</si>
  <si>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</si>
  <si>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</si>
  <si>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</si>
  <si>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</si>
  <si>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</si>
  <si>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</si>
  <si>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</si>
  <si>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</si>
  <si>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</si>
  <si>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</si>
  <si>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</si>
  <si>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</si>
  <si>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</si>
  <si>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</si>
  <si>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</si>
  <si>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</si>
  <si>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</si>
  <si>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</si>
  <si>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</si>
  <si>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</si>
  <si>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</si>
  <si>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</si>
  <si>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</si>
  <si>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</si>
  <si>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</si>
  <si>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</si>
  <si>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</si>
  <si>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</si>
  <si>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</si>
  <si>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</si>
  <si>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</si>
  <si>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</si>
  <si>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</si>
  <si>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</si>
  <si>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</si>
  <si>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</si>
  <si>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</si>
  <si>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</si>
  <si>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</si>
  <si>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</si>
  <si>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</si>
  <si>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</si>
  <si>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</si>
  <si>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</si>
  <si>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</si>
  <si>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</si>
  <si>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</si>
  <si>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</si>
  <si>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</si>
  <si>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</si>
  <si>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</si>
  <si>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</si>
  <si>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</si>
  <si>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</si>
  <si>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</si>
  <si>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</si>
  <si>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</si>
  <si>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</si>
  <si>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</si>
  <si>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</si>
  <si>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</si>
  <si>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</si>
  <si>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</si>
  <si>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</si>
  <si>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</si>
  <si>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</si>
  <si>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</si>
  <si>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</si>
  <si>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</si>
  <si>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</si>
  <si>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</si>
  <si>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</si>
  <si>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</si>
  <si>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</si>
  <si>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</si>
  <si>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</si>
  <si>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</si>
  <si>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</si>
  <si>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</si>
  <si>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</si>
  <si>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</si>
  <si>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</si>
  <si>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</si>
  <si>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</si>
  <si>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</si>
  <si>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</si>
  <si>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</si>
  <si>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</si>
  <si>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</si>
  <si>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</si>
  <si>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</si>
  <si>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</si>
  <si>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</si>
  <si>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</si>
  <si>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</si>
  <si>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</si>
  <si>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</si>
  <si>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</si>
  <si>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</si>
  <si>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</si>
  <si>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</si>
  <si>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</si>
  <si>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</si>
  <si>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</si>
  <si>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</si>
  <si>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</si>
  <si>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</si>
  <si>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</si>
  <si>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</si>
  <si>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</si>
  <si>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</si>
  <si>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</si>
  <si>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</si>
  <si>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</si>
  <si>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</si>
  <si>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</si>
  <si>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</si>
  <si>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</si>
  <si>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</si>
  <si>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</si>
  <si>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</si>
  <si>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</si>
  <si>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</si>
  <si>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</si>
  <si>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</si>
  <si>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</si>
  <si>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</si>
  <si>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</si>
  <si>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</si>
  <si>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</si>
  <si>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</si>
  <si>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</si>
  <si>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</si>
  <si>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</si>
  <si>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</si>
  <si>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</si>
  <si>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</si>
  <si>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</si>
  <si>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</si>
  <si>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</si>
  <si>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</si>
  <si>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</si>
  <si>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</si>
  <si>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</si>
  <si>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</si>
  <si>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</si>
  <si>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</si>
  <si>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</si>
  <si>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</si>
  <si>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</si>
  <si>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</si>
  <si>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</si>
  <si>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</si>
  <si>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</si>
  <si>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</si>
  <si>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</si>
  <si>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</si>
  <si>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</si>
  <si>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</si>
  <si>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</si>
  <si>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</si>
  <si>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</si>
  <si>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</si>
  <si>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</si>
  <si>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</si>
  <si>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</si>
  <si>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</si>
  <si>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</si>
  <si>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</si>
  <si>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</si>
  <si>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</si>
  <si>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</si>
  <si>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</si>
  <si>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</si>
  <si>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</si>
  <si>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</si>
  <si>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</si>
  <si>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</si>
  <si>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</si>
  <si>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</si>
  <si>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</si>
  <si>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</si>
  <si>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</si>
  <si>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</si>
  <si>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</si>
  <si>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</si>
  <si>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</si>
  <si>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</si>
  <si>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</si>
  <si>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</si>
  <si>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</si>
  <si>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</si>
  <si>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</si>
  <si>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</si>
  <si>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</si>
  <si>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</si>
  <si>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</si>
  <si>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</si>
  <si>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</si>
  <si>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</si>
  <si>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</si>
  <si>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</si>
  <si>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</si>
  <si>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</si>
  <si>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</si>
  <si>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</si>
  <si>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</si>
  <si>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</si>
  <si>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</si>
  <si>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</si>
  <si>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</si>
  <si>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</si>
  <si>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</si>
  <si>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</si>
  <si>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</si>
  <si>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</si>
  <si>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</si>
  <si>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</si>
  <si>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</si>
  <si>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</si>
  <si>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</si>
  <si>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</si>
  <si>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</si>
  <si>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</si>
  <si>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</si>
  <si>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</si>
  <si>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</si>
  <si>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</si>
  <si>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</si>
  <si>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</si>
  <si>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</si>
  <si>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</si>
  <si>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</si>
  <si>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</si>
  <si>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</si>
  <si>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</si>
  <si>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</si>
  <si>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</si>
  <si>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</si>
  <si>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</si>
  <si>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</si>
  <si>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</si>
  <si>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</si>
  <si>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</si>
  <si>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</si>
  <si>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</si>
  <si>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</si>
  <si>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</si>
  <si>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</si>
  <si>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</si>
  <si>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</si>
  <si>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</si>
  <si>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</si>
  <si>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</si>
  <si>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</si>
  <si>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</si>
  <si>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</si>
  <si>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</si>
  <si>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</si>
  <si>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</si>
  <si>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</si>
  <si>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</si>
  <si>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</si>
  <si>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</si>
  <si>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</si>
  <si>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</si>
  <si>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</si>
  <si>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</si>
  <si>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</si>
  <si>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</si>
  <si>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</si>
  <si>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</si>
  <si>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</si>
  <si>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</si>
  <si>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</si>
  <si>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</si>
  <si>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</si>
  <si>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</si>
  <si>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</si>
  <si>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</si>
  <si>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</si>
  <si>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</si>
  <si>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</si>
  <si>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</si>
  <si>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</si>
  <si>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</si>
  <si>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</si>
  <si>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</si>
  <si>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</si>
  <si>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</si>
  <si>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</si>
  <si>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</si>
  <si>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</si>
  <si>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</si>
  <si>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</si>
  <si>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</si>
  <si>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</si>
  <si>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</si>
  <si>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</si>
  <si>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</si>
  <si>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</si>
  <si>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</si>
  <si>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</si>
  <si>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</si>
  <si>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</si>
  <si>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</si>
  <si>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</si>
  <si>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</si>
  <si>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</si>
  <si>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</si>
  <si>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</si>
  <si>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</si>
  <si>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</si>
  <si>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</si>
  <si>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</si>
  <si>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</si>
  <si>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</si>
  <si>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</si>
  <si>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</si>
  <si>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</si>
  <si>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</si>
  <si>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</si>
  <si>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</si>
  <si>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</si>
  <si>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</si>
  <si>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</si>
  <si>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</si>
  <si>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</si>
  <si>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</si>
  <si>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</si>
  <si>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</si>
  <si>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</si>
  <si>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</si>
  <si>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</si>
  <si>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</si>
  <si>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</si>
  <si>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</si>
  <si>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</si>
  <si>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</si>
  <si>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</si>
  <si>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</si>
  <si>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</si>
  <si>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</si>
  <si>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</si>
  <si>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</si>
  <si>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</si>
  <si>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</si>
  <si>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</si>
  <si>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</si>
  <si>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</si>
  <si>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</si>
  <si>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</si>
  <si>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</si>
  <si>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</si>
  <si>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</si>
  <si>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</si>
  <si>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</si>
  <si>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</si>
  <si>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</si>
  <si>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</si>
  <si>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</si>
  <si>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</si>
  <si>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</si>
  <si>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</si>
  <si>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</si>
  <si>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</si>
  <si>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</si>
  <si>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</si>
  <si>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</si>
  <si>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</si>
  <si>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</si>
  <si>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</si>
  <si>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</si>
  <si>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</si>
  <si>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</si>
  <si>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</si>
  <si>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</si>
  <si>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</si>
  <si>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</si>
  <si>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</si>
  <si>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</si>
  <si>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</si>
  <si>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</si>
  <si>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</si>
  <si>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</si>
  <si>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</si>
  <si>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</si>
  <si>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</si>
  <si>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</si>
  <si>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</si>
  <si>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</si>
  <si>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</si>
  <si>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</si>
  <si>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</si>
  <si>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</si>
  <si>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</si>
  <si>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</si>
  <si>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</si>
  <si>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</si>
  <si>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</si>
  <si>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</si>
  <si>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</si>
  <si>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</si>
  <si>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</si>
  <si>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</si>
  <si>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</si>
  <si>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</si>
  <si>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</si>
  <si>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</si>
  <si>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</si>
  <si>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</si>
  <si>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</si>
  <si>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</si>
  <si>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</si>
  <si>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</si>
  <si>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</si>
  <si>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</si>
  <si>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</si>
  <si>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</si>
  <si>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</si>
  <si>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</si>
  <si>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</si>
  <si>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</si>
  <si>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</si>
  <si>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</si>
  <si>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</si>
  <si>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</si>
  <si>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</si>
  <si>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</si>
  <si>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</si>
  <si>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</si>
  <si>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</si>
  <si>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</si>
  <si>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</si>
  <si>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</si>
  <si>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</si>
  <si>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</si>
  <si>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</si>
  <si>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</si>
  <si>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</si>
  <si>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</si>
  <si>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</si>
  <si>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</si>
  <si>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</si>
  <si>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</si>
  <si>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</si>
  <si>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</si>
  <si>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</si>
  <si>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</si>
  <si>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</si>
  <si>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</si>
  <si>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</si>
  <si>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</si>
  <si>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</si>
  <si>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</si>
  <si>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</si>
  <si>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</si>
  <si>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</si>
  <si>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</si>
  <si>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</si>
  <si>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</si>
  <si>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</si>
  <si>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</si>
  <si>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</si>
  <si>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</si>
  <si>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</si>
  <si>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</si>
  <si>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</si>
  <si>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</si>
  <si>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</si>
  <si>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</si>
  <si>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</si>
  <si>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</si>
  <si>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</si>
  <si>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</si>
  <si>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</si>
  <si>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</si>
  <si>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</si>
  <si>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</si>
  <si>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</si>
  <si>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</si>
  <si>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</si>
  <si>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</si>
  <si>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</si>
  <si>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</si>
  <si>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</si>
  <si>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</si>
  <si>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</si>
  <si>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</si>
  <si>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</si>
  <si>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</si>
  <si>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</si>
  <si>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</si>
  <si>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</si>
  <si>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</si>
  <si>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</si>
  <si>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</si>
  <si>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</si>
  <si>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</si>
  <si>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</si>
  <si>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</si>
  <si>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</si>
  <si>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</si>
  <si>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</si>
  <si>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</si>
  <si>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</si>
  <si>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</si>
  <si>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</si>
  <si>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</si>
  <si>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</si>
  <si>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</si>
  <si>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</si>
  <si>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</si>
  <si>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</si>
  <si>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</si>
  <si>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</si>
  <si>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</si>
  <si>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</si>
  <si>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</si>
  <si>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</si>
  <si>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</si>
  <si>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</si>
  <si>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</si>
  <si>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</si>
  <si>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</si>
  <si>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</si>
  <si>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</si>
  <si>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</si>
  <si>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</si>
  <si>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</si>
  <si>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</si>
  <si>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</si>
  <si>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</si>
  <si>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</si>
  <si>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</si>
  <si>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</si>
  <si>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</si>
  <si>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</si>
  <si>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</si>
  <si>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</si>
  <si>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</si>
  <si>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</si>
  <si>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</si>
  <si>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</si>
  <si>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</si>
  <si>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</si>
  <si>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</si>
  <si>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</si>
  <si>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</si>
  <si>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</si>
  <si>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</si>
  <si>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</si>
  <si>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</si>
  <si>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</si>
  <si>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</si>
  <si>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</si>
  <si>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</si>
  <si>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</si>
  <si>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</si>
  <si>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</si>
  <si>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</si>
  <si>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</si>
  <si>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</si>
  <si>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</si>
  <si>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</si>
  <si>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</si>
  <si>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</si>
  <si>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</si>
  <si>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</si>
  <si>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</si>
  <si>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</si>
  <si>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</si>
  <si>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</si>
  <si>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</si>
  <si>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</si>
  <si>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</si>
  <si>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</si>
  <si>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</si>
  <si>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</si>
  <si>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</si>
  <si>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</si>
  <si>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</si>
  <si>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</si>
  <si>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</si>
  <si>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</si>
  <si>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</si>
  <si>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</si>
  <si>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</si>
  <si>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</si>
  <si>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</si>
  <si>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</si>
  <si>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</si>
  <si>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</si>
  <si>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</si>
  <si>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</si>
  <si>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</si>
  <si>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</si>
  <si>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</si>
  <si>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</si>
  <si>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</si>
  <si>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</si>
  <si>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</si>
  <si>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</si>
  <si>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</si>
  <si>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</si>
  <si>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</si>
  <si>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</si>
  <si>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</si>
  <si>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</si>
  <si>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</si>
  <si>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</si>
  <si>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</si>
  <si>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</si>
  <si>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</si>
  <si>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</si>
  <si>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</si>
  <si>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</si>
  <si>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</si>
  <si>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</si>
  <si>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</si>
  <si>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</si>
  <si>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</si>
  <si>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</si>
  <si>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</si>
  <si>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</si>
  <si>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</si>
  <si>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</si>
  <si>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</si>
  <si>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</si>
  <si>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</si>
  <si>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</si>
  <si>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</si>
  <si>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</si>
  <si>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</si>
  <si>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</si>
  <si>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</si>
  <si>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</si>
  <si>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</si>
  <si>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</si>
  <si>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</si>
  <si>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</si>
  <si>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</si>
  <si>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</si>
  <si>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</si>
  <si>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</si>
  <si>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</si>
  <si>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</si>
  <si>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</si>
  <si>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</si>
  <si>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</si>
  <si>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</si>
  <si>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</si>
  <si>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</si>
  <si>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</si>
  <si>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</si>
  <si>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</si>
  <si>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</si>
  <si>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</si>
  <si>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</si>
  <si>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</si>
  <si>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</si>
  <si>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</si>
  <si>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</si>
  <si>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</si>
  <si>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</si>
  <si>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</si>
  <si>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</si>
  <si>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</si>
  <si>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</si>
  <si>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</si>
  <si>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</si>
  <si>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</si>
  <si>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</si>
  <si>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</si>
  <si>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</si>
  <si>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</si>
  <si>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</si>
  <si>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</si>
  <si>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</si>
  <si>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</si>
  <si>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</si>
  <si>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</si>
  <si>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</si>
  <si>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</si>
  <si>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</si>
  <si>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</si>
  <si>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</si>
  <si>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</si>
  <si>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</si>
  <si>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</si>
  <si>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</si>
  <si>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</si>
  <si>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</si>
  <si>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</si>
  <si>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</si>
  <si>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</si>
  <si>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</si>
  <si>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</si>
  <si>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</si>
  <si>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</si>
  <si>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</si>
  <si>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</si>
  <si>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</si>
  <si>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</si>
  <si>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</si>
  <si>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</si>
  <si>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</si>
  <si>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</si>
  <si>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</si>
  <si>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</si>
  <si>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</si>
  <si>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</si>
  <si>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</si>
  <si>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</si>
  <si>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</si>
  <si>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</si>
  <si>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</si>
  <si>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</si>
  <si>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</si>
  <si>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</si>
  <si>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</si>
  <si>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</si>
  <si>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</si>
  <si>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</si>
  <si>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</si>
  <si>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</si>
  <si>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</si>
  <si>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</si>
  <si>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</si>
  <si>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</si>
  <si>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</si>
  <si>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</si>
  <si>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</si>
  <si>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</si>
  <si>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</si>
  <si>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</si>
  <si>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</si>
  <si>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</si>
  <si>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</si>
  <si>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</si>
  <si>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</si>
  <si>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</si>
  <si>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</si>
  <si>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</si>
  <si>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</si>
  <si>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</si>
  <si>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</si>
  <si>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</si>
  <si>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</si>
  <si>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</si>
  <si>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</si>
  <si>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</si>
  <si>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</si>
  <si>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</si>
  <si>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</si>
  <si>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</si>
  <si>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</si>
  <si>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</si>
  <si>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</si>
  <si>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</si>
  <si>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</si>
  <si>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</si>
  <si>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</si>
  <si>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</si>
  <si>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</si>
  <si>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</si>
  <si>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</si>
  <si>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</si>
  <si>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</si>
  <si>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</si>
  <si>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</si>
  <si>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</si>
  <si>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</si>
  <si>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</si>
  <si>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</si>
  <si>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</si>
  <si>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</si>
  <si>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</si>
  <si>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</si>
  <si>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</si>
  <si>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</si>
  <si>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</si>
  <si>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</si>
  <si>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</si>
  <si>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</si>
  <si>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</si>
  <si>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</si>
  <si>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</si>
  <si>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</si>
  <si>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</si>
  <si>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</si>
  <si>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</si>
  <si>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</si>
  <si>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</si>
  <si>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</si>
  <si>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</si>
  <si>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</si>
  <si>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</si>
  <si>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</si>
  <si>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</si>
  <si>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</si>
  <si>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</si>
  <si>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</si>
  <si>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</si>
  <si>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</si>
  <si>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</si>
  <si>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</si>
  <si>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</si>
  <si>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</si>
  <si>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</si>
  <si>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</si>
  <si>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</si>
  <si>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</si>
  <si>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</si>
  <si>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</si>
  <si>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</si>
  <si>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</si>
  <si>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</si>
  <si>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</si>
  <si>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</si>
  <si>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</si>
  <si>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</si>
  <si>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</si>
  <si>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</si>
  <si>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</si>
  <si>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</si>
  <si>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</si>
  <si>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</si>
  <si>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</si>
  <si>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</si>
  <si>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</si>
  <si>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</si>
  <si>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</si>
  <si>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</si>
  <si>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</si>
  <si>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</si>
  <si>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</si>
  <si>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</si>
  <si>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</si>
  <si>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</si>
  <si>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</si>
  <si>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</si>
  <si>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</si>
  <si>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</si>
  <si>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</si>
  <si>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</si>
  <si>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</si>
  <si>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</si>
  <si>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</si>
  <si>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</si>
  <si>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</si>
  <si>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</si>
  <si>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</si>
  <si>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</si>
  <si>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</si>
  <si>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</si>
  <si>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</si>
  <si>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</si>
  <si>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</si>
  <si>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</si>
  <si>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</si>
  <si>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</si>
  <si>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</si>
  <si>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</si>
  <si>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</si>
  <si>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</si>
  <si>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</si>
  <si>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</si>
  <si>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</si>
  <si>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</si>
  <si>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</si>
  <si>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</si>
  <si>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</si>
  <si>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</si>
  <si>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</si>
  <si>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</si>
  <si>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</si>
  <si>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</si>
  <si>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</si>
  <si>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</si>
  <si>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</si>
  <si>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</si>
  <si>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</si>
  <si>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</si>
  <si>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</si>
  <si>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</si>
  <si>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</si>
  <si>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</si>
  <si>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</si>
  <si>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</si>
  <si>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</si>
  <si>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</si>
  <si>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</si>
  <si>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</si>
  <si>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</si>
  <si>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</si>
  <si>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</si>
  <si>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</si>
  <si>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</si>
  <si>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</si>
  <si>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</si>
  <si>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</si>
  <si>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</si>
  <si>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</si>
  <si>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</si>
  <si>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</si>
  <si>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</si>
  <si>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</si>
  <si>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</si>
  <si>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</si>
  <si>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</si>
  <si>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</si>
  <si>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</si>
  <si>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</si>
  <si>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</si>
  <si>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</si>
  <si>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</si>
  <si>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</si>
  <si>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</si>
  <si>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</si>
  <si>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</si>
  <si>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</si>
  <si>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</si>
  <si>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</si>
  <si>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</si>
  <si>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</si>
  <si>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</si>
  <si>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</si>
  <si>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</si>
  <si>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</si>
  <si>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</si>
  <si>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</si>
  <si>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</si>
  <si>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</si>
  <si>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</si>
  <si>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</si>
  <si>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</si>
  <si>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</si>
  <si>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</si>
  <si>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</si>
  <si>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</si>
  <si>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</si>
  <si>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</si>
  <si>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</si>
  <si>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</si>
  <si>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</si>
  <si>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</si>
  <si>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</si>
  <si>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</si>
  <si>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</si>
  <si>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</si>
  <si>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</si>
  <si>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</si>
  <si>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</si>
  <si>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</si>
  <si>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</si>
  <si>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</si>
  <si>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</si>
  <si>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</si>
  <si>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</si>
  <si>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</si>
  <si>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</si>
  <si>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</si>
  <si>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</si>
  <si>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</si>
  <si>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</si>
  <si>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</si>
  <si>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</si>
  <si>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</si>
  <si>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</si>
  <si>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</si>
  <si>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</si>
  <si>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</si>
  <si>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</si>
  <si>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</si>
  <si>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</si>
  <si>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</si>
  <si>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</si>
  <si>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</si>
  <si>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</si>
  <si>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</si>
  <si>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</si>
  <si>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</si>
  <si>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</si>
  <si>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</si>
  <si>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</si>
  <si>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</si>
  <si>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</si>
  <si>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</si>
  <si>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</si>
  <si>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</si>
  <si>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</si>
  <si>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</si>
  <si>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</si>
  <si>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</si>
  <si>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</si>
  <si>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</si>
  <si>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</si>
  <si>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</si>
  <si>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</si>
  <si>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</si>
  <si>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</si>
  <si>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</si>
  <si>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</si>
  <si>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</si>
  <si>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</si>
  <si>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</si>
  <si>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</si>
  <si>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</si>
  <si>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</si>
  <si>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</si>
  <si>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</si>
  <si>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</si>
  <si>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</si>
  <si>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</si>
  <si>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</si>
  <si>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</si>
  <si>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</si>
  <si>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</si>
  <si>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</si>
  <si>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</si>
  <si>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</si>
  <si>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</si>
  <si>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</si>
  <si>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</si>
  <si>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</si>
  <si>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</si>
  <si>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</si>
  <si>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</si>
  <si>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</si>
  <si>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</si>
  <si>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</si>
  <si>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</si>
  <si>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</si>
  <si>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</si>
  <si>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</si>
  <si>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</si>
  <si>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</si>
  <si>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</si>
  <si>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</si>
  <si>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</si>
  <si>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</si>
  <si>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</si>
  <si>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</si>
  <si>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</si>
  <si>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</si>
  <si>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</si>
  <si>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</si>
  <si>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</si>
  <si>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</si>
  <si>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</si>
  <si>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</si>
  <si>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</si>
  <si>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</si>
  <si>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</si>
  <si>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</si>
  <si>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</si>
  <si>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</si>
  <si>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</si>
  <si>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</si>
  <si>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</si>
  <si>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</si>
  <si>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</si>
  <si>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</si>
  <si>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</si>
  <si>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</si>
  <si>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</si>
  <si>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</si>
  <si>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</si>
  <si>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</si>
  <si>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</si>
  <si>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</si>
  <si>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</si>
  <si>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</si>
  <si>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</si>
  <si>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</si>
  <si>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</si>
  <si>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</si>
  <si>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</si>
  <si>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</si>
  <si>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</si>
  <si>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</si>
  <si>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</si>
  <si>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</si>
  <si>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</si>
  <si>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</si>
  <si>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</si>
  <si>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</si>
  <si>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</si>
  <si>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</si>
  <si>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</si>
  <si>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</si>
  <si>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</si>
  <si>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</si>
  <si>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</si>
  <si>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</si>
  <si>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</si>
  <si>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</si>
  <si>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</si>
  <si>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</si>
  <si>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</si>
  <si>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</si>
  <si>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</si>
  <si>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</si>
  <si>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</si>
  <si>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</si>
  <si>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</si>
  <si>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</si>
  <si>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</si>
  <si>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</si>
  <si>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</si>
  <si>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</si>
  <si>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</si>
  <si>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</si>
  <si>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</si>
  <si>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</si>
  <si>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</si>
  <si>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</si>
  <si>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</si>
  <si>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</si>
  <si>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</si>
  <si>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</si>
  <si>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</si>
  <si>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</si>
  <si>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</si>
  <si>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</si>
  <si>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</si>
  <si>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</si>
  <si>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</si>
  <si>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</si>
  <si>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</si>
  <si>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</si>
  <si>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</si>
  <si>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</si>
  <si>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</si>
  <si>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</si>
  <si>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</si>
  <si>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</si>
  <si>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</si>
  <si>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</si>
  <si>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</si>
  <si>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</si>
  <si>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</si>
  <si>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</si>
  <si>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</si>
  <si>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</si>
  <si>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</si>
  <si>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</si>
  <si>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</si>
  <si>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</si>
  <si>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</si>
  <si>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</si>
  <si>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</si>
  <si>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</si>
  <si>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</si>
  <si>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</si>
  <si>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</si>
  <si>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</si>
  <si>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</si>
  <si>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</si>
  <si>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</si>
  <si>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</si>
  <si>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</si>
  <si>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</si>
  <si>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</si>
  <si>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</si>
  <si>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</si>
  <si>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</si>
  <si>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</si>
  <si>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</si>
  <si>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</si>
  <si>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</si>
  <si>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</si>
  <si>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</si>
  <si>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</si>
  <si>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</si>
  <si>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</si>
  <si>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</si>
  <si>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</si>
  <si>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</si>
  <si>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</si>
  <si>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</si>
  <si>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</si>
  <si>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</si>
  <si>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</si>
  <si>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</si>
  <si>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</si>
  <si>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</si>
  <si>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</si>
  <si>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</si>
  <si>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</si>
  <si>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</si>
  <si>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</si>
  <si>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</si>
  <si>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</si>
  <si>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</si>
  <si>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</si>
  <si>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</si>
  <si>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</si>
  <si>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</si>
  <si>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</si>
  <si>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</si>
  <si>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</si>
  <si>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</si>
  <si>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</si>
  <si>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</si>
  <si>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</si>
  <si>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</si>
  <si>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</si>
  <si>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</si>
  <si>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</si>
  <si>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</si>
  <si>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</si>
  <si>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</si>
  <si>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</si>
  <si>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</si>
  <si>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</si>
  <si>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</si>
  <si>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</si>
  <si>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</si>
  <si>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</si>
  <si>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</si>
  <si>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</si>
  <si>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</si>
  <si>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</si>
  <si>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</si>
  <si>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</si>
  <si>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</si>
  <si>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</si>
  <si>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</si>
  <si>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</si>
  <si>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</si>
  <si>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</si>
  <si>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</si>
  <si>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</si>
  <si>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</si>
  <si>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</si>
  <si>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</si>
  <si>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</si>
  <si>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</si>
  <si>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</si>
  <si>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</si>
  <si>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</si>
  <si>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</si>
  <si>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</si>
  <si>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</si>
  <si>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</si>
  <si>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</si>
  <si>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</si>
  <si>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</si>
  <si>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</si>
  <si>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</si>
  <si>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</si>
  <si>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</si>
  <si>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</si>
  <si>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</si>
  <si>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</si>
  <si>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</si>
  <si>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</si>
  <si>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</si>
  <si>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</si>
  <si>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</si>
  <si>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</si>
  <si>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</si>
  <si>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</si>
  <si>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</si>
  <si>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</si>
  <si>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</si>
  <si>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</si>
  <si>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</si>
  <si>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</si>
  <si>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</si>
  <si>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</si>
  <si>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</si>
  <si>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</si>
  <si>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</si>
  <si>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</si>
  <si>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</si>
  <si>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</si>
  <si>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</si>
  <si>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</si>
  <si>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</si>
  <si>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</si>
  <si>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</si>
  <si>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</si>
  <si>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</si>
  <si>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</si>
  <si>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</si>
  <si>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</si>
  <si>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</si>
  <si>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</si>
  <si>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</si>
  <si>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</si>
  <si>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</si>
  <si>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</si>
  <si>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</si>
  <si>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</si>
  <si>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</si>
  <si>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</si>
  <si>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</si>
  <si>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</si>
  <si>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</si>
  <si>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</si>
  <si>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</si>
  <si>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</si>
  <si>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</si>
  <si>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</si>
  <si>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</si>
  <si>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</si>
  <si>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</si>
  <si>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</si>
  <si>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</si>
  <si>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</si>
  <si>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</si>
  <si>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</si>
  <si>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</si>
  <si>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</si>
  <si>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</si>
  <si>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</si>
  <si>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</si>
  <si>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</si>
  <si>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</si>
  <si>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</si>
  <si>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</si>
  <si>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</si>
  <si>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</si>
  <si>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</si>
  <si>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</si>
  <si>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</si>
  <si>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</si>
  <si>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</si>
  <si>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</si>
  <si>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</si>
  <si>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</si>
  <si>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</si>
  <si>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</si>
  <si>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</si>
  <si>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</si>
  <si>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</si>
  <si>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</si>
  <si>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</si>
  <si>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</si>
  <si>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</si>
  <si>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</si>
  <si>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</si>
  <si>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</si>
  <si>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</si>
  <si>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</si>
  <si>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</si>
  <si>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</si>
  <si>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</si>
  <si>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</si>
  <si>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</si>
  <si>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</si>
  <si>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</si>
  <si>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</si>
  <si>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</si>
  <si>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</si>
  <si>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</si>
  <si>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</si>
  <si>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</si>
  <si>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</si>
  <si>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</si>
  <si>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</si>
  <si>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</si>
  <si>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</si>
  <si>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</si>
  <si>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</si>
  <si>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</si>
  <si>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</si>
  <si>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</si>
  <si>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</si>
  <si>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</si>
  <si>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</si>
  <si>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</si>
  <si>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</si>
  <si>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</si>
  <si>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</si>
  <si>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</si>
  <si>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</si>
  <si>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</si>
  <si>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</si>
  <si>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</si>
  <si>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</si>
  <si>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</si>
  <si>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</si>
  <si>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</si>
  <si>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</si>
  <si>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</si>
  <si>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</si>
  <si>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</si>
  <si>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</si>
  <si>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</si>
  <si>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</si>
  <si>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</si>
  <si>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</si>
  <si>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</si>
  <si>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</si>
  <si>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</si>
  <si>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</si>
  <si>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</si>
  <si>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</si>
  <si>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</si>
  <si>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</si>
  <si>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</si>
  <si>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</si>
  <si>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</si>
  <si>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</si>
  <si>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</si>
  <si>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</si>
  <si>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</si>
  <si>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</si>
  <si>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</si>
  <si>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</si>
  <si>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</si>
  <si>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</si>
  <si>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</si>
  <si>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</si>
  <si>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</si>
  <si>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</si>
  <si>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</si>
  <si>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</si>
  <si>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</si>
  <si>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</si>
  <si>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</si>
  <si>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</si>
  <si>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</si>
  <si>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</si>
  <si>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</si>
  <si>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</si>
  <si>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</si>
  <si>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</si>
  <si>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</si>
  <si>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</si>
  <si>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</si>
  <si>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</si>
  <si>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</si>
  <si>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</si>
  <si>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</si>
  <si>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</si>
  <si>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</si>
  <si>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</si>
  <si>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</si>
  <si>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</si>
  <si>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</si>
  <si>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</si>
  <si>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</si>
  <si>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</si>
  <si>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</si>
  <si>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</si>
  <si>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</si>
  <si>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</si>
  <si>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</si>
  <si>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</si>
  <si>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</si>
  <si>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</si>
  <si>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</si>
  <si>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</si>
  <si>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</si>
  <si>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</si>
  <si>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</si>
  <si>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</si>
  <si>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</si>
  <si>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</si>
  <si>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</si>
  <si>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</si>
  <si>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</si>
  <si>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</si>
  <si>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</si>
  <si>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</si>
  <si>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</si>
  <si>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</si>
  <si>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</si>
  <si>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</si>
  <si>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</si>
  <si>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</si>
  <si>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</si>
  <si>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</si>
  <si>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</si>
  <si>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</si>
  <si>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</si>
  <si>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</si>
  <si>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</si>
  <si>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</si>
  <si>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</si>
  <si>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</si>
  <si>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</si>
  <si>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</si>
  <si>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</si>
  <si>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</si>
  <si>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</si>
  <si>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</si>
  <si>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</si>
  <si>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</si>
  <si>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</si>
  <si>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</si>
  <si>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</si>
  <si>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</si>
  <si>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</si>
  <si>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</si>
  <si>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</si>
  <si>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</si>
  <si>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</si>
  <si>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</si>
  <si>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</si>
  <si>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</si>
  <si>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</si>
  <si>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</si>
  <si>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</si>
  <si>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</si>
  <si>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</si>
  <si>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</si>
  <si>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</si>
  <si>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</si>
  <si>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</si>
  <si>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</si>
  <si>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</si>
  <si>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</si>
  <si>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</si>
  <si>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</si>
  <si>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</si>
  <si>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</si>
  <si>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</si>
  <si>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</si>
  <si>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</si>
  <si>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</si>
  <si>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</si>
  <si>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</si>
  <si>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</si>
  <si>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</si>
  <si>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</si>
  <si>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</si>
  <si>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</si>
  <si>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</si>
  <si>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</si>
  <si>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</si>
  <si>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</si>
  <si>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</si>
  <si>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</si>
  <si>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</si>
  <si>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</si>
  <si>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</si>
  <si>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</si>
  <si>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</si>
  <si>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</si>
  <si>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</si>
  <si>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</si>
  <si>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</si>
  <si>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</si>
  <si>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</si>
  <si>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</si>
  <si>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</si>
  <si>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</si>
  <si>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</si>
  <si>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</si>
  <si>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</si>
  <si>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</si>
  <si>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</si>
  <si>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</si>
  <si>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</si>
  <si>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</si>
  <si>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</si>
  <si>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</si>
  <si>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</si>
  <si>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</si>
  <si>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</si>
  <si>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</si>
  <si>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</si>
  <si>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</si>
  <si>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</si>
  <si>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</si>
  <si>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</si>
  <si>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</si>
  <si>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</si>
  <si>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</si>
  <si>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</si>
  <si>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</si>
  <si>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</si>
  <si>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</si>
  <si>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</si>
  <si>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</si>
  <si>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</si>
  <si>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</si>
  <si>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</si>
  <si>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</si>
  <si>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</si>
  <si>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</si>
  <si>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</si>
  <si>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</si>
  <si>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</si>
  <si>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</si>
  <si>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</si>
  <si>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</si>
  <si>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</si>
  <si>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</si>
  <si>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</si>
  <si>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</si>
  <si>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</si>
  <si>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</si>
  <si>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</si>
  <si>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</si>
  <si>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</si>
  <si>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</si>
  <si>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</si>
  <si>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</si>
  <si>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</si>
  <si>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</si>
  <si>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</si>
  <si>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</si>
  <si>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</si>
  <si>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</si>
  <si>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</si>
  <si>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</si>
  <si>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</si>
  <si>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</si>
  <si>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</si>
  <si>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</si>
  <si>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</si>
  <si>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</si>
  <si>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</si>
  <si>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</si>
  <si>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</si>
  <si>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</si>
  <si>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</si>
  <si>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</si>
  <si>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</si>
  <si>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</si>
  <si>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</si>
  <si>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</si>
  <si>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</si>
  <si>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</si>
  <si>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</si>
  <si>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</si>
  <si>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</si>
  <si>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</si>
  <si>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</si>
  <si>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</si>
  <si>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</si>
  <si>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</si>
  <si>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</si>
  <si>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</si>
  <si>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</si>
  <si>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</si>
  <si>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</si>
  <si>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</si>
  <si>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</si>
  <si>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</si>
  <si>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</si>
  <si>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</si>
  <si>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</si>
  <si>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</si>
  <si>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</si>
  <si>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</si>
  <si>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</si>
  <si>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</si>
  <si>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</si>
  <si>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</si>
  <si>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</si>
  <si>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</si>
  <si>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</si>
  <si>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</si>
  <si>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</si>
  <si>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</si>
  <si>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</si>
  <si>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</si>
  <si>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</si>
  <si>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</si>
  <si>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</si>
  <si>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</si>
  <si>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</si>
  <si>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</si>
  <si>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</si>
  <si>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</si>
  <si>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</si>
  <si>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</si>
  <si>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</si>
  <si>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</si>
  <si>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</si>
  <si>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</si>
  <si>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</si>
  <si>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</si>
  <si>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</si>
  <si>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</si>
  <si>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</si>
  <si>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</si>
  <si>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</si>
  <si>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</si>
  <si>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</si>
  <si>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</si>
  <si>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</si>
  <si>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</si>
  <si>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</si>
  <si>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</si>
  <si>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</si>
  <si>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</si>
  <si>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</si>
  <si>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</si>
  <si>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</si>
  <si>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</si>
  <si>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</si>
  <si>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</si>
  <si>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</si>
  <si>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</si>
  <si>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</si>
  <si>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</si>
  <si>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</si>
  <si>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</si>
  <si>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</si>
  <si>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</si>
  <si>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</si>
  <si>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</si>
  <si>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</si>
  <si>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</si>
  <si>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</si>
  <si>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</si>
  <si>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</si>
  <si>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</si>
  <si>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</si>
  <si>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</si>
  <si>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</si>
  <si>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</si>
  <si>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</si>
  <si>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</si>
  <si>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</si>
  <si>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</si>
  <si>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</si>
  <si>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</si>
  <si>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</si>
  <si>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</si>
  <si>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</si>
  <si>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</si>
  <si>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</si>
  <si>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</si>
  <si>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</si>
  <si>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</si>
  <si>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</si>
  <si>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</si>
  <si>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</si>
  <si>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</si>
  <si>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</si>
  <si>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</si>
  <si>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</si>
  <si>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</si>
  <si>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</si>
  <si>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</si>
  <si>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</si>
  <si>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</si>
  <si>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</si>
  <si>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</si>
  <si>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</si>
  <si>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</si>
  <si>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</si>
  <si>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</si>
  <si>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</si>
  <si>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</si>
  <si>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</si>
  <si>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</si>
  <si>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</si>
  <si>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</si>
  <si>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</si>
  <si>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</si>
  <si>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</si>
  <si>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</si>
  <si>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</si>
  <si>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</si>
  <si>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</si>
  <si>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</si>
  <si>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</si>
  <si>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</si>
  <si>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</si>
  <si>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</si>
  <si>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</si>
  <si>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</si>
  <si>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</si>
  <si>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</si>
  <si>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</si>
  <si>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</si>
  <si>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</si>
  <si>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</si>
  <si>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</si>
  <si>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</si>
  <si>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</si>
  <si>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</si>
  <si>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</si>
  <si>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</si>
  <si>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</si>
  <si>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</si>
  <si>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</si>
  <si>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</si>
  <si>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</si>
  <si>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</si>
  <si>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</si>
  <si>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</si>
  <si>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</si>
  <si>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</si>
  <si>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</si>
  <si>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</si>
  <si>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</si>
  <si>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</si>
  <si>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</si>
  <si>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</si>
  <si>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</si>
  <si>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</si>
  <si>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</si>
  <si>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</si>
  <si>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</si>
  <si>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</si>
  <si>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</si>
  <si>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</si>
  <si>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</si>
  <si>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</si>
  <si>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</si>
  <si>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</si>
  <si>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</si>
  <si>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</si>
  <si>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</si>
  <si>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</si>
  <si>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</si>
  <si>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</si>
  <si>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</si>
  <si>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</si>
  <si>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</si>
  <si>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</si>
  <si>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</si>
  <si>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</si>
  <si>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</si>
  <si>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</si>
  <si>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</si>
  <si>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</si>
  <si>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</si>
  <si>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</si>
  <si>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</si>
  <si>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</si>
  <si>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</si>
  <si>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</si>
  <si>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</si>
  <si>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</si>
  <si>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</si>
  <si>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</si>
  <si>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</si>
  <si>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</si>
  <si>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</si>
  <si>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</si>
  <si>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</si>
  <si>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</si>
  <si>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</si>
  <si>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</si>
  <si>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</si>
  <si>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</si>
  <si>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</si>
  <si>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</si>
  <si>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</si>
  <si>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</si>
  <si>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</si>
  <si>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</si>
  <si>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</si>
  <si>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</si>
  <si>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</si>
  <si>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</si>
  <si>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</si>
  <si>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</si>
  <si>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</si>
  <si>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</si>
  <si>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</si>
  <si>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</si>
  <si>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</si>
  <si>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</si>
  <si>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</si>
  <si>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</si>
  <si>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</si>
  <si>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</si>
  <si>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</si>
  <si>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</si>
  <si>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</si>
  <si>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</si>
  <si>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</si>
  <si>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</si>
  <si>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</si>
  <si>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</si>
  <si>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</si>
  <si>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</si>
  <si>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</si>
  <si>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</si>
  <si>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</si>
  <si>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</si>
  <si>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</si>
  <si>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</si>
  <si>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</si>
  <si>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</si>
  <si>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</si>
  <si>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</si>
  <si>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</si>
  <si>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</si>
  <si>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</si>
  <si>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</si>
  <si>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</si>
  <si>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</si>
  <si>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</si>
  <si>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</si>
  <si>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</si>
  <si>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</si>
  <si>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</si>
  <si>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</si>
  <si>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</si>
  <si>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</si>
  <si>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</si>
  <si>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</si>
  <si>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</si>
  <si>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</si>
  <si>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</si>
  <si>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</si>
  <si>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</si>
  <si>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</si>
  <si>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</si>
  <si>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</si>
  <si>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</si>
  <si>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</si>
  <si>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</si>
  <si>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</si>
  <si>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</si>
  <si>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</si>
  <si>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</si>
  <si>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</si>
  <si>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</si>
  <si>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</si>
  <si>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</si>
  <si>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</si>
  <si>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</si>
  <si>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</si>
  <si>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</si>
  <si>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</si>
  <si>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</si>
  <si>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</si>
  <si>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</si>
  <si>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</si>
  <si>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</si>
  <si>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</si>
  <si>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</si>
  <si>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</si>
  <si>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</si>
  <si>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</si>
  <si>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</si>
  <si>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</si>
  <si>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</si>
  <si>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</si>
  <si>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</si>
  <si>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</si>
  <si>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</si>
  <si>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</si>
  <si>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</si>
  <si>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</si>
  <si>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</si>
  <si>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</si>
  <si>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</si>
  <si>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</si>
  <si>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</si>
  <si>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</si>
  <si>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</si>
  <si>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</si>
  <si>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</si>
  <si>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</si>
  <si>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</si>
  <si>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</si>
  <si>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</si>
  <si>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</si>
  <si>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</si>
  <si>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</si>
  <si>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</si>
  <si>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</si>
  <si>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</si>
  <si>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</si>
  <si>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</si>
  <si>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</si>
  <si>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</si>
  <si>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</si>
  <si>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</si>
  <si>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</si>
  <si>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</si>
  <si>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</si>
  <si>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</si>
  <si>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</si>
  <si>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</si>
  <si>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</si>
  <si>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</si>
  <si>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</si>
  <si>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</si>
  <si>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</si>
  <si>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</si>
  <si>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</si>
  <si>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</si>
  <si>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</si>
  <si>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</si>
  <si>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</si>
  <si>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</si>
  <si>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</si>
  <si>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</si>
  <si>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</si>
  <si>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</si>
  <si>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</si>
  <si>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</si>
  <si>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</si>
  <si>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</si>
  <si>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</si>
  <si>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</si>
  <si>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</si>
  <si>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</si>
  <si>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</si>
  <si>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</si>
  <si>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</si>
  <si>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</si>
  <si>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</si>
  <si>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</si>
  <si>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</si>
  <si>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</si>
  <si>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</si>
  <si>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</si>
  <si>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</si>
  <si>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</si>
  <si>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</si>
  <si>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</si>
  <si>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</si>
  <si>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</si>
  <si>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</si>
  <si>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</si>
  <si>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</si>
  <si>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</si>
  <si>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</si>
  <si>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</si>
  <si>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</si>
  <si>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</si>
  <si>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</si>
  <si>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</si>
  <si>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</si>
  <si>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</si>
  <si>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</si>
  <si>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</si>
  <si>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</si>
  <si>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</si>
  <si>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</si>
  <si>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</si>
  <si>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</si>
  <si>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</si>
  <si>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</si>
  <si>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</si>
  <si>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</si>
  <si>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</si>
  <si>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</si>
  <si>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</si>
  <si>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</si>
  <si>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</si>
  <si>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</si>
  <si>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</si>
  <si>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</si>
  <si>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</si>
  <si>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</si>
  <si>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</si>
  <si>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</si>
  <si>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</si>
  <si>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</si>
  <si>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</si>
  <si>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</si>
  <si>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</si>
  <si>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</si>
  <si>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</si>
  <si>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</si>
  <si>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</si>
  <si>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</si>
  <si>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</si>
  <si>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</si>
  <si>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</si>
  <si>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</si>
  <si>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</si>
  <si>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</si>
  <si>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</si>
  <si>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</si>
  <si>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</si>
  <si>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</si>
  <si>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</si>
  <si>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</si>
  <si>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</si>
  <si>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</si>
  <si>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</si>
  <si>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</si>
  <si>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</si>
  <si>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</si>
  <si>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</si>
  <si>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</si>
  <si>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</si>
  <si>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</si>
  <si>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</si>
  <si>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</si>
  <si>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</si>
  <si>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</si>
  <si>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</si>
  <si>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</si>
  <si>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</si>
  <si>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</si>
  <si>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</si>
  <si>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</si>
  <si>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</si>
  <si>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</si>
  <si>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</si>
  <si>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</si>
  <si>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</si>
  <si>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</si>
  <si>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</si>
  <si>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</si>
  <si>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</si>
  <si>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</si>
  <si>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</si>
  <si>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</si>
  <si>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</si>
  <si>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</si>
  <si>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</si>
  <si>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</si>
  <si>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</si>
  <si>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</si>
  <si>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</si>
  <si>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</si>
  <si>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</si>
  <si>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</si>
  <si>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</si>
  <si>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</si>
  <si>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</si>
  <si>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</si>
  <si>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</si>
  <si>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</si>
  <si>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</si>
  <si>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</si>
  <si>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</si>
  <si>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</si>
  <si>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</si>
  <si>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</si>
  <si>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</si>
  <si>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</si>
  <si>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</si>
  <si>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</si>
  <si>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</si>
  <si>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</si>
  <si>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</si>
  <si>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</si>
  <si>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</si>
  <si>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</si>
  <si>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</si>
  <si>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</si>
  <si>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</si>
  <si>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</si>
  <si>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</si>
  <si>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</si>
  <si>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</si>
  <si>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</si>
  <si>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</si>
  <si>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</si>
  <si>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</si>
  <si>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</si>
  <si>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</si>
  <si>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</si>
  <si>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</si>
  <si>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</si>
  <si>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</si>
  <si>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</si>
  <si>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</si>
  <si>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</si>
  <si>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</si>
  <si>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</si>
  <si>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</si>
  <si>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</si>
  <si>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</si>
  <si>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</si>
  <si>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</si>
  <si>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</si>
  <si>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</si>
  <si>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</si>
  <si>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</si>
  <si>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</si>
  <si>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</si>
  <si>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</si>
  <si>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</si>
  <si>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</si>
  <si>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</si>
  <si>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</si>
  <si>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</si>
  <si>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</si>
  <si>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</si>
  <si>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</si>
  <si>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</si>
  <si>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</si>
  <si>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</si>
  <si>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</si>
  <si>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</si>
  <si>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</si>
  <si>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</si>
  <si>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</si>
  <si>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</si>
  <si>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</si>
  <si>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</si>
  <si>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</si>
  <si>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</si>
  <si>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</si>
  <si>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</si>
  <si>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</si>
  <si>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</si>
  <si>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</si>
  <si>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</si>
  <si>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</si>
  <si>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</si>
  <si>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</si>
  <si>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</si>
  <si>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</si>
  <si>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</si>
  <si>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</si>
  <si>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</si>
  <si>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</si>
  <si>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</si>
  <si>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</si>
  <si>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</si>
  <si>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</si>
  <si>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</si>
  <si>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</si>
  <si>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</si>
  <si>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</si>
  <si>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</si>
  <si>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</si>
  <si>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</si>
  <si>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</si>
  <si>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</si>
  <si>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</si>
  <si>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</si>
  <si>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</si>
  <si>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</si>
  <si>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</si>
  <si>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</si>
  <si>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</si>
  <si>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</si>
  <si>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</si>
  <si>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</si>
  <si>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</si>
  <si>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</si>
  <si>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</si>
  <si>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</si>
  <si>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</si>
  <si>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</si>
  <si>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</si>
  <si>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</si>
  <si>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</si>
  <si>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</si>
  <si>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</si>
  <si>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</si>
  <si>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</si>
  <si>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</si>
  <si>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</si>
  <si>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</si>
  <si>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</si>
  <si>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</si>
  <si>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</si>
  <si>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</si>
  <si>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</si>
  <si>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</si>
  <si>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</si>
  <si>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</si>
  <si>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</si>
  <si>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</si>
  <si>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</si>
  <si>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</si>
  <si>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</si>
  <si>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</si>
  <si>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</si>
  <si>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</si>
  <si>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</si>
  <si>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</si>
  <si>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</si>
  <si>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</si>
  <si>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</si>
  <si>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</si>
  <si>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</si>
  <si>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</si>
  <si>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</si>
  <si>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</si>
  <si>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</si>
  <si>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</si>
  <si>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</si>
  <si>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</si>
  <si>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</si>
  <si>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</si>
  <si>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</si>
  <si>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</si>
  <si>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</si>
  <si>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</si>
  <si>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</si>
  <si>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</si>
  <si>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</si>
  <si>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</si>
  <si>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</si>
  <si>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</si>
  <si>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</si>
  <si>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</si>
  <si>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</si>
  <si>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</si>
  <si>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</si>
  <si>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</si>
  <si>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</si>
  <si>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</si>
  <si>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</si>
  <si>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</si>
  <si>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</si>
  <si>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</si>
  <si>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</si>
  <si>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</si>
  <si>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</si>
  <si>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</si>
  <si>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</si>
  <si>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</si>
  <si>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</si>
  <si>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</si>
  <si>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</si>
  <si>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</si>
  <si>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</si>
  <si>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</si>
  <si>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</si>
  <si>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</si>
  <si>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</si>
  <si>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</si>
  <si>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</si>
  <si>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</si>
  <si>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</si>
  <si>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</si>
  <si>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</si>
  <si>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</si>
  <si>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</si>
  <si>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</si>
  <si>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</si>
  <si>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</si>
  <si>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</si>
  <si>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</si>
  <si>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</si>
  <si>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</si>
  <si>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</si>
  <si>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</si>
  <si>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</si>
  <si>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</si>
  <si>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</si>
  <si>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</si>
  <si>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</si>
  <si>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</si>
  <si>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</si>
  <si>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</si>
  <si>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</si>
  <si>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</si>
  <si>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</si>
  <si>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</si>
  <si>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</si>
  <si>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</si>
  <si>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</si>
  <si>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</si>
  <si>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</si>
  <si>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</si>
  <si>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</si>
  <si>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</si>
  <si>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</si>
  <si>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</si>
  <si>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</si>
  <si>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</si>
  <si>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</si>
  <si>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</si>
  <si>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</si>
  <si>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</si>
  <si>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</si>
  <si>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</si>
  <si>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</si>
  <si>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</si>
  <si>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</si>
  <si>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</si>
  <si>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</si>
  <si>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</si>
  <si>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</si>
  <si>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</si>
  <si>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</si>
  <si>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</si>
  <si>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</si>
  <si>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</si>
  <si>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</si>
  <si>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</si>
  <si>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</si>
  <si>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</si>
  <si>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</si>
  <si>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</si>
  <si>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</si>
  <si>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</si>
  <si>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</si>
  <si>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</si>
  <si>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</si>
  <si>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</si>
  <si>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</si>
  <si>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</si>
  <si>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</si>
  <si>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</si>
  <si>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</si>
  <si>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</si>
  <si>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</si>
  <si>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</si>
  <si>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</si>
  <si>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</si>
  <si>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</si>
  <si>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</si>
  <si>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</si>
  <si>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</si>
  <si>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</si>
  <si>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</si>
  <si>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</si>
  <si>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</si>
  <si>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</si>
  <si>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</si>
  <si>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</si>
  <si>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</si>
  <si>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</si>
  <si>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</si>
  <si>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</si>
  <si>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</si>
  <si>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</si>
  <si>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</si>
  <si>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</si>
  <si>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</si>
  <si>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</si>
  <si>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</si>
  <si>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</si>
  <si>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</si>
  <si>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</si>
  <si>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</si>
  <si>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</si>
  <si>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</si>
  <si>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</si>
  <si>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</si>
  <si>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</si>
  <si>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</si>
  <si>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</si>
  <si>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</si>
  <si>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</si>
  <si>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</si>
  <si>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</si>
  <si>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</si>
  <si>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</si>
  <si>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</si>
  <si>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</si>
  <si>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</si>
  <si>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</si>
  <si>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</si>
  <si>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</si>
  <si>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</si>
  <si>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</si>
  <si>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</si>
  <si>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</si>
  <si>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</si>
  <si>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</si>
  <si>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</si>
  <si>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</si>
  <si>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</si>
  <si>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</si>
  <si>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</si>
  <si>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</si>
  <si>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</si>
  <si>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</si>
  <si>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</si>
  <si>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</si>
  <si>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</si>
  <si>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</si>
  <si>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</si>
  <si>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</si>
  <si>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</si>
  <si>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</si>
  <si>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</si>
  <si>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</si>
  <si>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</si>
  <si>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</si>
  <si>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</si>
  <si>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</si>
  <si>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</si>
  <si>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</si>
  <si>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</si>
  <si>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</si>
  <si>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</si>
  <si>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</si>
  <si>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</si>
  <si>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</si>
  <si>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</si>
  <si>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</si>
  <si>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</si>
  <si>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</si>
  <si>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</si>
  <si>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</si>
  <si>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</si>
  <si>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</si>
  <si>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</si>
  <si>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</si>
  <si>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</si>
  <si>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</si>
  <si>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</si>
  <si>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</si>
  <si>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</si>
  <si>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</si>
  <si>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</si>
  <si>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</si>
  <si>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</si>
  <si>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</si>
  <si>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</si>
  <si>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</si>
  <si>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</si>
  <si>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</si>
  <si>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</si>
  <si>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</si>
  <si>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</si>
  <si>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</si>
  <si>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</si>
  <si>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</si>
  <si>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</si>
  <si>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</si>
  <si>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</si>
  <si>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</si>
  <si>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</si>
  <si>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</si>
  <si>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</si>
  <si>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</si>
  <si>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</si>
  <si>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</si>
  <si>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</si>
  <si>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</si>
  <si>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</si>
  <si>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</si>
  <si>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</si>
  <si>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</si>
  <si>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</si>
  <si>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</si>
  <si>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</si>
  <si>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</si>
  <si>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</si>
  <si>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</si>
  <si>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</si>
  <si>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</si>
  <si>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</si>
  <si>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</si>
  <si>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</si>
  <si>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</si>
  <si>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</si>
  <si>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</si>
  <si>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</si>
  <si>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</si>
  <si>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</si>
  <si>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</si>
  <si>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</si>
  <si>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</si>
  <si>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</si>
  <si>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</si>
  <si>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</si>
  <si>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</si>
  <si>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</si>
  <si>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</si>
  <si>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</si>
  <si>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</si>
  <si>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</si>
  <si>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</si>
  <si>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</si>
  <si>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</si>
  <si>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</si>
  <si>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</si>
  <si>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</si>
  <si>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</si>
  <si>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</si>
  <si>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</si>
  <si>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</si>
  <si>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</si>
  <si>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</si>
  <si>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</si>
  <si>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</si>
  <si>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</si>
  <si>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</si>
  <si>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</si>
  <si>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</si>
  <si>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</si>
  <si>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</si>
  <si>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</si>
  <si>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</si>
  <si>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</si>
  <si>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</si>
  <si>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</si>
  <si>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</si>
  <si>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</si>
  <si>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</si>
  <si>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</si>
  <si>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</si>
  <si>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</si>
  <si>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</si>
  <si>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</si>
  <si>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</si>
  <si>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</si>
  <si>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</si>
  <si>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</si>
  <si>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</si>
  <si>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</si>
  <si>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</si>
  <si>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</si>
  <si>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</si>
  <si>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</si>
  <si>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</si>
  <si>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</si>
  <si>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</si>
  <si>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</si>
  <si>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</si>
  <si>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</si>
  <si>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</si>
  <si>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</si>
  <si>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</si>
  <si>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</si>
  <si>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</si>
  <si>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</si>
  <si>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</si>
  <si>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</si>
  <si>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</si>
  <si>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</si>
  <si>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</si>
  <si>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</si>
  <si>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</si>
  <si>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</si>
  <si>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</si>
  <si>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</si>
  <si>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</si>
  <si>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</si>
  <si>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</si>
  <si>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</si>
  <si>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</si>
  <si>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</si>
  <si>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</si>
  <si>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</si>
  <si>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</si>
  <si>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</si>
  <si>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</si>
  <si>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</si>
  <si>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</si>
  <si>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</si>
  <si>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</si>
  <si>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</si>
  <si>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</si>
  <si>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</si>
  <si>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</si>
  <si>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</si>
  <si>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</si>
  <si>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</si>
  <si>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</si>
  <si>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</si>
  <si>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</si>
  <si>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</si>
  <si>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</si>
  <si>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</si>
  <si>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</si>
  <si>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</si>
  <si>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</si>
  <si>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</si>
  <si>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</si>
  <si>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</si>
  <si>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</si>
  <si>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</si>
  <si>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</si>
  <si>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</si>
  <si>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</si>
  <si>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</si>
  <si>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</si>
  <si>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</si>
  <si>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</si>
  <si>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</si>
  <si>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</si>
  <si>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</si>
  <si>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</si>
  <si>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</si>
  <si>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</si>
  <si>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</si>
  <si>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</si>
  <si>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</si>
  <si>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</si>
  <si>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</si>
  <si>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</si>
  <si>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</si>
  <si>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</si>
  <si>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</si>
  <si>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</si>
  <si>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</si>
  <si>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</si>
  <si>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</si>
  <si>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</si>
  <si>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</si>
  <si>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</si>
  <si>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</si>
  <si>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</si>
  <si>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</si>
  <si>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</si>
  <si>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</si>
  <si>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</si>
  <si>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</si>
  <si>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</si>
  <si>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</si>
  <si>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</si>
  <si>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</si>
  <si>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</si>
  <si>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</si>
  <si>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</si>
  <si>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</si>
  <si>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</si>
  <si>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</si>
  <si>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</si>
  <si>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</si>
  <si>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</si>
  <si>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</si>
  <si>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</si>
  <si>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</si>
  <si>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</si>
  <si>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</si>
  <si>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</si>
  <si>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</si>
  <si>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</si>
  <si>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</si>
  <si>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</si>
  <si>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</si>
  <si>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</si>
  <si>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</si>
  <si>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</si>
  <si>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</si>
  <si>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</si>
  <si>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</si>
  <si>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</si>
  <si>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</si>
  <si>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</si>
  <si>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</si>
  <si>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</si>
  <si>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</si>
  <si>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</si>
  <si>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</si>
  <si>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</si>
  <si>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</si>
  <si>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</si>
  <si>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</si>
  <si>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</si>
  <si>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</si>
  <si>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</si>
  <si>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</si>
  <si>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</si>
  <si>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</si>
  <si>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</si>
  <si>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</si>
  <si>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</si>
  <si>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</si>
  <si>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</si>
  <si>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</si>
  <si>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</si>
  <si>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</si>
  <si>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</si>
  <si>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</si>
  <si>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</si>
  <si>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</si>
  <si>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</si>
  <si>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</si>
  <si>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</si>
  <si>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</si>
  <si>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</si>
  <si>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</si>
  <si>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</si>
  <si>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</si>
  <si>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</si>
  <si>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</si>
  <si>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</si>
  <si>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</si>
  <si>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</si>
  <si>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</si>
  <si>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</si>
  <si>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</si>
  <si>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</si>
  <si>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</si>
  <si>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</si>
  <si>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</si>
  <si>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</si>
  <si>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</si>
  <si>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</si>
  <si>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</si>
  <si>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</si>
  <si>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</si>
  <si>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</si>
  <si>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</si>
  <si>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</si>
  <si>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</si>
  <si>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</si>
  <si>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</si>
  <si>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</si>
  <si>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</si>
  <si>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</si>
  <si>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</si>
  <si>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</si>
  <si>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</si>
  <si>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</si>
  <si>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</si>
  <si>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</si>
  <si>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</si>
  <si>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</si>
  <si>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</si>
  <si>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</si>
  <si>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</si>
  <si>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</si>
  <si>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</si>
  <si>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</si>
  <si>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</si>
  <si>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</si>
  <si>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</si>
  <si>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</si>
  <si>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</si>
  <si>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</si>
  <si>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</si>
  <si>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</si>
  <si>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</si>
  <si>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</si>
  <si>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</si>
  <si>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</si>
  <si>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</si>
  <si>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</si>
  <si>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</si>
  <si>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</si>
  <si>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</si>
  <si>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</si>
  <si>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</si>
  <si>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</si>
  <si>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</si>
  <si>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</si>
  <si>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</si>
  <si>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</si>
  <si>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</si>
  <si>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</si>
  <si>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</si>
  <si>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</si>
  <si>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</si>
  <si>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</si>
  <si>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</si>
  <si>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</si>
  <si>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</si>
  <si>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</si>
  <si>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</si>
  <si>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</si>
  <si>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</si>
  <si>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</si>
  <si>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</si>
  <si>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</si>
  <si>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</si>
  <si>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</si>
  <si>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</si>
  <si>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</si>
  <si>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</si>
  <si>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</si>
  <si>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</si>
  <si>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</si>
  <si>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</si>
  <si>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</si>
  <si>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</si>
  <si>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</si>
  <si>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</si>
  <si>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</si>
  <si>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</si>
  <si>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</si>
  <si>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</si>
  <si>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</si>
  <si>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</si>
  <si>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</si>
  <si>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</si>
  <si>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</si>
  <si>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</si>
  <si>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</si>
  <si>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</si>
  <si>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</si>
  <si>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</si>
  <si>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</si>
  <si>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</si>
  <si>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</si>
  <si>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</si>
  <si>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</si>
  <si>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</si>
  <si>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</si>
  <si>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</si>
  <si>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</si>
  <si>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</si>
  <si>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</si>
  <si>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</si>
  <si>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</si>
  <si>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</si>
  <si>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</si>
  <si>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</si>
  <si>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</si>
  <si>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</si>
  <si>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</si>
  <si>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</si>
  <si>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</si>
  <si>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</si>
  <si>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</si>
  <si>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</si>
  <si>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</si>
  <si>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</si>
  <si>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</si>
  <si>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</si>
  <si>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</si>
  <si>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</si>
  <si>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</si>
  <si>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</si>
  <si>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</si>
  <si>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</si>
  <si>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</si>
  <si>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</si>
  <si>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</si>
  <si>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</si>
  <si>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</si>
  <si>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</si>
  <si>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</si>
  <si>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</si>
  <si>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</si>
  <si>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</si>
  <si>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</si>
  <si>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</si>
  <si>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</si>
  <si>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</si>
  <si>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</si>
  <si>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</si>
  <si>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</si>
  <si>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</si>
  <si>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</si>
  <si>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</si>
  <si>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</si>
  <si>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</si>
  <si>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</si>
  <si>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</si>
  <si>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</si>
  <si>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</si>
  <si>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</si>
  <si>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</si>
  <si>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</si>
  <si>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</si>
  <si>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</si>
  <si>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</si>
  <si>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</si>
  <si>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</si>
  <si>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</si>
  <si>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</si>
  <si>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</si>
  <si>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</si>
  <si>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</si>
  <si>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</si>
  <si>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</si>
  <si>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</si>
  <si>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</si>
  <si>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</si>
  <si>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</si>
  <si>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</si>
  <si>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</si>
  <si>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</si>
  <si>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</si>
  <si>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</si>
  <si>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</si>
  <si>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</si>
  <si>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</si>
  <si>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</si>
  <si>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</si>
  <si>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</si>
  <si>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</si>
  <si>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</si>
  <si>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</si>
  <si>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</si>
  <si>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</si>
  <si>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</si>
  <si>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</si>
  <si>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</si>
  <si>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</si>
  <si>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</si>
  <si>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</si>
  <si>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</si>
  <si>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</si>
  <si>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</si>
  <si>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</si>
  <si>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</si>
  <si>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</si>
  <si>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</si>
  <si>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</si>
  <si>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</si>
  <si>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</si>
  <si>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</si>
  <si>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</si>
  <si>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</si>
  <si>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</si>
  <si>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</si>
  <si>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</si>
  <si>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</si>
  <si>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</si>
  <si>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</si>
  <si>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</si>
  <si>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</si>
  <si>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</si>
  <si>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</si>
  <si>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</si>
  <si>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</si>
  <si>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</si>
  <si>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</si>
  <si>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</si>
  <si>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</si>
  <si>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</si>
  <si>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</si>
  <si>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</si>
  <si>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</si>
  <si>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</si>
  <si>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</si>
  <si>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</si>
  <si>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</si>
  <si>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</si>
  <si>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</si>
  <si>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</si>
  <si>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</si>
  <si>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</si>
  <si>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</si>
  <si>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</si>
  <si>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</si>
  <si>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</si>
  <si>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</si>
  <si>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</si>
  <si>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</si>
  <si>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</si>
  <si>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</si>
  <si>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</si>
  <si>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</si>
  <si>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</si>
  <si>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</si>
  <si>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</si>
  <si>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</si>
  <si>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</si>
  <si>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</si>
  <si>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</si>
  <si>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</si>
  <si>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</si>
  <si>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</si>
  <si>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</si>
  <si>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</si>
  <si>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</si>
  <si>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</si>
  <si>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</si>
  <si>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</si>
  <si>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</si>
  <si>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</si>
  <si>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</si>
  <si>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</si>
  <si>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</si>
  <si>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</si>
  <si>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</si>
  <si>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</si>
  <si>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</si>
  <si>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</si>
  <si>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</si>
  <si>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</si>
  <si>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</si>
  <si>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</si>
  <si>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</si>
  <si>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</si>
  <si>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</si>
  <si>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</si>
  <si>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</si>
  <si>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</si>
  <si>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</si>
  <si>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</si>
  <si>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</si>
  <si>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</si>
  <si>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</si>
  <si>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</si>
  <si>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</si>
  <si>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</si>
  <si>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</si>
  <si>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</si>
  <si>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</si>
  <si>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</si>
  <si>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</si>
  <si>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</si>
  <si>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</si>
  <si>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</si>
  <si>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</si>
  <si>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</si>
  <si>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</si>
  <si>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</si>
  <si>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</si>
  <si>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</si>
  <si>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</si>
  <si>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</si>
  <si>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</si>
  <si>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</si>
  <si>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</si>
  <si>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</si>
  <si>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</si>
  <si>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</si>
  <si>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</si>
  <si>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</si>
  <si>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</si>
  <si>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</si>
  <si>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</si>
  <si>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</si>
  <si>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</si>
  <si>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</si>
  <si>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</si>
  <si>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</si>
  <si>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</si>
  <si>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</si>
  <si>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</si>
  <si>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</si>
  <si>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</si>
  <si>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</si>
  <si>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</si>
  <si>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</si>
  <si>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</si>
  <si>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</si>
  <si>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</si>
  <si>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</si>
  <si>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</si>
  <si>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</si>
  <si>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</si>
  <si>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</si>
  <si>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</si>
  <si>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</si>
  <si>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</si>
  <si>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</si>
  <si>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</si>
  <si>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</si>
  <si>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</si>
  <si>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</si>
  <si>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</si>
  <si>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</si>
  <si>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</si>
  <si>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</si>
  <si>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</si>
  <si>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</si>
  <si>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</si>
  <si>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</si>
  <si>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</si>
  <si>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</si>
  <si>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</si>
  <si>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</si>
  <si>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</si>
  <si>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</si>
  <si>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</si>
  <si>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</si>
  <si>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</si>
  <si>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</si>
  <si>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</si>
  <si>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</si>
  <si>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</si>
  <si>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</si>
  <si>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</si>
  <si>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</si>
  <si>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</si>
  <si>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</si>
  <si>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</si>
  <si>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</si>
  <si>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</si>
  <si>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</si>
  <si>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</si>
  <si>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</si>
  <si>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</si>
  <si>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</si>
  <si>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</si>
  <si>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</si>
  <si>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</si>
  <si>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</si>
  <si>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</si>
  <si>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</si>
  <si>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</si>
  <si>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</si>
  <si>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</si>
  <si>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</si>
  <si>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</si>
  <si>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</si>
  <si>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</si>
  <si>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</si>
  <si>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</si>
  <si>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</si>
  <si>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</si>
  <si>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</si>
  <si>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</si>
  <si>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</si>
  <si>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</si>
  <si>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</si>
  <si>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</si>
  <si>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</si>
  <si>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</si>
  <si>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</si>
  <si>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</si>
  <si>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</si>
  <si>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</si>
  <si>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</si>
  <si>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</si>
  <si>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</si>
  <si>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</si>
  <si>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</si>
  <si>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</si>
  <si>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</si>
  <si>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</si>
  <si>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</si>
  <si>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</si>
  <si>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</si>
  <si>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</si>
  <si>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</si>
  <si>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</si>
  <si>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</si>
  <si>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</si>
  <si>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</si>
  <si>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</si>
  <si>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</si>
  <si>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</si>
  <si>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</si>
  <si>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</si>
  <si>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</si>
  <si>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</si>
  <si>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</si>
  <si>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</si>
  <si>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</si>
  <si>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</si>
  <si>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</si>
  <si>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</si>
  <si>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</si>
  <si>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</si>
  <si>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</si>
  <si>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</si>
  <si>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</si>
  <si>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</si>
  <si>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</si>
  <si>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</si>
  <si>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</si>
  <si>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</si>
  <si>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</si>
  <si>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</si>
  <si>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</si>
  <si>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</si>
  <si>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</si>
  <si>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</si>
  <si>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</si>
  <si>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</si>
  <si>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</si>
  <si>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</si>
  <si>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</si>
  <si>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</si>
  <si>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</si>
  <si>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</si>
  <si>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</si>
  <si>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</si>
  <si>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</si>
  <si>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</si>
  <si>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</si>
  <si>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</si>
  <si>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</si>
  <si>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</si>
  <si>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</si>
  <si>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</si>
  <si>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</si>
  <si>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</si>
  <si>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</si>
  <si>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</si>
  <si>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</si>
  <si>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</si>
  <si>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</si>
  <si>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</si>
  <si>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</si>
  <si>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</si>
  <si>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</si>
  <si>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</si>
  <si>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</si>
  <si>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</si>
  <si>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</si>
  <si>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</si>
  <si>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</si>
  <si>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</si>
  <si>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</si>
  <si>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</si>
  <si>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</si>
  <si>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</si>
  <si>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</si>
  <si>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</si>
  <si>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</si>
  <si>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</si>
  <si>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</si>
  <si>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</si>
  <si>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</si>
  <si>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</si>
  <si>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</si>
  <si>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</si>
  <si>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</si>
  <si>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</si>
  <si>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</si>
  <si>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</si>
  <si>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</si>
  <si>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</si>
  <si>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</si>
  <si>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</si>
  <si>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</si>
  <si>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</si>
  <si>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</si>
  <si>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</si>
  <si>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</si>
  <si>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</si>
  <si>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</si>
  <si>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</si>
  <si>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</si>
  <si>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</si>
  <si>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</si>
  <si>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</si>
  <si>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</si>
  <si>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</si>
  <si>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</si>
  <si>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</si>
  <si>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</si>
  <si>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</si>
  <si>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</si>
  <si>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</si>
  <si>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</si>
  <si>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</si>
  <si>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</si>
  <si>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</si>
  <si>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</si>
  <si>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</si>
  <si>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</si>
  <si>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</si>
  <si>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</si>
  <si>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</si>
  <si>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</si>
  <si>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</si>
  <si>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</si>
  <si>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</si>
  <si>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</si>
  <si>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</si>
  <si>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</si>
  <si>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</si>
  <si>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</si>
  <si>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</si>
  <si>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</si>
  <si>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</si>
  <si>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</si>
  <si>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</si>
  <si>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</si>
  <si>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</si>
  <si>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</si>
  <si>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</si>
  <si>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</si>
  <si>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</si>
  <si>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</si>
  <si>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</si>
  <si>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</si>
  <si>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</si>
  <si>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</si>
  <si>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</si>
  <si>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</si>
  <si>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</si>
  <si>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</si>
  <si>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</si>
  <si>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</si>
  <si>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</si>
  <si>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</si>
  <si>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</si>
  <si>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</si>
  <si>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</si>
  <si>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</si>
  <si>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</si>
  <si>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</si>
  <si>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</si>
  <si>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</si>
  <si>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</si>
  <si>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</si>
  <si>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</si>
  <si>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</si>
  <si>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</si>
  <si>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</si>
  <si>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</si>
  <si>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</si>
  <si>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</si>
  <si>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</si>
  <si>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</si>
  <si>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</si>
  <si>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</si>
  <si>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</si>
  <si>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</si>
  <si>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</si>
  <si>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</si>
  <si>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</si>
  <si>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</si>
  <si>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</si>
  <si>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</si>
  <si>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</si>
  <si>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</si>
  <si>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</si>
  <si>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</si>
  <si>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</si>
  <si>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</si>
  <si>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</si>
  <si>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</si>
  <si>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</si>
  <si>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</si>
  <si>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</si>
  <si>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</si>
  <si>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</si>
  <si>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</si>
  <si>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</si>
  <si>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</si>
  <si>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</si>
  <si>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</si>
  <si>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</si>
  <si>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</si>
  <si>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</si>
  <si>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</si>
  <si>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</si>
  <si>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</si>
  <si>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</si>
  <si>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</si>
  <si>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</si>
  <si>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</si>
  <si>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</si>
  <si>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</si>
  <si>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</si>
  <si>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</si>
  <si>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</si>
  <si>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</si>
  <si>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</si>
  <si>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</si>
  <si>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</si>
  <si>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</si>
  <si>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</si>
  <si>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</si>
  <si>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</si>
  <si>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</si>
  <si>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</si>
  <si>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</si>
  <si>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</si>
  <si>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</si>
  <si>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</si>
  <si>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</si>
  <si>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</si>
  <si>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</si>
  <si>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</si>
  <si>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</si>
  <si>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</si>
  <si>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</si>
  <si>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</si>
  <si>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</si>
  <si>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</si>
  <si>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</si>
  <si>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</si>
  <si>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</si>
  <si>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</si>
  <si>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</si>
  <si>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</si>
  <si>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</si>
  <si>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</si>
  <si>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</si>
  <si>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</si>
  <si>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</si>
  <si>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</si>
  <si>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</si>
  <si>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</si>
  <si>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</si>
  <si>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</si>
  <si>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</si>
  <si>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</si>
  <si>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</si>
  <si>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</si>
  <si>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</si>
  <si>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</si>
  <si>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</si>
  <si>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</si>
  <si>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</si>
  <si>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</si>
  <si>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</si>
  <si>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</si>
  <si>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</si>
  <si>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</si>
  <si>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</si>
  <si>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</si>
  <si>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</si>
  <si>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</si>
  <si>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</si>
  <si>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</si>
  <si>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</si>
  <si>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</si>
  <si>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</si>
  <si>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</si>
  <si>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</si>
  <si>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</si>
  <si>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</si>
  <si>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</si>
  <si>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</si>
  <si>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</si>
  <si>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</si>
  <si>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</si>
  <si>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</si>
  <si>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</si>
  <si>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</si>
  <si>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</si>
  <si>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</si>
  <si>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</si>
  <si>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</si>
  <si>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</si>
  <si>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</si>
  <si>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</si>
  <si>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</si>
  <si>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</si>
  <si>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</si>
  <si>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</si>
  <si>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</si>
  <si>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</si>
  <si>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</si>
  <si>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</si>
  <si>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</si>
  <si>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</si>
  <si>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</si>
  <si>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</si>
  <si>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</si>
  <si>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</si>
  <si>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</si>
  <si>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</si>
  <si>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</si>
  <si>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</si>
  <si>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</si>
  <si>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</si>
  <si>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</si>
  <si>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</si>
  <si>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</si>
  <si>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</si>
  <si>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</si>
  <si>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</si>
  <si>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</si>
  <si>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</si>
  <si>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</si>
  <si>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</si>
  <si>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</si>
  <si>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</si>
  <si>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</si>
  <si>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</si>
  <si>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</si>
  <si>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</si>
  <si>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</si>
  <si>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</si>
  <si>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</si>
  <si>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</si>
  <si>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</si>
  <si>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</si>
  <si>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</si>
  <si>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</si>
  <si>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</si>
  <si>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</si>
  <si>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</si>
  <si>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</si>
  <si>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</si>
  <si>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</si>
  <si>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</si>
  <si>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</si>
  <si>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</si>
  <si>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</si>
  <si>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</si>
  <si>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</si>
  <si>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</si>
  <si>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</si>
  <si>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</si>
  <si>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</si>
  <si>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</si>
  <si>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</si>
  <si>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</si>
  <si>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</si>
  <si>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</si>
  <si>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</si>
  <si>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</si>
  <si>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</si>
  <si>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</si>
  <si>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</si>
  <si>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</si>
  <si>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</si>
  <si>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</si>
  <si>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</si>
  <si>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</si>
  <si>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</si>
  <si>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</si>
  <si>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</si>
  <si>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</si>
  <si>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</si>
  <si>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</si>
  <si>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</si>
  <si>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</si>
  <si>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</si>
  <si>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</si>
  <si>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</si>
  <si>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</si>
  <si>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</si>
  <si>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</si>
  <si>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</si>
  <si>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</si>
  <si>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</si>
  <si>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</si>
  <si>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</si>
  <si>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</si>
  <si>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</si>
  <si>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</si>
  <si>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</si>
  <si>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</si>
  <si>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</si>
  <si>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</si>
  <si>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</si>
  <si>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</si>
  <si>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</si>
  <si>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</si>
  <si>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</si>
  <si>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</si>
  <si>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</si>
  <si>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</si>
  <si>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</si>
  <si>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</si>
  <si>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</si>
  <si>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</si>
  <si>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</si>
  <si>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</si>
  <si>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</si>
  <si>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</si>
  <si>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</si>
  <si>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</si>
  <si>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</si>
  <si>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</si>
  <si>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</si>
  <si>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</si>
  <si>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</si>
  <si>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</si>
  <si>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</si>
  <si>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</si>
  <si>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</si>
  <si>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</si>
  <si>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</si>
  <si>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</si>
  <si>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</si>
  <si>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</si>
  <si>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</si>
  <si>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</si>
  <si>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</si>
  <si>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</si>
  <si>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</si>
  <si>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</si>
  <si>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</si>
  <si>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</si>
  <si>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</si>
  <si>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</si>
  <si>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</si>
  <si>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</si>
  <si>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</si>
  <si>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</si>
  <si>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</si>
  <si>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</si>
  <si>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</si>
  <si>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</si>
  <si>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</si>
  <si>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</si>
  <si>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</si>
  <si>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</si>
  <si>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</si>
  <si>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</si>
  <si>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</si>
  <si>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</si>
  <si>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</si>
  <si>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</si>
  <si>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</si>
  <si>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</si>
  <si>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</si>
  <si>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</si>
  <si>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</si>
  <si>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</si>
  <si>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</si>
  <si>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</si>
  <si>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</si>
  <si>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</si>
  <si>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</si>
  <si>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</si>
  <si>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</si>
  <si>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</si>
  <si>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</si>
  <si>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</si>
  <si>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</si>
  <si>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</si>
  <si>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</si>
  <si>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</si>
  <si>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</si>
  <si>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</si>
  <si>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</si>
  <si>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</si>
  <si>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</si>
  <si>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</si>
  <si>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</si>
  <si>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</si>
  <si>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</si>
  <si>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</si>
  <si>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</si>
  <si>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</si>
  <si>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</si>
  <si>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</si>
  <si>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</si>
  <si>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</si>
  <si>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</si>
  <si>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</si>
  <si>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</si>
  <si>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</si>
  <si>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</si>
  <si>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</si>
  <si>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</si>
  <si>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</si>
  <si>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</si>
  <si>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</si>
  <si>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</si>
  <si>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</si>
  <si>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</si>
  <si>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</si>
  <si>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</si>
  <si>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</si>
  <si>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</si>
  <si>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</si>
  <si>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</si>
  <si>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</si>
  <si>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</si>
  <si>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</si>
  <si>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</si>
  <si>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</si>
  <si>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</si>
  <si>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</si>
  <si>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</si>
  <si>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</si>
  <si>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</si>
  <si>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</si>
  <si>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</si>
  <si>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</si>
  <si>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</si>
  <si>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</si>
  <si>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</si>
  <si>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</si>
  <si>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</si>
  <si>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</si>
  <si>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</si>
  <si>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</si>
  <si>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</si>
  <si>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</si>
  <si>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</si>
  <si>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</si>
  <si>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</si>
  <si>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</si>
  <si>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</si>
  <si>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</si>
  <si>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</si>
  <si>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</si>
  <si>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</si>
  <si>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</si>
  <si>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</si>
  <si>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</si>
  <si>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</si>
  <si>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</si>
  <si>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</si>
  <si>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</si>
  <si>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</si>
  <si>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</si>
  <si>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</si>
  <si>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</si>
  <si>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</si>
  <si>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</si>
  <si>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</si>
  <si>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</si>
  <si>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</si>
  <si>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</si>
  <si>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</si>
  <si>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</si>
  <si>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</si>
  <si>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</si>
  <si>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</si>
  <si>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</si>
  <si>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</si>
  <si>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</si>
  <si>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</si>
  <si>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</si>
  <si>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</si>
  <si>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</si>
  <si>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</si>
  <si>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</si>
  <si>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</si>
  <si>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</si>
  <si>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</si>
  <si>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</si>
  <si>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</si>
  <si>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</si>
  <si>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</si>
  <si>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</si>
  <si>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</si>
  <si>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</si>
  <si>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</si>
  <si>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</si>
  <si>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</si>
  <si>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</si>
  <si>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</si>
  <si>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</si>
  <si>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</si>
  <si>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</si>
  <si>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</si>
  <si>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</si>
  <si>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</si>
  <si>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</si>
  <si>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</si>
  <si>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</si>
  <si>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</si>
  <si>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</si>
  <si>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</si>
  <si>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</si>
  <si>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</si>
  <si>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</si>
  <si>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</si>
  <si>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</si>
  <si>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</si>
  <si>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</si>
  <si>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</si>
  <si>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</si>
  <si>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</si>
  <si>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</si>
  <si>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</si>
  <si>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</si>
  <si>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</si>
  <si>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</si>
  <si>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</si>
  <si>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</si>
  <si>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</si>
  <si>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</si>
  <si>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</si>
  <si>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</si>
  <si>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</si>
  <si>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</si>
  <si>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</si>
  <si>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</si>
  <si>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</si>
  <si>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</si>
  <si>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</si>
  <si>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</si>
  <si>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</si>
  <si>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</si>
  <si>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</si>
  <si>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</si>
  <si>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</si>
  <si>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</si>
  <si>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</si>
  <si>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</si>
  <si>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</si>
  <si>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</si>
  <si>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</si>
  <si>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</si>
  <si>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</si>
  <si>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</si>
  <si>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</si>
  <si>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</si>
  <si>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</si>
  <si>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</si>
  <si>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</si>
  <si>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</si>
  <si>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</si>
  <si>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</si>
  <si>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</si>
  <si>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</si>
  <si>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</si>
  <si>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</si>
  <si>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</si>
  <si>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</si>
  <si>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</si>
  <si>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</si>
  <si>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</si>
  <si>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</si>
  <si>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</si>
  <si>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</si>
  <si>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</si>
  <si>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</si>
  <si>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</si>
  <si>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</si>
  <si>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</si>
  <si>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</si>
  <si>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</si>
  <si>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</si>
  <si>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</si>
  <si>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</si>
  <si>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</si>
  <si>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</si>
  <si>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</si>
  <si>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</si>
  <si>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</si>
  <si>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</si>
  <si>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</si>
  <si>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</si>
  <si>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</si>
  <si>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</si>
  <si>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</si>
  <si>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</si>
  <si>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</si>
  <si>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</si>
  <si>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</si>
  <si>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</si>
  <si>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</si>
  <si>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</si>
  <si>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</si>
  <si>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</si>
  <si>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</si>
  <si>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</si>
  <si>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</si>
  <si>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 xml:space="preserve">FCO100-22 </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</si>
  <si>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</si>
  <si>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</si>
  <si>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</si>
  <si>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</si>
  <si>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</si>
  <si>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</si>
  <si>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</si>
  <si>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</si>
  <si>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</si>
  <si>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</si>
  <si>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</si>
  <si>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</si>
  <si>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</si>
  <si>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</si>
  <si>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</si>
  <si>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</si>
  <si>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</si>
  <si>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</si>
  <si>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</si>
  <si>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</si>
  <si>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</si>
  <si>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</si>
  <si>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</si>
  <si>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</si>
  <si>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</si>
  <si>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</si>
  <si>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</si>
  <si>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</si>
  <si>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</si>
  <si>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</si>
  <si>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</si>
  <si>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</si>
  <si>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</si>
  <si>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</si>
  <si>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</si>
  <si>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</si>
  <si>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</si>
  <si>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</si>
  <si>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</si>
  <si>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</si>
  <si>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</si>
  <si>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</si>
  <si>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</si>
  <si>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</si>
  <si>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</si>
  <si>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Hoàng Thị Huyền Thúy</t>
  </si>
  <si>
    <t>Đường dây 22kV &amp; TBA 3P-1000kVA Công ty TNHH Đầu tư Đồng Tâm Solar</t>
  </si>
  <si>
    <t>Số trụ trung thế hiện hữu</t>
  </si>
  <si>
    <t>Số trụ trung thế NC, XDM</t>
  </si>
  <si>
    <t>xxxx</t>
  </si>
  <si>
    <t>Khoảng cách hiện hữu</t>
  </si>
  <si>
    <t>Khoảng cách NC, XDM</t>
  </si>
  <si>
    <t>Cộng dồn 3ACXH95 + AC70</t>
  </si>
  <si>
    <t>Cộng dồn 3ACXH70 + AC50</t>
  </si>
  <si>
    <t>CXV25</t>
  </si>
  <si>
    <t>CXV95</t>
  </si>
  <si>
    <t>Hình thức trụ hiện hữu</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</si>
  <si>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</si>
  <si>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</si>
  <si>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</si>
  <si>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</si>
  <si>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</si>
  <si>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</si>
  <si>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</si>
  <si>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</si>
  <si>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</si>
  <si>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</si>
  <si>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</si>
  <si>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</si>
  <si>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</si>
  <si>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</si>
  <si>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</si>
  <si>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</si>
  <si>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</si>
  <si>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</si>
  <si>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</si>
  <si>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</si>
  <si>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</si>
  <si>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</si>
  <si>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</si>
  <si>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</si>
  <si>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</si>
  <si>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</si>
  <si>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</si>
  <si>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</si>
  <si>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</si>
  <si>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</si>
  <si>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</si>
  <si>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</si>
  <si>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</si>
  <si>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</si>
  <si>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</si>
  <si>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</si>
  <si>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</si>
  <si>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</si>
  <si>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</si>
  <si>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</si>
  <si>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</si>
  <si>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</si>
  <si>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</si>
  <si>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</si>
  <si>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</si>
  <si>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</si>
  <si>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</si>
  <si>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</si>
  <si>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</si>
  <si>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</si>
  <si>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//001</t>
  </si>
  <si>
    <t>//002</t>
  </si>
  <si>
    <t>//003</t>
  </si>
  <si>
    <t>//004</t>
  </si>
  <si>
    <t>//005</t>
  </si>
  <si>
    <t>//006</t>
  </si>
  <si>
    <t>//007</t>
  </si>
  <si>
    <t>//008</t>
  </si>
  <si>
    <t>//009</t>
  </si>
  <si>
    <t>//010</t>
  </si>
  <si>
    <t>//011</t>
  </si>
  <si>
    <t>//012</t>
  </si>
  <si>
    <t>//013</t>
  </si>
  <si>
    <t>//014</t>
  </si>
  <si>
    <t>I. Phần nâng cấp 1P lên 3P Nhánh Nguyễn Hữu Tài từ trụ 270/028 đến 270/028/007/014</t>
  </si>
  <si>
    <t>004A</t>
  </si>
  <si>
    <t>//006A</t>
  </si>
  <si>
    <t>Cộng I</t>
  </si>
  <si>
    <t>II. Phần nâng cấp 1P lên 3P Nhánh Nguyễn Hữu Tài từ trụ 270/028/014 đến 270/028/007/019</t>
  </si>
  <si>
    <t>//015</t>
  </si>
  <si>
    <t>//016</t>
  </si>
  <si>
    <t>//017</t>
  </si>
  <si>
    <t>//018</t>
  </si>
  <si>
    <t>//019</t>
  </si>
  <si>
    <t>//015A</t>
  </si>
  <si>
    <t>Cộng II</t>
  </si>
  <si>
    <t>Cộng III</t>
  </si>
  <si>
    <t>ACXH95</t>
  </si>
  <si>
    <t>ACXH70</t>
  </si>
  <si>
    <t xml:space="preserve">ACXH120
</t>
  </si>
  <si>
    <t>Cáp 24KV ACXH 70mm2</t>
  </si>
  <si>
    <t>acxh95</t>
  </si>
  <si>
    <t>acxh70</t>
  </si>
  <si>
    <t>2DT90</t>
  </si>
  <si>
    <t>2DTFCO</t>
  </si>
  <si>
    <t>2DTREC</t>
  </si>
  <si>
    <t>TDtb</t>
  </si>
  <si>
    <t>Ke185</t>
  </si>
  <si>
    <t>Trụ BTLT 12m F540 dự ứng lực (tiếp địa có sẵn)</t>
  </si>
  <si>
    <t>Bộ khóa néo T.H vào trụ ghép</t>
  </si>
  <si>
    <t>Bộ khóa néo T.H vào trụ đơn</t>
  </si>
  <si>
    <t>Bộ khóa néo dây trung hòa vào trụ đơn</t>
  </si>
  <si>
    <t>Bộ khóa néo dây trung hòa vào xà</t>
  </si>
  <si>
    <t>Bộ khóa néo dây trung hòa vào trụ ghép</t>
  </si>
  <si>
    <t>bangkeott</t>
  </si>
  <si>
    <t>CHLBS-REC</t>
  </si>
  <si>
    <t>Chụp đầu cực LBS, Recloser</t>
  </si>
  <si>
    <t>pvc42</t>
  </si>
  <si>
    <t>pvc60</t>
  </si>
  <si>
    <t>b1680</t>
  </si>
  <si>
    <t>B1680</t>
  </si>
  <si>
    <t>Boulon 16x80+ 2 long đền vuông D18-50x50x3/Zn</t>
  </si>
  <si>
    <t>b1650</t>
  </si>
  <si>
    <t>chi3k</t>
  </si>
  <si>
    <t>chi140k</t>
  </si>
  <si>
    <t>Rec</t>
  </si>
  <si>
    <t>Recloser 24kV 630A - 800A (MBA cấp nguồn + Phụ kiện)</t>
  </si>
  <si>
    <t>PHẦN TRẠM BIẾN ÁP</t>
  </si>
  <si>
    <t>PHẦN ĐƯỜNG DÂY</t>
  </si>
  <si>
    <t>270/028</t>
  </si>
  <si>
    <t>270/028/007/014</t>
  </si>
  <si>
    <t>III. Phần trung thế XDM từ trụ 270/028/019 đến 270/028/007/019/009</t>
  </si>
  <si>
    <t>270/028/007/019/009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</si>
</sst>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0">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sz val="14"/>
      <color rgb="FFFF0000"/>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1" fillId="0" borderId="0" applyNumberFormat="0">
      <protection locked="0"/>
    </xf>
    <xf numFmtId="0" fontId="95" fillId="0" borderId="0"/>
    <xf numFmtId="0" fontId="95" fillId="0" borderId="0"/>
    <xf numFmtId="0" fontId="95" fillId="0" borderId="0"/>
    <xf numFmtId="0" fontId="4" fillId="0" borderId="0"/>
    <xf numFmtId="174" fontId="188"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4" fontId="188" fillId="0" borderId="5" applyFill="0" applyBorder="0" applyProtection="0"/>
    <xf numFmtId="0" fontId="4" fillId="0" borderId="0"/>
    <xf numFmtId="186" fontId="4" fillId="0" borderId="0" applyFont="0" applyFill="0" applyBorder="0" applyAlignment="0" applyProtection="0"/>
    <xf numFmtId="0" fontId="95" fillId="0" borderId="0"/>
    <xf numFmtId="174" fontId="188" fillId="0" borderId="124" applyFill="0" applyBorder="0" applyProtection="0"/>
    <xf numFmtId="174" fontId="188" fillId="0" borderId="119" applyFill="0" applyBorder="0" applyProtection="0"/>
    <xf numFmtId="0" fontId="4" fillId="0" borderId="0"/>
    <xf numFmtId="174" fontId="188"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4" fontId="188" fillId="0" borderId="134" applyFill="0" applyBorder="0" applyProtection="0"/>
    <xf numFmtId="174" fontId="188" fillId="0" borderId="128" applyFill="0" applyBorder="0" applyProtection="0"/>
    <xf numFmtId="0" fontId="4" fillId="0" borderId="0"/>
    <xf numFmtId="0" fontId="4" fillId="0" borderId="0"/>
  </cellStyleXfs>
  <cellXfs count="3264">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43"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43"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4"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6" fillId="0" borderId="5" xfId="0" applyFont="1" applyBorder="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0" fontId="163"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0" fontId="163" fillId="0" borderId="0" xfId="0" applyFont="1" applyAlignment="1">
      <alignment vertical="center" wrapText="1" shrinkToFit="1"/>
    </xf>
    <xf numFmtId="9" fontId="0" fillId="0" borderId="0" xfId="66" applyFont="1" applyAlignment="1">
      <alignment horizontal="center" vertical="center"/>
    </xf>
    <xf numFmtId="0" fontId="27" fillId="0" borderId="0" xfId="12" applyNumberFormat="1" applyFont="1" applyAlignment="1">
      <alignment horizontal="center" vertical="top" wrapText="1"/>
    </xf>
    <xf numFmtId="0" fontId="169"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69" fillId="0" borderId="6" xfId="0" quotePrefix="1" applyNumberFormat="1" applyFont="1" applyFill="1" applyBorder="1" applyAlignment="1">
      <alignment horizontal="center"/>
    </xf>
    <xf numFmtId="0" fontId="169" fillId="0" borderId="6" xfId="0" applyFont="1" applyFill="1" applyBorder="1" applyAlignment="1">
      <alignment horizontal="left" wrapText="1"/>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0" fontId="24"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0" fontId="163" fillId="0" borderId="0" xfId="0" quotePrefix="1" applyFont="1" applyAlignment="1">
      <alignment vertical="center" shrinkToFit="1"/>
    </xf>
    <xf numFmtId="164"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70" fillId="0" borderId="0" xfId="0" applyFont="1" applyAlignment="1" applyProtection="1">
      <alignment horizontal="left" vertical="center"/>
    </xf>
    <xf numFmtId="0" fontId="97" fillId="0" borderId="0" xfId="0" applyFont="1" applyBorder="1" applyAlignment="1">
      <alignment horizontal="left" vertical="center" wrapText="1"/>
    </xf>
    <xf numFmtId="43" fontId="170" fillId="0" borderId="0" xfId="2" applyFont="1" applyBorder="1" applyAlignment="1" applyProtection="1">
      <alignment horizontal="left" shrinkToFit="1"/>
    </xf>
    <xf numFmtId="0" fontId="170"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154" fillId="0" borderId="3" xfId="0" applyNumberFormat="1" applyFont="1" applyBorder="1" applyAlignment="1">
      <alignment horizontal="left"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2"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3" fillId="24" borderId="0" xfId="69" applyNumberFormat="1" applyFont="1" applyFill="1" applyAlignment="1">
      <alignment horizontal="center" vertical="center"/>
    </xf>
    <xf numFmtId="3" fontId="173" fillId="24" borderId="0" xfId="27" applyNumberFormat="1" applyFont="1" applyFill="1"/>
    <xf numFmtId="168" fontId="173" fillId="24" borderId="0" xfId="27" applyNumberFormat="1" applyFont="1" applyFill="1"/>
    <xf numFmtId="3" fontId="174" fillId="24" borderId="0" xfId="27" applyNumberFormat="1" applyFont="1" applyFill="1" applyAlignment="1">
      <alignment horizontal="center"/>
    </xf>
    <xf numFmtId="3" fontId="174" fillId="24" borderId="0" xfId="27" applyNumberFormat="1" applyFont="1" applyFill="1"/>
    <xf numFmtId="3" fontId="175"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6"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8" fillId="24" borderId="26" xfId="69" applyNumberFormat="1" applyFont="1" applyFill="1" applyBorder="1" applyAlignment="1">
      <alignment horizontal="center"/>
    </xf>
    <xf numFmtId="164" fontId="27" fillId="24" borderId="6" xfId="2" applyNumberFormat="1" applyFont="1" applyFill="1" applyBorder="1"/>
    <xf numFmtId="3" fontId="178" fillId="24" borderId="15" xfId="69" applyNumberFormat="1" applyFont="1" applyFill="1" applyBorder="1" applyAlignment="1">
      <alignment horizontal="right"/>
    </xf>
    <xf numFmtId="3" fontId="178"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8" fillId="24" borderId="6" xfId="69" applyNumberFormat="1" applyFont="1" applyFill="1" applyBorder="1" applyAlignment="1">
      <alignment horizontal="right"/>
    </xf>
    <xf numFmtId="3" fontId="178"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9"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78"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8" fillId="24" borderId="27" xfId="69" applyNumberFormat="1" applyFont="1" applyFill="1" applyBorder="1" applyAlignment="1">
      <alignment horizontal="right"/>
    </xf>
    <xf numFmtId="3" fontId="178"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8"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9"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8" fillId="24" borderId="19" xfId="69" applyNumberFormat="1" applyFont="1" applyFill="1" applyBorder="1" applyAlignment="1">
      <alignment horizontal="right"/>
    </xf>
    <xf numFmtId="3" fontId="178"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78"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1" fillId="24" borderId="0" xfId="10" quotePrefix="1" applyNumberFormat="1" applyFont="1" applyFill="1"/>
    <xf numFmtId="4" fontId="178"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8" fillId="24" borderId="14" xfId="71" applyNumberFormat="1" applyFont="1" applyFill="1" applyBorder="1" applyAlignment="1">
      <alignment horizontal="right"/>
    </xf>
    <xf numFmtId="3" fontId="178"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9"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78" fillId="16" borderId="14" xfId="69" applyNumberFormat="1" applyFont="1" applyFill="1" applyBorder="1" applyAlignment="1">
      <alignment horizontal="right"/>
    </xf>
    <xf numFmtId="3" fontId="178"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8"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9"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9"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9"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2" fillId="24" borderId="8" xfId="69" applyNumberFormat="1" applyFont="1" applyFill="1" applyBorder="1" applyAlignment="1">
      <alignment horizontal="right"/>
    </xf>
    <xf numFmtId="3" fontId="182" fillId="24" borderId="27" xfId="71" applyNumberFormat="1" applyFont="1" applyFill="1" applyBorder="1" applyAlignment="1">
      <alignment horizontal="right"/>
    </xf>
    <xf numFmtId="3" fontId="182"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8" fillId="24" borderId="27" xfId="71" applyNumberFormat="1" applyFont="1" applyFill="1" applyBorder="1" applyAlignment="1">
      <alignment horizontal="right"/>
    </xf>
    <xf numFmtId="3" fontId="178"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8" fillId="24" borderId="14" xfId="70" applyNumberFormat="1" applyFont="1" applyFill="1" applyBorder="1" applyAlignment="1">
      <alignment horizontal="right"/>
    </xf>
    <xf numFmtId="3" fontId="178"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9"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78" fillId="24" borderId="6" xfId="69" applyNumberFormat="1" applyFont="1" applyFill="1" applyBorder="1" applyAlignment="1">
      <alignment vertical="justify"/>
    </xf>
    <xf numFmtId="3" fontId="178" fillId="24" borderId="14" xfId="70" applyNumberFormat="1" applyFont="1" applyFill="1" applyBorder="1" applyAlignment="1">
      <alignment vertical="justify"/>
    </xf>
    <xf numFmtId="3" fontId="178"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9"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8" fillId="24" borderId="27" xfId="70" applyNumberFormat="1" applyFont="1" applyFill="1" applyBorder="1" applyAlignment="1">
      <alignment horizontal="right"/>
    </xf>
    <xf numFmtId="3" fontId="178"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78" fillId="24" borderId="14" xfId="70" applyNumberFormat="1" applyFont="1" applyFill="1" applyBorder="1" applyAlignment="1">
      <alignment horizontal="right" vertical="center"/>
    </xf>
    <xf numFmtId="3" fontId="178"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8" fillId="24" borderId="6" xfId="71" applyNumberFormat="1" applyFont="1" applyFill="1" applyBorder="1" applyAlignment="1">
      <alignment horizontal="center" vertical="center"/>
    </xf>
    <xf numFmtId="164" fontId="178" fillId="24" borderId="6" xfId="2" applyNumberFormat="1" applyFont="1" applyFill="1" applyBorder="1" applyAlignment="1">
      <alignment horizontal="center" vertical="center"/>
    </xf>
    <xf numFmtId="164" fontId="178"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8"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78"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2"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78"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78" fillId="19" borderId="14" xfId="69" applyNumberFormat="1" applyFont="1" applyFill="1" applyBorder="1" applyAlignment="1">
      <alignment horizontal="right" vertical="center"/>
    </xf>
    <xf numFmtId="4" fontId="178"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3"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4" fillId="24" borderId="0" xfId="69" applyNumberFormat="1" applyFont="1" applyFill="1" applyAlignment="1">
      <alignment horizontal="center" vertical="center"/>
    </xf>
    <xf numFmtId="3" fontId="179" fillId="24" borderId="6" xfId="70" applyNumberFormat="1" applyFont="1" applyFill="1" applyBorder="1" applyAlignment="1">
      <alignment horizontal="center" vertical="center"/>
    </xf>
    <xf numFmtId="0" fontId="179" fillId="24" borderId="6" xfId="23" applyFont="1" applyFill="1" applyBorder="1" applyAlignment="1">
      <alignment horizontal="center" vertical="center"/>
    </xf>
    <xf numFmtId="0" fontId="179" fillId="24" borderId="6" xfId="23" applyFont="1" applyFill="1" applyBorder="1" applyAlignment="1">
      <alignment horizontal="left" vertical="center"/>
    </xf>
    <xf numFmtId="4" fontId="179" fillId="24" borderId="6" xfId="71" applyNumberFormat="1" applyFont="1" applyFill="1" applyBorder="1" applyAlignment="1">
      <alignment horizontal="right" vertical="center"/>
    </xf>
    <xf numFmtId="3" fontId="185" fillId="24" borderId="14" xfId="69" applyNumberFormat="1" applyFont="1" applyFill="1" applyBorder="1" applyAlignment="1">
      <alignment horizontal="right" vertical="center"/>
    </xf>
    <xf numFmtId="3" fontId="186" fillId="24" borderId="6" xfId="69" applyNumberFormat="1" applyFont="1" applyFill="1" applyBorder="1" applyAlignment="1">
      <alignment horizontal="center" vertical="center"/>
    </xf>
    <xf numFmtId="3" fontId="179" fillId="24" borderId="0" xfId="69" applyNumberFormat="1" applyFont="1" applyFill="1" applyAlignment="1">
      <alignment vertical="center"/>
    </xf>
    <xf numFmtId="3" fontId="179"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7"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9"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8"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8"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9" fillId="24" borderId="0" xfId="23" applyFont="1" applyFill="1" applyAlignment="1">
      <alignment horizontal="left"/>
    </xf>
    <xf numFmtId="3" fontId="179"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8"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7"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80"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1"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24" fillId="0" borderId="0" xfId="0" applyFont="1" applyAlignment="1">
      <alignment horizontal="center" vertical="center" wrapText="1"/>
    </xf>
    <xf numFmtId="0" fontId="24" fillId="0" borderId="3" xfId="0" applyFont="1" applyBorder="1" applyAlignment="1">
      <alignment horizontal="center" vertical="center" wrapText="1"/>
    </xf>
    <xf numFmtId="0" fontId="24" fillId="0" borderId="3" xfId="0" applyFont="1" applyBorder="1" applyAlignment="1">
      <alignment horizontal="left" vertical="center"/>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90"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1"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1"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1" fillId="0" borderId="16" xfId="27" applyNumberFormat="1" applyFont="1" applyFill="1" applyBorder="1" applyProtection="1"/>
    <xf numFmtId="0" fontId="191" fillId="0" borderId="16" xfId="27" applyNumberFormat="1" applyFont="1" applyFill="1" applyBorder="1" applyAlignment="1" applyProtection="1">
      <alignment horizontal="center"/>
    </xf>
    <xf numFmtId="0" fontId="192"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2" fillId="0" borderId="0" xfId="27" applyNumberFormat="1" applyFont="1" applyFill="1" applyBorder="1" applyProtection="1"/>
    <xf numFmtId="3" fontId="192" fillId="0" borderId="0" xfId="27" applyNumberFormat="1" applyFont="1" applyFill="1" applyBorder="1" applyAlignment="1" applyProtection="1">
      <alignment horizontal="center"/>
    </xf>
    <xf numFmtId="3" fontId="191" fillId="0" borderId="0" xfId="15" applyNumberFormat="1" applyFont="1" applyFill="1" applyBorder="1" applyAlignment="1" applyProtection="1">
      <alignment horizontal="center" vertic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4" fillId="0" borderId="8" xfId="13" applyNumberFormat="1" applyFont="1" applyFill="1" applyBorder="1" applyAlignment="1" applyProtection="1">
      <alignment horizontal="center"/>
    </xf>
    <xf numFmtId="0" fontId="194" fillId="0" borderId="6" xfId="15" applyNumberFormat="1" applyFont="1" applyFill="1" applyBorder="1" applyAlignment="1" applyProtection="1">
      <alignment horizontal="center"/>
    </xf>
    <xf numFmtId="0" fontId="196" fillId="7" borderId="6" xfId="15" applyNumberFormat="1" applyFont="1" applyFill="1" applyBorder="1" applyAlignment="1" applyProtection="1">
      <alignment horizontal="center"/>
    </xf>
    <xf numFmtId="0" fontId="196"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4"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4" fontId="23" fillId="0" borderId="135" xfId="2" applyNumberFormat="1" applyFont="1" applyBorder="1" applyAlignment="1" applyProtection="1">
      <alignment vertical="center"/>
    </xf>
    <xf numFmtId="164"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4" fontId="34" fillId="26" borderId="135" xfId="2" applyNumberFormat="1" applyFont="1" applyFill="1" applyBorder="1" applyAlignment="1" applyProtection="1">
      <alignment vertical="center"/>
    </xf>
    <xf numFmtId="164"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9"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198" fillId="0" borderId="0" xfId="0" applyFont="1" applyFill="1" applyAlignment="1">
      <alignment horizontal="left" vertical="center"/>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4"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7"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7"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4"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4" fontId="23" fillId="0" borderId="20" xfId="2" applyNumberFormat="1" applyFont="1" applyBorder="1" applyAlignment="1" applyProtection="1">
      <alignment vertical="center"/>
    </xf>
    <xf numFmtId="164" fontId="23" fillId="0" borderId="20" xfId="2" applyNumberFormat="1" applyFont="1" applyBorder="1" applyAlignment="1" applyProtection="1">
      <alignment horizontal="center" vertical="center"/>
    </xf>
    <xf numFmtId="164"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4"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43" fontId="139" fillId="0" borderId="135" xfId="0" applyNumberFormat="1" applyFont="1" applyFill="1" applyBorder="1" applyAlignment="1" applyProtection="1">
      <alignment horizontal="center" vertical="center"/>
      <protection hidden="1"/>
    </xf>
    <xf numFmtId="43"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xf>
    <xf numFmtId="43" fontId="134" fillId="0" borderId="135" xfId="0" applyNumberFormat="1" applyFont="1" applyFill="1" applyBorder="1">
      <alignment horizontal="center" vertical="center"/>
    </xf>
    <xf numFmtId="43" fontId="134" fillId="0" borderId="135" xfId="0" applyNumberFormat="1" applyFont="1" applyFill="1" applyBorder="1" applyAlignment="1">
      <alignment horizontal="left" vertical="center" shrinkToFit="1"/>
    </xf>
    <xf numFmtId="43" fontId="139" fillId="0" borderId="135" xfId="0" applyNumberFormat="1" applyFont="1" applyFill="1" applyBorder="1" applyAlignment="1" applyProtection="1">
      <alignment vertical="center" shrinkToFit="1"/>
      <protection hidden="1"/>
    </xf>
    <xf numFmtId="43"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shrinkToFit="1"/>
    </xf>
    <xf numFmtId="43"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0" fontId="0" fillId="0" borderId="135" xfId="0" applyBorder="1" applyAlignment="1">
      <alignment horizontal="center" vertical="center" textRotation="90"/>
    </xf>
    <xf numFmtId="0" fontId="20" fillId="0" borderId="135" xfId="2" applyNumberFormat="1" applyFont="1" applyFill="1" applyBorder="1" applyAlignment="1" applyProtection="1">
      <alignment horizontal="center" vertical="center"/>
    </xf>
    <xf numFmtId="0" fontId="20" fillId="0" borderId="135" xfId="2" applyNumberFormat="1" applyFont="1" applyFill="1" applyBorder="1" applyAlignment="1">
      <alignment horizontal="centerContinuous" vertical="center"/>
    </xf>
    <xf numFmtId="0" fontId="20" fillId="0" borderId="135" xfId="2" applyNumberFormat="1" applyFont="1" applyFill="1" applyBorder="1" applyAlignment="1">
      <alignment horizontal="center" vertical="center"/>
    </xf>
    <xf numFmtId="0" fontId="28" fillId="0" borderId="135" xfId="2" applyNumberFormat="1" applyFont="1" applyFill="1" applyBorder="1" applyAlignment="1">
      <alignment horizontal="center"/>
    </xf>
    <xf numFmtId="0" fontId="28" fillId="0" borderId="135" xfId="2" applyNumberFormat="1" applyFont="1" applyFill="1" applyBorder="1" applyAlignment="1">
      <alignment horizontal="center" vertical="center"/>
    </xf>
    <xf numFmtId="0" fontId="28" fillId="0" borderId="135" xfId="12" applyNumberFormat="1" applyFont="1" applyFill="1" applyBorder="1" applyAlignment="1">
      <alignment horizontal="center" vertical="center"/>
    </xf>
    <xf numFmtId="0" fontId="27" fillId="0" borderId="135" xfId="12" applyNumberFormat="1" applyFont="1" applyFill="1" applyBorder="1" applyAlignment="1">
      <alignment horizontal="center"/>
    </xf>
    <xf numFmtId="0" fontId="20" fillId="0" borderId="135" xfId="2" applyNumberFormat="1" applyFont="1" applyFill="1" applyBorder="1" applyAlignment="1" applyProtection="1">
      <alignment horizontal="center"/>
    </xf>
    <xf numFmtId="0" fontId="32" fillId="0" borderId="135" xfId="12" applyNumberFormat="1" applyFont="1" applyFill="1" applyBorder="1" applyAlignment="1">
      <alignment horizontal="center"/>
    </xf>
    <xf numFmtId="0" fontId="20" fillId="0" borderId="135" xfId="2" applyNumberFormat="1" applyFont="1" applyFill="1" applyBorder="1" applyAlignment="1">
      <alignment horizontal="center"/>
    </xf>
    <xf numFmtId="0" fontId="60" fillId="0" borderId="135" xfId="12" applyNumberFormat="1" applyFont="1" applyFill="1" applyBorder="1" applyAlignment="1">
      <alignment vertical="center"/>
    </xf>
    <xf numFmtId="0" fontId="20" fillId="0" borderId="135" xfId="2" applyNumberFormat="1" applyFont="1" applyFill="1" applyBorder="1" applyAlignment="1" applyProtection="1">
      <alignment horizontal="centerContinuous" vertical="center"/>
    </xf>
    <xf numFmtId="0" fontId="28" fillId="0" borderId="135" xfId="2" applyNumberFormat="1" applyFont="1" applyFill="1" applyBorder="1" applyAlignment="1" applyProtection="1">
      <alignment horizontal="center"/>
    </xf>
    <xf numFmtId="0" fontId="20" fillId="0" borderId="135" xfId="12" applyNumberFormat="1" applyFont="1" applyFill="1" applyBorder="1" applyAlignment="1">
      <alignment horizontal="center"/>
    </xf>
    <xf numFmtId="0" fontId="28" fillId="9" borderId="135" xfId="12" applyNumberFormat="1" applyFont="1" applyFill="1" applyBorder="1" applyAlignment="1">
      <alignment horizontal="center" vertical="center"/>
    </xf>
    <xf numFmtId="0" fontId="60" fillId="0" borderId="135" xfId="12" applyNumberFormat="1" applyFont="1" applyFill="1" applyBorder="1" applyAlignment="1"/>
    <xf numFmtId="0" fontId="82" fillId="0" borderId="135" xfId="12" quotePrefix="1" applyNumberFormat="1" applyFont="1" applyFill="1" applyBorder="1" applyAlignment="1">
      <alignment horizontal="center"/>
    </xf>
    <xf numFmtId="0" fontId="199" fillId="0" borderId="135" xfId="12" quotePrefix="1" applyNumberFormat="1" applyFont="1" applyFill="1" applyBorder="1" applyAlignment="1"/>
    <xf numFmtId="0" fontId="24" fillId="0" borderId="135" xfId="0" applyNumberFormat="1" applyFont="1" applyBorder="1" applyAlignment="1">
      <alignment horizontal="left"/>
    </xf>
    <xf numFmtId="0" fontId="25" fillId="0" borderId="135" xfId="2" applyNumberFormat="1" applyFont="1" applyFill="1" applyBorder="1" applyAlignment="1" applyProtection="1">
      <alignment horizontal="center"/>
    </xf>
    <xf numFmtId="0" fontId="199" fillId="0" borderId="135" xfId="12" quotePrefix="1" applyNumberFormat="1" applyFont="1" applyFill="1" applyBorder="1" applyAlignment="1">
      <alignment vertical="center"/>
    </xf>
    <xf numFmtId="0" fontId="25" fillId="0" borderId="135" xfId="2" applyNumberFormat="1" applyFont="1" applyFill="1" applyBorder="1" applyAlignment="1" applyProtection="1">
      <alignment horizontal="center" vertical="center"/>
    </xf>
    <xf numFmtId="0" fontId="28" fillId="9" borderId="135" xfId="12" applyNumberFormat="1" applyFont="1" applyFill="1" applyBorder="1" applyAlignment="1">
      <alignment horizontal="center"/>
    </xf>
    <xf numFmtId="0" fontId="20" fillId="0" borderId="0" xfId="0" applyFont="1" applyFill="1" applyAlignment="1">
      <alignment horizontal="left" vertical="center" wrapText="1"/>
    </xf>
    <xf numFmtId="0" fontId="27" fillId="0" borderId="0" xfId="12" applyNumberFormat="1" applyFont="1" applyAlignment="1">
      <alignment horizontal="center" vertical="top" shrinkToFit="1"/>
    </xf>
    <xf numFmtId="3" fontId="27" fillId="0" borderId="0" xfId="12" applyNumberFormat="1" applyFont="1" applyAlignment="1">
      <alignment horizontal="center" shrinkToFit="1"/>
    </xf>
    <xf numFmtId="0" fontId="0" fillId="0" borderId="0" xfId="0" applyBorder="1" applyAlignment="1">
      <alignment horizontal="center" vertical="center" shrinkToFit="1"/>
    </xf>
    <xf numFmtId="0" fontId="0" fillId="0" borderId="135" xfId="0" applyBorder="1" applyAlignment="1">
      <alignment horizontal="center" vertical="center" textRotation="90" shrinkToFit="1"/>
    </xf>
    <xf numFmtId="0" fontId="20" fillId="0" borderId="135" xfId="2" applyNumberFormat="1" applyFont="1" applyFill="1" applyBorder="1" applyAlignment="1">
      <alignment horizontal="center" shrinkToFit="1"/>
    </xf>
    <xf numFmtId="0" fontId="20" fillId="0" borderId="135" xfId="12" applyNumberFormat="1" applyFont="1" applyFill="1" applyBorder="1" applyAlignment="1">
      <alignment horizontal="center" shrinkToFit="1"/>
    </xf>
    <xf numFmtId="0" fontId="28" fillId="0" borderId="135" xfId="2" applyNumberFormat="1" applyFont="1" applyFill="1" applyBorder="1" applyAlignment="1">
      <alignment horizontal="center" shrinkToFit="1"/>
    </xf>
    <xf numFmtId="0" fontId="28" fillId="0" borderId="135" xfId="12" applyNumberFormat="1" applyFont="1" applyFill="1" applyBorder="1" applyAlignment="1">
      <alignment horizontal="center" vertical="center" shrinkToFit="1"/>
    </xf>
    <xf numFmtId="0" fontId="20" fillId="0" borderId="135" xfId="2" applyNumberFormat="1" applyFont="1" applyFill="1" applyBorder="1" applyAlignment="1">
      <alignment horizontal="centerContinuous" vertical="center" shrinkToFit="1"/>
    </xf>
    <xf numFmtId="0" fontId="28" fillId="9" borderId="135" xfId="12" applyNumberFormat="1" applyFont="1" applyFill="1" applyBorder="1" applyAlignment="1">
      <alignment horizontal="center"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8"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0" fillId="0" borderId="0" xfId="0"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3" fontId="0" fillId="0" borderId="0" xfId="0" applyNumberFormat="1" applyFont="1">
      <alignment horizontal="center" vertical="center"/>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3" xfId="2" applyNumberFormat="1" applyFont="1" applyFill="1" applyBorder="1" applyAlignment="1" applyProtection="1">
      <alignment horizontal="center" vertical="center" textRotation="90"/>
    </xf>
    <xf numFmtId="0" fontId="39" fillId="7" borderId="95" xfId="2" applyNumberFormat="1" applyFont="1" applyFill="1" applyBorder="1" applyAlignment="1" applyProtection="1">
      <alignment horizontal="center" vertical="center" textRotation="90"/>
    </xf>
    <xf numFmtId="0" fontId="39" fillId="7" borderId="17"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3" xfId="0" applyFont="1" applyBorder="1" applyAlignment="1">
      <alignment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20" fillId="0" borderId="17" xfId="0" applyFont="1" applyBorder="1" applyAlignment="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20" fillId="0" borderId="13" xfId="0" applyFont="1" applyBorder="1" applyAlignment="1">
      <alignment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20" fillId="0" borderId="11" xfId="0" applyFont="1" applyBorder="1" applyAlignment="1">
      <alignment vertical="center" textRotation="90"/>
    </xf>
    <xf numFmtId="0" fontId="20" fillId="0" borderId="25"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3" fontId="37" fillId="7" borderId="12" xfId="15" applyNumberFormat="1" applyFont="1" applyFill="1" applyBorder="1" applyAlignment="1" applyProtection="1">
      <alignment horizontal="center" vertical="center"/>
    </xf>
    <xf numFmtId="3" fontId="191"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1"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17" fillId="0" borderId="3" xfId="19" applyFont="1" applyBorder="1" applyAlignment="1">
      <alignment horizontal="center"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16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99</xdr:row>
      <xdr:rowOff>76212</xdr:rowOff>
    </xdr:from>
    <xdr:to>
      <xdr:col>47</xdr:col>
      <xdr:colOff>59493</xdr:colOff>
      <xdr:row>103</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19825459"/>
          <a:ext cx="18526787" cy="1488384"/>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Thị Huyền Thúy</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2426</xdr:row>
      <xdr:rowOff>33866</xdr:rowOff>
    </xdr:from>
    <xdr:to>
      <xdr:col>19</xdr:col>
      <xdr:colOff>369426</xdr:colOff>
      <xdr:row>2443</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462025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Thị Huyền Thúy</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770529" y="54680224"/>
          <a:ext cx="11040036" cy="1485027"/>
          <a:chOff x="85725" y="16135350"/>
          <a:chExt cx="7563657" cy="1495427"/>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44304589"/>
          <a:ext cx="640461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Hoàng Thị Huyền Thúy</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205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1134" sqref="A1134:XFD1134"/>
    </sheetView>
  </sheetViews>
  <sheetFormatPr defaultColWidth="8.90625" defaultRowHeight="13.2"/>
  <cols>
    <col min="1" max="1" width="15.36328125" style="1659" customWidth="1"/>
    <col min="2" max="2" width="9.81640625" style="1653" customWidth="1"/>
    <col min="3" max="3" width="58.453125" style="1659" customWidth="1"/>
    <col min="4" max="4" width="8.90625" style="54" customWidth="1"/>
    <col min="5" max="5" width="5.08984375" style="2016" customWidth="1"/>
    <col min="6" max="7" width="8.90625" style="54"/>
    <col min="8" max="8" width="10.1796875" style="54" customWidth="1"/>
    <col min="9" max="16384" width="8.90625" style="54"/>
  </cols>
  <sheetData>
    <row r="1" spans="1:10" s="1640" customFormat="1" ht="27.75" customHeight="1">
      <c r="A1" s="1013" t="s">
        <v>4979</v>
      </c>
      <c r="B1" s="1639" t="s">
        <v>2604</v>
      </c>
      <c r="C1" s="1638" t="s">
        <v>2605</v>
      </c>
      <c r="D1" s="1352" t="s">
        <v>2606</v>
      </c>
      <c r="E1" s="1759"/>
      <c r="F1" s="1640" t="s">
        <v>1708</v>
      </c>
      <c r="G1" s="1640" t="s">
        <v>4521</v>
      </c>
      <c r="H1" s="1640" t="s">
        <v>4827</v>
      </c>
      <c r="I1" s="1640" t="s">
        <v>4828</v>
      </c>
    </row>
    <row r="2" spans="1:10" s="1640" customFormat="1" ht="21.75" hidden="1" customHeight="1">
      <c r="A2" s="1638"/>
      <c r="B2" s="1639">
        <v>2</v>
      </c>
      <c r="C2" s="1638">
        <v>3</v>
      </c>
      <c r="D2" s="1352">
        <v>4</v>
      </c>
      <c r="E2" s="1759"/>
      <c r="F2" s="1640">
        <v>3000</v>
      </c>
    </row>
    <row r="3" spans="1:10" hidden="1">
      <c r="A3" s="71" t="s">
        <v>230</v>
      </c>
      <c r="B3" s="75" t="s">
        <v>1746</v>
      </c>
      <c r="C3" s="71" t="s">
        <v>2607</v>
      </c>
      <c r="D3" s="72" t="s">
        <v>2555</v>
      </c>
      <c r="E3" s="2016" t="str">
        <f>LEFT(A3,2)</f>
        <v>D1</v>
      </c>
      <c r="F3" s="54">
        <v>50</v>
      </c>
      <c r="G3" s="54" t="s">
        <v>512</v>
      </c>
      <c r="J3" s="54" t="str">
        <f>A3</f>
        <v>D12</v>
      </c>
    </row>
    <row r="4" spans="1:10" hidden="1">
      <c r="A4" s="71" t="s">
        <v>231</v>
      </c>
      <c r="B4" s="75" t="s">
        <v>220</v>
      </c>
      <c r="C4" s="71" t="s">
        <v>2608</v>
      </c>
      <c r="D4" s="72" t="s">
        <v>2555</v>
      </c>
      <c r="E4" s="2016" t="str">
        <f t="shared" ref="E4:E71" si="0">LEFT(A4,2)</f>
        <v>D1</v>
      </c>
      <c r="F4" s="54">
        <v>50</v>
      </c>
      <c r="G4" s="54" t="s">
        <v>512</v>
      </c>
      <c r="J4" s="54" t="str">
        <f t="shared" ref="J4:J69" si="1">A4</f>
        <v>D15</v>
      </c>
    </row>
    <row r="5" spans="1:10" hidden="1">
      <c r="A5" s="71" t="s">
        <v>163</v>
      </c>
      <c r="B5" s="75" t="s">
        <v>1558</v>
      </c>
      <c r="C5" s="71" t="s">
        <v>2609</v>
      </c>
      <c r="D5" s="72" t="s">
        <v>2555</v>
      </c>
      <c r="E5" s="2016" t="str">
        <f t="shared" si="0"/>
        <v>D2</v>
      </c>
      <c r="F5" s="54">
        <v>50</v>
      </c>
      <c r="G5" s="54" t="s">
        <v>512</v>
      </c>
      <c r="J5" s="54" t="str">
        <f t="shared" si="1"/>
        <v>D20</v>
      </c>
    </row>
    <row r="6" spans="1:10" hidden="1">
      <c r="A6" s="71" t="s">
        <v>1847</v>
      </c>
      <c r="B6" s="75" t="s">
        <v>1558</v>
      </c>
      <c r="C6" s="71" t="s">
        <v>2610</v>
      </c>
      <c r="D6" s="72" t="s">
        <v>2555</v>
      </c>
      <c r="E6" s="2016" t="str">
        <f t="shared" si="0"/>
        <v>D2</v>
      </c>
      <c r="F6" s="54">
        <v>50</v>
      </c>
      <c r="G6" s="54" t="s">
        <v>512</v>
      </c>
      <c r="J6" s="54" t="str">
        <f t="shared" si="1"/>
        <v>D25</v>
      </c>
    </row>
    <row r="7" spans="1:10" hidden="1">
      <c r="A7" s="71" t="s">
        <v>1258</v>
      </c>
      <c r="B7" s="75" t="s">
        <v>220</v>
      </c>
      <c r="C7" s="71" t="s">
        <v>2611</v>
      </c>
      <c r="D7" s="72" t="s">
        <v>2555</v>
      </c>
      <c r="E7" s="2016" t="str">
        <f t="shared" si="0"/>
        <v>DN</v>
      </c>
      <c r="F7" s="54">
        <v>50</v>
      </c>
      <c r="G7" s="54" t="s">
        <v>512</v>
      </c>
      <c r="J7" s="54" t="str">
        <f t="shared" si="1"/>
        <v>DN0212</v>
      </c>
    </row>
    <row r="8" spans="1:10" hidden="1">
      <c r="A8" s="71" t="s">
        <v>342</v>
      </c>
      <c r="B8" s="75" t="s">
        <v>220</v>
      </c>
      <c r="C8" s="71" t="s">
        <v>2612</v>
      </c>
      <c r="D8" s="72" t="s">
        <v>2555</v>
      </c>
      <c r="E8" s="2016" t="str">
        <f t="shared" si="0"/>
        <v>DN</v>
      </c>
      <c r="F8" s="54">
        <v>50</v>
      </c>
      <c r="G8" s="54" t="s">
        <v>512</v>
      </c>
      <c r="J8" s="54" t="str">
        <f t="shared" si="1"/>
        <v>DN0412</v>
      </c>
    </row>
    <row r="9" spans="1:10" hidden="1">
      <c r="A9" s="71" t="s">
        <v>2130</v>
      </c>
      <c r="B9" s="75" t="s">
        <v>1558</v>
      </c>
      <c r="C9" s="71" t="s">
        <v>2613</v>
      </c>
      <c r="D9" s="72" t="s">
        <v>2555</v>
      </c>
      <c r="E9" s="2016" t="str">
        <f t="shared" si="0"/>
        <v>DN</v>
      </c>
      <c r="F9" s="54">
        <v>50</v>
      </c>
      <c r="G9" s="54" t="s">
        <v>512</v>
      </c>
      <c r="J9" s="54" t="str">
        <f t="shared" si="1"/>
        <v>DN0415</v>
      </c>
    </row>
    <row r="10" spans="1:10" hidden="1">
      <c r="A10" s="71" t="s">
        <v>2131</v>
      </c>
      <c r="B10" s="75" t="s">
        <v>1558</v>
      </c>
      <c r="C10" s="71" t="s">
        <v>2614</v>
      </c>
      <c r="D10" s="72" t="s">
        <v>2555</v>
      </c>
      <c r="E10" s="2016" t="str">
        <f t="shared" si="0"/>
        <v>DN</v>
      </c>
      <c r="F10" s="54">
        <v>50</v>
      </c>
      <c r="G10" s="54" t="s">
        <v>512</v>
      </c>
      <c r="J10" s="54" t="str">
        <f t="shared" si="1"/>
        <v>DN0615</v>
      </c>
    </row>
    <row r="11" spans="1:10" hidden="1">
      <c r="A11" s="71" t="s">
        <v>1731</v>
      </c>
      <c r="B11" s="75" t="s">
        <v>1558</v>
      </c>
      <c r="C11" s="71" t="s">
        <v>2615</v>
      </c>
      <c r="D11" s="72" t="s">
        <v>2555</v>
      </c>
      <c r="E11" s="2016" t="str">
        <f t="shared" si="0"/>
        <v>DN</v>
      </c>
      <c r="F11" s="54">
        <v>50</v>
      </c>
      <c r="G11" s="54" t="s">
        <v>512</v>
      </c>
      <c r="J11" s="54" t="str">
        <f t="shared" si="1"/>
        <v>DN0618</v>
      </c>
    </row>
    <row r="12" spans="1:10" hidden="1">
      <c r="A12" s="71" t="s">
        <v>1077</v>
      </c>
      <c r="B12" s="75" t="s">
        <v>1558</v>
      </c>
      <c r="C12" s="71" t="s">
        <v>2616</v>
      </c>
      <c r="D12" s="72" t="s">
        <v>2555</v>
      </c>
      <c r="E12" s="2016" t="str">
        <f t="shared" si="0"/>
        <v>DN</v>
      </c>
      <c r="F12" s="54">
        <v>50</v>
      </c>
      <c r="G12" s="54" t="s">
        <v>512</v>
      </c>
      <c r="J12" s="54" t="str">
        <f t="shared" si="1"/>
        <v>DN1500</v>
      </c>
    </row>
    <row r="13" spans="1:10" hidden="1">
      <c r="A13" s="71" t="s">
        <v>1076</v>
      </c>
      <c r="B13" s="75" t="s">
        <v>220</v>
      </c>
      <c r="C13" s="71" t="s">
        <v>2617</v>
      </c>
      <c r="D13" s="72" t="s">
        <v>2555</v>
      </c>
      <c r="E13" s="2016" t="str">
        <f t="shared" si="0"/>
        <v>DN</v>
      </c>
      <c r="F13" s="54">
        <v>50</v>
      </c>
      <c r="G13" s="54" t="s">
        <v>512</v>
      </c>
      <c r="J13" s="54" t="str">
        <f t="shared" si="1"/>
        <v>DN1200</v>
      </c>
    </row>
    <row r="14" spans="1:10" hidden="1">
      <c r="A14" s="71" t="s">
        <v>1002</v>
      </c>
      <c r="B14" s="1642"/>
      <c r="C14" s="71" t="s">
        <v>2618</v>
      </c>
      <c r="D14" s="72" t="s">
        <v>2555</v>
      </c>
      <c r="E14" s="2016" t="str">
        <f t="shared" si="0"/>
        <v>BN</v>
      </c>
      <c r="F14" s="54">
        <v>50</v>
      </c>
      <c r="G14" s="54" t="s">
        <v>512</v>
      </c>
      <c r="J14" s="54" t="str">
        <f t="shared" si="1"/>
        <v>BNH</v>
      </c>
    </row>
    <row r="15" spans="1:10" hidden="1">
      <c r="A15" s="71" t="s">
        <v>378</v>
      </c>
      <c r="B15" s="1642"/>
      <c r="C15" s="71" t="s">
        <v>2619</v>
      </c>
      <c r="D15" s="72" t="s">
        <v>2555</v>
      </c>
      <c r="E15" s="2016" t="str">
        <f t="shared" si="0"/>
        <v>BB</v>
      </c>
      <c r="F15" s="54">
        <v>50</v>
      </c>
      <c r="G15" s="54" t="s">
        <v>512</v>
      </c>
      <c r="J15" s="54" t="str">
        <f t="shared" si="1"/>
        <v>BBD</v>
      </c>
    </row>
    <row r="16" spans="1:10" hidden="1">
      <c r="A16" s="71" t="s">
        <v>2171</v>
      </c>
      <c r="B16" s="1642"/>
      <c r="C16" s="71" t="s">
        <v>2620</v>
      </c>
      <c r="D16" s="72" t="s">
        <v>2439</v>
      </c>
      <c r="E16" s="2016" t="str">
        <f t="shared" si="0"/>
        <v>B4</v>
      </c>
      <c r="F16" s="54">
        <v>50</v>
      </c>
      <c r="G16" s="54" t="s">
        <v>512</v>
      </c>
      <c r="J16" s="54" t="str">
        <f t="shared" si="1"/>
        <v>B460</v>
      </c>
    </row>
    <row r="17" spans="1:10" hidden="1">
      <c r="A17" s="71" t="s">
        <v>790</v>
      </c>
      <c r="B17" s="1642"/>
      <c r="C17" s="71" t="s">
        <v>2621</v>
      </c>
      <c r="D17" s="72" t="s">
        <v>2439</v>
      </c>
      <c r="E17" s="2016" t="str">
        <f t="shared" si="0"/>
        <v>B6</v>
      </c>
      <c r="F17" s="54">
        <v>50</v>
      </c>
      <c r="G17" s="54" t="s">
        <v>512</v>
      </c>
      <c r="J17" s="54" t="str">
        <f t="shared" si="1"/>
        <v>B630</v>
      </c>
    </row>
    <row r="18" spans="1:10" hidden="1">
      <c r="A18" s="71" t="s">
        <v>743</v>
      </c>
      <c r="B18" s="1642"/>
      <c r="C18" s="71" t="s">
        <v>2622</v>
      </c>
      <c r="D18" s="72" t="s">
        <v>2439</v>
      </c>
      <c r="E18" s="2016" t="str">
        <f t="shared" si="0"/>
        <v>B1</v>
      </c>
      <c r="F18" s="54">
        <v>50</v>
      </c>
      <c r="G18" s="54" t="s">
        <v>512</v>
      </c>
      <c r="J18" s="54" t="str">
        <f t="shared" si="1"/>
        <v>B1030TH</v>
      </c>
    </row>
    <row r="19" spans="1:10" hidden="1">
      <c r="A19" s="71" t="s">
        <v>1797</v>
      </c>
      <c r="B19" s="1642"/>
      <c r="C19" s="71" t="s">
        <v>2623</v>
      </c>
      <c r="D19" s="72" t="s">
        <v>2439</v>
      </c>
      <c r="E19" s="2016" t="str">
        <f t="shared" si="0"/>
        <v>B1</v>
      </c>
      <c r="F19" s="54">
        <v>50</v>
      </c>
      <c r="G19" s="54" t="s">
        <v>512</v>
      </c>
      <c r="J19" s="54" t="str">
        <f t="shared" si="1"/>
        <v>B1040</v>
      </c>
    </row>
    <row r="20" spans="1:10" hidden="1">
      <c r="A20" s="71" t="s">
        <v>671</v>
      </c>
      <c r="B20" s="1642"/>
      <c r="C20" s="71" t="s">
        <v>2624</v>
      </c>
      <c r="D20" s="72" t="s">
        <v>2439</v>
      </c>
      <c r="E20" s="2016" t="str">
        <f t="shared" si="0"/>
        <v>B1</v>
      </c>
      <c r="F20" s="54">
        <v>50</v>
      </c>
      <c r="G20" s="54" t="s">
        <v>512</v>
      </c>
      <c r="J20" s="54" t="str">
        <f t="shared" si="1"/>
        <v>B1050</v>
      </c>
    </row>
    <row r="21" spans="1:10" hidden="1">
      <c r="A21" s="71" t="s">
        <v>468</v>
      </c>
      <c r="B21" s="1642"/>
      <c r="C21" s="71" t="s">
        <v>2625</v>
      </c>
      <c r="D21" s="72" t="s">
        <v>2439</v>
      </c>
      <c r="E21" s="2016" t="str">
        <f t="shared" si="0"/>
        <v>B1</v>
      </c>
      <c r="F21" s="54">
        <v>50</v>
      </c>
      <c r="G21" s="54" t="s">
        <v>512</v>
      </c>
      <c r="J21" s="54" t="str">
        <f t="shared" si="1"/>
        <v>B10250</v>
      </c>
    </row>
    <row r="22" spans="1:10" hidden="1">
      <c r="A22" s="71" t="s">
        <v>437</v>
      </c>
      <c r="B22" s="1642"/>
      <c r="C22" s="71" t="s">
        <v>2626</v>
      </c>
      <c r="D22" s="72" t="s">
        <v>2439</v>
      </c>
      <c r="E22" s="2016" t="str">
        <f t="shared" si="0"/>
        <v>B1</v>
      </c>
      <c r="F22" s="54">
        <v>50</v>
      </c>
      <c r="G22" s="54" t="s">
        <v>512</v>
      </c>
      <c r="J22" s="54" t="str">
        <f t="shared" si="1"/>
        <v>B1230</v>
      </c>
    </row>
    <row r="23" spans="1:10" hidden="1">
      <c r="A23" s="71" t="s">
        <v>138</v>
      </c>
      <c r="B23" s="1642"/>
      <c r="C23" s="71" t="s">
        <v>2627</v>
      </c>
      <c r="D23" s="72" t="s">
        <v>2439</v>
      </c>
      <c r="E23" s="2016" t="str">
        <f t="shared" si="0"/>
        <v>B1</v>
      </c>
      <c r="F23" s="54">
        <v>50</v>
      </c>
      <c r="G23" s="54" t="s">
        <v>512</v>
      </c>
      <c r="J23" s="54" t="str">
        <f t="shared" si="1"/>
        <v>B1240</v>
      </c>
    </row>
    <row r="24" spans="1:10" hidden="1">
      <c r="A24" s="71" t="s">
        <v>701</v>
      </c>
      <c r="B24" s="1642"/>
      <c r="C24" s="71" t="s">
        <v>2628</v>
      </c>
      <c r="D24" s="72" t="s">
        <v>2439</v>
      </c>
      <c r="E24" s="2016" t="str">
        <f t="shared" si="0"/>
        <v>B1</v>
      </c>
      <c r="F24" s="54">
        <v>50</v>
      </c>
      <c r="G24" s="54" t="s">
        <v>512</v>
      </c>
      <c r="J24" s="54" t="str">
        <f t="shared" si="1"/>
        <v>B1250</v>
      </c>
    </row>
    <row r="25" spans="1:10" hidden="1">
      <c r="A25" s="71" t="s">
        <v>1985</v>
      </c>
      <c r="B25" s="1642"/>
      <c r="C25" s="71" t="s">
        <v>2629</v>
      </c>
      <c r="D25" s="72" t="s">
        <v>2439</v>
      </c>
      <c r="E25" s="2016" t="str">
        <f t="shared" si="0"/>
        <v>B1</v>
      </c>
      <c r="F25" s="54">
        <v>50</v>
      </c>
      <c r="G25" s="54" t="s">
        <v>512</v>
      </c>
      <c r="J25" s="54" t="str">
        <f t="shared" si="1"/>
        <v>B1260</v>
      </c>
    </row>
    <row r="26" spans="1:10" hidden="1">
      <c r="A26" s="71" t="s">
        <v>1167</v>
      </c>
      <c r="B26" s="1642"/>
      <c r="C26" s="71" t="s">
        <v>2630</v>
      </c>
      <c r="D26" s="72" t="s">
        <v>2439</v>
      </c>
      <c r="E26" s="2016" t="str">
        <f t="shared" si="0"/>
        <v>B1</v>
      </c>
      <c r="F26" s="54">
        <v>50</v>
      </c>
      <c r="G26" s="54" t="s">
        <v>512</v>
      </c>
      <c r="J26" s="54" t="str">
        <f t="shared" si="1"/>
        <v>B1280</v>
      </c>
    </row>
    <row r="27" spans="1:10" hidden="1">
      <c r="A27" s="71" t="s">
        <v>2270</v>
      </c>
      <c r="B27" s="1642"/>
      <c r="C27" s="71" t="s">
        <v>2631</v>
      </c>
      <c r="D27" s="72" t="s">
        <v>2439</v>
      </c>
      <c r="E27" s="2016" t="str">
        <f t="shared" si="0"/>
        <v>B1</v>
      </c>
      <c r="F27" s="54">
        <v>50</v>
      </c>
      <c r="G27" s="54" t="s">
        <v>512</v>
      </c>
      <c r="J27" s="54" t="str">
        <f t="shared" si="1"/>
        <v>B12100</v>
      </c>
    </row>
    <row r="28" spans="1:10" hidden="1">
      <c r="A28" s="71" t="s">
        <v>1243</v>
      </c>
      <c r="B28" s="1642"/>
      <c r="C28" s="71" t="s">
        <v>2632</v>
      </c>
      <c r="D28" s="72" t="s">
        <v>2439</v>
      </c>
      <c r="E28" s="2016" t="str">
        <f t="shared" si="0"/>
        <v>B1</v>
      </c>
      <c r="F28" s="54">
        <v>50</v>
      </c>
      <c r="G28" s="54" t="s">
        <v>512</v>
      </c>
      <c r="J28" s="54" t="str">
        <f t="shared" si="1"/>
        <v>B12150</v>
      </c>
    </row>
    <row r="29" spans="1:10" hidden="1">
      <c r="A29" s="71" t="s">
        <v>2173</v>
      </c>
      <c r="B29" s="1642"/>
      <c r="C29" s="71" t="s">
        <v>2633</v>
      </c>
      <c r="D29" s="72" t="s">
        <v>2439</v>
      </c>
      <c r="E29" s="2016" t="str">
        <f t="shared" si="0"/>
        <v>B1</v>
      </c>
      <c r="F29" s="54">
        <v>50</v>
      </c>
      <c r="G29" s="54" t="s">
        <v>512</v>
      </c>
      <c r="J29" s="54" t="str">
        <f t="shared" si="1"/>
        <v>B12200</v>
      </c>
    </row>
    <row r="30" spans="1:10" hidden="1">
      <c r="A30" s="71" t="s">
        <v>498</v>
      </c>
      <c r="B30" s="1642"/>
      <c r="C30" s="71" t="s">
        <v>2634</v>
      </c>
      <c r="D30" s="72" t="s">
        <v>2439</v>
      </c>
      <c r="E30" s="2016" t="str">
        <f t="shared" si="0"/>
        <v>B1</v>
      </c>
      <c r="F30" s="54">
        <v>50</v>
      </c>
      <c r="G30" s="54" t="s">
        <v>512</v>
      </c>
      <c r="J30" s="54" t="str">
        <f t="shared" si="1"/>
        <v>B1230TH</v>
      </c>
    </row>
    <row r="31" spans="1:10" hidden="1">
      <c r="A31" s="71" t="s">
        <v>499</v>
      </c>
      <c r="B31" s="1642"/>
      <c r="C31" s="71" t="s">
        <v>2635</v>
      </c>
      <c r="D31" s="72" t="s">
        <v>2439</v>
      </c>
      <c r="E31" s="2016" t="str">
        <f t="shared" si="0"/>
        <v>B1</v>
      </c>
      <c r="F31" s="54">
        <v>50</v>
      </c>
      <c r="G31" s="54" t="s">
        <v>512</v>
      </c>
      <c r="J31" s="54" t="str">
        <f t="shared" si="1"/>
        <v>B1240TH</v>
      </c>
    </row>
    <row r="32" spans="1:10" hidden="1">
      <c r="A32" s="71" t="s">
        <v>916</v>
      </c>
      <c r="B32" s="1642"/>
      <c r="C32" s="71" t="s">
        <v>2636</v>
      </c>
      <c r="D32" s="72" t="s">
        <v>2439</v>
      </c>
      <c r="E32" s="2016" t="str">
        <f t="shared" si="0"/>
        <v>B1</v>
      </c>
      <c r="F32" s="54">
        <v>50</v>
      </c>
      <c r="G32" s="54" t="s">
        <v>512</v>
      </c>
      <c r="J32" s="54" t="str">
        <f t="shared" si="1"/>
        <v>B1250TH</v>
      </c>
    </row>
    <row r="33" spans="1:10" hidden="1">
      <c r="A33" s="71" t="s">
        <v>4514</v>
      </c>
      <c r="B33" s="1642"/>
      <c r="C33" s="71" t="s">
        <v>4515</v>
      </c>
      <c r="D33" s="72" t="s">
        <v>2439</v>
      </c>
      <c r="E33" s="2016" t="str">
        <f>LEFT(A33,2)</f>
        <v>B1</v>
      </c>
      <c r="F33" s="54">
        <v>50</v>
      </c>
      <c r="G33" s="54" t="s">
        <v>512</v>
      </c>
      <c r="J33" s="54" t="str">
        <f t="shared" si="1"/>
        <v>B14100</v>
      </c>
    </row>
    <row r="34" spans="1:10" hidden="1">
      <c r="A34" s="71" t="s">
        <v>4333</v>
      </c>
      <c r="B34" s="1642"/>
      <c r="C34" s="71" t="s">
        <v>4334</v>
      </c>
      <c r="D34" s="72" t="s">
        <v>2439</v>
      </c>
      <c r="E34" s="2016" t="str">
        <f t="shared" si="0"/>
        <v>B1</v>
      </c>
      <c r="F34" s="54">
        <v>50</v>
      </c>
      <c r="G34" s="54" t="s">
        <v>512</v>
      </c>
      <c r="J34" s="54" t="str">
        <f t="shared" si="1"/>
        <v>B14150</v>
      </c>
    </row>
    <row r="35" spans="1:10" hidden="1">
      <c r="A35" s="71" t="s">
        <v>1785</v>
      </c>
      <c r="B35" s="1642"/>
      <c r="C35" s="71" t="s">
        <v>2637</v>
      </c>
      <c r="D35" s="72" t="s">
        <v>2439</v>
      </c>
      <c r="E35" s="2016" t="str">
        <f t="shared" si="0"/>
        <v>B1</v>
      </c>
      <c r="F35" s="54">
        <v>50</v>
      </c>
      <c r="G35" s="54" t="s">
        <v>512</v>
      </c>
      <c r="J35" s="54" t="str">
        <f t="shared" si="1"/>
        <v>B1635</v>
      </c>
    </row>
    <row r="36" spans="1:10" hidden="1">
      <c r="A36" s="71" t="s">
        <v>2149</v>
      </c>
      <c r="B36" s="1642"/>
      <c r="C36" s="71" t="s">
        <v>2638</v>
      </c>
      <c r="D36" s="72" t="s">
        <v>2439</v>
      </c>
      <c r="E36" s="2016" t="str">
        <f t="shared" si="0"/>
        <v>B1</v>
      </c>
      <c r="F36" s="54">
        <v>50</v>
      </c>
      <c r="G36" s="54" t="s">
        <v>512</v>
      </c>
      <c r="J36" s="54" t="str">
        <f t="shared" si="1"/>
        <v>B1640</v>
      </c>
    </row>
    <row r="37" spans="1:10" hidden="1">
      <c r="A37" s="1643" t="s">
        <v>1786</v>
      </c>
      <c r="B37" s="75"/>
      <c r="C37" s="71" t="s">
        <v>2639</v>
      </c>
      <c r="D37" s="72" t="s">
        <v>2439</v>
      </c>
      <c r="E37" s="2016" t="str">
        <f t="shared" ref="E37" si="2">LEFT(A37,2)</f>
        <v>B1</v>
      </c>
      <c r="F37" s="54">
        <v>50</v>
      </c>
      <c r="G37" s="54" t="s">
        <v>512</v>
      </c>
      <c r="J37" s="54" t="str">
        <f t="shared" ref="J37" si="3">A37</f>
        <v>B1650</v>
      </c>
    </row>
    <row r="38" spans="1:10" hidden="1">
      <c r="A38" s="1643" t="s">
        <v>6588</v>
      </c>
      <c r="B38" s="75"/>
      <c r="C38" s="71" t="s">
        <v>6589</v>
      </c>
      <c r="D38" s="72" t="s">
        <v>2439</v>
      </c>
      <c r="E38" s="2016" t="str">
        <f t="shared" si="0"/>
        <v>B1</v>
      </c>
      <c r="F38" s="54">
        <v>50</v>
      </c>
      <c r="G38" s="54" t="s">
        <v>512</v>
      </c>
      <c r="J38" s="54" t="str">
        <f t="shared" si="1"/>
        <v>B1680</v>
      </c>
    </row>
    <row r="39" spans="1:10" hidden="1">
      <c r="A39" s="1643" t="s">
        <v>802</v>
      </c>
      <c r="B39" s="75"/>
      <c r="C39" s="71" t="s">
        <v>2640</v>
      </c>
      <c r="D39" s="72" t="s">
        <v>2439</v>
      </c>
      <c r="E39" s="2016" t="str">
        <f t="shared" si="0"/>
        <v>B1</v>
      </c>
      <c r="F39" s="54">
        <v>50</v>
      </c>
      <c r="G39" s="54" t="s">
        <v>512</v>
      </c>
      <c r="J39" s="54" t="str">
        <f t="shared" si="1"/>
        <v>B16100</v>
      </c>
    </row>
    <row r="40" spans="1:10" hidden="1">
      <c r="A40" s="1643" t="s">
        <v>244</v>
      </c>
      <c r="B40" s="75"/>
      <c r="C40" s="71" t="s">
        <v>2641</v>
      </c>
      <c r="D40" s="72" t="s">
        <v>2439</v>
      </c>
      <c r="E40" s="2016" t="str">
        <f t="shared" si="0"/>
        <v>B1</v>
      </c>
      <c r="F40" s="54">
        <v>50</v>
      </c>
      <c r="G40" s="54" t="s">
        <v>512</v>
      </c>
      <c r="J40" s="54" t="str">
        <f t="shared" si="1"/>
        <v>B16150</v>
      </c>
    </row>
    <row r="41" spans="1:10" hidden="1">
      <c r="A41" s="1643" t="s">
        <v>137</v>
      </c>
      <c r="B41" s="75"/>
      <c r="C41" s="71" t="s">
        <v>2642</v>
      </c>
      <c r="D41" s="72" t="s">
        <v>2439</v>
      </c>
      <c r="E41" s="2016" t="str">
        <f t="shared" si="0"/>
        <v>B1</v>
      </c>
      <c r="F41" s="54">
        <v>50</v>
      </c>
      <c r="G41" s="54" t="s">
        <v>512</v>
      </c>
      <c r="J41" s="54" t="str">
        <f t="shared" si="1"/>
        <v>B16200</v>
      </c>
    </row>
    <row r="42" spans="1:10" hidden="1">
      <c r="A42" s="71" t="s">
        <v>1893</v>
      </c>
      <c r="B42" s="1642"/>
      <c r="C42" s="71" t="s">
        <v>2643</v>
      </c>
      <c r="D42" s="72" t="s">
        <v>2439</v>
      </c>
      <c r="E42" s="2016" t="str">
        <f t="shared" si="0"/>
        <v>B1</v>
      </c>
      <c r="F42" s="54">
        <v>50</v>
      </c>
      <c r="G42" s="54" t="s">
        <v>512</v>
      </c>
      <c r="J42" s="54" t="str">
        <f t="shared" si="1"/>
        <v>B16230</v>
      </c>
    </row>
    <row r="43" spans="1:10" hidden="1">
      <c r="A43" s="1643" t="s">
        <v>1894</v>
      </c>
      <c r="B43" s="75"/>
      <c r="C43" s="71" t="s">
        <v>2644</v>
      </c>
      <c r="D43" s="72" t="s">
        <v>2439</v>
      </c>
      <c r="E43" s="2016" t="str">
        <f t="shared" si="0"/>
        <v>B1</v>
      </c>
      <c r="F43" s="54">
        <v>50</v>
      </c>
      <c r="G43" s="54" t="s">
        <v>512</v>
      </c>
      <c r="J43" s="54" t="str">
        <f t="shared" si="1"/>
        <v>B16240</v>
      </c>
    </row>
    <row r="44" spans="1:10" hidden="1">
      <c r="A44" s="71" t="s">
        <v>1609</v>
      </c>
      <c r="B44" s="1642"/>
      <c r="C44" s="71" t="s">
        <v>2645</v>
      </c>
      <c r="D44" s="72" t="s">
        <v>2439</v>
      </c>
      <c r="E44" s="2016" t="str">
        <f t="shared" si="0"/>
        <v>B1</v>
      </c>
      <c r="F44" s="54">
        <v>50</v>
      </c>
      <c r="G44" s="54" t="s">
        <v>512</v>
      </c>
      <c r="J44" s="54" t="str">
        <f t="shared" si="1"/>
        <v>B16250</v>
      </c>
    </row>
    <row r="45" spans="1:10" hidden="1">
      <c r="A45" s="71" t="s">
        <v>321</v>
      </c>
      <c r="B45" s="1642"/>
      <c r="C45" s="71" t="s">
        <v>2646</v>
      </c>
      <c r="D45" s="72" t="s">
        <v>2439</v>
      </c>
      <c r="E45" s="2016" t="str">
        <f t="shared" si="0"/>
        <v>B1</v>
      </c>
      <c r="F45" s="54">
        <v>50</v>
      </c>
      <c r="G45" s="54" t="s">
        <v>512</v>
      </c>
      <c r="J45" s="54" t="str">
        <f t="shared" si="1"/>
        <v>B16260</v>
      </c>
    </row>
    <row r="46" spans="1:10" hidden="1">
      <c r="A46" s="71" t="s">
        <v>340</v>
      </c>
      <c r="B46" s="1642"/>
      <c r="C46" s="71" t="s">
        <v>2647</v>
      </c>
      <c r="D46" s="72" t="s">
        <v>2439</v>
      </c>
      <c r="E46" s="2016" t="str">
        <f t="shared" si="0"/>
        <v>B1</v>
      </c>
      <c r="F46" s="54">
        <v>50</v>
      </c>
      <c r="G46" s="54" t="s">
        <v>512</v>
      </c>
      <c r="J46" s="54" t="str">
        <f t="shared" si="1"/>
        <v>B16270</v>
      </c>
    </row>
    <row r="47" spans="1:10" hidden="1">
      <c r="A47" s="1643" t="s">
        <v>322</v>
      </c>
      <c r="B47" s="75"/>
      <c r="C47" s="71" t="s">
        <v>2648</v>
      </c>
      <c r="D47" s="72" t="s">
        <v>2439</v>
      </c>
      <c r="E47" s="2016" t="str">
        <f t="shared" si="0"/>
        <v>B1</v>
      </c>
      <c r="F47" s="54">
        <v>50</v>
      </c>
      <c r="G47" s="54" t="s">
        <v>512</v>
      </c>
      <c r="J47" s="54" t="str">
        <f t="shared" si="1"/>
        <v>B16280</v>
      </c>
    </row>
    <row r="48" spans="1:10" hidden="1">
      <c r="A48" s="71" t="s">
        <v>1610</v>
      </c>
      <c r="B48" s="1642"/>
      <c r="C48" s="71" t="s">
        <v>2649</v>
      </c>
      <c r="D48" s="72" t="s">
        <v>2439</v>
      </c>
      <c r="E48" s="2016" t="str">
        <f t="shared" si="0"/>
        <v>B1</v>
      </c>
      <c r="F48" s="54">
        <v>50</v>
      </c>
      <c r="G48" s="54" t="s">
        <v>512</v>
      </c>
      <c r="J48" s="54" t="str">
        <f t="shared" si="1"/>
        <v>B16300</v>
      </c>
    </row>
    <row r="49" spans="1:10" hidden="1">
      <c r="A49" s="1643" t="s">
        <v>699</v>
      </c>
      <c r="B49" s="75"/>
      <c r="C49" s="71" t="s">
        <v>2650</v>
      </c>
      <c r="D49" s="72" t="s">
        <v>2439</v>
      </c>
      <c r="E49" s="2016" t="str">
        <f t="shared" si="0"/>
        <v>B1</v>
      </c>
      <c r="F49" s="54">
        <v>50</v>
      </c>
      <c r="G49" s="54" t="s">
        <v>512</v>
      </c>
      <c r="J49" s="54" t="str">
        <f t="shared" si="1"/>
        <v>B16320</v>
      </c>
    </row>
    <row r="50" spans="1:10" hidden="1">
      <c r="A50" s="1643" t="s">
        <v>1079</v>
      </c>
      <c r="B50" s="75"/>
      <c r="C50" s="71" t="s">
        <v>2651</v>
      </c>
      <c r="D50" s="72" t="s">
        <v>2439</v>
      </c>
      <c r="E50" s="2016" t="str">
        <f t="shared" si="0"/>
        <v>B1</v>
      </c>
      <c r="F50" s="54">
        <v>50</v>
      </c>
      <c r="G50" s="54" t="s">
        <v>512</v>
      </c>
      <c r="J50" s="54" t="str">
        <f t="shared" si="1"/>
        <v>B16350</v>
      </c>
    </row>
    <row r="51" spans="1:10" hidden="1">
      <c r="A51" s="1643" t="s">
        <v>1083</v>
      </c>
      <c r="B51" s="75"/>
      <c r="C51" s="71" t="s">
        <v>2652</v>
      </c>
      <c r="D51" s="72" t="s">
        <v>2439</v>
      </c>
      <c r="E51" s="2016" t="str">
        <f t="shared" si="0"/>
        <v>B1</v>
      </c>
      <c r="F51" s="54">
        <v>50</v>
      </c>
      <c r="G51" s="54" t="s">
        <v>512</v>
      </c>
      <c r="J51" s="54" t="str">
        <f t="shared" si="1"/>
        <v>B16400</v>
      </c>
    </row>
    <row r="52" spans="1:10" hidden="1">
      <c r="A52" s="1643" t="s">
        <v>323</v>
      </c>
      <c r="B52" s="75"/>
      <c r="C52" s="71" t="s">
        <v>2653</v>
      </c>
      <c r="D52" s="72" t="s">
        <v>2439</v>
      </c>
      <c r="E52" s="2016" t="str">
        <f t="shared" si="0"/>
        <v>B1</v>
      </c>
      <c r="F52" s="54">
        <v>50</v>
      </c>
      <c r="G52" s="54" t="s">
        <v>512</v>
      </c>
      <c r="J52" s="54" t="str">
        <f t="shared" si="1"/>
        <v>B16450</v>
      </c>
    </row>
    <row r="53" spans="1:10" hidden="1">
      <c r="A53" s="1643" t="s">
        <v>1539</v>
      </c>
      <c r="B53" s="75"/>
      <c r="C53" s="71" t="s">
        <v>2654</v>
      </c>
      <c r="D53" s="72" t="s">
        <v>2439</v>
      </c>
      <c r="E53" s="2016" t="str">
        <f t="shared" si="0"/>
        <v>B1</v>
      </c>
      <c r="F53" s="54">
        <v>50</v>
      </c>
      <c r="G53" s="54" t="s">
        <v>512</v>
      </c>
      <c r="J53" s="54" t="str">
        <f t="shared" si="1"/>
        <v>B16500</v>
      </c>
    </row>
    <row r="54" spans="1:10" hidden="1">
      <c r="A54" s="1643" t="s">
        <v>1782</v>
      </c>
      <c r="B54" s="75"/>
      <c r="C54" s="71" t="s">
        <v>2655</v>
      </c>
      <c r="D54" s="72" t="s">
        <v>2439</v>
      </c>
      <c r="E54" s="2016" t="str">
        <f t="shared" si="0"/>
        <v>B1</v>
      </c>
      <c r="F54" s="54">
        <v>50</v>
      </c>
      <c r="G54" s="54" t="s">
        <v>512</v>
      </c>
      <c r="J54" s="54" t="str">
        <f t="shared" si="1"/>
        <v>B16600</v>
      </c>
    </row>
    <row r="55" spans="1:10" hidden="1">
      <c r="A55" s="71" t="s">
        <v>1892</v>
      </c>
      <c r="B55" s="1642"/>
      <c r="C55" s="71" t="s">
        <v>2656</v>
      </c>
      <c r="D55" s="72" t="s">
        <v>2439</v>
      </c>
      <c r="E55" s="2016" t="str">
        <f t="shared" si="0"/>
        <v>B1</v>
      </c>
      <c r="F55" s="54">
        <v>50</v>
      </c>
      <c r="G55" s="54" t="s">
        <v>512</v>
      </c>
      <c r="J55" s="54" t="str">
        <f t="shared" si="1"/>
        <v>B1680V</v>
      </c>
    </row>
    <row r="56" spans="1:10" hidden="1">
      <c r="A56" s="1643" t="s">
        <v>1891</v>
      </c>
      <c r="B56" s="75"/>
      <c r="C56" s="71" t="s">
        <v>2657</v>
      </c>
      <c r="D56" s="72" t="s">
        <v>2439</v>
      </c>
      <c r="E56" s="2016" t="str">
        <f t="shared" si="0"/>
        <v>B1</v>
      </c>
      <c r="F56" s="54">
        <v>50</v>
      </c>
      <c r="G56" s="54" t="s">
        <v>512</v>
      </c>
      <c r="J56" s="54" t="str">
        <f t="shared" si="1"/>
        <v>B16100V</v>
      </c>
    </row>
    <row r="57" spans="1:10" hidden="1">
      <c r="A57" s="71" t="s">
        <v>1783</v>
      </c>
      <c r="B57" s="1642"/>
      <c r="C57" s="71" t="s">
        <v>2658</v>
      </c>
      <c r="D57" s="72" t="s">
        <v>2439</v>
      </c>
      <c r="E57" s="2016" t="str">
        <f t="shared" si="0"/>
        <v>B1</v>
      </c>
      <c r="F57" s="54">
        <v>50</v>
      </c>
      <c r="G57" s="54" t="s">
        <v>512</v>
      </c>
      <c r="J57" s="54" t="str">
        <f t="shared" si="1"/>
        <v>B16200V</v>
      </c>
    </row>
    <row r="58" spans="1:10" hidden="1">
      <c r="A58" s="71" t="s">
        <v>1725</v>
      </c>
      <c r="B58" s="1642"/>
      <c r="C58" s="71" t="s">
        <v>2659</v>
      </c>
      <c r="D58" s="72" t="s">
        <v>2439</v>
      </c>
      <c r="E58" s="2016" t="str">
        <f t="shared" si="0"/>
        <v>B1</v>
      </c>
      <c r="F58" s="54">
        <v>50</v>
      </c>
      <c r="G58" s="54" t="s">
        <v>512</v>
      </c>
      <c r="J58" s="54" t="str">
        <f t="shared" si="1"/>
        <v>B16250V</v>
      </c>
    </row>
    <row r="59" spans="1:10" hidden="1">
      <c r="A59" s="71" t="s">
        <v>1784</v>
      </c>
      <c r="B59" s="1642"/>
      <c r="C59" s="71" t="s">
        <v>2660</v>
      </c>
      <c r="D59" s="72" t="s">
        <v>2439</v>
      </c>
      <c r="E59" s="2016" t="str">
        <f t="shared" si="0"/>
        <v>B1</v>
      </c>
      <c r="F59" s="54">
        <v>50</v>
      </c>
      <c r="G59" s="54" t="s">
        <v>512</v>
      </c>
      <c r="J59" s="54" t="str">
        <f t="shared" si="1"/>
        <v>B16300V</v>
      </c>
    </row>
    <row r="60" spans="1:10" hidden="1">
      <c r="A60" s="71" t="s">
        <v>968</v>
      </c>
      <c r="B60" s="1642"/>
      <c r="C60" s="71" t="s">
        <v>2661</v>
      </c>
      <c r="D60" s="72" t="s">
        <v>2439</v>
      </c>
      <c r="E60" s="2016" t="str">
        <f t="shared" si="0"/>
        <v>B1</v>
      </c>
      <c r="F60" s="54">
        <v>50</v>
      </c>
      <c r="G60" s="54" t="s">
        <v>512</v>
      </c>
      <c r="J60" s="54" t="str">
        <f t="shared" si="1"/>
        <v>B16350V</v>
      </c>
    </row>
    <row r="61" spans="1:10" hidden="1">
      <c r="A61" s="1643" t="s">
        <v>1781</v>
      </c>
      <c r="B61" s="75"/>
      <c r="C61" s="71" t="s">
        <v>2662</v>
      </c>
      <c r="D61" s="72" t="s">
        <v>2439</v>
      </c>
      <c r="E61" s="2016" t="str">
        <f t="shared" si="0"/>
        <v>B1</v>
      </c>
      <c r="F61" s="54">
        <v>50</v>
      </c>
      <c r="G61" s="54" t="s">
        <v>512</v>
      </c>
      <c r="J61" s="54" t="str">
        <f t="shared" si="1"/>
        <v>B16400v</v>
      </c>
    </row>
    <row r="62" spans="1:10" hidden="1">
      <c r="A62" s="71" t="s">
        <v>1168</v>
      </c>
      <c r="B62" s="1642"/>
      <c r="C62" s="71" t="s">
        <v>2663</v>
      </c>
      <c r="D62" s="72" t="s">
        <v>2439</v>
      </c>
      <c r="E62" s="2016" t="str">
        <f>LEFT(A62,2)</f>
        <v>B1</v>
      </c>
      <c r="F62" s="54">
        <v>50</v>
      </c>
      <c r="G62" s="54" t="s">
        <v>512</v>
      </c>
      <c r="J62" s="54" t="str">
        <f t="shared" si="1"/>
        <v>B16500V</v>
      </c>
    </row>
    <row r="63" spans="1:10" hidden="1">
      <c r="A63" s="71" t="s">
        <v>4823</v>
      </c>
      <c r="B63" s="1642"/>
      <c r="C63" s="71" t="s">
        <v>4824</v>
      </c>
      <c r="D63" s="72" t="s">
        <v>2439</v>
      </c>
      <c r="E63" s="2016" t="str">
        <f t="shared" si="0"/>
        <v>B1</v>
      </c>
      <c r="F63" s="54">
        <v>50</v>
      </c>
      <c r="G63" s="54" t="s">
        <v>512</v>
      </c>
      <c r="J63" s="54" t="str">
        <f t="shared" si="1"/>
        <v>B16450V</v>
      </c>
    </row>
    <row r="64" spans="1:10" hidden="1">
      <c r="A64" s="71" t="s">
        <v>1381</v>
      </c>
      <c r="B64" s="1642"/>
      <c r="C64" s="71" t="s">
        <v>2664</v>
      </c>
      <c r="D64" s="72" t="s">
        <v>2439</v>
      </c>
      <c r="E64" s="2016" t="str">
        <f>LEFT(A64,2)</f>
        <v>B1</v>
      </c>
      <c r="F64" s="54">
        <v>50</v>
      </c>
      <c r="G64" s="54" t="s">
        <v>512</v>
      </c>
      <c r="J64" s="54" t="str">
        <f>A64</f>
        <v>B16550V</v>
      </c>
    </row>
    <row r="65" spans="1:10" hidden="1">
      <c r="A65" s="71" t="s">
        <v>4966</v>
      </c>
      <c r="B65" s="1642"/>
      <c r="C65" s="71" t="s">
        <v>4996</v>
      </c>
      <c r="D65" s="72" t="s">
        <v>2439</v>
      </c>
      <c r="E65" s="2016" t="str">
        <f t="shared" si="0"/>
        <v>B1</v>
      </c>
      <c r="F65" s="54">
        <v>50</v>
      </c>
      <c r="G65" s="54" t="s">
        <v>512</v>
      </c>
      <c r="J65" s="54" t="str">
        <f t="shared" si="1"/>
        <v>B16550</v>
      </c>
    </row>
    <row r="66" spans="1:10" hidden="1">
      <c r="A66" s="71" t="s">
        <v>1380</v>
      </c>
      <c r="B66" s="1642"/>
      <c r="C66" s="71" t="s">
        <v>2665</v>
      </c>
      <c r="D66" s="72" t="s">
        <v>2439</v>
      </c>
      <c r="E66" s="2016" t="str">
        <f t="shared" si="0"/>
        <v>B1</v>
      </c>
      <c r="F66" s="54">
        <v>50</v>
      </c>
      <c r="G66" s="54" t="s">
        <v>512</v>
      </c>
      <c r="J66" s="54" t="str">
        <f t="shared" si="1"/>
        <v>B16600V</v>
      </c>
    </row>
    <row r="67" spans="1:10" hidden="1">
      <c r="A67" s="71" t="s">
        <v>1540</v>
      </c>
      <c r="B67" s="1642"/>
      <c r="C67" s="71" t="s">
        <v>2666</v>
      </c>
      <c r="D67" s="72" t="s">
        <v>2439</v>
      </c>
      <c r="E67" s="2016" t="str">
        <f t="shared" si="0"/>
        <v>B1</v>
      </c>
      <c r="F67" s="54">
        <v>50</v>
      </c>
      <c r="G67" s="54" t="s">
        <v>512</v>
      </c>
      <c r="J67" s="54" t="str">
        <f t="shared" si="1"/>
        <v>B16650V</v>
      </c>
    </row>
    <row r="68" spans="1:10" hidden="1">
      <c r="A68" s="71" t="s">
        <v>2159</v>
      </c>
      <c r="B68" s="1642"/>
      <c r="C68" s="71" t="s">
        <v>2667</v>
      </c>
      <c r="D68" s="72" t="s">
        <v>2439</v>
      </c>
      <c r="E68" s="2016" t="str">
        <f t="shared" si="0"/>
        <v>B1</v>
      </c>
      <c r="F68" s="54">
        <v>50</v>
      </c>
      <c r="G68" s="54" t="s">
        <v>512</v>
      </c>
      <c r="J68" s="54" t="str">
        <f t="shared" si="1"/>
        <v>B16700V</v>
      </c>
    </row>
    <row r="69" spans="1:10" hidden="1">
      <c r="A69" s="71" t="s">
        <v>395</v>
      </c>
      <c r="B69" s="1642"/>
      <c r="C69" s="71" t="s">
        <v>2668</v>
      </c>
      <c r="D69" s="72" t="s">
        <v>2439</v>
      </c>
      <c r="E69" s="2016" t="str">
        <f t="shared" si="0"/>
        <v>B2</v>
      </c>
      <c r="F69" s="54">
        <v>50</v>
      </c>
      <c r="G69" s="54" t="s">
        <v>512</v>
      </c>
      <c r="J69" s="54" t="str">
        <f t="shared" si="1"/>
        <v>B22260</v>
      </c>
    </row>
    <row r="70" spans="1:10" hidden="1">
      <c r="A70" s="71" t="s">
        <v>1169</v>
      </c>
      <c r="B70" s="1642"/>
      <c r="C70" s="71" t="s">
        <v>2669</v>
      </c>
      <c r="D70" s="72" t="s">
        <v>2439</v>
      </c>
      <c r="E70" s="2016" t="str">
        <f t="shared" si="0"/>
        <v>B2</v>
      </c>
      <c r="F70" s="54">
        <v>50</v>
      </c>
      <c r="G70" s="54" t="s">
        <v>512</v>
      </c>
      <c r="J70" s="54" t="str">
        <f t="shared" ref="J70:J134" si="4">A70</f>
        <v>B22450</v>
      </c>
    </row>
    <row r="71" spans="1:10" hidden="1">
      <c r="A71" s="1643" t="s">
        <v>396</v>
      </c>
      <c r="B71" s="75"/>
      <c r="C71" s="71" t="s">
        <v>2670</v>
      </c>
      <c r="D71" s="72" t="s">
        <v>2439</v>
      </c>
      <c r="E71" s="2016" t="str">
        <f t="shared" si="0"/>
        <v>B2</v>
      </c>
      <c r="F71" s="54">
        <v>50</v>
      </c>
      <c r="G71" s="54" t="s">
        <v>512</v>
      </c>
      <c r="J71" s="54" t="str">
        <f t="shared" si="4"/>
        <v>B22500</v>
      </c>
    </row>
    <row r="72" spans="1:10" hidden="1">
      <c r="A72" s="1643" t="s">
        <v>397</v>
      </c>
      <c r="B72" s="75"/>
      <c r="C72" s="71" t="s">
        <v>2671</v>
      </c>
      <c r="D72" s="72" t="s">
        <v>2439</v>
      </c>
      <c r="E72" s="2016" t="str">
        <f t="shared" ref="E72:E136" si="5">LEFT(A72,2)</f>
        <v>B2</v>
      </c>
      <c r="F72" s="54">
        <v>50</v>
      </c>
      <c r="G72" s="54" t="s">
        <v>512</v>
      </c>
      <c r="J72" s="54" t="str">
        <f t="shared" si="4"/>
        <v>B22550</v>
      </c>
    </row>
    <row r="73" spans="1:10" hidden="1">
      <c r="A73" s="71" t="s">
        <v>785</v>
      </c>
      <c r="B73" s="1642" t="s">
        <v>1016</v>
      </c>
      <c r="C73" s="71" t="s">
        <v>2672</v>
      </c>
      <c r="D73" s="72" t="s">
        <v>2439</v>
      </c>
      <c r="E73" s="2016" t="str">
        <f t="shared" si="5"/>
        <v>B2</v>
      </c>
      <c r="F73" s="54">
        <v>50</v>
      </c>
      <c r="G73" s="54" t="s">
        <v>512</v>
      </c>
      <c r="J73" s="54" t="str">
        <f t="shared" si="4"/>
        <v>B22600</v>
      </c>
    </row>
    <row r="74" spans="1:10" hidden="1">
      <c r="A74" s="71" t="s">
        <v>398</v>
      </c>
      <c r="B74" s="1642"/>
      <c r="C74" s="71" t="s">
        <v>2673</v>
      </c>
      <c r="D74" s="72" t="s">
        <v>2439</v>
      </c>
      <c r="E74" s="2016" t="str">
        <f t="shared" si="5"/>
        <v>B2</v>
      </c>
      <c r="F74" s="54">
        <v>50</v>
      </c>
      <c r="G74" s="54" t="s">
        <v>512</v>
      </c>
      <c r="J74" s="54" t="str">
        <f t="shared" si="4"/>
        <v>B22650</v>
      </c>
    </row>
    <row r="75" spans="1:10" hidden="1">
      <c r="A75" s="71" t="s">
        <v>1827</v>
      </c>
      <c r="B75" s="1642"/>
      <c r="C75" s="71" t="s">
        <v>2674</v>
      </c>
      <c r="D75" s="72" t="s">
        <v>2439</v>
      </c>
      <c r="E75" s="2016" t="str">
        <f t="shared" si="5"/>
        <v>B2</v>
      </c>
      <c r="F75" s="54">
        <v>50</v>
      </c>
      <c r="G75" s="54" t="s">
        <v>512</v>
      </c>
      <c r="J75" s="54" t="str">
        <f t="shared" si="4"/>
        <v>B22700</v>
      </c>
    </row>
    <row r="76" spans="1:10" hidden="1">
      <c r="A76" s="71" t="s">
        <v>721</v>
      </c>
      <c r="B76" s="1642"/>
      <c r="C76" s="71" t="s">
        <v>2675</v>
      </c>
      <c r="D76" s="72" t="s">
        <v>2439</v>
      </c>
      <c r="E76" s="2016" t="str">
        <f t="shared" si="5"/>
        <v>B2</v>
      </c>
      <c r="F76" s="54">
        <v>50</v>
      </c>
      <c r="G76" s="54" t="s">
        <v>512</v>
      </c>
      <c r="J76" s="54" t="str">
        <f t="shared" si="4"/>
        <v>B22750</v>
      </c>
    </row>
    <row r="77" spans="1:10" hidden="1">
      <c r="A77" s="71" t="s">
        <v>786</v>
      </c>
      <c r="B77" s="1642"/>
      <c r="C77" s="71" t="s">
        <v>2676</v>
      </c>
      <c r="D77" s="72" t="s">
        <v>2439</v>
      </c>
      <c r="E77" s="2016" t="str">
        <f t="shared" si="5"/>
        <v>B2</v>
      </c>
      <c r="F77" s="54">
        <v>50</v>
      </c>
      <c r="G77" s="54" t="s">
        <v>512</v>
      </c>
      <c r="J77" s="54" t="str">
        <f t="shared" si="4"/>
        <v>B22800</v>
      </c>
    </row>
    <row r="78" spans="1:10" hidden="1">
      <c r="A78" s="71" t="s">
        <v>563</v>
      </c>
      <c r="B78" s="1642"/>
      <c r="C78" s="71" t="s">
        <v>2677</v>
      </c>
      <c r="D78" s="72" t="s">
        <v>2439</v>
      </c>
      <c r="E78" s="2016" t="str">
        <f t="shared" si="5"/>
        <v>B2</v>
      </c>
      <c r="F78" s="54">
        <v>50</v>
      </c>
      <c r="G78" s="54" t="s">
        <v>512</v>
      </c>
      <c r="J78" s="54" t="str">
        <f t="shared" si="4"/>
        <v>B22850</v>
      </c>
    </row>
    <row r="79" spans="1:10" hidden="1">
      <c r="A79" s="71" t="s">
        <v>1787</v>
      </c>
      <c r="B79" s="1642"/>
      <c r="C79" s="71" t="s">
        <v>2678</v>
      </c>
      <c r="D79" s="72" t="s">
        <v>2439</v>
      </c>
      <c r="E79" s="2016" t="str">
        <f t="shared" si="5"/>
        <v>B2</v>
      </c>
      <c r="F79" s="54">
        <v>50</v>
      </c>
      <c r="G79" s="54" t="s">
        <v>512</v>
      </c>
      <c r="J79" s="54" t="str">
        <f t="shared" si="4"/>
        <v>B221000</v>
      </c>
    </row>
    <row r="80" spans="1:10" hidden="1">
      <c r="A80" s="71" t="s">
        <v>346</v>
      </c>
      <c r="B80" s="1642"/>
      <c r="C80" s="71" t="s">
        <v>2679</v>
      </c>
      <c r="D80" s="72" t="s">
        <v>2439</v>
      </c>
      <c r="E80" s="2016" t="str">
        <f t="shared" si="5"/>
        <v>B2</v>
      </c>
      <c r="F80" s="54">
        <v>50</v>
      </c>
      <c r="G80" s="54" t="s">
        <v>512</v>
      </c>
      <c r="J80" s="54" t="str">
        <f t="shared" si="4"/>
        <v>B22500C</v>
      </c>
    </row>
    <row r="81" spans="1:10" hidden="1">
      <c r="A81" s="71" t="s">
        <v>564</v>
      </c>
      <c r="B81" s="1642"/>
      <c r="C81" s="71" t="s">
        <v>2680</v>
      </c>
      <c r="D81" s="72" t="s">
        <v>2439</v>
      </c>
      <c r="E81" s="2016" t="str">
        <f t="shared" si="5"/>
        <v>B3</v>
      </c>
      <c r="F81" s="54">
        <v>50</v>
      </c>
      <c r="G81" s="54" t="s">
        <v>512</v>
      </c>
      <c r="J81" s="54" t="str">
        <f t="shared" si="4"/>
        <v>B30800</v>
      </c>
    </row>
    <row r="82" spans="1:10" hidden="1">
      <c r="A82" s="71" t="s">
        <v>565</v>
      </c>
      <c r="B82" s="1642"/>
      <c r="C82" s="71" t="s">
        <v>2681</v>
      </c>
      <c r="D82" s="72" t="s">
        <v>2439</v>
      </c>
      <c r="E82" s="2016" t="str">
        <f t="shared" si="5"/>
        <v>B3</v>
      </c>
      <c r="F82" s="54">
        <v>50</v>
      </c>
      <c r="G82" s="54" t="s">
        <v>512</v>
      </c>
      <c r="J82" s="54" t="str">
        <f t="shared" si="4"/>
        <v>B301000</v>
      </c>
    </row>
    <row r="83" spans="1:10" hidden="1">
      <c r="A83" s="71" t="s">
        <v>399</v>
      </c>
      <c r="B83" s="1642"/>
      <c r="C83" s="71" t="s">
        <v>2682</v>
      </c>
      <c r="D83" s="72" t="s">
        <v>2439</v>
      </c>
      <c r="E83" s="2016" t="str">
        <f t="shared" si="5"/>
        <v>BM</v>
      </c>
      <c r="F83" s="54">
        <v>50</v>
      </c>
      <c r="G83" s="54" t="s">
        <v>512</v>
      </c>
      <c r="J83" s="54" t="str">
        <f t="shared" si="4"/>
        <v>BM16230</v>
      </c>
    </row>
    <row r="84" spans="1:10" hidden="1">
      <c r="A84" s="71" t="s">
        <v>1061</v>
      </c>
      <c r="B84" s="1642"/>
      <c r="C84" s="71" t="s">
        <v>2683</v>
      </c>
      <c r="D84" s="72" t="s">
        <v>2439</v>
      </c>
      <c r="E84" s="2016" t="str">
        <f t="shared" si="5"/>
        <v>BM</v>
      </c>
      <c r="F84" s="54">
        <v>50</v>
      </c>
      <c r="G84" s="54" t="s">
        <v>512</v>
      </c>
      <c r="J84" s="54" t="str">
        <f t="shared" si="4"/>
        <v>BM16250</v>
      </c>
    </row>
    <row r="85" spans="1:10" hidden="1">
      <c r="A85" s="71" t="s">
        <v>417</v>
      </c>
      <c r="B85" s="1642"/>
      <c r="C85" s="71" t="s">
        <v>2684</v>
      </c>
      <c r="D85" s="72" t="s">
        <v>2439</v>
      </c>
      <c r="E85" s="2016" t="str">
        <f>LEFT(A85,2)</f>
        <v>BM</v>
      </c>
      <c r="F85" s="54">
        <v>50</v>
      </c>
      <c r="G85" s="54" t="s">
        <v>512</v>
      </c>
      <c r="J85" s="54" t="str">
        <f>A85</f>
        <v>BM16300</v>
      </c>
    </row>
    <row r="86" spans="1:10" hidden="1">
      <c r="A86" s="71" t="s">
        <v>4910</v>
      </c>
      <c r="B86" s="1642"/>
      <c r="C86" s="71" t="s">
        <v>4911</v>
      </c>
      <c r="D86" s="72" t="s">
        <v>2439</v>
      </c>
      <c r="E86" s="2016" t="str">
        <f t="shared" si="5"/>
        <v>BM</v>
      </c>
      <c r="F86" s="54">
        <v>50</v>
      </c>
      <c r="G86" s="54" t="s">
        <v>512</v>
      </c>
      <c r="J86" s="54" t="str">
        <f t="shared" si="4"/>
        <v>BM16350</v>
      </c>
    </row>
    <row r="87" spans="1:10" hidden="1">
      <c r="A87" s="71" t="s">
        <v>851</v>
      </c>
      <c r="B87" s="1642"/>
      <c r="C87" s="71" t="s">
        <v>2685</v>
      </c>
      <c r="D87" s="72" t="s">
        <v>2439</v>
      </c>
      <c r="E87" s="2016" t="str">
        <f t="shared" si="5"/>
        <v>BM</v>
      </c>
      <c r="F87" s="54">
        <v>50</v>
      </c>
      <c r="G87" s="54" t="s">
        <v>512</v>
      </c>
      <c r="J87" s="54" t="str">
        <f t="shared" si="4"/>
        <v>BMOC16250</v>
      </c>
    </row>
    <row r="88" spans="1:10" hidden="1">
      <c r="A88" s="71" t="s">
        <v>852</v>
      </c>
      <c r="B88" s="1642"/>
      <c r="C88" s="71" t="s">
        <v>2686</v>
      </c>
      <c r="D88" s="72" t="s">
        <v>2439</v>
      </c>
      <c r="E88" s="2016" t="str">
        <f t="shared" si="5"/>
        <v>BM</v>
      </c>
      <c r="F88" s="54">
        <v>50</v>
      </c>
      <c r="G88" s="54" t="s">
        <v>512</v>
      </c>
      <c r="J88" s="54" t="str">
        <f t="shared" si="4"/>
        <v>BMOC16300</v>
      </c>
    </row>
    <row r="89" spans="1:10" hidden="1">
      <c r="A89" s="1644" t="s">
        <v>2538</v>
      </c>
      <c r="B89" s="1642"/>
      <c r="C89" s="71" t="s">
        <v>2687</v>
      </c>
      <c r="D89" s="72" t="s">
        <v>2439</v>
      </c>
      <c r="E89" s="2016" t="str">
        <f t="shared" si="5"/>
        <v>Bu</v>
      </c>
      <c r="F89" s="54">
        <v>50</v>
      </c>
      <c r="G89" s="54" t="s">
        <v>512</v>
      </c>
      <c r="J89" s="54" t="str">
        <f t="shared" si="4"/>
        <v>BulonVRS + ĐO</v>
      </c>
    </row>
    <row r="90" spans="1:10" hidden="1">
      <c r="A90" s="71" t="s">
        <v>706</v>
      </c>
      <c r="B90" s="75"/>
      <c r="C90" s="71" t="s">
        <v>2688</v>
      </c>
      <c r="D90" s="72" t="s">
        <v>2555</v>
      </c>
      <c r="E90" s="2016" t="str">
        <f t="shared" si="5"/>
        <v>LD</v>
      </c>
      <c r="F90" s="54">
        <v>50</v>
      </c>
      <c r="G90" s="54" t="s">
        <v>512</v>
      </c>
      <c r="J90" s="54" t="str">
        <f t="shared" si="4"/>
        <v>LD tron</v>
      </c>
    </row>
    <row r="91" spans="1:10" hidden="1">
      <c r="A91" s="71" t="s">
        <v>1519</v>
      </c>
      <c r="B91" s="75"/>
      <c r="C91" s="71" t="s">
        <v>2689</v>
      </c>
      <c r="D91" s="72" t="s">
        <v>2555</v>
      </c>
      <c r="E91" s="2016" t="str">
        <f t="shared" si="5"/>
        <v>LD</v>
      </c>
      <c r="F91" s="54">
        <v>50</v>
      </c>
      <c r="G91" s="54" t="s">
        <v>512</v>
      </c>
      <c r="J91" s="54" t="str">
        <f t="shared" si="4"/>
        <v>LD 40</v>
      </c>
    </row>
    <row r="92" spans="1:10" hidden="1">
      <c r="A92" s="71" t="s">
        <v>1520</v>
      </c>
      <c r="B92" s="75"/>
      <c r="C92" s="71" t="s">
        <v>2690</v>
      </c>
      <c r="D92" s="72" t="s">
        <v>2555</v>
      </c>
      <c r="E92" s="2016" t="str">
        <f t="shared" si="5"/>
        <v>LD</v>
      </c>
      <c r="F92" s="54">
        <v>50</v>
      </c>
      <c r="G92" s="54" t="s">
        <v>512</v>
      </c>
      <c r="J92" s="54" t="str">
        <f t="shared" si="4"/>
        <v>LD 60</v>
      </c>
    </row>
    <row r="93" spans="1:10" hidden="1">
      <c r="A93" s="71" t="s">
        <v>30</v>
      </c>
      <c r="B93" s="1642"/>
      <c r="C93" s="71" t="s">
        <v>2691</v>
      </c>
      <c r="D93" s="70" t="s">
        <v>2385</v>
      </c>
      <c r="E93" s="2016" t="str">
        <f t="shared" si="5"/>
        <v>BA</v>
      </c>
      <c r="F93" s="54">
        <v>50</v>
      </c>
      <c r="G93" s="54" t="s">
        <v>512</v>
      </c>
      <c r="J93" s="54" t="str">
        <f t="shared" si="4"/>
        <v>BATLI</v>
      </c>
    </row>
    <row r="94" spans="1:10" hidden="1">
      <c r="A94" s="71" t="s">
        <v>6106</v>
      </c>
      <c r="B94" s="1642"/>
      <c r="C94" s="71" t="s">
        <v>2692</v>
      </c>
      <c r="D94" s="70" t="s">
        <v>2385</v>
      </c>
      <c r="E94" s="2016" t="str">
        <f t="shared" si="5"/>
        <v>BA</v>
      </c>
      <c r="F94" s="54">
        <v>50</v>
      </c>
      <c r="G94" s="54" t="s">
        <v>512</v>
      </c>
      <c r="J94" s="54" t="str">
        <f t="shared" si="4"/>
        <v>BATLA</v>
      </c>
    </row>
    <row r="95" spans="1:10" hidden="1">
      <c r="A95" s="71" t="s">
        <v>2271</v>
      </c>
      <c r="B95" s="75"/>
      <c r="C95" s="71" t="s">
        <v>4882</v>
      </c>
      <c r="D95" s="72" t="s">
        <v>2439</v>
      </c>
      <c r="E95" s="2016" t="str">
        <f t="shared" si="5"/>
        <v>BA</v>
      </c>
      <c r="F95" s="54">
        <v>50</v>
      </c>
      <c r="G95" s="54" t="s">
        <v>512</v>
      </c>
      <c r="J95" s="54" t="str">
        <f t="shared" si="4"/>
        <v>BATLL</v>
      </c>
    </row>
    <row r="96" spans="1:10" hidden="1">
      <c r="A96" s="71" t="s">
        <v>757</v>
      </c>
      <c r="B96" s="1642" t="s">
        <v>1559</v>
      </c>
      <c r="C96" s="71" t="s">
        <v>2693</v>
      </c>
      <c r="D96" s="72" t="s">
        <v>2590</v>
      </c>
      <c r="E96" s="2016" t="str">
        <f t="shared" si="5"/>
        <v>CT</v>
      </c>
      <c r="F96" s="54">
        <v>50</v>
      </c>
      <c r="G96" s="54" t="s">
        <v>512</v>
      </c>
      <c r="J96" s="54" t="str">
        <f t="shared" si="4"/>
        <v>CT25</v>
      </c>
    </row>
    <row r="97" spans="1:10" hidden="1">
      <c r="A97" s="71" t="s">
        <v>132</v>
      </c>
      <c r="B97" s="1642" t="s">
        <v>1559</v>
      </c>
      <c r="C97" s="71" t="s">
        <v>2694</v>
      </c>
      <c r="D97" s="72" t="s">
        <v>2590</v>
      </c>
      <c r="E97" s="2016" t="str">
        <f t="shared" si="5"/>
        <v>CT</v>
      </c>
      <c r="F97" s="54">
        <v>50</v>
      </c>
      <c r="G97" s="54" t="s">
        <v>512</v>
      </c>
      <c r="J97" s="54" t="str">
        <f t="shared" si="4"/>
        <v>CT3</v>
      </c>
    </row>
    <row r="98" spans="1:10" hidden="1">
      <c r="A98" s="71" t="s">
        <v>1430</v>
      </c>
      <c r="B98" s="1642" t="s">
        <v>1559</v>
      </c>
      <c r="C98" s="71" t="s">
        <v>1432</v>
      </c>
      <c r="D98" s="72" t="s">
        <v>2555</v>
      </c>
      <c r="E98" s="2016" t="str">
        <f t="shared" si="5"/>
        <v>co</v>
      </c>
      <c r="F98" s="54">
        <v>50</v>
      </c>
      <c r="G98" s="54" t="s">
        <v>512</v>
      </c>
      <c r="J98" s="54" t="str">
        <f t="shared" si="4"/>
        <v>cong 1</v>
      </c>
    </row>
    <row r="99" spans="1:10" hidden="1">
      <c r="A99" s="71" t="s">
        <v>1431</v>
      </c>
      <c r="B99" s="1642" t="s">
        <v>1559</v>
      </c>
      <c r="C99" s="71" t="s">
        <v>1433</v>
      </c>
      <c r="D99" s="72" t="s">
        <v>2555</v>
      </c>
      <c r="E99" s="2016" t="str">
        <f t="shared" si="5"/>
        <v>co</v>
      </c>
      <c r="F99" s="54">
        <v>50</v>
      </c>
      <c r="G99" s="54" t="s">
        <v>512</v>
      </c>
      <c r="J99" s="54" t="str">
        <f t="shared" si="4"/>
        <v>cong 2</v>
      </c>
    </row>
    <row r="100" spans="1:10" hidden="1">
      <c r="A100" s="71" t="s">
        <v>2246</v>
      </c>
      <c r="B100" s="1642" t="s">
        <v>1559</v>
      </c>
      <c r="C100" s="71" t="s">
        <v>2695</v>
      </c>
      <c r="D100" s="72" t="s">
        <v>2590</v>
      </c>
      <c r="E100" s="2016" t="str">
        <f t="shared" si="5"/>
        <v>CT</v>
      </c>
      <c r="F100" s="54">
        <v>50</v>
      </c>
      <c r="G100" s="54" t="s">
        <v>512</v>
      </c>
      <c r="J100" s="54" t="str">
        <f t="shared" si="4"/>
        <v>CT5</v>
      </c>
    </row>
    <row r="101" spans="1:10" hidden="1">
      <c r="A101" s="71" t="s">
        <v>1627</v>
      </c>
      <c r="B101" s="75"/>
      <c r="C101" s="71" t="s">
        <v>2696</v>
      </c>
      <c r="D101" s="72" t="s">
        <v>2697</v>
      </c>
      <c r="E101" s="2016" t="str">
        <f t="shared" si="5"/>
        <v>Mo</v>
      </c>
      <c r="F101" s="54">
        <v>50</v>
      </c>
      <c r="G101" s="54" t="s">
        <v>512</v>
      </c>
      <c r="J101" s="54" t="str">
        <f t="shared" si="4"/>
        <v>MongTB</v>
      </c>
    </row>
    <row r="102" spans="1:10" hidden="1">
      <c r="A102" s="1643" t="s">
        <v>1552</v>
      </c>
      <c r="B102" s="75"/>
      <c r="C102" s="71" t="s">
        <v>2698</v>
      </c>
      <c r="D102" s="72" t="s">
        <v>2248</v>
      </c>
      <c r="E102" s="2016" t="str">
        <f t="shared" si="5"/>
        <v>M1</v>
      </c>
      <c r="F102" s="54">
        <v>12</v>
      </c>
      <c r="G102" s="54" t="s">
        <v>512</v>
      </c>
      <c r="J102" s="54" t="str">
        <f t="shared" si="4"/>
        <v>M11</v>
      </c>
    </row>
    <row r="103" spans="1:10" hidden="1">
      <c r="A103" s="1643" t="s">
        <v>2247</v>
      </c>
      <c r="B103" s="75"/>
      <c r="C103" s="71" t="s">
        <v>2699</v>
      </c>
      <c r="D103" s="72" t="s">
        <v>2248</v>
      </c>
      <c r="E103" s="2016" t="str">
        <f t="shared" si="5"/>
        <v>M2</v>
      </c>
      <c r="F103" s="54">
        <v>12</v>
      </c>
      <c r="G103" s="54" t="s">
        <v>512</v>
      </c>
      <c r="J103" s="54" t="str">
        <f t="shared" si="4"/>
        <v>M22</v>
      </c>
    </row>
    <row r="104" spans="1:10" hidden="1">
      <c r="A104" s="1643" t="s">
        <v>1033</v>
      </c>
      <c r="B104" s="75"/>
      <c r="C104" s="71" t="s">
        <v>2700</v>
      </c>
      <c r="D104" s="72" t="s">
        <v>2248</v>
      </c>
      <c r="E104" s="2016" t="str">
        <f t="shared" si="5"/>
        <v>M2</v>
      </c>
      <c r="F104" s="54">
        <v>12</v>
      </c>
      <c r="G104" s="54" t="s">
        <v>512</v>
      </c>
      <c r="J104" s="54" t="str">
        <f t="shared" si="4"/>
        <v>M25</v>
      </c>
    </row>
    <row r="105" spans="1:10" hidden="1">
      <c r="A105" s="1643" t="s">
        <v>612</v>
      </c>
      <c r="B105" s="75"/>
      <c r="C105" s="71" t="s">
        <v>2701</v>
      </c>
      <c r="D105" s="72" t="s">
        <v>2248</v>
      </c>
      <c r="E105" s="2016" t="str">
        <f t="shared" si="5"/>
        <v>M3</v>
      </c>
      <c r="F105" s="54">
        <v>12</v>
      </c>
      <c r="G105" s="54" t="s">
        <v>512</v>
      </c>
      <c r="J105" s="54" t="str">
        <f t="shared" si="4"/>
        <v>M38</v>
      </c>
    </row>
    <row r="106" spans="1:10" hidden="1">
      <c r="A106" s="71" t="s">
        <v>242</v>
      </c>
      <c r="B106" s="75"/>
      <c r="C106" s="71" t="s">
        <v>2702</v>
      </c>
      <c r="D106" s="72" t="s">
        <v>2703</v>
      </c>
      <c r="E106" s="2016" t="str">
        <f t="shared" si="5"/>
        <v>MT</v>
      </c>
      <c r="F106" s="54">
        <v>50</v>
      </c>
      <c r="G106" s="54" t="s">
        <v>512</v>
      </c>
      <c r="J106" s="54" t="str">
        <f t="shared" si="4"/>
        <v>MTBU</v>
      </c>
    </row>
    <row r="107" spans="1:10" hidden="1">
      <c r="A107" s="1643" t="s">
        <v>1214</v>
      </c>
      <c r="B107" s="75"/>
      <c r="C107" s="71" t="s">
        <v>2704</v>
      </c>
      <c r="D107" s="72" t="s">
        <v>2248</v>
      </c>
      <c r="E107" s="2016" t="str">
        <f t="shared" si="5"/>
        <v>M5</v>
      </c>
      <c r="F107" s="54">
        <v>12</v>
      </c>
      <c r="G107" s="54" t="s">
        <v>512</v>
      </c>
      <c r="J107" s="54" t="str">
        <f t="shared" si="4"/>
        <v>M50</v>
      </c>
    </row>
    <row r="108" spans="1:10" hidden="1">
      <c r="A108" s="71" t="s">
        <v>272</v>
      </c>
      <c r="B108" s="75"/>
      <c r="C108" s="71" t="s">
        <v>2705</v>
      </c>
      <c r="D108" s="72" t="s">
        <v>2532</v>
      </c>
      <c r="E108" s="2016" t="str">
        <f t="shared" si="5"/>
        <v>XL</v>
      </c>
      <c r="F108" s="54">
        <v>10</v>
      </c>
      <c r="G108" s="54" t="s">
        <v>512</v>
      </c>
      <c r="J108" s="54" t="str">
        <f t="shared" si="4"/>
        <v>XLPE22</v>
      </c>
    </row>
    <row r="109" spans="1:10" hidden="1">
      <c r="A109" s="71" t="s">
        <v>697</v>
      </c>
      <c r="B109" s="75"/>
      <c r="C109" s="71" t="s">
        <v>2706</v>
      </c>
      <c r="D109" s="72" t="s">
        <v>2532</v>
      </c>
      <c r="E109" s="2016" t="str">
        <f t="shared" si="5"/>
        <v>XL</v>
      </c>
      <c r="F109" s="54">
        <v>10</v>
      </c>
      <c r="G109" s="54" t="s">
        <v>512</v>
      </c>
      <c r="J109" s="54" t="str">
        <f t="shared" si="4"/>
        <v>XLPE25</v>
      </c>
    </row>
    <row r="110" spans="1:10" hidden="1">
      <c r="A110" s="71" t="s">
        <v>1736</v>
      </c>
      <c r="B110" s="75"/>
      <c r="C110" s="71" t="s">
        <v>2707</v>
      </c>
      <c r="D110" s="72" t="s">
        <v>2532</v>
      </c>
      <c r="E110" s="2016" t="str">
        <f t="shared" si="5"/>
        <v>XL</v>
      </c>
      <c r="F110" s="54">
        <v>10</v>
      </c>
      <c r="G110" s="54" t="s">
        <v>512</v>
      </c>
      <c r="J110" s="54" t="str">
        <f t="shared" si="4"/>
        <v>XLPE35</v>
      </c>
    </row>
    <row r="111" spans="1:10" hidden="1">
      <c r="A111" s="71" t="s">
        <v>271</v>
      </c>
      <c r="B111" s="75"/>
      <c r="C111" s="71" t="s">
        <v>2708</v>
      </c>
      <c r="D111" s="72" t="s">
        <v>2532</v>
      </c>
      <c r="E111" s="2016" t="str">
        <f t="shared" si="5"/>
        <v>XL</v>
      </c>
      <c r="F111" s="54">
        <v>10</v>
      </c>
      <c r="G111" s="54" t="s">
        <v>512</v>
      </c>
      <c r="J111" s="54" t="str">
        <f t="shared" si="4"/>
        <v>XLPE50</v>
      </c>
    </row>
    <row r="112" spans="1:10" hidden="1">
      <c r="A112" s="71" t="s">
        <v>270</v>
      </c>
      <c r="B112" s="75"/>
      <c r="C112" s="71" t="s">
        <v>2709</v>
      </c>
      <c r="D112" s="72" t="s">
        <v>2532</v>
      </c>
      <c r="E112" s="2016" t="str">
        <f t="shared" si="5"/>
        <v>XL</v>
      </c>
      <c r="F112" s="54">
        <v>10</v>
      </c>
      <c r="G112" s="54" t="s">
        <v>512</v>
      </c>
      <c r="J112" s="54" t="str">
        <f t="shared" si="4"/>
        <v>XLPE70</v>
      </c>
    </row>
    <row r="113" spans="1:10" hidden="1">
      <c r="A113" s="71" t="s">
        <v>1832</v>
      </c>
      <c r="B113" s="75"/>
      <c r="C113" s="71" t="s">
        <v>2710</v>
      </c>
      <c r="D113" s="72" t="s">
        <v>2532</v>
      </c>
      <c r="E113" s="2016" t="str">
        <f t="shared" si="5"/>
        <v>XL</v>
      </c>
      <c r="F113" s="54">
        <v>10</v>
      </c>
      <c r="G113" s="54" t="s">
        <v>512</v>
      </c>
      <c r="J113" s="54" t="str">
        <f t="shared" si="4"/>
        <v>XLPE95</v>
      </c>
    </row>
    <row r="114" spans="1:10" hidden="1">
      <c r="A114" s="71" t="s">
        <v>601</v>
      </c>
      <c r="B114" s="75"/>
      <c r="C114" s="71" t="s">
        <v>2711</v>
      </c>
      <c r="D114" s="72" t="s">
        <v>2532</v>
      </c>
      <c r="E114" s="2016" t="str">
        <f t="shared" si="5"/>
        <v>XL</v>
      </c>
      <c r="F114" s="54">
        <v>10</v>
      </c>
      <c r="G114" s="54" t="s">
        <v>512</v>
      </c>
      <c r="J114" s="54" t="str">
        <f t="shared" si="4"/>
        <v>XLPE120</v>
      </c>
    </row>
    <row r="115" spans="1:10" hidden="1">
      <c r="A115" s="71" t="s">
        <v>1468</v>
      </c>
      <c r="B115" s="75"/>
      <c r="C115" s="71" t="s">
        <v>2712</v>
      </c>
      <c r="D115" s="72" t="s">
        <v>2532</v>
      </c>
      <c r="E115" s="2016" t="str">
        <f t="shared" si="5"/>
        <v>XL</v>
      </c>
      <c r="F115" s="54">
        <v>10</v>
      </c>
      <c r="G115" s="54" t="s">
        <v>512</v>
      </c>
      <c r="J115" s="54" t="str">
        <f t="shared" si="4"/>
        <v>XLPE150</v>
      </c>
    </row>
    <row r="116" spans="1:10" hidden="1">
      <c r="A116" s="71" t="s">
        <v>1972</v>
      </c>
      <c r="B116" s="75"/>
      <c r="C116" s="71" t="s">
        <v>2713</v>
      </c>
      <c r="D116" s="72" t="s">
        <v>2532</v>
      </c>
      <c r="E116" s="2016" t="str">
        <f t="shared" si="5"/>
        <v>XL</v>
      </c>
      <c r="F116" s="54">
        <v>10</v>
      </c>
      <c r="G116" s="54" t="s">
        <v>512</v>
      </c>
      <c r="J116" s="54" t="str">
        <f t="shared" si="4"/>
        <v>XLPE185</v>
      </c>
    </row>
    <row r="117" spans="1:10" hidden="1">
      <c r="A117" s="71" t="s">
        <v>1500</v>
      </c>
      <c r="B117" s="75"/>
      <c r="C117" s="71" t="s">
        <v>2714</v>
      </c>
      <c r="D117" s="72" t="s">
        <v>2532</v>
      </c>
      <c r="E117" s="2016" t="str">
        <f t="shared" si="5"/>
        <v>XL</v>
      </c>
      <c r="F117" s="54">
        <v>10</v>
      </c>
      <c r="G117" s="54" t="s">
        <v>512</v>
      </c>
      <c r="J117" s="54" t="str">
        <f t="shared" si="4"/>
        <v>XLPE240</v>
      </c>
    </row>
    <row r="118" spans="1:10" hidden="1">
      <c r="A118" s="71" t="s">
        <v>1771</v>
      </c>
      <c r="B118" s="75"/>
      <c r="C118" s="71" t="s">
        <v>2715</v>
      </c>
      <c r="D118" s="72" t="s">
        <v>2532</v>
      </c>
      <c r="E118" s="2016" t="str">
        <f t="shared" si="5"/>
        <v>XL</v>
      </c>
      <c r="F118" s="54">
        <v>10</v>
      </c>
      <c r="G118" s="54" t="s">
        <v>512</v>
      </c>
      <c r="J118" s="54" t="str">
        <f t="shared" si="4"/>
        <v>XLPE250</v>
      </c>
    </row>
    <row r="119" spans="1:10" hidden="1">
      <c r="A119" s="71" t="s">
        <v>1737</v>
      </c>
      <c r="B119" s="75"/>
      <c r="C119" s="71" t="s">
        <v>2716</v>
      </c>
      <c r="D119" s="72" t="s">
        <v>2532</v>
      </c>
      <c r="E119" s="2016" t="str">
        <f t="shared" si="5"/>
        <v>XL</v>
      </c>
      <c r="F119" s="54">
        <v>15</v>
      </c>
      <c r="G119" s="54" t="s">
        <v>512</v>
      </c>
      <c r="J119" s="54" t="str">
        <f t="shared" si="4"/>
        <v>XLPE25A</v>
      </c>
    </row>
    <row r="120" spans="1:10" hidden="1">
      <c r="A120" s="71" t="s">
        <v>54</v>
      </c>
      <c r="B120" s="75"/>
      <c r="C120" s="71" t="s">
        <v>2717</v>
      </c>
      <c r="D120" s="72" t="s">
        <v>2532</v>
      </c>
      <c r="E120" s="2016" t="str">
        <f t="shared" si="5"/>
        <v>XL</v>
      </c>
      <c r="F120" s="54">
        <v>15</v>
      </c>
      <c r="G120" s="54" t="s">
        <v>512</v>
      </c>
      <c r="J120" s="54" t="str">
        <f t="shared" si="4"/>
        <v>XLPE35A</v>
      </c>
    </row>
    <row r="121" spans="1:10" hidden="1">
      <c r="A121" s="71" t="s">
        <v>55</v>
      </c>
      <c r="B121" s="75"/>
      <c r="C121" s="71" t="s">
        <v>2718</v>
      </c>
      <c r="D121" s="72" t="s">
        <v>2532</v>
      </c>
      <c r="E121" s="2016" t="str">
        <f t="shared" si="5"/>
        <v>XL</v>
      </c>
      <c r="F121" s="54">
        <v>15</v>
      </c>
      <c r="G121" s="54" t="s">
        <v>512</v>
      </c>
      <c r="J121" s="54" t="str">
        <f t="shared" si="4"/>
        <v>XLPE50A</v>
      </c>
    </row>
    <row r="122" spans="1:10" hidden="1">
      <c r="A122" s="71" t="s">
        <v>56</v>
      </c>
      <c r="B122" s="75"/>
      <c r="C122" s="71" t="s">
        <v>2719</v>
      </c>
      <c r="D122" s="72" t="s">
        <v>2532</v>
      </c>
      <c r="E122" s="2016" t="str">
        <f t="shared" si="5"/>
        <v>XL</v>
      </c>
      <c r="F122" s="54">
        <v>15</v>
      </c>
      <c r="G122" s="54" t="s">
        <v>512</v>
      </c>
      <c r="J122" s="54" t="str">
        <f t="shared" si="4"/>
        <v>XLPE70A</v>
      </c>
    </row>
    <row r="123" spans="1:10" hidden="1">
      <c r="A123" s="71" t="s">
        <v>57</v>
      </c>
      <c r="B123" s="75"/>
      <c r="C123" s="71" t="s">
        <v>2720</v>
      </c>
      <c r="D123" s="72" t="s">
        <v>2532</v>
      </c>
      <c r="E123" s="2016" t="str">
        <f t="shared" si="5"/>
        <v>XL</v>
      </c>
      <c r="F123" s="54">
        <v>15</v>
      </c>
      <c r="G123" s="54" t="s">
        <v>512</v>
      </c>
      <c r="J123" s="54" t="str">
        <f t="shared" si="4"/>
        <v>XLPE95A</v>
      </c>
    </row>
    <row r="124" spans="1:10" hidden="1">
      <c r="A124" s="71" t="s">
        <v>657</v>
      </c>
      <c r="B124" s="75"/>
      <c r="C124" s="71" t="s">
        <v>2721</v>
      </c>
      <c r="D124" s="72" t="s">
        <v>2532</v>
      </c>
      <c r="E124" s="2016" t="str">
        <f t="shared" si="5"/>
        <v>XL</v>
      </c>
      <c r="F124" s="54">
        <v>15</v>
      </c>
      <c r="G124" s="54" t="s">
        <v>512</v>
      </c>
      <c r="J124" s="54" t="str">
        <f t="shared" si="4"/>
        <v>XLPE120A</v>
      </c>
    </row>
    <row r="125" spans="1:10" hidden="1">
      <c r="A125" s="71" t="s">
        <v>1032</v>
      </c>
      <c r="B125" s="75"/>
      <c r="C125" s="71" t="s">
        <v>2722</v>
      </c>
      <c r="D125" s="72" t="s">
        <v>2532</v>
      </c>
      <c r="E125" s="2016" t="str">
        <f t="shared" si="5"/>
        <v>XL</v>
      </c>
      <c r="F125" s="54">
        <v>15</v>
      </c>
      <c r="G125" s="54" t="s">
        <v>512</v>
      </c>
      <c r="J125" s="54" t="str">
        <f t="shared" si="4"/>
        <v>XLPE150A</v>
      </c>
    </row>
    <row r="126" spans="1:10" hidden="1">
      <c r="A126" s="71" t="s">
        <v>1031</v>
      </c>
      <c r="B126" s="75"/>
      <c r="C126" s="71" t="s">
        <v>2723</v>
      </c>
      <c r="D126" s="72" t="s">
        <v>2532</v>
      </c>
      <c r="E126" s="2016" t="str">
        <f t="shared" si="5"/>
        <v>XL</v>
      </c>
      <c r="F126" s="54">
        <v>15</v>
      </c>
      <c r="G126" s="54" t="s">
        <v>512</v>
      </c>
      <c r="J126" s="54" t="str">
        <f t="shared" si="4"/>
        <v>XLPE185A</v>
      </c>
    </row>
    <row r="127" spans="1:10" hidden="1">
      <c r="A127" s="71" t="s">
        <v>1794</v>
      </c>
      <c r="B127" s="75"/>
      <c r="C127" s="71" t="s">
        <v>2724</v>
      </c>
      <c r="D127" s="72" t="s">
        <v>2532</v>
      </c>
      <c r="E127" s="2016" t="str">
        <f t="shared" si="5"/>
        <v>XL</v>
      </c>
      <c r="F127" s="54">
        <v>15</v>
      </c>
      <c r="G127" s="54" t="s">
        <v>512</v>
      </c>
      <c r="J127" s="54" t="str">
        <f t="shared" si="4"/>
        <v>XLPE240A</v>
      </c>
    </row>
    <row r="128" spans="1:10" hidden="1">
      <c r="A128" s="71" t="s">
        <v>998</v>
      </c>
      <c r="B128" s="75"/>
      <c r="C128" s="71" t="s">
        <v>2725</v>
      </c>
      <c r="D128" s="72" t="s">
        <v>2532</v>
      </c>
      <c r="E128" s="2016" t="str">
        <f t="shared" si="5"/>
        <v>XL</v>
      </c>
      <c r="F128" s="54">
        <v>14</v>
      </c>
      <c r="G128" s="54" t="s">
        <v>512</v>
      </c>
      <c r="J128" s="54" t="str">
        <f t="shared" si="4"/>
        <v>XLPE211HT</v>
      </c>
    </row>
    <row r="129" spans="1:10" hidden="1">
      <c r="A129" s="71" t="s">
        <v>1081</v>
      </c>
      <c r="B129" s="75"/>
      <c r="C129" s="71" t="s">
        <v>2726</v>
      </c>
      <c r="D129" s="72" t="s">
        <v>2532</v>
      </c>
      <c r="E129" s="2016" t="str">
        <f t="shared" si="5"/>
        <v>XL</v>
      </c>
      <c r="F129" s="54">
        <v>14</v>
      </c>
      <c r="G129" s="54" t="s">
        <v>512</v>
      </c>
      <c r="J129" s="54" t="str">
        <f t="shared" si="4"/>
        <v>XLPE216HT</v>
      </c>
    </row>
    <row r="130" spans="1:10" hidden="1">
      <c r="A130" s="71" t="s">
        <v>963</v>
      </c>
      <c r="B130" s="75"/>
      <c r="C130" s="71" t="s">
        <v>2727</v>
      </c>
      <c r="D130" s="72" t="s">
        <v>2532</v>
      </c>
      <c r="E130" s="2016" t="str">
        <f t="shared" si="5"/>
        <v>XL</v>
      </c>
      <c r="F130" s="54">
        <v>14</v>
      </c>
      <c r="G130" s="54" t="s">
        <v>512</v>
      </c>
      <c r="J130" s="54" t="str">
        <f t="shared" si="4"/>
        <v>XLPE316HT</v>
      </c>
    </row>
    <row r="131" spans="1:10" hidden="1">
      <c r="A131" s="71" t="s">
        <v>526</v>
      </c>
      <c r="B131" s="75"/>
      <c r="C131" s="71" t="s">
        <v>2728</v>
      </c>
      <c r="D131" s="72" t="s">
        <v>2532</v>
      </c>
      <c r="E131" s="2016" t="str">
        <f t="shared" si="5"/>
        <v>XL</v>
      </c>
      <c r="F131" s="54">
        <v>14</v>
      </c>
      <c r="G131" s="54" t="s">
        <v>512</v>
      </c>
      <c r="J131" s="54" t="str">
        <f t="shared" si="4"/>
        <v>XLPE350HT</v>
      </c>
    </row>
    <row r="132" spans="1:10" hidden="1">
      <c r="A132" s="71" t="s">
        <v>999</v>
      </c>
      <c r="B132" s="75"/>
      <c r="C132" s="71" t="s">
        <v>2729</v>
      </c>
      <c r="D132" s="72" t="s">
        <v>2532</v>
      </c>
      <c r="E132" s="2016" t="str">
        <f t="shared" si="5"/>
        <v>XL</v>
      </c>
      <c r="F132" s="54">
        <v>14</v>
      </c>
      <c r="G132" s="54" t="s">
        <v>512</v>
      </c>
      <c r="J132" s="54" t="str">
        <f t="shared" si="4"/>
        <v>XLPE416HT</v>
      </c>
    </row>
    <row r="133" spans="1:10" hidden="1">
      <c r="A133" s="71" t="s">
        <v>673</v>
      </c>
      <c r="B133" s="75"/>
      <c r="C133" s="71" t="s">
        <v>2730</v>
      </c>
      <c r="D133" s="72" t="s">
        <v>2532</v>
      </c>
      <c r="E133" s="2016" t="str">
        <f t="shared" si="5"/>
        <v>XL</v>
      </c>
      <c r="F133" s="54">
        <v>14</v>
      </c>
      <c r="G133" s="54" t="s">
        <v>512</v>
      </c>
      <c r="J133" s="54" t="str">
        <f t="shared" si="4"/>
        <v>XLPE316+10HT</v>
      </c>
    </row>
    <row r="134" spans="1:10" hidden="1">
      <c r="A134" s="71" t="s">
        <v>1366</v>
      </c>
      <c r="B134" s="75"/>
      <c r="C134" s="71" t="s">
        <v>2731</v>
      </c>
      <c r="D134" s="72" t="s">
        <v>2532</v>
      </c>
      <c r="E134" s="2016" t="str">
        <f t="shared" si="5"/>
        <v>XL</v>
      </c>
      <c r="F134" s="54">
        <v>14</v>
      </c>
      <c r="G134" s="54" t="s">
        <v>512</v>
      </c>
      <c r="J134" s="54" t="str">
        <f t="shared" si="4"/>
        <v>XLPE350+35HT</v>
      </c>
    </row>
    <row r="135" spans="1:10" hidden="1">
      <c r="A135" s="71" t="s">
        <v>875</v>
      </c>
      <c r="B135" s="75"/>
      <c r="C135" s="71" t="s">
        <v>2732</v>
      </c>
      <c r="D135" s="72" t="s">
        <v>2532</v>
      </c>
      <c r="E135" s="2016" t="str">
        <f t="shared" si="5"/>
        <v>XL</v>
      </c>
      <c r="F135" s="54">
        <v>14</v>
      </c>
      <c r="G135" s="54" t="s">
        <v>512</v>
      </c>
      <c r="J135" s="54" t="str">
        <f t="shared" ref="J135:J201" si="6">A135</f>
        <v>XLPE370+50HT</v>
      </c>
    </row>
    <row r="136" spans="1:10" hidden="1">
      <c r="A136" s="71" t="s">
        <v>407</v>
      </c>
      <c r="B136" s="75"/>
      <c r="C136" s="71" t="s">
        <v>2733</v>
      </c>
      <c r="D136" s="72" t="s">
        <v>2532</v>
      </c>
      <c r="E136" s="2016" t="str">
        <f t="shared" si="5"/>
        <v>XL</v>
      </c>
      <c r="F136" s="54">
        <v>14</v>
      </c>
      <c r="G136" s="54" t="s">
        <v>512</v>
      </c>
      <c r="J136" s="54" t="str">
        <f t="shared" si="6"/>
        <v>XLPE395+50HT</v>
      </c>
    </row>
    <row r="137" spans="1:10" hidden="1">
      <c r="A137" s="71" t="s">
        <v>408</v>
      </c>
      <c r="B137" s="75"/>
      <c r="C137" s="71" t="s">
        <v>2734</v>
      </c>
      <c r="D137" s="72" t="s">
        <v>2532</v>
      </c>
      <c r="E137" s="2016" t="str">
        <f t="shared" ref="E137:E204" si="7">LEFT(A137,2)</f>
        <v>XL</v>
      </c>
      <c r="F137" s="54">
        <v>14</v>
      </c>
      <c r="G137" s="54" t="s">
        <v>512</v>
      </c>
      <c r="J137" s="54" t="str">
        <f t="shared" si="6"/>
        <v>XLPE3120+70HT</v>
      </c>
    </row>
    <row r="138" spans="1:10" hidden="1">
      <c r="A138" s="71" t="s">
        <v>409</v>
      </c>
      <c r="B138" s="75"/>
      <c r="C138" s="71" t="s">
        <v>2735</v>
      </c>
      <c r="D138" s="72" t="s">
        <v>2532</v>
      </c>
      <c r="E138" s="2016" t="str">
        <f t="shared" si="7"/>
        <v>XL</v>
      </c>
      <c r="F138" s="54">
        <v>14</v>
      </c>
      <c r="G138" s="54" t="s">
        <v>512</v>
      </c>
      <c r="J138" s="54" t="str">
        <f t="shared" si="6"/>
        <v>XLPE3150+95HT</v>
      </c>
    </row>
    <row r="139" spans="1:10" hidden="1">
      <c r="A139" s="71" t="s">
        <v>410</v>
      </c>
      <c r="B139" s="75"/>
      <c r="C139" s="71" t="s">
        <v>2736</v>
      </c>
      <c r="D139" s="72" t="s">
        <v>2532</v>
      </c>
      <c r="E139" s="2016" t="str">
        <f t="shared" si="7"/>
        <v>XL</v>
      </c>
      <c r="F139" s="54">
        <v>14</v>
      </c>
      <c r="G139" s="54" t="s">
        <v>512</v>
      </c>
      <c r="J139" s="54" t="str">
        <f t="shared" si="6"/>
        <v>XLPE3185+120HT</v>
      </c>
    </row>
    <row r="140" spans="1:10" hidden="1">
      <c r="A140" s="71" t="s">
        <v>1365</v>
      </c>
      <c r="B140" s="75"/>
      <c r="C140" s="71" t="s">
        <v>2737</v>
      </c>
      <c r="D140" s="72" t="s">
        <v>2532</v>
      </c>
      <c r="E140" s="2016" t="str">
        <f>LEFT(A140,2)</f>
        <v>XL</v>
      </c>
      <c r="F140" s="54">
        <v>14</v>
      </c>
      <c r="G140" s="54" t="s">
        <v>512</v>
      </c>
      <c r="J140" s="54" t="str">
        <f>A140</f>
        <v>XLPE350+35DHT</v>
      </c>
    </row>
    <row r="141" spans="1:10" hidden="1">
      <c r="A141" s="71" t="s">
        <v>4902</v>
      </c>
      <c r="B141" s="75"/>
      <c r="C141" s="71" t="s">
        <v>4903</v>
      </c>
      <c r="D141" s="72" t="s">
        <v>2532</v>
      </c>
      <c r="E141" s="2016" t="str">
        <f t="shared" si="7"/>
        <v>XL</v>
      </c>
      <c r="F141" s="54">
        <v>14</v>
      </c>
      <c r="G141" s="54" t="s">
        <v>512</v>
      </c>
      <c r="J141" s="54" t="str">
        <f t="shared" si="6"/>
        <v>XLPE370+35DHT</v>
      </c>
    </row>
    <row r="142" spans="1:10" hidden="1">
      <c r="A142" s="71" t="s">
        <v>1696</v>
      </c>
      <c r="B142" s="75"/>
      <c r="C142" s="71" t="s">
        <v>2738</v>
      </c>
      <c r="D142" s="72" t="s">
        <v>2532</v>
      </c>
      <c r="E142" s="2016" t="str">
        <f t="shared" si="7"/>
        <v>XL</v>
      </c>
      <c r="F142" s="54">
        <v>14</v>
      </c>
      <c r="G142" s="54" t="s">
        <v>512</v>
      </c>
      <c r="J142" s="54" t="str">
        <f t="shared" si="6"/>
        <v>XLPE325D</v>
      </c>
    </row>
    <row r="143" spans="1:10" hidden="1">
      <c r="A143" s="71" t="s">
        <v>470</v>
      </c>
      <c r="B143" s="75"/>
      <c r="C143" s="71" t="s">
        <v>2739</v>
      </c>
      <c r="D143" s="72" t="s">
        <v>2532</v>
      </c>
      <c r="E143" s="2016" t="str">
        <f t="shared" si="7"/>
        <v>XL</v>
      </c>
      <c r="F143" s="54">
        <v>14</v>
      </c>
      <c r="G143" s="54" t="s">
        <v>512</v>
      </c>
      <c r="J143" s="54" t="str">
        <f t="shared" si="6"/>
        <v>XLPE350D</v>
      </c>
    </row>
    <row r="144" spans="1:10" hidden="1">
      <c r="A144" s="71" t="s">
        <v>1694</v>
      </c>
      <c r="B144" s="75"/>
      <c r="C144" s="71" t="s">
        <v>2740</v>
      </c>
      <c r="D144" s="72" t="s">
        <v>2532</v>
      </c>
      <c r="E144" s="2016" t="str">
        <f t="shared" si="7"/>
        <v>XL</v>
      </c>
      <c r="F144" s="54">
        <v>14</v>
      </c>
      <c r="G144" s="54" t="s">
        <v>512</v>
      </c>
      <c r="J144" s="54" t="str">
        <f t="shared" si="6"/>
        <v>XLPE370D</v>
      </c>
    </row>
    <row r="145" spans="1:10" hidden="1">
      <c r="A145" s="71" t="s">
        <v>1695</v>
      </c>
      <c r="B145" s="75"/>
      <c r="C145" s="71" t="s">
        <v>2741</v>
      </c>
      <c r="D145" s="72" t="s">
        <v>2532</v>
      </c>
      <c r="E145" s="2016" t="str">
        <f t="shared" si="7"/>
        <v>XL</v>
      </c>
      <c r="F145" s="54">
        <v>14</v>
      </c>
      <c r="G145" s="54" t="s">
        <v>512</v>
      </c>
      <c r="J145" s="54" t="str">
        <f t="shared" si="6"/>
        <v>XLPE395D</v>
      </c>
    </row>
    <row r="146" spans="1:10" hidden="1">
      <c r="A146" s="71" t="s">
        <v>1700</v>
      </c>
      <c r="B146" s="75"/>
      <c r="C146" s="71" t="s">
        <v>2742</v>
      </c>
      <c r="D146" s="72" t="s">
        <v>2532</v>
      </c>
      <c r="E146" s="2016" t="str">
        <f t="shared" si="7"/>
        <v>XL</v>
      </c>
      <c r="F146" s="54">
        <v>14</v>
      </c>
      <c r="G146" s="54" t="s">
        <v>512</v>
      </c>
      <c r="J146" s="54" t="str">
        <f t="shared" si="6"/>
        <v>XLPE3120D</v>
      </c>
    </row>
    <row r="147" spans="1:10" hidden="1">
      <c r="A147" s="71" t="s">
        <v>1698</v>
      </c>
      <c r="B147" s="75"/>
      <c r="C147" s="71" t="s">
        <v>2743</v>
      </c>
      <c r="D147" s="72" t="s">
        <v>2532</v>
      </c>
      <c r="E147" s="2016" t="str">
        <f t="shared" si="7"/>
        <v>XL</v>
      </c>
      <c r="F147" s="54">
        <v>14</v>
      </c>
      <c r="G147" s="54" t="s">
        <v>512</v>
      </c>
      <c r="J147" s="54" t="str">
        <f t="shared" si="6"/>
        <v>XLPE3150D</v>
      </c>
    </row>
    <row r="148" spans="1:10" hidden="1">
      <c r="A148" s="71" t="s">
        <v>1697</v>
      </c>
      <c r="B148" s="75"/>
      <c r="C148" s="71" t="s">
        <v>2744</v>
      </c>
      <c r="D148" s="72" t="s">
        <v>2532</v>
      </c>
      <c r="E148" s="2016" t="str">
        <f t="shared" si="7"/>
        <v>XL</v>
      </c>
      <c r="F148" s="54">
        <v>14</v>
      </c>
      <c r="G148" s="54" t="s">
        <v>512</v>
      </c>
      <c r="J148" s="54" t="str">
        <f t="shared" si="6"/>
        <v>XLPE3185D</v>
      </c>
    </row>
    <row r="149" spans="1:10" hidden="1">
      <c r="A149" s="71" t="s">
        <v>1699</v>
      </c>
      <c r="B149" s="75"/>
      <c r="C149" s="71" t="s">
        <v>2745</v>
      </c>
      <c r="D149" s="72" t="s">
        <v>2532</v>
      </c>
      <c r="E149" s="2016" t="str">
        <f t="shared" si="7"/>
        <v>XL</v>
      </c>
      <c r="F149" s="54">
        <v>14</v>
      </c>
      <c r="G149" s="54" t="s">
        <v>512</v>
      </c>
      <c r="J149" s="54" t="str">
        <f t="shared" si="6"/>
        <v>XLPE3240D</v>
      </c>
    </row>
    <row r="150" spans="1:10" hidden="1">
      <c r="A150" s="71" t="s">
        <v>7</v>
      </c>
      <c r="B150" s="75"/>
      <c r="C150" s="71" t="s">
        <v>2746</v>
      </c>
      <c r="D150" s="72" t="s">
        <v>2532</v>
      </c>
      <c r="E150" s="2016" t="str">
        <f t="shared" si="7"/>
        <v>XL</v>
      </c>
      <c r="F150" s="54">
        <v>14</v>
      </c>
      <c r="G150" s="54" t="s">
        <v>512</v>
      </c>
      <c r="J150" s="54" t="str">
        <f t="shared" si="6"/>
        <v>XLPE200HT</v>
      </c>
    </row>
    <row r="151" spans="1:10" hidden="1">
      <c r="A151" s="71" t="s">
        <v>2098</v>
      </c>
      <c r="B151" s="75"/>
      <c r="C151" s="71" t="s">
        <v>2747</v>
      </c>
      <c r="D151" s="72" t="s">
        <v>2532</v>
      </c>
      <c r="E151" s="2016" t="str">
        <f t="shared" si="7"/>
        <v>XL</v>
      </c>
      <c r="F151" s="54">
        <v>14</v>
      </c>
      <c r="G151" s="54" t="s">
        <v>512</v>
      </c>
      <c r="J151" s="54" t="str">
        <f t="shared" si="6"/>
        <v>XLPE240HT</v>
      </c>
    </row>
    <row r="152" spans="1:10" hidden="1">
      <c r="A152" s="71" t="s">
        <v>2099</v>
      </c>
      <c r="B152" s="75"/>
      <c r="C152" s="71" t="s">
        <v>2748</v>
      </c>
      <c r="D152" s="72" t="s">
        <v>2532</v>
      </c>
      <c r="E152" s="2016" t="str">
        <f t="shared" si="7"/>
        <v>XL</v>
      </c>
      <c r="F152" s="54">
        <v>14</v>
      </c>
      <c r="G152" s="54" t="s">
        <v>512</v>
      </c>
      <c r="J152" s="54" t="str">
        <f t="shared" si="6"/>
        <v>XLPE250HT</v>
      </c>
    </row>
    <row r="153" spans="1:10" hidden="1">
      <c r="A153" s="71" t="s">
        <v>2100</v>
      </c>
      <c r="B153" s="75"/>
      <c r="C153" s="71" t="s">
        <v>2749</v>
      </c>
      <c r="D153" s="72" t="s">
        <v>2532</v>
      </c>
      <c r="E153" s="2016" t="str">
        <f t="shared" si="7"/>
        <v>XL</v>
      </c>
      <c r="F153" s="54">
        <v>14</v>
      </c>
      <c r="G153" s="54" t="s">
        <v>512</v>
      </c>
      <c r="J153" s="54" t="str">
        <f t="shared" si="6"/>
        <v>XLPE300HT</v>
      </c>
    </row>
    <row r="154" spans="1:10" hidden="1">
      <c r="A154" s="71" t="s">
        <v>476</v>
      </c>
      <c r="B154" s="1642"/>
      <c r="C154" s="71" t="s">
        <v>2750</v>
      </c>
      <c r="D154" s="72" t="s">
        <v>2248</v>
      </c>
      <c r="E154" s="2016" t="str">
        <f t="shared" si="7"/>
        <v>AC</v>
      </c>
      <c r="F154" s="54">
        <v>15</v>
      </c>
      <c r="G154" s="54" t="s">
        <v>512</v>
      </c>
      <c r="J154" s="54" t="str">
        <f t="shared" si="6"/>
        <v>ACKP35</v>
      </c>
    </row>
    <row r="155" spans="1:10" hidden="1">
      <c r="A155" s="71" t="s">
        <v>267</v>
      </c>
      <c r="B155" s="1642"/>
      <c r="C155" s="71" t="s">
        <v>2751</v>
      </c>
      <c r="D155" s="72" t="s">
        <v>2248</v>
      </c>
      <c r="E155" s="2016" t="str">
        <f t="shared" si="7"/>
        <v>AC</v>
      </c>
      <c r="F155" s="54">
        <v>15</v>
      </c>
      <c r="G155" s="54" t="s">
        <v>512</v>
      </c>
      <c r="J155" s="54" t="str">
        <f t="shared" si="6"/>
        <v>ACKP50</v>
      </c>
    </row>
    <row r="156" spans="1:10" hidden="1">
      <c r="A156" s="71" t="s">
        <v>268</v>
      </c>
      <c r="B156" s="1642"/>
      <c r="C156" s="71" t="s">
        <v>2752</v>
      </c>
      <c r="D156" s="72" t="s">
        <v>2248</v>
      </c>
      <c r="E156" s="2016" t="str">
        <f t="shared" si="7"/>
        <v>AC</v>
      </c>
      <c r="F156" s="54">
        <v>15</v>
      </c>
      <c r="G156" s="54" t="s">
        <v>512</v>
      </c>
      <c r="J156" s="54" t="str">
        <f t="shared" si="6"/>
        <v>ACKP70</v>
      </c>
    </row>
    <row r="157" spans="1:10" hidden="1">
      <c r="A157" s="1643" t="s">
        <v>196</v>
      </c>
      <c r="B157" s="75"/>
      <c r="C157" s="71" t="s">
        <v>2753</v>
      </c>
      <c r="D157" s="72" t="s">
        <v>2248</v>
      </c>
      <c r="E157" s="2016" t="str">
        <f t="shared" si="7"/>
        <v>AC</v>
      </c>
      <c r="F157" s="54">
        <v>15</v>
      </c>
      <c r="G157" s="54" t="s">
        <v>512</v>
      </c>
      <c r="J157" s="54" t="str">
        <f t="shared" si="6"/>
        <v>ACKP95</v>
      </c>
    </row>
    <row r="158" spans="1:10" hidden="1">
      <c r="A158" s="71" t="s">
        <v>1417</v>
      </c>
      <c r="B158" s="1642"/>
      <c r="C158" s="71" t="s">
        <v>2754</v>
      </c>
      <c r="D158" s="72" t="s">
        <v>2248</v>
      </c>
      <c r="E158" s="2016" t="str">
        <f t="shared" si="7"/>
        <v>AC</v>
      </c>
      <c r="F158" s="54">
        <v>15</v>
      </c>
      <c r="G158" s="54" t="s">
        <v>512</v>
      </c>
      <c r="J158" s="54" t="str">
        <f t="shared" si="6"/>
        <v>ACKP120</v>
      </c>
    </row>
    <row r="159" spans="1:10" hidden="1">
      <c r="A159" s="71" t="s">
        <v>853</v>
      </c>
      <c r="B159" s="1642"/>
      <c r="C159" s="71" t="s">
        <v>2755</v>
      </c>
      <c r="D159" s="72" t="s">
        <v>2248</v>
      </c>
      <c r="E159" s="2016" t="str">
        <f t="shared" si="7"/>
        <v>AC</v>
      </c>
      <c r="F159" s="54">
        <v>15</v>
      </c>
      <c r="G159" s="54" t="s">
        <v>512</v>
      </c>
      <c r="J159" s="54" t="str">
        <f t="shared" si="6"/>
        <v>ACKP150</v>
      </c>
    </row>
    <row r="160" spans="1:10" hidden="1">
      <c r="A160" s="71" t="s">
        <v>1370</v>
      </c>
      <c r="B160" s="1642"/>
      <c r="C160" s="71" t="s">
        <v>2756</v>
      </c>
      <c r="D160" s="72" t="s">
        <v>2248</v>
      </c>
      <c r="E160" s="2016" t="str">
        <f t="shared" si="7"/>
        <v>AC</v>
      </c>
      <c r="F160" s="54">
        <v>15</v>
      </c>
      <c r="G160" s="54" t="s">
        <v>512</v>
      </c>
      <c r="J160" s="54" t="str">
        <f t="shared" si="6"/>
        <v>ACKP185</v>
      </c>
    </row>
    <row r="161" spans="1:10" hidden="1">
      <c r="A161" s="71" t="s">
        <v>1369</v>
      </c>
      <c r="B161" s="1642"/>
      <c r="C161" s="71" t="s">
        <v>2757</v>
      </c>
      <c r="D161" s="72" t="s">
        <v>2248</v>
      </c>
      <c r="E161" s="2016" t="str">
        <f t="shared" si="7"/>
        <v>AC</v>
      </c>
      <c r="F161" s="54">
        <v>15</v>
      </c>
      <c r="G161" s="54" t="s">
        <v>512</v>
      </c>
      <c r="J161" s="54" t="str">
        <f t="shared" si="6"/>
        <v>ACKP240</v>
      </c>
    </row>
    <row r="162" spans="1:10" hidden="1">
      <c r="A162" s="71" t="s">
        <v>1617</v>
      </c>
      <c r="B162" s="75"/>
      <c r="C162" s="71" t="s">
        <v>2758</v>
      </c>
      <c r="D162" s="72" t="s">
        <v>2532</v>
      </c>
      <c r="E162" s="2016" t="str">
        <f t="shared" si="7"/>
        <v>AC</v>
      </c>
      <c r="F162" s="54">
        <v>11</v>
      </c>
      <c r="G162" s="54" t="s">
        <v>512</v>
      </c>
      <c r="J162" s="54" t="str">
        <f t="shared" si="6"/>
        <v>ACXV150</v>
      </c>
    </row>
    <row r="163" spans="1:10" hidden="1">
      <c r="A163" s="71" t="s">
        <v>360</v>
      </c>
      <c r="B163" s="75"/>
      <c r="C163" s="71" t="s">
        <v>4867</v>
      </c>
      <c r="D163" s="72" t="s">
        <v>2532</v>
      </c>
      <c r="E163" s="2016" t="str">
        <f t="shared" si="7"/>
        <v>AC</v>
      </c>
      <c r="F163" s="54">
        <v>11</v>
      </c>
      <c r="G163" s="54" t="s">
        <v>512</v>
      </c>
      <c r="J163" s="54" t="str">
        <f t="shared" si="6"/>
        <v>ACXV50</v>
      </c>
    </row>
    <row r="164" spans="1:10" hidden="1">
      <c r="A164" s="71" t="s">
        <v>540</v>
      </c>
      <c r="B164" s="1642"/>
      <c r="C164" s="71" t="s">
        <v>2759</v>
      </c>
      <c r="D164" s="72" t="s">
        <v>2248</v>
      </c>
      <c r="E164" s="2016" t="str">
        <f t="shared" si="7"/>
        <v>AC</v>
      </c>
      <c r="F164" s="54">
        <v>15</v>
      </c>
      <c r="G164" s="54" t="s">
        <v>512</v>
      </c>
      <c r="J164" s="54" t="str">
        <f t="shared" si="6"/>
        <v>AC35</v>
      </c>
    </row>
    <row r="165" spans="1:10" hidden="1">
      <c r="A165" s="71" t="s">
        <v>88</v>
      </c>
      <c r="B165" s="1642"/>
      <c r="C165" s="71" t="s">
        <v>2760</v>
      </c>
      <c r="D165" s="72" t="s">
        <v>2248</v>
      </c>
      <c r="E165" s="2016" t="str">
        <f t="shared" si="7"/>
        <v>AC</v>
      </c>
      <c r="F165" s="54">
        <v>15</v>
      </c>
      <c r="G165" s="54" t="s">
        <v>512</v>
      </c>
      <c r="J165" s="54" t="str">
        <f t="shared" si="6"/>
        <v>AC50</v>
      </c>
    </row>
    <row r="166" spans="1:10" hidden="1">
      <c r="A166" s="71" t="s">
        <v>1239</v>
      </c>
      <c r="B166" s="1642"/>
      <c r="C166" s="71" t="s">
        <v>2761</v>
      </c>
      <c r="D166" s="72" t="s">
        <v>2248</v>
      </c>
      <c r="E166" s="2016" t="str">
        <f t="shared" si="7"/>
        <v>AC</v>
      </c>
      <c r="F166" s="54">
        <v>15</v>
      </c>
      <c r="G166" s="54" t="s">
        <v>512</v>
      </c>
      <c r="J166" s="54" t="str">
        <f t="shared" si="6"/>
        <v>AC70</v>
      </c>
    </row>
    <row r="167" spans="1:10" hidden="1">
      <c r="A167" s="1643" t="s">
        <v>269</v>
      </c>
      <c r="B167" s="75"/>
      <c r="C167" s="71" t="s">
        <v>2762</v>
      </c>
      <c r="D167" s="72" t="s">
        <v>2248</v>
      </c>
      <c r="E167" s="2016" t="str">
        <f t="shared" si="7"/>
        <v>AC</v>
      </c>
      <c r="F167" s="54">
        <v>15</v>
      </c>
      <c r="G167" s="54" t="s">
        <v>512</v>
      </c>
      <c r="J167" s="54" t="str">
        <f t="shared" si="6"/>
        <v>AC95</v>
      </c>
    </row>
    <row r="168" spans="1:10" hidden="1">
      <c r="A168" s="71" t="s">
        <v>539</v>
      </c>
      <c r="B168" s="1642"/>
      <c r="C168" s="71" t="s">
        <v>2763</v>
      </c>
      <c r="D168" s="72" t="s">
        <v>2248</v>
      </c>
      <c r="E168" s="2016" t="str">
        <f t="shared" si="7"/>
        <v>AC</v>
      </c>
      <c r="F168" s="54">
        <v>15</v>
      </c>
      <c r="G168" s="54" t="s">
        <v>512</v>
      </c>
      <c r="J168" s="54" t="str">
        <f t="shared" si="6"/>
        <v>AC120</v>
      </c>
    </row>
    <row r="169" spans="1:10" hidden="1">
      <c r="A169" s="71" t="s">
        <v>841</v>
      </c>
      <c r="B169" s="1642"/>
      <c r="C169" s="71" t="s">
        <v>2764</v>
      </c>
      <c r="D169" s="72" t="s">
        <v>2248</v>
      </c>
      <c r="E169" s="2016" t="str">
        <f t="shared" si="7"/>
        <v>AC</v>
      </c>
      <c r="F169" s="54">
        <v>15</v>
      </c>
      <c r="G169" s="54" t="s">
        <v>512</v>
      </c>
      <c r="J169" s="54" t="str">
        <f t="shared" si="6"/>
        <v>AC150</v>
      </c>
    </row>
    <row r="170" spans="1:10" hidden="1">
      <c r="A170" s="71" t="s">
        <v>729</v>
      </c>
      <c r="B170" s="1642"/>
      <c r="C170" s="71" t="s">
        <v>2765</v>
      </c>
      <c r="D170" s="72" t="s">
        <v>2248</v>
      </c>
      <c r="E170" s="2016" t="str">
        <f t="shared" si="7"/>
        <v>AC</v>
      </c>
      <c r="F170" s="54">
        <v>15</v>
      </c>
      <c r="G170" s="54" t="s">
        <v>512</v>
      </c>
      <c r="J170" s="54" t="str">
        <f t="shared" si="6"/>
        <v>AC185</v>
      </c>
    </row>
    <row r="171" spans="1:10" hidden="1">
      <c r="A171" s="71" t="s">
        <v>728</v>
      </c>
      <c r="B171" s="1642"/>
      <c r="C171" s="71" t="s">
        <v>2766</v>
      </c>
      <c r="D171" s="72" t="s">
        <v>2248</v>
      </c>
      <c r="E171" s="2016" t="str">
        <f t="shared" si="7"/>
        <v>AC</v>
      </c>
      <c r="F171" s="54">
        <v>15</v>
      </c>
      <c r="G171" s="54" t="s">
        <v>512</v>
      </c>
      <c r="J171" s="54" t="str">
        <f t="shared" si="6"/>
        <v>AC240</v>
      </c>
    </row>
    <row r="172" spans="1:10" hidden="1">
      <c r="A172" s="71" t="s">
        <v>1732</v>
      </c>
      <c r="B172" s="75"/>
      <c r="C172" s="71" t="s">
        <v>2767</v>
      </c>
      <c r="D172" s="72" t="s">
        <v>2532</v>
      </c>
      <c r="E172" s="2016" t="str">
        <f t="shared" si="7"/>
        <v>av</v>
      </c>
      <c r="F172" s="54">
        <v>14</v>
      </c>
      <c r="G172" s="54" t="s">
        <v>512</v>
      </c>
      <c r="J172" s="54" t="str">
        <f t="shared" si="6"/>
        <v>av35</v>
      </c>
    </row>
    <row r="173" spans="1:10" hidden="1">
      <c r="A173" s="71" t="s">
        <v>210</v>
      </c>
      <c r="B173" s="75"/>
      <c r="C173" s="71" t="s">
        <v>2768</v>
      </c>
      <c r="D173" s="72" t="s">
        <v>2532</v>
      </c>
      <c r="E173" s="2016" t="str">
        <f t="shared" si="7"/>
        <v>av</v>
      </c>
      <c r="F173" s="54">
        <v>14</v>
      </c>
      <c r="G173" s="54" t="s">
        <v>512</v>
      </c>
      <c r="J173" s="54" t="str">
        <f t="shared" si="6"/>
        <v>av50</v>
      </c>
    </row>
    <row r="174" spans="1:10" hidden="1">
      <c r="A174" s="71" t="s">
        <v>211</v>
      </c>
      <c r="B174" s="75"/>
      <c r="C174" s="71" t="s">
        <v>2769</v>
      </c>
      <c r="D174" s="72" t="s">
        <v>2532</v>
      </c>
      <c r="E174" s="2016" t="str">
        <f t="shared" si="7"/>
        <v>av</v>
      </c>
      <c r="F174" s="54">
        <v>14</v>
      </c>
      <c r="G174" s="54" t="s">
        <v>512</v>
      </c>
      <c r="J174" s="54" t="str">
        <f t="shared" si="6"/>
        <v>av70</v>
      </c>
    </row>
    <row r="175" spans="1:10" hidden="1">
      <c r="A175" s="71" t="s">
        <v>212</v>
      </c>
      <c r="B175" s="75"/>
      <c r="C175" s="71" t="s">
        <v>2770</v>
      </c>
      <c r="D175" s="72" t="s">
        <v>2532</v>
      </c>
      <c r="E175" s="2016" t="str">
        <f t="shared" si="7"/>
        <v>av</v>
      </c>
      <c r="F175" s="54">
        <v>14</v>
      </c>
      <c r="G175" s="54" t="s">
        <v>512</v>
      </c>
      <c r="J175" s="54" t="str">
        <f t="shared" si="6"/>
        <v>av95</v>
      </c>
    </row>
    <row r="176" spans="1:10" hidden="1">
      <c r="A176" s="71" t="s">
        <v>154</v>
      </c>
      <c r="B176" s="75"/>
      <c r="C176" s="71" t="s">
        <v>2771</v>
      </c>
      <c r="D176" s="72" t="s">
        <v>2532</v>
      </c>
      <c r="E176" s="2016" t="str">
        <f t="shared" si="7"/>
        <v>av</v>
      </c>
      <c r="F176" s="54">
        <v>14</v>
      </c>
      <c r="G176" s="54" t="s">
        <v>512</v>
      </c>
      <c r="J176" s="54" t="str">
        <f t="shared" si="6"/>
        <v>av120</v>
      </c>
    </row>
    <row r="177" spans="1:10" hidden="1">
      <c r="A177" s="71" t="s">
        <v>1798</v>
      </c>
      <c r="B177" s="75"/>
      <c r="C177" s="71" t="s">
        <v>2772</v>
      </c>
      <c r="D177" s="72" t="s">
        <v>2532</v>
      </c>
      <c r="E177" s="2016" t="str">
        <f t="shared" si="7"/>
        <v>av</v>
      </c>
      <c r="F177" s="54">
        <v>14</v>
      </c>
      <c r="G177" s="54" t="s">
        <v>512</v>
      </c>
      <c r="J177" s="54" t="str">
        <f t="shared" si="6"/>
        <v>av150</v>
      </c>
    </row>
    <row r="178" spans="1:10" hidden="1">
      <c r="A178" s="71" t="s">
        <v>2104</v>
      </c>
      <c r="B178" s="75"/>
      <c r="C178" s="71" t="s">
        <v>2773</v>
      </c>
      <c r="D178" s="72" t="s">
        <v>2532</v>
      </c>
      <c r="E178" s="2016" t="str">
        <f t="shared" si="7"/>
        <v>av</v>
      </c>
      <c r="F178" s="54">
        <v>14</v>
      </c>
      <c r="G178" s="54" t="s">
        <v>512</v>
      </c>
      <c r="J178" s="54" t="str">
        <f t="shared" si="6"/>
        <v>av185</v>
      </c>
    </row>
    <row r="179" spans="1:10" hidden="1">
      <c r="A179" s="71" t="s">
        <v>872</v>
      </c>
      <c r="B179" s="75"/>
      <c r="C179" s="71" t="s">
        <v>2774</v>
      </c>
      <c r="D179" s="72" t="s">
        <v>2532</v>
      </c>
      <c r="E179" s="2016" t="str">
        <f t="shared" si="7"/>
        <v>av</v>
      </c>
      <c r="F179" s="54">
        <v>14</v>
      </c>
      <c r="G179" s="54" t="s">
        <v>512</v>
      </c>
      <c r="J179" s="54" t="str">
        <f t="shared" si="6"/>
        <v>av240</v>
      </c>
    </row>
    <row r="180" spans="1:10" hidden="1">
      <c r="A180" s="71" t="s">
        <v>873</v>
      </c>
      <c r="B180" s="75"/>
      <c r="C180" s="71" t="s">
        <v>2775</v>
      </c>
      <c r="D180" s="72" t="s">
        <v>2532</v>
      </c>
      <c r="E180" s="2016" t="str">
        <f t="shared" si="7"/>
        <v>av</v>
      </c>
      <c r="F180" s="54">
        <v>14</v>
      </c>
      <c r="G180" s="54" t="s">
        <v>512</v>
      </c>
      <c r="J180" s="54" t="str">
        <f t="shared" si="6"/>
        <v>av300</v>
      </c>
    </row>
    <row r="181" spans="1:10" hidden="1">
      <c r="A181" s="1644" t="s">
        <v>2260</v>
      </c>
      <c r="B181" s="75"/>
      <c r="C181" s="71" t="s">
        <v>2776</v>
      </c>
      <c r="D181" s="72" t="s">
        <v>2532</v>
      </c>
      <c r="E181" s="2016" t="str">
        <f t="shared" si="7"/>
        <v>AB</v>
      </c>
      <c r="F181" s="54">
        <v>11</v>
      </c>
      <c r="G181" s="54" t="s">
        <v>512</v>
      </c>
      <c r="J181" s="54" t="str">
        <f t="shared" si="6"/>
        <v>ABC3x50</v>
      </c>
    </row>
    <row r="182" spans="1:10" hidden="1">
      <c r="A182" s="1644" t="s">
        <v>2261</v>
      </c>
      <c r="B182" s="75"/>
      <c r="C182" s="71" t="s">
        <v>2777</v>
      </c>
      <c r="D182" s="72" t="s">
        <v>2532</v>
      </c>
      <c r="E182" s="2016" t="str">
        <f t="shared" si="7"/>
        <v>AB</v>
      </c>
      <c r="F182" s="54">
        <v>11</v>
      </c>
      <c r="G182" s="54" t="s">
        <v>512</v>
      </c>
      <c r="J182" s="54" t="str">
        <f t="shared" si="6"/>
        <v>ABC3x70</v>
      </c>
    </row>
    <row r="183" spans="1:10" hidden="1">
      <c r="A183" s="1644" t="s">
        <v>1149</v>
      </c>
      <c r="B183" s="75"/>
      <c r="C183" s="71" t="s">
        <v>2778</v>
      </c>
      <c r="D183" s="72" t="s">
        <v>2532</v>
      </c>
      <c r="E183" s="2016" t="str">
        <f t="shared" si="7"/>
        <v>AB</v>
      </c>
      <c r="F183" s="54">
        <v>11</v>
      </c>
      <c r="G183" s="54" t="s">
        <v>512</v>
      </c>
      <c r="J183" s="54" t="str">
        <f t="shared" si="6"/>
        <v>ABC4x50</v>
      </c>
    </row>
    <row r="184" spans="1:10" hidden="1">
      <c r="A184" s="1644" t="s">
        <v>1150</v>
      </c>
      <c r="B184" s="75"/>
      <c r="C184" s="71" t="s">
        <v>2779</v>
      </c>
      <c r="D184" s="72" t="s">
        <v>2532</v>
      </c>
      <c r="E184" s="2016" t="str">
        <f t="shared" si="7"/>
        <v>AB</v>
      </c>
      <c r="F184" s="54">
        <v>11</v>
      </c>
      <c r="G184" s="54" t="s">
        <v>512</v>
      </c>
      <c r="J184" s="54" t="str">
        <f t="shared" si="6"/>
        <v>ABC4x70</v>
      </c>
    </row>
    <row r="185" spans="1:10" hidden="1">
      <c r="A185" s="1644" t="s">
        <v>2262</v>
      </c>
      <c r="B185" s="75"/>
      <c r="C185" s="71" t="s">
        <v>4325</v>
      </c>
      <c r="D185" s="72" t="s">
        <v>2532</v>
      </c>
      <c r="E185" s="2016" t="str">
        <f t="shared" si="7"/>
        <v>AB</v>
      </c>
      <c r="F185" s="54">
        <v>11</v>
      </c>
      <c r="G185" s="54" t="s">
        <v>512</v>
      </c>
      <c r="J185" s="54" t="str">
        <f t="shared" si="6"/>
        <v>ABC3x95</v>
      </c>
    </row>
    <row r="186" spans="1:10" hidden="1">
      <c r="A186" s="1644" t="s">
        <v>1151</v>
      </c>
      <c r="B186" s="75"/>
      <c r="C186" s="71" t="s">
        <v>4482</v>
      </c>
      <c r="D186" s="72" t="s">
        <v>2532</v>
      </c>
      <c r="E186" s="2016" t="str">
        <f>LEFT(A186,2)</f>
        <v>AB</v>
      </c>
      <c r="F186" s="54">
        <v>11</v>
      </c>
      <c r="G186" s="54" t="s">
        <v>512</v>
      </c>
      <c r="J186" s="54" t="str">
        <f t="shared" si="6"/>
        <v>ABC4x95</v>
      </c>
    </row>
    <row r="187" spans="1:10" hidden="1">
      <c r="A187" s="1644" t="s">
        <v>1152</v>
      </c>
      <c r="B187" s="75"/>
      <c r="C187" s="71" t="s">
        <v>2780</v>
      </c>
      <c r="D187" s="72" t="s">
        <v>2532</v>
      </c>
      <c r="E187" s="2016" t="str">
        <f t="shared" si="7"/>
        <v>AB</v>
      </c>
      <c r="F187" s="54">
        <v>11</v>
      </c>
      <c r="G187" s="54" t="s">
        <v>512</v>
      </c>
      <c r="J187" s="54" t="str">
        <f t="shared" si="6"/>
        <v>ABC4x120</v>
      </c>
    </row>
    <row r="188" spans="1:10" hidden="1">
      <c r="A188" s="1644" t="s">
        <v>116</v>
      </c>
      <c r="B188" s="75"/>
      <c r="C188" s="71" t="s">
        <v>2781</v>
      </c>
      <c r="D188" s="72" t="s">
        <v>2532</v>
      </c>
      <c r="E188" s="2016" t="str">
        <f t="shared" si="7"/>
        <v>AB</v>
      </c>
      <c r="F188" s="54">
        <v>11</v>
      </c>
      <c r="G188" s="54" t="s">
        <v>512</v>
      </c>
      <c r="J188" s="54" t="str">
        <f t="shared" si="6"/>
        <v>ABC4x150</v>
      </c>
    </row>
    <row r="189" spans="1:10" hidden="1">
      <c r="A189" s="71" t="s">
        <v>8</v>
      </c>
      <c r="B189" s="74" t="s">
        <v>1527</v>
      </c>
      <c r="C189" s="71" t="s">
        <v>2782</v>
      </c>
      <c r="D189" s="72" t="s">
        <v>2532</v>
      </c>
      <c r="E189" s="2016" t="str">
        <f t="shared" si="7"/>
        <v>CV</v>
      </c>
      <c r="F189" s="54">
        <v>9</v>
      </c>
      <c r="G189" s="54" t="s">
        <v>512</v>
      </c>
      <c r="J189" s="54" t="str">
        <f t="shared" si="6"/>
        <v>CVV2x2,5</v>
      </c>
    </row>
    <row r="190" spans="1:10" hidden="1">
      <c r="A190" s="71" t="s">
        <v>1171</v>
      </c>
      <c r="B190" s="74" t="s">
        <v>1527</v>
      </c>
      <c r="C190" s="73" t="s">
        <v>2783</v>
      </c>
      <c r="D190" s="72" t="s">
        <v>2532</v>
      </c>
      <c r="E190" s="2016" t="str">
        <f t="shared" si="7"/>
        <v>CV</v>
      </c>
      <c r="F190" s="54">
        <v>9</v>
      </c>
      <c r="G190" s="54" t="s">
        <v>512</v>
      </c>
      <c r="J190" s="54" t="str">
        <f t="shared" si="6"/>
        <v>CVV316</v>
      </c>
    </row>
    <row r="191" spans="1:10" hidden="1">
      <c r="A191" s="71" t="s">
        <v>1822</v>
      </c>
      <c r="B191" s="74" t="s">
        <v>1527</v>
      </c>
      <c r="C191" s="71" t="s">
        <v>2784</v>
      </c>
      <c r="D191" s="72" t="s">
        <v>2532</v>
      </c>
      <c r="E191" s="2016" t="str">
        <f t="shared" si="7"/>
        <v>CV</v>
      </c>
      <c r="F191" s="54">
        <v>9</v>
      </c>
      <c r="G191" s="54" t="s">
        <v>512</v>
      </c>
      <c r="J191" s="54" t="str">
        <f t="shared" si="6"/>
        <v>CVV4X2,5</v>
      </c>
    </row>
    <row r="192" spans="1:10" hidden="1">
      <c r="A192" s="71" t="s">
        <v>2139</v>
      </c>
      <c r="B192" s="74"/>
      <c r="C192" s="71" t="s">
        <v>2785</v>
      </c>
      <c r="D192" s="72" t="s">
        <v>2532</v>
      </c>
      <c r="E192" s="2016" t="str">
        <f t="shared" si="7"/>
        <v>M5</v>
      </c>
      <c r="F192" s="54">
        <v>50</v>
      </c>
      <c r="G192" s="54" t="s">
        <v>512</v>
      </c>
      <c r="J192" s="54" t="str">
        <f t="shared" si="6"/>
        <v>M5M</v>
      </c>
    </row>
    <row r="193" spans="1:10" hidden="1">
      <c r="A193" s="71" t="s">
        <v>2276</v>
      </c>
      <c r="B193" s="74" t="s">
        <v>1527</v>
      </c>
      <c r="C193" s="71" t="s">
        <v>2786</v>
      </c>
      <c r="D193" s="72" t="s">
        <v>2532</v>
      </c>
      <c r="E193" s="2016" t="str">
        <f t="shared" si="7"/>
        <v>CV</v>
      </c>
      <c r="F193" s="54">
        <v>9</v>
      </c>
      <c r="G193" s="54" t="s">
        <v>512</v>
      </c>
      <c r="J193" s="54" t="str">
        <f t="shared" si="6"/>
        <v>CVV4X4</v>
      </c>
    </row>
    <row r="194" spans="1:10" hidden="1">
      <c r="A194" s="71" t="s">
        <v>1368</v>
      </c>
      <c r="B194" s="1645" t="s">
        <v>2249</v>
      </c>
      <c r="C194" s="71" t="s">
        <v>2787</v>
      </c>
      <c r="D194" s="72" t="s">
        <v>2532</v>
      </c>
      <c r="E194" s="2016" t="str">
        <f t="shared" si="7"/>
        <v>CV</v>
      </c>
      <c r="F194" s="54">
        <v>8</v>
      </c>
      <c r="G194" s="54" t="s">
        <v>512</v>
      </c>
      <c r="J194" s="54" t="str">
        <f t="shared" si="6"/>
        <v>CV2,5</v>
      </c>
    </row>
    <row r="195" spans="1:10" hidden="1">
      <c r="A195" s="71" t="s">
        <v>2107</v>
      </c>
      <c r="B195" s="1645" t="s">
        <v>2249</v>
      </c>
      <c r="C195" s="71" t="s">
        <v>2788</v>
      </c>
      <c r="D195" s="72" t="s">
        <v>2532</v>
      </c>
      <c r="E195" s="2016" t="str">
        <f t="shared" si="7"/>
        <v>cv</v>
      </c>
      <c r="F195" s="54">
        <v>9</v>
      </c>
      <c r="G195" s="54" t="s">
        <v>512</v>
      </c>
      <c r="J195" s="54" t="str">
        <f t="shared" si="6"/>
        <v>cv11</v>
      </c>
    </row>
    <row r="196" spans="1:10" hidden="1">
      <c r="A196" s="71" t="s">
        <v>497</v>
      </c>
      <c r="B196" s="1645" t="s">
        <v>2249</v>
      </c>
      <c r="C196" s="71" t="s">
        <v>2789</v>
      </c>
      <c r="D196" s="72" t="s">
        <v>2532</v>
      </c>
      <c r="E196" s="2016" t="str">
        <f t="shared" si="7"/>
        <v>cv</v>
      </c>
      <c r="F196" s="54">
        <v>8</v>
      </c>
      <c r="G196" s="54" t="s">
        <v>512</v>
      </c>
      <c r="J196" s="54" t="str">
        <f t="shared" si="6"/>
        <v>cv16</v>
      </c>
    </row>
    <row r="197" spans="1:10" hidden="1">
      <c r="A197" s="71" t="s">
        <v>1526</v>
      </c>
      <c r="B197" s="1645"/>
      <c r="C197" s="71" t="s">
        <v>2790</v>
      </c>
      <c r="D197" s="72" t="s">
        <v>2532</v>
      </c>
      <c r="E197" s="2016" t="str">
        <f>LEFT(A197,2)</f>
        <v>cv</v>
      </c>
      <c r="F197" s="54">
        <v>8</v>
      </c>
      <c r="G197" s="54" t="s">
        <v>512</v>
      </c>
      <c r="J197" s="54" t="str">
        <f>A197</f>
        <v>cv25</v>
      </c>
    </row>
    <row r="198" spans="1:10" hidden="1">
      <c r="A198" s="71" t="s">
        <v>4906</v>
      </c>
      <c r="B198" s="1645"/>
      <c r="C198" s="71" t="s">
        <v>4907</v>
      </c>
      <c r="D198" s="72" t="s">
        <v>2532</v>
      </c>
      <c r="E198" s="2016" t="str">
        <f t="shared" ref="E198" si="8">LEFT(A198,2)</f>
        <v>cx</v>
      </c>
      <c r="F198" s="54">
        <v>8</v>
      </c>
      <c r="G198" s="54" t="s">
        <v>512</v>
      </c>
      <c r="J198" s="54" t="str">
        <f t="shared" ref="J198" si="9">A198</f>
        <v>cxv25</v>
      </c>
    </row>
    <row r="199" spans="1:10" hidden="1">
      <c r="A199" s="71" t="s">
        <v>6528</v>
      </c>
      <c r="B199" s="1645"/>
      <c r="C199" s="71" t="s">
        <v>6529</v>
      </c>
      <c r="D199" s="72" t="s">
        <v>2532</v>
      </c>
      <c r="E199" s="2016" t="str">
        <f t="shared" si="7"/>
        <v>cx</v>
      </c>
      <c r="F199" s="54">
        <v>8</v>
      </c>
      <c r="G199" s="54" t="s">
        <v>512</v>
      </c>
      <c r="J199" s="54" t="str">
        <f t="shared" si="6"/>
        <v>cxv95</v>
      </c>
    </row>
    <row r="200" spans="1:10" hidden="1">
      <c r="A200" s="71" t="s">
        <v>60</v>
      </c>
      <c r="B200" s="1645"/>
      <c r="C200" s="71" t="s">
        <v>2791</v>
      </c>
      <c r="D200" s="72" t="s">
        <v>2532</v>
      </c>
      <c r="E200" s="2016" t="str">
        <f t="shared" si="7"/>
        <v>cv</v>
      </c>
      <c r="F200" s="54">
        <v>8</v>
      </c>
      <c r="G200" s="54" t="s">
        <v>512</v>
      </c>
      <c r="J200" s="54" t="str">
        <f t="shared" si="6"/>
        <v>cv35</v>
      </c>
    </row>
    <row r="201" spans="1:10" hidden="1">
      <c r="A201" s="71" t="s">
        <v>273</v>
      </c>
      <c r="B201" s="1645"/>
      <c r="C201" s="71" t="s">
        <v>2792</v>
      </c>
      <c r="D201" s="72" t="s">
        <v>2532</v>
      </c>
      <c r="E201" s="2016" t="str">
        <f t="shared" si="7"/>
        <v>cv</v>
      </c>
      <c r="F201" s="54">
        <v>8</v>
      </c>
      <c r="G201" s="54" t="s">
        <v>512</v>
      </c>
      <c r="J201" s="54" t="str">
        <f t="shared" si="6"/>
        <v>cv50</v>
      </c>
    </row>
    <row r="202" spans="1:10" hidden="1">
      <c r="A202" s="71" t="s">
        <v>1623</v>
      </c>
      <c r="B202" s="1645"/>
      <c r="C202" s="71" t="s">
        <v>2793</v>
      </c>
      <c r="D202" s="72" t="s">
        <v>2532</v>
      </c>
      <c r="E202" s="2016" t="str">
        <f t="shared" si="7"/>
        <v>cv</v>
      </c>
      <c r="F202" s="54">
        <v>8</v>
      </c>
      <c r="G202" s="54" t="s">
        <v>512</v>
      </c>
      <c r="J202" s="54" t="str">
        <f t="shared" ref="J202:J266" si="10">A202</f>
        <v>cv70</v>
      </c>
    </row>
    <row r="203" spans="1:10" hidden="1">
      <c r="A203" s="71" t="s">
        <v>274</v>
      </c>
      <c r="B203" s="1645"/>
      <c r="C203" s="71" t="s">
        <v>2794</v>
      </c>
      <c r="D203" s="72" t="s">
        <v>2532</v>
      </c>
      <c r="E203" s="2016" t="str">
        <f t="shared" si="7"/>
        <v>cv</v>
      </c>
      <c r="F203" s="54">
        <v>8</v>
      </c>
      <c r="G203" s="54" t="s">
        <v>512</v>
      </c>
      <c r="J203" s="54" t="str">
        <f t="shared" si="10"/>
        <v>cv95</v>
      </c>
    </row>
    <row r="204" spans="1:10" hidden="1">
      <c r="A204" s="71" t="s">
        <v>32</v>
      </c>
      <c r="B204" s="75"/>
      <c r="C204" s="71" t="s">
        <v>2795</v>
      </c>
      <c r="D204" s="72" t="s">
        <v>2532</v>
      </c>
      <c r="E204" s="2016" t="str">
        <f t="shared" si="7"/>
        <v>cv</v>
      </c>
      <c r="F204" s="54">
        <v>8</v>
      </c>
      <c r="G204" s="54" t="s">
        <v>512</v>
      </c>
      <c r="J204" s="54" t="str">
        <f t="shared" si="10"/>
        <v>cv120</v>
      </c>
    </row>
    <row r="205" spans="1:10" hidden="1">
      <c r="A205" s="71" t="s">
        <v>34</v>
      </c>
      <c r="B205" s="75"/>
      <c r="C205" s="71" t="s">
        <v>2796</v>
      </c>
      <c r="D205" s="72" t="s">
        <v>2532</v>
      </c>
      <c r="E205" s="2016" t="str">
        <f t="shared" ref="E205:E271" si="11">LEFT(A205,2)</f>
        <v>cv</v>
      </c>
      <c r="F205" s="54">
        <v>8</v>
      </c>
      <c r="G205" s="54" t="s">
        <v>512</v>
      </c>
      <c r="J205" s="54" t="str">
        <f t="shared" si="10"/>
        <v>cv150</v>
      </c>
    </row>
    <row r="206" spans="1:10" hidden="1">
      <c r="A206" s="71" t="s">
        <v>1013</v>
      </c>
      <c r="B206" s="75"/>
      <c r="C206" s="71" t="s">
        <v>2797</v>
      </c>
      <c r="D206" s="72" t="s">
        <v>2532</v>
      </c>
      <c r="E206" s="2016" t="str">
        <f t="shared" si="11"/>
        <v>cv</v>
      </c>
      <c r="F206" s="54">
        <v>8</v>
      </c>
      <c r="G206" s="54" t="s">
        <v>512</v>
      </c>
      <c r="J206" s="54" t="str">
        <f t="shared" si="10"/>
        <v>cv185</v>
      </c>
    </row>
    <row r="207" spans="1:10" hidden="1">
      <c r="A207" s="71" t="s">
        <v>608</v>
      </c>
      <c r="B207" s="75"/>
      <c r="C207" s="71" t="s">
        <v>2798</v>
      </c>
      <c r="D207" s="72" t="s">
        <v>2532</v>
      </c>
      <c r="E207" s="2016" t="str">
        <f t="shared" si="11"/>
        <v>cv</v>
      </c>
      <c r="F207" s="54">
        <v>8</v>
      </c>
      <c r="G207" s="54" t="s">
        <v>512</v>
      </c>
      <c r="J207" s="54" t="str">
        <f t="shared" si="10"/>
        <v>cv200</v>
      </c>
    </row>
    <row r="208" spans="1:10" hidden="1">
      <c r="A208" s="71" t="s">
        <v>1571</v>
      </c>
      <c r="B208" s="75"/>
      <c r="C208" s="71" t="s">
        <v>2799</v>
      </c>
      <c r="D208" s="72" t="s">
        <v>2532</v>
      </c>
      <c r="E208" s="2016" t="str">
        <f t="shared" si="11"/>
        <v>cv</v>
      </c>
      <c r="F208" s="54">
        <v>8</v>
      </c>
      <c r="G208" s="54" t="s">
        <v>512</v>
      </c>
      <c r="J208" s="54" t="str">
        <f t="shared" si="10"/>
        <v>cv240</v>
      </c>
    </row>
    <row r="209" spans="1:10" hidden="1">
      <c r="A209" s="71" t="s">
        <v>89</v>
      </c>
      <c r="B209" s="75"/>
      <c r="C209" s="71" t="s">
        <v>2800</v>
      </c>
      <c r="D209" s="72" t="s">
        <v>2532</v>
      </c>
      <c r="E209" s="2016" t="str">
        <f t="shared" si="11"/>
        <v>cv</v>
      </c>
      <c r="F209" s="54">
        <v>8</v>
      </c>
      <c r="G209" s="54" t="s">
        <v>512</v>
      </c>
      <c r="J209" s="54" t="str">
        <f t="shared" si="10"/>
        <v>cv250</v>
      </c>
    </row>
    <row r="210" spans="1:10" hidden="1">
      <c r="A210" s="71" t="s">
        <v>2148</v>
      </c>
      <c r="B210" s="75"/>
      <c r="C210" s="71" t="s">
        <v>2801</v>
      </c>
      <c r="D210" s="72" t="s">
        <v>2532</v>
      </c>
      <c r="E210" s="2016" t="str">
        <f t="shared" si="11"/>
        <v>cv</v>
      </c>
      <c r="F210" s="54">
        <v>8</v>
      </c>
      <c r="G210" s="54" t="s">
        <v>512</v>
      </c>
      <c r="J210" s="54" t="str">
        <f t="shared" si="10"/>
        <v>cv300</v>
      </c>
    </row>
    <row r="211" spans="1:10" hidden="1">
      <c r="A211" s="71" t="s">
        <v>1911</v>
      </c>
      <c r="B211" s="75"/>
      <c r="C211" s="71" t="s">
        <v>2802</v>
      </c>
      <c r="D211" s="72" t="s">
        <v>2532</v>
      </c>
      <c r="E211" s="2016" t="str">
        <f t="shared" si="11"/>
        <v>cv</v>
      </c>
      <c r="F211" s="54">
        <v>8</v>
      </c>
      <c r="G211" s="54" t="s">
        <v>512</v>
      </c>
      <c r="J211" s="54" t="str">
        <f t="shared" si="10"/>
        <v>cv400</v>
      </c>
    </row>
    <row r="212" spans="1:10" hidden="1">
      <c r="A212" s="71" t="s">
        <v>1472</v>
      </c>
      <c r="B212" s="75"/>
      <c r="C212" s="71" t="s">
        <v>2803</v>
      </c>
      <c r="D212" s="72" t="s">
        <v>2532</v>
      </c>
      <c r="E212" s="2016" t="str">
        <f t="shared" si="11"/>
        <v>ac</v>
      </c>
      <c r="F212" s="54">
        <v>13</v>
      </c>
      <c r="G212" s="54" t="s">
        <v>512</v>
      </c>
      <c r="J212" s="54" t="str">
        <f t="shared" si="10"/>
        <v>acv35</v>
      </c>
    </row>
    <row r="213" spans="1:10" hidden="1">
      <c r="A213" s="71" t="s">
        <v>884</v>
      </c>
      <c r="B213" s="75"/>
      <c r="C213" s="71" t="s">
        <v>2804</v>
      </c>
      <c r="D213" s="72" t="s">
        <v>2532</v>
      </c>
      <c r="E213" s="2016" t="str">
        <f t="shared" si="11"/>
        <v>ac</v>
      </c>
      <c r="F213" s="54">
        <v>13</v>
      </c>
      <c r="G213" s="54" t="s">
        <v>512</v>
      </c>
      <c r="J213" s="54" t="str">
        <f t="shared" si="10"/>
        <v>acv50</v>
      </c>
    </row>
    <row r="214" spans="1:10" hidden="1">
      <c r="A214" s="71" t="s">
        <v>603</v>
      </c>
      <c r="B214" s="75"/>
      <c r="C214" s="71" t="s">
        <v>2805</v>
      </c>
      <c r="D214" s="72" t="s">
        <v>2532</v>
      </c>
      <c r="E214" s="2016" t="str">
        <f t="shared" si="11"/>
        <v>ac</v>
      </c>
      <c r="F214" s="54">
        <v>13</v>
      </c>
      <c r="G214" s="54" t="s">
        <v>512</v>
      </c>
      <c r="J214" s="54" t="str">
        <f t="shared" si="10"/>
        <v>acv70</v>
      </c>
    </row>
    <row r="215" spans="1:10" hidden="1">
      <c r="A215" s="71" t="s">
        <v>645</v>
      </c>
      <c r="B215" s="75"/>
      <c r="C215" s="71" t="s">
        <v>2806</v>
      </c>
      <c r="D215" s="72" t="s">
        <v>2532</v>
      </c>
      <c r="E215" s="2016" t="str">
        <f t="shared" si="11"/>
        <v>ac</v>
      </c>
      <c r="F215" s="54">
        <v>13</v>
      </c>
      <c r="G215" s="54" t="s">
        <v>512</v>
      </c>
      <c r="J215" s="54" t="str">
        <f t="shared" si="10"/>
        <v>acv95</v>
      </c>
    </row>
    <row r="216" spans="1:10" hidden="1">
      <c r="A216" s="71" t="s">
        <v>66</v>
      </c>
      <c r="B216" s="75"/>
      <c r="C216" s="71" t="s">
        <v>2807</v>
      </c>
      <c r="D216" s="72" t="s">
        <v>2532</v>
      </c>
      <c r="E216" s="2016" t="str">
        <f t="shared" si="11"/>
        <v>ac</v>
      </c>
      <c r="F216" s="54">
        <v>13</v>
      </c>
      <c r="G216" s="54" t="s">
        <v>512</v>
      </c>
      <c r="J216" s="54" t="str">
        <f t="shared" si="10"/>
        <v>acv120</v>
      </c>
    </row>
    <row r="217" spans="1:10" hidden="1">
      <c r="A217" s="71" t="s">
        <v>206</v>
      </c>
      <c r="B217" s="75"/>
      <c r="C217" s="71" t="s">
        <v>2808</v>
      </c>
      <c r="D217" s="72" t="s">
        <v>2532</v>
      </c>
      <c r="E217" s="2016" t="str">
        <f t="shared" si="11"/>
        <v>ac</v>
      </c>
      <c r="F217" s="54">
        <v>13</v>
      </c>
      <c r="G217" s="54" t="s">
        <v>512</v>
      </c>
      <c r="J217" s="54" t="str">
        <f t="shared" si="10"/>
        <v>acv150</v>
      </c>
    </row>
    <row r="218" spans="1:10" hidden="1">
      <c r="A218" s="71" t="s">
        <v>207</v>
      </c>
      <c r="B218" s="75"/>
      <c r="C218" s="71" t="s">
        <v>2809</v>
      </c>
      <c r="D218" s="72" t="s">
        <v>2532</v>
      </c>
      <c r="E218" s="2016" t="str">
        <f t="shared" si="11"/>
        <v>ac</v>
      </c>
      <c r="F218" s="54">
        <v>13</v>
      </c>
      <c r="G218" s="54" t="s">
        <v>512</v>
      </c>
      <c r="J218" s="54" t="str">
        <f t="shared" si="10"/>
        <v>acv185</v>
      </c>
    </row>
    <row r="219" spans="1:10" hidden="1">
      <c r="A219" s="71" t="s">
        <v>208</v>
      </c>
      <c r="B219" s="75"/>
      <c r="C219" s="71" t="s">
        <v>2810</v>
      </c>
      <c r="D219" s="72" t="s">
        <v>2532</v>
      </c>
      <c r="E219" s="2016" t="str">
        <f t="shared" si="11"/>
        <v>ac</v>
      </c>
      <c r="F219" s="54">
        <v>13</v>
      </c>
      <c r="G219" s="54" t="s">
        <v>512</v>
      </c>
      <c r="J219" s="54" t="str">
        <f t="shared" si="10"/>
        <v>acv240</v>
      </c>
    </row>
    <row r="220" spans="1:10" hidden="1">
      <c r="A220" s="71" t="s">
        <v>1040</v>
      </c>
      <c r="B220" s="1642"/>
      <c r="C220" s="71" t="s">
        <v>2811</v>
      </c>
      <c r="D220" s="72" t="s">
        <v>2248</v>
      </c>
      <c r="E220" s="2016" t="str">
        <f t="shared" si="11"/>
        <v>A3</v>
      </c>
      <c r="F220" s="54">
        <v>14</v>
      </c>
      <c r="G220" s="54" t="s">
        <v>512</v>
      </c>
      <c r="J220" s="54" t="str">
        <f t="shared" si="10"/>
        <v>A35</v>
      </c>
    </row>
    <row r="221" spans="1:10" hidden="1">
      <c r="A221" s="71" t="s">
        <v>295</v>
      </c>
      <c r="B221" s="1642"/>
      <c r="C221" s="71" t="s">
        <v>2812</v>
      </c>
      <c r="D221" s="72" t="s">
        <v>2248</v>
      </c>
      <c r="E221" s="2016" t="str">
        <f t="shared" si="11"/>
        <v>A5</v>
      </c>
      <c r="F221" s="54">
        <v>14</v>
      </c>
      <c r="G221" s="54" t="s">
        <v>512</v>
      </c>
      <c r="J221" s="54" t="str">
        <f t="shared" si="10"/>
        <v>A50</v>
      </c>
    </row>
    <row r="222" spans="1:10" hidden="1">
      <c r="A222" s="71" t="s">
        <v>659</v>
      </c>
      <c r="B222" s="1642"/>
      <c r="C222" s="71" t="s">
        <v>2813</v>
      </c>
      <c r="D222" s="72" t="s">
        <v>2248</v>
      </c>
      <c r="E222" s="2016" t="str">
        <f t="shared" si="11"/>
        <v>A7</v>
      </c>
      <c r="F222" s="54">
        <v>14</v>
      </c>
      <c r="G222" s="54" t="s">
        <v>512</v>
      </c>
      <c r="J222" s="54" t="str">
        <f t="shared" si="10"/>
        <v>A70</v>
      </c>
    </row>
    <row r="223" spans="1:10" hidden="1">
      <c r="A223" s="71" t="s">
        <v>660</v>
      </c>
      <c r="B223" s="1642"/>
      <c r="C223" s="71" t="s">
        <v>2814</v>
      </c>
      <c r="D223" s="72" t="s">
        <v>2248</v>
      </c>
      <c r="E223" s="2016" t="str">
        <f t="shared" si="11"/>
        <v>A9</v>
      </c>
      <c r="F223" s="54">
        <v>14</v>
      </c>
      <c r="G223" s="54" t="s">
        <v>512</v>
      </c>
      <c r="J223" s="54" t="str">
        <f t="shared" si="10"/>
        <v>A95</v>
      </c>
    </row>
    <row r="224" spans="1:10" hidden="1">
      <c r="A224" s="71" t="s">
        <v>661</v>
      </c>
      <c r="B224" s="1642"/>
      <c r="C224" s="71" t="s">
        <v>2815</v>
      </c>
      <c r="D224" s="72" t="s">
        <v>2248</v>
      </c>
      <c r="E224" s="2016" t="str">
        <f t="shared" si="11"/>
        <v>A1</v>
      </c>
      <c r="F224" s="54">
        <v>14</v>
      </c>
      <c r="G224" s="54" t="s">
        <v>512</v>
      </c>
      <c r="J224" s="54" t="str">
        <f t="shared" si="10"/>
        <v>A120</v>
      </c>
    </row>
    <row r="225" spans="1:10" hidden="1">
      <c r="A225" s="71" t="s">
        <v>2179</v>
      </c>
      <c r="B225" s="1642"/>
      <c r="C225" s="71" t="s">
        <v>2816</v>
      </c>
      <c r="D225" s="72" t="s">
        <v>2248</v>
      </c>
      <c r="E225" s="2016" t="str">
        <f t="shared" si="11"/>
        <v>A1</v>
      </c>
      <c r="F225" s="54">
        <v>14</v>
      </c>
      <c r="G225" s="54" t="s">
        <v>512</v>
      </c>
      <c r="J225" s="54" t="str">
        <f t="shared" si="10"/>
        <v>A150</v>
      </c>
    </row>
    <row r="226" spans="1:10" hidden="1">
      <c r="A226" s="71" t="s">
        <v>1070</v>
      </c>
      <c r="B226" s="1642"/>
      <c r="C226" s="71" t="s">
        <v>2817</v>
      </c>
      <c r="D226" s="72" t="s">
        <v>2248</v>
      </c>
      <c r="E226" s="2016" t="str">
        <f t="shared" si="11"/>
        <v>A1</v>
      </c>
      <c r="F226" s="54">
        <v>14</v>
      </c>
      <c r="G226" s="54" t="s">
        <v>512</v>
      </c>
      <c r="J226" s="54" t="str">
        <f t="shared" si="10"/>
        <v>A185</v>
      </c>
    </row>
    <row r="227" spans="1:10" hidden="1">
      <c r="A227" s="71" t="s">
        <v>1071</v>
      </c>
      <c r="B227" s="1642"/>
      <c r="C227" s="71" t="s">
        <v>2818</v>
      </c>
      <c r="D227" s="72" t="s">
        <v>2248</v>
      </c>
      <c r="E227" s="2016" t="str">
        <f t="shared" si="11"/>
        <v>A2</v>
      </c>
      <c r="F227" s="54">
        <v>14</v>
      </c>
      <c r="G227" s="54" t="s">
        <v>512</v>
      </c>
      <c r="J227" s="54" t="str">
        <f t="shared" si="10"/>
        <v>A240</v>
      </c>
    </row>
    <row r="228" spans="1:10" hidden="1">
      <c r="A228" s="1646" t="s">
        <v>275</v>
      </c>
      <c r="B228" s="75"/>
      <c r="C228" s="71" t="s">
        <v>2819</v>
      </c>
      <c r="D228" s="72" t="s">
        <v>2248</v>
      </c>
      <c r="E228" s="2016" t="str">
        <f t="shared" si="11"/>
        <v>C3</v>
      </c>
      <c r="F228" s="54">
        <v>16</v>
      </c>
      <c r="G228" s="54" t="s">
        <v>512</v>
      </c>
      <c r="J228" s="54" t="str">
        <f t="shared" si="10"/>
        <v>C3/8</v>
      </c>
    </row>
    <row r="229" spans="1:10" hidden="1">
      <c r="A229" s="1646" t="s">
        <v>4925</v>
      </c>
      <c r="B229" s="75"/>
      <c r="C229" s="71" t="s">
        <v>2820</v>
      </c>
      <c r="D229" s="72" t="s">
        <v>2532</v>
      </c>
      <c r="E229" s="2016" t="str">
        <f>LEFT(A229,2)</f>
        <v>C5</v>
      </c>
      <c r="F229" s="54">
        <v>16</v>
      </c>
      <c r="G229" s="54" t="s">
        <v>512</v>
      </c>
      <c r="J229" s="54" t="str">
        <f>A229</f>
        <v>C5/8m</v>
      </c>
    </row>
    <row r="230" spans="1:10" hidden="1">
      <c r="A230" s="1646" t="s">
        <v>1359</v>
      </c>
      <c r="B230" s="75"/>
      <c r="C230" s="71" t="s">
        <v>2820</v>
      </c>
      <c r="D230" s="72" t="s">
        <v>2248</v>
      </c>
      <c r="E230" s="2016" t="str">
        <f t="shared" si="11"/>
        <v>C5</v>
      </c>
      <c r="F230" s="54">
        <v>16</v>
      </c>
      <c r="G230" s="54" t="s">
        <v>512</v>
      </c>
      <c r="J230" s="54" t="str">
        <f t="shared" si="10"/>
        <v>C5/8</v>
      </c>
    </row>
    <row r="231" spans="1:10" hidden="1">
      <c r="A231" s="71" t="s">
        <v>1266</v>
      </c>
      <c r="B231" s="1642"/>
      <c r="C231" s="71" t="s">
        <v>2821</v>
      </c>
      <c r="D231" s="72" t="s">
        <v>2555</v>
      </c>
      <c r="E231" s="2016" t="str">
        <f t="shared" si="11"/>
        <v>CS</v>
      </c>
      <c r="F231" s="54">
        <v>50</v>
      </c>
      <c r="G231" s="54" t="s">
        <v>512</v>
      </c>
      <c r="J231" s="54" t="str">
        <f t="shared" si="10"/>
        <v>CSDI</v>
      </c>
    </row>
    <row r="232" spans="1:10" hidden="1">
      <c r="A232" s="71" t="s">
        <v>590</v>
      </c>
      <c r="B232" s="1642"/>
      <c r="C232" s="71" t="s">
        <v>2822</v>
      </c>
      <c r="D232" s="72" t="s">
        <v>2555</v>
      </c>
      <c r="E232" s="2016" t="str">
        <f t="shared" si="11"/>
        <v>CS</v>
      </c>
      <c r="F232" s="54">
        <v>50</v>
      </c>
      <c r="G232" s="54" t="s">
        <v>512</v>
      </c>
      <c r="J232" s="54" t="str">
        <f t="shared" si="10"/>
        <v>CSDG</v>
      </c>
    </row>
    <row r="233" spans="1:10" hidden="1">
      <c r="A233" s="1643" t="s">
        <v>1265</v>
      </c>
      <c r="B233" s="75"/>
      <c r="C233" s="71" t="s">
        <v>2823</v>
      </c>
      <c r="D233" s="72" t="s">
        <v>2555</v>
      </c>
      <c r="E233" s="2016" t="str">
        <f t="shared" si="11"/>
        <v>CS</v>
      </c>
      <c r="F233" s="54">
        <v>50</v>
      </c>
      <c r="G233" s="54" t="s">
        <v>512</v>
      </c>
      <c r="J233" s="54" t="str">
        <f t="shared" si="10"/>
        <v>CSD</v>
      </c>
    </row>
    <row r="234" spans="1:10" hidden="1">
      <c r="A234" s="71" t="s">
        <v>229</v>
      </c>
      <c r="B234" s="1642"/>
      <c r="C234" s="71" t="s">
        <v>2824</v>
      </c>
      <c r="D234" s="72" t="s">
        <v>2248</v>
      </c>
      <c r="E234" s="2016" t="str">
        <f>LEFT(A234,2)</f>
        <v>DA</v>
      </c>
      <c r="F234" s="54">
        <v>50</v>
      </c>
      <c r="G234" s="54" t="s">
        <v>512</v>
      </c>
      <c r="J234" s="54" t="str">
        <f t="shared" si="10"/>
        <v>DAYA</v>
      </c>
    </row>
    <row r="235" spans="1:10" hidden="1">
      <c r="A235" s="71" t="s">
        <v>4464</v>
      </c>
      <c r="B235" s="1642"/>
      <c r="C235" s="71" t="s">
        <v>4465</v>
      </c>
      <c r="D235" s="72" t="s">
        <v>2248</v>
      </c>
      <c r="E235" s="2016" t="str">
        <f t="shared" si="11"/>
        <v>DA</v>
      </c>
      <c r="F235" s="54">
        <v>50</v>
      </c>
      <c r="G235" s="54" t="s">
        <v>512</v>
      </c>
      <c r="J235" s="54" t="str">
        <f t="shared" si="10"/>
        <v>DAYA70</v>
      </c>
    </row>
    <row r="236" spans="1:10" hidden="1">
      <c r="A236" s="71" t="s">
        <v>1456</v>
      </c>
      <c r="B236" s="1642" t="s">
        <v>277</v>
      </c>
      <c r="C236" s="71" t="s">
        <v>2825</v>
      </c>
      <c r="D236" s="72" t="s">
        <v>2439</v>
      </c>
      <c r="E236" s="2016" t="str">
        <f t="shared" si="11"/>
        <v>GD</v>
      </c>
      <c r="F236" s="54">
        <v>50</v>
      </c>
      <c r="G236" s="54" t="s">
        <v>512</v>
      </c>
      <c r="J236" s="54" t="str">
        <f t="shared" si="10"/>
        <v>GDFCO</v>
      </c>
    </row>
    <row r="237" spans="1:10" hidden="1">
      <c r="A237" s="71" t="s">
        <v>1645</v>
      </c>
      <c r="B237" s="1642" t="s">
        <v>277</v>
      </c>
      <c r="C237" s="71" t="s">
        <v>2826</v>
      </c>
      <c r="D237" s="72" t="s">
        <v>2439</v>
      </c>
      <c r="E237" s="2016" t="str">
        <f t="shared" si="11"/>
        <v>GU</v>
      </c>
      <c r="F237" s="54">
        <v>50</v>
      </c>
      <c r="G237" s="54" t="s">
        <v>512</v>
      </c>
      <c r="J237" s="54" t="str">
        <f t="shared" si="10"/>
        <v>GUFCO</v>
      </c>
    </row>
    <row r="238" spans="1:10" hidden="1">
      <c r="A238" s="71" t="s">
        <v>147</v>
      </c>
      <c r="B238" s="1642" t="s">
        <v>1749</v>
      </c>
      <c r="C238" s="71" t="s">
        <v>2827</v>
      </c>
      <c r="D238" s="72" t="s">
        <v>1628</v>
      </c>
      <c r="E238" s="2016" t="str">
        <f t="shared" si="11"/>
        <v>GI</v>
      </c>
      <c r="F238" s="54">
        <v>50</v>
      </c>
      <c r="G238" s="54" t="s">
        <v>512</v>
      </c>
      <c r="J238" s="54" t="str">
        <f t="shared" si="10"/>
        <v>GIATFCO</v>
      </c>
    </row>
    <row r="239" spans="1:10" hidden="1">
      <c r="A239" s="71" t="s">
        <v>1263</v>
      </c>
      <c r="B239" s="1642"/>
      <c r="C239" s="71" t="s">
        <v>2828</v>
      </c>
      <c r="D239" s="72" t="s">
        <v>2439</v>
      </c>
      <c r="E239" s="2016" t="str">
        <f t="shared" si="11"/>
        <v>Gi</v>
      </c>
      <c r="F239" s="54">
        <v>50</v>
      </c>
      <c r="G239" s="54" t="s">
        <v>512</v>
      </c>
      <c r="J239" s="54" t="str">
        <f t="shared" si="10"/>
        <v>Gianoi1600</v>
      </c>
    </row>
    <row r="240" spans="1:10" hidden="1">
      <c r="A240" s="71" t="s">
        <v>1264</v>
      </c>
      <c r="B240" s="1642"/>
      <c r="C240" s="71" t="s">
        <v>2828</v>
      </c>
      <c r="D240" s="72" t="s">
        <v>2439</v>
      </c>
      <c r="E240" s="2016" t="str">
        <f t="shared" si="11"/>
        <v>Gi</v>
      </c>
      <c r="F240" s="54">
        <v>50</v>
      </c>
      <c r="G240" s="54" t="s">
        <v>512</v>
      </c>
      <c r="J240" s="54" t="str">
        <f t="shared" si="10"/>
        <v>Gianoi2500</v>
      </c>
    </row>
    <row r="241" spans="1:10" hidden="1">
      <c r="A241" s="71" t="s">
        <v>1535</v>
      </c>
      <c r="B241" s="1642"/>
      <c r="C241" s="71" t="s">
        <v>2828</v>
      </c>
      <c r="D241" s="72" t="s">
        <v>2439</v>
      </c>
      <c r="E241" s="2016" t="str">
        <f t="shared" si="11"/>
        <v>Gi</v>
      </c>
      <c r="F241" s="54">
        <v>50</v>
      </c>
      <c r="G241" s="54" t="s">
        <v>512</v>
      </c>
      <c r="J241" s="54" t="str">
        <f t="shared" si="10"/>
        <v>GianoiCB</v>
      </c>
    </row>
    <row r="242" spans="1:10" hidden="1">
      <c r="A242" s="71" t="s">
        <v>1176</v>
      </c>
      <c r="B242" s="1642"/>
      <c r="C242" s="71" t="s">
        <v>2829</v>
      </c>
      <c r="D242" s="72" t="s">
        <v>2248</v>
      </c>
      <c r="E242" s="2016" t="str">
        <f t="shared" si="11"/>
        <v>GC</v>
      </c>
      <c r="F242" s="54">
        <v>2000</v>
      </c>
      <c r="G242" s="54" t="s">
        <v>512</v>
      </c>
      <c r="J242" s="54" t="str">
        <f t="shared" si="10"/>
        <v>GCST</v>
      </c>
    </row>
    <row r="243" spans="1:10" hidden="1">
      <c r="A243" s="71" t="s">
        <v>1814</v>
      </c>
      <c r="B243" s="1642"/>
      <c r="C243" s="71" t="s">
        <v>2830</v>
      </c>
      <c r="D243" s="72" t="s">
        <v>2831</v>
      </c>
      <c r="E243" s="2016" t="str">
        <f t="shared" si="11"/>
        <v>G</v>
      </c>
      <c r="F243" s="54">
        <v>2000</v>
      </c>
      <c r="G243" s="54" t="s">
        <v>512</v>
      </c>
      <c r="J243" s="54" t="str">
        <f t="shared" si="10"/>
        <v>G</v>
      </c>
    </row>
    <row r="244" spans="1:10" hidden="1">
      <c r="A244" s="71" t="s">
        <v>1578</v>
      </c>
      <c r="B244" s="1642"/>
      <c r="C244" s="71" t="s">
        <v>2832</v>
      </c>
      <c r="D244" s="72" t="s">
        <v>2555</v>
      </c>
      <c r="E244" s="2016" t="str">
        <f t="shared" si="11"/>
        <v>K3</v>
      </c>
      <c r="F244" s="54">
        <v>50</v>
      </c>
      <c r="G244" s="54" t="s">
        <v>512</v>
      </c>
      <c r="J244" s="54" t="str">
        <f t="shared" si="10"/>
        <v>K3B</v>
      </c>
    </row>
    <row r="245" spans="1:10" hidden="1">
      <c r="A245" s="1643" t="s">
        <v>228</v>
      </c>
      <c r="B245" s="75"/>
      <c r="C245" s="71" t="s">
        <v>4356</v>
      </c>
      <c r="D245" s="72" t="s">
        <v>2278</v>
      </c>
      <c r="E245" s="2016" t="str">
        <f t="shared" si="11"/>
        <v>CT</v>
      </c>
      <c r="F245" s="54">
        <v>50</v>
      </c>
      <c r="G245" s="54" t="s">
        <v>512</v>
      </c>
      <c r="J245" s="54" t="str">
        <f t="shared" si="10"/>
        <v>CTD</v>
      </c>
    </row>
    <row r="246" spans="1:10" hidden="1">
      <c r="A246" s="1643" t="s">
        <v>1508</v>
      </c>
      <c r="B246" s="75"/>
      <c r="C246" s="71" t="s">
        <v>4858</v>
      </c>
      <c r="D246" s="72" t="s">
        <v>2439</v>
      </c>
      <c r="E246" s="2016" t="str">
        <f t="shared" si="11"/>
        <v>CT</v>
      </c>
      <c r="F246" s="54">
        <v>50</v>
      </c>
      <c r="G246" s="54" t="s">
        <v>512</v>
      </c>
      <c r="J246" s="54" t="str">
        <f t="shared" si="10"/>
        <v>CTD+K</v>
      </c>
    </row>
    <row r="247" spans="1:10" hidden="1">
      <c r="A247" s="71" t="s">
        <v>553</v>
      </c>
      <c r="B247" s="75"/>
      <c r="C247" s="71" t="s">
        <v>2833</v>
      </c>
      <c r="D247" s="72" t="s">
        <v>2555</v>
      </c>
      <c r="E247" s="2016" t="str">
        <f t="shared" si="11"/>
        <v>K-</v>
      </c>
      <c r="F247" s="54">
        <v>50</v>
      </c>
      <c r="G247" s="54" t="s">
        <v>512</v>
      </c>
      <c r="J247" s="54" t="str">
        <f t="shared" si="10"/>
        <v>K-Cu</v>
      </c>
    </row>
    <row r="248" spans="1:10" hidden="1">
      <c r="A248" s="71" t="s">
        <v>1789</v>
      </c>
      <c r="B248" s="75"/>
      <c r="C248" s="71" t="s">
        <v>2834</v>
      </c>
      <c r="D248" s="72" t="s">
        <v>2555</v>
      </c>
      <c r="E248" s="2016" t="str">
        <f t="shared" si="11"/>
        <v>K-</v>
      </c>
      <c r="F248" s="54">
        <v>50</v>
      </c>
      <c r="G248" s="54" t="s">
        <v>512</v>
      </c>
      <c r="J248" s="54" t="str">
        <f t="shared" si="10"/>
        <v>K-Fe</v>
      </c>
    </row>
    <row r="249" spans="1:10" hidden="1">
      <c r="A249" s="1643" t="s">
        <v>1383</v>
      </c>
      <c r="B249" s="75"/>
      <c r="C249" s="71" t="s">
        <v>6422</v>
      </c>
      <c r="D249" s="72" t="s">
        <v>2555</v>
      </c>
      <c r="E249" s="2016" t="str">
        <f t="shared" si="11"/>
        <v>K3</v>
      </c>
      <c r="F249" s="54">
        <v>50</v>
      </c>
      <c r="G249" s="54" t="s">
        <v>512</v>
      </c>
      <c r="J249" s="54" t="str">
        <f t="shared" si="10"/>
        <v>K35</v>
      </c>
    </row>
    <row r="250" spans="1:10" hidden="1">
      <c r="A250" s="1643" t="s">
        <v>1851</v>
      </c>
      <c r="B250" s="75"/>
      <c r="C250" s="71" t="s">
        <v>4078</v>
      </c>
      <c r="D250" s="72" t="s">
        <v>2555</v>
      </c>
      <c r="E250" s="2016" t="str">
        <f t="shared" si="11"/>
        <v>K5</v>
      </c>
      <c r="F250" s="54">
        <v>50</v>
      </c>
      <c r="G250" s="54" t="s">
        <v>512</v>
      </c>
      <c r="J250" s="54" t="str">
        <f t="shared" si="10"/>
        <v>K50</v>
      </c>
    </row>
    <row r="251" spans="1:10" hidden="1">
      <c r="A251" s="71" t="s">
        <v>1384</v>
      </c>
      <c r="B251" s="1642"/>
      <c r="C251" s="71" t="s">
        <v>4079</v>
      </c>
      <c r="D251" s="72" t="s">
        <v>2555</v>
      </c>
      <c r="E251" s="2016" t="str">
        <f t="shared" si="11"/>
        <v>K7</v>
      </c>
      <c r="F251" s="54">
        <v>50</v>
      </c>
      <c r="G251" s="54" t="s">
        <v>512</v>
      </c>
      <c r="J251" s="54" t="str">
        <f t="shared" si="10"/>
        <v>K70</v>
      </c>
    </row>
    <row r="252" spans="1:10" hidden="1">
      <c r="A252" s="71" t="s">
        <v>1385</v>
      </c>
      <c r="B252" s="75"/>
      <c r="C252" s="71" t="s">
        <v>4080</v>
      </c>
      <c r="D252" s="72" t="s">
        <v>2555</v>
      </c>
      <c r="E252" s="2016" t="str">
        <f t="shared" si="11"/>
        <v>K9</v>
      </c>
      <c r="F252" s="54">
        <v>50</v>
      </c>
      <c r="G252" s="54" t="s">
        <v>512</v>
      </c>
      <c r="J252" s="54" t="str">
        <f t="shared" si="10"/>
        <v>K95</v>
      </c>
    </row>
    <row r="253" spans="1:10" hidden="1">
      <c r="A253" s="1643" t="s">
        <v>2073</v>
      </c>
      <c r="B253" s="75"/>
      <c r="C253" s="71" t="s">
        <v>4081</v>
      </c>
      <c r="D253" s="72" t="s">
        <v>2555</v>
      </c>
      <c r="E253" s="2016" t="str">
        <f t="shared" si="11"/>
        <v>K1</v>
      </c>
      <c r="F253" s="54">
        <v>50</v>
      </c>
      <c r="G253" s="54" t="s">
        <v>512</v>
      </c>
      <c r="J253" s="54" t="str">
        <f t="shared" si="10"/>
        <v>K120</v>
      </c>
    </row>
    <row r="254" spans="1:10" hidden="1">
      <c r="A254" s="1643" t="s">
        <v>1177</v>
      </c>
      <c r="B254" s="75"/>
      <c r="C254" s="71" t="s">
        <v>4082</v>
      </c>
      <c r="D254" s="72" t="s">
        <v>2555</v>
      </c>
      <c r="E254" s="2016" t="str">
        <f t="shared" si="11"/>
        <v>K1</v>
      </c>
      <c r="F254" s="54">
        <v>50</v>
      </c>
      <c r="G254" s="54" t="s">
        <v>512</v>
      </c>
      <c r="J254" s="54" t="str">
        <f t="shared" si="10"/>
        <v>K150</v>
      </c>
    </row>
    <row r="255" spans="1:10" hidden="1">
      <c r="A255" s="1643" t="s">
        <v>2072</v>
      </c>
      <c r="B255" s="75"/>
      <c r="C255" s="71" t="s">
        <v>6423</v>
      </c>
      <c r="D255" s="72" t="s">
        <v>2555</v>
      </c>
      <c r="E255" s="2016" t="str">
        <f t="shared" si="11"/>
        <v>K1</v>
      </c>
      <c r="F255" s="54">
        <v>50</v>
      </c>
      <c r="G255" s="54" t="s">
        <v>512</v>
      </c>
      <c r="J255" s="54" t="str">
        <f t="shared" si="10"/>
        <v>K185</v>
      </c>
    </row>
    <row r="256" spans="1:10" hidden="1">
      <c r="A256" s="1643" t="s">
        <v>2071</v>
      </c>
      <c r="B256" s="75"/>
      <c r="C256" s="71" t="s">
        <v>6424</v>
      </c>
      <c r="D256" s="72" t="s">
        <v>2555</v>
      </c>
      <c r="E256" s="2016" t="str">
        <f t="shared" si="11"/>
        <v>K2</v>
      </c>
      <c r="F256" s="54">
        <v>50</v>
      </c>
      <c r="G256" s="54" t="s">
        <v>512</v>
      </c>
      <c r="J256" s="54" t="str">
        <f t="shared" si="10"/>
        <v>K240</v>
      </c>
    </row>
    <row r="257" spans="1:10" hidden="1">
      <c r="A257" s="1647" t="s">
        <v>580</v>
      </c>
      <c r="B257" s="75"/>
      <c r="C257" s="71" t="s">
        <v>2835</v>
      </c>
      <c r="D257" s="72" t="s">
        <v>2555</v>
      </c>
      <c r="E257" s="2016" t="str">
        <f t="shared" si="11"/>
        <v>KT</v>
      </c>
      <c r="F257" s="54">
        <v>50</v>
      </c>
      <c r="G257" s="54" t="s">
        <v>512</v>
      </c>
      <c r="J257" s="54" t="str">
        <f t="shared" si="10"/>
        <v>KTREO211</v>
      </c>
    </row>
    <row r="258" spans="1:10" hidden="1">
      <c r="A258" s="1647" t="s">
        <v>1875</v>
      </c>
      <c r="B258" s="75"/>
      <c r="C258" s="71" t="s">
        <v>2836</v>
      </c>
      <c r="D258" s="72" t="s">
        <v>2555</v>
      </c>
      <c r="E258" s="2016" t="str">
        <f t="shared" si="11"/>
        <v>KT</v>
      </c>
      <c r="F258" s="54">
        <v>50</v>
      </c>
      <c r="G258" s="54" t="s">
        <v>512</v>
      </c>
      <c r="J258" s="54" t="str">
        <f t="shared" si="10"/>
        <v>KTREO11</v>
      </c>
    </row>
    <row r="259" spans="1:10" hidden="1">
      <c r="A259" s="1647" t="s">
        <v>826</v>
      </c>
      <c r="B259" s="75"/>
      <c r="C259" s="71" t="s">
        <v>2837</v>
      </c>
      <c r="D259" s="72" t="s">
        <v>2555</v>
      </c>
      <c r="E259" s="2016" t="str">
        <f t="shared" si="11"/>
        <v>KT</v>
      </c>
      <c r="F259" s="54">
        <v>50</v>
      </c>
      <c r="G259" s="54" t="s">
        <v>512</v>
      </c>
      <c r="J259" s="54" t="str">
        <f t="shared" si="10"/>
        <v>KTREO22</v>
      </c>
    </row>
    <row r="260" spans="1:10" hidden="1">
      <c r="A260" s="1647" t="s">
        <v>2060</v>
      </c>
      <c r="B260" s="75"/>
      <c r="C260" s="71" t="s">
        <v>2838</v>
      </c>
      <c r="D260" s="72" t="s">
        <v>2555</v>
      </c>
      <c r="E260" s="2016" t="str">
        <f t="shared" si="11"/>
        <v>KT</v>
      </c>
      <c r="F260" s="54">
        <v>50</v>
      </c>
      <c r="G260" s="54" t="s">
        <v>512</v>
      </c>
      <c r="J260" s="54" t="str">
        <f t="shared" si="10"/>
        <v>KTREO35</v>
      </c>
    </row>
    <row r="261" spans="1:10" hidden="1">
      <c r="A261" s="1647" t="s">
        <v>1693</v>
      </c>
      <c r="B261" s="75"/>
      <c r="C261" s="71" t="s">
        <v>2839</v>
      </c>
      <c r="D261" s="72" t="s">
        <v>2555</v>
      </c>
      <c r="E261" s="2016" t="str">
        <f t="shared" si="11"/>
        <v>KT</v>
      </c>
      <c r="F261" s="54">
        <v>50</v>
      </c>
      <c r="G261" s="54" t="s">
        <v>512</v>
      </c>
      <c r="J261" s="54" t="str">
        <f t="shared" si="10"/>
        <v>KTREO50</v>
      </c>
    </row>
    <row r="262" spans="1:10" hidden="1">
      <c r="A262" s="1647" t="s">
        <v>1692</v>
      </c>
      <c r="B262" s="1648" t="s">
        <v>1768</v>
      </c>
      <c r="C262" s="71" t="s">
        <v>2840</v>
      </c>
      <c r="D262" s="72" t="s">
        <v>2555</v>
      </c>
      <c r="E262" s="2016" t="str">
        <f t="shared" si="11"/>
        <v>KT</v>
      </c>
      <c r="F262" s="54">
        <v>50</v>
      </c>
      <c r="G262" s="54" t="s">
        <v>512</v>
      </c>
      <c r="J262" s="54" t="str">
        <f t="shared" si="10"/>
        <v>KTREO70</v>
      </c>
    </row>
    <row r="263" spans="1:10" hidden="1">
      <c r="A263" s="1647" t="s">
        <v>1159</v>
      </c>
      <c r="B263" s="75"/>
      <c r="C263" s="71" t="s">
        <v>4875</v>
      </c>
      <c r="D263" s="72" t="s">
        <v>2555</v>
      </c>
      <c r="E263" s="2016" t="str">
        <f t="shared" si="11"/>
        <v>KT</v>
      </c>
      <c r="F263" s="54">
        <v>50</v>
      </c>
      <c r="G263" s="54" t="s">
        <v>512</v>
      </c>
      <c r="J263" s="54" t="str">
        <f t="shared" si="10"/>
        <v>KTREO95</v>
      </c>
    </row>
    <row r="264" spans="1:10" hidden="1">
      <c r="A264" s="1647" t="s">
        <v>1158</v>
      </c>
      <c r="B264" s="75"/>
      <c r="C264" s="71" t="s">
        <v>2841</v>
      </c>
      <c r="D264" s="72" t="s">
        <v>2555</v>
      </c>
      <c r="E264" s="2016" t="str">
        <f t="shared" si="11"/>
        <v>KT</v>
      </c>
      <c r="F264" s="54">
        <v>50</v>
      </c>
      <c r="G264" s="54" t="s">
        <v>512</v>
      </c>
      <c r="J264" s="54" t="str">
        <f t="shared" si="10"/>
        <v>KTREO120</v>
      </c>
    </row>
    <row r="265" spans="1:10" hidden="1">
      <c r="A265" s="1647" t="s">
        <v>146</v>
      </c>
      <c r="B265" s="75"/>
      <c r="C265" s="71" t="s">
        <v>2842</v>
      </c>
      <c r="D265" s="72" t="s">
        <v>2555</v>
      </c>
      <c r="E265" s="2016" t="str">
        <f t="shared" si="11"/>
        <v>KT</v>
      </c>
      <c r="F265" s="54">
        <v>50</v>
      </c>
      <c r="G265" s="54" t="s">
        <v>512</v>
      </c>
      <c r="J265" s="54" t="str">
        <f t="shared" si="10"/>
        <v>KTREO150</v>
      </c>
    </row>
    <row r="266" spans="1:10" hidden="1">
      <c r="A266" s="71" t="s">
        <v>1734</v>
      </c>
      <c r="B266" s="75"/>
      <c r="C266" s="71" t="s">
        <v>2843</v>
      </c>
      <c r="D266" s="72" t="s">
        <v>2555</v>
      </c>
      <c r="E266" s="2016" t="str">
        <f t="shared" si="11"/>
        <v>MT</v>
      </c>
      <c r="F266" s="54">
        <v>50</v>
      </c>
      <c r="G266" s="54" t="s">
        <v>512</v>
      </c>
      <c r="J266" s="54" t="str">
        <f t="shared" si="10"/>
        <v>MTREO A</v>
      </c>
    </row>
    <row r="267" spans="1:10" hidden="1">
      <c r="A267" s="71" t="s">
        <v>2208</v>
      </c>
      <c r="B267" s="75"/>
      <c r="C267" s="71" t="s">
        <v>2844</v>
      </c>
      <c r="D267" s="72" t="s">
        <v>2555</v>
      </c>
      <c r="E267" s="2016" t="str">
        <f t="shared" si="11"/>
        <v>MO</v>
      </c>
      <c r="F267" s="54">
        <v>50</v>
      </c>
      <c r="G267" s="54" t="s">
        <v>512</v>
      </c>
      <c r="J267" s="54" t="str">
        <f t="shared" ref="J267:J330" si="12">A267</f>
        <v>MOCDUNG</v>
      </c>
    </row>
    <row r="268" spans="1:10" hidden="1">
      <c r="A268" s="71" t="s">
        <v>2024</v>
      </c>
      <c r="B268" s="75"/>
      <c r="C268" s="71" t="s">
        <v>2845</v>
      </c>
      <c r="D268" s="72" t="s">
        <v>2555</v>
      </c>
      <c r="E268" s="2016" t="str">
        <f>LEFT(A268,2)</f>
        <v>MT</v>
      </c>
      <c r="F268" s="54">
        <v>50</v>
      </c>
      <c r="G268" s="54" t="s">
        <v>512</v>
      </c>
      <c r="J268" s="54" t="str">
        <f t="shared" si="12"/>
        <v xml:space="preserve">MTREO </v>
      </c>
    </row>
    <row r="269" spans="1:10" hidden="1">
      <c r="A269" s="71" t="s">
        <v>4495</v>
      </c>
      <c r="B269" s="75"/>
      <c r="C269" s="71" t="s">
        <v>4731</v>
      </c>
      <c r="D269" s="72" t="s">
        <v>2555</v>
      </c>
      <c r="E269" s="2016" t="str">
        <f t="shared" si="11"/>
        <v>KD</v>
      </c>
      <c r="F269" s="54">
        <v>50</v>
      </c>
      <c r="G269" s="54" t="s">
        <v>512</v>
      </c>
      <c r="J269" s="54" t="str">
        <f t="shared" si="12"/>
        <v>KDPLY</v>
      </c>
    </row>
    <row r="270" spans="1:10" hidden="1">
      <c r="A270" s="1647" t="s">
        <v>2211</v>
      </c>
      <c r="B270" s="75"/>
      <c r="C270" s="71" t="s">
        <v>2846</v>
      </c>
      <c r="D270" s="72" t="s">
        <v>2555</v>
      </c>
      <c r="E270" s="2016" t="str">
        <f t="shared" si="11"/>
        <v>KN</v>
      </c>
      <c r="F270" s="54">
        <v>50</v>
      </c>
      <c r="G270" s="54" t="s">
        <v>512</v>
      </c>
      <c r="J270" s="54" t="str">
        <f t="shared" si="12"/>
        <v>KNGUNG211</v>
      </c>
    </row>
    <row r="271" spans="1:10" hidden="1">
      <c r="A271" s="1647" t="s">
        <v>2210</v>
      </c>
      <c r="B271" s="75"/>
      <c r="C271" s="71" t="s">
        <v>2847</v>
      </c>
      <c r="D271" s="72" t="s">
        <v>2555</v>
      </c>
      <c r="E271" s="2016" t="str">
        <f t="shared" si="11"/>
        <v>KN</v>
      </c>
      <c r="F271" s="54">
        <v>50</v>
      </c>
      <c r="G271" s="54" t="s">
        <v>512</v>
      </c>
      <c r="J271" s="54" t="str">
        <f t="shared" si="12"/>
        <v>KNGUNG11</v>
      </c>
    </row>
    <row r="272" spans="1:10" hidden="1">
      <c r="A272" s="1647" t="s">
        <v>2209</v>
      </c>
      <c r="B272" s="75"/>
      <c r="C272" s="71" t="s">
        <v>2848</v>
      </c>
      <c r="D272" s="72" t="s">
        <v>2555</v>
      </c>
      <c r="E272" s="2016" t="str">
        <f t="shared" ref="E272:E337" si="13">LEFT(A272,2)</f>
        <v>KN</v>
      </c>
      <c r="F272" s="54">
        <v>50</v>
      </c>
      <c r="G272" s="54" t="s">
        <v>512</v>
      </c>
      <c r="J272" s="54" t="str">
        <f t="shared" si="12"/>
        <v>KNGUNG22</v>
      </c>
    </row>
    <row r="273" spans="1:10" hidden="1">
      <c r="A273" s="1647" t="s">
        <v>2061</v>
      </c>
      <c r="B273" s="75"/>
      <c r="C273" s="71" t="s">
        <v>2849</v>
      </c>
      <c r="D273" s="72" t="s">
        <v>2555</v>
      </c>
      <c r="E273" s="2016" t="str">
        <f t="shared" si="13"/>
        <v>KN</v>
      </c>
      <c r="F273" s="54">
        <v>50</v>
      </c>
      <c r="G273" s="54" t="s">
        <v>512</v>
      </c>
      <c r="J273" s="54" t="str">
        <f t="shared" si="12"/>
        <v>KNGUNG35</v>
      </c>
    </row>
    <row r="274" spans="1:10" hidden="1">
      <c r="A274" s="1647" t="s">
        <v>313</v>
      </c>
      <c r="B274" s="75"/>
      <c r="C274" s="71" t="s">
        <v>2850</v>
      </c>
      <c r="D274" s="72" t="s">
        <v>2555</v>
      </c>
      <c r="E274" s="2016" t="str">
        <f t="shared" si="13"/>
        <v>KN</v>
      </c>
      <c r="F274" s="54">
        <v>50</v>
      </c>
      <c r="G274" s="54" t="s">
        <v>512</v>
      </c>
      <c r="J274" s="54" t="str">
        <f t="shared" si="12"/>
        <v>KNGUNG50</v>
      </c>
    </row>
    <row r="275" spans="1:10" hidden="1">
      <c r="A275" s="1647" t="s">
        <v>2258</v>
      </c>
      <c r="B275" s="1648" t="s">
        <v>1768</v>
      </c>
      <c r="C275" s="71" t="s">
        <v>2851</v>
      </c>
      <c r="D275" s="72" t="s">
        <v>2555</v>
      </c>
      <c r="E275" s="2016" t="str">
        <f t="shared" si="13"/>
        <v>KN</v>
      </c>
      <c r="F275" s="54">
        <v>50</v>
      </c>
      <c r="G275" s="54" t="s">
        <v>512</v>
      </c>
      <c r="J275" s="54" t="str">
        <f t="shared" si="12"/>
        <v>KNGUNG70</v>
      </c>
    </row>
    <row r="276" spans="1:10" hidden="1">
      <c r="A276" s="1647" t="s">
        <v>1429</v>
      </c>
      <c r="B276" s="75"/>
      <c r="C276" s="71" t="s">
        <v>4761</v>
      </c>
      <c r="D276" s="72" t="s">
        <v>2555</v>
      </c>
      <c r="E276" s="2016" t="str">
        <f t="shared" si="13"/>
        <v>KN</v>
      </c>
      <c r="F276" s="54">
        <v>50</v>
      </c>
      <c r="G276" s="54" t="s">
        <v>512</v>
      </c>
      <c r="J276" s="54" t="str">
        <f t="shared" si="12"/>
        <v>KNGUNG95</v>
      </c>
    </row>
    <row r="277" spans="1:10" hidden="1">
      <c r="A277" s="1647" t="s">
        <v>1428</v>
      </c>
      <c r="B277" s="75"/>
      <c r="C277" s="71" t="s">
        <v>2852</v>
      </c>
      <c r="D277" s="72" t="s">
        <v>2555</v>
      </c>
      <c r="E277" s="2016" t="str">
        <f t="shared" si="13"/>
        <v>KN</v>
      </c>
      <c r="F277" s="54">
        <v>50</v>
      </c>
      <c r="G277" s="54" t="s">
        <v>512</v>
      </c>
      <c r="J277" s="54" t="str">
        <f t="shared" si="12"/>
        <v>KNGUNG120</v>
      </c>
    </row>
    <row r="278" spans="1:10" hidden="1">
      <c r="A278" s="1647" t="s">
        <v>2219</v>
      </c>
      <c r="B278" s="75"/>
      <c r="C278" s="71" t="s">
        <v>2853</v>
      </c>
      <c r="D278" s="72" t="s">
        <v>2555</v>
      </c>
      <c r="E278" s="2016" t="str">
        <f t="shared" si="13"/>
        <v>KN</v>
      </c>
      <c r="F278" s="54">
        <v>50</v>
      </c>
      <c r="G278" s="54" t="s">
        <v>512</v>
      </c>
      <c r="J278" s="54" t="str">
        <f t="shared" si="12"/>
        <v>KNGUNG150</v>
      </c>
    </row>
    <row r="279" spans="1:10" hidden="1">
      <c r="A279" s="71" t="s">
        <v>1813</v>
      </c>
      <c r="B279" s="1642"/>
      <c r="C279" s="71" t="s">
        <v>2854</v>
      </c>
      <c r="D279" s="72" t="s">
        <v>2555</v>
      </c>
      <c r="E279" s="2016" t="str">
        <f t="shared" si="13"/>
        <v>Ho</v>
      </c>
      <c r="F279" s="54">
        <v>50</v>
      </c>
      <c r="G279" s="54" t="s">
        <v>512</v>
      </c>
      <c r="J279" s="54" t="str">
        <f t="shared" si="12"/>
        <v>Hopcap240</v>
      </c>
    </row>
    <row r="280" spans="1:10" hidden="1">
      <c r="A280" s="71" t="s">
        <v>1839</v>
      </c>
      <c r="B280" s="1642"/>
      <c r="C280" s="71" t="s">
        <v>2855</v>
      </c>
      <c r="D280" s="72" t="s">
        <v>2555</v>
      </c>
      <c r="E280" s="2016" t="str">
        <f t="shared" si="13"/>
        <v>Ho</v>
      </c>
      <c r="F280" s="54">
        <v>50</v>
      </c>
      <c r="G280" s="54" t="s">
        <v>512</v>
      </c>
      <c r="J280" s="54" t="str">
        <f t="shared" si="12"/>
        <v>Hopcap185</v>
      </c>
    </row>
    <row r="281" spans="1:10" hidden="1">
      <c r="A281" s="71" t="s">
        <v>1357</v>
      </c>
      <c r="B281" s="1642"/>
      <c r="C281" s="71" t="s">
        <v>2856</v>
      </c>
      <c r="D281" s="72" t="s">
        <v>2555</v>
      </c>
      <c r="E281" s="2016" t="str">
        <f t="shared" si="13"/>
        <v>Ho</v>
      </c>
      <c r="F281" s="54">
        <v>50</v>
      </c>
      <c r="G281" s="54" t="s">
        <v>512</v>
      </c>
      <c r="J281" s="54" t="str">
        <f t="shared" si="12"/>
        <v>Hopcap150</v>
      </c>
    </row>
    <row r="282" spans="1:10" hidden="1">
      <c r="A282" s="71" t="s">
        <v>582</v>
      </c>
      <c r="B282" s="1642"/>
      <c r="C282" s="71" t="s">
        <v>2857</v>
      </c>
      <c r="D282" s="72" t="s">
        <v>2555</v>
      </c>
      <c r="E282" s="2016" t="str">
        <f t="shared" si="13"/>
        <v>Ho</v>
      </c>
      <c r="F282" s="54">
        <v>50</v>
      </c>
      <c r="G282" s="54" t="s">
        <v>512</v>
      </c>
      <c r="J282" s="54" t="str">
        <f t="shared" si="12"/>
        <v>Hopcap120</v>
      </c>
    </row>
    <row r="283" spans="1:10" hidden="1">
      <c r="A283" s="71" t="s">
        <v>47</v>
      </c>
      <c r="B283" s="1642"/>
      <c r="C283" s="71" t="s">
        <v>2858</v>
      </c>
      <c r="D283" s="72" t="s">
        <v>2555</v>
      </c>
      <c r="E283" s="2016" t="str">
        <f t="shared" si="13"/>
        <v>Ho</v>
      </c>
      <c r="F283" s="54">
        <v>50</v>
      </c>
      <c r="G283" s="54" t="s">
        <v>512</v>
      </c>
      <c r="J283" s="54" t="str">
        <f t="shared" si="12"/>
        <v>Hopcap95</v>
      </c>
    </row>
    <row r="284" spans="1:10" hidden="1">
      <c r="A284" s="71" t="s">
        <v>787</v>
      </c>
      <c r="B284" s="1642"/>
      <c r="C284" s="71" t="s">
        <v>2859</v>
      </c>
      <c r="D284" s="72" t="s">
        <v>2555</v>
      </c>
      <c r="E284" s="2016" t="str">
        <f t="shared" si="13"/>
        <v>Ho</v>
      </c>
      <c r="F284" s="54">
        <v>50</v>
      </c>
      <c r="G284" s="54" t="s">
        <v>512</v>
      </c>
      <c r="J284" s="54" t="str">
        <f t="shared" si="12"/>
        <v>Hopcap70</v>
      </c>
    </row>
    <row r="285" spans="1:10" hidden="1">
      <c r="A285" s="71" t="s">
        <v>1053</v>
      </c>
      <c r="B285" s="1642"/>
      <c r="C285" s="71" t="s">
        <v>2860</v>
      </c>
      <c r="D285" s="72" t="s">
        <v>2555</v>
      </c>
      <c r="E285" s="2016" t="str">
        <f t="shared" si="13"/>
        <v>Ho</v>
      </c>
      <c r="F285" s="54">
        <v>50</v>
      </c>
      <c r="G285" s="54" t="s">
        <v>512</v>
      </c>
      <c r="J285" s="54" t="str">
        <f t="shared" si="12"/>
        <v>Hopcap50</v>
      </c>
    </row>
    <row r="286" spans="1:10" hidden="1">
      <c r="A286" s="1649" t="s">
        <v>1156</v>
      </c>
      <c r="B286" s="1648" t="s">
        <v>1768</v>
      </c>
      <c r="C286" s="71" t="s">
        <v>4874</v>
      </c>
      <c r="D286" s="72" t="s">
        <v>2555</v>
      </c>
      <c r="E286" s="2016" t="str">
        <f t="shared" si="13"/>
        <v>HO</v>
      </c>
      <c r="F286" s="54">
        <v>50</v>
      </c>
      <c r="G286" s="54" t="s">
        <v>512</v>
      </c>
      <c r="J286" s="54" t="str">
        <f t="shared" si="12"/>
        <v>HOP9C</v>
      </c>
    </row>
    <row r="287" spans="1:10" hidden="1">
      <c r="A287" s="1649" t="s">
        <v>1157</v>
      </c>
      <c r="B287" s="75"/>
      <c r="C287" s="71" t="s">
        <v>2861</v>
      </c>
      <c r="D287" s="72" t="s">
        <v>2555</v>
      </c>
      <c r="E287" s="2016" t="str">
        <f t="shared" si="13"/>
        <v>HO</v>
      </c>
      <c r="F287" s="54">
        <v>50</v>
      </c>
      <c r="G287" s="54" t="s">
        <v>512</v>
      </c>
      <c r="J287" s="54" t="str">
        <f t="shared" si="12"/>
        <v>HOP6C</v>
      </c>
    </row>
    <row r="288" spans="1:10" hidden="1">
      <c r="A288" s="71" t="s">
        <v>1110</v>
      </c>
      <c r="B288" s="1642"/>
      <c r="C288" s="71" t="s">
        <v>2862</v>
      </c>
      <c r="D288" s="72" t="s">
        <v>856</v>
      </c>
      <c r="E288" s="2016" t="str">
        <f t="shared" si="13"/>
        <v>BT</v>
      </c>
      <c r="F288" s="54">
        <v>50</v>
      </c>
      <c r="G288" s="54" t="s">
        <v>512</v>
      </c>
      <c r="J288" s="54" t="str">
        <f t="shared" si="12"/>
        <v>BTNN</v>
      </c>
    </row>
    <row r="289" spans="1:10" hidden="1">
      <c r="A289" s="71" t="s">
        <v>587</v>
      </c>
      <c r="B289" s="1642"/>
      <c r="C289" s="71" t="s">
        <v>2863</v>
      </c>
      <c r="D289" s="72" t="s">
        <v>856</v>
      </c>
      <c r="E289" s="2016" t="str">
        <f t="shared" si="13"/>
        <v>BT</v>
      </c>
      <c r="F289" s="54">
        <v>50</v>
      </c>
      <c r="G289" s="54" t="s">
        <v>512</v>
      </c>
      <c r="J289" s="54" t="str">
        <f t="shared" si="12"/>
        <v>BTNN min</v>
      </c>
    </row>
    <row r="290" spans="1:10" hidden="1">
      <c r="A290" s="71" t="s">
        <v>1217</v>
      </c>
      <c r="B290" s="1642" t="s">
        <v>2033</v>
      </c>
      <c r="C290" s="71" t="s">
        <v>2864</v>
      </c>
      <c r="D290" s="72" t="s">
        <v>1960</v>
      </c>
      <c r="E290" s="2016" t="str">
        <f t="shared" si="13"/>
        <v>BT</v>
      </c>
      <c r="F290" s="54">
        <v>50</v>
      </c>
      <c r="G290" s="54" t="s">
        <v>512</v>
      </c>
      <c r="J290" s="54" t="str">
        <f t="shared" si="12"/>
        <v>BTNN-TL</v>
      </c>
    </row>
    <row r="291" spans="1:10" hidden="1">
      <c r="A291" s="71" t="s">
        <v>130</v>
      </c>
      <c r="B291" s="1642" t="s">
        <v>908</v>
      </c>
      <c r="C291" s="71" t="s">
        <v>2865</v>
      </c>
      <c r="D291" s="72" t="s">
        <v>1960</v>
      </c>
      <c r="E291" s="2016" t="str">
        <f t="shared" si="13"/>
        <v>BT</v>
      </c>
      <c r="F291" s="54">
        <v>50</v>
      </c>
      <c r="G291" s="54" t="s">
        <v>512</v>
      </c>
      <c r="J291" s="54" t="str">
        <f t="shared" si="12"/>
        <v>BTNN-TL min</v>
      </c>
    </row>
    <row r="292" spans="1:10" hidden="1">
      <c r="A292" s="71" t="s">
        <v>1064</v>
      </c>
      <c r="B292" s="75" t="s">
        <v>153</v>
      </c>
      <c r="C292" s="71" t="s">
        <v>1065</v>
      </c>
      <c r="D292" s="72" t="s">
        <v>1960</v>
      </c>
      <c r="E292" s="2016" t="str">
        <f t="shared" si="13"/>
        <v>BT</v>
      </c>
      <c r="F292" s="54">
        <v>50</v>
      </c>
      <c r="G292" s="54" t="s">
        <v>512</v>
      </c>
      <c r="J292" s="54" t="str">
        <f t="shared" si="12"/>
        <v>BT</v>
      </c>
    </row>
    <row r="293" spans="1:10" hidden="1">
      <c r="A293" s="1647" t="s">
        <v>2220</v>
      </c>
      <c r="B293" s="75"/>
      <c r="C293" s="71" t="s">
        <v>2866</v>
      </c>
      <c r="D293" s="72" t="s">
        <v>2555</v>
      </c>
      <c r="E293" s="2016" t="str">
        <f t="shared" si="13"/>
        <v>BI</v>
      </c>
      <c r="F293" s="54">
        <v>50</v>
      </c>
      <c r="G293" s="54" t="s">
        <v>512</v>
      </c>
      <c r="J293" s="54" t="str">
        <f t="shared" si="12"/>
        <v>BIT150</v>
      </c>
    </row>
    <row r="294" spans="1:10" hidden="1">
      <c r="A294" s="1647" t="s">
        <v>314</v>
      </c>
      <c r="B294" s="75"/>
      <c r="C294" s="71" t="s">
        <v>2867</v>
      </c>
      <c r="D294" s="72" t="s">
        <v>2555</v>
      </c>
      <c r="E294" s="2016" t="str">
        <f t="shared" si="13"/>
        <v>BI</v>
      </c>
      <c r="F294" s="54">
        <v>50</v>
      </c>
      <c r="G294" s="54" t="s">
        <v>512</v>
      </c>
      <c r="J294" s="54" t="str">
        <f t="shared" si="12"/>
        <v>BIT120</v>
      </c>
    </row>
    <row r="295" spans="1:10" hidden="1">
      <c r="A295" s="1647" t="s">
        <v>858</v>
      </c>
      <c r="B295" s="75"/>
      <c r="C295" s="71" t="s">
        <v>2868</v>
      </c>
      <c r="D295" s="72" t="s">
        <v>2555</v>
      </c>
      <c r="E295" s="2016" t="str">
        <f t="shared" si="13"/>
        <v>BI</v>
      </c>
      <c r="F295" s="54">
        <v>50</v>
      </c>
      <c r="G295" s="54" t="s">
        <v>512</v>
      </c>
      <c r="J295" s="54" t="str">
        <f t="shared" si="12"/>
        <v>BIT95</v>
      </c>
    </row>
    <row r="296" spans="1:10" hidden="1">
      <c r="A296" s="1647" t="s">
        <v>859</v>
      </c>
      <c r="B296" s="75"/>
      <c r="C296" s="71" t="s">
        <v>2869</v>
      </c>
      <c r="D296" s="72" t="s">
        <v>2555</v>
      </c>
      <c r="E296" s="2016" t="str">
        <f t="shared" si="13"/>
        <v>BI</v>
      </c>
      <c r="F296" s="54">
        <v>50</v>
      </c>
      <c r="G296" s="54" t="s">
        <v>512</v>
      </c>
      <c r="J296" s="54" t="str">
        <f t="shared" si="12"/>
        <v>BIT70</v>
      </c>
    </row>
    <row r="297" spans="1:10" hidden="1">
      <c r="A297" s="1647" t="s">
        <v>860</v>
      </c>
      <c r="B297" s="75"/>
      <c r="C297" s="71" t="s">
        <v>2870</v>
      </c>
      <c r="D297" s="72" t="s">
        <v>2555</v>
      </c>
      <c r="E297" s="2016" t="str">
        <f t="shared" si="13"/>
        <v>BI</v>
      </c>
      <c r="F297" s="54">
        <v>50</v>
      </c>
      <c r="G297" s="54" t="s">
        <v>512</v>
      </c>
      <c r="J297" s="54" t="str">
        <f t="shared" si="12"/>
        <v>BIT50</v>
      </c>
    </row>
    <row r="298" spans="1:10" hidden="1">
      <c r="A298" s="1647" t="s">
        <v>4291</v>
      </c>
      <c r="B298" s="75"/>
      <c r="C298" s="71" t="s">
        <v>2562</v>
      </c>
      <c r="D298" s="72" t="s">
        <v>2555</v>
      </c>
      <c r="E298" s="2016" t="str">
        <f t="shared" si="13"/>
        <v>BI</v>
      </c>
      <c r="F298" s="54">
        <v>50</v>
      </c>
      <c r="G298" s="54" t="s">
        <v>512</v>
      </c>
      <c r="J298" s="54" t="str">
        <f t="shared" si="12"/>
        <v>BIT35</v>
      </c>
    </row>
    <row r="299" spans="1:10" hidden="1">
      <c r="A299" s="71" t="s">
        <v>4323</v>
      </c>
      <c r="B299" s="75"/>
      <c r="C299" s="71" t="s">
        <v>4322</v>
      </c>
      <c r="D299" s="72" t="s">
        <v>2555</v>
      </c>
      <c r="E299" s="2016" t="str">
        <f t="shared" si="13"/>
        <v>KE</v>
      </c>
      <c r="F299" s="54">
        <v>50</v>
      </c>
      <c r="G299" s="54" t="s">
        <v>512</v>
      </c>
      <c r="J299" s="54" t="str">
        <f t="shared" si="12"/>
        <v>KE399</v>
      </c>
    </row>
    <row r="300" spans="1:10" hidden="1">
      <c r="A300" s="71" t="s">
        <v>1115</v>
      </c>
      <c r="B300" s="75"/>
      <c r="C300" s="71" t="s">
        <v>2871</v>
      </c>
      <c r="D300" s="72" t="s">
        <v>2555</v>
      </c>
      <c r="E300" s="2016" t="str">
        <f t="shared" si="13"/>
        <v>KE</v>
      </c>
      <c r="F300" s="54">
        <v>50</v>
      </c>
      <c r="G300" s="54" t="s">
        <v>512</v>
      </c>
      <c r="J300" s="54" t="str">
        <f t="shared" si="12"/>
        <v>KE25</v>
      </c>
    </row>
    <row r="301" spans="1:10" hidden="1">
      <c r="A301" s="71" t="s">
        <v>239</v>
      </c>
      <c r="B301" s="75"/>
      <c r="C301" s="71" t="s">
        <v>2872</v>
      </c>
      <c r="D301" s="72" t="s">
        <v>2555</v>
      </c>
      <c r="E301" s="2016" t="str">
        <f t="shared" si="13"/>
        <v>KE</v>
      </c>
      <c r="F301" s="54">
        <v>50</v>
      </c>
      <c r="G301" s="54" t="s">
        <v>512</v>
      </c>
      <c r="J301" s="54" t="str">
        <f t="shared" si="12"/>
        <v>KE35</v>
      </c>
    </row>
    <row r="302" spans="1:10" hidden="1">
      <c r="A302" s="71" t="s">
        <v>1579</v>
      </c>
      <c r="B302" s="75"/>
      <c r="C302" s="71" t="s">
        <v>2873</v>
      </c>
      <c r="D302" s="72" t="s">
        <v>2555</v>
      </c>
      <c r="E302" s="2016" t="str">
        <f t="shared" si="13"/>
        <v>KE</v>
      </c>
      <c r="F302" s="54">
        <v>50</v>
      </c>
      <c r="G302" s="54" t="s">
        <v>512</v>
      </c>
      <c r="J302" s="54" t="str">
        <f t="shared" si="12"/>
        <v>KE50</v>
      </c>
    </row>
    <row r="303" spans="1:10" hidden="1">
      <c r="A303" s="71" t="s">
        <v>1580</v>
      </c>
      <c r="B303" s="75"/>
      <c r="C303" s="71" t="s">
        <v>2874</v>
      </c>
      <c r="D303" s="72" t="s">
        <v>2555</v>
      </c>
      <c r="E303" s="2016" t="str">
        <f t="shared" si="13"/>
        <v>KE</v>
      </c>
      <c r="F303" s="54">
        <v>50</v>
      </c>
      <c r="G303" s="54" t="s">
        <v>512</v>
      </c>
      <c r="J303" s="54" t="str">
        <f t="shared" si="12"/>
        <v>KE70</v>
      </c>
    </row>
    <row r="304" spans="1:10" hidden="1">
      <c r="A304" s="71" t="s">
        <v>240</v>
      </c>
      <c r="B304" s="75"/>
      <c r="C304" s="71" t="s">
        <v>2875</v>
      </c>
      <c r="D304" s="72" t="s">
        <v>2555</v>
      </c>
      <c r="E304" s="2016" t="str">
        <f t="shared" si="13"/>
        <v>KE</v>
      </c>
      <c r="F304" s="54">
        <v>50</v>
      </c>
      <c r="G304" s="54" t="s">
        <v>512</v>
      </c>
      <c r="J304" s="54" t="str">
        <f t="shared" si="12"/>
        <v>KE95</v>
      </c>
    </row>
    <row r="305" spans="1:10" hidden="1">
      <c r="A305" s="71" t="s">
        <v>241</v>
      </c>
      <c r="B305" s="75"/>
      <c r="C305" s="71" t="s">
        <v>2876</v>
      </c>
      <c r="D305" s="72" t="s">
        <v>2555</v>
      </c>
      <c r="E305" s="2016" t="str">
        <f t="shared" si="13"/>
        <v>KE</v>
      </c>
      <c r="F305" s="54">
        <v>50</v>
      </c>
      <c r="G305" s="54" t="s">
        <v>512</v>
      </c>
      <c r="J305" s="54" t="str">
        <f t="shared" si="12"/>
        <v>KE120</v>
      </c>
    </row>
    <row r="306" spans="1:10" hidden="1">
      <c r="A306" s="71" t="s">
        <v>16</v>
      </c>
      <c r="B306" s="75"/>
      <c r="C306" s="71" t="s">
        <v>2877</v>
      </c>
      <c r="D306" s="72" t="s">
        <v>2555</v>
      </c>
      <c r="E306" s="2016" t="str">
        <f t="shared" si="13"/>
        <v>KE</v>
      </c>
      <c r="F306" s="54">
        <v>50</v>
      </c>
      <c r="G306" s="54" t="s">
        <v>512</v>
      </c>
      <c r="J306" s="54" t="str">
        <f t="shared" si="12"/>
        <v>KE150</v>
      </c>
    </row>
    <row r="307" spans="1:10" hidden="1">
      <c r="A307" s="71" t="s">
        <v>708</v>
      </c>
      <c r="B307" s="75"/>
      <c r="C307" s="71" t="s">
        <v>2878</v>
      </c>
      <c r="D307" s="72" t="s">
        <v>2555</v>
      </c>
      <c r="E307" s="2016" t="str">
        <f t="shared" si="13"/>
        <v>KE</v>
      </c>
      <c r="F307" s="54">
        <v>50</v>
      </c>
      <c r="G307" s="54" t="s">
        <v>512</v>
      </c>
      <c r="J307" s="54" t="str">
        <f t="shared" si="12"/>
        <v>KE185</v>
      </c>
    </row>
    <row r="308" spans="1:10" hidden="1">
      <c r="A308" s="71" t="s">
        <v>709</v>
      </c>
      <c r="B308" s="75"/>
      <c r="C308" s="71" t="s">
        <v>2879</v>
      </c>
      <c r="D308" s="72" t="s">
        <v>2555</v>
      </c>
      <c r="E308" s="2016" t="str">
        <f t="shared" si="13"/>
        <v>KE</v>
      </c>
      <c r="F308" s="54">
        <v>50</v>
      </c>
      <c r="G308" s="54" t="s">
        <v>512</v>
      </c>
      <c r="J308" s="54" t="str">
        <f t="shared" si="12"/>
        <v>KE240</v>
      </c>
    </row>
    <row r="309" spans="1:10" hidden="1">
      <c r="A309" s="71" t="s">
        <v>1478</v>
      </c>
      <c r="B309" s="1642"/>
      <c r="C309" s="71" t="s">
        <v>2880</v>
      </c>
      <c r="D309" s="72" t="s">
        <v>2555</v>
      </c>
      <c r="E309" s="2016" t="str">
        <f t="shared" si="13"/>
        <v>KC</v>
      </c>
      <c r="F309" s="54">
        <v>50</v>
      </c>
      <c r="G309" s="54" t="s">
        <v>512</v>
      </c>
      <c r="J309" s="54" t="str">
        <f t="shared" si="12"/>
        <v>KCUAL</v>
      </c>
    </row>
    <row r="310" spans="1:10" hidden="1">
      <c r="A310" s="71" t="s">
        <v>1873</v>
      </c>
      <c r="B310" s="1642"/>
      <c r="C310" s="71" t="s">
        <v>2881</v>
      </c>
      <c r="D310" s="72" t="s">
        <v>2555</v>
      </c>
      <c r="E310" s="2016" t="str">
        <f t="shared" si="13"/>
        <v>KC</v>
      </c>
      <c r="F310" s="54">
        <v>50</v>
      </c>
      <c r="G310" s="54" t="s">
        <v>512</v>
      </c>
      <c r="J310" s="54" t="str">
        <f t="shared" si="12"/>
        <v>KCUAL60</v>
      </c>
    </row>
    <row r="311" spans="1:10" hidden="1">
      <c r="A311" s="71" t="s">
        <v>1479</v>
      </c>
      <c r="B311" s="75" t="s">
        <v>1757</v>
      </c>
      <c r="C311" s="71" t="s">
        <v>3791</v>
      </c>
      <c r="D311" s="72" t="s">
        <v>2555</v>
      </c>
      <c r="E311" s="2016" t="str">
        <f>LEFT(A311,2)</f>
        <v>KQ</v>
      </c>
      <c r="F311" s="54">
        <v>50</v>
      </c>
      <c r="G311" s="54" t="s">
        <v>512</v>
      </c>
      <c r="J311" s="54" t="str">
        <f t="shared" si="12"/>
        <v>KQ2/0</v>
      </c>
    </row>
    <row r="312" spans="1:10" hidden="1">
      <c r="A312" s="71" t="s">
        <v>6527</v>
      </c>
      <c r="B312" s="75" t="s">
        <v>1757</v>
      </c>
      <c r="C312" s="71" t="s">
        <v>4345</v>
      </c>
      <c r="D312" s="72" t="s">
        <v>2439</v>
      </c>
      <c r="E312" s="2016" t="str">
        <f t="shared" si="13"/>
        <v>KQ</v>
      </c>
      <c r="F312" s="54">
        <v>50</v>
      </c>
      <c r="G312" s="54" t="s">
        <v>512</v>
      </c>
      <c r="J312" s="54" t="str">
        <f t="shared" si="12"/>
        <v>KQ2/0-C</v>
      </c>
    </row>
    <row r="313" spans="1:10" hidden="1">
      <c r="A313" s="71" t="s">
        <v>236</v>
      </c>
      <c r="B313" s="75" t="s">
        <v>1757</v>
      </c>
      <c r="C313" s="71" t="s">
        <v>2882</v>
      </c>
      <c r="D313" s="72" t="s">
        <v>2555</v>
      </c>
      <c r="E313" s="2016" t="str">
        <f t="shared" si="13"/>
        <v>KQ</v>
      </c>
      <c r="F313" s="54">
        <v>50</v>
      </c>
      <c r="G313" s="54" t="s">
        <v>512</v>
      </c>
      <c r="J313" s="54" t="str">
        <f t="shared" si="12"/>
        <v>KQ4/0</v>
      </c>
    </row>
    <row r="314" spans="1:10" hidden="1">
      <c r="A314" s="71" t="s">
        <v>6526</v>
      </c>
      <c r="B314" s="75" t="s">
        <v>1757</v>
      </c>
      <c r="C314" s="71" t="s">
        <v>4494</v>
      </c>
      <c r="D314" s="72" t="s">
        <v>2555</v>
      </c>
      <c r="E314" s="2016" t="str">
        <f>LEFT(A314,2)</f>
        <v>KQ</v>
      </c>
      <c r="F314" s="54">
        <v>50</v>
      </c>
      <c r="G314" s="54" t="s">
        <v>512</v>
      </c>
      <c r="J314" s="54" t="str">
        <f t="shared" si="12"/>
        <v>KQ4/0-C</v>
      </c>
    </row>
    <row r="315" spans="1:10" hidden="1">
      <c r="A315" s="71" t="s">
        <v>1477</v>
      </c>
      <c r="B315" s="75" t="s">
        <v>1757</v>
      </c>
      <c r="C315" s="71" t="s">
        <v>4335</v>
      </c>
      <c r="D315" s="72" t="s">
        <v>2555</v>
      </c>
      <c r="E315" s="2016" t="str">
        <f t="shared" si="13"/>
        <v>KH</v>
      </c>
      <c r="F315" s="54">
        <v>50</v>
      </c>
      <c r="G315" s="54" t="s">
        <v>512</v>
      </c>
      <c r="J315" s="54" t="str">
        <f t="shared" si="12"/>
        <v>KH2/0</v>
      </c>
    </row>
    <row r="316" spans="1:10" hidden="1">
      <c r="A316" s="71" t="s">
        <v>1049</v>
      </c>
      <c r="B316" s="75" t="s">
        <v>1757</v>
      </c>
      <c r="C316" s="71" t="s">
        <v>2883</v>
      </c>
      <c r="D316" s="72" t="s">
        <v>2555</v>
      </c>
      <c r="E316" s="2016" t="str">
        <f t="shared" si="13"/>
        <v>KH</v>
      </c>
      <c r="F316" s="54">
        <v>50</v>
      </c>
      <c r="G316" s="54" t="s">
        <v>512</v>
      </c>
      <c r="J316" s="54" t="str">
        <f t="shared" si="12"/>
        <v>KH4/0</v>
      </c>
    </row>
    <row r="317" spans="1:10" hidden="1">
      <c r="A317" s="71" t="s">
        <v>1670</v>
      </c>
      <c r="B317" s="75" t="s">
        <v>1757</v>
      </c>
      <c r="C317" s="71" t="s">
        <v>2884</v>
      </c>
      <c r="D317" s="72" t="s">
        <v>2555</v>
      </c>
      <c r="E317" s="2016" t="str">
        <f t="shared" si="13"/>
        <v>KH</v>
      </c>
      <c r="F317" s="54">
        <v>50</v>
      </c>
      <c r="G317" s="54" t="s">
        <v>512</v>
      </c>
      <c r="J317" s="54" t="str">
        <f t="shared" si="12"/>
        <v>KH350M</v>
      </c>
    </row>
    <row r="318" spans="1:10" hidden="1">
      <c r="A318" s="71" t="s">
        <v>955</v>
      </c>
      <c r="B318" s="1642"/>
      <c r="C318" s="71" t="s">
        <v>2885</v>
      </c>
      <c r="D318" s="72" t="s">
        <v>2555</v>
      </c>
      <c r="E318" s="2016" t="str">
        <f t="shared" si="13"/>
        <v>KE</v>
      </c>
      <c r="F318" s="54">
        <v>50</v>
      </c>
      <c r="G318" s="54" t="s">
        <v>512</v>
      </c>
      <c r="J318" s="54" t="str">
        <f t="shared" si="12"/>
        <v>KEU35</v>
      </c>
    </row>
    <row r="319" spans="1:10" hidden="1">
      <c r="A319" s="71" t="s">
        <v>2161</v>
      </c>
      <c r="B319" s="1642"/>
      <c r="C319" s="71" t="s">
        <v>2886</v>
      </c>
      <c r="D319" s="72" t="s">
        <v>2555</v>
      </c>
      <c r="E319" s="2016" t="str">
        <f t="shared" si="13"/>
        <v>KE</v>
      </c>
      <c r="F319" s="54">
        <v>50</v>
      </c>
      <c r="G319" s="54" t="s">
        <v>512</v>
      </c>
      <c r="J319" s="54" t="str">
        <f t="shared" si="12"/>
        <v>KEU50</v>
      </c>
    </row>
    <row r="320" spans="1:10" hidden="1">
      <c r="A320" s="71" t="s">
        <v>2162</v>
      </c>
      <c r="B320" s="1642"/>
      <c r="C320" s="71" t="s">
        <v>2887</v>
      </c>
      <c r="D320" s="72" t="s">
        <v>2555</v>
      </c>
      <c r="E320" s="2016" t="str">
        <f t="shared" si="13"/>
        <v>KE</v>
      </c>
      <c r="F320" s="54">
        <v>50</v>
      </c>
      <c r="G320" s="54" t="s">
        <v>512</v>
      </c>
      <c r="J320" s="54" t="str">
        <f t="shared" si="12"/>
        <v>KEU70</v>
      </c>
    </row>
    <row r="321" spans="1:10" hidden="1">
      <c r="A321" s="71" t="s">
        <v>1598</v>
      </c>
      <c r="B321" s="1642"/>
      <c r="C321" s="71" t="s">
        <v>2888</v>
      </c>
      <c r="D321" s="72" t="s">
        <v>2555</v>
      </c>
      <c r="E321" s="2016" t="str">
        <f t="shared" si="13"/>
        <v>KE</v>
      </c>
      <c r="F321" s="54">
        <v>50</v>
      </c>
      <c r="G321" s="54" t="s">
        <v>512</v>
      </c>
      <c r="J321" s="54" t="str">
        <f t="shared" si="12"/>
        <v>KEU95</v>
      </c>
    </row>
    <row r="322" spans="1:10" hidden="1">
      <c r="A322" s="1643" t="s">
        <v>1852</v>
      </c>
      <c r="B322" s="75"/>
      <c r="C322" s="71" t="s">
        <v>2889</v>
      </c>
      <c r="D322" s="72" t="s">
        <v>2555</v>
      </c>
      <c r="E322" s="2016" t="str">
        <f t="shared" si="13"/>
        <v>Kd</v>
      </c>
      <c r="F322" s="54">
        <v>50</v>
      </c>
      <c r="G322" s="54" t="s">
        <v>512</v>
      </c>
      <c r="J322" s="54" t="str">
        <f t="shared" si="12"/>
        <v>Kd50</v>
      </c>
    </row>
    <row r="323" spans="1:10" hidden="1">
      <c r="A323" s="1643" t="s">
        <v>359</v>
      </c>
      <c r="B323" s="75"/>
      <c r="C323" s="71" t="s">
        <v>2890</v>
      </c>
      <c r="D323" s="72" t="s">
        <v>2555</v>
      </c>
      <c r="E323" s="2016" t="str">
        <f t="shared" si="13"/>
        <v>Kd</v>
      </c>
      <c r="F323" s="54">
        <v>50</v>
      </c>
      <c r="G323" s="54" t="s">
        <v>512</v>
      </c>
      <c r="J323" s="54" t="str">
        <f t="shared" si="12"/>
        <v>Kd70</v>
      </c>
    </row>
    <row r="324" spans="1:10" hidden="1">
      <c r="A324" s="1643" t="s">
        <v>2254</v>
      </c>
      <c r="B324" s="75"/>
      <c r="C324" s="71" t="s">
        <v>2891</v>
      </c>
      <c r="D324" s="72" t="s">
        <v>2555</v>
      </c>
      <c r="E324" s="2016" t="str">
        <f t="shared" si="13"/>
        <v>Kd</v>
      </c>
      <c r="F324" s="54">
        <v>50</v>
      </c>
      <c r="G324" s="54" t="s">
        <v>512</v>
      </c>
      <c r="J324" s="54" t="str">
        <f t="shared" si="12"/>
        <v>Kd95</v>
      </c>
    </row>
    <row r="325" spans="1:10" hidden="1">
      <c r="A325" s="1643" t="s">
        <v>2255</v>
      </c>
      <c r="B325" s="75"/>
      <c r="C325" s="71" t="s">
        <v>2892</v>
      </c>
      <c r="D325" s="72" t="s">
        <v>2555</v>
      </c>
      <c r="E325" s="2016" t="str">
        <f t="shared" si="13"/>
        <v>Kd</v>
      </c>
      <c r="F325" s="54">
        <v>50</v>
      </c>
      <c r="G325" s="54" t="s">
        <v>512</v>
      </c>
      <c r="J325" s="54" t="str">
        <f t="shared" si="12"/>
        <v>Kd120</v>
      </c>
    </row>
    <row r="326" spans="1:10" hidden="1">
      <c r="A326" s="1643" t="s">
        <v>329</v>
      </c>
      <c r="B326" s="75"/>
      <c r="C326" s="71" t="s">
        <v>2893</v>
      </c>
      <c r="D326" s="72" t="s">
        <v>2555</v>
      </c>
      <c r="E326" s="2016" t="str">
        <f t="shared" si="13"/>
        <v>Kd</v>
      </c>
      <c r="F326" s="54">
        <v>50</v>
      </c>
      <c r="G326" s="54" t="s">
        <v>512</v>
      </c>
      <c r="J326" s="54" t="str">
        <f t="shared" si="12"/>
        <v>Kd150</v>
      </c>
    </row>
    <row r="327" spans="1:10" hidden="1">
      <c r="A327" s="1643" t="s">
        <v>330</v>
      </c>
      <c r="B327" s="75"/>
      <c r="C327" s="71" t="s">
        <v>2894</v>
      </c>
      <c r="D327" s="72" t="s">
        <v>2555</v>
      </c>
      <c r="E327" s="2016" t="str">
        <f t="shared" si="13"/>
        <v>Kd</v>
      </c>
      <c r="F327" s="54">
        <v>50</v>
      </c>
      <c r="G327" s="54" t="s">
        <v>512</v>
      </c>
      <c r="J327" s="54" t="str">
        <f t="shared" si="12"/>
        <v>Kd185</v>
      </c>
    </row>
    <row r="328" spans="1:10" hidden="1">
      <c r="A328" s="1643" t="s">
        <v>331</v>
      </c>
      <c r="B328" s="75"/>
      <c r="C328" s="71" t="s">
        <v>2895</v>
      </c>
      <c r="D328" s="72" t="s">
        <v>2555</v>
      </c>
      <c r="E328" s="2016" t="str">
        <f t="shared" si="13"/>
        <v>Kd</v>
      </c>
      <c r="F328" s="54">
        <v>50</v>
      </c>
      <c r="G328" s="54" t="s">
        <v>512</v>
      </c>
      <c r="J328" s="54" t="str">
        <f t="shared" si="12"/>
        <v>Kd240</v>
      </c>
    </row>
    <row r="329" spans="1:10" hidden="1">
      <c r="A329" s="1643" t="s">
        <v>1480</v>
      </c>
      <c r="B329" s="75"/>
      <c r="C329" s="71" t="s">
        <v>2896</v>
      </c>
      <c r="D329" s="72" t="s">
        <v>2555</v>
      </c>
      <c r="E329" s="2016" t="str">
        <f t="shared" si="13"/>
        <v>KD</v>
      </c>
      <c r="F329" s="54">
        <v>50</v>
      </c>
      <c r="G329" s="54" t="s">
        <v>512</v>
      </c>
      <c r="J329" s="54" t="str">
        <f t="shared" si="12"/>
        <v>KD357</v>
      </c>
    </row>
    <row r="330" spans="1:10" hidden="1">
      <c r="A330" s="1643" t="s">
        <v>2253</v>
      </c>
      <c r="B330" s="75"/>
      <c r="C330" s="71" t="s">
        <v>2897</v>
      </c>
      <c r="D330" s="72" t="s">
        <v>2555</v>
      </c>
      <c r="E330" s="2016" t="str">
        <f t="shared" si="13"/>
        <v>KD</v>
      </c>
      <c r="F330" s="54">
        <v>50</v>
      </c>
      <c r="G330" s="54" t="s">
        <v>512</v>
      </c>
      <c r="J330" s="54" t="str">
        <f t="shared" si="12"/>
        <v>KD912</v>
      </c>
    </row>
    <row r="331" spans="1:10" hidden="1">
      <c r="A331" s="1643" t="s">
        <v>1673</v>
      </c>
      <c r="B331" s="75"/>
      <c r="C331" s="71" t="s">
        <v>2898</v>
      </c>
      <c r="D331" s="72" t="s">
        <v>2555</v>
      </c>
      <c r="E331" s="2016" t="str">
        <f t="shared" si="13"/>
        <v>KD</v>
      </c>
      <c r="F331" s="54">
        <v>50</v>
      </c>
      <c r="G331" s="54" t="s">
        <v>512</v>
      </c>
      <c r="J331" s="54" t="str">
        <f t="shared" ref="J331:J403" si="14">A331</f>
        <v>KD158</v>
      </c>
    </row>
    <row r="332" spans="1:10" hidden="1">
      <c r="A332" s="71" t="s">
        <v>479</v>
      </c>
      <c r="B332" s="1642"/>
      <c r="C332" s="71" t="s">
        <v>2899</v>
      </c>
      <c r="D332" s="72" t="s">
        <v>2555</v>
      </c>
      <c r="E332" s="2016" t="str">
        <f t="shared" si="13"/>
        <v>KN</v>
      </c>
      <c r="F332" s="54">
        <v>50</v>
      </c>
      <c r="G332" s="54" t="s">
        <v>512</v>
      </c>
      <c r="J332" s="54" t="str">
        <f t="shared" si="14"/>
        <v>KN35</v>
      </c>
    </row>
    <row r="333" spans="1:10" hidden="1">
      <c r="A333" s="71" t="s">
        <v>1482</v>
      </c>
      <c r="B333" s="1642"/>
      <c r="C333" s="71" t="s">
        <v>2900</v>
      </c>
      <c r="D333" s="72" t="s">
        <v>2555</v>
      </c>
      <c r="E333" s="2016" t="str">
        <f t="shared" si="13"/>
        <v>KN</v>
      </c>
      <c r="F333" s="54">
        <v>50</v>
      </c>
      <c r="G333" s="54" t="s">
        <v>512</v>
      </c>
      <c r="J333" s="54" t="str">
        <f t="shared" si="14"/>
        <v>KN50</v>
      </c>
    </row>
    <row r="334" spans="1:10" hidden="1">
      <c r="A334" s="1643" t="s">
        <v>2231</v>
      </c>
      <c r="B334" s="75"/>
      <c r="C334" s="71" t="s">
        <v>2901</v>
      </c>
      <c r="D334" s="72" t="s">
        <v>2555</v>
      </c>
      <c r="E334" s="2016" t="str">
        <f t="shared" si="13"/>
        <v>KN</v>
      </c>
      <c r="F334" s="54">
        <v>50</v>
      </c>
      <c r="G334" s="54" t="s">
        <v>512</v>
      </c>
      <c r="J334" s="54" t="str">
        <f t="shared" si="14"/>
        <v>KN70</v>
      </c>
    </row>
    <row r="335" spans="1:10" hidden="1">
      <c r="A335" s="1643" t="s">
        <v>1257</v>
      </c>
      <c r="B335" s="75"/>
      <c r="C335" s="71" t="s">
        <v>2902</v>
      </c>
      <c r="D335" s="72" t="s">
        <v>2555</v>
      </c>
      <c r="E335" s="2016" t="str">
        <f t="shared" si="13"/>
        <v>KN</v>
      </c>
      <c r="F335" s="54">
        <v>50</v>
      </c>
      <c r="G335" s="54" t="s">
        <v>512</v>
      </c>
      <c r="J335" s="54" t="str">
        <f t="shared" si="14"/>
        <v>KN95</v>
      </c>
    </row>
    <row r="336" spans="1:10" hidden="1">
      <c r="A336" s="1643" t="s">
        <v>431</v>
      </c>
      <c r="B336" s="75"/>
      <c r="C336" s="71" t="s">
        <v>2903</v>
      </c>
      <c r="D336" s="72" t="s">
        <v>2555</v>
      </c>
      <c r="E336" s="2016" t="str">
        <f t="shared" si="13"/>
        <v>KN</v>
      </c>
      <c r="F336" s="54">
        <v>50</v>
      </c>
      <c r="G336" s="54" t="s">
        <v>512</v>
      </c>
      <c r="J336" s="54" t="str">
        <f t="shared" si="14"/>
        <v>KN120</v>
      </c>
    </row>
    <row r="337" spans="1:10" hidden="1">
      <c r="A337" s="1643" t="s">
        <v>2109</v>
      </c>
      <c r="B337" s="75"/>
      <c r="C337" s="71" t="s">
        <v>2904</v>
      </c>
      <c r="D337" s="72" t="s">
        <v>2555</v>
      </c>
      <c r="E337" s="2016" t="str">
        <f t="shared" si="13"/>
        <v>KN</v>
      </c>
      <c r="F337" s="54">
        <v>50</v>
      </c>
      <c r="G337" s="54" t="s">
        <v>512</v>
      </c>
      <c r="J337" s="54" t="str">
        <f t="shared" si="14"/>
        <v>KN150</v>
      </c>
    </row>
    <row r="338" spans="1:10" hidden="1">
      <c r="A338" s="1643" t="s">
        <v>1742</v>
      </c>
      <c r="B338" s="75"/>
      <c r="C338" s="71" t="s">
        <v>2905</v>
      </c>
      <c r="D338" s="72" t="s">
        <v>2555</v>
      </c>
      <c r="E338" s="2016" t="str">
        <f t="shared" ref="E338:E423" si="15">LEFT(A338,2)</f>
        <v>KN</v>
      </c>
      <c r="F338" s="54">
        <v>50</v>
      </c>
      <c r="G338" s="54" t="s">
        <v>512</v>
      </c>
      <c r="J338" s="54" t="str">
        <f t="shared" si="14"/>
        <v>KN185</v>
      </c>
    </row>
    <row r="339" spans="1:10" hidden="1">
      <c r="A339" s="1643" t="s">
        <v>1741</v>
      </c>
      <c r="B339" s="75"/>
      <c r="C339" s="71" t="s">
        <v>2906</v>
      </c>
      <c r="D339" s="72" t="s">
        <v>2555</v>
      </c>
      <c r="E339" s="2016" t="str">
        <f t="shared" si="15"/>
        <v>KN</v>
      </c>
      <c r="F339" s="54">
        <v>50</v>
      </c>
      <c r="G339" s="54" t="s">
        <v>512</v>
      </c>
      <c r="J339" s="54" t="str">
        <f t="shared" si="14"/>
        <v>KN240</v>
      </c>
    </row>
    <row r="340" spans="1:10" hidden="1">
      <c r="A340" s="1643" t="s">
        <v>106</v>
      </c>
      <c r="B340" s="75"/>
      <c r="C340" s="71" t="s">
        <v>2907</v>
      </c>
      <c r="D340" s="72" t="s">
        <v>2555</v>
      </c>
      <c r="E340" s="2016" t="str">
        <f t="shared" si="15"/>
        <v>KN</v>
      </c>
      <c r="F340" s="54">
        <v>50</v>
      </c>
      <c r="G340" s="54" t="s">
        <v>512</v>
      </c>
      <c r="J340" s="54" t="str">
        <f t="shared" si="14"/>
        <v>KN158</v>
      </c>
    </row>
    <row r="341" spans="1:10" hidden="1">
      <c r="A341" s="1643" t="s">
        <v>1596</v>
      </c>
      <c r="B341" s="75"/>
      <c r="C341" s="71" t="s">
        <v>2908</v>
      </c>
      <c r="D341" s="72" t="s">
        <v>2555</v>
      </c>
      <c r="E341" s="2016" t="str">
        <f t="shared" si="15"/>
        <v>KN</v>
      </c>
      <c r="F341" s="54">
        <v>50</v>
      </c>
      <c r="G341" s="54" t="s">
        <v>512</v>
      </c>
      <c r="J341" s="54" t="str">
        <f t="shared" si="14"/>
        <v>KN912</v>
      </c>
    </row>
    <row r="342" spans="1:10" hidden="1">
      <c r="A342" s="1643" t="s">
        <v>1483</v>
      </c>
      <c r="B342" s="75"/>
      <c r="C342" s="71" t="s">
        <v>2909</v>
      </c>
      <c r="D342" s="72" t="s">
        <v>2555</v>
      </c>
      <c r="E342" s="2016" t="str">
        <f t="shared" si="15"/>
        <v>KN</v>
      </c>
      <c r="F342" s="54">
        <v>50</v>
      </c>
      <c r="G342" s="54" t="s">
        <v>512</v>
      </c>
      <c r="J342" s="54" t="str">
        <f t="shared" si="14"/>
        <v>KN357</v>
      </c>
    </row>
    <row r="343" spans="1:10" hidden="1">
      <c r="A343" s="71" t="s">
        <v>544</v>
      </c>
      <c r="B343" s="75"/>
      <c r="C343" s="71" t="s">
        <v>4872</v>
      </c>
      <c r="D343" s="72" t="s">
        <v>2555</v>
      </c>
      <c r="E343" s="2016" t="str">
        <f t="shared" si="15"/>
        <v>GN</v>
      </c>
      <c r="F343" s="54">
        <v>50</v>
      </c>
      <c r="G343" s="54" t="s">
        <v>512</v>
      </c>
      <c r="J343" s="54" t="str">
        <f t="shared" si="14"/>
        <v>GNIU</v>
      </c>
    </row>
    <row r="344" spans="1:10" hidden="1">
      <c r="A344" s="71" t="s">
        <v>2001</v>
      </c>
      <c r="B344" s="1642"/>
      <c r="C344" s="71" t="s">
        <v>2910</v>
      </c>
      <c r="D344" s="72" t="s">
        <v>2555</v>
      </c>
      <c r="E344" s="2016" t="str">
        <f t="shared" si="15"/>
        <v>MA</v>
      </c>
      <c r="F344" s="54">
        <v>50</v>
      </c>
      <c r="G344" s="54" t="s">
        <v>512</v>
      </c>
      <c r="J344" s="54" t="str">
        <f t="shared" si="14"/>
        <v>MANG</v>
      </c>
    </row>
    <row r="345" spans="1:10" hidden="1">
      <c r="A345" s="71" t="s">
        <v>1484</v>
      </c>
      <c r="B345" s="1642"/>
      <c r="C345" s="71" t="s">
        <v>2911</v>
      </c>
      <c r="D345" s="72" t="s">
        <v>2555</v>
      </c>
      <c r="E345" s="2016" t="str">
        <f t="shared" si="15"/>
        <v>MN</v>
      </c>
      <c r="F345" s="54">
        <v>50</v>
      </c>
      <c r="G345" s="54" t="s">
        <v>512</v>
      </c>
      <c r="J345" s="54" t="str">
        <f t="shared" si="14"/>
        <v>MND</v>
      </c>
    </row>
    <row r="346" spans="1:10" hidden="1">
      <c r="A346" s="71" t="s">
        <v>1485</v>
      </c>
      <c r="B346" s="1642"/>
      <c r="C346" s="71" t="s">
        <v>2912</v>
      </c>
      <c r="D346" s="72" t="s">
        <v>2555</v>
      </c>
      <c r="E346" s="2016" t="str">
        <f t="shared" si="15"/>
        <v>MN</v>
      </c>
      <c r="F346" s="54">
        <v>50</v>
      </c>
      <c r="G346" s="54" t="s">
        <v>512</v>
      </c>
      <c r="J346" s="54" t="str">
        <f t="shared" si="14"/>
        <v>MNTG</v>
      </c>
    </row>
    <row r="347" spans="1:10" hidden="1">
      <c r="A347" s="71" t="s">
        <v>1486</v>
      </c>
      <c r="B347" s="1642"/>
      <c r="C347" s="71" t="s">
        <v>2913</v>
      </c>
      <c r="D347" s="72" t="s">
        <v>2555</v>
      </c>
      <c r="E347" s="2016" t="str">
        <f t="shared" si="15"/>
        <v>MT</v>
      </c>
      <c r="F347" s="54">
        <v>50</v>
      </c>
      <c r="G347" s="54" t="s">
        <v>512</v>
      </c>
      <c r="J347" s="54" t="str">
        <f t="shared" si="14"/>
        <v>MT</v>
      </c>
    </row>
    <row r="348" spans="1:10" hidden="1">
      <c r="A348" s="71" t="s">
        <v>1252</v>
      </c>
      <c r="B348" s="1642"/>
      <c r="C348" s="71" t="s">
        <v>2914</v>
      </c>
      <c r="D348" s="72" t="s">
        <v>2555</v>
      </c>
      <c r="E348" s="2016" t="str">
        <f t="shared" si="15"/>
        <v>MT</v>
      </c>
      <c r="F348" s="54">
        <v>50</v>
      </c>
      <c r="G348" s="54" t="s">
        <v>512</v>
      </c>
      <c r="J348" s="54" t="str">
        <f t="shared" si="14"/>
        <v>MT61A</v>
      </c>
    </row>
    <row r="349" spans="1:10" hidden="1">
      <c r="A349" s="71" t="s">
        <v>1569</v>
      </c>
      <c r="B349" s="1642"/>
      <c r="C349" s="71" t="s">
        <v>2915</v>
      </c>
      <c r="D349" s="72" t="s">
        <v>2555</v>
      </c>
      <c r="E349" s="2016" t="str">
        <f t="shared" si="15"/>
        <v>VT</v>
      </c>
      <c r="F349" s="54">
        <v>50</v>
      </c>
      <c r="G349" s="54" t="s">
        <v>512</v>
      </c>
      <c r="J349" s="54" t="str">
        <f t="shared" si="14"/>
        <v>VT</v>
      </c>
    </row>
    <row r="350" spans="1:10" hidden="1">
      <c r="A350" s="1643" t="s">
        <v>705</v>
      </c>
      <c r="B350" s="75"/>
      <c r="C350" s="71" t="s">
        <v>2916</v>
      </c>
      <c r="D350" s="72" t="s">
        <v>2555</v>
      </c>
      <c r="E350" s="2016" t="str">
        <f t="shared" si="15"/>
        <v>ON</v>
      </c>
      <c r="F350" s="54">
        <v>50</v>
      </c>
      <c r="G350" s="54" t="s">
        <v>512</v>
      </c>
      <c r="J350" s="54" t="str">
        <f t="shared" si="14"/>
        <v>ON240A</v>
      </c>
    </row>
    <row r="351" spans="1:10" hidden="1">
      <c r="A351" s="1643" t="s">
        <v>209</v>
      </c>
      <c r="B351" s="75"/>
      <c r="C351" s="71" t="s">
        <v>2917</v>
      </c>
      <c r="D351" s="72" t="s">
        <v>2555</v>
      </c>
      <c r="E351" s="2016" t="str">
        <f t="shared" si="15"/>
        <v>ON</v>
      </c>
      <c r="F351" s="54">
        <v>50</v>
      </c>
      <c r="G351" s="54" t="s">
        <v>512</v>
      </c>
      <c r="J351" s="54" t="str">
        <f t="shared" si="14"/>
        <v>ON185A</v>
      </c>
    </row>
    <row r="352" spans="1:10" hidden="1">
      <c r="A352" s="1643" t="s">
        <v>2218</v>
      </c>
      <c r="B352" s="75"/>
      <c r="C352" s="71" t="s">
        <v>2918</v>
      </c>
      <c r="D352" s="72" t="s">
        <v>2555</v>
      </c>
      <c r="E352" s="2016" t="str">
        <f t="shared" si="15"/>
        <v>ON</v>
      </c>
      <c r="F352" s="54">
        <v>50</v>
      </c>
      <c r="G352" s="54" t="s">
        <v>512</v>
      </c>
      <c r="J352" s="54" t="str">
        <f t="shared" si="14"/>
        <v>ON120A</v>
      </c>
    </row>
    <row r="353" spans="1:10" hidden="1">
      <c r="A353" s="71" t="s">
        <v>524</v>
      </c>
      <c r="B353" s="1642"/>
      <c r="C353" s="71" t="s">
        <v>2919</v>
      </c>
      <c r="D353" s="72" t="s">
        <v>2555</v>
      </c>
      <c r="E353" s="2016" t="str">
        <f t="shared" si="15"/>
        <v>ON</v>
      </c>
      <c r="F353" s="54">
        <v>50</v>
      </c>
      <c r="G353" s="54" t="s">
        <v>512</v>
      </c>
      <c r="J353" s="54" t="str">
        <f t="shared" si="14"/>
        <v>ON95A</v>
      </c>
    </row>
    <row r="354" spans="1:10" hidden="1">
      <c r="A354" s="1643" t="s">
        <v>523</v>
      </c>
      <c r="B354" s="75"/>
      <c r="C354" s="71" t="s">
        <v>2920</v>
      </c>
      <c r="D354" s="72" t="s">
        <v>2555</v>
      </c>
      <c r="E354" s="2016" t="str">
        <f t="shared" si="15"/>
        <v>ON</v>
      </c>
      <c r="F354" s="54">
        <v>50</v>
      </c>
      <c r="G354" s="54" t="s">
        <v>512</v>
      </c>
      <c r="J354" s="54" t="str">
        <f t="shared" si="14"/>
        <v>ON70A</v>
      </c>
    </row>
    <row r="355" spans="1:10" hidden="1">
      <c r="A355" s="1643" t="s">
        <v>522</v>
      </c>
      <c r="B355" s="75"/>
      <c r="C355" s="71" t="s">
        <v>2921</v>
      </c>
      <c r="D355" s="72" t="s">
        <v>2555</v>
      </c>
      <c r="E355" s="2016" t="str">
        <f t="shared" si="15"/>
        <v>ON</v>
      </c>
      <c r="F355" s="54">
        <v>50</v>
      </c>
      <c r="G355" s="54" t="s">
        <v>512</v>
      </c>
      <c r="J355" s="54" t="str">
        <f t="shared" si="14"/>
        <v>ON50A</v>
      </c>
    </row>
    <row r="356" spans="1:10" hidden="1">
      <c r="A356" s="1643" t="s">
        <v>618</v>
      </c>
      <c r="B356" s="75"/>
      <c r="C356" s="71" t="s">
        <v>2922</v>
      </c>
      <c r="D356" s="72" t="s">
        <v>2555</v>
      </c>
      <c r="E356" s="2016" t="str">
        <f t="shared" si="15"/>
        <v>ON</v>
      </c>
      <c r="F356" s="54">
        <v>50</v>
      </c>
      <c r="G356" s="54" t="s">
        <v>512</v>
      </c>
      <c r="J356" s="54" t="str">
        <f t="shared" si="14"/>
        <v>ON35A</v>
      </c>
    </row>
    <row r="357" spans="1:10" hidden="1">
      <c r="A357" s="1643" t="str">
        <f>"ON-AC-"&amp;H357</f>
        <v>ON-AC-240</v>
      </c>
      <c r="B357" s="75"/>
      <c r="C357" s="71" t="str">
        <f>"Ống nối dây AC-"&amp;H357</f>
        <v>Ống nối dây AC-240</v>
      </c>
      <c r="D357" s="72" t="s">
        <v>2555</v>
      </c>
      <c r="E357" s="2016" t="str">
        <f t="shared" ref="E357:E363" si="16">LEFT(A357,2)</f>
        <v>ON</v>
      </c>
      <c r="F357" s="54">
        <v>50</v>
      </c>
      <c r="G357" s="54" t="s">
        <v>512</v>
      </c>
      <c r="H357" s="54">
        <v>240</v>
      </c>
      <c r="J357" s="54" t="str">
        <f t="shared" ref="J357:J363" si="17">A357</f>
        <v>ON-AC-240</v>
      </c>
    </row>
    <row r="358" spans="1:10" hidden="1">
      <c r="A358" s="1643" t="str">
        <f t="shared" ref="A358:A363" si="18">"ON-AC-"&amp;H358</f>
        <v>ON-AC-185</v>
      </c>
      <c r="B358" s="75"/>
      <c r="C358" s="71" t="str">
        <f t="shared" ref="C358:C363" si="19">"Ống nối dây AC-"&amp;H358</f>
        <v>Ống nối dây AC-185</v>
      </c>
      <c r="D358" s="72" t="s">
        <v>2555</v>
      </c>
      <c r="E358" s="2016" t="str">
        <f t="shared" si="16"/>
        <v>ON</v>
      </c>
      <c r="F358" s="54">
        <v>50</v>
      </c>
      <c r="G358" s="54" t="s">
        <v>512</v>
      </c>
      <c r="H358" s="54">
        <v>185</v>
      </c>
      <c r="J358" s="54" t="str">
        <f t="shared" si="17"/>
        <v>ON-AC-185</v>
      </c>
    </row>
    <row r="359" spans="1:10" hidden="1">
      <c r="A359" s="1643" t="str">
        <f t="shared" si="18"/>
        <v>ON-AC-120</v>
      </c>
      <c r="B359" s="75"/>
      <c r="C359" s="71" t="str">
        <f t="shared" si="19"/>
        <v>Ống nối dây AC-120</v>
      </c>
      <c r="D359" s="72" t="s">
        <v>2555</v>
      </c>
      <c r="E359" s="2016" t="str">
        <f t="shared" si="16"/>
        <v>ON</v>
      </c>
      <c r="F359" s="54">
        <v>50</v>
      </c>
      <c r="G359" s="54" t="s">
        <v>512</v>
      </c>
      <c r="H359" s="54">
        <v>120</v>
      </c>
      <c r="J359" s="54" t="str">
        <f t="shared" si="17"/>
        <v>ON-AC-120</v>
      </c>
    </row>
    <row r="360" spans="1:10" hidden="1">
      <c r="A360" s="1643" t="str">
        <f t="shared" si="18"/>
        <v>ON-AC-85</v>
      </c>
      <c r="B360" s="1642"/>
      <c r="C360" s="71" t="str">
        <f t="shared" si="19"/>
        <v>Ống nối dây AC-85</v>
      </c>
      <c r="D360" s="72" t="s">
        <v>2555</v>
      </c>
      <c r="E360" s="2016" t="str">
        <f t="shared" si="16"/>
        <v>ON</v>
      </c>
      <c r="F360" s="54">
        <v>50</v>
      </c>
      <c r="G360" s="54" t="s">
        <v>512</v>
      </c>
      <c r="H360" s="54">
        <v>85</v>
      </c>
      <c r="J360" s="54" t="str">
        <f t="shared" si="17"/>
        <v>ON-AC-85</v>
      </c>
    </row>
    <row r="361" spans="1:10" hidden="1">
      <c r="A361" s="1643" t="str">
        <f t="shared" si="18"/>
        <v>ON-AC-70</v>
      </c>
      <c r="B361" s="75"/>
      <c r="C361" s="71" t="str">
        <f t="shared" si="19"/>
        <v>Ống nối dây AC-70</v>
      </c>
      <c r="D361" s="72" t="s">
        <v>2555</v>
      </c>
      <c r="E361" s="2016" t="str">
        <f t="shared" si="16"/>
        <v>ON</v>
      </c>
      <c r="F361" s="54">
        <v>50</v>
      </c>
      <c r="G361" s="54" t="s">
        <v>512</v>
      </c>
      <c r="H361" s="54">
        <v>70</v>
      </c>
      <c r="J361" s="54" t="str">
        <f t="shared" si="17"/>
        <v>ON-AC-70</v>
      </c>
    </row>
    <row r="362" spans="1:10" hidden="1">
      <c r="A362" s="1643" t="str">
        <f t="shared" si="18"/>
        <v>ON-AC-50</v>
      </c>
      <c r="B362" s="75"/>
      <c r="C362" s="71" t="str">
        <f t="shared" si="19"/>
        <v>Ống nối dây AC-50</v>
      </c>
      <c r="D362" s="72" t="s">
        <v>2555</v>
      </c>
      <c r="E362" s="2016" t="str">
        <f t="shared" si="16"/>
        <v>ON</v>
      </c>
      <c r="F362" s="54">
        <v>50</v>
      </c>
      <c r="G362" s="54" t="s">
        <v>512</v>
      </c>
      <c r="H362" s="54">
        <v>50</v>
      </c>
      <c r="J362" s="54" t="str">
        <f t="shared" si="17"/>
        <v>ON-AC-50</v>
      </c>
    </row>
    <row r="363" spans="1:10" hidden="1">
      <c r="A363" s="1643" t="str">
        <f t="shared" si="18"/>
        <v>ON-AC-35</v>
      </c>
      <c r="B363" s="75"/>
      <c r="C363" s="71" t="str">
        <f t="shared" si="19"/>
        <v>Ống nối dây AC-35</v>
      </c>
      <c r="D363" s="72" t="s">
        <v>2555</v>
      </c>
      <c r="E363" s="2016" t="str">
        <f t="shared" si="16"/>
        <v>ON</v>
      </c>
      <c r="F363" s="54">
        <v>50</v>
      </c>
      <c r="G363" s="54" t="s">
        <v>512</v>
      </c>
      <c r="H363" s="54">
        <v>35</v>
      </c>
      <c r="J363" s="54" t="str">
        <f t="shared" si="17"/>
        <v>ON-AC-35</v>
      </c>
    </row>
    <row r="364" spans="1:10" hidden="1">
      <c r="A364" s="1643" t="s">
        <v>574</v>
      </c>
      <c r="B364" s="75"/>
      <c r="C364" s="71" t="s">
        <v>2923</v>
      </c>
      <c r="D364" s="72" t="s">
        <v>2555</v>
      </c>
      <c r="E364" s="2016" t="str">
        <f t="shared" si="15"/>
        <v>ON</v>
      </c>
      <c r="F364" s="54">
        <v>50</v>
      </c>
      <c r="G364" s="54" t="s">
        <v>512</v>
      </c>
      <c r="J364" s="54" t="str">
        <f t="shared" si="14"/>
        <v>ON35</v>
      </c>
    </row>
    <row r="365" spans="1:10" hidden="1">
      <c r="A365" s="1643" t="s">
        <v>1487</v>
      </c>
      <c r="B365" s="75"/>
      <c r="C365" s="71" t="s">
        <v>2924</v>
      </c>
      <c r="D365" s="72" t="s">
        <v>2555</v>
      </c>
      <c r="E365" s="2016" t="str">
        <f t="shared" si="15"/>
        <v>ON</v>
      </c>
      <c r="F365" s="54">
        <v>50</v>
      </c>
      <c r="G365" s="54" t="s">
        <v>512</v>
      </c>
      <c r="J365" s="54" t="str">
        <f t="shared" si="14"/>
        <v>ON50</v>
      </c>
    </row>
    <row r="366" spans="1:10" hidden="1">
      <c r="A366" s="1643" t="s">
        <v>1488</v>
      </c>
      <c r="B366" s="75"/>
      <c r="C366" s="71" t="s">
        <v>2925</v>
      </c>
      <c r="D366" s="72" t="s">
        <v>2555</v>
      </c>
      <c r="E366" s="2016" t="str">
        <f t="shared" si="15"/>
        <v>ON</v>
      </c>
      <c r="F366" s="54">
        <v>50</v>
      </c>
      <c r="G366" s="54" t="s">
        <v>512</v>
      </c>
      <c r="J366" s="54" t="str">
        <f t="shared" si="14"/>
        <v>ON70</v>
      </c>
    </row>
    <row r="367" spans="1:10" hidden="1">
      <c r="A367" s="71" t="s">
        <v>432</v>
      </c>
      <c r="B367" s="1642"/>
      <c r="C367" s="71" t="s">
        <v>2926</v>
      </c>
      <c r="D367" s="72" t="s">
        <v>2555</v>
      </c>
      <c r="E367" s="2016" t="str">
        <f t="shared" si="15"/>
        <v>ON</v>
      </c>
      <c r="F367" s="54">
        <v>50</v>
      </c>
      <c r="G367" s="54" t="s">
        <v>512</v>
      </c>
      <c r="J367" s="54" t="str">
        <f t="shared" si="14"/>
        <v>ON95</v>
      </c>
    </row>
    <row r="368" spans="1:10" hidden="1">
      <c r="A368" s="1643" t="s">
        <v>573</v>
      </c>
      <c r="B368" s="75"/>
      <c r="C368" s="71" t="s">
        <v>2927</v>
      </c>
      <c r="D368" s="72" t="s">
        <v>2555</v>
      </c>
      <c r="E368" s="2016" t="str">
        <f t="shared" si="15"/>
        <v>ON</v>
      </c>
      <c r="F368" s="54">
        <v>50</v>
      </c>
      <c r="G368" s="54" t="s">
        <v>512</v>
      </c>
      <c r="J368" s="54" t="str">
        <f t="shared" si="14"/>
        <v>ON120</v>
      </c>
    </row>
    <row r="369" spans="1:10" hidden="1">
      <c r="A369" s="1643" t="s">
        <v>937</v>
      </c>
      <c r="B369" s="75"/>
      <c r="C369" s="71" t="s">
        <v>2928</v>
      </c>
      <c r="D369" s="72" t="s">
        <v>2555</v>
      </c>
      <c r="E369" s="2016" t="str">
        <f t="shared" si="15"/>
        <v>ON</v>
      </c>
      <c r="F369" s="54">
        <v>50</v>
      </c>
      <c r="G369" s="54" t="s">
        <v>512</v>
      </c>
      <c r="J369" s="54" t="str">
        <f t="shared" si="14"/>
        <v>ON150</v>
      </c>
    </row>
    <row r="370" spans="1:10" hidden="1">
      <c r="A370" s="1643" t="s">
        <v>572</v>
      </c>
      <c r="B370" s="75"/>
      <c r="C370" s="71" t="s">
        <v>2929</v>
      </c>
      <c r="D370" s="72" t="s">
        <v>2555</v>
      </c>
      <c r="E370" s="2016" t="str">
        <f t="shared" si="15"/>
        <v>ON</v>
      </c>
      <c r="F370" s="54">
        <v>50</v>
      </c>
      <c r="G370" s="54" t="s">
        <v>512</v>
      </c>
      <c r="J370" s="54" t="str">
        <f t="shared" si="14"/>
        <v>ON185</v>
      </c>
    </row>
    <row r="371" spans="1:10" hidden="1">
      <c r="A371" s="1643" t="s">
        <v>571</v>
      </c>
      <c r="B371" s="75"/>
      <c r="C371" s="71" t="s">
        <v>2930</v>
      </c>
      <c r="D371" s="72" t="s">
        <v>2555</v>
      </c>
      <c r="E371" s="2016" t="str">
        <f t="shared" si="15"/>
        <v>ON</v>
      </c>
      <c r="F371" s="54">
        <v>50</v>
      </c>
      <c r="G371" s="54" t="s">
        <v>512</v>
      </c>
      <c r="J371" s="54" t="str">
        <f t="shared" si="14"/>
        <v>ON240</v>
      </c>
    </row>
    <row r="372" spans="1:10" hidden="1">
      <c r="A372" s="71" t="s">
        <v>433</v>
      </c>
      <c r="B372" s="1642"/>
      <c r="C372" s="71" t="s">
        <v>2931</v>
      </c>
      <c r="D372" s="72" t="s">
        <v>2555</v>
      </c>
      <c r="E372" s="2016" t="str">
        <f t="shared" si="15"/>
        <v>ON</v>
      </c>
      <c r="F372" s="54">
        <v>50</v>
      </c>
      <c r="G372" s="54" t="s">
        <v>512</v>
      </c>
      <c r="J372" s="54" t="str">
        <f t="shared" si="14"/>
        <v>ON50B</v>
      </c>
    </row>
    <row r="373" spans="1:10" hidden="1">
      <c r="A373" s="71" t="s">
        <v>2188</v>
      </c>
      <c r="B373" s="1642"/>
      <c r="C373" s="71" t="s">
        <v>2189</v>
      </c>
      <c r="D373" s="72" t="s">
        <v>2555</v>
      </c>
      <c r="E373" s="2016" t="str">
        <f t="shared" si="15"/>
        <v>PU</v>
      </c>
      <c r="F373" s="54">
        <v>50</v>
      </c>
      <c r="G373" s="54" t="s">
        <v>512</v>
      </c>
      <c r="J373" s="54" t="str">
        <f t="shared" si="14"/>
        <v>PU</v>
      </c>
    </row>
    <row r="374" spans="1:10" hidden="1">
      <c r="A374" s="71" t="s">
        <v>1909</v>
      </c>
      <c r="B374" s="1642"/>
      <c r="C374" s="71" t="s">
        <v>2932</v>
      </c>
      <c r="D374" s="72" t="s">
        <v>2439</v>
      </c>
      <c r="E374" s="2016" t="str">
        <f t="shared" si="15"/>
        <v>R1</v>
      </c>
      <c r="F374" s="54">
        <v>50</v>
      </c>
      <c r="G374" s="54" t="s">
        <v>512</v>
      </c>
      <c r="J374" s="54" t="str">
        <f t="shared" si="14"/>
        <v>R1</v>
      </c>
    </row>
    <row r="375" spans="1:10" hidden="1">
      <c r="A375" s="71" t="s">
        <v>2259</v>
      </c>
      <c r="B375" s="1642"/>
      <c r="C375" s="71" t="s">
        <v>2933</v>
      </c>
      <c r="D375" s="72" t="s">
        <v>2439</v>
      </c>
      <c r="E375" s="2016" t="str">
        <f t="shared" si="15"/>
        <v>R2</v>
      </c>
      <c r="F375" s="54">
        <v>50</v>
      </c>
      <c r="G375" s="54" t="s">
        <v>512</v>
      </c>
      <c r="J375" s="54" t="str">
        <f t="shared" si="14"/>
        <v>R2</v>
      </c>
    </row>
    <row r="376" spans="1:10" hidden="1">
      <c r="A376" s="71" t="s">
        <v>667</v>
      </c>
      <c r="B376" s="1642"/>
      <c r="C376" s="71" t="s">
        <v>2934</v>
      </c>
      <c r="D376" s="72" t="s">
        <v>2439</v>
      </c>
      <c r="E376" s="2016" t="str">
        <f t="shared" si="15"/>
        <v>R3</v>
      </c>
      <c r="F376" s="54">
        <v>50</v>
      </c>
      <c r="G376" s="54" t="s">
        <v>512</v>
      </c>
      <c r="J376" s="54" t="str">
        <f t="shared" si="14"/>
        <v>R3</v>
      </c>
    </row>
    <row r="377" spans="1:10" hidden="1">
      <c r="A377" s="71" t="s">
        <v>51</v>
      </c>
      <c r="B377" s="1642"/>
      <c r="C377" s="1643" t="s">
        <v>1447</v>
      </c>
      <c r="D377" s="72" t="s">
        <v>2555</v>
      </c>
      <c r="E377" s="2016" t="str">
        <f t="shared" si="15"/>
        <v>R4</v>
      </c>
      <c r="F377" s="54">
        <v>50</v>
      </c>
      <c r="G377" s="54" t="s">
        <v>512</v>
      </c>
      <c r="J377" s="54" t="str">
        <f t="shared" si="14"/>
        <v>R4</v>
      </c>
    </row>
    <row r="378" spans="1:10" hidden="1">
      <c r="A378" s="71" t="s">
        <v>1449</v>
      </c>
      <c r="B378" s="1642"/>
      <c r="C378" s="71" t="s">
        <v>2935</v>
      </c>
      <c r="D378" s="72" t="s">
        <v>2439</v>
      </c>
      <c r="E378" s="2016" t="str">
        <f t="shared" si="15"/>
        <v>R4</v>
      </c>
      <c r="F378" s="54">
        <v>50</v>
      </c>
      <c r="G378" s="54" t="s">
        <v>512</v>
      </c>
      <c r="J378" s="54" t="str">
        <f t="shared" si="14"/>
        <v>R4S</v>
      </c>
    </row>
    <row r="379" spans="1:10" hidden="1">
      <c r="A379" s="71" t="s">
        <v>696</v>
      </c>
      <c r="B379" s="1642"/>
      <c r="C379" s="71" t="s">
        <v>2936</v>
      </c>
      <c r="D379" s="72" t="s">
        <v>2555</v>
      </c>
      <c r="E379" s="2016" t="str">
        <f>LEFT(A379,2)</f>
        <v>SD</v>
      </c>
      <c r="F379" s="54">
        <v>3</v>
      </c>
      <c r="G379" s="54" t="s">
        <v>512</v>
      </c>
      <c r="J379" s="54" t="str">
        <f>A379</f>
        <v>SD</v>
      </c>
    </row>
    <row r="380" spans="1:10" hidden="1">
      <c r="A380" s="71" t="s">
        <v>4904</v>
      </c>
      <c r="B380" s="1642"/>
      <c r="C380" s="71" t="s">
        <v>4869</v>
      </c>
      <c r="D380" s="72" t="s">
        <v>2555</v>
      </c>
      <c r="E380" s="2016" t="str">
        <f>LEFT(A380,2)</f>
        <v>SD</v>
      </c>
      <c r="F380" s="54">
        <v>6</v>
      </c>
      <c r="G380" s="54" t="s">
        <v>512</v>
      </c>
      <c r="J380" s="54" t="str">
        <f>A380</f>
        <v>SDC</v>
      </c>
    </row>
    <row r="381" spans="1:10" hidden="1">
      <c r="A381" s="71" t="s">
        <v>4905</v>
      </c>
      <c r="B381" s="1642"/>
      <c r="C381" s="71" t="s">
        <v>4870</v>
      </c>
      <c r="D381" s="72" t="s">
        <v>2555</v>
      </c>
      <c r="E381" s="2016" t="str">
        <f t="shared" si="15"/>
        <v>CS</v>
      </c>
      <c r="F381" s="54">
        <v>6</v>
      </c>
      <c r="G381" s="54" t="s">
        <v>512</v>
      </c>
      <c r="J381" s="54" t="str">
        <f t="shared" si="14"/>
        <v>CSDC</v>
      </c>
    </row>
    <row r="382" spans="1:10" hidden="1">
      <c r="A382" s="71" t="s">
        <v>1001</v>
      </c>
      <c r="B382" s="1642"/>
      <c r="C382" s="71" t="s">
        <v>2937</v>
      </c>
      <c r="D382" s="72" t="s">
        <v>2439</v>
      </c>
      <c r="E382" s="2016" t="str">
        <f t="shared" si="15"/>
        <v>SD</v>
      </c>
      <c r="F382" s="54">
        <v>6</v>
      </c>
      <c r="G382" s="54" t="s">
        <v>512</v>
      </c>
      <c r="J382" s="54" t="str">
        <f t="shared" si="14"/>
        <v>SD35</v>
      </c>
    </row>
    <row r="383" spans="1:10" hidden="1">
      <c r="A383" s="71" t="s">
        <v>732</v>
      </c>
      <c r="B383" s="1642"/>
      <c r="C383" s="71" t="s">
        <v>2938</v>
      </c>
      <c r="D383" s="72" t="s">
        <v>2439</v>
      </c>
      <c r="E383" s="2016" t="str">
        <f t="shared" si="15"/>
        <v>SD</v>
      </c>
      <c r="F383" s="54">
        <v>6</v>
      </c>
      <c r="G383" s="54" t="s">
        <v>512</v>
      </c>
      <c r="J383" s="54" t="str">
        <f t="shared" si="14"/>
        <v>SDI35</v>
      </c>
    </row>
    <row r="384" spans="1:10" hidden="1">
      <c r="A384" s="71" t="s">
        <v>733</v>
      </c>
      <c r="B384" s="1642"/>
      <c r="C384" s="71" t="s">
        <v>2939</v>
      </c>
      <c r="D384" s="72" t="s">
        <v>2555</v>
      </c>
      <c r="E384" s="2016" t="str">
        <f t="shared" si="15"/>
        <v>SD</v>
      </c>
      <c r="F384" s="54">
        <v>6</v>
      </c>
      <c r="G384" s="54" t="s">
        <v>512</v>
      </c>
      <c r="J384" s="54" t="str">
        <f t="shared" si="14"/>
        <v>SDCM</v>
      </c>
    </row>
    <row r="385" spans="1:10" hidden="1">
      <c r="A385" s="71" t="s">
        <v>111</v>
      </c>
      <c r="B385" s="1642"/>
      <c r="C385" s="71" t="s">
        <v>2940</v>
      </c>
      <c r="D385" s="72" t="s">
        <v>2555</v>
      </c>
      <c r="E385" s="2016" t="str">
        <f t="shared" si="15"/>
        <v>SN</v>
      </c>
      <c r="F385" s="54">
        <v>50</v>
      </c>
      <c r="G385" s="54" t="s">
        <v>512</v>
      </c>
      <c r="J385" s="54" t="str">
        <f t="shared" si="14"/>
        <v>SN</v>
      </c>
    </row>
    <row r="386" spans="1:10" hidden="1">
      <c r="A386" s="71" t="s">
        <v>2128</v>
      </c>
      <c r="B386" s="1642"/>
      <c r="C386" s="71" t="s">
        <v>2941</v>
      </c>
      <c r="D386" s="72" t="s">
        <v>2555</v>
      </c>
      <c r="E386" s="2016" t="str">
        <f t="shared" si="15"/>
        <v>SO</v>
      </c>
      <c r="F386" s="54">
        <v>50</v>
      </c>
      <c r="G386" s="54" t="s">
        <v>512</v>
      </c>
      <c r="J386" s="54" t="str">
        <f t="shared" si="14"/>
        <v>SOC</v>
      </c>
    </row>
    <row r="387" spans="1:10" hidden="1">
      <c r="A387" s="71" t="s">
        <v>112</v>
      </c>
      <c r="B387" s="1642"/>
      <c r="C387" s="71" t="s">
        <v>2942</v>
      </c>
      <c r="D387" s="72" t="s">
        <v>2943</v>
      </c>
      <c r="E387" s="2016" t="str">
        <f t="shared" si="15"/>
        <v>ST</v>
      </c>
      <c r="F387" s="54">
        <v>50</v>
      </c>
      <c r="G387" s="54" t="s">
        <v>512</v>
      </c>
      <c r="J387" s="54" t="str">
        <f t="shared" si="14"/>
        <v>ST</v>
      </c>
    </row>
    <row r="388" spans="1:10" hidden="1">
      <c r="A388" s="71" t="s">
        <v>558</v>
      </c>
      <c r="B388" s="1642"/>
      <c r="C388" s="71" t="s">
        <v>2944</v>
      </c>
      <c r="D388" s="72" t="s">
        <v>2943</v>
      </c>
      <c r="E388" s="2016" t="str">
        <f t="shared" si="15"/>
        <v>ST</v>
      </c>
      <c r="F388" s="54">
        <v>50</v>
      </c>
      <c r="G388" s="54" t="s">
        <v>512</v>
      </c>
      <c r="J388" s="54" t="str">
        <f t="shared" si="14"/>
        <v>ST120</v>
      </c>
    </row>
    <row r="389" spans="1:10" hidden="1">
      <c r="A389" s="71" t="s">
        <v>1029</v>
      </c>
      <c r="B389" s="1642"/>
      <c r="C389" s="71" t="s">
        <v>2945</v>
      </c>
      <c r="D389" s="72" t="s">
        <v>2512</v>
      </c>
      <c r="E389" s="2016" t="str">
        <f t="shared" si="15"/>
        <v>ST</v>
      </c>
      <c r="F389" s="54">
        <v>3</v>
      </c>
      <c r="G389" s="54" t="s">
        <v>512</v>
      </c>
      <c r="J389" s="54" t="str">
        <f t="shared" si="14"/>
        <v>STply</v>
      </c>
    </row>
    <row r="390" spans="1:10" hidden="1">
      <c r="A390" s="71" t="s">
        <v>538</v>
      </c>
      <c r="B390" s="1642"/>
      <c r="C390" s="71" t="s">
        <v>2946</v>
      </c>
      <c r="D390" s="72" t="s">
        <v>2555</v>
      </c>
      <c r="E390" s="2016" t="str">
        <f t="shared" si="15"/>
        <v>St</v>
      </c>
      <c r="F390" s="54">
        <v>50</v>
      </c>
      <c r="G390" s="54" t="s">
        <v>512</v>
      </c>
      <c r="J390" s="54" t="str">
        <f t="shared" si="14"/>
        <v>Stply-HT</v>
      </c>
    </row>
    <row r="391" spans="1:10" hidden="1">
      <c r="A391" s="71" t="s">
        <v>1030</v>
      </c>
      <c r="B391" s="1642"/>
      <c r="C391" s="71" t="s">
        <v>2947</v>
      </c>
      <c r="D391" s="72" t="s">
        <v>2248</v>
      </c>
      <c r="E391" s="2016" t="str">
        <f t="shared" si="15"/>
        <v>S4</v>
      </c>
      <c r="F391" s="54">
        <v>50</v>
      </c>
      <c r="G391" s="54" t="s">
        <v>512</v>
      </c>
      <c r="J391" s="54" t="str">
        <f t="shared" si="14"/>
        <v>S40</v>
      </c>
    </row>
    <row r="392" spans="1:10" hidden="1">
      <c r="A392" s="71" t="s">
        <v>2106</v>
      </c>
      <c r="B392" s="1642"/>
      <c r="C392" s="71" t="s">
        <v>4864</v>
      </c>
      <c r="D392" s="72" t="s">
        <v>2248</v>
      </c>
      <c r="E392" s="2016" t="str">
        <f t="shared" si="15"/>
        <v>S5</v>
      </c>
      <c r="F392" s="54">
        <v>50</v>
      </c>
      <c r="G392" s="54" t="s">
        <v>512</v>
      </c>
      <c r="J392" s="54" t="str">
        <f t="shared" si="14"/>
        <v>S50</v>
      </c>
    </row>
    <row r="393" spans="1:10" hidden="1">
      <c r="A393" s="71" t="s">
        <v>279</v>
      </c>
      <c r="B393" s="1642"/>
      <c r="C393" s="71" t="s">
        <v>2948</v>
      </c>
      <c r="D393" s="72" t="s">
        <v>2248</v>
      </c>
      <c r="E393" s="2016" t="str">
        <f t="shared" si="15"/>
        <v>S6</v>
      </c>
      <c r="F393" s="54">
        <v>50</v>
      </c>
      <c r="G393" s="54" t="s">
        <v>512</v>
      </c>
      <c r="J393" s="54" t="str">
        <f t="shared" si="14"/>
        <v>S60</v>
      </c>
    </row>
    <row r="394" spans="1:10" hidden="1">
      <c r="A394" s="71" t="s">
        <v>1119</v>
      </c>
      <c r="B394" s="1642"/>
      <c r="C394" s="71" t="s">
        <v>2949</v>
      </c>
      <c r="D394" s="72" t="s">
        <v>2248</v>
      </c>
      <c r="E394" s="2016" t="str">
        <f t="shared" si="15"/>
        <v>S7</v>
      </c>
      <c r="F394" s="54">
        <v>50</v>
      </c>
      <c r="G394" s="54" t="s">
        <v>512</v>
      </c>
      <c r="J394" s="54" t="str">
        <f t="shared" si="14"/>
        <v>S70</v>
      </c>
    </row>
    <row r="395" spans="1:10" hidden="1">
      <c r="A395" s="1643" t="s">
        <v>1120</v>
      </c>
      <c r="B395" s="75"/>
      <c r="C395" s="71" t="s">
        <v>2950</v>
      </c>
      <c r="D395" s="72" t="s">
        <v>2248</v>
      </c>
      <c r="E395" s="2016" t="str">
        <f t="shared" si="15"/>
        <v>S8</v>
      </c>
      <c r="F395" s="54">
        <v>50</v>
      </c>
      <c r="G395" s="54" t="s">
        <v>512</v>
      </c>
      <c r="J395" s="54" t="str">
        <f t="shared" si="14"/>
        <v>S806</v>
      </c>
    </row>
    <row r="396" spans="1:10" hidden="1">
      <c r="A396" s="1643" t="s">
        <v>2227</v>
      </c>
      <c r="B396" s="75"/>
      <c r="C396" s="71" t="s">
        <v>2951</v>
      </c>
      <c r="D396" s="72" t="s">
        <v>2248</v>
      </c>
      <c r="E396" s="2016" t="str">
        <f t="shared" si="15"/>
        <v>S8</v>
      </c>
      <c r="F396" s="54">
        <v>50</v>
      </c>
      <c r="G396" s="54" t="s">
        <v>512</v>
      </c>
      <c r="J396" s="54" t="str">
        <f t="shared" si="14"/>
        <v>S80</v>
      </c>
    </row>
    <row r="397" spans="1:10" hidden="1">
      <c r="A397" s="71" t="s">
        <v>2228</v>
      </c>
      <c r="B397" s="1642"/>
      <c r="C397" s="71" t="s">
        <v>2952</v>
      </c>
      <c r="D397" s="72" t="s">
        <v>2248</v>
      </c>
      <c r="E397" s="2016" t="str">
        <f t="shared" si="15"/>
        <v>S1</v>
      </c>
      <c r="F397" s="54">
        <v>50</v>
      </c>
      <c r="G397" s="54" t="s">
        <v>512</v>
      </c>
      <c r="J397" s="54" t="str">
        <f t="shared" si="14"/>
        <v>S1008</v>
      </c>
    </row>
    <row r="398" spans="1:10" hidden="1">
      <c r="A398" s="1643" t="s">
        <v>640</v>
      </c>
      <c r="B398" s="75"/>
      <c r="C398" s="71" t="s">
        <v>2953</v>
      </c>
      <c r="D398" s="72" t="s">
        <v>2248</v>
      </c>
      <c r="E398" s="2016" t="str">
        <f t="shared" si="15"/>
        <v>SL</v>
      </c>
      <c r="F398" s="54">
        <v>50</v>
      </c>
      <c r="G398" s="54" t="s">
        <v>512</v>
      </c>
      <c r="J398" s="54" t="str">
        <f t="shared" si="14"/>
        <v>SL32</v>
      </c>
    </row>
    <row r="399" spans="1:10" hidden="1">
      <c r="A399" s="1643" t="s">
        <v>1613</v>
      </c>
      <c r="B399" s="75"/>
      <c r="C399" s="71" t="s">
        <v>2954</v>
      </c>
      <c r="D399" s="72" t="s">
        <v>2248</v>
      </c>
      <c r="E399" s="2016" t="str">
        <f t="shared" si="15"/>
        <v>SL</v>
      </c>
      <c r="F399" s="54">
        <v>50</v>
      </c>
      <c r="G399" s="54" t="s">
        <v>512</v>
      </c>
      <c r="J399" s="54" t="str">
        <f t="shared" si="14"/>
        <v>SL40</v>
      </c>
    </row>
    <row r="400" spans="1:10" hidden="1">
      <c r="A400" s="71" t="s">
        <v>1515</v>
      </c>
      <c r="B400" s="1642"/>
      <c r="C400" s="71" t="s">
        <v>2955</v>
      </c>
      <c r="D400" s="72" t="s">
        <v>2248</v>
      </c>
      <c r="E400" s="2016" t="str">
        <f t="shared" si="15"/>
        <v>SL</v>
      </c>
      <c r="F400" s="54">
        <v>50</v>
      </c>
      <c r="G400" s="54" t="s">
        <v>512</v>
      </c>
      <c r="J400" s="54" t="str">
        <f t="shared" si="14"/>
        <v>SL45</v>
      </c>
    </row>
    <row r="401" spans="1:10" hidden="1">
      <c r="A401" s="1643" t="s">
        <v>457</v>
      </c>
      <c r="B401" s="75"/>
      <c r="C401" s="71" t="s">
        <v>2956</v>
      </c>
      <c r="D401" s="72" t="s">
        <v>2248</v>
      </c>
      <c r="E401" s="2016" t="str">
        <f>LEFT(A401,2)</f>
        <v>SL</v>
      </c>
      <c r="F401" s="54">
        <v>50</v>
      </c>
      <c r="G401" s="54" t="s">
        <v>512</v>
      </c>
      <c r="J401" s="54" t="str">
        <f t="shared" si="14"/>
        <v>SL50</v>
      </c>
    </row>
    <row r="402" spans="1:10" hidden="1">
      <c r="A402" s="2014" t="str">
        <f>"SL50-"&amp;H402</f>
        <v>SL50-720</v>
      </c>
      <c r="B402" s="1642"/>
      <c r="C402" s="71" t="str">
        <f>"Sắt góc L50 x50 x5 "&amp;"x"&amp;H402</f>
        <v>Sắt góc L50 x50 x5 x720</v>
      </c>
      <c r="D402" s="72" t="s">
        <v>2555</v>
      </c>
      <c r="E402" s="2016" t="str">
        <f>LEFT(A402,2)</f>
        <v>SL</v>
      </c>
      <c r="F402" s="54">
        <v>50</v>
      </c>
      <c r="G402" s="54" t="s">
        <v>512</v>
      </c>
      <c r="H402" s="54">
        <v>720</v>
      </c>
      <c r="J402" s="54" t="str">
        <f t="shared" si="14"/>
        <v>SL50-720</v>
      </c>
    </row>
    <row r="403" spans="1:10" hidden="1">
      <c r="A403" s="2014" t="str">
        <f>"SL50-"&amp;H403</f>
        <v>SL50-810</v>
      </c>
      <c r="B403" s="1642"/>
      <c r="C403" s="71" t="s">
        <v>4861</v>
      </c>
      <c r="D403" s="72" t="s">
        <v>2555</v>
      </c>
      <c r="E403" s="2016" t="str">
        <f>LEFT(A403,2)</f>
        <v>SL</v>
      </c>
      <c r="F403" s="54">
        <v>50</v>
      </c>
      <c r="G403" s="54" t="s">
        <v>512</v>
      </c>
      <c r="H403" s="54">
        <v>810</v>
      </c>
      <c r="J403" s="54" t="str">
        <f t="shared" si="14"/>
        <v>SL50-810</v>
      </c>
    </row>
    <row r="404" spans="1:10" hidden="1">
      <c r="A404" s="2014" t="str">
        <f>"SL50-"&amp;H404</f>
        <v>SL50-920</v>
      </c>
      <c r="B404" s="1642"/>
      <c r="C404" s="71" t="str">
        <f>"Sắt góc L50 x50 x5 "&amp;"x"&amp;H404</f>
        <v>Sắt góc L50 x50 x5 x920</v>
      </c>
      <c r="D404" s="72" t="s">
        <v>2555</v>
      </c>
      <c r="E404" s="2016" t="str">
        <f>LEFT(A404,2)</f>
        <v>SL</v>
      </c>
      <c r="F404" s="54">
        <v>50</v>
      </c>
      <c r="G404" s="54" t="s">
        <v>512</v>
      </c>
      <c r="H404" s="54">
        <v>920</v>
      </c>
      <c r="J404" s="54" t="str">
        <f t="shared" ref="J404:J469" si="20">A404</f>
        <v>SL50-920</v>
      </c>
    </row>
    <row r="405" spans="1:10" hidden="1">
      <c r="A405" s="2014" t="str">
        <f>"SL50-"&amp;H405</f>
        <v>SL50-1190</v>
      </c>
      <c r="B405" s="1642"/>
      <c r="C405" s="71" t="str">
        <f>"Sắt góc L50 x50 x5 "&amp;"x"&amp;H405</f>
        <v>Sắt góc L50 x50 x5 x1190</v>
      </c>
      <c r="D405" s="72" t="s">
        <v>2555</v>
      </c>
      <c r="E405" s="2016" t="str">
        <f>LEFT(A405,2)</f>
        <v>SL</v>
      </c>
      <c r="F405" s="54">
        <v>50</v>
      </c>
      <c r="G405" s="54" t="s">
        <v>512</v>
      </c>
      <c r="H405" s="54">
        <v>1190</v>
      </c>
      <c r="J405" s="54" t="str">
        <f t="shared" si="20"/>
        <v>SL50-1190</v>
      </c>
    </row>
    <row r="406" spans="1:10" hidden="1">
      <c r="A406" s="1643" t="s">
        <v>4715</v>
      </c>
      <c r="B406" s="75"/>
      <c r="C406" s="71" t="s">
        <v>2956</v>
      </c>
      <c r="D406" s="72" t="s">
        <v>2248</v>
      </c>
      <c r="E406" s="2016" t="str">
        <f t="shared" si="15"/>
        <v>SL</v>
      </c>
      <c r="F406" s="54">
        <v>50</v>
      </c>
      <c r="G406" s="54" t="s">
        <v>512</v>
      </c>
      <c r="J406" s="54" t="str">
        <f t="shared" si="20"/>
        <v>SL50kg</v>
      </c>
    </row>
    <row r="407" spans="1:10" hidden="1">
      <c r="A407" s="71" t="s">
        <v>1118</v>
      </c>
      <c r="B407" s="1642"/>
      <c r="C407" s="71" t="s">
        <v>2957</v>
      </c>
      <c r="D407" s="72" t="s">
        <v>2248</v>
      </c>
      <c r="E407" s="2016" t="str">
        <f t="shared" si="15"/>
        <v>SL</v>
      </c>
      <c r="F407" s="54">
        <v>50</v>
      </c>
      <c r="G407" s="54" t="s">
        <v>512</v>
      </c>
      <c r="J407" s="54" t="str">
        <f t="shared" si="20"/>
        <v>SL70</v>
      </c>
    </row>
    <row r="408" spans="1:10" hidden="1">
      <c r="A408" s="71" t="s">
        <v>4714</v>
      </c>
      <c r="B408" s="1642"/>
      <c r="C408" s="71" t="s">
        <v>2437</v>
      </c>
      <c r="D408" s="72" t="s">
        <v>2248</v>
      </c>
      <c r="E408" s="2016" t="str">
        <f t="shared" ref="E408:E415" si="21">LEFT(A408,2)</f>
        <v>SL</v>
      </c>
      <c r="F408" s="54">
        <v>50</v>
      </c>
      <c r="G408" s="54" t="s">
        <v>512</v>
      </c>
      <c r="J408" s="54" t="str">
        <f t="shared" si="20"/>
        <v>SL75kg</v>
      </c>
    </row>
    <row r="409" spans="1:10" hidden="1">
      <c r="A409" s="71" t="s">
        <v>109</v>
      </c>
      <c r="B409" s="1642"/>
      <c r="C409" s="71" t="s">
        <v>2437</v>
      </c>
      <c r="D409" s="72" t="s">
        <v>2248</v>
      </c>
      <c r="E409" s="2016" t="str">
        <f t="shared" si="21"/>
        <v>SL</v>
      </c>
      <c r="F409" s="54">
        <v>50</v>
      </c>
      <c r="G409" s="54" t="s">
        <v>512</v>
      </c>
      <c r="J409" s="54" t="str">
        <f t="shared" si="20"/>
        <v>SL75</v>
      </c>
    </row>
    <row r="410" spans="1:10" hidden="1">
      <c r="A410" s="2014" t="str">
        <f t="shared" ref="A410:A416" si="22">"SL75-"&amp;H410</f>
        <v>SL75-1660</v>
      </c>
      <c r="B410" s="1642"/>
      <c r="C410" s="71" t="str">
        <f>"Sắt góc L75 x75 x8 "&amp;"x"&amp;H410</f>
        <v>Sắt góc L75 x75 x8 x1660</v>
      </c>
      <c r="D410" s="72" t="s">
        <v>2555</v>
      </c>
      <c r="E410" s="2016" t="str">
        <f t="shared" si="21"/>
        <v>SL</v>
      </c>
      <c r="F410" s="54">
        <v>50</v>
      </c>
      <c r="G410" s="54" t="s">
        <v>512</v>
      </c>
      <c r="H410" s="54">
        <v>1660</v>
      </c>
      <c r="J410" s="54" t="str">
        <f t="shared" si="20"/>
        <v>SL75-1660</v>
      </c>
    </row>
    <row r="411" spans="1:10" hidden="1">
      <c r="A411" s="2014" t="str">
        <f t="shared" si="22"/>
        <v>SL75-2000</v>
      </c>
      <c r="B411" s="1642"/>
      <c r="C411" s="71" t="s">
        <v>4860</v>
      </c>
      <c r="D411" s="72" t="s">
        <v>2555</v>
      </c>
      <c r="E411" s="2016" t="str">
        <f t="shared" si="21"/>
        <v>SL</v>
      </c>
      <c r="F411" s="54">
        <v>50</v>
      </c>
      <c r="G411" s="54" t="s">
        <v>512</v>
      </c>
      <c r="H411" s="54">
        <v>2000</v>
      </c>
      <c r="J411" s="54" t="str">
        <f t="shared" si="20"/>
        <v>SL75-2000</v>
      </c>
    </row>
    <row r="412" spans="1:10" hidden="1">
      <c r="A412" s="2014" t="str">
        <f t="shared" si="22"/>
        <v>SL75-1990</v>
      </c>
      <c r="B412" s="1642"/>
      <c r="C412" s="71" t="s">
        <v>4863</v>
      </c>
      <c r="D412" s="72" t="s">
        <v>2555</v>
      </c>
      <c r="E412" s="2016" t="str">
        <f>LEFT(A412,2)</f>
        <v>SL</v>
      </c>
      <c r="F412" s="54">
        <v>50</v>
      </c>
      <c r="G412" s="54" t="s">
        <v>512</v>
      </c>
      <c r="H412" s="54">
        <v>1990</v>
      </c>
      <c r="J412" s="54" t="str">
        <f>A412</f>
        <v>SL75-1990</v>
      </c>
    </row>
    <row r="413" spans="1:10" hidden="1">
      <c r="A413" s="2014" t="str">
        <f t="shared" si="22"/>
        <v>SL75-2100</v>
      </c>
      <c r="B413" s="1642"/>
      <c r="C413" s="71" t="s">
        <v>4862</v>
      </c>
      <c r="D413" s="72" t="s">
        <v>2555</v>
      </c>
      <c r="E413" s="2016" t="str">
        <f t="shared" si="21"/>
        <v>SL</v>
      </c>
      <c r="F413" s="54">
        <v>50</v>
      </c>
      <c r="G413" s="54" t="s">
        <v>512</v>
      </c>
      <c r="H413" s="54">
        <v>2100</v>
      </c>
      <c r="J413" s="54" t="str">
        <f t="shared" si="20"/>
        <v>SL75-2100</v>
      </c>
    </row>
    <row r="414" spans="1:10" hidden="1">
      <c r="A414" s="2014" t="str">
        <f t="shared" si="22"/>
        <v>SL75-2200</v>
      </c>
      <c r="B414" s="1642"/>
      <c r="C414" s="71" t="str">
        <f>"Sắt góc L75 x75 x8 "&amp;"x"&amp;H414</f>
        <v>Sắt góc L75 x75 x8 x2200</v>
      </c>
      <c r="D414" s="72" t="s">
        <v>2555</v>
      </c>
      <c r="E414" s="2016" t="str">
        <f t="shared" si="21"/>
        <v>SL</v>
      </c>
      <c r="F414" s="54">
        <v>50</v>
      </c>
      <c r="G414" s="54" t="s">
        <v>512</v>
      </c>
      <c r="H414" s="54">
        <v>2200</v>
      </c>
      <c r="J414" s="54" t="str">
        <f t="shared" si="20"/>
        <v>SL75-2200</v>
      </c>
    </row>
    <row r="415" spans="1:10" hidden="1">
      <c r="A415" s="2014" t="str">
        <f t="shared" ref="A415" si="23">"SL75-"&amp;H415</f>
        <v>SL75-2400</v>
      </c>
      <c r="B415" s="1642"/>
      <c r="C415" s="71" t="str">
        <f>"Sắt góc L75 x75 x8 "&amp;"x"&amp;H415</f>
        <v>Sắt góc L75 x75 x8 x2400</v>
      </c>
      <c r="D415" s="72" t="s">
        <v>2555</v>
      </c>
      <c r="E415" s="2016" t="str">
        <f t="shared" si="21"/>
        <v>SL</v>
      </c>
      <c r="F415" s="54">
        <v>50</v>
      </c>
      <c r="G415" s="54" t="s">
        <v>512</v>
      </c>
      <c r="H415" s="54">
        <v>2400</v>
      </c>
      <c r="J415" s="54" t="str">
        <f t="shared" ref="J415" si="24">A415</f>
        <v>SL75-2400</v>
      </c>
    </row>
    <row r="416" spans="1:10" hidden="1">
      <c r="A416" s="2014" t="str">
        <f t="shared" si="22"/>
        <v>SL75-2600</v>
      </c>
      <c r="B416" s="1642"/>
      <c r="C416" s="71" t="str">
        <f>"Sắt góc L75 x75 x8 "&amp;"x"&amp;H416</f>
        <v>Sắt góc L75 x75 x8 x2600</v>
      </c>
      <c r="D416" s="72" t="s">
        <v>2555</v>
      </c>
      <c r="E416" s="2016" t="str">
        <f t="shared" si="15"/>
        <v>SL</v>
      </c>
      <c r="F416" s="54">
        <v>50</v>
      </c>
      <c r="G416" s="54" t="s">
        <v>512</v>
      </c>
      <c r="H416" s="54">
        <v>2600</v>
      </c>
      <c r="J416" s="54" t="str">
        <f t="shared" si="20"/>
        <v>SL75-2600</v>
      </c>
    </row>
    <row r="417" spans="1:10" hidden="1">
      <c r="A417" s="71" t="s">
        <v>1973</v>
      </c>
      <c r="B417" s="1642"/>
      <c r="C417" s="71" t="s">
        <v>4802</v>
      </c>
      <c r="D417" s="72" t="s">
        <v>2248</v>
      </c>
      <c r="E417" s="2016" t="str">
        <f t="shared" si="15"/>
        <v>SO</v>
      </c>
      <c r="F417" s="54">
        <v>50</v>
      </c>
      <c r="G417" s="54" t="s">
        <v>512</v>
      </c>
      <c r="J417" s="54" t="str">
        <f t="shared" si="20"/>
        <v>SO6</v>
      </c>
    </row>
    <row r="418" spans="1:10" hidden="1">
      <c r="A418" s="71" t="s">
        <v>1424</v>
      </c>
      <c r="B418" s="1642"/>
      <c r="C418" s="71" t="s">
        <v>4803</v>
      </c>
      <c r="D418" s="72" t="s">
        <v>2248</v>
      </c>
      <c r="E418" s="2016" t="str">
        <f t="shared" si="15"/>
        <v>SO</v>
      </c>
      <c r="F418" s="54">
        <v>50</v>
      </c>
      <c r="G418" s="54" t="s">
        <v>512</v>
      </c>
      <c r="J418" s="54" t="str">
        <f t="shared" si="20"/>
        <v>SO8</v>
      </c>
    </row>
    <row r="419" spans="1:10" hidden="1">
      <c r="A419" s="71" t="s">
        <v>2008</v>
      </c>
      <c r="B419" s="1642"/>
      <c r="C419" s="71" t="s">
        <v>4804</v>
      </c>
      <c r="D419" s="72" t="s">
        <v>2248</v>
      </c>
      <c r="E419" s="2016" t="str">
        <f t="shared" si="15"/>
        <v>SO</v>
      </c>
      <c r="F419" s="54">
        <v>50</v>
      </c>
      <c r="G419" s="54" t="s">
        <v>512</v>
      </c>
      <c r="J419" s="54" t="str">
        <f t="shared" si="20"/>
        <v>SO10</v>
      </c>
    </row>
    <row r="420" spans="1:10" hidden="1">
      <c r="A420" s="71" t="s">
        <v>1516</v>
      </c>
      <c r="B420" s="1642"/>
      <c r="C420" s="71" t="s">
        <v>4805</v>
      </c>
      <c r="D420" s="72" t="s">
        <v>2248</v>
      </c>
      <c r="E420" s="2016" t="str">
        <f t="shared" si="15"/>
        <v>SO</v>
      </c>
      <c r="F420" s="54">
        <v>50</v>
      </c>
      <c r="G420" s="54" t="s">
        <v>512</v>
      </c>
      <c r="J420" s="54" t="str">
        <f t="shared" si="20"/>
        <v>SO12</v>
      </c>
    </row>
    <row r="421" spans="1:10" hidden="1">
      <c r="A421" s="71" t="s">
        <v>1435</v>
      </c>
      <c r="B421" s="1642"/>
      <c r="C421" s="71" t="s">
        <v>4806</v>
      </c>
      <c r="D421" s="72" t="s">
        <v>2248</v>
      </c>
      <c r="E421" s="2016" t="str">
        <f t="shared" si="15"/>
        <v>SO</v>
      </c>
      <c r="F421" s="54">
        <v>50</v>
      </c>
      <c r="G421" s="54" t="s">
        <v>512</v>
      </c>
      <c r="J421" s="54" t="str">
        <f t="shared" si="20"/>
        <v>SO16</v>
      </c>
    </row>
    <row r="422" spans="1:10" hidden="1">
      <c r="A422" s="71" t="s">
        <v>1974</v>
      </c>
      <c r="B422" s="1642"/>
      <c r="C422" s="71" t="s">
        <v>4807</v>
      </c>
      <c r="D422" s="72" t="s">
        <v>2248</v>
      </c>
      <c r="E422" s="2016" t="str">
        <f t="shared" si="15"/>
        <v>SO</v>
      </c>
      <c r="F422" s="54">
        <v>50</v>
      </c>
      <c r="G422" s="54" t="s">
        <v>512</v>
      </c>
      <c r="J422" s="54" t="str">
        <f t="shared" si="20"/>
        <v>SO24</v>
      </c>
    </row>
    <row r="423" spans="1:10" hidden="1">
      <c r="A423" s="71" t="s">
        <v>2225</v>
      </c>
      <c r="B423" s="1642"/>
      <c r="C423" s="71" t="s">
        <v>2958</v>
      </c>
      <c r="D423" s="72" t="s">
        <v>2248</v>
      </c>
      <c r="E423" s="2016" t="str">
        <f t="shared" si="15"/>
        <v>EK</v>
      </c>
      <c r="F423" s="54">
        <v>50</v>
      </c>
      <c r="G423" s="54" t="s">
        <v>512</v>
      </c>
      <c r="J423" s="54" t="str">
        <f t="shared" si="20"/>
        <v>EKE300</v>
      </c>
    </row>
    <row r="424" spans="1:10" hidden="1">
      <c r="A424" s="71" t="s">
        <v>52</v>
      </c>
      <c r="B424" s="1642"/>
      <c r="C424" s="1650" t="s">
        <v>2959</v>
      </c>
      <c r="D424" s="72" t="s">
        <v>2248</v>
      </c>
      <c r="E424" s="2016" t="str">
        <f t="shared" ref="E424:E492" si="25">LEFT(A424,2)</f>
        <v>th</v>
      </c>
      <c r="F424" s="54">
        <v>50</v>
      </c>
      <c r="G424" s="54" t="s">
        <v>512</v>
      </c>
      <c r="J424" s="54" t="str">
        <f t="shared" si="20"/>
        <v>thept6</v>
      </c>
    </row>
    <row r="425" spans="1:10" hidden="1">
      <c r="A425" s="71" t="s">
        <v>700</v>
      </c>
      <c r="B425" s="1642"/>
      <c r="C425" s="1650" t="s">
        <v>2960</v>
      </c>
      <c r="D425" s="72" t="s">
        <v>2248</v>
      </c>
      <c r="E425" s="2016" t="str">
        <f t="shared" si="25"/>
        <v>th</v>
      </c>
      <c r="F425" s="54">
        <v>50</v>
      </c>
      <c r="G425" s="54" t="s">
        <v>512</v>
      </c>
      <c r="J425" s="54" t="str">
        <f t="shared" si="20"/>
        <v>thept5</v>
      </c>
    </row>
    <row r="426" spans="1:10" hidden="1">
      <c r="A426" s="71" t="s">
        <v>341</v>
      </c>
      <c r="B426" s="1642"/>
      <c r="C426" s="1650" t="s">
        <v>2961</v>
      </c>
      <c r="D426" s="72" t="s">
        <v>2248</v>
      </c>
      <c r="E426" s="2016" t="str">
        <f t="shared" si="25"/>
        <v>th</v>
      </c>
      <c r="F426" s="54">
        <v>50</v>
      </c>
      <c r="G426" s="54" t="s">
        <v>512</v>
      </c>
      <c r="J426" s="54" t="str">
        <f t="shared" si="20"/>
        <v>thept4</v>
      </c>
    </row>
    <row r="427" spans="1:10" hidden="1">
      <c r="A427" s="71" t="s">
        <v>881</v>
      </c>
      <c r="B427" s="1642"/>
      <c r="C427" s="1650" t="s">
        <v>2962</v>
      </c>
      <c r="D427" s="72" t="s">
        <v>2248</v>
      </c>
      <c r="E427" s="2016" t="str">
        <f t="shared" si="25"/>
        <v>th</v>
      </c>
      <c r="F427" s="54">
        <v>50</v>
      </c>
      <c r="G427" s="54" t="s">
        <v>512</v>
      </c>
      <c r="J427" s="54" t="str">
        <f t="shared" si="20"/>
        <v>thept2</v>
      </c>
    </row>
    <row r="428" spans="1:10" hidden="1">
      <c r="A428" s="71" t="s">
        <v>607</v>
      </c>
      <c r="B428" s="1642"/>
      <c r="C428" s="71" t="s">
        <v>4357</v>
      </c>
      <c r="D428" s="72" t="s">
        <v>2439</v>
      </c>
      <c r="E428" s="2016" t="str">
        <f t="shared" si="25"/>
        <v>CL</v>
      </c>
      <c r="F428" s="54">
        <v>50</v>
      </c>
      <c r="G428" s="54" t="s">
        <v>512</v>
      </c>
      <c r="J428" s="54" t="str">
        <f t="shared" si="20"/>
        <v>CL</v>
      </c>
    </row>
    <row r="429" spans="1:10" hidden="1">
      <c r="A429" s="71" t="s">
        <v>188</v>
      </c>
      <c r="B429" s="1642"/>
      <c r="C429" s="71" t="s">
        <v>4358</v>
      </c>
      <c r="D429" s="72" t="s">
        <v>2439</v>
      </c>
      <c r="E429" s="2016" t="str">
        <f t="shared" si="25"/>
        <v>CL</v>
      </c>
      <c r="F429" s="54">
        <v>50</v>
      </c>
      <c r="G429" s="54" t="s">
        <v>512</v>
      </c>
      <c r="J429" s="54" t="str">
        <f t="shared" si="20"/>
        <v>CLHT</v>
      </c>
    </row>
    <row r="430" spans="1:10" hidden="1">
      <c r="A430" s="1643" t="s">
        <v>2047</v>
      </c>
      <c r="B430" s="75"/>
      <c r="C430" s="1643" t="s">
        <v>4359</v>
      </c>
      <c r="D430" s="72" t="s">
        <v>2555</v>
      </c>
      <c r="E430" s="2016" t="str">
        <f t="shared" si="25"/>
        <v>TN</v>
      </c>
      <c r="F430" s="54">
        <v>50</v>
      </c>
      <c r="G430" s="54" t="s">
        <v>512</v>
      </c>
      <c r="J430" s="54" t="str">
        <f t="shared" si="20"/>
        <v>TN1618</v>
      </c>
    </row>
    <row r="431" spans="1:10" hidden="1">
      <c r="A431" s="1643" t="s">
        <v>746</v>
      </c>
      <c r="B431" s="75"/>
      <c r="C431" s="1643" t="s">
        <v>4360</v>
      </c>
      <c r="D431" s="72" t="s">
        <v>2555</v>
      </c>
      <c r="E431" s="2016" t="str">
        <f t="shared" si="25"/>
        <v>TN</v>
      </c>
      <c r="F431" s="54">
        <v>50</v>
      </c>
      <c r="G431" s="54" t="s">
        <v>512</v>
      </c>
      <c r="J431" s="54" t="str">
        <f t="shared" si="20"/>
        <v>TN1624</v>
      </c>
    </row>
    <row r="432" spans="1:10" hidden="1">
      <c r="A432" s="1643" t="s">
        <v>2163</v>
      </c>
      <c r="B432" s="75"/>
      <c r="C432" s="1643" t="s">
        <v>4361</v>
      </c>
      <c r="D432" s="72" t="s">
        <v>2555</v>
      </c>
      <c r="E432" s="2016" t="str">
        <f t="shared" si="25"/>
        <v>TN</v>
      </c>
      <c r="F432" s="54">
        <v>50</v>
      </c>
      <c r="G432" s="54" t="s">
        <v>512</v>
      </c>
      <c r="J432" s="54" t="str">
        <f t="shared" si="20"/>
        <v>TN1824</v>
      </c>
    </row>
    <row r="433" spans="1:10" hidden="1">
      <c r="A433" s="1643" t="s">
        <v>536</v>
      </c>
      <c r="B433" s="75"/>
      <c r="C433" s="1643" t="s">
        <v>4362</v>
      </c>
      <c r="D433" s="72" t="s">
        <v>2555</v>
      </c>
      <c r="E433" s="2016" t="str">
        <f t="shared" si="25"/>
        <v>TN</v>
      </c>
      <c r="F433" s="54">
        <v>50</v>
      </c>
      <c r="G433" s="54" t="s">
        <v>512</v>
      </c>
      <c r="J433" s="54" t="str">
        <f t="shared" si="20"/>
        <v>TN2224</v>
      </c>
    </row>
    <row r="434" spans="1:10" hidden="1">
      <c r="A434" s="1643" t="s">
        <v>1999</v>
      </c>
      <c r="B434" s="75"/>
      <c r="C434" s="1643" t="s">
        <v>4363</v>
      </c>
      <c r="D434" s="72" t="s">
        <v>2555</v>
      </c>
      <c r="E434" s="2016" t="str">
        <f t="shared" si="25"/>
        <v>TN</v>
      </c>
      <c r="F434" s="54">
        <v>50</v>
      </c>
      <c r="G434" s="54" t="s">
        <v>512</v>
      </c>
      <c r="J434" s="54" t="str">
        <f t="shared" si="20"/>
        <v>TN30</v>
      </c>
    </row>
    <row r="435" spans="1:10" hidden="1">
      <c r="A435" s="1643" t="s">
        <v>113</v>
      </c>
      <c r="B435" s="75"/>
      <c r="C435" s="1643" t="s">
        <v>4364</v>
      </c>
      <c r="D435" s="72" t="s">
        <v>2555</v>
      </c>
      <c r="E435" s="2016" t="str">
        <f t="shared" si="25"/>
        <v>TN</v>
      </c>
      <c r="F435" s="54">
        <v>50</v>
      </c>
      <c r="G435" s="54" t="s">
        <v>512</v>
      </c>
      <c r="J435" s="54" t="str">
        <f t="shared" si="20"/>
        <v>TN37</v>
      </c>
    </row>
    <row r="436" spans="1:10" hidden="1">
      <c r="A436" s="71" t="s">
        <v>1289</v>
      </c>
      <c r="B436" s="75" t="s">
        <v>1746</v>
      </c>
      <c r="C436" s="71" t="s">
        <v>2963</v>
      </c>
      <c r="D436" s="72" t="s">
        <v>2555</v>
      </c>
      <c r="E436" s="2016" t="str">
        <f t="shared" si="25"/>
        <v>NX</v>
      </c>
      <c r="F436" s="54">
        <v>50</v>
      </c>
      <c r="G436" s="54" t="s">
        <v>512</v>
      </c>
      <c r="J436" s="54" t="str">
        <f t="shared" si="20"/>
        <v>NX</v>
      </c>
    </row>
    <row r="437" spans="1:10" hidden="1">
      <c r="A437" s="71" t="s">
        <v>1290</v>
      </c>
      <c r="B437" s="1642" t="s">
        <v>1754</v>
      </c>
      <c r="C437" s="71" t="s">
        <v>2964</v>
      </c>
      <c r="D437" s="72" t="s">
        <v>2439</v>
      </c>
      <c r="E437" s="2016" t="str">
        <f t="shared" si="25"/>
        <v>CD</v>
      </c>
      <c r="F437" s="54">
        <v>50</v>
      </c>
      <c r="G437" s="54" t="s">
        <v>512</v>
      </c>
      <c r="J437" s="54" t="str">
        <f t="shared" si="20"/>
        <v>CD142</v>
      </c>
    </row>
    <row r="438" spans="1:10" hidden="1">
      <c r="A438" s="71" t="s">
        <v>222</v>
      </c>
      <c r="B438" s="1642" t="s">
        <v>1754</v>
      </c>
      <c r="C438" s="71" t="s">
        <v>2965</v>
      </c>
      <c r="D438" s="72" t="s">
        <v>2439</v>
      </c>
      <c r="E438" s="2016" t="str">
        <f t="shared" si="25"/>
        <v>CD</v>
      </c>
      <c r="F438" s="54">
        <v>50</v>
      </c>
      <c r="G438" s="54" t="s">
        <v>512</v>
      </c>
      <c r="J438" s="54" t="str">
        <f t="shared" si="20"/>
        <v>CD142a</v>
      </c>
    </row>
    <row r="439" spans="1:10" hidden="1">
      <c r="A439" s="71" t="s">
        <v>1838</v>
      </c>
      <c r="B439" s="1642" t="s">
        <v>1754</v>
      </c>
      <c r="C439" s="71" t="s">
        <v>2966</v>
      </c>
      <c r="D439" s="72" t="s">
        <v>2439</v>
      </c>
      <c r="E439" s="2016" t="str">
        <f t="shared" si="25"/>
        <v>CD</v>
      </c>
      <c r="F439" s="54">
        <v>50</v>
      </c>
      <c r="G439" s="54" t="s">
        <v>512</v>
      </c>
      <c r="J439" s="54" t="str">
        <f t="shared" si="20"/>
        <v>CD146</v>
      </c>
    </row>
    <row r="440" spans="1:10" hidden="1">
      <c r="A440" s="71" t="s">
        <v>1850</v>
      </c>
      <c r="B440" s="1642" t="s">
        <v>1754</v>
      </c>
      <c r="C440" s="71" t="s">
        <v>2967</v>
      </c>
      <c r="D440" s="72" t="s">
        <v>2439</v>
      </c>
      <c r="E440" s="2016" t="str">
        <f t="shared" si="25"/>
        <v>CD</v>
      </c>
      <c r="F440" s="54">
        <v>50</v>
      </c>
      <c r="G440" s="54" t="s">
        <v>512</v>
      </c>
      <c r="J440" s="54" t="str">
        <f t="shared" si="20"/>
        <v>CD146a</v>
      </c>
    </row>
    <row r="441" spans="1:10" hidden="1">
      <c r="A441" s="71" t="s">
        <v>844</v>
      </c>
      <c r="B441" s="1642" t="s">
        <v>1754</v>
      </c>
      <c r="C441" s="71" t="s">
        <v>2968</v>
      </c>
      <c r="D441" s="72" t="s">
        <v>2439</v>
      </c>
      <c r="E441" s="2016" t="str">
        <f t="shared" si="25"/>
        <v>CD</v>
      </c>
      <c r="F441" s="54">
        <v>50</v>
      </c>
      <c r="G441" s="54" t="s">
        <v>512</v>
      </c>
      <c r="J441" s="54" t="str">
        <f t="shared" si="20"/>
        <v>CD682</v>
      </c>
    </row>
    <row r="442" spans="1:10" hidden="1">
      <c r="A442" s="71" t="s">
        <v>1130</v>
      </c>
      <c r="B442" s="1642" t="s">
        <v>682</v>
      </c>
      <c r="C442" s="71" t="s">
        <v>5470</v>
      </c>
      <c r="D442" s="72" t="s">
        <v>2439</v>
      </c>
      <c r="E442" s="2016" t="str">
        <f t="shared" si="25"/>
        <v>LC</v>
      </c>
      <c r="F442" s="54">
        <v>2000</v>
      </c>
      <c r="G442" s="54" t="s">
        <v>512</v>
      </c>
      <c r="J442" s="54" t="str">
        <f t="shared" si="20"/>
        <v>LCD</v>
      </c>
    </row>
    <row r="443" spans="1:10" hidden="1">
      <c r="A443" s="71" t="s">
        <v>1592</v>
      </c>
      <c r="B443" s="1642" t="s">
        <v>1754</v>
      </c>
      <c r="C443" s="71" t="s">
        <v>4355</v>
      </c>
      <c r="D443" s="72" t="s">
        <v>2439</v>
      </c>
      <c r="E443" s="2016" t="str">
        <f t="shared" si="25"/>
        <v>CD</v>
      </c>
      <c r="F443" s="54">
        <v>50</v>
      </c>
      <c r="G443" s="54" t="s">
        <v>512</v>
      </c>
      <c r="J443" s="54" t="str">
        <f t="shared" si="20"/>
        <v>CD21</v>
      </c>
    </row>
    <row r="444" spans="1:10" hidden="1">
      <c r="A444" s="71" t="s">
        <v>374</v>
      </c>
      <c r="B444" s="1642" t="s">
        <v>1754</v>
      </c>
      <c r="C444" s="71" t="s">
        <v>4365</v>
      </c>
      <c r="D444" s="72" t="s">
        <v>2439</v>
      </c>
      <c r="E444" s="2016" t="str">
        <f t="shared" si="25"/>
        <v>CD</v>
      </c>
      <c r="F444" s="54">
        <v>50</v>
      </c>
      <c r="G444" s="54" t="s">
        <v>512</v>
      </c>
      <c r="J444" s="54" t="str">
        <f t="shared" si="20"/>
        <v>CD21S10</v>
      </c>
    </row>
    <row r="445" spans="1:10" hidden="1">
      <c r="A445" s="71" t="s">
        <v>1991</v>
      </c>
      <c r="B445" s="1642" t="s">
        <v>1754</v>
      </c>
      <c r="C445" s="71" t="s">
        <v>4366</v>
      </c>
      <c r="D445" s="72" t="s">
        <v>2439</v>
      </c>
      <c r="E445" s="2016" t="str">
        <f t="shared" si="25"/>
        <v>CD</v>
      </c>
      <c r="F445" s="54">
        <v>50</v>
      </c>
      <c r="G445" s="54" t="s">
        <v>512</v>
      </c>
      <c r="J445" s="54" t="str">
        <f t="shared" si="20"/>
        <v>CD60</v>
      </c>
    </row>
    <row r="446" spans="1:10" hidden="1">
      <c r="A446" s="71" t="s">
        <v>1990</v>
      </c>
      <c r="B446" s="1642" t="s">
        <v>1754</v>
      </c>
      <c r="C446" s="71" t="s">
        <v>4367</v>
      </c>
      <c r="D446" s="72" t="s">
        <v>2439</v>
      </c>
      <c r="E446" s="2016" t="str">
        <f t="shared" si="25"/>
        <v>CD</v>
      </c>
      <c r="F446" s="54">
        <v>50</v>
      </c>
      <c r="G446" s="54" t="s">
        <v>512</v>
      </c>
      <c r="J446" s="54" t="str">
        <f t="shared" si="20"/>
        <v>CD90</v>
      </c>
    </row>
    <row r="447" spans="1:10" hidden="1">
      <c r="A447" s="71" t="s">
        <v>731</v>
      </c>
      <c r="B447" s="1642" t="s">
        <v>1754</v>
      </c>
      <c r="C447" s="71" t="s">
        <v>4368</v>
      </c>
      <c r="D447" s="72" t="s">
        <v>2439</v>
      </c>
      <c r="E447" s="2016" t="str">
        <f t="shared" si="25"/>
        <v>CD</v>
      </c>
      <c r="F447" s="54">
        <v>50</v>
      </c>
      <c r="G447" s="54" t="s">
        <v>512</v>
      </c>
      <c r="J447" s="54" t="str">
        <f t="shared" si="20"/>
        <v>CD114</v>
      </c>
    </row>
    <row r="448" spans="1:10" hidden="1">
      <c r="A448" s="71" t="s">
        <v>1536</v>
      </c>
      <c r="B448" s="1642" t="s">
        <v>1754</v>
      </c>
      <c r="C448" s="71" t="s">
        <v>4369</v>
      </c>
      <c r="D448" s="72" t="s">
        <v>2439</v>
      </c>
      <c r="E448" s="2016" t="str">
        <f t="shared" si="25"/>
        <v>CD</v>
      </c>
      <c r="F448" s="54">
        <v>50</v>
      </c>
      <c r="G448" s="54" t="s">
        <v>512</v>
      </c>
      <c r="J448" s="54" t="str">
        <f t="shared" si="20"/>
        <v>CD140</v>
      </c>
    </row>
    <row r="449" spans="1:10" hidden="1">
      <c r="A449" s="71" t="s">
        <v>945</v>
      </c>
      <c r="B449" s="1642" t="s">
        <v>1754</v>
      </c>
      <c r="C449" s="71" t="s">
        <v>4370</v>
      </c>
      <c r="D449" s="72" t="s">
        <v>2439</v>
      </c>
      <c r="E449" s="2016" t="str">
        <f t="shared" si="25"/>
        <v>CD</v>
      </c>
      <c r="F449" s="54">
        <v>50</v>
      </c>
      <c r="G449" s="54" t="s">
        <v>512</v>
      </c>
      <c r="J449" s="54" t="str">
        <f t="shared" si="20"/>
        <v>CD140TK</v>
      </c>
    </row>
    <row r="450" spans="1:10" hidden="1">
      <c r="A450" s="71" t="s">
        <v>225</v>
      </c>
      <c r="B450" s="1642" t="s">
        <v>1754</v>
      </c>
      <c r="C450" s="71" t="s">
        <v>4371</v>
      </c>
      <c r="D450" s="72" t="s">
        <v>2439</v>
      </c>
      <c r="E450" s="2016" t="str">
        <f t="shared" si="25"/>
        <v>CD</v>
      </c>
      <c r="F450" s="54">
        <v>50</v>
      </c>
      <c r="G450" s="54" t="s">
        <v>512</v>
      </c>
      <c r="J450" s="54" t="str">
        <f t="shared" si="20"/>
        <v>CD195</v>
      </c>
    </row>
    <row r="451" spans="1:10" hidden="1">
      <c r="A451" s="71" t="s">
        <v>845</v>
      </c>
      <c r="B451" s="1642" t="s">
        <v>1754</v>
      </c>
      <c r="C451" s="71" t="s">
        <v>4372</v>
      </c>
      <c r="D451" s="72" t="s">
        <v>2439</v>
      </c>
      <c r="E451" s="2016" t="str">
        <f t="shared" si="25"/>
        <v>CD</v>
      </c>
      <c r="F451" s="54">
        <v>50</v>
      </c>
      <c r="G451" s="54" t="s">
        <v>512</v>
      </c>
      <c r="J451" s="54" t="str">
        <f t="shared" si="20"/>
        <v>CD207</v>
      </c>
    </row>
    <row r="452" spans="1:10" hidden="1">
      <c r="A452" s="71" t="s">
        <v>1989</v>
      </c>
      <c r="B452" s="1642" t="s">
        <v>1754</v>
      </c>
      <c r="C452" s="71" t="s">
        <v>4373</v>
      </c>
      <c r="D452" s="72" t="s">
        <v>2439</v>
      </c>
      <c r="E452" s="2016" t="str">
        <f t="shared" si="25"/>
        <v>CD</v>
      </c>
      <c r="F452" s="54">
        <v>50</v>
      </c>
      <c r="G452" s="54" t="s">
        <v>512</v>
      </c>
      <c r="J452" s="54" t="str">
        <f t="shared" si="20"/>
        <v>CD220</v>
      </c>
    </row>
    <row r="453" spans="1:10" hidden="1">
      <c r="A453" s="71" t="s">
        <v>803</v>
      </c>
      <c r="B453" s="1642" t="s">
        <v>1754</v>
      </c>
      <c r="C453" s="71" t="s">
        <v>4374</v>
      </c>
      <c r="D453" s="72" t="s">
        <v>2439</v>
      </c>
      <c r="E453" s="2016" t="str">
        <f t="shared" si="25"/>
        <v>CD</v>
      </c>
      <c r="F453" s="54">
        <v>50</v>
      </c>
      <c r="G453" s="54" t="s">
        <v>512</v>
      </c>
      <c r="J453" s="54" t="str">
        <f t="shared" si="20"/>
        <v>CD240</v>
      </c>
    </row>
    <row r="454" spans="1:10" hidden="1">
      <c r="A454" s="71" t="s">
        <v>2070</v>
      </c>
      <c r="B454" s="1642" t="s">
        <v>1754</v>
      </c>
      <c r="C454" s="71" t="s">
        <v>4375</v>
      </c>
      <c r="D454" s="72" t="s">
        <v>2439</v>
      </c>
      <c r="E454" s="2016" t="str">
        <f t="shared" si="25"/>
        <v>CD</v>
      </c>
      <c r="F454" s="54">
        <v>50</v>
      </c>
      <c r="G454" s="54" t="s">
        <v>512</v>
      </c>
      <c r="J454" s="54" t="str">
        <f t="shared" si="20"/>
        <v>CD250</v>
      </c>
    </row>
    <row r="455" spans="1:10" hidden="1">
      <c r="A455" s="71" t="s">
        <v>319</v>
      </c>
      <c r="B455" s="1642" t="s">
        <v>1754</v>
      </c>
      <c r="C455" s="71" t="s">
        <v>2969</v>
      </c>
      <c r="D455" s="72" t="s">
        <v>2439</v>
      </c>
      <c r="E455" s="2016" t="str">
        <f t="shared" si="25"/>
        <v>CD</v>
      </c>
      <c r="F455" s="54">
        <v>50</v>
      </c>
      <c r="G455" s="54" t="s">
        <v>512</v>
      </c>
      <c r="J455" s="54" t="str">
        <f t="shared" si="20"/>
        <v>CD320</v>
      </c>
    </row>
    <row r="456" spans="1:10" hidden="1">
      <c r="A456" s="71" t="s">
        <v>1877</v>
      </c>
      <c r="B456" s="1642" t="s">
        <v>1754</v>
      </c>
      <c r="C456" s="1651" t="s">
        <v>2970</v>
      </c>
      <c r="D456" s="72" t="s">
        <v>2439</v>
      </c>
      <c r="E456" s="2016" t="str">
        <f t="shared" si="25"/>
        <v>Cd</v>
      </c>
      <c r="F456" s="54">
        <v>50</v>
      </c>
      <c r="G456" s="54" t="s">
        <v>512</v>
      </c>
      <c r="J456" s="54" t="str">
        <f t="shared" si="20"/>
        <v>Cdtrudoi</v>
      </c>
    </row>
    <row r="457" spans="1:10" hidden="1">
      <c r="A457" s="71" t="s">
        <v>1878</v>
      </c>
      <c r="B457" s="1642" t="s">
        <v>1754</v>
      </c>
      <c r="C457" s="1651" t="s">
        <v>2971</v>
      </c>
      <c r="D457" s="72" t="s">
        <v>2439</v>
      </c>
      <c r="E457" s="2016" t="str">
        <f t="shared" si="25"/>
        <v>Cd</v>
      </c>
      <c r="F457" s="54">
        <v>50</v>
      </c>
      <c r="G457" s="54" t="s">
        <v>512</v>
      </c>
      <c r="J457" s="54" t="str">
        <f t="shared" si="20"/>
        <v>CdtrudoiHT</v>
      </c>
    </row>
    <row r="458" spans="1:10" hidden="1">
      <c r="A458" s="71" t="s">
        <v>472</v>
      </c>
      <c r="B458" s="1642" t="s">
        <v>1754</v>
      </c>
      <c r="C458" s="1651" t="s">
        <v>2972</v>
      </c>
      <c r="D458" s="72" t="s">
        <v>2439</v>
      </c>
      <c r="E458" s="2016" t="str">
        <f t="shared" si="25"/>
        <v>Cd</v>
      </c>
      <c r="F458" s="54">
        <v>50</v>
      </c>
      <c r="G458" s="54" t="s">
        <v>512</v>
      </c>
      <c r="J458" s="54" t="str">
        <f t="shared" si="20"/>
        <v>Cdedaucap</v>
      </c>
    </row>
    <row r="459" spans="1:10" hidden="1">
      <c r="A459" s="71" t="s">
        <v>223</v>
      </c>
      <c r="B459" s="1642" t="s">
        <v>1754</v>
      </c>
      <c r="C459" s="1651" t="s">
        <v>2973</v>
      </c>
      <c r="D459" s="72" t="s">
        <v>2439</v>
      </c>
      <c r="E459" s="2016" t="str">
        <f t="shared" si="25"/>
        <v>Cd</v>
      </c>
      <c r="F459" s="54">
        <v>50</v>
      </c>
      <c r="G459" s="54" t="s">
        <v>512</v>
      </c>
      <c r="J459" s="54" t="str">
        <f t="shared" si="20"/>
        <v>Cdtrudoi140</v>
      </c>
    </row>
    <row r="460" spans="1:10" hidden="1">
      <c r="A460" s="71" t="s">
        <v>471</v>
      </c>
      <c r="B460" s="1642" t="s">
        <v>1754</v>
      </c>
      <c r="C460" s="1651" t="s">
        <v>2974</v>
      </c>
      <c r="D460" s="72" t="s">
        <v>2439</v>
      </c>
      <c r="E460" s="2016" t="str">
        <f t="shared" si="25"/>
        <v>Cd</v>
      </c>
      <c r="F460" s="54">
        <v>50</v>
      </c>
      <c r="G460" s="54" t="s">
        <v>512</v>
      </c>
      <c r="J460" s="54" t="str">
        <f t="shared" si="20"/>
        <v>Cdtru140</v>
      </c>
    </row>
    <row r="461" spans="1:10" hidden="1">
      <c r="A461" s="71" t="s">
        <v>2002</v>
      </c>
      <c r="B461" s="1642" t="s">
        <v>1754</v>
      </c>
      <c r="C461" s="1651" t="s">
        <v>2975</v>
      </c>
      <c r="D461" s="72" t="s">
        <v>2439</v>
      </c>
      <c r="E461" s="2016" t="str">
        <f t="shared" si="25"/>
        <v>Cd</v>
      </c>
      <c r="F461" s="54">
        <v>50</v>
      </c>
      <c r="G461" s="54" t="s">
        <v>512</v>
      </c>
      <c r="J461" s="54" t="str">
        <f t="shared" si="20"/>
        <v>Cdeoptru</v>
      </c>
    </row>
    <row r="462" spans="1:10" hidden="1">
      <c r="A462" s="71" t="s">
        <v>2420</v>
      </c>
      <c r="B462" s="1642" t="s">
        <v>1754</v>
      </c>
      <c r="C462" s="1652" t="s">
        <v>2976</v>
      </c>
      <c r="D462" s="72" t="s">
        <v>2439</v>
      </c>
      <c r="E462" s="2016" t="str">
        <f t="shared" si="25"/>
        <v>CD</v>
      </c>
      <c r="F462" s="54">
        <v>50</v>
      </c>
      <c r="G462" s="54" t="s">
        <v>512</v>
      </c>
      <c r="J462" s="54" t="str">
        <f t="shared" si="20"/>
        <v>CD bắt xà</v>
      </c>
    </row>
    <row r="463" spans="1:10" hidden="1">
      <c r="A463" s="71" t="s">
        <v>226</v>
      </c>
      <c r="B463" s="1642" t="s">
        <v>1754</v>
      </c>
      <c r="C463" s="1651" t="s">
        <v>2977</v>
      </c>
      <c r="D463" s="72" t="s">
        <v>2439</v>
      </c>
      <c r="E463" s="2016" t="str">
        <f t="shared" si="25"/>
        <v>CD</v>
      </c>
      <c r="F463" s="54">
        <v>50</v>
      </c>
      <c r="G463" s="54" t="s">
        <v>512</v>
      </c>
      <c r="J463" s="54" t="str">
        <f t="shared" si="20"/>
        <v>CD30x3</v>
      </c>
    </row>
    <row r="464" spans="1:10" hidden="1">
      <c r="A464" s="71" t="s">
        <v>227</v>
      </c>
      <c r="B464" s="1642" t="s">
        <v>1754</v>
      </c>
      <c r="C464" s="1651" t="s">
        <v>2978</v>
      </c>
      <c r="D464" s="72" t="s">
        <v>2439</v>
      </c>
      <c r="E464" s="2016" t="str">
        <f t="shared" si="25"/>
        <v>CD</v>
      </c>
      <c r="F464" s="54">
        <v>50</v>
      </c>
      <c r="G464" s="54" t="s">
        <v>512</v>
      </c>
      <c r="J464" s="54" t="str">
        <f t="shared" si="20"/>
        <v>CD25x2</v>
      </c>
    </row>
    <row r="465" spans="1:10" hidden="1">
      <c r="A465" s="71" t="s">
        <v>1819</v>
      </c>
      <c r="B465" s="1642" t="s">
        <v>1754</v>
      </c>
      <c r="C465" s="71" t="s">
        <v>4376</v>
      </c>
      <c r="D465" s="72" t="s">
        <v>2439</v>
      </c>
      <c r="E465" s="2016" t="str">
        <f t="shared" si="25"/>
        <v>CD</v>
      </c>
      <c r="F465" s="54">
        <v>50</v>
      </c>
      <c r="G465" s="54" t="s">
        <v>512</v>
      </c>
      <c r="J465" s="54" t="str">
        <f t="shared" si="20"/>
        <v>CD21T</v>
      </c>
    </row>
    <row r="466" spans="1:10" hidden="1">
      <c r="A466" s="71" t="s">
        <v>203</v>
      </c>
      <c r="B466" s="1642" t="s">
        <v>1754</v>
      </c>
      <c r="C466" s="1651" t="s">
        <v>2979</v>
      </c>
      <c r="D466" s="72" t="s">
        <v>2439</v>
      </c>
      <c r="E466" s="2016" t="str">
        <f t="shared" si="25"/>
        <v>Cd</v>
      </c>
      <c r="F466" s="54">
        <v>50</v>
      </c>
      <c r="G466" s="54" t="s">
        <v>512</v>
      </c>
      <c r="J466" s="54" t="str">
        <f t="shared" si="20"/>
        <v>Cd42T</v>
      </c>
    </row>
    <row r="467" spans="1:10" hidden="1">
      <c r="A467" s="71" t="s">
        <v>1244</v>
      </c>
      <c r="B467" s="1642" t="s">
        <v>1754</v>
      </c>
      <c r="C467" s="1651" t="s">
        <v>2980</v>
      </c>
      <c r="D467" s="72" t="s">
        <v>2439</v>
      </c>
      <c r="E467" s="2016" t="str">
        <f t="shared" si="25"/>
        <v>Cd</v>
      </c>
      <c r="F467" s="54">
        <v>50</v>
      </c>
      <c r="G467" s="54" t="s">
        <v>512</v>
      </c>
      <c r="J467" s="54" t="str">
        <f t="shared" si="20"/>
        <v>Cd114T</v>
      </c>
    </row>
    <row r="468" spans="1:10" hidden="1">
      <c r="A468" s="71" t="s">
        <v>120</v>
      </c>
      <c r="B468" s="1642" t="s">
        <v>1754</v>
      </c>
      <c r="C468" s="1651" t="s">
        <v>2981</v>
      </c>
      <c r="D468" s="72" t="s">
        <v>2439</v>
      </c>
      <c r="E468" s="2016" t="str">
        <f t="shared" si="25"/>
        <v>Cd</v>
      </c>
      <c r="F468" s="54">
        <v>50</v>
      </c>
      <c r="G468" s="54" t="s">
        <v>512</v>
      </c>
      <c r="J468" s="54" t="str">
        <f t="shared" si="20"/>
        <v>Cd140T</v>
      </c>
    </row>
    <row r="469" spans="1:10" hidden="1">
      <c r="A469" s="71" t="s">
        <v>588</v>
      </c>
      <c r="B469" s="1642" t="s">
        <v>1754</v>
      </c>
      <c r="C469" s="1651" t="s">
        <v>2982</v>
      </c>
      <c r="D469" s="72" t="s">
        <v>2439</v>
      </c>
      <c r="E469" s="2016" t="str">
        <f>LEFT(A469,2)</f>
        <v>CD</v>
      </c>
      <c r="F469" s="54">
        <v>50</v>
      </c>
      <c r="G469" s="54" t="s">
        <v>512</v>
      </c>
      <c r="J469" s="54" t="str">
        <f t="shared" si="20"/>
        <v>CD5x50</v>
      </c>
    </row>
    <row r="470" spans="1:10" hidden="1">
      <c r="A470" s="71" t="s">
        <v>4843</v>
      </c>
      <c r="B470" s="1642" t="s">
        <v>1754</v>
      </c>
      <c r="C470" s="1651" t="s">
        <v>4842</v>
      </c>
      <c r="D470" s="72" t="s">
        <v>2439</v>
      </c>
      <c r="E470" s="2016" t="str">
        <f t="shared" si="25"/>
        <v>CD</v>
      </c>
      <c r="F470" s="54">
        <v>50</v>
      </c>
      <c r="G470" s="54" t="s">
        <v>512</v>
      </c>
      <c r="J470" s="54" t="str">
        <f t="shared" ref="J470:J534" si="26">A470</f>
        <v>CD6x60</v>
      </c>
    </row>
    <row r="471" spans="1:10" hidden="1">
      <c r="A471" s="71" t="s">
        <v>569</v>
      </c>
      <c r="B471" s="1642" t="s">
        <v>1754</v>
      </c>
      <c r="C471" s="1651" t="s">
        <v>2983</v>
      </c>
      <c r="D471" s="72" t="s">
        <v>2439</v>
      </c>
      <c r="E471" s="2016" t="str">
        <f t="shared" si="25"/>
        <v>CD</v>
      </c>
      <c r="F471" s="54">
        <v>50</v>
      </c>
      <c r="G471" s="54" t="s">
        <v>512</v>
      </c>
      <c r="J471" s="54" t="str">
        <f t="shared" si="26"/>
        <v>CDXA</v>
      </c>
    </row>
    <row r="472" spans="1:10" hidden="1">
      <c r="A472" s="71" t="s">
        <v>4328</v>
      </c>
      <c r="B472" s="1642"/>
      <c r="C472" s="1651" t="s">
        <v>4329</v>
      </c>
      <c r="D472" s="72" t="s">
        <v>2555</v>
      </c>
      <c r="E472" s="2016" t="str">
        <f t="shared" si="25"/>
        <v>CO</v>
      </c>
      <c r="F472" s="54">
        <v>50</v>
      </c>
      <c r="G472" s="54" t="s">
        <v>512</v>
      </c>
      <c r="J472" s="54" t="str">
        <f t="shared" si="26"/>
        <v>COM110x800x5-2,4</v>
      </c>
    </row>
    <row r="473" spans="1:10" hidden="1">
      <c r="A473" s="71" t="s">
        <v>4453</v>
      </c>
      <c r="B473" s="1642"/>
      <c r="C473" s="1651" t="s">
        <v>4454</v>
      </c>
      <c r="D473" s="72" t="s">
        <v>2555</v>
      </c>
      <c r="E473" s="2016" t="str">
        <f>LEFT(A473,2)</f>
        <v>CO</v>
      </c>
      <c r="F473" s="54">
        <v>50</v>
      </c>
      <c r="G473" s="54" t="s">
        <v>512</v>
      </c>
      <c r="J473" s="54" t="str">
        <f t="shared" si="26"/>
        <v>COM110x800x5-2,6</v>
      </c>
    </row>
    <row r="474" spans="1:10" hidden="1">
      <c r="A474" s="71" t="s">
        <v>4542</v>
      </c>
      <c r="B474" s="1642"/>
      <c r="C474" s="1651" t="s">
        <v>4865</v>
      </c>
      <c r="D474" s="72" t="s">
        <v>2555</v>
      </c>
      <c r="E474" s="2016" t="str">
        <f>LEFT(A474,2)</f>
        <v>CO</v>
      </c>
      <c r="F474" s="54">
        <v>50</v>
      </c>
      <c r="G474" s="54" t="s">
        <v>512</v>
      </c>
      <c r="J474" s="54" t="str">
        <f t="shared" si="26"/>
        <v>COM08</v>
      </c>
    </row>
    <row r="475" spans="1:10" hidden="1">
      <c r="A475" s="71" t="s">
        <v>4512</v>
      </c>
      <c r="B475" s="1642"/>
      <c r="C475" s="1651" t="s">
        <v>4513</v>
      </c>
      <c r="D475" s="72" t="s">
        <v>2439</v>
      </c>
      <c r="E475" s="2016" t="str">
        <f>LEFT(A475,2)</f>
        <v>CO</v>
      </c>
      <c r="F475" s="54">
        <v>50</v>
      </c>
      <c r="G475" s="54" t="s">
        <v>512</v>
      </c>
      <c r="J475" s="54" t="str">
        <f t="shared" si="26"/>
        <v>COM08-720</v>
      </c>
    </row>
    <row r="476" spans="1:10" hidden="1">
      <c r="A476" s="71" t="s">
        <v>4729</v>
      </c>
      <c r="B476" s="1642"/>
      <c r="C476" s="1651" t="s">
        <v>4866</v>
      </c>
      <c r="D476" s="72" t="s">
        <v>2555</v>
      </c>
      <c r="E476" s="2016" t="str">
        <f>LEFT(A476,2)</f>
        <v>co</v>
      </c>
      <c r="F476" s="54">
        <v>50</v>
      </c>
      <c r="G476" s="54" t="s">
        <v>512</v>
      </c>
      <c r="J476" s="54" t="str">
        <f t="shared" si="26"/>
        <v>com40x10x720</v>
      </c>
    </row>
    <row r="477" spans="1:10" hidden="1">
      <c r="A477" s="71" t="s">
        <v>362</v>
      </c>
      <c r="B477" s="1642"/>
      <c r="C477" s="1651" t="s">
        <v>2984</v>
      </c>
      <c r="D477" s="72" t="s">
        <v>2555</v>
      </c>
      <c r="E477" s="2016" t="str">
        <f t="shared" si="25"/>
        <v>CO</v>
      </c>
      <c r="F477" s="54">
        <v>50</v>
      </c>
      <c r="G477" s="54" t="s">
        <v>512</v>
      </c>
      <c r="J477" s="54" t="str">
        <f t="shared" si="26"/>
        <v>COM110x800x5</v>
      </c>
    </row>
    <row r="478" spans="1:10" hidden="1">
      <c r="A478" s="71" t="s">
        <v>363</v>
      </c>
      <c r="B478" s="1642"/>
      <c r="C478" s="1651" t="s">
        <v>2985</v>
      </c>
      <c r="D478" s="72" t="s">
        <v>2555</v>
      </c>
      <c r="E478" s="2016" t="str">
        <f t="shared" si="25"/>
        <v>CO</v>
      </c>
      <c r="F478" s="54">
        <v>50</v>
      </c>
      <c r="G478" s="54" t="s">
        <v>512</v>
      </c>
      <c r="J478" s="54" t="str">
        <f t="shared" si="26"/>
        <v>COM40X10X920</v>
      </c>
    </row>
    <row r="479" spans="1:10" hidden="1">
      <c r="A479" s="71" t="s">
        <v>1533</v>
      </c>
      <c r="B479" s="1642"/>
      <c r="C479" s="71" t="s">
        <v>2986</v>
      </c>
      <c r="D479" s="72" t="s">
        <v>2831</v>
      </c>
      <c r="E479" s="2016" t="str">
        <f t="shared" si="25"/>
        <v>T7</v>
      </c>
      <c r="F479" s="54">
        <v>16</v>
      </c>
      <c r="G479" s="54" t="s">
        <v>512</v>
      </c>
      <c r="J479" s="54" t="str">
        <f t="shared" si="26"/>
        <v>T75</v>
      </c>
    </row>
    <row r="480" spans="1:10" hidden="1">
      <c r="A480" s="71" t="s">
        <v>874</v>
      </c>
      <c r="B480" s="1642"/>
      <c r="C480" s="71" t="s">
        <v>2987</v>
      </c>
      <c r="D480" s="72" t="s">
        <v>2831</v>
      </c>
      <c r="E480" s="2016" t="str">
        <f t="shared" si="25"/>
        <v>T8</v>
      </c>
      <c r="F480" s="54">
        <v>16</v>
      </c>
      <c r="G480" s="54" t="s">
        <v>512</v>
      </c>
      <c r="J480" s="54" t="str">
        <f t="shared" si="26"/>
        <v>T84</v>
      </c>
    </row>
    <row r="481" spans="1:10" hidden="1">
      <c r="A481" s="71" t="s">
        <v>186</v>
      </c>
      <c r="B481" s="1642"/>
      <c r="C481" s="71" t="s">
        <v>2988</v>
      </c>
      <c r="D481" s="72" t="s">
        <v>2831</v>
      </c>
      <c r="E481" s="2016" t="str">
        <f t="shared" si="25"/>
        <v>T8</v>
      </c>
      <c r="F481" s="54">
        <v>16</v>
      </c>
      <c r="G481" s="54" t="s">
        <v>512</v>
      </c>
      <c r="J481" s="54" t="str">
        <f t="shared" si="26"/>
        <v>T84td</v>
      </c>
    </row>
    <row r="482" spans="1:10" hidden="1">
      <c r="A482" s="71" t="s">
        <v>993</v>
      </c>
      <c r="B482" s="1642"/>
      <c r="C482" s="71" t="s">
        <v>2989</v>
      </c>
      <c r="D482" s="72" t="s">
        <v>2831</v>
      </c>
      <c r="E482" s="2016" t="str">
        <f t="shared" si="25"/>
        <v>T8</v>
      </c>
      <c r="F482" s="54">
        <v>16</v>
      </c>
      <c r="G482" s="54" t="s">
        <v>512</v>
      </c>
      <c r="J482" s="54" t="str">
        <f t="shared" si="26"/>
        <v>T85</v>
      </c>
    </row>
    <row r="483" spans="1:10" hidden="1">
      <c r="A483" s="71" t="s">
        <v>1874</v>
      </c>
      <c r="B483" s="1642"/>
      <c r="C483" s="71" t="s">
        <v>2990</v>
      </c>
      <c r="D483" s="72" t="s">
        <v>2831</v>
      </c>
      <c r="E483" s="2016" t="str">
        <f t="shared" si="25"/>
        <v>T1</v>
      </c>
      <c r="F483" s="54">
        <v>16</v>
      </c>
      <c r="G483" s="54" t="s">
        <v>512</v>
      </c>
      <c r="J483" s="54" t="str">
        <f t="shared" si="26"/>
        <v>T10</v>
      </c>
    </row>
    <row r="484" spans="1:10" hidden="1">
      <c r="A484" s="71" t="s">
        <v>114</v>
      </c>
      <c r="B484" s="1642"/>
      <c r="C484" s="71" t="s">
        <v>2991</v>
      </c>
      <c r="D484" s="72" t="s">
        <v>2831</v>
      </c>
      <c r="E484" s="2016" t="str">
        <f t="shared" si="25"/>
        <v>T1</v>
      </c>
      <c r="F484" s="54">
        <v>16</v>
      </c>
      <c r="G484" s="54" t="s">
        <v>512</v>
      </c>
      <c r="J484" s="54" t="str">
        <f t="shared" si="26"/>
        <v>T105</v>
      </c>
    </row>
    <row r="485" spans="1:10" hidden="1">
      <c r="A485" s="71" t="s">
        <v>115</v>
      </c>
      <c r="B485" s="1642"/>
      <c r="C485" s="71" t="s">
        <v>4646</v>
      </c>
      <c r="D485" s="72" t="s">
        <v>2831</v>
      </c>
      <c r="E485" s="2016" t="str">
        <f t="shared" si="25"/>
        <v>T1</v>
      </c>
      <c r="F485" s="54">
        <v>16</v>
      </c>
      <c r="G485" s="54" t="s">
        <v>512</v>
      </c>
      <c r="J485" s="54" t="str">
        <f t="shared" si="26"/>
        <v>T12</v>
      </c>
    </row>
    <row r="486" spans="1:10" hidden="1">
      <c r="A486" s="71" t="s">
        <v>2412</v>
      </c>
      <c r="B486" s="1642"/>
      <c r="C486" s="71" t="s">
        <v>6576</v>
      </c>
      <c r="D486" s="72" t="s">
        <v>2831</v>
      </c>
      <c r="E486" s="2016" t="str">
        <f t="shared" si="25"/>
        <v>T1</v>
      </c>
      <c r="F486" s="54">
        <v>16</v>
      </c>
      <c r="G486" s="54" t="s">
        <v>512</v>
      </c>
      <c r="J486" s="54" t="str">
        <f t="shared" si="26"/>
        <v>T12TĐ</v>
      </c>
    </row>
    <row r="487" spans="1:10" hidden="1">
      <c r="A487" s="71" t="s">
        <v>107</v>
      </c>
      <c r="B487" s="1642"/>
      <c r="C487" s="71" t="s">
        <v>2993</v>
      </c>
      <c r="D487" s="72" t="s">
        <v>2831</v>
      </c>
      <c r="E487" s="2016" t="str">
        <f t="shared" si="25"/>
        <v>T1</v>
      </c>
      <c r="F487" s="54">
        <v>16</v>
      </c>
      <c r="G487" s="54" t="s">
        <v>512</v>
      </c>
      <c r="J487" s="54" t="str">
        <f t="shared" si="26"/>
        <v>T14</v>
      </c>
    </row>
    <row r="488" spans="1:10" hidden="1">
      <c r="A488" s="71" t="s">
        <v>2091</v>
      </c>
      <c r="B488" s="1642"/>
      <c r="C488" s="71" t="s">
        <v>2994</v>
      </c>
      <c r="D488" s="72" t="s">
        <v>2831</v>
      </c>
      <c r="E488" s="2016" t="str">
        <f t="shared" si="25"/>
        <v>T2</v>
      </c>
      <c r="F488" s="54">
        <v>16</v>
      </c>
      <c r="G488" s="54" t="s">
        <v>512</v>
      </c>
      <c r="J488" s="54" t="str">
        <f t="shared" si="26"/>
        <v>T20</v>
      </c>
    </row>
    <row r="489" spans="1:10" hidden="1">
      <c r="A489" s="71" t="s">
        <v>110</v>
      </c>
      <c r="B489" s="1642"/>
      <c r="C489" s="71" t="s">
        <v>2995</v>
      </c>
      <c r="D489" s="72" t="s">
        <v>2248</v>
      </c>
      <c r="E489" s="2016" t="str">
        <f t="shared" si="25"/>
        <v>SO</v>
      </c>
      <c r="F489" s="54">
        <v>50</v>
      </c>
      <c r="G489" s="54" t="s">
        <v>512</v>
      </c>
      <c r="J489" s="54" t="str">
        <f t="shared" si="26"/>
        <v>SON</v>
      </c>
    </row>
    <row r="490" spans="1:10" hidden="1">
      <c r="A490" s="71" t="s">
        <v>855</v>
      </c>
      <c r="B490" s="1642"/>
      <c r="C490" s="71" t="s">
        <v>2996</v>
      </c>
      <c r="D490" s="72" t="s">
        <v>2248</v>
      </c>
      <c r="E490" s="2016" t="str">
        <f t="shared" si="25"/>
        <v>SO</v>
      </c>
      <c r="F490" s="54">
        <v>50</v>
      </c>
      <c r="G490" s="54" t="s">
        <v>512</v>
      </c>
      <c r="J490" s="54" t="str">
        <f t="shared" si="26"/>
        <v>SONCR</v>
      </c>
    </row>
    <row r="491" spans="1:10" hidden="1">
      <c r="A491" s="71" t="s">
        <v>755</v>
      </c>
      <c r="B491" s="1642"/>
      <c r="C491" s="71" t="s">
        <v>2997</v>
      </c>
      <c r="D491" s="72" t="s">
        <v>856</v>
      </c>
      <c r="E491" s="2016" t="str">
        <f t="shared" si="25"/>
        <v>NU</v>
      </c>
      <c r="F491" s="54">
        <v>50</v>
      </c>
      <c r="G491" s="54" t="s">
        <v>512</v>
      </c>
      <c r="J491" s="54" t="str">
        <f t="shared" si="26"/>
        <v>NU</v>
      </c>
    </row>
    <row r="492" spans="1:10" hidden="1">
      <c r="A492" s="71" t="s">
        <v>857</v>
      </c>
      <c r="B492" s="1642"/>
      <c r="C492" s="71" t="s">
        <v>2998</v>
      </c>
      <c r="D492" s="72" t="s">
        <v>856</v>
      </c>
      <c r="E492" s="2016" t="str">
        <f t="shared" si="25"/>
        <v>GO</v>
      </c>
      <c r="F492" s="54">
        <v>999</v>
      </c>
      <c r="G492" s="54" t="s">
        <v>512</v>
      </c>
      <c r="J492" s="54" t="str">
        <f t="shared" si="26"/>
        <v>GO</v>
      </c>
    </row>
    <row r="493" spans="1:10" hidden="1">
      <c r="A493" s="71" t="s">
        <v>2056</v>
      </c>
      <c r="B493" s="1642"/>
      <c r="C493" s="71" t="s">
        <v>2999</v>
      </c>
      <c r="D493" s="72" t="s">
        <v>2248</v>
      </c>
      <c r="E493" s="2016" t="str">
        <f t="shared" ref="E493:E557" si="27">LEFT(A493,2)</f>
        <v>DI</v>
      </c>
      <c r="F493" s="54">
        <v>50</v>
      </c>
      <c r="G493" s="54" t="s">
        <v>512</v>
      </c>
      <c r="J493" s="54" t="str">
        <f t="shared" si="26"/>
        <v>DINH</v>
      </c>
    </row>
    <row r="494" spans="1:10" hidden="1">
      <c r="A494" s="71" t="s">
        <v>753</v>
      </c>
      <c r="B494" s="75"/>
      <c r="C494" s="71" t="s">
        <v>3000</v>
      </c>
      <c r="D494" s="72" t="s">
        <v>856</v>
      </c>
      <c r="E494" s="2016" t="str">
        <f t="shared" si="27"/>
        <v>D1</v>
      </c>
      <c r="F494" s="54">
        <v>999</v>
      </c>
      <c r="G494" s="54" t="s">
        <v>512</v>
      </c>
      <c r="J494" s="54" t="str">
        <f t="shared" si="26"/>
        <v>D1x2</v>
      </c>
    </row>
    <row r="495" spans="1:10" hidden="1">
      <c r="A495" s="71" t="s">
        <v>131</v>
      </c>
      <c r="B495" s="75"/>
      <c r="C495" s="71" t="s">
        <v>3001</v>
      </c>
      <c r="D495" s="72" t="s">
        <v>856</v>
      </c>
      <c r="E495" s="2016" t="str">
        <f t="shared" si="27"/>
        <v>D0</v>
      </c>
      <c r="F495" s="54">
        <v>999</v>
      </c>
      <c r="G495" s="54" t="s">
        <v>512</v>
      </c>
      <c r="J495" s="54" t="str">
        <f t="shared" si="26"/>
        <v>D0x4</v>
      </c>
    </row>
    <row r="496" spans="1:10" hidden="1">
      <c r="A496" s="71" t="s">
        <v>520</v>
      </c>
      <c r="B496" s="75"/>
      <c r="C496" s="71" t="s">
        <v>3002</v>
      </c>
      <c r="D496" s="72" t="s">
        <v>856</v>
      </c>
      <c r="E496" s="2016" t="str">
        <f t="shared" si="27"/>
        <v>D2</v>
      </c>
      <c r="F496" s="54">
        <v>999</v>
      </c>
      <c r="G496" s="54" t="s">
        <v>512</v>
      </c>
      <c r="J496" s="54" t="str">
        <f t="shared" si="26"/>
        <v>D2x4</v>
      </c>
    </row>
    <row r="497" spans="1:10" hidden="1">
      <c r="A497" s="71" t="s">
        <v>754</v>
      </c>
      <c r="B497" s="1642"/>
      <c r="C497" s="71" t="s">
        <v>3003</v>
      </c>
      <c r="D497" s="72" t="s">
        <v>856</v>
      </c>
      <c r="E497" s="2016" t="str">
        <f t="shared" si="27"/>
        <v>D4</v>
      </c>
      <c r="F497" s="54">
        <v>999</v>
      </c>
      <c r="G497" s="54" t="s">
        <v>512</v>
      </c>
      <c r="J497" s="54" t="str">
        <f t="shared" si="26"/>
        <v>D4x6</v>
      </c>
    </row>
    <row r="498" spans="1:10" hidden="1">
      <c r="A498" s="974" t="s">
        <v>4414</v>
      </c>
      <c r="B498" s="1642"/>
      <c r="C498" s="71" t="s">
        <v>3004</v>
      </c>
      <c r="D498" s="72" t="s">
        <v>856</v>
      </c>
      <c r="E498" s="2016" t="str">
        <f>LEFT(A498,2)</f>
        <v>ca</v>
      </c>
      <c r="F498" s="54">
        <v>997</v>
      </c>
      <c r="G498" s="54" t="s">
        <v>512</v>
      </c>
      <c r="J498" s="54" t="str">
        <f>A498</f>
        <v>cat</v>
      </c>
    </row>
    <row r="499" spans="1:10" hidden="1">
      <c r="A499" s="974" t="s">
        <v>4995</v>
      </c>
      <c r="B499" s="1642"/>
      <c r="C499" s="71" t="s">
        <v>3004</v>
      </c>
      <c r="D499" s="72" t="s">
        <v>856</v>
      </c>
      <c r="E499" s="2016" t="str">
        <f t="shared" si="27"/>
        <v>cv</v>
      </c>
      <c r="F499" s="54">
        <v>997</v>
      </c>
      <c r="G499" s="54" t="s">
        <v>512</v>
      </c>
      <c r="J499" s="54" t="str">
        <f t="shared" si="26"/>
        <v>cv</v>
      </c>
    </row>
    <row r="500" spans="1:10" hidden="1">
      <c r="A500" s="71" t="s">
        <v>934</v>
      </c>
      <c r="B500" s="1642"/>
      <c r="C500" s="71" t="s">
        <v>3005</v>
      </c>
      <c r="D500" s="72" t="s">
        <v>3006</v>
      </c>
      <c r="E500" s="2016" t="str">
        <f t="shared" si="27"/>
        <v>ga</v>
      </c>
      <c r="F500" s="54">
        <v>50</v>
      </c>
      <c r="G500" s="54" t="s">
        <v>512</v>
      </c>
      <c r="J500" s="54" t="str">
        <f t="shared" si="26"/>
        <v>gachong</v>
      </c>
    </row>
    <row r="501" spans="1:10" hidden="1">
      <c r="A501" s="71" t="s">
        <v>1675</v>
      </c>
      <c r="B501" s="1642"/>
      <c r="C501" s="71" t="s">
        <v>3007</v>
      </c>
      <c r="D501" s="72" t="s">
        <v>3006</v>
      </c>
      <c r="E501" s="2016" t="str">
        <f t="shared" si="27"/>
        <v>ga</v>
      </c>
      <c r="F501" s="54">
        <v>50</v>
      </c>
      <c r="G501" s="54" t="s">
        <v>512</v>
      </c>
      <c r="J501" s="54" t="str">
        <f t="shared" si="26"/>
        <v>gachtau</v>
      </c>
    </row>
    <row r="502" spans="1:10" hidden="1">
      <c r="A502" s="71" t="s">
        <v>84</v>
      </c>
      <c r="B502" s="1642"/>
      <c r="C502" s="71" t="s">
        <v>3008</v>
      </c>
      <c r="D502" s="72" t="s">
        <v>3006</v>
      </c>
      <c r="E502" s="2016" t="str">
        <f t="shared" si="27"/>
        <v>ga</v>
      </c>
      <c r="F502" s="54">
        <v>50</v>
      </c>
      <c r="G502" s="54" t="s">
        <v>512</v>
      </c>
      <c r="J502" s="54" t="str">
        <f t="shared" si="26"/>
        <v>gachthe</v>
      </c>
    </row>
    <row r="503" spans="1:10" hidden="1">
      <c r="A503" s="71" t="s">
        <v>751</v>
      </c>
      <c r="B503" s="1642"/>
      <c r="C503" s="71" t="s">
        <v>4857</v>
      </c>
      <c r="D503" s="72" t="s">
        <v>2248</v>
      </c>
      <c r="E503" s="2016" t="str">
        <f t="shared" si="27"/>
        <v>XM</v>
      </c>
      <c r="F503" s="54">
        <v>996</v>
      </c>
      <c r="G503" s="54" t="s">
        <v>512</v>
      </c>
      <c r="J503" s="54" t="str">
        <f t="shared" si="26"/>
        <v>XM</v>
      </c>
    </row>
    <row r="504" spans="1:10" hidden="1">
      <c r="A504" s="71" t="s">
        <v>702</v>
      </c>
      <c r="B504" s="1642"/>
      <c r="C504" s="1650" t="s">
        <v>3009</v>
      </c>
      <c r="D504" s="72" t="s">
        <v>2248</v>
      </c>
      <c r="E504" s="2016" t="str">
        <f t="shared" si="27"/>
        <v>qh</v>
      </c>
      <c r="F504" s="54">
        <v>50</v>
      </c>
      <c r="G504" s="54" t="s">
        <v>512</v>
      </c>
      <c r="J504" s="54" t="str">
        <f t="shared" si="26"/>
        <v>qhan</v>
      </c>
    </row>
    <row r="505" spans="1:10" hidden="1">
      <c r="A505" s="71" t="s">
        <v>869</v>
      </c>
      <c r="B505" s="1642"/>
      <c r="C505" s="1650" t="s">
        <v>3010</v>
      </c>
      <c r="D505" s="72" t="s">
        <v>2555</v>
      </c>
      <c r="E505" s="2016" t="str">
        <f t="shared" si="27"/>
        <v>co</v>
      </c>
      <c r="F505" s="54">
        <v>50</v>
      </c>
      <c r="G505" s="54" t="s">
        <v>512</v>
      </c>
      <c r="J505" s="54" t="str">
        <f t="shared" si="26"/>
        <v>coson</v>
      </c>
    </row>
    <row r="506" spans="1:10" hidden="1">
      <c r="A506" s="71" t="s">
        <v>1676</v>
      </c>
      <c r="B506" s="75"/>
      <c r="C506" s="1651" t="s">
        <v>3011</v>
      </c>
      <c r="D506" s="72" t="s">
        <v>1960</v>
      </c>
      <c r="E506" s="2016" t="str">
        <f t="shared" si="27"/>
        <v>Ni</v>
      </c>
      <c r="F506" s="54">
        <v>50</v>
      </c>
      <c r="G506" s="54" t="s">
        <v>512</v>
      </c>
      <c r="J506" s="54" t="str">
        <f t="shared" si="26"/>
        <v>Nilong</v>
      </c>
    </row>
    <row r="507" spans="1:10" hidden="1">
      <c r="A507" s="71" t="s">
        <v>918</v>
      </c>
      <c r="B507" s="1642"/>
      <c r="C507" s="1650" t="s">
        <v>3012</v>
      </c>
      <c r="D507" s="72" t="s">
        <v>1823</v>
      </c>
      <c r="E507" s="2016" t="str">
        <f t="shared" si="27"/>
        <v>NL</v>
      </c>
      <c r="F507" s="54">
        <v>50</v>
      </c>
      <c r="G507" s="54" t="s">
        <v>512</v>
      </c>
      <c r="J507" s="54" t="str">
        <f t="shared" si="26"/>
        <v>NLON</v>
      </c>
    </row>
    <row r="508" spans="1:10" hidden="1">
      <c r="A508" s="71" t="s">
        <v>2215</v>
      </c>
      <c r="B508" s="1642"/>
      <c r="C508" s="71" t="s">
        <v>3013</v>
      </c>
      <c r="D508" s="72" t="s">
        <v>2248</v>
      </c>
      <c r="E508" s="2016" t="str">
        <f t="shared" si="27"/>
        <v>th</v>
      </c>
      <c r="F508" s="54">
        <v>50</v>
      </c>
      <c r="G508" s="54" t="s">
        <v>512</v>
      </c>
      <c r="J508" s="54" t="str">
        <f t="shared" si="26"/>
        <v>thepb</v>
      </c>
    </row>
    <row r="509" spans="1:10" hidden="1">
      <c r="A509" s="71" t="s">
        <v>1352</v>
      </c>
      <c r="B509" s="1642"/>
      <c r="C509" s="71" t="s">
        <v>3014</v>
      </c>
      <c r="D509" s="72" t="s">
        <v>2555</v>
      </c>
      <c r="E509" s="2016" t="str">
        <f t="shared" si="27"/>
        <v>da</v>
      </c>
      <c r="F509" s="54">
        <v>50</v>
      </c>
      <c r="G509" s="54" t="s">
        <v>512</v>
      </c>
      <c r="J509" s="54" t="str">
        <f t="shared" si="26"/>
        <v>daucap50</v>
      </c>
    </row>
    <row r="510" spans="1:10" hidden="1">
      <c r="A510" s="71" t="s">
        <v>1917</v>
      </c>
      <c r="B510" s="1642"/>
      <c r="C510" s="71" t="s">
        <v>3015</v>
      </c>
      <c r="D510" s="72" t="s">
        <v>2555</v>
      </c>
      <c r="E510" s="2016" t="str">
        <f t="shared" si="27"/>
        <v>da</v>
      </c>
      <c r="F510" s="54">
        <v>50</v>
      </c>
      <c r="G510" s="54" t="s">
        <v>512</v>
      </c>
      <c r="J510" s="54" t="str">
        <f t="shared" si="26"/>
        <v>daucap70</v>
      </c>
    </row>
    <row r="511" spans="1:10" hidden="1">
      <c r="A511" s="71" t="s">
        <v>2216</v>
      </c>
      <c r="B511" s="1642"/>
      <c r="C511" s="71" t="s">
        <v>3016</v>
      </c>
      <c r="D511" s="72" t="s">
        <v>2555</v>
      </c>
      <c r="E511" s="2016" t="str">
        <f t="shared" si="27"/>
        <v>da</v>
      </c>
      <c r="F511" s="54">
        <v>50</v>
      </c>
      <c r="G511" s="54" t="s">
        <v>512</v>
      </c>
      <c r="J511" s="54" t="str">
        <f t="shared" si="26"/>
        <v>daucap95</v>
      </c>
    </row>
    <row r="512" spans="1:10" hidden="1">
      <c r="A512" s="71" t="s">
        <v>1273</v>
      </c>
      <c r="B512" s="1642"/>
      <c r="C512" s="71" t="s">
        <v>3017</v>
      </c>
      <c r="D512" s="72" t="s">
        <v>2555</v>
      </c>
      <c r="E512" s="2016" t="str">
        <f t="shared" si="27"/>
        <v>da</v>
      </c>
      <c r="F512" s="54">
        <v>50</v>
      </c>
      <c r="G512" s="54" t="s">
        <v>512</v>
      </c>
      <c r="J512" s="54" t="str">
        <f t="shared" si="26"/>
        <v>daucap120</v>
      </c>
    </row>
    <row r="513" spans="1:10" hidden="1">
      <c r="A513" s="71" t="s">
        <v>1849</v>
      </c>
      <c r="B513" s="1642"/>
      <c r="C513" s="71" t="s">
        <v>3018</v>
      </c>
      <c r="D513" s="72" t="s">
        <v>2555</v>
      </c>
      <c r="E513" s="2016" t="str">
        <f t="shared" si="27"/>
        <v>da</v>
      </c>
      <c r="F513" s="54">
        <v>50</v>
      </c>
      <c r="G513" s="54" t="s">
        <v>512</v>
      </c>
      <c r="J513" s="54" t="str">
        <f t="shared" si="26"/>
        <v>daucap150</v>
      </c>
    </row>
    <row r="514" spans="1:10" hidden="1">
      <c r="A514" s="71" t="s">
        <v>1394</v>
      </c>
      <c r="B514" s="1642"/>
      <c r="C514" s="71" t="s">
        <v>3019</v>
      </c>
      <c r="D514" s="72" t="s">
        <v>2555</v>
      </c>
      <c r="E514" s="2016" t="str">
        <f t="shared" si="27"/>
        <v>da</v>
      </c>
      <c r="F514" s="54">
        <v>50</v>
      </c>
      <c r="G514" s="54" t="s">
        <v>512</v>
      </c>
      <c r="J514" s="54" t="str">
        <f t="shared" si="26"/>
        <v>daucap185</v>
      </c>
    </row>
    <row r="515" spans="1:10" hidden="1">
      <c r="A515" s="71" t="s">
        <v>264</v>
      </c>
      <c r="B515" s="1642"/>
      <c r="C515" s="71" t="s">
        <v>3020</v>
      </c>
      <c r="D515" s="72" t="s">
        <v>2555</v>
      </c>
      <c r="E515" s="2016" t="str">
        <f t="shared" si="27"/>
        <v>da</v>
      </c>
      <c r="F515" s="54">
        <v>50</v>
      </c>
      <c r="G515" s="54" t="s">
        <v>512</v>
      </c>
      <c r="J515" s="54" t="str">
        <f t="shared" si="26"/>
        <v>daucap240</v>
      </c>
    </row>
    <row r="516" spans="1:10" hidden="1">
      <c r="A516" s="71" t="s">
        <v>1353</v>
      </c>
      <c r="B516" s="1642"/>
      <c r="C516" s="71" t="s">
        <v>3021</v>
      </c>
      <c r="D516" s="72" t="s">
        <v>2555</v>
      </c>
      <c r="E516" s="2016" t="str">
        <f t="shared" si="27"/>
        <v>da</v>
      </c>
      <c r="F516" s="54">
        <v>50</v>
      </c>
      <c r="G516" s="54" t="s">
        <v>512</v>
      </c>
      <c r="J516" s="54" t="str">
        <f t="shared" si="26"/>
        <v>daucap50in</v>
      </c>
    </row>
    <row r="517" spans="1:10" hidden="1">
      <c r="A517" s="71" t="s">
        <v>1354</v>
      </c>
      <c r="B517" s="1642"/>
      <c r="C517" s="71" t="s">
        <v>3022</v>
      </c>
      <c r="D517" s="72" t="s">
        <v>2555</v>
      </c>
      <c r="E517" s="2016" t="str">
        <f t="shared" si="27"/>
        <v>da</v>
      </c>
      <c r="F517" s="54">
        <v>50</v>
      </c>
      <c r="G517" s="54" t="s">
        <v>512</v>
      </c>
      <c r="J517" s="54" t="str">
        <f t="shared" si="26"/>
        <v>daucap70in</v>
      </c>
    </row>
    <row r="518" spans="1:10" hidden="1">
      <c r="A518" s="71" t="s">
        <v>868</v>
      </c>
      <c r="B518" s="1642"/>
      <c r="C518" s="71" t="s">
        <v>3023</v>
      </c>
      <c r="D518" s="72" t="s">
        <v>2555</v>
      </c>
      <c r="E518" s="2016" t="str">
        <f t="shared" si="27"/>
        <v>da</v>
      </c>
      <c r="F518" s="54">
        <v>50</v>
      </c>
      <c r="G518" s="54" t="s">
        <v>512</v>
      </c>
      <c r="J518" s="54" t="str">
        <f t="shared" si="26"/>
        <v>daucap95in</v>
      </c>
    </row>
    <row r="519" spans="1:10" hidden="1">
      <c r="A519" s="71" t="s">
        <v>1351</v>
      </c>
      <c r="B519" s="1642"/>
      <c r="C519" s="71" t="s">
        <v>3024</v>
      </c>
      <c r="D519" s="72" t="s">
        <v>2555</v>
      </c>
      <c r="E519" s="2016" t="str">
        <f t="shared" si="27"/>
        <v>da</v>
      </c>
      <c r="F519" s="54">
        <v>50</v>
      </c>
      <c r="G519" s="54" t="s">
        <v>512</v>
      </c>
      <c r="J519" s="54" t="str">
        <f t="shared" si="26"/>
        <v>daucap120in</v>
      </c>
    </row>
    <row r="520" spans="1:10" hidden="1">
      <c r="A520" s="71" t="s">
        <v>221</v>
      </c>
      <c r="B520" s="1642"/>
      <c r="C520" s="71" t="s">
        <v>3025</v>
      </c>
      <c r="D520" s="72" t="s">
        <v>2555</v>
      </c>
      <c r="E520" s="2016" t="str">
        <f t="shared" si="27"/>
        <v>da</v>
      </c>
      <c r="F520" s="54">
        <v>50</v>
      </c>
      <c r="G520" s="54" t="s">
        <v>512</v>
      </c>
      <c r="J520" s="54" t="str">
        <f t="shared" si="26"/>
        <v>daucap150in</v>
      </c>
    </row>
    <row r="521" spans="1:10" hidden="1">
      <c r="A521" s="71" t="s">
        <v>1028</v>
      </c>
      <c r="B521" s="1642"/>
      <c r="C521" s="71" t="s">
        <v>3026</v>
      </c>
      <c r="D521" s="72" t="s">
        <v>2555</v>
      </c>
      <c r="E521" s="2016" t="str">
        <f t="shared" si="27"/>
        <v>da</v>
      </c>
      <c r="F521" s="54">
        <v>50</v>
      </c>
      <c r="G521" s="54" t="s">
        <v>512</v>
      </c>
      <c r="J521" s="54" t="str">
        <f t="shared" si="26"/>
        <v>daucap185in</v>
      </c>
    </row>
    <row r="522" spans="1:10" hidden="1">
      <c r="A522" s="71" t="s">
        <v>1910</v>
      </c>
      <c r="B522" s="1642"/>
      <c r="C522" s="71" t="s">
        <v>3027</v>
      </c>
      <c r="D522" s="72" t="s">
        <v>2555</v>
      </c>
      <c r="E522" s="2016" t="str">
        <f t="shared" si="27"/>
        <v>da</v>
      </c>
      <c r="F522" s="54">
        <v>50</v>
      </c>
      <c r="G522" s="54" t="s">
        <v>512</v>
      </c>
      <c r="J522" s="54" t="str">
        <f t="shared" si="26"/>
        <v>daucap240in</v>
      </c>
    </row>
    <row r="523" spans="1:10" hidden="1">
      <c r="A523" s="71" t="s">
        <v>149</v>
      </c>
      <c r="B523" s="75"/>
      <c r="C523" s="71" t="s">
        <v>3028</v>
      </c>
      <c r="D523" s="72" t="s">
        <v>2555</v>
      </c>
      <c r="E523" s="2016" t="str">
        <f t="shared" si="27"/>
        <v>DC</v>
      </c>
      <c r="F523" s="54">
        <v>50</v>
      </c>
      <c r="G523" s="54" t="s">
        <v>512</v>
      </c>
      <c r="J523" s="54" t="str">
        <f t="shared" si="26"/>
        <v>DCAPHT3185</v>
      </c>
    </row>
    <row r="524" spans="1:10" hidden="1">
      <c r="A524" s="71" t="s">
        <v>1282</v>
      </c>
      <c r="B524" s="75"/>
      <c r="C524" s="71" t="s">
        <v>3029</v>
      </c>
      <c r="D524" s="72" t="s">
        <v>2555</v>
      </c>
      <c r="E524" s="2016" t="str">
        <f t="shared" si="27"/>
        <v>DC</v>
      </c>
      <c r="F524" s="54">
        <v>50</v>
      </c>
      <c r="G524" s="54" t="s">
        <v>512</v>
      </c>
      <c r="J524" s="54" t="str">
        <f t="shared" si="26"/>
        <v>DCAPHT3120</v>
      </c>
    </row>
    <row r="525" spans="1:10" hidden="1">
      <c r="A525" s="71" t="s">
        <v>1281</v>
      </c>
      <c r="B525" s="75"/>
      <c r="C525" s="71" t="s">
        <v>3030</v>
      </c>
      <c r="D525" s="72" t="s">
        <v>2555</v>
      </c>
      <c r="E525" s="2016" t="str">
        <f t="shared" si="27"/>
        <v>DC</v>
      </c>
      <c r="F525" s="54">
        <v>50</v>
      </c>
      <c r="G525" s="54" t="s">
        <v>512</v>
      </c>
      <c r="J525" s="54" t="str">
        <f t="shared" si="26"/>
        <v>DCAPHT395</v>
      </c>
    </row>
    <row r="526" spans="1:10" hidden="1">
      <c r="A526" s="71" t="s">
        <v>1632</v>
      </c>
      <c r="B526" s="75"/>
      <c r="C526" s="71" t="s">
        <v>3031</v>
      </c>
      <c r="D526" s="72" t="s">
        <v>2555</v>
      </c>
      <c r="E526" s="2016" t="str">
        <f t="shared" si="27"/>
        <v>DC</v>
      </c>
      <c r="F526" s="54">
        <v>50</v>
      </c>
      <c r="G526" s="54" t="s">
        <v>512</v>
      </c>
      <c r="J526" s="54" t="str">
        <f t="shared" si="26"/>
        <v>DCAPHT370</v>
      </c>
    </row>
    <row r="527" spans="1:10" hidden="1">
      <c r="A527" s="71" t="s">
        <v>1360</v>
      </c>
      <c r="B527" s="75"/>
      <c r="C527" s="71" t="s">
        <v>3032</v>
      </c>
      <c r="D527" s="72" t="s">
        <v>2555</v>
      </c>
      <c r="E527" s="2016" t="str">
        <f t="shared" si="27"/>
        <v>DC</v>
      </c>
      <c r="F527" s="54">
        <v>50</v>
      </c>
      <c r="G527" s="54" t="s">
        <v>512</v>
      </c>
      <c r="J527" s="54" t="str">
        <f t="shared" si="26"/>
        <v>DCAPHT350+35</v>
      </c>
    </row>
    <row r="528" spans="1:10" hidden="1">
      <c r="A528" s="71" t="s">
        <v>1846</v>
      </c>
      <c r="B528" s="75"/>
      <c r="C528" s="71" t="s">
        <v>3033</v>
      </c>
      <c r="D528" s="72" t="s">
        <v>2555</v>
      </c>
      <c r="E528" s="2016" t="str">
        <f t="shared" si="27"/>
        <v>DC</v>
      </c>
      <c r="F528" s="54">
        <v>50</v>
      </c>
      <c r="G528" s="54" t="s">
        <v>512</v>
      </c>
      <c r="J528" s="54" t="str">
        <f t="shared" si="26"/>
        <v>DCAPHT350</v>
      </c>
    </row>
    <row r="529" spans="1:10" hidden="1">
      <c r="A529" s="71" t="s">
        <v>72</v>
      </c>
      <c r="B529" s="75"/>
      <c r="C529" s="71" t="s">
        <v>3034</v>
      </c>
      <c r="D529" s="72" t="s">
        <v>2532</v>
      </c>
      <c r="E529" s="2016" t="str">
        <f t="shared" si="27"/>
        <v>st</v>
      </c>
      <c r="F529" s="54">
        <v>50</v>
      </c>
      <c r="G529" s="54" t="s">
        <v>512</v>
      </c>
      <c r="J529" s="54" t="str">
        <f t="shared" si="26"/>
        <v>stk42</v>
      </c>
    </row>
    <row r="530" spans="1:10" hidden="1">
      <c r="A530" s="71" t="s">
        <v>73</v>
      </c>
      <c r="B530" s="75"/>
      <c r="C530" s="71" t="s">
        <v>3035</v>
      </c>
      <c r="D530" s="72" t="s">
        <v>2532</v>
      </c>
      <c r="E530" s="2016" t="str">
        <f t="shared" si="27"/>
        <v>st</v>
      </c>
      <c r="F530" s="54">
        <v>50</v>
      </c>
      <c r="G530" s="54" t="s">
        <v>512</v>
      </c>
      <c r="J530" s="54" t="str">
        <f t="shared" si="26"/>
        <v>stk60</v>
      </c>
    </row>
    <row r="531" spans="1:10" hidden="1">
      <c r="A531" s="71" t="s">
        <v>1017</v>
      </c>
      <c r="B531" s="75" t="s">
        <v>1905</v>
      </c>
      <c r="C531" s="71" t="s">
        <v>3036</v>
      </c>
      <c r="D531" s="72" t="s">
        <v>2532</v>
      </c>
      <c r="E531" s="2016" t="str">
        <f t="shared" si="27"/>
        <v>st</v>
      </c>
      <c r="F531" s="54">
        <v>50</v>
      </c>
      <c r="G531" s="54" t="s">
        <v>512</v>
      </c>
      <c r="J531" s="54" t="str">
        <f t="shared" si="26"/>
        <v>stk90</v>
      </c>
    </row>
    <row r="532" spans="1:10" hidden="1">
      <c r="A532" s="71" t="s">
        <v>2217</v>
      </c>
      <c r="B532" s="75" t="s">
        <v>1905</v>
      </c>
      <c r="C532" s="71" t="s">
        <v>3037</v>
      </c>
      <c r="D532" s="72" t="s">
        <v>2532</v>
      </c>
      <c r="E532" s="2016" t="str">
        <f t="shared" si="27"/>
        <v>st</v>
      </c>
      <c r="F532" s="54">
        <v>50</v>
      </c>
      <c r="G532" s="54" t="s">
        <v>512</v>
      </c>
      <c r="J532" s="54" t="str">
        <f t="shared" si="26"/>
        <v>stk114</v>
      </c>
    </row>
    <row r="533" spans="1:10" hidden="1">
      <c r="A533" s="71" t="s">
        <v>623</v>
      </c>
      <c r="B533" s="75" t="s">
        <v>1905</v>
      </c>
      <c r="C533" s="71" t="s">
        <v>3038</v>
      </c>
      <c r="D533" s="72" t="s">
        <v>2532</v>
      </c>
      <c r="E533" s="2016" t="str">
        <f t="shared" si="27"/>
        <v>st</v>
      </c>
      <c r="F533" s="54">
        <v>50</v>
      </c>
      <c r="G533" s="54" t="s">
        <v>512</v>
      </c>
      <c r="J533" s="54" t="str">
        <f t="shared" si="26"/>
        <v>stk140</v>
      </c>
    </row>
    <row r="534" spans="1:10" hidden="1">
      <c r="A534" s="71" t="s">
        <v>914</v>
      </c>
      <c r="B534" s="75" t="s">
        <v>1905</v>
      </c>
      <c r="C534" s="71" t="s">
        <v>3039</v>
      </c>
      <c r="D534" s="72" t="s">
        <v>2532</v>
      </c>
      <c r="E534" s="2016" t="str">
        <f t="shared" si="27"/>
        <v>st</v>
      </c>
      <c r="F534" s="54">
        <v>50</v>
      </c>
      <c r="G534" s="54" t="s">
        <v>512</v>
      </c>
      <c r="J534" s="54" t="str">
        <f t="shared" si="26"/>
        <v>stk160</v>
      </c>
    </row>
    <row r="535" spans="1:10" hidden="1">
      <c r="A535" s="71" t="s">
        <v>38</v>
      </c>
      <c r="B535" s="75" t="s">
        <v>1905</v>
      </c>
      <c r="C535" s="71" t="s">
        <v>3040</v>
      </c>
      <c r="D535" s="72" t="s">
        <v>2532</v>
      </c>
      <c r="E535" s="2016" t="str">
        <f t="shared" si="27"/>
        <v>st</v>
      </c>
      <c r="F535" s="54">
        <v>50</v>
      </c>
      <c r="G535" s="54" t="s">
        <v>512</v>
      </c>
      <c r="J535" s="54" t="str">
        <f t="shared" ref="J535:J598" si="28">A535</f>
        <v>stk168</v>
      </c>
    </row>
    <row r="536" spans="1:10" hidden="1">
      <c r="A536" s="71" t="s">
        <v>1018</v>
      </c>
      <c r="B536" s="75"/>
      <c r="C536" s="71" t="s">
        <v>3041</v>
      </c>
      <c r="D536" s="72" t="s">
        <v>2555</v>
      </c>
      <c r="E536" s="2016" t="str">
        <f t="shared" si="27"/>
        <v>co</v>
      </c>
      <c r="F536" s="54">
        <v>50</v>
      </c>
      <c r="G536" s="54" t="s">
        <v>512</v>
      </c>
      <c r="J536" s="54" t="str">
        <f t="shared" si="28"/>
        <v>costk114</v>
      </c>
    </row>
    <row r="537" spans="1:10" hidden="1">
      <c r="A537" s="71" t="s">
        <v>670</v>
      </c>
      <c r="B537" s="1642"/>
      <c r="C537" s="71" t="s">
        <v>3042</v>
      </c>
      <c r="D537" s="72" t="s">
        <v>2555</v>
      </c>
      <c r="E537" s="2016" t="str">
        <f t="shared" si="27"/>
        <v>co</v>
      </c>
      <c r="F537" s="54">
        <v>50</v>
      </c>
      <c r="G537" s="54" t="s">
        <v>512</v>
      </c>
      <c r="J537" s="54" t="str">
        <f t="shared" si="28"/>
        <v>costk90</v>
      </c>
    </row>
    <row r="538" spans="1:10" hidden="1">
      <c r="A538" s="71" t="s">
        <v>2000</v>
      </c>
      <c r="B538" s="1642"/>
      <c r="C538" s="71" t="s">
        <v>3043</v>
      </c>
      <c r="D538" s="72" t="s">
        <v>2555</v>
      </c>
      <c r="E538" s="2016" t="str">
        <f t="shared" si="27"/>
        <v>YC</v>
      </c>
      <c r="F538" s="54">
        <v>50</v>
      </c>
      <c r="G538" s="54" t="s">
        <v>512</v>
      </c>
      <c r="J538" s="54" t="str">
        <f t="shared" si="28"/>
        <v>YC</v>
      </c>
    </row>
    <row r="539" spans="1:10" hidden="1">
      <c r="A539" s="1641" t="s">
        <v>4999</v>
      </c>
      <c r="C539" s="1641" t="s">
        <v>5000</v>
      </c>
      <c r="D539" s="72" t="s">
        <v>2555</v>
      </c>
      <c r="E539" s="2016" t="str">
        <f t="shared" si="27"/>
        <v>DB</v>
      </c>
      <c r="F539" s="54">
        <v>50</v>
      </c>
      <c r="J539" s="54" t="str">
        <f t="shared" si="28"/>
        <v>DBCST</v>
      </c>
    </row>
    <row r="540" spans="1:10" hidden="1">
      <c r="A540" s="1641" t="s">
        <v>5001</v>
      </c>
      <c r="C540" s="1641" t="s">
        <v>5002</v>
      </c>
      <c r="D540" s="72" t="s">
        <v>2555</v>
      </c>
      <c r="E540" s="2016" t="str">
        <f t="shared" si="27"/>
        <v>DB</v>
      </c>
      <c r="F540" s="54">
        <v>50</v>
      </c>
      <c r="J540" s="54" t="str">
        <f t="shared" si="28"/>
        <v>DBCSG</v>
      </c>
    </row>
    <row r="541" spans="1:10" hidden="1">
      <c r="A541" s="1659" t="str">
        <f>"ssf-"&amp;H541</f>
        <v>ssf-50</v>
      </c>
      <c r="C541" s="1659" t="str">
        <f>"Dây buộc cổ sứ cỡ dây "&amp;H541&amp;"mm2"</f>
        <v>Dây buộc cổ sứ cỡ dây 50mm2</v>
      </c>
      <c r="D541" s="72" t="s">
        <v>2555</v>
      </c>
      <c r="E541" s="2016" t="str">
        <f t="shared" si="27"/>
        <v>ss</v>
      </c>
      <c r="F541" s="54">
        <v>50</v>
      </c>
      <c r="H541" s="54">
        <v>50</v>
      </c>
      <c r="J541" s="54" t="str">
        <f t="shared" si="28"/>
        <v>ssf-50</v>
      </c>
    </row>
    <row r="542" spans="1:10" hidden="1">
      <c r="A542" s="1641" t="s">
        <v>4991</v>
      </c>
      <c r="C542" s="1641" t="s">
        <v>4984</v>
      </c>
      <c r="D542" s="72" t="s">
        <v>2555</v>
      </c>
      <c r="E542" s="2016" t="str">
        <f t="shared" si="27"/>
        <v>ke</v>
      </c>
      <c r="F542" s="54">
        <v>50</v>
      </c>
      <c r="J542" s="54" t="str">
        <f t="shared" si="28"/>
        <v>ke189</v>
      </c>
    </row>
    <row r="543" spans="1:10" hidden="1">
      <c r="A543" s="1654" t="s">
        <v>2603</v>
      </c>
      <c r="B543" s="1655" t="s">
        <v>2604</v>
      </c>
      <c r="C543" s="1654" t="s">
        <v>3044</v>
      </c>
      <c r="D543" s="1656" t="s">
        <v>2606</v>
      </c>
      <c r="E543" s="2016" t="str">
        <f t="shared" si="27"/>
        <v>Mã</v>
      </c>
      <c r="F543" s="54">
        <v>50</v>
      </c>
      <c r="J543" s="54" t="str">
        <f t="shared" si="28"/>
        <v>Mã</v>
      </c>
    </row>
    <row r="544" spans="1:10" hidden="1">
      <c r="A544" s="1654">
        <v>1</v>
      </c>
      <c r="B544" s="1655">
        <v>2</v>
      </c>
      <c r="C544" s="1654">
        <v>3</v>
      </c>
      <c r="D544" s="1656">
        <v>4</v>
      </c>
      <c r="E544" s="2016" t="str">
        <f t="shared" si="27"/>
        <v>1</v>
      </c>
      <c r="F544" s="54">
        <v>50</v>
      </c>
      <c r="J544" s="54">
        <f t="shared" si="28"/>
        <v>1</v>
      </c>
    </row>
    <row r="545" spans="1:10" hidden="1">
      <c r="A545" s="1643" t="s">
        <v>957</v>
      </c>
      <c r="B545" s="75" t="s">
        <v>454</v>
      </c>
      <c r="C545" s="71" t="s">
        <v>3045</v>
      </c>
      <c r="D545" s="72" t="s">
        <v>856</v>
      </c>
      <c r="E545" s="2016" t="str">
        <f t="shared" si="27"/>
        <v>MD</v>
      </c>
      <c r="F545" s="54">
        <v>2000</v>
      </c>
      <c r="J545" s="54" t="str">
        <f t="shared" si="28"/>
        <v>MDDA1</v>
      </c>
    </row>
    <row r="546" spans="1:10" hidden="1">
      <c r="A546" s="1643" t="s">
        <v>453</v>
      </c>
      <c r="B546" s="75" t="s">
        <v>454</v>
      </c>
      <c r="C546" s="71" t="s">
        <v>3046</v>
      </c>
      <c r="D546" s="72" t="s">
        <v>856</v>
      </c>
      <c r="E546" s="2016" t="str">
        <f t="shared" si="27"/>
        <v>MD</v>
      </c>
      <c r="F546" s="54">
        <v>2000</v>
      </c>
      <c r="J546" s="54" t="str">
        <f t="shared" si="28"/>
        <v>MDDA2</v>
      </c>
    </row>
    <row r="547" spans="1:10" hidden="1">
      <c r="A547" s="1643" t="s">
        <v>583</v>
      </c>
      <c r="B547" s="75" t="s">
        <v>545</v>
      </c>
      <c r="C547" s="71" t="s">
        <v>3047</v>
      </c>
      <c r="D547" s="72" t="s">
        <v>856</v>
      </c>
      <c r="E547" s="2016" t="str">
        <f t="shared" si="27"/>
        <v>MD</v>
      </c>
      <c r="F547" s="54">
        <v>2000</v>
      </c>
      <c r="J547" s="54" t="str">
        <f t="shared" si="28"/>
        <v>MDD11</v>
      </c>
    </row>
    <row r="548" spans="1:10" hidden="1">
      <c r="A548" s="71" t="s">
        <v>1987</v>
      </c>
      <c r="B548" s="75" t="s">
        <v>2118</v>
      </c>
      <c r="C548" s="71" t="s">
        <v>3048</v>
      </c>
      <c r="D548" s="72" t="s">
        <v>856</v>
      </c>
      <c r="E548" s="2016" t="str">
        <f t="shared" si="27"/>
        <v>MD</v>
      </c>
      <c r="F548" s="54">
        <v>2000</v>
      </c>
      <c r="J548" s="54" t="str">
        <f t="shared" si="28"/>
        <v>MDD21</v>
      </c>
    </row>
    <row r="549" spans="1:10" hidden="1">
      <c r="A549" s="1643" t="s">
        <v>820</v>
      </c>
      <c r="B549" s="75" t="s">
        <v>599</v>
      </c>
      <c r="C549" s="71" t="s">
        <v>3049</v>
      </c>
      <c r="D549" s="72" t="s">
        <v>856</v>
      </c>
      <c r="E549" s="2016" t="str">
        <f t="shared" si="27"/>
        <v>MD</v>
      </c>
      <c r="F549" s="54">
        <v>2000</v>
      </c>
      <c r="J549" s="54" t="str">
        <f t="shared" si="28"/>
        <v>MDD31</v>
      </c>
    </row>
    <row r="550" spans="1:10" hidden="1">
      <c r="A550" s="1643" t="s">
        <v>527</v>
      </c>
      <c r="B550" s="75" t="s">
        <v>296</v>
      </c>
      <c r="C550" s="71" t="s">
        <v>3050</v>
      </c>
      <c r="D550" s="72" t="s">
        <v>856</v>
      </c>
      <c r="E550" s="2016" t="str">
        <f t="shared" si="27"/>
        <v>MD</v>
      </c>
      <c r="F550" s="54">
        <v>2000</v>
      </c>
      <c r="J550" s="54" t="str">
        <f t="shared" si="28"/>
        <v>MDD41</v>
      </c>
    </row>
    <row r="551" spans="1:10" hidden="1">
      <c r="A551" s="1643" t="s">
        <v>976</v>
      </c>
      <c r="B551" s="75" t="s">
        <v>1986</v>
      </c>
      <c r="C551" s="71" t="s">
        <v>3051</v>
      </c>
      <c r="D551" s="72" t="s">
        <v>856</v>
      </c>
      <c r="E551" s="2016" t="str">
        <f t="shared" si="27"/>
        <v>MD</v>
      </c>
      <c r="F551" s="54">
        <v>2000</v>
      </c>
      <c r="J551" s="54" t="str">
        <f t="shared" si="28"/>
        <v>MDD2</v>
      </c>
    </row>
    <row r="552" spans="1:10" hidden="1">
      <c r="A552" s="1643" t="s">
        <v>639</v>
      </c>
      <c r="B552" s="1657" t="s">
        <v>1747</v>
      </c>
      <c r="C552" s="71" t="s">
        <v>4924</v>
      </c>
      <c r="D552" s="72" t="s">
        <v>856</v>
      </c>
      <c r="E552" s="2016" t="str">
        <f t="shared" si="27"/>
        <v>MD</v>
      </c>
      <c r="F552" s="54">
        <v>3000</v>
      </c>
      <c r="J552" s="54" t="str">
        <f t="shared" si="28"/>
        <v>MDD3</v>
      </c>
    </row>
    <row r="553" spans="1:10" hidden="1">
      <c r="A553" s="71" t="s">
        <v>1226</v>
      </c>
      <c r="B553" s="75" t="s">
        <v>707</v>
      </c>
      <c r="C553" s="71" t="s">
        <v>3052</v>
      </c>
      <c r="D553" s="72" t="s">
        <v>856</v>
      </c>
      <c r="E553" s="2016" t="str">
        <f t="shared" si="27"/>
        <v>AH</v>
      </c>
      <c r="F553" s="54">
        <v>2000</v>
      </c>
      <c r="J553" s="54" t="str">
        <f t="shared" si="28"/>
        <v>AH2120</v>
      </c>
    </row>
    <row r="554" spans="1:10" hidden="1">
      <c r="A554" s="1643" t="s">
        <v>1392</v>
      </c>
      <c r="B554" s="75" t="s">
        <v>1393</v>
      </c>
      <c r="C554" s="71" t="s">
        <v>3053</v>
      </c>
      <c r="D554" s="72" t="s">
        <v>856</v>
      </c>
      <c r="E554" s="2016" t="str">
        <f t="shared" si="27"/>
        <v>MD</v>
      </c>
      <c r="F554" s="54">
        <v>2000</v>
      </c>
      <c r="J554" s="54" t="str">
        <f t="shared" si="28"/>
        <v>MDD4</v>
      </c>
    </row>
    <row r="555" spans="1:10" hidden="1">
      <c r="A555" s="1643" t="s">
        <v>127</v>
      </c>
      <c r="B555" s="75" t="s">
        <v>676</v>
      </c>
      <c r="C555" s="71" t="s">
        <v>3054</v>
      </c>
      <c r="D555" s="72" t="s">
        <v>856</v>
      </c>
      <c r="E555" s="2016" t="str">
        <f t="shared" si="27"/>
        <v>MD</v>
      </c>
      <c r="F555" s="54">
        <v>2000</v>
      </c>
      <c r="J555" s="54" t="str">
        <f t="shared" si="28"/>
        <v>MDAP1</v>
      </c>
    </row>
    <row r="556" spans="1:10" hidden="1">
      <c r="A556" s="1643" t="s">
        <v>677</v>
      </c>
      <c r="B556" s="75" t="s">
        <v>678</v>
      </c>
      <c r="C556" s="71" t="s">
        <v>3055</v>
      </c>
      <c r="D556" s="72" t="s">
        <v>856</v>
      </c>
      <c r="E556" s="2016" t="str">
        <f t="shared" si="27"/>
        <v>MD</v>
      </c>
      <c r="F556" s="54">
        <v>2000</v>
      </c>
      <c r="J556" s="54" t="str">
        <f t="shared" si="28"/>
        <v>MDAP2</v>
      </c>
    </row>
    <row r="557" spans="1:10" hidden="1">
      <c r="A557" s="1643" t="s">
        <v>21</v>
      </c>
      <c r="B557" s="1657" t="s">
        <v>1748</v>
      </c>
      <c r="C557" s="71" t="s">
        <v>3056</v>
      </c>
      <c r="D557" s="72" t="s">
        <v>856</v>
      </c>
      <c r="E557" s="2016" t="str">
        <f t="shared" si="27"/>
        <v>MD</v>
      </c>
      <c r="F557" s="54">
        <v>2000</v>
      </c>
      <c r="J557" s="54" t="str">
        <f t="shared" si="28"/>
        <v>MDAP3</v>
      </c>
    </row>
    <row r="558" spans="1:10" hidden="1">
      <c r="A558" s="1643" t="s">
        <v>1826</v>
      </c>
      <c r="B558" s="75" t="s">
        <v>22</v>
      </c>
      <c r="C558" s="71" t="s">
        <v>3057</v>
      </c>
      <c r="D558" s="72" t="s">
        <v>856</v>
      </c>
      <c r="E558" s="2016" t="str">
        <f t="shared" ref="E558:E620" si="29">LEFT(A558,2)</f>
        <v>MD</v>
      </c>
      <c r="F558" s="54">
        <v>2000</v>
      </c>
      <c r="J558" s="54" t="str">
        <f t="shared" si="28"/>
        <v>MDAP4</v>
      </c>
    </row>
    <row r="559" spans="1:10" hidden="1">
      <c r="A559" s="71" t="s">
        <v>143</v>
      </c>
      <c r="B559" s="75" t="s">
        <v>25</v>
      </c>
      <c r="C559" s="71" t="s">
        <v>3058</v>
      </c>
      <c r="D559" s="72" t="s">
        <v>856</v>
      </c>
      <c r="E559" s="2016" t="str">
        <f t="shared" si="29"/>
        <v>DM</v>
      </c>
      <c r="F559" s="54">
        <v>2000</v>
      </c>
      <c r="J559" s="54" t="str">
        <f t="shared" si="28"/>
        <v>DMC2</v>
      </c>
    </row>
    <row r="560" spans="1:10" hidden="1">
      <c r="A560" s="71" t="s">
        <v>144</v>
      </c>
      <c r="B560" s="75" t="s">
        <v>795</v>
      </c>
      <c r="C560" s="71" t="s">
        <v>3059</v>
      </c>
      <c r="D560" s="72" t="s">
        <v>856</v>
      </c>
      <c r="E560" s="2016" t="str">
        <f t="shared" si="29"/>
        <v>DM</v>
      </c>
      <c r="F560" s="54">
        <v>2000</v>
      </c>
      <c r="J560" s="54" t="str">
        <f t="shared" si="28"/>
        <v>DMC3</v>
      </c>
    </row>
    <row r="561" spans="1:10" hidden="1">
      <c r="A561" s="71" t="s">
        <v>145</v>
      </c>
      <c r="B561" s="75" t="s">
        <v>600</v>
      </c>
      <c r="C561" s="71" t="s">
        <v>3060</v>
      </c>
      <c r="D561" s="72" t="s">
        <v>856</v>
      </c>
      <c r="E561" s="2016" t="str">
        <f t="shared" si="29"/>
        <v>DM</v>
      </c>
      <c r="F561" s="54">
        <v>2000</v>
      </c>
      <c r="J561" s="54" t="str">
        <f t="shared" si="28"/>
        <v>DMC4</v>
      </c>
    </row>
    <row r="562" spans="1:10" hidden="1">
      <c r="A562" s="71" t="s">
        <v>528</v>
      </c>
      <c r="B562" s="75" t="s">
        <v>797</v>
      </c>
      <c r="C562" s="71" t="s">
        <v>3061</v>
      </c>
      <c r="D562" s="72" t="s">
        <v>856</v>
      </c>
      <c r="E562" s="2016" t="str">
        <f t="shared" si="29"/>
        <v>DD</v>
      </c>
      <c r="F562" s="54">
        <v>2000</v>
      </c>
      <c r="J562" s="54" t="str">
        <f t="shared" si="28"/>
        <v>DDMC2</v>
      </c>
    </row>
    <row r="563" spans="1:10" hidden="1">
      <c r="A563" s="71" t="s">
        <v>529</v>
      </c>
      <c r="B563" s="75" t="s">
        <v>799</v>
      </c>
      <c r="C563" s="71" t="s">
        <v>3062</v>
      </c>
      <c r="D563" s="72" t="s">
        <v>856</v>
      </c>
      <c r="E563" s="2016" t="str">
        <f t="shared" si="29"/>
        <v>DD</v>
      </c>
      <c r="F563" s="54">
        <v>2000</v>
      </c>
      <c r="J563" s="54" t="str">
        <f t="shared" si="28"/>
        <v>DDMC3</v>
      </c>
    </row>
    <row r="564" spans="1:10" hidden="1">
      <c r="A564" s="71" t="s">
        <v>530</v>
      </c>
      <c r="B564" s="75" t="s">
        <v>799</v>
      </c>
      <c r="C564" s="71" t="s">
        <v>3063</v>
      </c>
      <c r="D564" s="72" t="s">
        <v>856</v>
      </c>
      <c r="E564" s="2016" t="str">
        <f t="shared" si="29"/>
        <v>DD</v>
      </c>
      <c r="F564" s="54">
        <v>2000</v>
      </c>
      <c r="J564" s="54" t="str">
        <f t="shared" si="28"/>
        <v>DDMC4</v>
      </c>
    </row>
    <row r="565" spans="1:10" hidden="1">
      <c r="A565" s="71" t="s">
        <v>23</v>
      </c>
      <c r="B565" s="75" t="s">
        <v>846</v>
      </c>
      <c r="C565" s="71" t="s">
        <v>3064</v>
      </c>
      <c r="D565" s="72" t="s">
        <v>856</v>
      </c>
      <c r="E565" s="2016" t="str">
        <f t="shared" si="29"/>
        <v>DC</v>
      </c>
      <c r="F565" s="54">
        <v>2000</v>
      </c>
      <c r="J565" s="54" t="str">
        <f t="shared" si="28"/>
        <v>DCAT</v>
      </c>
    </row>
    <row r="566" spans="1:10" hidden="1">
      <c r="A566" s="71" t="s">
        <v>1111</v>
      </c>
      <c r="B566" s="75" t="s">
        <v>846</v>
      </c>
      <c r="C566" s="71" t="s">
        <v>3065</v>
      </c>
      <c r="D566" s="72" t="s">
        <v>856</v>
      </c>
      <c r="E566" s="2016" t="str">
        <f t="shared" si="29"/>
        <v>DD</v>
      </c>
      <c r="F566" s="54">
        <v>2000</v>
      </c>
      <c r="J566" s="54" t="str">
        <f t="shared" si="28"/>
        <v>DD1x2</v>
      </c>
    </row>
    <row r="567" spans="1:10" hidden="1">
      <c r="A567" s="71" t="s">
        <v>1106</v>
      </c>
      <c r="B567" s="75" t="s">
        <v>846</v>
      </c>
      <c r="C567" s="71" t="s">
        <v>3066</v>
      </c>
      <c r="D567" s="72" t="s">
        <v>856</v>
      </c>
      <c r="E567" s="2016" t="str">
        <f t="shared" si="29"/>
        <v>DD</v>
      </c>
      <c r="F567" s="54">
        <v>2000</v>
      </c>
      <c r="J567" s="54" t="str">
        <f t="shared" si="28"/>
        <v>DD2x4</v>
      </c>
    </row>
    <row r="568" spans="1:10" hidden="1">
      <c r="A568" s="71" t="s">
        <v>24</v>
      </c>
      <c r="B568" s="75" t="s">
        <v>25</v>
      </c>
      <c r="C568" s="71" t="s">
        <v>3067</v>
      </c>
      <c r="D568" s="72" t="s">
        <v>856</v>
      </c>
      <c r="E568" s="2016" t="str">
        <f t="shared" si="29"/>
        <v>DT</v>
      </c>
      <c r="F568" s="54">
        <v>2000</v>
      </c>
      <c r="J568" s="54" t="str">
        <f t="shared" si="28"/>
        <v>DTD2</v>
      </c>
    </row>
    <row r="569" spans="1:10" hidden="1">
      <c r="A569" s="71" t="s">
        <v>794</v>
      </c>
      <c r="B569" s="75" t="s">
        <v>1752</v>
      </c>
      <c r="C569" s="71" t="s">
        <v>3068</v>
      </c>
      <c r="D569" s="72" t="s">
        <v>856</v>
      </c>
      <c r="E569" s="2016" t="str">
        <f t="shared" si="29"/>
        <v>DT</v>
      </c>
      <c r="F569" s="54">
        <v>2000</v>
      </c>
      <c r="J569" s="54" t="str">
        <f t="shared" si="28"/>
        <v>DTD3</v>
      </c>
    </row>
    <row r="570" spans="1:10" hidden="1">
      <c r="A570" s="71" t="s">
        <v>1854</v>
      </c>
      <c r="B570" s="75" t="s">
        <v>795</v>
      </c>
      <c r="C570" s="71" t="s">
        <v>3069</v>
      </c>
      <c r="D570" s="72" t="s">
        <v>856</v>
      </c>
      <c r="E570" s="2016" t="str">
        <f t="shared" si="29"/>
        <v>DT</v>
      </c>
      <c r="F570" s="54">
        <v>2000</v>
      </c>
      <c r="J570" s="54" t="str">
        <f t="shared" si="28"/>
        <v>DTD4</v>
      </c>
    </row>
    <row r="571" spans="1:10" hidden="1">
      <c r="A571" s="71" t="s">
        <v>796</v>
      </c>
      <c r="B571" s="75" t="s">
        <v>797</v>
      </c>
      <c r="C571" s="71" t="s">
        <v>3070</v>
      </c>
      <c r="D571" s="72" t="s">
        <v>856</v>
      </c>
      <c r="E571" s="2016" t="str">
        <f t="shared" si="29"/>
        <v>DA</v>
      </c>
      <c r="F571" s="54">
        <v>2000</v>
      </c>
      <c r="J571" s="54" t="str">
        <f t="shared" si="28"/>
        <v>DATD2</v>
      </c>
    </row>
    <row r="572" spans="1:10" hidden="1">
      <c r="A572" s="71" t="s">
        <v>798</v>
      </c>
      <c r="B572" s="75" t="s">
        <v>1753</v>
      </c>
      <c r="C572" s="71" t="s">
        <v>4859</v>
      </c>
      <c r="D572" s="72" t="s">
        <v>856</v>
      </c>
      <c r="E572" s="2016" t="str">
        <f t="shared" si="29"/>
        <v>DA</v>
      </c>
      <c r="F572" s="54">
        <v>2000</v>
      </c>
      <c r="J572" s="54" t="str">
        <f t="shared" si="28"/>
        <v>DATD3</v>
      </c>
    </row>
    <row r="573" spans="1:10" hidden="1">
      <c r="A573" s="71" t="s">
        <v>1853</v>
      </c>
      <c r="B573" s="75" t="s">
        <v>799</v>
      </c>
      <c r="C573" s="71" t="s">
        <v>3071</v>
      </c>
      <c r="D573" s="72" t="s">
        <v>856</v>
      </c>
      <c r="E573" s="2016" t="str">
        <f t="shared" si="29"/>
        <v>DA</v>
      </c>
      <c r="F573" s="54">
        <v>2000</v>
      </c>
      <c r="J573" s="54" t="str">
        <f t="shared" si="28"/>
        <v>DATD4</v>
      </c>
    </row>
    <row r="574" spans="1:10" hidden="1">
      <c r="A574" s="71" t="s">
        <v>2020</v>
      </c>
      <c r="B574" s="75" t="s">
        <v>691</v>
      </c>
      <c r="C574" s="73" t="s">
        <v>4401</v>
      </c>
      <c r="D574" s="72" t="s">
        <v>2439</v>
      </c>
      <c r="E574" s="2016" t="str">
        <f t="shared" si="29"/>
        <v>LG</v>
      </c>
      <c r="F574" s="54">
        <v>2000</v>
      </c>
      <c r="J574" s="54" t="str">
        <f t="shared" si="28"/>
        <v>LGIA</v>
      </c>
    </row>
    <row r="575" spans="1:10" hidden="1">
      <c r="A575" s="71" t="s">
        <v>2124</v>
      </c>
      <c r="B575" s="1642" t="s">
        <v>1455</v>
      </c>
      <c r="C575" s="73" t="s">
        <v>3072</v>
      </c>
      <c r="D575" s="72" t="s">
        <v>2439</v>
      </c>
      <c r="E575" s="2016" t="str">
        <f t="shared" si="29"/>
        <v>la</v>
      </c>
      <c r="F575" s="54">
        <v>2000</v>
      </c>
      <c r="J575" s="54" t="str">
        <f t="shared" si="28"/>
        <v>lapkep</v>
      </c>
    </row>
    <row r="576" spans="1:10" hidden="1">
      <c r="A576" s="71" t="s">
        <v>1103</v>
      </c>
      <c r="B576" s="75" t="s">
        <v>85</v>
      </c>
      <c r="C576" s="71" t="s">
        <v>3073</v>
      </c>
      <c r="D576" s="72" t="s">
        <v>3006</v>
      </c>
      <c r="E576" s="2016" t="str">
        <f t="shared" si="29"/>
        <v>LG</v>
      </c>
      <c r="F576" s="54">
        <v>2000</v>
      </c>
      <c r="J576" s="54" t="str">
        <f t="shared" si="28"/>
        <v>LGACH</v>
      </c>
    </row>
    <row r="577" spans="1:10" hidden="1">
      <c r="A577" s="71" t="s">
        <v>662</v>
      </c>
      <c r="B577" s="75"/>
      <c r="C577" s="71" t="s">
        <v>3074</v>
      </c>
      <c r="D577" s="72" t="s">
        <v>856</v>
      </c>
      <c r="E577" s="2016" t="str">
        <f t="shared" si="29"/>
        <v>LN</v>
      </c>
      <c r="F577" s="54">
        <v>2000</v>
      </c>
      <c r="J577" s="54" t="str">
        <f t="shared" si="28"/>
        <v>LNLON</v>
      </c>
    </row>
    <row r="578" spans="1:10" hidden="1">
      <c r="A578" s="71" t="s">
        <v>624</v>
      </c>
      <c r="B578" s="75" t="s">
        <v>220</v>
      </c>
      <c r="C578" s="71" t="s">
        <v>3075</v>
      </c>
      <c r="D578" s="72" t="s">
        <v>2555</v>
      </c>
      <c r="E578" s="2016" t="str">
        <f t="shared" si="29"/>
        <v>M1</v>
      </c>
      <c r="F578" s="54">
        <v>2000</v>
      </c>
      <c r="J578" s="54" t="str">
        <f t="shared" si="28"/>
        <v>M15</v>
      </c>
    </row>
    <row r="579" spans="1:10" hidden="1">
      <c r="A579" s="71" t="s">
        <v>1048</v>
      </c>
      <c r="B579" s="75" t="s">
        <v>1558</v>
      </c>
      <c r="C579" s="71" t="s">
        <v>3076</v>
      </c>
      <c r="D579" s="72" t="s">
        <v>2555</v>
      </c>
      <c r="E579" s="2016" t="str">
        <f t="shared" si="29"/>
        <v>MD</v>
      </c>
      <c r="F579" s="54">
        <v>2000</v>
      </c>
      <c r="J579" s="54" t="str">
        <f t="shared" si="28"/>
        <v>MD25</v>
      </c>
    </row>
    <row r="580" spans="1:10" hidden="1">
      <c r="A580" s="71" t="s">
        <v>978</v>
      </c>
      <c r="B580" s="75" t="s">
        <v>1559</v>
      </c>
      <c r="C580" s="71" t="s">
        <v>3077</v>
      </c>
      <c r="D580" s="72" t="s">
        <v>2590</v>
      </c>
      <c r="E580" s="2016" t="str">
        <f t="shared" si="29"/>
        <v>DC</v>
      </c>
      <c r="F580" s="54">
        <v>2000</v>
      </c>
      <c r="J580" s="54" t="str">
        <f t="shared" si="28"/>
        <v>DCT25</v>
      </c>
    </row>
    <row r="581" spans="1:10" hidden="1">
      <c r="A581" s="71" t="s">
        <v>991</v>
      </c>
      <c r="B581" s="75" t="s">
        <v>1559</v>
      </c>
      <c r="C581" s="71" t="s">
        <v>3078</v>
      </c>
      <c r="D581" s="72" t="s">
        <v>2590</v>
      </c>
      <c r="E581" s="2016" t="str">
        <f t="shared" si="29"/>
        <v>DC</v>
      </c>
      <c r="F581" s="54">
        <v>2000</v>
      </c>
      <c r="J581" s="54" t="str">
        <f t="shared" si="28"/>
        <v>DCT30</v>
      </c>
    </row>
    <row r="582" spans="1:10" hidden="1">
      <c r="A582" s="71" t="s">
        <v>445</v>
      </c>
      <c r="B582" s="75" t="s">
        <v>1559</v>
      </c>
      <c r="C582" s="71" t="s">
        <v>3079</v>
      </c>
      <c r="D582" s="72" t="s">
        <v>2590</v>
      </c>
      <c r="E582" s="2016" t="str">
        <f t="shared" si="29"/>
        <v>DC</v>
      </c>
      <c r="F582" s="54">
        <v>2000</v>
      </c>
      <c r="J582" s="54" t="str">
        <f t="shared" si="28"/>
        <v>DCT50</v>
      </c>
    </row>
    <row r="583" spans="1:10" hidden="1">
      <c r="A583" s="71" t="s">
        <v>152</v>
      </c>
      <c r="B583" s="75" t="s">
        <v>153</v>
      </c>
      <c r="C583" s="71" t="s">
        <v>3080</v>
      </c>
      <c r="D583" s="72" t="s">
        <v>1960</v>
      </c>
      <c r="E583" s="2016" t="str">
        <f t="shared" si="29"/>
        <v>QB</v>
      </c>
      <c r="F583" s="54">
        <v>2000</v>
      </c>
      <c r="J583" s="54" t="str">
        <f t="shared" si="28"/>
        <v>QBT</v>
      </c>
    </row>
    <row r="584" spans="1:10" hidden="1">
      <c r="A584" s="71" t="s">
        <v>37</v>
      </c>
      <c r="B584" s="75" t="s">
        <v>556</v>
      </c>
      <c r="C584" s="71" t="s">
        <v>2583</v>
      </c>
      <c r="D584" s="72" t="s">
        <v>2442</v>
      </c>
      <c r="E584" s="2016" t="str">
        <f t="shared" si="29"/>
        <v>VC</v>
      </c>
      <c r="F584" s="54">
        <v>2000</v>
      </c>
      <c r="J584" s="54" t="str">
        <f t="shared" si="28"/>
        <v>VCDA1</v>
      </c>
    </row>
    <row r="585" spans="1:10" hidden="1">
      <c r="A585" s="71" t="s">
        <v>1820</v>
      </c>
      <c r="B585" s="75" t="s">
        <v>1821</v>
      </c>
      <c r="C585" s="71" t="s">
        <v>3081</v>
      </c>
      <c r="D585" s="72" t="s">
        <v>2442</v>
      </c>
      <c r="E585" s="2016" t="str">
        <f t="shared" si="29"/>
        <v>VC</v>
      </c>
      <c r="F585" s="54">
        <v>2000</v>
      </c>
      <c r="J585" s="54" t="str">
        <f t="shared" si="28"/>
        <v>VCDA2</v>
      </c>
    </row>
    <row r="586" spans="1:10" hidden="1">
      <c r="A586" s="71" t="s">
        <v>192</v>
      </c>
      <c r="B586" s="75" t="s">
        <v>193</v>
      </c>
      <c r="C586" s="71" t="s">
        <v>3082</v>
      </c>
      <c r="D586" s="72" t="s">
        <v>2442</v>
      </c>
      <c r="E586" s="2016" t="str">
        <f t="shared" si="29"/>
        <v>VC</v>
      </c>
      <c r="F586" s="54">
        <v>2000</v>
      </c>
      <c r="J586" s="54" t="str">
        <f t="shared" si="28"/>
        <v>VCDA3</v>
      </c>
    </row>
    <row r="587" spans="1:10" hidden="1">
      <c r="A587" s="71" t="s">
        <v>343</v>
      </c>
      <c r="B587" s="75" t="s">
        <v>1095</v>
      </c>
      <c r="C587" s="71" t="s">
        <v>3083</v>
      </c>
      <c r="D587" s="72" t="s">
        <v>2442</v>
      </c>
      <c r="E587" s="2016" t="str">
        <f t="shared" si="29"/>
        <v>VC</v>
      </c>
      <c r="F587" s="54">
        <v>2000</v>
      </c>
      <c r="J587" s="54" t="str">
        <f t="shared" si="28"/>
        <v>VCDA4</v>
      </c>
    </row>
    <row r="588" spans="1:10" hidden="1">
      <c r="A588" s="71" t="s">
        <v>1631</v>
      </c>
      <c r="B588" s="75" t="s">
        <v>556</v>
      </c>
      <c r="C588" s="71" t="s">
        <v>2585</v>
      </c>
      <c r="D588" s="72" t="s">
        <v>2442</v>
      </c>
      <c r="E588" s="2016" t="str">
        <f t="shared" si="29"/>
        <v>VC</v>
      </c>
      <c r="F588" s="54">
        <v>2000</v>
      </c>
      <c r="J588" s="54" t="str">
        <f t="shared" si="28"/>
        <v>VCDN1</v>
      </c>
    </row>
    <row r="589" spans="1:10" hidden="1">
      <c r="A589" s="71" t="s">
        <v>263</v>
      </c>
      <c r="B589" s="75" t="s">
        <v>1821</v>
      </c>
      <c r="C589" s="71" t="s">
        <v>3084</v>
      </c>
      <c r="D589" s="72" t="s">
        <v>2442</v>
      </c>
      <c r="E589" s="2016" t="str">
        <f t="shared" si="29"/>
        <v>VC</v>
      </c>
      <c r="F589" s="54">
        <v>2000</v>
      </c>
      <c r="J589" s="54" t="str">
        <f t="shared" si="28"/>
        <v>VCDN2</v>
      </c>
    </row>
    <row r="590" spans="1:10" hidden="1">
      <c r="A590" s="71" t="s">
        <v>1473</v>
      </c>
      <c r="B590" s="75" t="s">
        <v>193</v>
      </c>
      <c r="C590" s="71" t="s">
        <v>3085</v>
      </c>
      <c r="D590" s="72" t="s">
        <v>2442</v>
      </c>
      <c r="E590" s="2016" t="str">
        <f t="shared" si="29"/>
        <v>VC</v>
      </c>
      <c r="F590" s="54">
        <v>2000</v>
      </c>
      <c r="J590" s="54" t="str">
        <f t="shared" si="28"/>
        <v>VCDN3</v>
      </c>
    </row>
    <row r="591" spans="1:10" hidden="1">
      <c r="A591" s="71" t="s">
        <v>1666</v>
      </c>
      <c r="B591" s="75" t="s">
        <v>1095</v>
      </c>
      <c r="C591" s="71" t="s">
        <v>3086</v>
      </c>
      <c r="D591" s="72" t="s">
        <v>2442</v>
      </c>
      <c r="E591" s="2016" t="str">
        <f t="shared" si="29"/>
        <v>VC</v>
      </c>
      <c r="F591" s="54">
        <v>2000</v>
      </c>
      <c r="J591" s="54" t="str">
        <f t="shared" si="28"/>
        <v>VCDN4</v>
      </c>
    </row>
    <row r="592" spans="1:10" hidden="1">
      <c r="A592" s="71" t="s">
        <v>1707</v>
      </c>
      <c r="B592" s="75" t="s">
        <v>1133</v>
      </c>
      <c r="C592" s="71" t="s">
        <v>2586</v>
      </c>
      <c r="D592" s="72" t="s">
        <v>2442</v>
      </c>
      <c r="E592" s="2016" t="str">
        <f t="shared" si="29"/>
        <v>VC</v>
      </c>
      <c r="F592" s="54">
        <v>2000</v>
      </c>
      <c r="J592" s="54" t="str">
        <f t="shared" si="28"/>
        <v>VCNX1</v>
      </c>
    </row>
    <row r="593" spans="1:10" hidden="1">
      <c r="A593" s="71" t="s">
        <v>1125</v>
      </c>
      <c r="B593" s="75" t="s">
        <v>27</v>
      </c>
      <c r="C593" s="71" t="s">
        <v>3087</v>
      </c>
      <c r="D593" s="72" t="s">
        <v>2442</v>
      </c>
      <c r="E593" s="2016" t="str">
        <f t="shared" si="29"/>
        <v>VC</v>
      </c>
      <c r="F593" s="54">
        <v>2000</v>
      </c>
      <c r="J593" s="54" t="str">
        <f t="shared" si="28"/>
        <v>VCNX2</v>
      </c>
    </row>
    <row r="594" spans="1:10" hidden="1">
      <c r="A594" s="71" t="s">
        <v>1126</v>
      </c>
      <c r="B594" s="75" t="s">
        <v>1672</v>
      </c>
      <c r="C594" s="71" t="s">
        <v>3088</v>
      </c>
      <c r="D594" s="72" t="s">
        <v>2442</v>
      </c>
      <c r="E594" s="2016" t="str">
        <f t="shared" si="29"/>
        <v>VC</v>
      </c>
      <c r="F594" s="54">
        <v>2000</v>
      </c>
      <c r="J594" s="54" t="str">
        <f t="shared" si="28"/>
        <v>VCNX3</v>
      </c>
    </row>
    <row r="595" spans="1:10" hidden="1">
      <c r="A595" s="71" t="s">
        <v>1127</v>
      </c>
      <c r="B595" s="75" t="s">
        <v>141</v>
      </c>
      <c r="C595" s="71" t="s">
        <v>3089</v>
      </c>
      <c r="D595" s="72" t="s">
        <v>2442</v>
      </c>
      <c r="E595" s="2016" t="str">
        <f t="shared" si="29"/>
        <v>VC</v>
      </c>
      <c r="F595" s="54">
        <v>2000</v>
      </c>
      <c r="J595" s="54" t="str">
        <f t="shared" si="28"/>
        <v>VCNX4</v>
      </c>
    </row>
    <row r="596" spans="1:10" hidden="1">
      <c r="A596" s="71" t="s">
        <v>1583</v>
      </c>
      <c r="B596" s="75" t="s">
        <v>2236</v>
      </c>
      <c r="C596" s="71" t="s">
        <v>2587</v>
      </c>
      <c r="D596" s="72" t="s">
        <v>2442</v>
      </c>
      <c r="E596" s="2016" t="str">
        <f t="shared" si="29"/>
        <v>VC</v>
      </c>
      <c r="F596" s="54">
        <v>2000</v>
      </c>
      <c r="J596" s="54" t="str">
        <f t="shared" si="28"/>
        <v>VCC1</v>
      </c>
    </row>
    <row r="597" spans="1:10" hidden="1">
      <c r="A597" s="71" t="s">
        <v>2237</v>
      </c>
      <c r="B597" s="75" t="s">
        <v>2238</v>
      </c>
      <c r="C597" s="71" t="s">
        <v>3090</v>
      </c>
      <c r="D597" s="72" t="s">
        <v>2442</v>
      </c>
      <c r="E597" s="2016" t="str">
        <f t="shared" si="29"/>
        <v>VC</v>
      </c>
      <c r="F597" s="54">
        <v>2000</v>
      </c>
      <c r="J597" s="54" t="str">
        <f t="shared" si="28"/>
        <v>VCC2</v>
      </c>
    </row>
    <row r="598" spans="1:10" hidden="1">
      <c r="A598" s="71" t="s">
        <v>567</v>
      </c>
      <c r="B598" s="75" t="s">
        <v>568</v>
      </c>
      <c r="C598" s="71" t="s">
        <v>3091</v>
      </c>
      <c r="D598" s="72" t="s">
        <v>2442</v>
      </c>
      <c r="E598" s="2016" t="str">
        <f t="shared" si="29"/>
        <v>VC</v>
      </c>
      <c r="F598" s="54">
        <v>2000</v>
      </c>
      <c r="J598" s="54" t="str">
        <f t="shared" si="28"/>
        <v>VCC3</v>
      </c>
    </row>
    <row r="599" spans="1:10" hidden="1">
      <c r="A599" s="71" t="s">
        <v>1643</v>
      </c>
      <c r="B599" s="75" t="s">
        <v>2240</v>
      </c>
      <c r="C599" s="71" t="s">
        <v>3092</v>
      </c>
      <c r="D599" s="72" t="s">
        <v>2442</v>
      </c>
      <c r="E599" s="2016" t="str">
        <f t="shared" si="29"/>
        <v>VC</v>
      </c>
      <c r="F599" s="54">
        <v>2000</v>
      </c>
      <c r="J599" s="54" t="str">
        <f t="shared" ref="J599:J662" si="30">A599</f>
        <v>VCC4</v>
      </c>
    </row>
    <row r="600" spans="1:10" hidden="1">
      <c r="A600" s="71" t="s">
        <v>1132</v>
      </c>
      <c r="B600" s="75" t="s">
        <v>1133</v>
      </c>
      <c r="C600" s="71" t="s">
        <v>2588</v>
      </c>
      <c r="D600" s="72" t="s">
        <v>2442</v>
      </c>
      <c r="E600" s="2016" t="str">
        <f t="shared" si="29"/>
        <v>VC</v>
      </c>
      <c r="F600" s="54">
        <v>2000</v>
      </c>
      <c r="J600" s="54" t="str">
        <f t="shared" si="30"/>
        <v>VCPK1</v>
      </c>
    </row>
    <row r="601" spans="1:10" hidden="1">
      <c r="A601" s="71" t="s">
        <v>1134</v>
      </c>
      <c r="B601" s="75" t="s">
        <v>27</v>
      </c>
      <c r="C601" s="71" t="s">
        <v>3093</v>
      </c>
      <c r="D601" s="72" t="s">
        <v>2442</v>
      </c>
      <c r="E601" s="2016" t="str">
        <f t="shared" si="29"/>
        <v>VC</v>
      </c>
      <c r="F601" s="54">
        <v>2000</v>
      </c>
      <c r="J601" s="54" t="str">
        <f t="shared" si="30"/>
        <v>VCPK2</v>
      </c>
    </row>
    <row r="602" spans="1:10" hidden="1">
      <c r="A602" s="71" t="s">
        <v>1671</v>
      </c>
      <c r="B602" s="75" t="s">
        <v>1672</v>
      </c>
      <c r="C602" s="71" t="s">
        <v>3094</v>
      </c>
      <c r="D602" s="72" t="s">
        <v>2442</v>
      </c>
      <c r="E602" s="2016" t="str">
        <f t="shared" si="29"/>
        <v>VC</v>
      </c>
      <c r="F602" s="54">
        <v>2000</v>
      </c>
      <c r="J602" s="54" t="str">
        <f t="shared" si="30"/>
        <v>VCPK3</v>
      </c>
    </row>
    <row r="603" spans="1:10" hidden="1">
      <c r="A603" s="71" t="s">
        <v>1404</v>
      </c>
      <c r="B603" s="75" t="s">
        <v>141</v>
      </c>
      <c r="C603" s="71" t="s">
        <v>3095</v>
      </c>
      <c r="D603" s="72" t="s">
        <v>2442</v>
      </c>
      <c r="E603" s="2016" t="str">
        <f t="shared" si="29"/>
        <v>VC</v>
      </c>
      <c r="F603" s="54">
        <v>2000</v>
      </c>
      <c r="J603" s="54" t="str">
        <f t="shared" si="30"/>
        <v>VCPK4</v>
      </c>
    </row>
    <row r="604" spans="1:10" hidden="1">
      <c r="A604" s="71" t="s">
        <v>1829</v>
      </c>
      <c r="B604" s="75" t="s">
        <v>1209</v>
      </c>
      <c r="C604" s="71" t="s">
        <v>2584</v>
      </c>
      <c r="D604" s="72" t="s">
        <v>2442</v>
      </c>
      <c r="E604" s="2016" t="str">
        <f t="shared" si="29"/>
        <v>VC</v>
      </c>
      <c r="F604" s="54">
        <v>2000</v>
      </c>
      <c r="J604" s="54" t="str">
        <f t="shared" si="30"/>
        <v>VCTD1</v>
      </c>
    </row>
    <row r="605" spans="1:10" hidden="1">
      <c r="A605" s="71" t="s">
        <v>117</v>
      </c>
      <c r="B605" s="75" t="s">
        <v>1538</v>
      </c>
      <c r="C605" s="71" t="s">
        <v>3096</v>
      </c>
      <c r="D605" s="72" t="s">
        <v>2442</v>
      </c>
      <c r="E605" s="2016" t="str">
        <f t="shared" si="29"/>
        <v>VC</v>
      </c>
      <c r="F605" s="54">
        <v>2000</v>
      </c>
      <c r="J605" s="54" t="str">
        <f t="shared" si="30"/>
        <v>VCTD2</v>
      </c>
    </row>
    <row r="606" spans="1:10" hidden="1">
      <c r="A606" s="71" t="s">
        <v>964</v>
      </c>
      <c r="B606" s="75" t="s">
        <v>1544</v>
      </c>
      <c r="C606" s="71" t="s">
        <v>3097</v>
      </c>
      <c r="D606" s="72" t="s">
        <v>2442</v>
      </c>
      <c r="E606" s="2016" t="str">
        <f t="shared" si="29"/>
        <v>VC</v>
      </c>
      <c r="F606" s="54">
        <v>2000</v>
      </c>
      <c r="J606" s="54" t="str">
        <f t="shared" si="30"/>
        <v>VCTD3</v>
      </c>
    </row>
    <row r="607" spans="1:10" hidden="1">
      <c r="A607" s="71" t="s">
        <v>1954</v>
      </c>
      <c r="B607" s="75" t="s">
        <v>1546</v>
      </c>
      <c r="C607" s="71" t="s">
        <v>3098</v>
      </c>
      <c r="D607" s="72" t="s">
        <v>2442</v>
      </c>
      <c r="E607" s="2016" t="str">
        <f t="shared" si="29"/>
        <v>VC</v>
      </c>
      <c r="F607" s="54">
        <v>2000</v>
      </c>
      <c r="J607" s="54" t="str">
        <f t="shared" si="30"/>
        <v>VCTD4</v>
      </c>
    </row>
    <row r="608" spans="1:10" hidden="1">
      <c r="A608" s="71" t="s">
        <v>1196</v>
      </c>
      <c r="B608" s="75" t="s">
        <v>1197</v>
      </c>
      <c r="C608" s="71" t="s">
        <v>2591</v>
      </c>
      <c r="D608" s="72" t="s">
        <v>2442</v>
      </c>
      <c r="E608" s="2016" t="str">
        <f t="shared" si="29"/>
        <v>VC</v>
      </c>
      <c r="F608" s="54">
        <v>2000</v>
      </c>
      <c r="J608" s="54" t="str">
        <f t="shared" si="30"/>
        <v>VCD1</v>
      </c>
    </row>
    <row r="609" spans="1:10" hidden="1">
      <c r="A609" s="71" t="s">
        <v>2116</v>
      </c>
      <c r="B609" s="75" t="s">
        <v>2038</v>
      </c>
      <c r="C609" s="71" t="s">
        <v>3099</v>
      </c>
      <c r="D609" s="72" t="s">
        <v>2442</v>
      </c>
      <c r="E609" s="2016" t="str">
        <f t="shared" si="29"/>
        <v>VC</v>
      </c>
      <c r="F609" s="54">
        <v>2000</v>
      </c>
      <c r="J609" s="54" t="str">
        <f t="shared" si="30"/>
        <v>VCD2</v>
      </c>
    </row>
    <row r="610" spans="1:10" hidden="1">
      <c r="A610" s="71" t="s">
        <v>315</v>
      </c>
      <c r="B610" s="75" t="s">
        <v>316</v>
      </c>
      <c r="C610" s="71" t="s">
        <v>3100</v>
      </c>
      <c r="D610" s="72" t="s">
        <v>2442</v>
      </c>
      <c r="E610" s="2016" t="str">
        <f t="shared" si="29"/>
        <v>VC</v>
      </c>
      <c r="F610" s="54">
        <v>2000</v>
      </c>
      <c r="J610" s="54" t="str">
        <f t="shared" si="30"/>
        <v>VCD3</v>
      </c>
    </row>
    <row r="611" spans="1:10" hidden="1">
      <c r="A611" s="71" t="s">
        <v>1541</v>
      </c>
      <c r="B611" s="75" t="s">
        <v>1542</v>
      </c>
      <c r="C611" s="71" t="s">
        <v>3101</v>
      </c>
      <c r="D611" s="72" t="s">
        <v>2442</v>
      </c>
      <c r="E611" s="2016" t="str">
        <f t="shared" si="29"/>
        <v>VC</v>
      </c>
      <c r="F611" s="54">
        <v>2000</v>
      </c>
      <c r="J611" s="54" t="str">
        <f t="shared" si="30"/>
        <v>VCD4</v>
      </c>
    </row>
    <row r="612" spans="1:10" hidden="1">
      <c r="A612" s="71" t="s">
        <v>1904</v>
      </c>
      <c r="B612" s="75" t="s">
        <v>75</v>
      </c>
      <c r="C612" s="71" t="s">
        <v>3102</v>
      </c>
      <c r="D612" s="72" t="s">
        <v>2442</v>
      </c>
      <c r="E612" s="2016" t="str">
        <f t="shared" si="29"/>
        <v>VC</v>
      </c>
      <c r="F612" s="54">
        <v>2000</v>
      </c>
      <c r="J612" s="54" t="str">
        <f t="shared" si="30"/>
        <v>VCS1</v>
      </c>
    </row>
    <row r="613" spans="1:10" hidden="1">
      <c r="A613" s="71" t="s">
        <v>76</v>
      </c>
      <c r="B613" s="75" t="s">
        <v>77</v>
      </c>
      <c r="C613" s="71" t="s">
        <v>3103</v>
      </c>
      <c r="D613" s="72" t="s">
        <v>2442</v>
      </c>
      <c r="E613" s="2016" t="str">
        <f t="shared" si="29"/>
        <v>VC</v>
      </c>
      <c r="F613" s="54">
        <v>2000</v>
      </c>
      <c r="J613" s="54" t="str">
        <f t="shared" si="30"/>
        <v>VCS2</v>
      </c>
    </row>
    <row r="614" spans="1:10" hidden="1">
      <c r="A614" s="71" t="s">
        <v>2075</v>
      </c>
      <c r="B614" s="75" t="s">
        <v>2076</v>
      </c>
      <c r="C614" s="71" t="s">
        <v>3104</v>
      </c>
      <c r="D614" s="72" t="s">
        <v>2442</v>
      </c>
      <c r="E614" s="2016" t="str">
        <f t="shared" si="29"/>
        <v>VC</v>
      </c>
      <c r="F614" s="54">
        <v>2000</v>
      </c>
      <c r="J614" s="54" t="str">
        <f t="shared" si="30"/>
        <v>VCS3</v>
      </c>
    </row>
    <row r="615" spans="1:10" hidden="1">
      <c r="A615" s="71" t="s">
        <v>944</v>
      </c>
      <c r="B615" s="75" t="s">
        <v>1605</v>
      </c>
      <c r="C615" s="71" t="s">
        <v>3105</v>
      </c>
      <c r="D615" s="72" t="s">
        <v>2442</v>
      </c>
      <c r="E615" s="2016" t="str">
        <f t="shared" si="29"/>
        <v>VC</v>
      </c>
      <c r="F615" s="54">
        <v>2000</v>
      </c>
      <c r="J615" s="54" t="str">
        <f t="shared" si="30"/>
        <v>VCS4</v>
      </c>
    </row>
    <row r="616" spans="1:10" hidden="1">
      <c r="A616" s="71" t="s">
        <v>1606</v>
      </c>
      <c r="B616" s="75" t="s">
        <v>1607</v>
      </c>
      <c r="C616" s="71" t="s">
        <v>2443</v>
      </c>
      <c r="D616" s="72" t="s">
        <v>2442</v>
      </c>
      <c r="E616" s="2016" t="str">
        <f t="shared" si="29"/>
        <v>VC</v>
      </c>
      <c r="F616" s="54">
        <v>2000</v>
      </c>
      <c r="J616" s="54" t="str">
        <f t="shared" si="30"/>
        <v>VCX1</v>
      </c>
    </row>
    <row r="617" spans="1:10" hidden="1">
      <c r="A617" s="71" t="s">
        <v>1608</v>
      </c>
      <c r="B617" s="75" t="s">
        <v>2241</v>
      </c>
      <c r="C617" s="71" t="s">
        <v>3106</v>
      </c>
      <c r="D617" s="72" t="s">
        <v>2442</v>
      </c>
      <c r="E617" s="2016" t="str">
        <f t="shared" si="29"/>
        <v>VC</v>
      </c>
      <c r="F617" s="54">
        <v>2000</v>
      </c>
      <c r="J617" s="54" t="str">
        <f t="shared" si="30"/>
        <v>VCX2</v>
      </c>
    </row>
    <row r="618" spans="1:10" hidden="1">
      <c r="A618" s="71" t="s">
        <v>1390</v>
      </c>
      <c r="B618" s="75" t="s">
        <v>1992</v>
      </c>
      <c r="C618" s="71" t="s">
        <v>3107</v>
      </c>
      <c r="D618" s="72" t="s">
        <v>2442</v>
      </c>
      <c r="E618" s="2016" t="str">
        <f t="shared" si="29"/>
        <v>VC</v>
      </c>
      <c r="F618" s="54">
        <v>2000</v>
      </c>
      <c r="J618" s="54" t="str">
        <f t="shared" si="30"/>
        <v>VCX3</v>
      </c>
    </row>
    <row r="619" spans="1:10" hidden="1">
      <c r="A619" s="71" t="s">
        <v>1993</v>
      </c>
      <c r="B619" s="75" t="s">
        <v>1994</v>
      </c>
      <c r="C619" s="71" t="s">
        <v>3108</v>
      </c>
      <c r="D619" s="72" t="s">
        <v>2442</v>
      </c>
      <c r="E619" s="2016" t="str">
        <f t="shared" si="29"/>
        <v>VC</v>
      </c>
      <c r="F619" s="54">
        <v>2000</v>
      </c>
      <c r="J619" s="54" t="str">
        <f t="shared" si="30"/>
        <v>VCX4</v>
      </c>
    </row>
    <row r="620" spans="1:10" hidden="1">
      <c r="A620" s="71" t="s">
        <v>1981</v>
      </c>
      <c r="B620" s="75" t="s">
        <v>1691</v>
      </c>
      <c r="C620" s="71" t="s">
        <v>2444</v>
      </c>
      <c r="D620" s="72" t="s">
        <v>2442</v>
      </c>
      <c r="E620" s="2016" t="str">
        <f t="shared" si="29"/>
        <v>VC</v>
      </c>
      <c r="F620" s="54">
        <v>2000</v>
      </c>
      <c r="J620" s="54" t="str">
        <f t="shared" si="30"/>
        <v>VCDC1</v>
      </c>
    </row>
    <row r="621" spans="1:10" hidden="1">
      <c r="A621" s="71" t="s">
        <v>1529</v>
      </c>
      <c r="B621" s="75" t="s">
        <v>1530</v>
      </c>
      <c r="C621" s="71" t="s">
        <v>3109</v>
      </c>
      <c r="D621" s="72" t="s">
        <v>2442</v>
      </c>
      <c r="E621" s="2016" t="str">
        <f t="shared" ref="E621:E684" si="31">LEFT(A621,2)</f>
        <v>VC</v>
      </c>
      <c r="F621" s="54">
        <v>2000</v>
      </c>
      <c r="J621" s="54" t="str">
        <f t="shared" si="30"/>
        <v>VCDC2</v>
      </c>
    </row>
    <row r="622" spans="1:10" hidden="1">
      <c r="A622" s="71" t="s">
        <v>1531</v>
      </c>
      <c r="B622" s="75" t="s">
        <v>1532</v>
      </c>
      <c r="C622" s="71" t="s">
        <v>3110</v>
      </c>
      <c r="D622" s="72" t="s">
        <v>2442</v>
      </c>
      <c r="E622" s="2016" t="str">
        <f t="shared" si="31"/>
        <v>VC</v>
      </c>
      <c r="F622" s="54">
        <v>2000</v>
      </c>
      <c r="J622" s="54" t="str">
        <f t="shared" si="30"/>
        <v>VCDC3</v>
      </c>
    </row>
    <row r="623" spans="1:10" hidden="1">
      <c r="A623" s="71" t="s">
        <v>990</v>
      </c>
      <c r="B623" s="75" t="s">
        <v>1811</v>
      </c>
      <c r="C623" s="71" t="s">
        <v>3111</v>
      </c>
      <c r="D623" s="72" t="s">
        <v>2442</v>
      </c>
      <c r="E623" s="2016" t="str">
        <f t="shared" si="31"/>
        <v>VC</v>
      </c>
      <c r="F623" s="54">
        <v>2000</v>
      </c>
      <c r="J623" s="54" t="str">
        <f t="shared" si="30"/>
        <v>VCDC4</v>
      </c>
    </row>
    <row r="624" spans="1:10" hidden="1">
      <c r="A624" s="71" t="s">
        <v>1247</v>
      </c>
      <c r="B624" s="75" t="s">
        <v>1248</v>
      </c>
      <c r="C624" s="71" t="s">
        <v>3112</v>
      </c>
      <c r="D624" s="72" t="s">
        <v>2590</v>
      </c>
      <c r="E624" s="2016" t="str">
        <f t="shared" si="31"/>
        <v>VC</v>
      </c>
      <c r="F624" s="54">
        <v>2000</v>
      </c>
      <c r="J624" s="54" t="str">
        <f t="shared" si="30"/>
        <v>VCCT1</v>
      </c>
    </row>
    <row r="625" spans="1:10" hidden="1">
      <c r="A625" s="71" t="s">
        <v>1415</v>
      </c>
      <c r="B625" s="75" t="s">
        <v>598</v>
      </c>
      <c r="C625" s="71" t="s">
        <v>3113</v>
      </c>
      <c r="D625" s="72" t="s">
        <v>2590</v>
      </c>
      <c r="E625" s="2016" t="str">
        <f t="shared" si="31"/>
        <v>VC</v>
      </c>
      <c r="F625" s="54">
        <v>2000</v>
      </c>
      <c r="J625" s="54" t="str">
        <f t="shared" si="30"/>
        <v>VCCT2</v>
      </c>
    </row>
    <row r="626" spans="1:10" hidden="1">
      <c r="A626" s="71" t="s">
        <v>2244</v>
      </c>
      <c r="B626" s="75" t="s">
        <v>2245</v>
      </c>
      <c r="C626" s="71" t="s">
        <v>3114</v>
      </c>
      <c r="D626" s="72" t="s">
        <v>2590</v>
      </c>
      <c r="E626" s="2016" t="str">
        <f t="shared" si="31"/>
        <v>VC</v>
      </c>
      <c r="F626" s="54">
        <v>2000</v>
      </c>
      <c r="J626" s="54" t="str">
        <f t="shared" si="30"/>
        <v>VCCT3</v>
      </c>
    </row>
    <row r="627" spans="1:10" hidden="1">
      <c r="A627" s="71" t="s">
        <v>1799</v>
      </c>
      <c r="B627" s="75" t="s">
        <v>714</v>
      </c>
      <c r="C627" s="71" t="s">
        <v>3115</v>
      </c>
      <c r="D627" s="72" t="s">
        <v>2590</v>
      </c>
      <c r="E627" s="2016" t="str">
        <f t="shared" si="31"/>
        <v>VC</v>
      </c>
      <c r="F627" s="54">
        <v>2000</v>
      </c>
      <c r="J627" s="54" t="str">
        <f t="shared" si="30"/>
        <v>VCCT4</v>
      </c>
    </row>
    <row r="628" spans="1:10" hidden="1">
      <c r="A628" s="71" t="s">
        <v>715</v>
      </c>
      <c r="B628" s="75" t="s">
        <v>716</v>
      </c>
      <c r="C628" s="71" t="s">
        <v>2589</v>
      </c>
      <c r="D628" s="72" t="s">
        <v>2590</v>
      </c>
      <c r="E628" s="2016" t="str">
        <f t="shared" si="31"/>
        <v>VC</v>
      </c>
      <c r="F628" s="54">
        <v>2000</v>
      </c>
      <c r="J628" s="54" t="str">
        <f t="shared" si="30"/>
        <v>VCCT5</v>
      </c>
    </row>
    <row r="629" spans="1:10" hidden="1">
      <c r="A629" s="71" t="s">
        <v>717</v>
      </c>
      <c r="B629" s="75" t="s">
        <v>718</v>
      </c>
      <c r="C629" s="71" t="s">
        <v>3116</v>
      </c>
      <c r="D629" s="72" t="s">
        <v>2590</v>
      </c>
      <c r="E629" s="2016" t="str">
        <f t="shared" si="31"/>
        <v>VC</v>
      </c>
      <c r="F629" s="54">
        <v>2000</v>
      </c>
      <c r="J629" s="54" t="str">
        <f t="shared" si="30"/>
        <v>VCCT6</v>
      </c>
    </row>
    <row r="630" spans="1:10" hidden="1">
      <c r="A630" s="71" t="s">
        <v>1557</v>
      </c>
      <c r="B630" s="75" t="s">
        <v>1021</v>
      </c>
      <c r="C630" s="71" t="s">
        <v>3117</v>
      </c>
      <c r="D630" s="72" t="s">
        <v>2590</v>
      </c>
      <c r="E630" s="2016" t="str">
        <f t="shared" si="31"/>
        <v>VC</v>
      </c>
      <c r="F630" s="54">
        <v>2000</v>
      </c>
      <c r="J630" s="54" t="str">
        <f t="shared" si="30"/>
        <v>VCCT7</v>
      </c>
    </row>
    <row r="631" spans="1:10" hidden="1">
      <c r="A631" s="71" t="s">
        <v>1816</v>
      </c>
      <c r="B631" s="75" t="s">
        <v>1817</v>
      </c>
      <c r="C631" s="71" t="s">
        <v>3118</v>
      </c>
      <c r="D631" s="72" t="s">
        <v>2590</v>
      </c>
      <c r="E631" s="2016" t="str">
        <f t="shared" si="31"/>
        <v>VC</v>
      </c>
      <c r="F631" s="54">
        <v>2000</v>
      </c>
      <c r="J631" s="54" t="str">
        <f t="shared" si="30"/>
        <v>VCCT8</v>
      </c>
    </row>
    <row r="632" spans="1:10" hidden="1">
      <c r="A632" s="71" t="s">
        <v>495</v>
      </c>
      <c r="B632" s="75" t="s">
        <v>496</v>
      </c>
      <c r="C632" s="71" t="s">
        <v>2580</v>
      </c>
      <c r="D632" s="72" t="s">
        <v>2442</v>
      </c>
      <c r="E632" s="2016" t="str">
        <f t="shared" si="31"/>
        <v>VC</v>
      </c>
      <c r="F632" s="54">
        <v>2000</v>
      </c>
      <c r="J632" s="54" t="str">
        <f t="shared" si="30"/>
        <v>VCXM1</v>
      </c>
    </row>
    <row r="633" spans="1:10" hidden="1">
      <c r="A633" s="71" t="s">
        <v>1283</v>
      </c>
      <c r="B633" s="75" t="s">
        <v>1284</v>
      </c>
      <c r="C633" s="71" t="s">
        <v>3119</v>
      </c>
      <c r="D633" s="72" t="s">
        <v>2442</v>
      </c>
      <c r="E633" s="2016" t="str">
        <f t="shared" si="31"/>
        <v>VC</v>
      </c>
      <c r="F633" s="54">
        <v>2000</v>
      </c>
      <c r="J633" s="54" t="str">
        <f t="shared" si="30"/>
        <v>VCXM2</v>
      </c>
    </row>
    <row r="634" spans="1:10" hidden="1">
      <c r="A634" s="71" t="s">
        <v>1285</v>
      </c>
      <c r="B634" s="75" t="s">
        <v>1286</v>
      </c>
      <c r="C634" s="71" t="s">
        <v>3120</v>
      </c>
      <c r="D634" s="72" t="s">
        <v>2442</v>
      </c>
      <c r="E634" s="2016" t="str">
        <f t="shared" si="31"/>
        <v>VC</v>
      </c>
      <c r="F634" s="54">
        <v>2000</v>
      </c>
      <c r="J634" s="54" t="str">
        <f t="shared" si="30"/>
        <v>VCXM3</v>
      </c>
    </row>
    <row r="635" spans="1:10" hidden="1">
      <c r="A635" s="71" t="s">
        <v>1287</v>
      </c>
      <c r="B635" s="75" t="s">
        <v>1288</v>
      </c>
      <c r="C635" s="71" t="s">
        <v>3121</v>
      </c>
      <c r="D635" s="72" t="s">
        <v>2442</v>
      </c>
      <c r="E635" s="2016" t="str">
        <f t="shared" si="31"/>
        <v>VC</v>
      </c>
      <c r="F635" s="54">
        <v>2000</v>
      </c>
      <c r="J635" s="54" t="str">
        <f t="shared" si="30"/>
        <v>VCXM4</v>
      </c>
    </row>
    <row r="636" spans="1:10" hidden="1">
      <c r="A636" s="71" t="s">
        <v>521</v>
      </c>
      <c r="B636" s="75" t="s">
        <v>808</v>
      </c>
      <c r="C636" s="71" t="s">
        <v>2582</v>
      </c>
      <c r="D636" s="72" t="s">
        <v>856</v>
      </c>
      <c r="E636" s="2016" t="str">
        <f t="shared" si="31"/>
        <v>VC</v>
      </c>
      <c r="F636" s="54">
        <v>2000</v>
      </c>
      <c r="J636" s="54" t="str">
        <f t="shared" si="30"/>
        <v>VCLD1</v>
      </c>
    </row>
    <row r="637" spans="1:10" hidden="1">
      <c r="A637" s="71" t="s">
        <v>1966</v>
      </c>
      <c r="B637" s="75" t="s">
        <v>1967</v>
      </c>
      <c r="C637" s="71" t="s">
        <v>3122</v>
      </c>
      <c r="D637" s="72" t="s">
        <v>856</v>
      </c>
      <c r="E637" s="2016" t="str">
        <f t="shared" si="31"/>
        <v>VC</v>
      </c>
      <c r="F637" s="54">
        <v>2000</v>
      </c>
      <c r="J637" s="54" t="str">
        <f t="shared" si="30"/>
        <v>VCLD2</v>
      </c>
    </row>
    <row r="638" spans="1:10" hidden="1">
      <c r="A638" s="71" t="s">
        <v>1968</v>
      </c>
      <c r="B638" s="75" t="s">
        <v>1969</v>
      </c>
      <c r="C638" s="71" t="s">
        <v>3123</v>
      </c>
      <c r="D638" s="72" t="s">
        <v>856</v>
      </c>
      <c r="E638" s="2016" t="str">
        <f t="shared" si="31"/>
        <v>VC</v>
      </c>
      <c r="F638" s="54">
        <v>2000</v>
      </c>
      <c r="J638" s="54" t="str">
        <f t="shared" si="30"/>
        <v>VCLD3</v>
      </c>
    </row>
    <row r="639" spans="1:10" hidden="1">
      <c r="A639" s="71" t="s">
        <v>1970</v>
      </c>
      <c r="B639" s="75" t="s">
        <v>1971</v>
      </c>
      <c r="C639" s="71" t="s">
        <v>3124</v>
      </c>
      <c r="D639" s="72" t="s">
        <v>856</v>
      </c>
      <c r="E639" s="2016" t="str">
        <f t="shared" si="31"/>
        <v>VC</v>
      </c>
      <c r="F639" s="54">
        <v>2000</v>
      </c>
      <c r="J639" s="54" t="str">
        <f t="shared" si="30"/>
        <v>VCLD4</v>
      </c>
    </row>
    <row r="640" spans="1:10" hidden="1">
      <c r="A640" s="71" t="s">
        <v>43</v>
      </c>
      <c r="B640" s="75" t="s">
        <v>44</v>
      </c>
      <c r="C640" s="71" t="s">
        <v>3125</v>
      </c>
      <c r="D640" s="72" t="s">
        <v>856</v>
      </c>
      <c r="E640" s="2016" t="str">
        <f t="shared" si="31"/>
        <v>VC</v>
      </c>
      <c r="F640" s="54">
        <v>2000</v>
      </c>
      <c r="J640" s="54" t="str">
        <f t="shared" si="30"/>
        <v>VCDAT1</v>
      </c>
    </row>
    <row r="641" spans="1:10" hidden="1">
      <c r="A641" s="71" t="s">
        <v>1982</v>
      </c>
      <c r="B641" s="75" t="s">
        <v>1983</v>
      </c>
      <c r="C641" s="71" t="s">
        <v>3126</v>
      </c>
      <c r="D641" s="72" t="s">
        <v>856</v>
      </c>
      <c r="E641" s="2016" t="str">
        <f t="shared" si="31"/>
        <v>VC</v>
      </c>
      <c r="F641" s="54">
        <v>2000</v>
      </c>
      <c r="J641" s="54" t="str">
        <f t="shared" si="30"/>
        <v>VCDAT2</v>
      </c>
    </row>
    <row r="642" spans="1:10" hidden="1">
      <c r="A642" s="71" t="s">
        <v>1396</v>
      </c>
      <c r="B642" s="75" t="s">
        <v>1397</v>
      </c>
      <c r="C642" s="71" t="s">
        <v>3127</v>
      </c>
      <c r="D642" s="72" t="s">
        <v>856</v>
      </c>
      <c r="E642" s="2016" t="str">
        <f t="shared" si="31"/>
        <v>VC</v>
      </c>
      <c r="F642" s="54">
        <v>2000</v>
      </c>
      <c r="J642" s="54" t="str">
        <f t="shared" si="30"/>
        <v>VCDAT3</v>
      </c>
    </row>
    <row r="643" spans="1:10" hidden="1">
      <c r="A643" s="71" t="s">
        <v>1770</v>
      </c>
      <c r="B643" s="75" t="s">
        <v>2003</v>
      </c>
      <c r="C643" s="71" t="s">
        <v>3128</v>
      </c>
      <c r="D643" s="72" t="s">
        <v>856</v>
      </c>
      <c r="E643" s="2016" t="str">
        <f t="shared" si="31"/>
        <v>VC</v>
      </c>
      <c r="F643" s="54">
        <v>2000</v>
      </c>
      <c r="J643" s="54" t="str">
        <f t="shared" si="30"/>
        <v>VCDAT4</v>
      </c>
    </row>
    <row r="644" spans="1:10" hidden="1">
      <c r="A644" s="71" t="s">
        <v>2004</v>
      </c>
      <c r="B644" s="75" t="s">
        <v>2005</v>
      </c>
      <c r="C644" s="71" t="s">
        <v>3129</v>
      </c>
      <c r="D644" s="72" t="s">
        <v>856</v>
      </c>
      <c r="E644" s="2016" t="str">
        <f t="shared" si="31"/>
        <v>VC</v>
      </c>
      <c r="F644" s="54">
        <v>2000</v>
      </c>
      <c r="J644" s="54" t="str">
        <f t="shared" si="30"/>
        <v>VCCAT1D</v>
      </c>
    </row>
    <row r="645" spans="1:10" hidden="1">
      <c r="A645" s="71" t="s">
        <v>45</v>
      </c>
      <c r="B645" s="75" t="s">
        <v>46</v>
      </c>
      <c r="C645" s="71" t="s">
        <v>3130</v>
      </c>
      <c r="D645" s="72" t="s">
        <v>856</v>
      </c>
      <c r="E645" s="2016" t="str">
        <f t="shared" si="31"/>
        <v>VC</v>
      </c>
      <c r="F645" s="54">
        <v>2000</v>
      </c>
      <c r="J645" s="54" t="str">
        <f t="shared" si="30"/>
        <v>VCCAT2d</v>
      </c>
    </row>
    <row r="646" spans="1:10" hidden="1">
      <c r="A646" s="71" t="s">
        <v>1703</v>
      </c>
      <c r="B646" s="75" t="s">
        <v>1704</v>
      </c>
      <c r="C646" s="71" t="s">
        <v>3131</v>
      </c>
      <c r="D646" s="72" t="s">
        <v>856</v>
      </c>
      <c r="E646" s="2016" t="str">
        <f t="shared" si="31"/>
        <v>VC</v>
      </c>
      <c r="F646" s="54">
        <v>2000</v>
      </c>
      <c r="J646" s="54" t="str">
        <f t="shared" si="30"/>
        <v>VCCAT3d</v>
      </c>
    </row>
    <row r="647" spans="1:10" hidden="1">
      <c r="A647" s="71" t="s">
        <v>1705</v>
      </c>
      <c r="B647" s="75" t="s">
        <v>1706</v>
      </c>
      <c r="C647" s="71" t="s">
        <v>3132</v>
      </c>
      <c r="D647" s="72" t="s">
        <v>856</v>
      </c>
      <c r="E647" s="2016" t="str">
        <f t="shared" si="31"/>
        <v>VC</v>
      </c>
      <c r="F647" s="54">
        <v>2000</v>
      </c>
      <c r="J647" s="54" t="str">
        <f t="shared" si="30"/>
        <v>VCCAT4d</v>
      </c>
    </row>
    <row r="648" spans="1:10" hidden="1">
      <c r="A648" s="71" t="s">
        <v>1611</v>
      </c>
      <c r="B648" s="75" t="s">
        <v>1117</v>
      </c>
      <c r="C648" s="71" t="s">
        <v>2581</v>
      </c>
      <c r="D648" s="72" t="s">
        <v>856</v>
      </c>
      <c r="E648" s="2016" t="str">
        <f t="shared" si="31"/>
        <v>VC</v>
      </c>
      <c r="F648" s="54">
        <v>2000</v>
      </c>
      <c r="J648" s="54" t="str">
        <f t="shared" si="30"/>
        <v>VCCAT1</v>
      </c>
    </row>
    <row r="649" spans="1:10" hidden="1">
      <c r="A649" s="71" t="s">
        <v>800</v>
      </c>
      <c r="B649" s="75" t="s">
        <v>1791</v>
      </c>
      <c r="C649" s="71" t="s">
        <v>3133</v>
      </c>
      <c r="D649" s="72" t="s">
        <v>856</v>
      </c>
      <c r="E649" s="2016" t="str">
        <f t="shared" si="31"/>
        <v>VC</v>
      </c>
      <c r="F649" s="54">
        <v>2000</v>
      </c>
      <c r="J649" s="54" t="str">
        <f t="shared" si="30"/>
        <v>VCCAT2</v>
      </c>
    </row>
    <row r="650" spans="1:10" hidden="1">
      <c r="A650" s="71" t="s">
        <v>1232</v>
      </c>
      <c r="B650" s="75" t="s">
        <v>1233</v>
      </c>
      <c r="C650" s="71" t="s">
        <v>3134</v>
      </c>
      <c r="D650" s="72" t="s">
        <v>856</v>
      </c>
      <c r="E650" s="2016" t="str">
        <f t="shared" si="31"/>
        <v>VC</v>
      </c>
      <c r="F650" s="54">
        <v>2000</v>
      </c>
      <c r="J650" s="54" t="str">
        <f t="shared" si="30"/>
        <v>VCCAT3</v>
      </c>
    </row>
    <row r="651" spans="1:10" hidden="1">
      <c r="A651" s="71" t="s">
        <v>1234</v>
      </c>
      <c r="B651" s="75" t="s">
        <v>1207</v>
      </c>
      <c r="C651" s="71" t="s">
        <v>3135</v>
      </c>
      <c r="D651" s="72" t="s">
        <v>856</v>
      </c>
      <c r="E651" s="2016" t="str">
        <f t="shared" si="31"/>
        <v>VC</v>
      </c>
      <c r="F651" s="54">
        <v>2000</v>
      </c>
      <c r="J651" s="54" t="str">
        <f t="shared" si="30"/>
        <v>VCCAT4</v>
      </c>
    </row>
    <row r="652" spans="1:10" hidden="1">
      <c r="A652" s="71" t="s">
        <v>1208</v>
      </c>
      <c r="B652" s="75" t="s">
        <v>1209</v>
      </c>
      <c r="C652" s="71" t="s">
        <v>2579</v>
      </c>
      <c r="D652" s="72" t="s">
        <v>2442</v>
      </c>
      <c r="E652" s="2016" t="str">
        <f t="shared" si="31"/>
        <v>VC</v>
      </c>
      <c r="F652" s="54">
        <v>2000</v>
      </c>
      <c r="J652" s="54" t="str">
        <f t="shared" si="30"/>
        <v>VCFE1</v>
      </c>
    </row>
    <row r="653" spans="1:10" hidden="1">
      <c r="A653" s="71" t="s">
        <v>1537</v>
      </c>
      <c r="B653" s="75" t="s">
        <v>1538</v>
      </c>
      <c r="C653" s="71" t="s">
        <v>3136</v>
      </c>
      <c r="D653" s="72" t="s">
        <v>2442</v>
      </c>
      <c r="E653" s="2016" t="str">
        <f t="shared" si="31"/>
        <v>VC</v>
      </c>
      <c r="F653" s="54">
        <v>2000</v>
      </c>
      <c r="J653" s="54" t="str">
        <f t="shared" si="30"/>
        <v>VCFE2</v>
      </c>
    </row>
    <row r="654" spans="1:10" hidden="1">
      <c r="A654" s="71" t="s">
        <v>1543</v>
      </c>
      <c r="B654" s="75" t="s">
        <v>1544</v>
      </c>
      <c r="C654" s="71" t="s">
        <v>3137</v>
      </c>
      <c r="D654" s="72" t="s">
        <v>2442</v>
      </c>
      <c r="E654" s="2016" t="str">
        <f t="shared" si="31"/>
        <v>VC</v>
      </c>
      <c r="F654" s="54">
        <v>2000</v>
      </c>
      <c r="J654" s="54" t="str">
        <f t="shared" si="30"/>
        <v>VCFE3</v>
      </c>
    </row>
    <row r="655" spans="1:10" hidden="1">
      <c r="A655" s="71" t="s">
        <v>1545</v>
      </c>
      <c r="B655" s="75" t="s">
        <v>1546</v>
      </c>
      <c r="C655" s="71" t="s">
        <v>3138</v>
      </c>
      <c r="D655" s="72" t="s">
        <v>2442</v>
      </c>
      <c r="E655" s="2016" t="str">
        <f t="shared" si="31"/>
        <v>VC</v>
      </c>
      <c r="F655" s="54">
        <v>2000</v>
      </c>
      <c r="J655" s="54" t="str">
        <f t="shared" si="30"/>
        <v>VCFE4</v>
      </c>
    </row>
    <row r="656" spans="1:10" hidden="1">
      <c r="A656" s="71" t="s">
        <v>1576</v>
      </c>
      <c r="B656" s="75" t="s">
        <v>1977</v>
      </c>
      <c r="C656" s="71" t="s">
        <v>3139</v>
      </c>
      <c r="D656" s="72" t="s">
        <v>2442</v>
      </c>
      <c r="E656" s="2016" t="str">
        <f t="shared" si="31"/>
        <v>BO</v>
      </c>
      <c r="F656" s="54">
        <v>2000</v>
      </c>
      <c r="J656" s="54" t="str">
        <f t="shared" si="30"/>
        <v>BOCDC</v>
      </c>
    </row>
    <row r="657" spans="1:10" hidden="1">
      <c r="A657" s="71" t="s">
        <v>763</v>
      </c>
      <c r="B657" s="75" t="s">
        <v>764</v>
      </c>
      <c r="C657" s="71" t="s">
        <v>3140</v>
      </c>
      <c r="D657" s="72" t="s">
        <v>2442</v>
      </c>
      <c r="E657" s="2016" t="str">
        <f t="shared" si="31"/>
        <v>BO</v>
      </c>
      <c r="F657" s="54">
        <v>2000</v>
      </c>
      <c r="J657" s="54" t="str">
        <f t="shared" si="30"/>
        <v>BOCNX</v>
      </c>
    </row>
    <row r="658" spans="1:10" hidden="1">
      <c r="A658" s="71" t="s">
        <v>1474</v>
      </c>
      <c r="B658" s="75" t="s">
        <v>1475</v>
      </c>
      <c r="C658" s="71" t="s">
        <v>3141</v>
      </c>
      <c r="D658" s="72" t="s">
        <v>2442</v>
      </c>
      <c r="E658" s="2016" t="str">
        <f t="shared" si="31"/>
        <v>BO</v>
      </c>
      <c r="F658" s="54">
        <v>2000</v>
      </c>
      <c r="J658" s="54" t="str">
        <f t="shared" si="30"/>
        <v>BOCTR</v>
      </c>
    </row>
    <row r="659" spans="1:10" hidden="1">
      <c r="A659" s="71" t="s">
        <v>217</v>
      </c>
      <c r="B659" s="75" t="s">
        <v>218</v>
      </c>
      <c r="C659" s="71" t="s">
        <v>2441</v>
      </c>
      <c r="D659" s="72" t="s">
        <v>2442</v>
      </c>
      <c r="E659" s="2016" t="str">
        <f t="shared" si="31"/>
        <v>BO</v>
      </c>
      <c r="F659" s="54">
        <v>2000</v>
      </c>
      <c r="J659" s="54" t="str">
        <f t="shared" si="30"/>
        <v>BOCX</v>
      </c>
    </row>
    <row r="660" spans="1:10" hidden="1">
      <c r="A660" s="71" t="s">
        <v>1476</v>
      </c>
      <c r="B660" s="75" t="s">
        <v>1224</v>
      </c>
      <c r="C660" s="71" t="s">
        <v>3142</v>
      </c>
      <c r="D660" s="72" t="s">
        <v>2442</v>
      </c>
      <c r="E660" s="2016" t="str">
        <f t="shared" si="31"/>
        <v>BO</v>
      </c>
      <c r="F660" s="54">
        <v>2000</v>
      </c>
      <c r="J660" s="54" t="str">
        <f t="shared" si="30"/>
        <v>BOCD</v>
      </c>
    </row>
    <row r="661" spans="1:10" hidden="1">
      <c r="A661" s="71" t="s">
        <v>2129</v>
      </c>
      <c r="B661" s="75" t="s">
        <v>1057</v>
      </c>
      <c r="C661" s="71" t="s">
        <v>3143</v>
      </c>
      <c r="D661" s="72" t="s">
        <v>2442</v>
      </c>
      <c r="E661" s="2016" t="str">
        <f t="shared" si="31"/>
        <v>BO</v>
      </c>
      <c r="F661" s="54">
        <v>2000</v>
      </c>
      <c r="J661" s="54" t="str">
        <f t="shared" si="30"/>
        <v>BOCPK</v>
      </c>
    </row>
    <row r="662" spans="1:10" hidden="1">
      <c r="A662" s="71" t="s">
        <v>813</v>
      </c>
      <c r="B662" s="75" t="s">
        <v>814</v>
      </c>
      <c r="C662" s="71" t="s">
        <v>3144</v>
      </c>
      <c r="D662" s="72" t="s">
        <v>2442</v>
      </c>
      <c r="E662" s="2016" t="str">
        <f t="shared" si="31"/>
        <v>BO</v>
      </c>
      <c r="F662" s="54">
        <v>2000</v>
      </c>
      <c r="J662" s="54" t="str">
        <f t="shared" si="30"/>
        <v>BOCS</v>
      </c>
    </row>
    <row r="663" spans="1:10" hidden="1">
      <c r="A663" s="71" t="s">
        <v>815</v>
      </c>
      <c r="B663" s="75" t="s">
        <v>317</v>
      </c>
      <c r="C663" s="71" t="s">
        <v>3145</v>
      </c>
      <c r="D663" s="72" t="s">
        <v>2442</v>
      </c>
      <c r="E663" s="2016" t="str">
        <f t="shared" si="31"/>
        <v>BO</v>
      </c>
      <c r="F663" s="54">
        <v>2000</v>
      </c>
      <c r="J663" s="54" t="str">
        <f t="shared" ref="J663:J726" si="32">A663</f>
        <v>BOCTH</v>
      </c>
    </row>
    <row r="664" spans="1:10" hidden="1">
      <c r="A664" s="71" t="s">
        <v>1293</v>
      </c>
      <c r="B664" s="75" t="s">
        <v>1294</v>
      </c>
      <c r="C664" s="71" t="s">
        <v>3146</v>
      </c>
      <c r="D664" s="72" t="s">
        <v>2442</v>
      </c>
      <c r="E664" s="2016" t="str">
        <f t="shared" si="31"/>
        <v>BO</v>
      </c>
      <c r="F664" s="54">
        <v>2000</v>
      </c>
      <c r="J664" s="54" t="str">
        <f t="shared" si="32"/>
        <v>BOCXI</v>
      </c>
    </row>
    <row r="665" spans="1:10" hidden="1">
      <c r="A665" s="71" t="s">
        <v>133</v>
      </c>
      <c r="B665" s="75" t="s">
        <v>134</v>
      </c>
      <c r="C665" s="71" t="s">
        <v>3147</v>
      </c>
      <c r="D665" s="72" t="s">
        <v>856</v>
      </c>
      <c r="E665" s="2016" t="str">
        <f t="shared" si="31"/>
        <v>BO</v>
      </c>
      <c r="F665" s="54">
        <v>2000</v>
      </c>
      <c r="J665" s="54" t="str">
        <f t="shared" si="32"/>
        <v>BOCCAT</v>
      </c>
    </row>
    <row r="666" spans="1:10" hidden="1">
      <c r="A666" s="71" t="s">
        <v>135</v>
      </c>
      <c r="B666" s="75" t="s">
        <v>723</v>
      </c>
      <c r="C666" s="71" t="s">
        <v>3148</v>
      </c>
      <c r="D666" s="72" t="s">
        <v>856</v>
      </c>
      <c r="E666" s="2016" t="str">
        <f t="shared" si="31"/>
        <v>BO</v>
      </c>
      <c r="F666" s="54">
        <v>2000</v>
      </c>
      <c r="J666" s="54" t="str">
        <f t="shared" si="32"/>
        <v>BOCDA</v>
      </c>
    </row>
    <row r="667" spans="1:10" hidden="1">
      <c r="A667" s="71" t="s">
        <v>2105</v>
      </c>
      <c r="B667" s="75" t="s">
        <v>1097</v>
      </c>
      <c r="C667" s="71" t="s">
        <v>3149</v>
      </c>
      <c r="D667" s="72" t="s">
        <v>856</v>
      </c>
      <c r="E667" s="2016" t="str">
        <f t="shared" si="31"/>
        <v>BO</v>
      </c>
      <c r="F667" s="54">
        <v>2000</v>
      </c>
      <c r="J667" s="54" t="str">
        <f t="shared" si="32"/>
        <v>BOBT</v>
      </c>
    </row>
    <row r="668" spans="1:10" hidden="1">
      <c r="A668" s="71" t="s">
        <v>1577</v>
      </c>
      <c r="B668" s="75" t="s">
        <v>724</v>
      </c>
      <c r="C668" s="71" t="s">
        <v>3150</v>
      </c>
      <c r="D668" s="72" t="s">
        <v>2590</v>
      </c>
      <c r="E668" s="2016" t="str">
        <f t="shared" si="31"/>
        <v>BO</v>
      </c>
      <c r="F668" s="54">
        <v>2000</v>
      </c>
      <c r="J668" s="54" t="str">
        <f t="shared" si="32"/>
        <v>BOCCT5</v>
      </c>
    </row>
    <row r="669" spans="1:10" hidden="1">
      <c r="A669" s="71" t="s">
        <v>1517</v>
      </c>
      <c r="B669" s="75" t="s">
        <v>266</v>
      </c>
      <c r="C669" s="71" t="s">
        <v>3151</v>
      </c>
      <c r="D669" s="72" t="s">
        <v>2532</v>
      </c>
      <c r="E669" s="2016" t="str">
        <f t="shared" si="31"/>
        <v>KT</v>
      </c>
      <c r="F669" s="54">
        <v>2000</v>
      </c>
      <c r="J669" s="54" t="str">
        <f t="shared" si="32"/>
        <v>KTD</v>
      </c>
    </row>
    <row r="670" spans="1:10" hidden="1">
      <c r="A670" s="71" t="s">
        <v>389</v>
      </c>
      <c r="B670" s="75" t="s">
        <v>1494</v>
      </c>
      <c r="C670" s="71" t="s">
        <v>3152</v>
      </c>
      <c r="D670" s="72" t="s">
        <v>2248</v>
      </c>
      <c r="E670" s="2016" t="str">
        <f t="shared" si="31"/>
        <v>KT</v>
      </c>
      <c r="F670" s="54">
        <v>2000</v>
      </c>
      <c r="J670" s="54" t="str">
        <f t="shared" si="32"/>
        <v>KTDTBA</v>
      </c>
    </row>
    <row r="671" spans="1:10" hidden="1">
      <c r="A671" s="71" t="s">
        <v>1104</v>
      </c>
      <c r="B671" s="1657" t="s">
        <v>1763</v>
      </c>
      <c r="C671" s="71" t="s">
        <v>4331</v>
      </c>
      <c r="D671" s="72" t="s">
        <v>2278</v>
      </c>
      <c r="E671" s="2016" t="str">
        <f t="shared" si="31"/>
        <v>DC</v>
      </c>
      <c r="F671" s="54">
        <v>2000</v>
      </c>
      <c r="J671" s="54" t="str">
        <f t="shared" si="32"/>
        <v>DCTD3</v>
      </c>
    </row>
    <row r="672" spans="1:10" hidden="1">
      <c r="A672" s="71" t="s">
        <v>61</v>
      </c>
      <c r="B672" s="75" t="s">
        <v>1495</v>
      </c>
      <c r="C672" s="71" t="s">
        <v>3153</v>
      </c>
      <c r="D672" s="72" t="s">
        <v>2278</v>
      </c>
      <c r="E672" s="2016" t="str">
        <f t="shared" si="31"/>
        <v>DC</v>
      </c>
      <c r="F672" s="54">
        <v>2000</v>
      </c>
      <c r="J672" s="54" t="str">
        <f t="shared" si="32"/>
        <v>DCTD4</v>
      </c>
    </row>
    <row r="673" spans="1:10" hidden="1">
      <c r="A673" s="71" t="s">
        <v>1438</v>
      </c>
      <c r="B673" s="75" t="s">
        <v>1709</v>
      </c>
      <c r="C673" s="71" t="s">
        <v>3154</v>
      </c>
      <c r="D673" s="72" t="s">
        <v>2278</v>
      </c>
      <c r="E673" s="2016" t="str">
        <f t="shared" si="31"/>
        <v>DC</v>
      </c>
      <c r="F673" s="54">
        <v>2000</v>
      </c>
      <c r="J673" s="54" t="str">
        <f t="shared" si="32"/>
        <v>DCTDTBA</v>
      </c>
    </row>
    <row r="674" spans="1:10" hidden="1">
      <c r="A674" s="71" t="s">
        <v>1496</v>
      </c>
      <c r="B674" s="75" t="s">
        <v>1497</v>
      </c>
      <c r="C674" s="71" t="s">
        <v>3155</v>
      </c>
      <c r="D674" s="72" t="s">
        <v>2831</v>
      </c>
      <c r="E674" s="2016" t="str">
        <f t="shared" si="31"/>
        <v>C8</v>
      </c>
      <c r="F674" s="54">
        <v>2000</v>
      </c>
      <c r="J674" s="54" t="str">
        <f t="shared" si="32"/>
        <v>C8</v>
      </c>
    </row>
    <row r="675" spans="1:10" hidden="1">
      <c r="A675" s="71" t="s">
        <v>1815</v>
      </c>
      <c r="B675" s="75" t="s">
        <v>392</v>
      </c>
      <c r="C675" s="71" t="s">
        <v>3156</v>
      </c>
      <c r="D675" s="72" t="s">
        <v>2831</v>
      </c>
      <c r="E675" s="2016" t="str">
        <f t="shared" si="31"/>
        <v>C1</v>
      </c>
      <c r="F675" s="54">
        <v>2000</v>
      </c>
      <c r="J675" s="54" t="str">
        <f t="shared" si="32"/>
        <v>C10</v>
      </c>
    </row>
    <row r="676" spans="1:10" hidden="1">
      <c r="A676" s="71" t="s">
        <v>456</v>
      </c>
      <c r="B676" s="75" t="s">
        <v>136</v>
      </c>
      <c r="C676" s="71" t="s">
        <v>3157</v>
      </c>
      <c r="D676" s="72" t="s">
        <v>2831</v>
      </c>
      <c r="E676" s="2016" t="str">
        <f t="shared" si="31"/>
        <v>C1</v>
      </c>
      <c r="F676" s="54">
        <v>2000</v>
      </c>
      <c r="J676" s="54" t="str">
        <f t="shared" si="32"/>
        <v>C105</v>
      </c>
    </row>
    <row r="677" spans="1:10" hidden="1">
      <c r="A677" s="71" t="s">
        <v>1614</v>
      </c>
      <c r="B677" s="75" t="s">
        <v>136</v>
      </c>
      <c r="C677" s="71" t="s">
        <v>3158</v>
      </c>
      <c r="D677" s="72" t="s">
        <v>2831</v>
      </c>
      <c r="E677" s="2016" t="str">
        <f t="shared" si="31"/>
        <v>C1</v>
      </c>
      <c r="F677" s="54">
        <v>2000</v>
      </c>
      <c r="J677" s="54" t="str">
        <f t="shared" si="32"/>
        <v>C12</v>
      </c>
    </row>
    <row r="678" spans="1:10" hidden="1">
      <c r="A678" s="1643" t="s">
        <v>1015</v>
      </c>
      <c r="B678" s="75" t="s">
        <v>684</v>
      </c>
      <c r="C678" s="71" t="s">
        <v>3159</v>
      </c>
      <c r="D678" s="72" t="s">
        <v>2831</v>
      </c>
      <c r="E678" s="2016" t="str">
        <f t="shared" si="31"/>
        <v>C1</v>
      </c>
      <c r="F678" s="54">
        <v>2000</v>
      </c>
      <c r="J678" s="54" t="str">
        <f t="shared" si="32"/>
        <v>C14</v>
      </c>
    </row>
    <row r="679" spans="1:10" hidden="1">
      <c r="A679" s="71" t="s">
        <v>2250</v>
      </c>
      <c r="B679" s="75" t="s">
        <v>2251</v>
      </c>
      <c r="C679" s="71" t="s">
        <v>3160</v>
      </c>
      <c r="D679" s="72" t="s">
        <v>2831</v>
      </c>
      <c r="E679" s="2016" t="str">
        <f t="shared" si="31"/>
        <v>C2</v>
      </c>
      <c r="F679" s="54">
        <v>2000</v>
      </c>
      <c r="J679" s="54" t="str">
        <f t="shared" si="32"/>
        <v>C20</v>
      </c>
    </row>
    <row r="680" spans="1:10" hidden="1">
      <c r="A680" s="71" t="s">
        <v>1599</v>
      </c>
      <c r="B680" s="1657" t="s">
        <v>2096</v>
      </c>
      <c r="C680" s="71" t="s">
        <v>3161</v>
      </c>
      <c r="D680" s="72" t="s">
        <v>2831</v>
      </c>
      <c r="E680" s="2016" t="str">
        <f t="shared" si="31"/>
        <v>C8</v>
      </c>
      <c r="F680" s="54">
        <v>2000</v>
      </c>
      <c r="J680" s="54" t="str">
        <f t="shared" si="32"/>
        <v>C8m</v>
      </c>
    </row>
    <row r="681" spans="1:10" hidden="1">
      <c r="A681" s="71" t="s">
        <v>2252</v>
      </c>
      <c r="B681" s="1657" t="s">
        <v>1764</v>
      </c>
      <c r="C681" s="71" t="s">
        <v>3162</v>
      </c>
      <c r="D681" s="72" t="s">
        <v>2831</v>
      </c>
      <c r="E681" s="2016" t="str">
        <f t="shared" si="31"/>
        <v>C1</v>
      </c>
      <c r="F681" s="54">
        <v>2000</v>
      </c>
      <c r="J681" s="54" t="str">
        <f t="shared" si="32"/>
        <v>C10m</v>
      </c>
    </row>
    <row r="682" spans="1:10" hidden="1">
      <c r="A682" s="71" t="s">
        <v>1612</v>
      </c>
      <c r="B682" s="1657" t="s">
        <v>1765</v>
      </c>
      <c r="C682" s="71" t="s">
        <v>3163</v>
      </c>
      <c r="D682" s="72" t="s">
        <v>2831</v>
      </c>
      <c r="E682" s="2016" t="str">
        <f t="shared" si="31"/>
        <v>C1</v>
      </c>
      <c r="F682" s="54">
        <v>2000</v>
      </c>
      <c r="J682" s="54" t="str">
        <f t="shared" si="32"/>
        <v>C105m</v>
      </c>
    </row>
    <row r="683" spans="1:10" hidden="1">
      <c r="A683" s="71" t="s">
        <v>2169</v>
      </c>
      <c r="B683" s="75" t="s">
        <v>1765</v>
      </c>
      <c r="C683" s="71" t="s">
        <v>3164</v>
      </c>
      <c r="D683" s="72" t="s">
        <v>2831</v>
      </c>
      <c r="E683" s="2016" t="str">
        <f t="shared" si="31"/>
        <v>C1</v>
      </c>
      <c r="F683" s="54">
        <v>2000</v>
      </c>
      <c r="J683" s="54" t="str">
        <f t="shared" si="32"/>
        <v>C12m</v>
      </c>
    </row>
    <row r="684" spans="1:10" hidden="1">
      <c r="A684" s="1643" t="s">
        <v>1659</v>
      </c>
      <c r="B684" s="75" t="s">
        <v>1660</v>
      </c>
      <c r="C684" s="71" t="s">
        <v>3165</v>
      </c>
      <c r="D684" s="72" t="s">
        <v>2831</v>
      </c>
      <c r="E684" s="2016" t="str">
        <f t="shared" si="31"/>
        <v>C1</v>
      </c>
      <c r="F684" s="54">
        <v>2000</v>
      </c>
      <c r="J684" s="54" t="str">
        <f t="shared" si="32"/>
        <v>C14m</v>
      </c>
    </row>
    <row r="685" spans="1:10" hidden="1">
      <c r="A685" s="71" t="s">
        <v>1661</v>
      </c>
      <c r="B685" s="75" t="s">
        <v>1662</v>
      </c>
      <c r="C685" s="71" t="s">
        <v>3166</v>
      </c>
      <c r="D685" s="72" t="s">
        <v>2831</v>
      </c>
      <c r="E685" s="2016" t="str">
        <f t="shared" ref="E685:E748" si="33">LEFT(A685,2)</f>
        <v>C2</v>
      </c>
      <c r="F685" s="54">
        <v>2000</v>
      </c>
      <c r="J685" s="54" t="str">
        <f t="shared" si="32"/>
        <v>C20m</v>
      </c>
    </row>
    <row r="686" spans="1:10" hidden="1">
      <c r="A686" s="71" t="s">
        <v>2126</v>
      </c>
      <c r="B686" s="75" t="s">
        <v>2127</v>
      </c>
      <c r="C686" s="71" t="s">
        <v>3167</v>
      </c>
      <c r="D686" s="72" t="s">
        <v>2831</v>
      </c>
      <c r="E686" s="2016" t="str">
        <f t="shared" si="33"/>
        <v>C1</v>
      </c>
      <c r="F686" s="54">
        <v>2000</v>
      </c>
      <c r="J686" s="54" t="str">
        <f t="shared" si="32"/>
        <v>C12m-TBA</v>
      </c>
    </row>
    <row r="687" spans="1:10" hidden="1">
      <c r="A687" s="71" t="s">
        <v>644</v>
      </c>
      <c r="B687" s="75" t="s">
        <v>2127</v>
      </c>
      <c r="C687" s="71" t="s">
        <v>3168</v>
      </c>
      <c r="D687" s="72" t="s">
        <v>2831</v>
      </c>
      <c r="E687" s="2016" t="str">
        <f t="shared" si="33"/>
        <v>C1</v>
      </c>
      <c r="F687" s="54">
        <v>2000</v>
      </c>
      <c r="J687" s="54" t="str">
        <f t="shared" si="32"/>
        <v>C10m-TBA</v>
      </c>
    </row>
    <row r="688" spans="1:10" hidden="1">
      <c r="A688" s="71" t="s">
        <v>1995</v>
      </c>
      <c r="B688" s="75" t="s">
        <v>4455</v>
      </c>
      <c r="C688" s="73" t="s">
        <v>3169</v>
      </c>
      <c r="D688" s="72" t="s">
        <v>2439</v>
      </c>
      <c r="E688" s="2016" t="str">
        <f t="shared" si="33"/>
        <v>LX</v>
      </c>
      <c r="F688" s="54">
        <v>2000</v>
      </c>
      <c r="J688" s="54" t="str">
        <f t="shared" si="32"/>
        <v>LXIT</v>
      </c>
    </row>
    <row r="689" spans="1:10" hidden="1">
      <c r="A689" s="71" t="s">
        <v>516</v>
      </c>
      <c r="B689" s="75" t="s">
        <v>1547</v>
      </c>
      <c r="C689" s="73" t="s">
        <v>3170</v>
      </c>
      <c r="D689" s="72" t="s">
        <v>2439</v>
      </c>
      <c r="E689" s="2016" t="str">
        <f t="shared" si="33"/>
        <v>LX</v>
      </c>
      <c r="F689" s="54">
        <v>2000</v>
      </c>
      <c r="J689" s="54" t="str">
        <f t="shared" si="32"/>
        <v>LXITL</v>
      </c>
    </row>
    <row r="690" spans="1:10" hidden="1">
      <c r="A690" s="71" t="s">
        <v>2007</v>
      </c>
      <c r="B690" s="75" t="s">
        <v>818</v>
      </c>
      <c r="C690" s="73" t="s">
        <v>3171</v>
      </c>
      <c r="D690" s="72" t="s">
        <v>2439</v>
      </c>
      <c r="E690" s="2016" t="str">
        <f t="shared" si="33"/>
        <v>LX</v>
      </c>
      <c r="F690" s="54">
        <v>2000</v>
      </c>
      <c r="J690" s="54" t="str">
        <f t="shared" si="32"/>
        <v>LXINN</v>
      </c>
    </row>
    <row r="691" spans="1:10" hidden="1">
      <c r="A691" s="71" t="s">
        <v>1998</v>
      </c>
      <c r="B691" s="75" t="s">
        <v>1548</v>
      </c>
      <c r="C691" s="73" t="s">
        <v>3172</v>
      </c>
      <c r="D691" s="72" t="s">
        <v>2439</v>
      </c>
      <c r="E691" s="2016" t="str">
        <f t="shared" si="33"/>
        <v>LX</v>
      </c>
      <c r="F691" s="54">
        <v>2000</v>
      </c>
      <c r="J691" s="54" t="str">
        <f t="shared" si="32"/>
        <v>LXIN</v>
      </c>
    </row>
    <row r="692" spans="1:10" hidden="1">
      <c r="A692" s="71" t="s">
        <v>517</v>
      </c>
      <c r="B692" s="75" t="s">
        <v>1872</v>
      </c>
      <c r="C692" s="73" t="s">
        <v>3173</v>
      </c>
      <c r="D692" s="72" t="s">
        <v>2439</v>
      </c>
      <c r="E692" s="2016" t="str">
        <f t="shared" si="33"/>
        <v>LX</v>
      </c>
      <c r="F692" s="54">
        <v>2000</v>
      </c>
      <c r="J692" s="54" t="str">
        <f t="shared" si="32"/>
        <v>LXINL</v>
      </c>
    </row>
    <row r="693" spans="1:10" hidden="1">
      <c r="A693" s="71" t="s">
        <v>1879</v>
      </c>
      <c r="B693" s="75" t="s">
        <v>1881</v>
      </c>
      <c r="C693" s="73" t="s">
        <v>3174</v>
      </c>
      <c r="D693" s="72" t="s">
        <v>2439</v>
      </c>
      <c r="E693" s="2016" t="str">
        <f t="shared" si="33"/>
        <v>LX</v>
      </c>
      <c r="F693" s="54">
        <v>2000</v>
      </c>
      <c r="J693" s="54" t="str">
        <f t="shared" si="32"/>
        <v>LXID</v>
      </c>
    </row>
    <row r="694" spans="1:10" hidden="1">
      <c r="A694" s="71" t="s">
        <v>1880</v>
      </c>
      <c r="B694" s="75" t="s">
        <v>1882</v>
      </c>
      <c r="C694" s="73" t="s">
        <v>3175</v>
      </c>
      <c r="D694" s="72" t="s">
        <v>2439</v>
      </c>
      <c r="E694" s="2016" t="str">
        <f t="shared" si="33"/>
        <v>LX</v>
      </c>
      <c r="F694" s="54">
        <v>2000</v>
      </c>
      <c r="J694" s="54" t="str">
        <f t="shared" si="32"/>
        <v>LXIDL</v>
      </c>
    </row>
    <row r="695" spans="1:10" hidden="1">
      <c r="A695" s="71" t="s">
        <v>2242</v>
      </c>
      <c r="B695" s="75" t="s">
        <v>1760</v>
      </c>
      <c r="C695" s="73" t="s">
        <v>2440</v>
      </c>
      <c r="D695" s="72" t="s">
        <v>2439</v>
      </c>
      <c r="E695" s="2016" t="str">
        <f t="shared" si="33"/>
        <v>LX</v>
      </c>
      <c r="F695" s="54">
        <v>2000</v>
      </c>
      <c r="J695" s="54" t="str">
        <f t="shared" si="32"/>
        <v>LXHN1</v>
      </c>
    </row>
    <row r="696" spans="1:10" hidden="1">
      <c r="A696" s="71" t="s">
        <v>967</v>
      </c>
      <c r="B696" s="75" t="s">
        <v>1080</v>
      </c>
      <c r="C696" s="73" t="s">
        <v>3176</v>
      </c>
      <c r="D696" s="72" t="s">
        <v>2439</v>
      </c>
      <c r="E696" s="2016" t="str">
        <f t="shared" si="33"/>
        <v>LX</v>
      </c>
      <c r="F696" s="54">
        <v>2000</v>
      </c>
      <c r="J696" s="54" t="str">
        <f t="shared" si="32"/>
        <v>LXHN2</v>
      </c>
    </row>
    <row r="697" spans="1:10" hidden="1">
      <c r="A697" s="71" t="s">
        <v>680</v>
      </c>
      <c r="B697" s="75" t="s">
        <v>1549</v>
      </c>
      <c r="C697" s="73" t="s">
        <v>3177</v>
      </c>
      <c r="D697" s="72" t="s">
        <v>2439</v>
      </c>
      <c r="E697" s="2016" t="str">
        <f t="shared" si="33"/>
        <v>LX</v>
      </c>
      <c r="F697" s="54">
        <v>2000</v>
      </c>
      <c r="J697" s="54" t="str">
        <f t="shared" si="32"/>
        <v>LXHN3</v>
      </c>
    </row>
    <row r="698" spans="1:10" hidden="1">
      <c r="A698" s="71" t="s">
        <v>1589</v>
      </c>
      <c r="B698" s="75" t="s">
        <v>1590</v>
      </c>
      <c r="C698" s="73" t="s">
        <v>3178</v>
      </c>
      <c r="D698" s="72" t="s">
        <v>2555</v>
      </c>
      <c r="E698" s="2016" t="str">
        <f t="shared" si="33"/>
        <v>LD</v>
      </c>
      <c r="F698" s="54">
        <v>2000</v>
      </c>
      <c r="J698" s="54" t="str">
        <f t="shared" si="32"/>
        <v>LDAUCAP70</v>
      </c>
    </row>
    <row r="699" spans="1:10" hidden="1">
      <c r="A699" s="71" t="s">
        <v>1588</v>
      </c>
      <c r="B699" s="75" t="s">
        <v>40</v>
      </c>
      <c r="C699" s="73" t="s">
        <v>3179</v>
      </c>
      <c r="D699" s="72" t="s">
        <v>2555</v>
      </c>
      <c r="E699" s="2016" t="str">
        <f t="shared" si="33"/>
        <v>LD</v>
      </c>
      <c r="F699" s="54">
        <v>2000</v>
      </c>
      <c r="J699" s="54" t="str">
        <f t="shared" si="32"/>
        <v>LDAUCAP120</v>
      </c>
    </row>
    <row r="700" spans="1:10" hidden="1">
      <c r="A700" s="71" t="s">
        <v>39</v>
      </c>
      <c r="B700" s="75" t="s">
        <v>942</v>
      </c>
      <c r="C700" s="73" t="s">
        <v>3180</v>
      </c>
      <c r="D700" s="72" t="s">
        <v>2555</v>
      </c>
      <c r="E700" s="2016" t="str">
        <f t="shared" si="33"/>
        <v>LD</v>
      </c>
      <c r="F700" s="54">
        <v>2000</v>
      </c>
      <c r="J700" s="54" t="str">
        <f t="shared" si="32"/>
        <v>LDAUCAP185</v>
      </c>
    </row>
    <row r="701" spans="1:10" hidden="1">
      <c r="A701" s="71" t="s">
        <v>307</v>
      </c>
      <c r="B701" s="75" t="s">
        <v>551</v>
      </c>
      <c r="C701" s="73" t="s">
        <v>3181</v>
      </c>
      <c r="D701" s="72" t="s">
        <v>2555</v>
      </c>
      <c r="E701" s="2016" t="str">
        <f t="shared" si="33"/>
        <v>LD</v>
      </c>
      <c r="F701" s="54">
        <v>2000</v>
      </c>
      <c r="J701" s="54" t="str">
        <f t="shared" si="32"/>
        <v>LDAUCAP70HT</v>
      </c>
    </row>
    <row r="702" spans="1:10" hidden="1">
      <c r="A702" s="71" t="s">
        <v>308</v>
      </c>
      <c r="B702" s="75" t="s">
        <v>1778</v>
      </c>
      <c r="C702" s="73" t="s">
        <v>3182</v>
      </c>
      <c r="D702" s="72" t="s">
        <v>2555</v>
      </c>
      <c r="E702" s="2016" t="str">
        <f t="shared" si="33"/>
        <v>LD</v>
      </c>
      <c r="F702" s="54">
        <v>2000</v>
      </c>
      <c r="J702" s="54" t="str">
        <f t="shared" si="32"/>
        <v>LDAUCAP120HT</v>
      </c>
    </row>
    <row r="703" spans="1:10" hidden="1">
      <c r="A703" s="71" t="s">
        <v>309</v>
      </c>
      <c r="B703" s="75" t="s">
        <v>148</v>
      </c>
      <c r="C703" s="73" t="s">
        <v>3183</v>
      </c>
      <c r="D703" s="72" t="s">
        <v>2555</v>
      </c>
      <c r="E703" s="2016" t="str">
        <f t="shared" si="33"/>
        <v>LD</v>
      </c>
      <c r="F703" s="54">
        <v>2000</v>
      </c>
      <c r="J703" s="54" t="str">
        <f t="shared" si="32"/>
        <v>LDAUCAP185HT</v>
      </c>
    </row>
    <row r="704" spans="1:10" hidden="1">
      <c r="A704" s="71" t="s">
        <v>681</v>
      </c>
      <c r="B704" s="75" t="s">
        <v>682</v>
      </c>
      <c r="C704" s="71" t="s">
        <v>5470</v>
      </c>
      <c r="D704" s="72" t="s">
        <v>2555</v>
      </c>
      <c r="E704" s="2016" t="str">
        <f t="shared" si="33"/>
        <v>XL</v>
      </c>
      <c r="F704" s="54">
        <v>2000</v>
      </c>
      <c r="J704" s="54" t="str">
        <f t="shared" si="32"/>
        <v>XLCD</v>
      </c>
    </row>
    <row r="705" spans="1:10" hidden="1">
      <c r="A705" s="71" t="s">
        <v>971</v>
      </c>
      <c r="B705" s="75"/>
      <c r="C705" s="73" t="s">
        <v>3184</v>
      </c>
      <c r="D705" s="72"/>
      <c r="E705" s="2016" t="str">
        <f t="shared" si="33"/>
        <v>LB</v>
      </c>
      <c r="F705" s="54">
        <v>2000</v>
      </c>
      <c r="J705" s="54" t="str">
        <f t="shared" si="32"/>
        <v>LBAKE</v>
      </c>
    </row>
    <row r="706" spans="1:10" hidden="1">
      <c r="A706" s="71" t="s">
        <v>970</v>
      </c>
      <c r="B706" s="75"/>
      <c r="C706" s="73" t="s">
        <v>3185</v>
      </c>
      <c r="D706" s="72"/>
      <c r="E706" s="2016" t="str">
        <f t="shared" si="33"/>
        <v>LC</v>
      </c>
      <c r="F706" s="54">
        <v>2000</v>
      </c>
      <c r="J706" s="54" t="str">
        <f t="shared" si="32"/>
        <v>LCHI</v>
      </c>
    </row>
    <row r="707" spans="1:10" hidden="1">
      <c r="A707" s="71" t="s">
        <v>348</v>
      </c>
      <c r="B707" s="75" t="s">
        <v>1754</v>
      </c>
      <c r="C707" s="73" t="s">
        <v>3186</v>
      </c>
      <c r="D707" s="72" t="s">
        <v>2555</v>
      </c>
      <c r="E707" s="2016" t="str">
        <f t="shared" si="33"/>
        <v>LC</v>
      </c>
      <c r="F707" s="54">
        <v>2000</v>
      </c>
      <c r="J707" s="54" t="str">
        <f t="shared" si="32"/>
        <v>LCSD</v>
      </c>
    </row>
    <row r="708" spans="1:10" hidden="1">
      <c r="A708" s="71" t="s">
        <v>1906</v>
      </c>
      <c r="B708" s="75" t="s">
        <v>1457</v>
      </c>
      <c r="C708" s="73" t="s">
        <v>3187</v>
      </c>
      <c r="D708" s="72" t="s">
        <v>2439</v>
      </c>
      <c r="E708" s="2016" t="str">
        <f t="shared" si="33"/>
        <v>LC</v>
      </c>
      <c r="F708" s="54">
        <v>2000</v>
      </c>
      <c r="J708" s="54" t="str">
        <f t="shared" si="32"/>
        <v>LCL</v>
      </c>
    </row>
    <row r="709" spans="1:10" hidden="1">
      <c r="A709" s="71" t="s">
        <v>1918</v>
      </c>
      <c r="B709" s="75" t="s">
        <v>1766</v>
      </c>
      <c r="C709" s="73" t="s">
        <v>3188</v>
      </c>
      <c r="D709" s="72" t="s">
        <v>2439</v>
      </c>
      <c r="E709" s="2016" t="str">
        <f t="shared" si="33"/>
        <v>LD</v>
      </c>
      <c r="F709" s="54">
        <v>2000</v>
      </c>
      <c r="J709" s="54" t="str">
        <f t="shared" si="32"/>
        <v>LDN</v>
      </c>
    </row>
    <row r="710" spans="1:10" hidden="1">
      <c r="A710" s="71" t="s">
        <v>1961</v>
      </c>
      <c r="B710" s="75" t="s">
        <v>220</v>
      </c>
      <c r="C710" s="73" t="s">
        <v>3189</v>
      </c>
      <c r="D710" s="72" t="s">
        <v>2555</v>
      </c>
      <c r="E710" s="2016" t="str">
        <f t="shared" si="33"/>
        <v>NX</v>
      </c>
      <c r="F710" s="54">
        <v>2000</v>
      </c>
      <c r="J710" s="54" t="str">
        <f t="shared" si="32"/>
        <v>NXOE</v>
      </c>
    </row>
    <row r="711" spans="1:10" hidden="1">
      <c r="A711" s="71" t="s">
        <v>2132</v>
      </c>
      <c r="B711" s="75" t="s">
        <v>220</v>
      </c>
      <c r="C711" s="73" t="s">
        <v>3190</v>
      </c>
      <c r="D711" s="72" t="s">
        <v>2555</v>
      </c>
      <c r="E711" s="2016" t="str">
        <f t="shared" si="33"/>
        <v>LD</v>
      </c>
      <c r="F711" s="54">
        <v>2000</v>
      </c>
      <c r="J711" s="54" t="str">
        <f t="shared" si="32"/>
        <v>LDN0212</v>
      </c>
    </row>
    <row r="712" spans="1:10" hidden="1">
      <c r="A712" s="71" t="s">
        <v>2133</v>
      </c>
      <c r="B712" s="75" t="s">
        <v>220</v>
      </c>
      <c r="C712" s="73" t="s">
        <v>3191</v>
      </c>
      <c r="D712" s="72" t="s">
        <v>2555</v>
      </c>
      <c r="E712" s="2016" t="str">
        <f t="shared" si="33"/>
        <v>LD</v>
      </c>
      <c r="F712" s="54">
        <v>2000</v>
      </c>
      <c r="J712" s="54" t="str">
        <f t="shared" si="32"/>
        <v>LDN0412</v>
      </c>
    </row>
    <row r="713" spans="1:10" hidden="1">
      <c r="A713" s="71" t="s">
        <v>1180</v>
      </c>
      <c r="B713" s="75" t="s">
        <v>1558</v>
      </c>
      <c r="C713" s="73" t="s">
        <v>3192</v>
      </c>
      <c r="D713" s="72" t="s">
        <v>2555</v>
      </c>
      <c r="E713" s="2016" t="str">
        <f t="shared" si="33"/>
        <v>LD</v>
      </c>
      <c r="F713" s="54">
        <v>2000</v>
      </c>
      <c r="J713" s="54" t="str">
        <f t="shared" si="32"/>
        <v>LDN0415</v>
      </c>
    </row>
    <row r="714" spans="1:10" hidden="1">
      <c r="A714" s="71" t="s">
        <v>1181</v>
      </c>
      <c r="B714" s="75" t="s">
        <v>1558</v>
      </c>
      <c r="C714" s="73" t="s">
        <v>3193</v>
      </c>
      <c r="D714" s="72" t="s">
        <v>2555</v>
      </c>
      <c r="E714" s="2016" t="str">
        <f t="shared" si="33"/>
        <v>LD</v>
      </c>
      <c r="F714" s="54">
        <v>2000</v>
      </c>
      <c r="J714" s="54" t="str">
        <f t="shared" si="32"/>
        <v>LDN0615</v>
      </c>
    </row>
    <row r="715" spans="1:10" hidden="1">
      <c r="A715" s="71" t="s">
        <v>604</v>
      </c>
      <c r="B715" s="75" t="s">
        <v>220</v>
      </c>
      <c r="C715" s="73" t="s">
        <v>3194</v>
      </c>
      <c r="D715" s="72" t="s">
        <v>2555</v>
      </c>
      <c r="E715" s="2016" t="str">
        <f t="shared" si="33"/>
        <v>LD</v>
      </c>
      <c r="F715" s="54">
        <v>2000</v>
      </c>
      <c r="J715" s="54" t="str">
        <f t="shared" si="32"/>
        <v>LDN4</v>
      </c>
    </row>
    <row r="716" spans="1:10" hidden="1">
      <c r="A716" s="71" t="s">
        <v>1907</v>
      </c>
      <c r="B716" s="75" t="s">
        <v>1558</v>
      </c>
      <c r="C716" s="73" t="s">
        <v>3195</v>
      </c>
      <c r="D716" s="72" t="s">
        <v>2555</v>
      </c>
      <c r="E716" s="2016" t="str">
        <f t="shared" si="33"/>
        <v>LD</v>
      </c>
      <c r="F716" s="54">
        <v>2000</v>
      </c>
      <c r="J716" s="54" t="str">
        <f t="shared" si="32"/>
        <v>LDN6</v>
      </c>
    </row>
    <row r="717" spans="1:10" hidden="1">
      <c r="A717" s="71" t="s">
        <v>1955</v>
      </c>
      <c r="B717" s="75" t="s">
        <v>1386</v>
      </c>
      <c r="C717" s="73" t="s">
        <v>3196</v>
      </c>
      <c r="D717" s="72" t="s">
        <v>856</v>
      </c>
      <c r="E717" s="2016" t="str">
        <f t="shared" si="33"/>
        <v>DB</v>
      </c>
      <c r="F717" s="54">
        <v>2000</v>
      </c>
      <c r="J717" s="54" t="str">
        <f t="shared" si="32"/>
        <v>DBT10046</v>
      </c>
    </row>
    <row r="718" spans="1:10" hidden="1">
      <c r="A718" s="71" t="s">
        <v>1835</v>
      </c>
      <c r="B718" s="75" t="s">
        <v>1762</v>
      </c>
      <c r="C718" s="73" t="s">
        <v>3197</v>
      </c>
      <c r="D718" s="72" t="s">
        <v>856</v>
      </c>
      <c r="E718" s="2016" t="str">
        <f t="shared" si="33"/>
        <v>DB</v>
      </c>
      <c r="F718" s="54">
        <v>2000</v>
      </c>
      <c r="J718" s="54" t="str">
        <f t="shared" si="32"/>
        <v>DBT15012</v>
      </c>
    </row>
    <row r="719" spans="1:10" hidden="1">
      <c r="A719" s="71" t="s">
        <v>1836</v>
      </c>
      <c r="B719" s="1657" t="s">
        <v>1761</v>
      </c>
      <c r="C719" s="73" t="s">
        <v>3198</v>
      </c>
      <c r="D719" s="72" t="s">
        <v>856</v>
      </c>
      <c r="E719" s="2016" t="str">
        <f t="shared" si="33"/>
        <v>DB</v>
      </c>
      <c r="F719" s="54">
        <v>2000</v>
      </c>
      <c r="J719" s="54" t="str">
        <f t="shared" si="32"/>
        <v>DBT20012</v>
      </c>
    </row>
    <row r="720" spans="1:10" hidden="1">
      <c r="A720" s="71" t="s">
        <v>9</v>
      </c>
      <c r="B720" s="75" t="s">
        <v>1775</v>
      </c>
      <c r="C720" s="73" t="s">
        <v>3199</v>
      </c>
      <c r="D720" s="72" t="s">
        <v>2248</v>
      </c>
      <c r="E720" s="2016" t="str">
        <f t="shared" si="33"/>
        <v>LC</v>
      </c>
      <c r="F720" s="54">
        <v>2000</v>
      </c>
      <c r="J720" s="54" t="str">
        <f t="shared" si="32"/>
        <v>LCT10</v>
      </c>
    </row>
    <row r="721" spans="1:10" hidden="1">
      <c r="A721" s="71" t="s">
        <v>585</v>
      </c>
      <c r="B721" s="75" t="s">
        <v>886</v>
      </c>
      <c r="C721" s="73" t="s">
        <v>3200</v>
      </c>
      <c r="D721" s="72" t="s">
        <v>2248</v>
      </c>
      <c r="E721" s="2016" t="str">
        <f t="shared" si="33"/>
        <v>LC</v>
      </c>
      <c r="F721" s="54">
        <v>2000</v>
      </c>
      <c r="J721" s="54" t="str">
        <f t="shared" si="32"/>
        <v>LCT18</v>
      </c>
    </row>
    <row r="722" spans="1:10" hidden="1">
      <c r="A722" s="71" t="s">
        <v>1807</v>
      </c>
      <c r="B722" s="75" t="s">
        <v>1808</v>
      </c>
      <c r="C722" s="73" t="s">
        <v>3201</v>
      </c>
      <c r="D722" s="72" t="s">
        <v>2248</v>
      </c>
      <c r="E722" s="2016" t="str">
        <f t="shared" si="33"/>
        <v>LC</v>
      </c>
      <c r="F722" s="54">
        <v>2000</v>
      </c>
      <c r="J722" s="54" t="str">
        <f t="shared" si="32"/>
        <v>LCT&gt;18</v>
      </c>
    </row>
    <row r="723" spans="1:10" hidden="1">
      <c r="A723" s="71" t="s">
        <v>10</v>
      </c>
      <c r="B723" s="75" t="s">
        <v>53</v>
      </c>
      <c r="C723" s="73" t="s">
        <v>3202</v>
      </c>
      <c r="D723" s="72" t="s">
        <v>1960</v>
      </c>
      <c r="E723" s="2016" t="str">
        <f t="shared" si="33"/>
        <v>LD</v>
      </c>
      <c r="F723" s="54">
        <v>2000</v>
      </c>
      <c r="J723" s="54" t="str">
        <f t="shared" si="32"/>
        <v>LDVANK</v>
      </c>
    </row>
    <row r="724" spans="1:10" hidden="1">
      <c r="A724" s="71" t="s">
        <v>1962</v>
      </c>
      <c r="B724" s="75" t="s">
        <v>1402</v>
      </c>
      <c r="C724" s="73" t="s">
        <v>3203</v>
      </c>
      <c r="D724" s="72" t="s">
        <v>2037</v>
      </c>
      <c r="E724" s="2016" t="str">
        <f t="shared" si="33"/>
        <v>KD</v>
      </c>
      <c r="F724" s="54">
        <v>2000</v>
      </c>
      <c r="J724" s="54" t="str">
        <f t="shared" si="32"/>
        <v>KDA35</v>
      </c>
    </row>
    <row r="725" spans="1:10" hidden="1">
      <c r="A725" s="71" t="s">
        <v>1403</v>
      </c>
      <c r="B725" s="75" t="s">
        <v>1625</v>
      </c>
      <c r="C725" s="73" t="s">
        <v>3204</v>
      </c>
      <c r="D725" s="72" t="s">
        <v>2037</v>
      </c>
      <c r="E725" s="2016" t="str">
        <f t="shared" si="33"/>
        <v>KD</v>
      </c>
      <c r="F725" s="54">
        <v>2000</v>
      </c>
      <c r="J725" s="54" t="str">
        <f t="shared" si="32"/>
        <v>KDA50</v>
      </c>
    </row>
    <row r="726" spans="1:10" hidden="1">
      <c r="A726" s="71" t="s">
        <v>619</v>
      </c>
      <c r="B726" s="75" t="s">
        <v>620</v>
      </c>
      <c r="C726" s="73" t="s">
        <v>3205</v>
      </c>
      <c r="D726" s="72" t="s">
        <v>2037</v>
      </c>
      <c r="E726" s="2016" t="str">
        <f t="shared" si="33"/>
        <v>KD</v>
      </c>
      <c r="F726" s="54">
        <v>2000</v>
      </c>
      <c r="J726" s="54" t="str">
        <f t="shared" si="32"/>
        <v>KDA70</v>
      </c>
    </row>
    <row r="727" spans="1:10" hidden="1">
      <c r="A727" s="71" t="s">
        <v>2243</v>
      </c>
      <c r="B727" s="75" t="s">
        <v>1162</v>
      </c>
      <c r="C727" s="73" t="s">
        <v>3206</v>
      </c>
      <c r="D727" s="72" t="s">
        <v>2037</v>
      </c>
      <c r="E727" s="2016" t="str">
        <f t="shared" si="33"/>
        <v>KD</v>
      </c>
      <c r="F727" s="54">
        <v>2000</v>
      </c>
      <c r="J727" s="54" t="str">
        <f t="shared" ref="J727:J790" si="34">A727</f>
        <v>KDA95</v>
      </c>
    </row>
    <row r="728" spans="1:10" hidden="1">
      <c r="A728" s="71" t="s">
        <v>1166</v>
      </c>
      <c r="B728" s="75" t="s">
        <v>1522</v>
      </c>
      <c r="C728" s="73" t="s">
        <v>3207</v>
      </c>
      <c r="D728" s="72" t="s">
        <v>2037</v>
      </c>
      <c r="E728" s="2016" t="str">
        <f t="shared" si="33"/>
        <v>KD</v>
      </c>
      <c r="F728" s="54">
        <v>2000</v>
      </c>
      <c r="J728" s="54" t="str">
        <f t="shared" si="34"/>
        <v>KDA35B</v>
      </c>
    </row>
    <row r="729" spans="1:10" hidden="1">
      <c r="A729" s="71" t="s">
        <v>451</v>
      </c>
      <c r="B729" s="75" t="s">
        <v>1625</v>
      </c>
      <c r="C729" s="73" t="s">
        <v>3208</v>
      </c>
      <c r="D729" s="72" t="s">
        <v>2037</v>
      </c>
      <c r="E729" s="2016" t="str">
        <f t="shared" si="33"/>
        <v>KD</v>
      </c>
      <c r="F729" s="54">
        <v>2000</v>
      </c>
      <c r="J729" s="54" t="str">
        <f t="shared" si="34"/>
        <v>KDA50B</v>
      </c>
    </row>
    <row r="730" spans="1:10" hidden="1">
      <c r="A730" s="71" t="s">
        <v>79</v>
      </c>
      <c r="B730" s="75" t="s">
        <v>1523</v>
      </c>
      <c r="C730" s="73" t="s">
        <v>3209</v>
      </c>
      <c r="D730" s="72" t="s">
        <v>2037</v>
      </c>
      <c r="E730" s="2016" t="str">
        <f t="shared" si="33"/>
        <v>KD</v>
      </c>
      <c r="F730" s="54">
        <v>2000</v>
      </c>
      <c r="J730" s="54" t="str">
        <f t="shared" si="34"/>
        <v>KDA70B</v>
      </c>
    </row>
    <row r="731" spans="1:10" hidden="1">
      <c r="A731" s="71" t="s">
        <v>1509</v>
      </c>
      <c r="B731" s="75" t="s">
        <v>2035</v>
      </c>
      <c r="C731" s="73" t="s">
        <v>3210</v>
      </c>
      <c r="D731" s="72" t="s">
        <v>2037</v>
      </c>
      <c r="E731" s="2016" t="str">
        <f t="shared" si="33"/>
        <v>KD</v>
      </c>
      <c r="F731" s="54">
        <v>2000</v>
      </c>
      <c r="J731" s="54" t="str">
        <f t="shared" si="34"/>
        <v>KDA95B</v>
      </c>
    </row>
    <row r="732" spans="1:10" hidden="1">
      <c r="A732" s="71" t="s">
        <v>1174</v>
      </c>
      <c r="B732" s="75" t="s">
        <v>1163</v>
      </c>
      <c r="C732" s="73" t="s">
        <v>3211</v>
      </c>
      <c r="D732" s="72" t="s">
        <v>2037</v>
      </c>
      <c r="E732" s="2016" t="str">
        <f t="shared" si="33"/>
        <v>KD</v>
      </c>
      <c r="F732" s="54">
        <v>2000</v>
      </c>
      <c r="J732" s="54" t="str">
        <f t="shared" si="34"/>
        <v>KDA120B</v>
      </c>
    </row>
    <row r="733" spans="1:10" hidden="1">
      <c r="A733" s="71" t="s">
        <v>924</v>
      </c>
      <c r="B733" s="75" t="s">
        <v>792</v>
      </c>
      <c r="C733" s="73" t="s">
        <v>3212</v>
      </c>
      <c r="D733" s="72" t="s">
        <v>2037</v>
      </c>
      <c r="E733" s="2016" t="str">
        <f t="shared" si="33"/>
        <v>KD</v>
      </c>
      <c r="F733" s="54">
        <v>2000</v>
      </c>
      <c r="J733" s="54" t="str">
        <f t="shared" si="34"/>
        <v>KDA150B</v>
      </c>
    </row>
    <row r="734" spans="1:10" hidden="1">
      <c r="A734" s="71" t="s">
        <v>925</v>
      </c>
      <c r="B734" s="75" t="s">
        <v>1164</v>
      </c>
      <c r="C734" s="73" t="s">
        <v>3213</v>
      </c>
      <c r="D734" s="72" t="s">
        <v>2037</v>
      </c>
      <c r="E734" s="2016" t="str">
        <f t="shared" si="33"/>
        <v>KD</v>
      </c>
      <c r="F734" s="54">
        <v>2000</v>
      </c>
      <c r="J734" s="54" t="str">
        <f t="shared" si="34"/>
        <v>KDA185B</v>
      </c>
    </row>
    <row r="735" spans="1:10" hidden="1">
      <c r="A735" s="71" t="s">
        <v>1441</v>
      </c>
      <c r="B735" s="75" t="s">
        <v>1165</v>
      </c>
      <c r="C735" s="73" t="s">
        <v>3214</v>
      </c>
      <c r="D735" s="72" t="s">
        <v>2037</v>
      </c>
      <c r="E735" s="2016" t="str">
        <f t="shared" si="33"/>
        <v>KD</v>
      </c>
      <c r="F735" s="54">
        <v>2000</v>
      </c>
      <c r="J735" s="54" t="str">
        <f t="shared" si="34"/>
        <v>KDA240B</v>
      </c>
    </row>
    <row r="736" spans="1:10" hidden="1">
      <c r="A736" s="1658" t="s">
        <v>2222</v>
      </c>
      <c r="B736" s="75" t="s">
        <v>783</v>
      </c>
      <c r="C736" s="73" t="s">
        <v>3215</v>
      </c>
      <c r="D736" s="72" t="s">
        <v>2037</v>
      </c>
      <c r="E736" s="2016" t="str">
        <f t="shared" si="33"/>
        <v>KD</v>
      </c>
      <c r="F736" s="54">
        <v>2000</v>
      </c>
      <c r="J736" s="54" t="str">
        <f t="shared" si="34"/>
        <v>KDAABC150</v>
      </c>
    </row>
    <row r="737" spans="1:10" hidden="1">
      <c r="A737" s="1658" t="s">
        <v>863</v>
      </c>
      <c r="B737" s="75" t="s">
        <v>783</v>
      </c>
      <c r="C737" s="73" t="s">
        <v>3216</v>
      </c>
      <c r="D737" s="72" t="s">
        <v>2037</v>
      </c>
      <c r="E737" s="2016" t="str">
        <f t="shared" si="33"/>
        <v>KD</v>
      </c>
      <c r="F737" s="54">
        <v>2000</v>
      </c>
      <c r="J737" s="54" t="str">
        <f t="shared" si="34"/>
        <v>KDAABC120</v>
      </c>
    </row>
    <row r="738" spans="1:10" hidden="1">
      <c r="A738" s="1658" t="s">
        <v>864</v>
      </c>
      <c r="B738" s="75" t="s">
        <v>784</v>
      </c>
      <c r="C738" s="73" t="s">
        <v>4324</v>
      </c>
      <c r="D738" s="72" t="s">
        <v>2037</v>
      </c>
      <c r="E738" s="2016" t="str">
        <f t="shared" si="33"/>
        <v>KD</v>
      </c>
      <c r="F738" s="54">
        <v>2000</v>
      </c>
      <c r="J738" s="54" t="str">
        <f t="shared" si="34"/>
        <v>KDAABC95</v>
      </c>
    </row>
    <row r="739" spans="1:10" hidden="1">
      <c r="A739" s="1658" t="s">
        <v>865</v>
      </c>
      <c r="B739" s="1657" t="s">
        <v>2097</v>
      </c>
      <c r="C739" s="73" t="s">
        <v>3217</v>
      </c>
      <c r="D739" s="72" t="s">
        <v>2037</v>
      </c>
      <c r="E739" s="2016" t="str">
        <f t="shared" si="33"/>
        <v>KD</v>
      </c>
      <c r="F739" s="54">
        <v>2000</v>
      </c>
      <c r="J739" s="54" t="str">
        <f t="shared" si="34"/>
        <v>KDAABC70</v>
      </c>
    </row>
    <row r="740" spans="1:10" hidden="1">
      <c r="A740" s="1658" t="s">
        <v>866</v>
      </c>
      <c r="B740" s="75" t="s">
        <v>1769</v>
      </c>
      <c r="C740" s="73" t="s">
        <v>3218</v>
      </c>
      <c r="D740" s="72" t="s">
        <v>2037</v>
      </c>
      <c r="E740" s="2016" t="str">
        <f t="shared" si="33"/>
        <v>KD</v>
      </c>
      <c r="F740" s="54">
        <v>2000</v>
      </c>
      <c r="J740" s="54" t="str">
        <f t="shared" si="34"/>
        <v>KDAABC50</v>
      </c>
    </row>
    <row r="741" spans="1:10" hidden="1">
      <c r="A741" s="71" t="s">
        <v>1521</v>
      </c>
      <c r="B741" s="75" t="s">
        <v>1522</v>
      </c>
      <c r="C741" s="73" t="s">
        <v>3219</v>
      </c>
      <c r="D741" s="72" t="s">
        <v>2037</v>
      </c>
      <c r="E741" s="2016" t="str">
        <f t="shared" si="33"/>
        <v>KD</v>
      </c>
      <c r="F741" s="54">
        <v>2000</v>
      </c>
      <c r="J741" s="54" t="str">
        <f t="shared" si="34"/>
        <v>KDAC35</v>
      </c>
    </row>
    <row r="742" spans="1:10" hidden="1">
      <c r="A742" s="71" t="s">
        <v>1269</v>
      </c>
      <c r="B742" s="75" t="s">
        <v>1767</v>
      </c>
      <c r="C742" s="73" t="s">
        <v>3220</v>
      </c>
      <c r="D742" s="72" t="s">
        <v>2037</v>
      </c>
      <c r="E742" s="2016" t="str">
        <f t="shared" si="33"/>
        <v>KD</v>
      </c>
      <c r="F742" s="54">
        <v>2000</v>
      </c>
      <c r="J742" s="54" t="str">
        <f t="shared" si="34"/>
        <v>KDAC50</v>
      </c>
    </row>
    <row r="743" spans="1:10" hidden="1">
      <c r="A743" s="71" t="s">
        <v>1414</v>
      </c>
      <c r="B743" s="75" t="s">
        <v>1523</v>
      </c>
      <c r="C743" s="73" t="s">
        <v>3221</v>
      </c>
      <c r="D743" s="72" t="s">
        <v>2037</v>
      </c>
      <c r="E743" s="2016" t="str">
        <f t="shared" si="33"/>
        <v>KD</v>
      </c>
      <c r="F743" s="54">
        <v>2000</v>
      </c>
      <c r="J743" s="54" t="str">
        <f t="shared" si="34"/>
        <v>KDAC70</v>
      </c>
    </row>
    <row r="744" spans="1:10" hidden="1">
      <c r="A744" s="71" t="s">
        <v>1524</v>
      </c>
      <c r="B744" s="75" t="s">
        <v>2035</v>
      </c>
      <c r="C744" s="73" t="s">
        <v>3222</v>
      </c>
      <c r="D744" s="72" t="s">
        <v>2037</v>
      </c>
      <c r="E744" s="2016" t="str">
        <f t="shared" si="33"/>
        <v>KD</v>
      </c>
      <c r="F744" s="54">
        <v>2000</v>
      </c>
      <c r="J744" s="54" t="str">
        <f t="shared" si="34"/>
        <v>KDAC95</v>
      </c>
    </row>
    <row r="745" spans="1:10" hidden="1">
      <c r="A745" s="71" t="s">
        <v>139</v>
      </c>
      <c r="B745" s="75" t="s">
        <v>1163</v>
      </c>
      <c r="C745" s="73" t="s">
        <v>3223</v>
      </c>
      <c r="D745" s="72" t="s">
        <v>2037</v>
      </c>
      <c r="E745" s="2016" t="str">
        <f t="shared" si="33"/>
        <v>KD</v>
      </c>
      <c r="F745" s="54">
        <v>2000</v>
      </c>
      <c r="J745" s="54" t="str">
        <f t="shared" si="34"/>
        <v>KDAC120</v>
      </c>
    </row>
    <row r="746" spans="1:10" hidden="1">
      <c r="A746" s="71" t="s">
        <v>791</v>
      </c>
      <c r="B746" s="75" t="s">
        <v>792</v>
      </c>
      <c r="C746" s="73" t="s">
        <v>3224</v>
      </c>
      <c r="D746" s="72" t="s">
        <v>2037</v>
      </c>
      <c r="E746" s="2016" t="str">
        <f t="shared" si="33"/>
        <v>KD</v>
      </c>
      <c r="F746" s="54">
        <v>2000</v>
      </c>
      <c r="J746" s="54" t="str">
        <f t="shared" si="34"/>
        <v>KDAC150</v>
      </c>
    </row>
    <row r="747" spans="1:10" hidden="1">
      <c r="A747" s="71" t="s">
        <v>366</v>
      </c>
      <c r="B747" s="75" t="s">
        <v>1767</v>
      </c>
      <c r="C747" s="73" t="s">
        <v>4336</v>
      </c>
      <c r="D747" s="72" t="s">
        <v>2037</v>
      </c>
      <c r="E747" s="2016" t="str">
        <f t="shared" si="33"/>
        <v>KD</v>
      </c>
      <c r="F747" s="54">
        <v>2000</v>
      </c>
      <c r="J747" s="54" t="str">
        <f t="shared" si="34"/>
        <v>KDACXV50</v>
      </c>
    </row>
    <row r="748" spans="1:10" hidden="1">
      <c r="A748" s="71" t="s">
        <v>1372</v>
      </c>
      <c r="B748" s="75" t="s">
        <v>792</v>
      </c>
      <c r="C748" s="73" t="s">
        <v>3225</v>
      </c>
      <c r="D748" s="72" t="s">
        <v>2037</v>
      </c>
      <c r="E748" s="2016" t="str">
        <f t="shared" si="33"/>
        <v>KD</v>
      </c>
      <c r="F748" s="54">
        <v>2000</v>
      </c>
      <c r="J748" s="54" t="str">
        <f t="shared" si="34"/>
        <v>KDACXV150</v>
      </c>
    </row>
    <row r="749" spans="1:10" hidden="1">
      <c r="A749" s="71" t="s">
        <v>140</v>
      </c>
      <c r="B749" s="75" t="s">
        <v>1164</v>
      </c>
      <c r="C749" s="73" t="s">
        <v>3226</v>
      </c>
      <c r="D749" s="72" t="s">
        <v>2037</v>
      </c>
      <c r="E749" s="2016" t="str">
        <f t="shared" ref="E749:E812" si="35">LEFT(A749,2)</f>
        <v>KD</v>
      </c>
      <c r="F749" s="54">
        <v>2000</v>
      </c>
      <c r="J749" s="54" t="str">
        <f t="shared" si="34"/>
        <v>KDAC185</v>
      </c>
    </row>
    <row r="750" spans="1:10" hidden="1">
      <c r="A750" s="71" t="s">
        <v>711</v>
      </c>
      <c r="B750" s="75" t="s">
        <v>1165</v>
      </c>
      <c r="C750" s="73" t="s">
        <v>3227</v>
      </c>
      <c r="D750" s="72" t="s">
        <v>2037</v>
      </c>
      <c r="E750" s="2016" t="str">
        <f t="shared" si="35"/>
        <v>KD</v>
      </c>
      <c r="F750" s="54">
        <v>2000</v>
      </c>
      <c r="J750" s="54" t="str">
        <f t="shared" si="34"/>
        <v>KDAC240</v>
      </c>
    </row>
    <row r="751" spans="1:10" hidden="1">
      <c r="A751" s="71" t="s">
        <v>390</v>
      </c>
      <c r="B751" s="75" t="s">
        <v>391</v>
      </c>
      <c r="C751" s="73" t="s">
        <v>3228</v>
      </c>
      <c r="D751" s="72" t="s">
        <v>2037</v>
      </c>
      <c r="E751" s="2016" t="str">
        <f t="shared" si="35"/>
        <v>KD</v>
      </c>
      <c r="F751" s="54">
        <v>2000</v>
      </c>
      <c r="J751" s="54" t="str">
        <f t="shared" si="34"/>
        <v>KDM22</v>
      </c>
    </row>
    <row r="752" spans="1:10" hidden="1">
      <c r="A752" s="71" t="s">
        <v>679</v>
      </c>
      <c r="B752" s="75" t="s">
        <v>391</v>
      </c>
      <c r="C752" s="73" t="s">
        <v>3229</v>
      </c>
      <c r="D752" s="72" t="s">
        <v>2037</v>
      </c>
      <c r="E752" s="2016" t="str">
        <f t="shared" si="35"/>
        <v>KD</v>
      </c>
      <c r="F752" s="54">
        <v>2000</v>
      </c>
      <c r="J752" s="54" t="str">
        <f t="shared" si="34"/>
        <v>KDM25</v>
      </c>
    </row>
    <row r="753" spans="1:10" hidden="1">
      <c r="A753" s="71" t="s">
        <v>298</v>
      </c>
      <c r="B753" s="75" t="s">
        <v>299</v>
      </c>
      <c r="C753" s="73" t="s">
        <v>3230</v>
      </c>
      <c r="D753" s="72" t="s">
        <v>2037</v>
      </c>
      <c r="E753" s="2016" t="str">
        <f t="shared" si="35"/>
        <v>KD</v>
      </c>
      <c r="F753" s="54">
        <v>2000</v>
      </c>
      <c r="J753" s="54" t="str">
        <f t="shared" si="34"/>
        <v>KDM35</v>
      </c>
    </row>
    <row r="754" spans="1:10" hidden="1">
      <c r="A754" s="71" t="s">
        <v>413</v>
      </c>
      <c r="B754" s="75" t="s">
        <v>414</v>
      </c>
      <c r="C754" s="73" t="s">
        <v>3231</v>
      </c>
      <c r="D754" s="72" t="s">
        <v>2037</v>
      </c>
      <c r="E754" s="2016" t="str">
        <f t="shared" si="35"/>
        <v>KD</v>
      </c>
      <c r="F754" s="54">
        <v>2000</v>
      </c>
      <c r="J754" s="54" t="str">
        <f t="shared" si="34"/>
        <v>KDM48</v>
      </c>
    </row>
    <row r="755" spans="1:10" hidden="1">
      <c r="A755" s="71" t="s">
        <v>480</v>
      </c>
      <c r="B755" s="75" t="s">
        <v>414</v>
      </c>
      <c r="C755" s="73" t="s">
        <v>3232</v>
      </c>
      <c r="D755" s="72" t="s">
        <v>2037</v>
      </c>
      <c r="E755" s="2016" t="str">
        <f t="shared" si="35"/>
        <v>KD</v>
      </c>
      <c r="F755" s="54">
        <v>2000</v>
      </c>
      <c r="J755" s="54" t="str">
        <f t="shared" si="34"/>
        <v>KDM50</v>
      </c>
    </row>
    <row r="756" spans="1:10" hidden="1">
      <c r="A756" s="71" t="s">
        <v>481</v>
      </c>
      <c r="B756" s="75" t="s">
        <v>482</v>
      </c>
      <c r="C756" s="73" t="s">
        <v>3233</v>
      </c>
      <c r="D756" s="72" t="s">
        <v>2037</v>
      </c>
      <c r="E756" s="2016" t="str">
        <f t="shared" si="35"/>
        <v>KD</v>
      </c>
      <c r="F756" s="54">
        <v>2000</v>
      </c>
      <c r="J756" s="54" t="str">
        <f t="shared" si="34"/>
        <v>KDM70</v>
      </c>
    </row>
    <row r="757" spans="1:10" hidden="1">
      <c r="A757" s="71" t="s">
        <v>477</v>
      </c>
      <c r="B757" s="75" t="s">
        <v>478</v>
      </c>
      <c r="C757" s="73" t="s">
        <v>3234</v>
      </c>
      <c r="D757" s="72" t="s">
        <v>2037</v>
      </c>
      <c r="E757" s="2016" t="str">
        <f t="shared" si="35"/>
        <v>KD</v>
      </c>
      <c r="F757" s="54">
        <v>2000</v>
      </c>
      <c r="J757" s="54" t="str">
        <f t="shared" si="34"/>
        <v>KDM95</v>
      </c>
    </row>
    <row r="758" spans="1:10" hidden="1">
      <c r="A758" s="71" t="s">
        <v>96</v>
      </c>
      <c r="B758" s="75" t="s">
        <v>391</v>
      </c>
      <c r="C758" s="73" t="s">
        <v>3235</v>
      </c>
      <c r="D758" s="72" t="s">
        <v>2037</v>
      </c>
      <c r="E758" s="2016" t="str">
        <f t="shared" si="35"/>
        <v>KD</v>
      </c>
      <c r="F758" s="54">
        <v>2000</v>
      </c>
      <c r="J758" s="54" t="str">
        <f t="shared" si="34"/>
        <v>KDM25B</v>
      </c>
    </row>
    <row r="759" spans="1:10" hidden="1">
      <c r="A759" s="71" t="s">
        <v>253</v>
      </c>
      <c r="B759" s="75" t="s">
        <v>414</v>
      </c>
      <c r="C759" s="73" t="s">
        <v>3236</v>
      </c>
      <c r="D759" s="72" t="s">
        <v>2037</v>
      </c>
      <c r="E759" s="2016" t="str">
        <f t="shared" si="35"/>
        <v>KD</v>
      </c>
      <c r="F759" s="54">
        <v>2000</v>
      </c>
      <c r="J759" s="54" t="str">
        <f t="shared" si="34"/>
        <v>KDM50B</v>
      </c>
    </row>
    <row r="760" spans="1:10" hidden="1">
      <c r="A760" s="71" t="s">
        <v>2093</v>
      </c>
      <c r="B760" s="75" t="s">
        <v>478</v>
      </c>
      <c r="C760" s="73" t="s">
        <v>3237</v>
      </c>
      <c r="D760" s="72" t="s">
        <v>2037</v>
      </c>
      <c r="E760" s="2016" t="str">
        <f t="shared" si="35"/>
        <v>KD</v>
      </c>
      <c r="F760" s="54">
        <v>2000</v>
      </c>
      <c r="J760" s="54" t="str">
        <f t="shared" si="34"/>
        <v>KDM95B</v>
      </c>
    </row>
    <row r="761" spans="1:10" hidden="1">
      <c r="A761" s="71" t="s">
        <v>1400</v>
      </c>
      <c r="B761" s="75" t="s">
        <v>1401</v>
      </c>
      <c r="C761" s="73" t="s">
        <v>3238</v>
      </c>
      <c r="D761" s="72" t="s">
        <v>3239</v>
      </c>
      <c r="E761" s="2016" t="str">
        <f t="shared" si="35"/>
        <v>KD</v>
      </c>
      <c r="F761" s="54">
        <v>2000</v>
      </c>
      <c r="J761" s="54" t="str">
        <f t="shared" si="34"/>
        <v>KDQG1</v>
      </c>
    </row>
    <row r="762" spans="1:10" hidden="1">
      <c r="A762" s="71" t="s">
        <v>353</v>
      </c>
      <c r="B762" s="75" t="s">
        <v>332</v>
      </c>
      <c r="C762" s="73" t="s">
        <v>3240</v>
      </c>
      <c r="D762" s="72" t="s">
        <v>3239</v>
      </c>
      <c r="E762" s="2016" t="str">
        <f t="shared" si="35"/>
        <v>KD</v>
      </c>
      <c r="F762" s="54">
        <v>2000</v>
      </c>
      <c r="J762" s="54" t="str">
        <f t="shared" si="34"/>
        <v>KDQG2</v>
      </c>
    </row>
    <row r="763" spans="1:10" hidden="1">
      <c r="A763" s="71" t="s">
        <v>354</v>
      </c>
      <c r="B763" s="75" t="s">
        <v>333</v>
      </c>
      <c r="C763" s="73" t="s">
        <v>3241</v>
      </c>
      <c r="D763" s="72" t="s">
        <v>3239</v>
      </c>
      <c r="E763" s="2016" t="str">
        <f t="shared" si="35"/>
        <v>KD</v>
      </c>
      <c r="F763" s="54">
        <v>2000</v>
      </c>
      <c r="J763" s="54" t="str">
        <f t="shared" si="34"/>
        <v>KDQS</v>
      </c>
    </row>
    <row r="764" spans="1:10" hidden="1">
      <c r="A764" s="71" t="s">
        <v>62</v>
      </c>
      <c r="B764" s="75" t="s">
        <v>333</v>
      </c>
      <c r="C764" s="73" t="s">
        <v>3242</v>
      </c>
      <c r="D764" s="72" t="s">
        <v>3239</v>
      </c>
      <c r="E764" s="2016" t="str">
        <f t="shared" si="35"/>
        <v>KD</v>
      </c>
      <c r="F764" s="54">
        <v>2000</v>
      </c>
      <c r="J764" s="54" t="str">
        <f t="shared" si="34"/>
        <v>KDQMR</v>
      </c>
    </row>
    <row r="765" spans="1:10" hidden="1">
      <c r="A765" s="71" t="s">
        <v>2039</v>
      </c>
      <c r="B765" s="75" t="s">
        <v>2040</v>
      </c>
      <c r="C765" s="73" t="s">
        <v>3243</v>
      </c>
      <c r="D765" s="72" t="s">
        <v>3239</v>
      </c>
      <c r="E765" s="2016" t="str">
        <f t="shared" si="35"/>
        <v>KD</v>
      </c>
      <c r="F765" s="54">
        <v>2000</v>
      </c>
      <c r="J765" s="54" t="str">
        <f t="shared" si="34"/>
        <v>KDQD</v>
      </c>
    </row>
    <row r="766" spans="1:10" hidden="1">
      <c r="A766" s="71" t="s">
        <v>2041</v>
      </c>
      <c r="B766" s="75" t="s">
        <v>1160</v>
      </c>
      <c r="C766" s="73" t="s">
        <v>3244</v>
      </c>
      <c r="D766" s="72" t="s">
        <v>3239</v>
      </c>
      <c r="E766" s="2016" t="str">
        <f t="shared" si="35"/>
        <v>KD</v>
      </c>
      <c r="F766" s="54">
        <v>2000</v>
      </c>
      <c r="J766" s="54" t="str">
        <f t="shared" si="34"/>
        <v>KDQD1</v>
      </c>
    </row>
    <row r="767" spans="1:10" hidden="1">
      <c r="A767" s="71" t="s">
        <v>1550</v>
      </c>
      <c r="B767" s="75" t="s">
        <v>1905</v>
      </c>
      <c r="C767" s="73" t="s">
        <v>3245</v>
      </c>
      <c r="D767" s="72" t="s">
        <v>2532</v>
      </c>
      <c r="E767" s="2016" t="str">
        <f t="shared" si="35"/>
        <v>LS</v>
      </c>
      <c r="F767" s="54">
        <v>2000</v>
      </c>
      <c r="J767" s="54" t="str">
        <f t="shared" si="34"/>
        <v>LSTK100</v>
      </c>
    </row>
    <row r="768" spans="1:10" hidden="1">
      <c r="A768" s="71" t="s">
        <v>1551</v>
      </c>
      <c r="B768" s="75" t="s">
        <v>1100</v>
      </c>
      <c r="C768" s="73" t="s">
        <v>3246</v>
      </c>
      <c r="D768" s="72" t="s">
        <v>2532</v>
      </c>
      <c r="E768" s="2016" t="str">
        <f t="shared" si="35"/>
        <v>LS</v>
      </c>
      <c r="F768" s="54">
        <v>2000</v>
      </c>
      <c r="J768" s="54" t="str">
        <f t="shared" si="34"/>
        <v>LSTK70</v>
      </c>
    </row>
    <row r="769" spans="1:10" hidden="1">
      <c r="A769" s="71" t="s">
        <v>411</v>
      </c>
      <c r="B769" s="75" t="s">
        <v>1101</v>
      </c>
      <c r="C769" s="73" t="s">
        <v>3247</v>
      </c>
      <c r="D769" s="72" t="s">
        <v>2532</v>
      </c>
      <c r="E769" s="2016" t="str">
        <f t="shared" si="35"/>
        <v>LS</v>
      </c>
      <c r="F769" s="54">
        <v>2000</v>
      </c>
      <c r="J769" s="54" t="str">
        <f t="shared" si="34"/>
        <v>LSTK50</v>
      </c>
    </row>
    <row r="770" spans="1:10" hidden="1">
      <c r="A770" s="71" t="s">
        <v>412</v>
      </c>
      <c r="B770" s="75" t="s">
        <v>1278</v>
      </c>
      <c r="C770" s="73" t="s">
        <v>3248</v>
      </c>
      <c r="D770" s="72" t="s">
        <v>2532</v>
      </c>
      <c r="E770" s="2016" t="str">
        <f t="shared" si="35"/>
        <v>LS</v>
      </c>
      <c r="F770" s="54">
        <v>2000</v>
      </c>
      <c r="J770" s="54" t="str">
        <f t="shared" si="34"/>
        <v>LSTK120d</v>
      </c>
    </row>
    <row r="771" spans="1:10" hidden="1">
      <c r="A771" s="71" t="s">
        <v>491</v>
      </c>
      <c r="B771" s="75" t="s">
        <v>1416</v>
      </c>
      <c r="C771" s="73" t="s">
        <v>3249</v>
      </c>
      <c r="D771" s="72" t="s">
        <v>2532</v>
      </c>
      <c r="E771" s="2016" t="str">
        <f t="shared" si="35"/>
        <v>LS</v>
      </c>
      <c r="F771" s="54">
        <v>2000</v>
      </c>
      <c r="J771" s="54" t="str">
        <f t="shared" si="34"/>
        <v>LSTK220d</v>
      </c>
    </row>
    <row r="772" spans="1:10" hidden="1">
      <c r="A772" s="71" t="s">
        <v>2010</v>
      </c>
      <c r="B772" s="75" t="s">
        <v>1102</v>
      </c>
      <c r="C772" s="73" t="s">
        <v>3250</v>
      </c>
      <c r="D772" s="72" t="s">
        <v>2532</v>
      </c>
      <c r="E772" s="2016" t="str">
        <f t="shared" si="35"/>
        <v>LP</v>
      </c>
      <c r="F772" s="54">
        <v>2000</v>
      </c>
      <c r="J772" s="54" t="str">
        <f t="shared" si="34"/>
        <v>LPVC42CL</v>
      </c>
    </row>
    <row r="773" spans="1:10" hidden="1">
      <c r="A773" s="71" t="s">
        <v>1099</v>
      </c>
      <c r="B773" s="75" t="s">
        <v>2102</v>
      </c>
      <c r="C773" s="73" t="s">
        <v>3251</v>
      </c>
      <c r="D773" s="72" t="s">
        <v>2532</v>
      </c>
      <c r="E773" s="2016" t="str">
        <f t="shared" si="35"/>
        <v>LP</v>
      </c>
      <c r="F773" s="54">
        <v>2000</v>
      </c>
      <c r="J773" s="54" t="str">
        <f t="shared" si="34"/>
        <v>LPVC60CL</v>
      </c>
    </row>
    <row r="774" spans="1:10" hidden="1">
      <c r="A774" s="71" t="s">
        <v>552</v>
      </c>
      <c r="B774" s="75" t="s">
        <v>1750</v>
      </c>
      <c r="C774" s="73" t="s">
        <v>3252</v>
      </c>
      <c r="D774" s="72" t="s">
        <v>2532</v>
      </c>
      <c r="E774" s="2016" t="str">
        <f t="shared" si="35"/>
        <v>LP</v>
      </c>
      <c r="F774" s="54">
        <v>2000</v>
      </c>
      <c r="J774" s="54" t="str">
        <f t="shared" si="34"/>
        <v>LPVC90CL</v>
      </c>
    </row>
    <row r="775" spans="1:10" hidden="1">
      <c r="A775" s="71" t="s">
        <v>961</v>
      </c>
      <c r="B775" s="75" t="s">
        <v>962</v>
      </c>
      <c r="C775" s="73" t="s">
        <v>3253</v>
      </c>
      <c r="D775" s="72" t="s">
        <v>2532</v>
      </c>
      <c r="E775" s="2016" t="str">
        <f t="shared" si="35"/>
        <v>LP</v>
      </c>
      <c r="F775" s="54">
        <v>2000</v>
      </c>
      <c r="J775" s="54" t="str">
        <f t="shared" si="34"/>
        <v>LPVC114CL</v>
      </c>
    </row>
    <row r="776" spans="1:10" hidden="1">
      <c r="A776" s="71" t="s">
        <v>442</v>
      </c>
      <c r="B776" s="75" t="s">
        <v>1102</v>
      </c>
      <c r="C776" s="73" t="s">
        <v>3254</v>
      </c>
      <c r="D776" s="72" t="s">
        <v>2532</v>
      </c>
      <c r="E776" s="2016" t="str">
        <f t="shared" si="35"/>
        <v>LP</v>
      </c>
      <c r="F776" s="54">
        <v>2000</v>
      </c>
      <c r="J776" s="54" t="str">
        <f t="shared" si="34"/>
        <v>LPVC140CL</v>
      </c>
    </row>
    <row r="777" spans="1:10" hidden="1">
      <c r="A777" s="71" t="s">
        <v>1188</v>
      </c>
      <c r="B777" s="1642" t="s">
        <v>575</v>
      </c>
      <c r="C777" s="73" t="s">
        <v>1189</v>
      </c>
      <c r="D777" s="72" t="s">
        <v>2532</v>
      </c>
      <c r="E777" s="2016" t="str">
        <f t="shared" si="35"/>
        <v>LP</v>
      </c>
      <c r="F777" s="54">
        <v>2000</v>
      </c>
      <c r="J777" s="54" t="str">
        <f t="shared" si="34"/>
        <v>LPVC</v>
      </c>
    </row>
    <row r="778" spans="1:10" hidden="1">
      <c r="A778" s="71" t="s">
        <v>2094</v>
      </c>
      <c r="B778" s="1642" t="s">
        <v>1600</v>
      </c>
      <c r="C778" s="73" t="s">
        <v>3255</v>
      </c>
      <c r="D778" s="72" t="s">
        <v>2532</v>
      </c>
      <c r="E778" s="2016" t="str">
        <f t="shared" si="35"/>
        <v>KC</v>
      </c>
      <c r="F778" s="54">
        <v>2000</v>
      </c>
      <c r="J778" s="54" t="str">
        <f t="shared" si="34"/>
        <v>KCN1kg</v>
      </c>
    </row>
    <row r="779" spans="1:10" hidden="1">
      <c r="A779" s="71" t="s">
        <v>1833</v>
      </c>
      <c r="B779" s="1642" t="s">
        <v>1601</v>
      </c>
      <c r="C779" s="73" t="s">
        <v>3256</v>
      </c>
      <c r="D779" s="72" t="s">
        <v>2532</v>
      </c>
      <c r="E779" s="2016" t="str">
        <f t="shared" si="35"/>
        <v>KC</v>
      </c>
      <c r="F779" s="54">
        <v>2000</v>
      </c>
      <c r="J779" s="54" t="str">
        <f t="shared" si="34"/>
        <v>KCN2kg</v>
      </c>
    </row>
    <row r="780" spans="1:10" hidden="1">
      <c r="A780" s="71" t="s">
        <v>810</v>
      </c>
      <c r="B780" s="1642" t="s">
        <v>1602</v>
      </c>
      <c r="C780" s="73" t="s">
        <v>3257</v>
      </c>
      <c r="D780" s="72" t="s">
        <v>2532</v>
      </c>
      <c r="E780" s="2016" t="str">
        <f t="shared" si="35"/>
        <v>KC</v>
      </c>
      <c r="F780" s="54">
        <v>2000</v>
      </c>
      <c r="J780" s="54" t="str">
        <f t="shared" si="34"/>
        <v>KCN3kg</v>
      </c>
    </row>
    <row r="781" spans="1:10" hidden="1">
      <c r="A781" s="71" t="s">
        <v>811</v>
      </c>
      <c r="B781" s="1642" t="s">
        <v>1603</v>
      </c>
      <c r="C781" s="73" t="s">
        <v>3258</v>
      </c>
      <c r="D781" s="72" t="s">
        <v>2532</v>
      </c>
      <c r="E781" s="2016" t="str">
        <f t="shared" si="35"/>
        <v>KC</v>
      </c>
      <c r="F781" s="54">
        <v>2000</v>
      </c>
      <c r="J781" s="54" t="str">
        <f t="shared" si="34"/>
        <v>KCN4kg</v>
      </c>
    </row>
    <row r="782" spans="1:10" hidden="1">
      <c r="A782" s="71" t="s">
        <v>1182</v>
      </c>
      <c r="B782" s="1642" t="s">
        <v>1604</v>
      </c>
      <c r="C782" s="73" t="s">
        <v>3259</v>
      </c>
      <c r="D782" s="72" t="s">
        <v>2532</v>
      </c>
      <c r="E782" s="2016" t="str">
        <f t="shared" si="35"/>
        <v>KC</v>
      </c>
      <c r="F782" s="54">
        <v>2000</v>
      </c>
      <c r="J782" s="54" t="str">
        <f t="shared" si="34"/>
        <v>KCN6kg</v>
      </c>
    </row>
    <row r="783" spans="1:10" hidden="1">
      <c r="A783" s="71" t="s">
        <v>1183</v>
      </c>
      <c r="B783" s="1642" t="s">
        <v>1685</v>
      </c>
      <c r="C783" s="73" t="s">
        <v>3260</v>
      </c>
      <c r="D783" s="72" t="s">
        <v>2532</v>
      </c>
      <c r="E783" s="2016" t="str">
        <f t="shared" si="35"/>
        <v>KC</v>
      </c>
      <c r="F783" s="54">
        <v>2000</v>
      </c>
      <c r="J783" s="54" t="str">
        <f t="shared" si="34"/>
        <v>KCN7kg</v>
      </c>
    </row>
    <row r="784" spans="1:10" hidden="1">
      <c r="A784" s="71" t="s">
        <v>1039</v>
      </c>
      <c r="B784" s="1642" t="s">
        <v>1686</v>
      </c>
      <c r="C784" s="73" t="s">
        <v>3261</v>
      </c>
      <c r="D784" s="72" t="s">
        <v>2532</v>
      </c>
      <c r="E784" s="2016" t="str">
        <f t="shared" si="35"/>
        <v>KC</v>
      </c>
      <c r="F784" s="54">
        <v>2000</v>
      </c>
      <c r="J784" s="54" t="str">
        <f t="shared" si="34"/>
        <v>KCN9kg</v>
      </c>
    </row>
    <row r="785" spans="1:10" hidden="1">
      <c r="A785" s="71" t="s">
        <v>1687</v>
      </c>
      <c r="B785" s="1642" t="s">
        <v>1689</v>
      </c>
      <c r="C785" s="73" t="s">
        <v>3262</v>
      </c>
      <c r="D785" s="72" t="s">
        <v>2532</v>
      </c>
      <c r="E785" s="2016" t="str">
        <f t="shared" si="35"/>
        <v>KC</v>
      </c>
      <c r="F785" s="54">
        <v>2000</v>
      </c>
      <c r="J785" s="54" t="str">
        <f t="shared" si="34"/>
        <v>KCN10kg</v>
      </c>
    </row>
    <row r="786" spans="1:10" hidden="1">
      <c r="A786" s="71" t="s">
        <v>1688</v>
      </c>
      <c r="B786" s="1642" t="s">
        <v>1690</v>
      </c>
      <c r="C786" s="73" t="s">
        <v>3263</v>
      </c>
      <c r="D786" s="72" t="s">
        <v>2532</v>
      </c>
      <c r="E786" s="2016" t="str">
        <f t="shared" si="35"/>
        <v>KC</v>
      </c>
      <c r="F786" s="54">
        <v>2000</v>
      </c>
      <c r="J786" s="54" t="str">
        <f t="shared" si="34"/>
        <v>KCN12kg</v>
      </c>
    </row>
    <row r="787" spans="1:10" hidden="1">
      <c r="A787" s="71" t="s">
        <v>1200</v>
      </c>
      <c r="B787" s="75" t="s">
        <v>1527</v>
      </c>
      <c r="C787" s="73" t="s">
        <v>3264</v>
      </c>
      <c r="D787" s="72" t="s">
        <v>2532</v>
      </c>
      <c r="E787" s="2016" t="str">
        <f t="shared" si="35"/>
        <v>KC</v>
      </c>
      <c r="F787" s="54">
        <v>2000</v>
      </c>
      <c r="J787" s="54" t="str">
        <f t="shared" si="34"/>
        <v>KCNT1kg</v>
      </c>
    </row>
    <row r="788" spans="1:10" hidden="1">
      <c r="A788" s="71" t="s">
        <v>1201</v>
      </c>
      <c r="B788" s="75" t="s">
        <v>334</v>
      </c>
      <c r="C788" s="73" t="s">
        <v>3265</v>
      </c>
      <c r="D788" s="72" t="s">
        <v>2532</v>
      </c>
      <c r="E788" s="2016" t="str">
        <f t="shared" si="35"/>
        <v>KC</v>
      </c>
      <c r="F788" s="54">
        <v>2000</v>
      </c>
      <c r="J788" s="54" t="str">
        <f t="shared" si="34"/>
        <v>KCNT2kg</v>
      </c>
    </row>
    <row r="789" spans="1:10" hidden="1">
      <c r="A789" s="71" t="s">
        <v>1202</v>
      </c>
      <c r="B789" s="75" t="s">
        <v>335</v>
      </c>
      <c r="C789" s="73" t="s">
        <v>3266</v>
      </c>
      <c r="D789" s="72" t="s">
        <v>2532</v>
      </c>
      <c r="E789" s="2016" t="str">
        <f t="shared" si="35"/>
        <v>KC</v>
      </c>
      <c r="F789" s="54">
        <v>2000</v>
      </c>
      <c r="J789" s="54" t="str">
        <f t="shared" si="34"/>
        <v>KCNT3kg</v>
      </c>
    </row>
    <row r="790" spans="1:10" hidden="1">
      <c r="A790" s="71" t="s">
        <v>1203</v>
      </c>
      <c r="B790" s="75" t="s">
        <v>336</v>
      </c>
      <c r="C790" s="73" t="s">
        <v>3267</v>
      </c>
      <c r="D790" s="72" t="s">
        <v>2532</v>
      </c>
      <c r="E790" s="2016" t="str">
        <f t="shared" si="35"/>
        <v>KC</v>
      </c>
      <c r="F790" s="54">
        <v>2000</v>
      </c>
      <c r="J790" s="54" t="str">
        <f t="shared" si="34"/>
        <v>KCNT4kg</v>
      </c>
    </row>
    <row r="791" spans="1:10" hidden="1">
      <c r="A791" s="71" t="s">
        <v>1204</v>
      </c>
      <c r="B791" s="75" t="s">
        <v>337</v>
      </c>
      <c r="C791" s="73" t="s">
        <v>3268</v>
      </c>
      <c r="D791" s="72" t="s">
        <v>2532</v>
      </c>
      <c r="E791" s="2016" t="str">
        <f t="shared" si="35"/>
        <v>KC</v>
      </c>
      <c r="F791" s="54">
        <v>2000</v>
      </c>
      <c r="J791" s="54" t="str">
        <f t="shared" ref="J791:J846" si="36">A791</f>
        <v>KCNT6kg</v>
      </c>
    </row>
    <row r="792" spans="1:10" hidden="1">
      <c r="A792" s="71" t="s">
        <v>1205</v>
      </c>
      <c r="B792" s="75" t="s">
        <v>1280</v>
      </c>
      <c r="C792" s="73" t="s">
        <v>3269</v>
      </c>
      <c r="D792" s="72" t="s">
        <v>2532</v>
      </c>
      <c r="E792" s="2016" t="str">
        <f t="shared" si="35"/>
        <v>KC</v>
      </c>
      <c r="F792" s="54">
        <v>2000</v>
      </c>
      <c r="J792" s="54" t="str">
        <f t="shared" si="36"/>
        <v>KCNT7kg</v>
      </c>
    </row>
    <row r="793" spans="1:10" hidden="1">
      <c r="A793" s="71" t="s">
        <v>1206</v>
      </c>
      <c r="B793" s="75" t="s">
        <v>338</v>
      </c>
      <c r="C793" s="73" t="s">
        <v>3270</v>
      </c>
      <c r="D793" s="72" t="s">
        <v>2532</v>
      </c>
      <c r="E793" s="2016" t="str">
        <f t="shared" si="35"/>
        <v>KC</v>
      </c>
      <c r="F793" s="54">
        <v>2000</v>
      </c>
      <c r="J793" s="54" t="str">
        <f t="shared" si="36"/>
        <v>KCNT9kg</v>
      </c>
    </row>
    <row r="794" spans="1:10" hidden="1">
      <c r="A794" s="71" t="s">
        <v>347</v>
      </c>
      <c r="B794" s="75" t="s">
        <v>434</v>
      </c>
      <c r="C794" s="73" t="s">
        <v>3271</v>
      </c>
      <c r="D794" s="72" t="s">
        <v>2439</v>
      </c>
      <c r="E794" s="2016" t="str">
        <f t="shared" si="35"/>
        <v>LS</v>
      </c>
      <c r="F794" s="54">
        <v>2000</v>
      </c>
      <c r="J794" s="54" t="str">
        <f t="shared" si="36"/>
        <v>LSD</v>
      </c>
    </row>
    <row r="795" spans="1:10" hidden="1">
      <c r="A795" s="71" t="s">
        <v>1227</v>
      </c>
      <c r="B795" s="75" t="s">
        <v>434</v>
      </c>
      <c r="C795" s="73" t="s">
        <v>3272</v>
      </c>
      <c r="D795" s="72" t="s">
        <v>2439</v>
      </c>
      <c r="E795" s="2016" t="str">
        <f t="shared" si="35"/>
        <v>LS</v>
      </c>
      <c r="F795" s="54">
        <v>2000</v>
      </c>
      <c r="J795" s="54" t="str">
        <f t="shared" si="36"/>
        <v>LSD_T</v>
      </c>
    </row>
    <row r="796" spans="1:10" hidden="1">
      <c r="A796" s="71" t="s">
        <v>1184</v>
      </c>
      <c r="B796" s="75" t="s">
        <v>926</v>
      </c>
      <c r="C796" s="73" t="s">
        <v>3273</v>
      </c>
      <c r="D796" s="72" t="s">
        <v>2439</v>
      </c>
      <c r="E796" s="2016" t="str">
        <f t="shared" si="35"/>
        <v>ls</v>
      </c>
      <c r="F796" s="54">
        <v>2000</v>
      </c>
      <c r="J796" s="54" t="str">
        <f t="shared" si="36"/>
        <v>lsd35</v>
      </c>
    </row>
    <row r="797" spans="1:10" hidden="1">
      <c r="A797" s="71" t="s">
        <v>349</v>
      </c>
      <c r="B797" s="75" t="s">
        <v>1249</v>
      </c>
      <c r="C797" s="73" t="s">
        <v>3274</v>
      </c>
      <c r="D797" s="72" t="s">
        <v>2512</v>
      </c>
      <c r="E797" s="2016" t="str">
        <f t="shared" si="35"/>
        <v>LC</v>
      </c>
      <c r="F797" s="54">
        <v>2000</v>
      </c>
      <c r="J797" s="54" t="str">
        <f t="shared" si="36"/>
        <v>LCHSD</v>
      </c>
    </row>
    <row r="798" spans="1:10" hidden="1">
      <c r="A798" s="71" t="s">
        <v>350</v>
      </c>
      <c r="B798" s="75" t="s">
        <v>294</v>
      </c>
      <c r="C798" s="73" t="s">
        <v>3275</v>
      </c>
      <c r="D798" s="72" t="s">
        <v>2512</v>
      </c>
      <c r="E798" s="2016" t="str">
        <f t="shared" si="35"/>
        <v>LC</v>
      </c>
      <c r="F798" s="54">
        <v>2000</v>
      </c>
      <c r="J798" s="54" t="str">
        <f t="shared" si="36"/>
        <v>LCHSN</v>
      </c>
    </row>
    <row r="799" spans="1:10" hidden="1">
      <c r="A799" s="71" t="s">
        <v>1507</v>
      </c>
      <c r="B799" s="75" t="s">
        <v>4340</v>
      </c>
      <c r="C799" s="73" t="s">
        <v>3276</v>
      </c>
      <c r="D799" s="72" t="s">
        <v>2512</v>
      </c>
      <c r="E799" s="2016" t="str">
        <f t="shared" si="35"/>
        <v>LC</v>
      </c>
      <c r="F799" s="54">
        <v>2000</v>
      </c>
      <c r="J799" s="54" t="str">
        <f t="shared" si="36"/>
        <v>LCHSNply</v>
      </c>
    </row>
    <row r="800" spans="1:10" hidden="1">
      <c r="A800" s="71" t="s">
        <v>626</v>
      </c>
      <c r="B800" s="75" t="s">
        <v>627</v>
      </c>
      <c r="C800" s="73" t="s">
        <v>3277</v>
      </c>
      <c r="D800" s="72" t="s">
        <v>2512</v>
      </c>
      <c r="E800" s="2016" t="str">
        <f t="shared" si="35"/>
        <v>LC</v>
      </c>
      <c r="F800" s="54">
        <v>2000</v>
      </c>
      <c r="J800" s="54" t="str">
        <f t="shared" si="36"/>
        <v>LCHSN3</v>
      </c>
    </row>
    <row r="801" spans="1:10" hidden="1">
      <c r="A801" s="71" t="s">
        <v>351</v>
      </c>
      <c r="B801" s="75" t="s">
        <v>4339</v>
      </c>
      <c r="C801" s="73" t="s">
        <v>3278</v>
      </c>
      <c r="D801" s="72" t="s">
        <v>2439</v>
      </c>
      <c r="E801" s="2016" t="str">
        <f t="shared" si="35"/>
        <v>LS</v>
      </c>
      <c r="F801" s="54">
        <v>2000</v>
      </c>
      <c r="J801" s="54" t="str">
        <f t="shared" si="36"/>
        <v>LSOC</v>
      </c>
    </row>
    <row r="802" spans="1:10" hidden="1">
      <c r="A802" s="71" t="s">
        <v>125</v>
      </c>
      <c r="B802" s="75" t="s">
        <v>126</v>
      </c>
      <c r="C802" s="73" t="s">
        <v>3279</v>
      </c>
      <c r="D802" s="72" t="s">
        <v>2439</v>
      </c>
      <c r="E802" s="2016" t="str">
        <f t="shared" si="35"/>
        <v>LR</v>
      </c>
      <c r="F802" s="54">
        <v>2000</v>
      </c>
      <c r="J802" s="54" t="str">
        <f t="shared" si="36"/>
        <v>LR2</v>
      </c>
    </row>
    <row r="803" spans="1:10" hidden="1">
      <c r="A803" s="71" t="s">
        <v>452</v>
      </c>
      <c r="B803" s="75" t="s">
        <v>1011</v>
      </c>
      <c r="C803" s="73" t="s">
        <v>3280</v>
      </c>
      <c r="D803" s="72" t="s">
        <v>2439</v>
      </c>
      <c r="E803" s="2016" t="str">
        <f t="shared" si="35"/>
        <v>LR</v>
      </c>
      <c r="F803" s="54">
        <v>2000</v>
      </c>
      <c r="J803" s="54" t="str">
        <f t="shared" si="36"/>
        <v>LR3</v>
      </c>
    </row>
    <row r="804" spans="1:10" hidden="1">
      <c r="A804" s="71" t="s">
        <v>689</v>
      </c>
      <c r="B804" s="75" t="s">
        <v>1012</v>
      </c>
      <c r="C804" s="73" t="s">
        <v>3281</v>
      </c>
      <c r="D804" s="72" t="s">
        <v>2439</v>
      </c>
      <c r="E804" s="2016" t="str">
        <f t="shared" si="35"/>
        <v>LR</v>
      </c>
      <c r="F804" s="54">
        <v>2000</v>
      </c>
      <c r="J804" s="54" t="str">
        <f t="shared" si="36"/>
        <v>LR4</v>
      </c>
    </row>
    <row r="805" spans="1:10" hidden="1">
      <c r="A805" s="71" t="s">
        <v>2164</v>
      </c>
      <c r="B805" s="1642" t="s">
        <v>2165</v>
      </c>
      <c r="C805" s="73" t="s">
        <v>3282</v>
      </c>
      <c r="D805" s="72" t="s">
        <v>2831</v>
      </c>
      <c r="E805" s="2016" t="str">
        <f t="shared" si="35"/>
        <v>LT</v>
      </c>
      <c r="F805" s="54">
        <v>2000</v>
      </c>
      <c r="J805" s="54" t="str">
        <f t="shared" si="36"/>
        <v>LTRUHL-I</v>
      </c>
    </row>
    <row r="806" spans="1:10" hidden="1">
      <c r="A806" s="71" t="s">
        <v>160</v>
      </c>
      <c r="B806" s="1642" t="s">
        <v>156</v>
      </c>
      <c r="C806" s="73" t="s">
        <v>3283</v>
      </c>
      <c r="D806" s="72" t="s">
        <v>2439</v>
      </c>
      <c r="E806" s="2016" t="str">
        <f t="shared" si="35"/>
        <v>LS</v>
      </c>
      <c r="F806" s="54">
        <v>2000</v>
      </c>
      <c r="J806" s="54" t="str">
        <f t="shared" si="36"/>
        <v>LSDHL-DX</v>
      </c>
    </row>
    <row r="807" spans="1:10" hidden="1">
      <c r="A807" s="71" t="s">
        <v>155</v>
      </c>
      <c r="B807" s="1642" t="s">
        <v>157</v>
      </c>
      <c r="C807" s="73" t="s">
        <v>3284</v>
      </c>
      <c r="D807" s="72" t="s">
        <v>2439</v>
      </c>
      <c r="E807" s="2016" t="str">
        <f t="shared" si="35"/>
        <v>LC</v>
      </c>
      <c r="F807" s="54">
        <v>2000</v>
      </c>
      <c r="J807" s="54" t="str">
        <f t="shared" si="36"/>
        <v>LCHSNplyHL</v>
      </c>
    </row>
    <row r="808" spans="1:10" hidden="1">
      <c r="A808" s="71" t="s">
        <v>401</v>
      </c>
      <c r="B808" s="1642" t="s">
        <v>402</v>
      </c>
      <c r="C808" s="73" t="s">
        <v>3285</v>
      </c>
      <c r="D808" s="72" t="s">
        <v>3286</v>
      </c>
      <c r="E808" s="2016" t="str">
        <f t="shared" si="35"/>
        <v>DN</v>
      </c>
      <c r="F808" s="54">
        <v>2000</v>
      </c>
      <c r="J808" s="54" t="str">
        <f t="shared" si="36"/>
        <v>DN CL</v>
      </c>
    </row>
    <row r="809" spans="1:10" hidden="1">
      <c r="A809" s="71" t="s">
        <v>159</v>
      </c>
      <c r="B809" s="1642" t="s">
        <v>158</v>
      </c>
      <c r="C809" s="73" t="s">
        <v>3287</v>
      </c>
      <c r="D809" s="72" t="s">
        <v>2439</v>
      </c>
      <c r="E809" s="2016" t="str">
        <f t="shared" si="35"/>
        <v>LX</v>
      </c>
      <c r="F809" s="54">
        <v>2000</v>
      </c>
      <c r="J809" s="54" t="str">
        <f t="shared" si="36"/>
        <v>LXHL</v>
      </c>
    </row>
    <row r="810" spans="1:10" hidden="1">
      <c r="A810" s="71" t="s">
        <v>161</v>
      </c>
      <c r="B810" s="1642" t="s">
        <v>325</v>
      </c>
      <c r="C810" s="73" t="s">
        <v>3288</v>
      </c>
      <c r="D810" s="72" t="s">
        <v>2439</v>
      </c>
      <c r="E810" s="2016" t="str">
        <f t="shared" si="35"/>
        <v>LS</v>
      </c>
      <c r="F810" s="54">
        <v>2000</v>
      </c>
      <c r="J810" s="54" t="str">
        <f t="shared" si="36"/>
        <v>LSDHL-V</v>
      </c>
    </row>
    <row r="811" spans="1:10" hidden="1">
      <c r="A811" s="71" t="s">
        <v>327</v>
      </c>
      <c r="B811" s="1642" t="s">
        <v>326</v>
      </c>
      <c r="C811" s="73" t="s">
        <v>3289</v>
      </c>
      <c r="D811" s="72" t="s">
        <v>2439</v>
      </c>
      <c r="E811" s="2016" t="str">
        <f t="shared" si="35"/>
        <v>LF</v>
      </c>
      <c r="F811" s="54">
        <v>2000</v>
      </c>
      <c r="J811" s="54" t="str">
        <f t="shared" si="36"/>
        <v>LFCOHL</v>
      </c>
    </row>
    <row r="812" spans="1:10" hidden="1">
      <c r="A812" s="71" t="s">
        <v>328</v>
      </c>
      <c r="B812" s="1642" t="s">
        <v>326</v>
      </c>
      <c r="C812" s="73" t="s">
        <v>3290</v>
      </c>
      <c r="D812" s="72" t="s">
        <v>2555</v>
      </c>
      <c r="E812" s="2016" t="str">
        <f t="shared" si="35"/>
        <v>LL</v>
      </c>
      <c r="F812" s="54">
        <v>2000</v>
      </c>
      <c r="J812" s="54" t="str">
        <f t="shared" si="36"/>
        <v>LLAHL</v>
      </c>
    </row>
    <row r="813" spans="1:10" hidden="1">
      <c r="A813" s="71" t="s">
        <v>352</v>
      </c>
      <c r="B813" s="75" t="s">
        <v>2122</v>
      </c>
      <c r="C813" s="73" t="s">
        <v>3291</v>
      </c>
      <c r="D813" s="72" t="s">
        <v>2555</v>
      </c>
      <c r="E813" s="2016" t="str">
        <f t="shared" ref="E813:E867" si="37">LEFT(A813,2)</f>
        <v>LB</v>
      </c>
      <c r="F813" s="54">
        <v>2000</v>
      </c>
      <c r="J813" s="54" t="str">
        <f t="shared" si="36"/>
        <v>LBNH</v>
      </c>
    </row>
    <row r="814" spans="1:10" hidden="1">
      <c r="A814" s="71" t="s">
        <v>848</v>
      </c>
      <c r="B814" s="75" t="s">
        <v>2249</v>
      </c>
      <c r="C814" s="73" t="s">
        <v>3292</v>
      </c>
      <c r="D814" s="72" t="s">
        <v>1823</v>
      </c>
      <c r="E814" s="2016" t="str">
        <f t="shared" si="37"/>
        <v>Lc</v>
      </c>
      <c r="F814" s="54">
        <v>2000</v>
      </c>
      <c r="J814" s="54" t="str">
        <f t="shared" si="36"/>
        <v>LcapdongTB95</v>
      </c>
    </row>
    <row r="815" spans="1:10" hidden="1">
      <c r="A815" s="71" t="s">
        <v>849</v>
      </c>
      <c r="B815" s="75" t="s">
        <v>33</v>
      </c>
      <c r="C815" s="73" t="s">
        <v>3293</v>
      </c>
      <c r="D815" s="72" t="s">
        <v>1823</v>
      </c>
      <c r="E815" s="2016" t="str">
        <f t="shared" si="37"/>
        <v>Lc</v>
      </c>
      <c r="F815" s="54">
        <v>2000</v>
      </c>
      <c r="J815" s="54" t="str">
        <f t="shared" si="36"/>
        <v>LcapdongTB150</v>
      </c>
    </row>
    <row r="816" spans="1:10" hidden="1">
      <c r="A816" s="71" t="s">
        <v>1890</v>
      </c>
      <c r="B816" s="75" t="s">
        <v>1014</v>
      </c>
      <c r="C816" s="73" t="s">
        <v>3294</v>
      </c>
      <c r="D816" s="72" t="s">
        <v>1823</v>
      </c>
      <c r="E816" s="2016" t="str">
        <f t="shared" si="37"/>
        <v>Lc</v>
      </c>
      <c r="F816" s="54">
        <v>2000</v>
      </c>
      <c r="J816" s="54" t="str">
        <f t="shared" si="36"/>
        <v>LcapdongTB240</v>
      </c>
    </row>
    <row r="817" spans="1:10" hidden="1">
      <c r="A817" s="71" t="s">
        <v>831</v>
      </c>
      <c r="B817" s="75" t="s">
        <v>435</v>
      </c>
      <c r="C817" s="73" t="s">
        <v>3295</v>
      </c>
      <c r="D817" s="72" t="s">
        <v>2555</v>
      </c>
      <c r="E817" s="2016" t="str">
        <f t="shared" si="37"/>
        <v>LF</v>
      </c>
      <c r="F817" s="54">
        <v>2000</v>
      </c>
      <c r="J817" s="54" t="str">
        <f t="shared" si="36"/>
        <v>LFCO</v>
      </c>
    </row>
    <row r="818" spans="1:10" hidden="1">
      <c r="A818" s="71" t="s">
        <v>1398</v>
      </c>
      <c r="B818" s="75" t="s">
        <v>435</v>
      </c>
      <c r="C818" s="73" t="s">
        <v>3296</v>
      </c>
      <c r="D818" s="72" t="s">
        <v>2555</v>
      </c>
      <c r="E818" s="2016" t="str">
        <f t="shared" si="37"/>
        <v>LL</v>
      </c>
      <c r="F818" s="54">
        <v>2000</v>
      </c>
      <c r="J818" s="54" t="str">
        <f t="shared" si="36"/>
        <v>LLBFCO</v>
      </c>
    </row>
    <row r="819" spans="1:10" hidden="1">
      <c r="A819" s="71" t="s">
        <v>1399</v>
      </c>
      <c r="B819" s="75" t="s">
        <v>682</v>
      </c>
      <c r="C819" s="73" t="s">
        <v>2526</v>
      </c>
      <c r="D819" s="72" t="s">
        <v>2439</v>
      </c>
      <c r="E819" s="2016" t="str">
        <f t="shared" si="37"/>
        <v>LG</v>
      </c>
      <c r="F819" s="54">
        <v>2000</v>
      </c>
      <c r="J819" s="54" t="str">
        <f t="shared" si="36"/>
        <v>LGFCO</v>
      </c>
    </row>
    <row r="820" spans="1:10" hidden="1">
      <c r="A820" s="71" t="s">
        <v>98</v>
      </c>
      <c r="B820" s="75" t="s">
        <v>99</v>
      </c>
      <c r="C820" s="73" t="s">
        <v>3297</v>
      </c>
      <c r="D820" s="72" t="s">
        <v>1960</v>
      </c>
      <c r="E820" s="2016" t="str">
        <f t="shared" si="37"/>
        <v>PT</v>
      </c>
      <c r="F820" s="54">
        <v>2000</v>
      </c>
      <c r="J820" s="54" t="str">
        <f t="shared" si="36"/>
        <v>PT</v>
      </c>
    </row>
    <row r="821" spans="1:10" hidden="1">
      <c r="A821" s="71" t="s">
        <v>1216</v>
      </c>
      <c r="B821" s="75" t="s">
        <v>847</v>
      </c>
      <c r="C821" s="73" t="s">
        <v>3298</v>
      </c>
      <c r="D821" s="72" t="s">
        <v>1960</v>
      </c>
      <c r="E821" s="2016" t="str">
        <f t="shared" si="37"/>
        <v>PH</v>
      </c>
      <c r="F821" s="54">
        <v>2000</v>
      </c>
      <c r="J821" s="54" t="str">
        <f t="shared" si="36"/>
        <v>PHABETONG</v>
      </c>
    </row>
    <row r="822" spans="1:10" hidden="1">
      <c r="A822" s="71" t="s">
        <v>1624</v>
      </c>
      <c r="B822" s="1642" t="s">
        <v>779</v>
      </c>
      <c r="C822" s="73" t="s">
        <v>3299</v>
      </c>
      <c r="D822" s="72" t="s">
        <v>3300</v>
      </c>
      <c r="E822" s="2016" t="str">
        <f t="shared" si="37"/>
        <v>TR</v>
      </c>
      <c r="F822" s="54">
        <v>1</v>
      </c>
      <c r="G822" s="54" t="s">
        <v>512</v>
      </c>
      <c r="J822" s="54" t="str">
        <f t="shared" si="36"/>
        <v>TR15</v>
      </c>
    </row>
    <row r="823" spans="1:10" hidden="1">
      <c r="A823" s="71" t="s">
        <v>935</v>
      </c>
      <c r="B823" s="1642" t="s">
        <v>779</v>
      </c>
      <c r="C823" s="73" t="s">
        <v>3301</v>
      </c>
      <c r="D823" s="72" t="s">
        <v>3300</v>
      </c>
      <c r="E823" s="2016" t="str">
        <f t="shared" si="37"/>
        <v>TR</v>
      </c>
      <c r="F823" s="54">
        <v>1</v>
      </c>
      <c r="G823" s="54" t="s">
        <v>512</v>
      </c>
      <c r="J823" s="54" t="str">
        <f t="shared" si="36"/>
        <v>TR25</v>
      </c>
    </row>
    <row r="824" spans="1:10" hidden="1">
      <c r="A824" s="71" t="s">
        <v>1649</v>
      </c>
      <c r="B824" s="1642" t="s">
        <v>1650</v>
      </c>
      <c r="C824" s="73" t="s">
        <v>3302</v>
      </c>
      <c r="D824" s="72" t="s">
        <v>3300</v>
      </c>
      <c r="E824" s="2016" t="str">
        <f t="shared" si="37"/>
        <v>TR</v>
      </c>
      <c r="F824" s="54">
        <v>1</v>
      </c>
      <c r="G824" s="54" t="s">
        <v>512</v>
      </c>
      <c r="J824" s="54" t="str">
        <f t="shared" si="36"/>
        <v>TR37</v>
      </c>
    </row>
    <row r="825" spans="1:10" hidden="1">
      <c r="A825" s="71" t="s">
        <v>946</v>
      </c>
      <c r="B825" s="1642" t="s">
        <v>1650</v>
      </c>
      <c r="C825" s="73" t="s">
        <v>3303</v>
      </c>
      <c r="D825" s="72" t="s">
        <v>3300</v>
      </c>
      <c r="E825" s="2016" t="str">
        <f t="shared" si="37"/>
        <v>TR</v>
      </c>
      <c r="F825" s="54">
        <v>1</v>
      </c>
      <c r="G825" s="54" t="s">
        <v>512</v>
      </c>
      <c r="J825" s="54" t="str">
        <f t="shared" si="36"/>
        <v>TR50</v>
      </c>
    </row>
    <row r="826" spans="1:10" hidden="1">
      <c r="A826" s="71" t="s">
        <v>1830</v>
      </c>
      <c r="B826" s="1642" t="s">
        <v>214</v>
      </c>
      <c r="C826" s="73" t="s">
        <v>3304</v>
      </c>
      <c r="D826" s="72" t="s">
        <v>3300</v>
      </c>
      <c r="E826" s="2016" t="str">
        <f t="shared" si="37"/>
        <v>TR</v>
      </c>
      <c r="F826" s="54">
        <v>1</v>
      </c>
      <c r="G826" s="54" t="s">
        <v>512</v>
      </c>
      <c r="J826" s="54" t="str">
        <f t="shared" si="36"/>
        <v>TR75</v>
      </c>
    </row>
    <row r="827" spans="1:10" hidden="1">
      <c r="A827" s="71" t="s">
        <v>502</v>
      </c>
      <c r="B827" s="75" t="s">
        <v>1855</v>
      </c>
      <c r="C827" s="73" t="s">
        <v>3305</v>
      </c>
      <c r="D827" s="72" t="s">
        <v>3300</v>
      </c>
      <c r="E827" s="2016" t="str">
        <f t="shared" si="37"/>
        <v>T1</v>
      </c>
      <c r="F827" s="54">
        <v>1</v>
      </c>
      <c r="G827" s="54" t="s">
        <v>512</v>
      </c>
      <c r="J827" s="54" t="str">
        <f t="shared" si="36"/>
        <v>T100</v>
      </c>
    </row>
    <row r="828" spans="1:10" hidden="1">
      <c r="A828" s="71" t="s">
        <v>822</v>
      </c>
      <c r="B828" s="1642" t="s">
        <v>779</v>
      </c>
      <c r="C828" s="73" t="s">
        <v>3306</v>
      </c>
      <c r="D828" s="72" t="s">
        <v>3300</v>
      </c>
      <c r="E828" s="2016" t="str">
        <f t="shared" si="37"/>
        <v>TR</v>
      </c>
      <c r="F828" s="54">
        <v>1</v>
      </c>
      <c r="G828" s="54" t="s">
        <v>512</v>
      </c>
      <c r="J828" s="54" t="str">
        <f t="shared" si="36"/>
        <v>TR151</v>
      </c>
    </row>
    <row r="829" spans="1:10" hidden="1">
      <c r="A829" s="71" t="s">
        <v>1210</v>
      </c>
      <c r="B829" s="1642" t="s">
        <v>779</v>
      </c>
      <c r="C829" s="73" t="s">
        <v>3307</v>
      </c>
      <c r="D829" s="72" t="s">
        <v>3300</v>
      </c>
      <c r="E829" s="2016" t="str">
        <f t="shared" si="37"/>
        <v>TR</v>
      </c>
      <c r="F829" s="54">
        <v>1</v>
      </c>
      <c r="G829" s="54" t="s">
        <v>512</v>
      </c>
      <c r="J829" s="54" t="str">
        <f t="shared" si="36"/>
        <v>TR251</v>
      </c>
    </row>
    <row r="830" spans="1:10" hidden="1">
      <c r="A830" s="71" t="s">
        <v>1211</v>
      </c>
      <c r="B830" s="1642" t="s">
        <v>1743</v>
      </c>
      <c r="C830" s="73" t="s">
        <v>3308</v>
      </c>
      <c r="D830" s="72" t="s">
        <v>3300</v>
      </c>
      <c r="E830" s="2016" t="str">
        <f t="shared" si="37"/>
        <v>TR</v>
      </c>
      <c r="F830" s="54">
        <v>1</v>
      </c>
      <c r="G830" s="54" t="s">
        <v>512</v>
      </c>
      <c r="J830" s="54" t="str">
        <f t="shared" si="36"/>
        <v>TR371</v>
      </c>
    </row>
    <row r="831" spans="1:10" hidden="1">
      <c r="A831" s="71" t="s">
        <v>1212</v>
      </c>
      <c r="B831" s="1642" t="s">
        <v>1650</v>
      </c>
      <c r="C831" s="73" t="s">
        <v>4763</v>
      </c>
      <c r="D831" s="72" t="s">
        <v>3300</v>
      </c>
      <c r="E831" s="2016" t="str">
        <f t="shared" si="37"/>
        <v>TR</v>
      </c>
      <c r="F831" s="54">
        <v>1</v>
      </c>
      <c r="G831" s="54" t="s">
        <v>512</v>
      </c>
      <c r="J831" s="54" t="str">
        <f t="shared" si="36"/>
        <v>TR501</v>
      </c>
    </row>
    <row r="832" spans="1:10" hidden="1">
      <c r="A832" s="71" t="s">
        <v>1213</v>
      </c>
      <c r="B832" s="1642" t="s">
        <v>214</v>
      </c>
      <c r="C832" s="73" t="s">
        <v>4520</v>
      </c>
      <c r="D832" s="72" t="s">
        <v>3300</v>
      </c>
      <c r="E832" s="2016" t="str">
        <f t="shared" si="37"/>
        <v>TR</v>
      </c>
      <c r="F832" s="54">
        <v>1</v>
      </c>
      <c r="G832" s="54" t="s">
        <v>512</v>
      </c>
      <c r="J832" s="54" t="str">
        <f t="shared" si="36"/>
        <v>TR751</v>
      </c>
    </row>
    <row r="833" spans="1:10" hidden="1">
      <c r="A833" s="71" t="s">
        <v>503</v>
      </c>
      <c r="B833" s="75" t="s">
        <v>1855</v>
      </c>
      <c r="C833" s="73" t="s">
        <v>3309</v>
      </c>
      <c r="D833" s="72" t="s">
        <v>3300</v>
      </c>
      <c r="E833" s="2016" t="str">
        <f t="shared" si="37"/>
        <v>T1</v>
      </c>
      <c r="F833" s="54">
        <v>1</v>
      </c>
      <c r="G833" s="54" t="s">
        <v>512</v>
      </c>
      <c r="J833" s="54" t="str">
        <f t="shared" si="36"/>
        <v>T1001</v>
      </c>
    </row>
    <row r="834" spans="1:10" hidden="1">
      <c r="A834" s="73" t="s">
        <v>249</v>
      </c>
      <c r="B834" s="1660" t="s">
        <v>929</v>
      </c>
      <c r="C834" s="73" t="s">
        <v>3310</v>
      </c>
      <c r="D834" s="72" t="s">
        <v>3300</v>
      </c>
      <c r="E834" s="2016" t="str">
        <f t="shared" si="37"/>
        <v>TR</v>
      </c>
      <c r="F834" s="54">
        <v>1</v>
      </c>
      <c r="G834" s="54" t="s">
        <v>512</v>
      </c>
      <c r="J834" s="54" t="str">
        <f t="shared" si="36"/>
        <v>TR100</v>
      </c>
    </row>
    <row r="835" spans="1:10" hidden="1">
      <c r="A835" s="73" t="s">
        <v>1502</v>
      </c>
      <c r="B835" s="1660" t="s">
        <v>1856</v>
      </c>
      <c r="C835" s="73" t="s">
        <v>3311</v>
      </c>
      <c r="D835" s="72" t="s">
        <v>3300</v>
      </c>
      <c r="E835" s="2016" t="str">
        <f t="shared" si="37"/>
        <v>TR</v>
      </c>
      <c r="F835" s="54">
        <v>1</v>
      </c>
      <c r="G835" s="54" t="s">
        <v>512</v>
      </c>
      <c r="J835" s="54" t="str">
        <f t="shared" si="36"/>
        <v>TR160</v>
      </c>
    </row>
    <row r="836" spans="1:10" hidden="1">
      <c r="A836" s="73" t="s">
        <v>1242</v>
      </c>
      <c r="B836" s="1660" t="s">
        <v>1856</v>
      </c>
      <c r="C836" s="73" t="s">
        <v>3312</v>
      </c>
      <c r="D836" s="72" t="s">
        <v>3300</v>
      </c>
      <c r="E836" s="2016" t="str">
        <f t="shared" si="37"/>
        <v>TR</v>
      </c>
      <c r="F836" s="54">
        <v>1</v>
      </c>
      <c r="G836" s="54" t="s">
        <v>512</v>
      </c>
      <c r="J836" s="54" t="str">
        <f t="shared" si="36"/>
        <v>TR180</v>
      </c>
    </row>
    <row r="837" spans="1:10" hidden="1">
      <c r="A837" s="73" t="s">
        <v>2069</v>
      </c>
      <c r="B837" s="1660" t="s">
        <v>1857</v>
      </c>
      <c r="C837" s="73" t="s">
        <v>3313</v>
      </c>
      <c r="D837" s="72" t="s">
        <v>3300</v>
      </c>
      <c r="E837" s="2016" t="str">
        <f t="shared" si="37"/>
        <v>TR</v>
      </c>
      <c r="F837" s="54">
        <v>1</v>
      </c>
      <c r="G837" s="54" t="s">
        <v>512</v>
      </c>
      <c r="J837" s="54" t="str">
        <f t="shared" si="36"/>
        <v>TR250</v>
      </c>
    </row>
    <row r="838" spans="1:10" hidden="1">
      <c r="A838" s="73" t="s">
        <v>436</v>
      </c>
      <c r="B838" s="1660" t="s">
        <v>1857</v>
      </c>
      <c r="C838" s="73" t="s">
        <v>3314</v>
      </c>
      <c r="D838" s="72" t="s">
        <v>3300</v>
      </c>
      <c r="E838" s="2016" t="str">
        <f t="shared" si="37"/>
        <v>TR</v>
      </c>
      <c r="F838" s="54">
        <v>1</v>
      </c>
      <c r="G838" s="54" t="s">
        <v>512</v>
      </c>
      <c r="J838" s="54" t="str">
        <f t="shared" si="36"/>
        <v>TR320</v>
      </c>
    </row>
    <row r="839" spans="1:10" hidden="1">
      <c r="A839" s="73" t="s">
        <v>63</v>
      </c>
      <c r="B839" s="1660" t="s">
        <v>1857</v>
      </c>
      <c r="C839" s="73" t="s">
        <v>3315</v>
      </c>
      <c r="D839" s="72" t="s">
        <v>3300</v>
      </c>
      <c r="E839" s="2016" t="str">
        <f t="shared" si="37"/>
        <v>TR</v>
      </c>
      <c r="F839" s="54">
        <v>1</v>
      </c>
      <c r="G839" s="54" t="s">
        <v>512</v>
      </c>
      <c r="J839" s="54" t="str">
        <f t="shared" si="36"/>
        <v>TR400</v>
      </c>
    </row>
    <row r="840" spans="1:10" hidden="1">
      <c r="A840" s="73" t="s">
        <v>843</v>
      </c>
      <c r="B840" s="1660" t="s">
        <v>1858</v>
      </c>
      <c r="C840" s="73" t="s">
        <v>3316</v>
      </c>
      <c r="D840" s="72" t="s">
        <v>3300</v>
      </c>
      <c r="E840" s="2016" t="str">
        <f t="shared" si="37"/>
        <v>TR</v>
      </c>
      <c r="F840" s="54">
        <v>1</v>
      </c>
      <c r="G840" s="54" t="s">
        <v>512</v>
      </c>
      <c r="J840" s="54" t="str">
        <f t="shared" si="36"/>
        <v>TR560</v>
      </c>
    </row>
    <row r="841" spans="1:10" hidden="1">
      <c r="A841" s="73" t="s">
        <v>877</v>
      </c>
      <c r="B841" s="1660" t="s">
        <v>1858</v>
      </c>
      <c r="C841" s="73" t="s">
        <v>3317</v>
      </c>
      <c r="D841" s="72" t="s">
        <v>3300</v>
      </c>
      <c r="E841" s="2016" t="str">
        <f t="shared" si="37"/>
        <v>TR</v>
      </c>
      <c r="F841" s="54">
        <v>1</v>
      </c>
      <c r="G841" s="54" t="s">
        <v>512</v>
      </c>
      <c r="J841" s="54" t="str">
        <f t="shared" si="36"/>
        <v>TR630</v>
      </c>
    </row>
    <row r="842" spans="1:10" hidden="1">
      <c r="A842" s="73" t="s">
        <v>2166</v>
      </c>
      <c r="B842" s="1660" t="s">
        <v>1859</v>
      </c>
      <c r="C842" s="73" t="s">
        <v>3318</v>
      </c>
      <c r="D842" s="72" t="s">
        <v>3300</v>
      </c>
      <c r="E842" s="2016" t="str">
        <f t="shared" si="37"/>
        <v>TR</v>
      </c>
      <c r="F842" s="54">
        <v>1</v>
      </c>
      <c r="G842" s="54" t="s">
        <v>512</v>
      </c>
      <c r="J842" s="54" t="str">
        <f t="shared" si="36"/>
        <v>TR750</v>
      </c>
    </row>
    <row r="843" spans="1:10" hidden="1">
      <c r="A843" s="73" t="s">
        <v>1980</v>
      </c>
      <c r="B843" s="1660" t="s">
        <v>1859</v>
      </c>
      <c r="C843" s="73" t="s">
        <v>3319</v>
      </c>
      <c r="D843" s="72" t="s">
        <v>3300</v>
      </c>
      <c r="E843" s="2016" t="str">
        <f t="shared" si="37"/>
        <v>TR</v>
      </c>
      <c r="F843" s="54">
        <v>1</v>
      </c>
      <c r="G843" s="54" t="s">
        <v>512</v>
      </c>
      <c r="J843" s="54" t="str">
        <f t="shared" si="36"/>
        <v>TR1000</v>
      </c>
    </row>
    <row r="844" spans="1:10" hidden="1">
      <c r="A844" s="73" t="s">
        <v>694</v>
      </c>
      <c r="B844" s="1660" t="s">
        <v>1859</v>
      </c>
      <c r="C844" s="73" t="s">
        <v>3320</v>
      </c>
      <c r="D844" s="72" t="s">
        <v>3300</v>
      </c>
      <c r="E844" s="2016" t="str">
        <f t="shared" si="37"/>
        <v>TR</v>
      </c>
      <c r="F844" s="54">
        <v>1</v>
      </c>
      <c r="G844" s="54" t="s">
        <v>512</v>
      </c>
      <c r="J844" s="54" t="str">
        <f t="shared" si="36"/>
        <v>TR1250</v>
      </c>
    </row>
    <row r="845" spans="1:10" hidden="1">
      <c r="A845" s="73" t="s">
        <v>1412</v>
      </c>
      <c r="B845" s="1660" t="s">
        <v>1859</v>
      </c>
      <c r="C845" s="73" t="s">
        <v>3321</v>
      </c>
      <c r="D845" s="72" t="s">
        <v>3300</v>
      </c>
      <c r="E845" s="2016" t="str">
        <f t="shared" si="37"/>
        <v>TR</v>
      </c>
      <c r="F845" s="54">
        <v>1</v>
      </c>
      <c r="G845" s="54" t="s">
        <v>512</v>
      </c>
      <c r="J845" s="54" t="str">
        <f t="shared" si="36"/>
        <v>TR1500</v>
      </c>
    </row>
    <row r="846" spans="1:10" hidden="1">
      <c r="A846" s="73" t="s">
        <v>1452</v>
      </c>
      <c r="B846" s="1660" t="s">
        <v>1859</v>
      </c>
      <c r="C846" s="73" t="s">
        <v>3322</v>
      </c>
      <c r="D846" s="72" t="s">
        <v>3300</v>
      </c>
      <c r="E846" s="2016" t="str">
        <f t="shared" si="37"/>
        <v>TR</v>
      </c>
      <c r="F846" s="54">
        <v>1</v>
      </c>
      <c r="G846" s="54" t="s">
        <v>512</v>
      </c>
      <c r="J846" s="54" t="str">
        <f t="shared" si="36"/>
        <v>TR1600</v>
      </c>
    </row>
    <row r="847" spans="1:10" hidden="1">
      <c r="A847" s="73" t="s">
        <v>900</v>
      </c>
      <c r="B847" s="1660" t="s">
        <v>1859</v>
      </c>
      <c r="C847" s="73" t="s">
        <v>3323</v>
      </c>
      <c r="D847" s="72" t="s">
        <v>3300</v>
      </c>
      <c r="E847" s="2016" t="str">
        <f t="shared" si="37"/>
        <v>TR</v>
      </c>
      <c r="F847" s="54">
        <v>1</v>
      </c>
      <c r="G847" s="54" t="s">
        <v>512</v>
      </c>
      <c r="J847" s="54" t="str">
        <f t="shared" ref="J847:J908" si="38">A847</f>
        <v>TR2000</v>
      </c>
    </row>
    <row r="848" spans="1:10" hidden="1">
      <c r="A848" s="73" t="s">
        <v>1421</v>
      </c>
      <c r="B848" s="1660" t="s">
        <v>1859</v>
      </c>
      <c r="C848" s="73" t="s">
        <v>3324</v>
      </c>
      <c r="D848" s="72" t="s">
        <v>3300</v>
      </c>
      <c r="E848" s="2016" t="str">
        <f t="shared" si="37"/>
        <v>TR</v>
      </c>
      <c r="F848" s="54">
        <v>1</v>
      </c>
      <c r="G848" s="54" t="s">
        <v>512</v>
      </c>
      <c r="J848" s="54" t="str">
        <f t="shared" si="38"/>
        <v>TR2500</v>
      </c>
    </row>
    <row r="849" spans="1:10" hidden="1">
      <c r="A849" s="73" t="s">
        <v>1422</v>
      </c>
      <c r="B849" s="1660" t="s">
        <v>1859</v>
      </c>
      <c r="C849" s="73" t="s">
        <v>3325</v>
      </c>
      <c r="D849" s="72" t="s">
        <v>3300</v>
      </c>
      <c r="E849" s="2016" t="str">
        <f t="shared" si="37"/>
        <v>TR</v>
      </c>
      <c r="F849" s="54">
        <v>1</v>
      </c>
      <c r="G849" s="54" t="s">
        <v>512</v>
      </c>
      <c r="J849" s="54" t="str">
        <f t="shared" si="38"/>
        <v>TR3000</v>
      </c>
    </row>
    <row r="850" spans="1:10" hidden="1">
      <c r="A850" s="73" t="s">
        <v>1423</v>
      </c>
      <c r="B850" s="1660" t="s">
        <v>1859</v>
      </c>
      <c r="C850" s="73" t="s">
        <v>3326</v>
      </c>
      <c r="D850" s="72" t="s">
        <v>3300</v>
      </c>
      <c r="E850" s="2016" t="str">
        <f t="shared" si="37"/>
        <v>TR</v>
      </c>
      <c r="F850" s="54">
        <v>1</v>
      </c>
      <c r="G850" s="54" t="s">
        <v>512</v>
      </c>
      <c r="J850" s="54" t="str">
        <f t="shared" si="38"/>
        <v>TR4000</v>
      </c>
    </row>
    <row r="851" spans="1:10" hidden="1">
      <c r="A851" s="71" t="s">
        <v>941</v>
      </c>
      <c r="B851" s="1642" t="s">
        <v>1860</v>
      </c>
      <c r="C851" s="73" t="s">
        <v>4878</v>
      </c>
      <c r="D851" s="72" t="s">
        <v>3300</v>
      </c>
      <c r="E851" s="2016" t="str">
        <f t="shared" si="37"/>
        <v>TR</v>
      </c>
      <c r="F851" s="54">
        <v>1</v>
      </c>
      <c r="G851" s="54" t="s">
        <v>512</v>
      </c>
      <c r="J851" s="54" t="str">
        <f t="shared" si="38"/>
        <v>TR1001</v>
      </c>
    </row>
    <row r="852" spans="1:10" hidden="1">
      <c r="A852" s="71" t="s">
        <v>1503</v>
      </c>
      <c r="B852" s="1642" t="s">
        <v>651</v>
      </c>
      <c r="C852" s="73" t="s">
        <v>3327</v>
      </c>
      <c r="D852" s="72" t="s">
        <v>3300</v>
      </c>
      <c r="E852" s="2016" t="str">
        <f t="shared" si="37"/>
        <v>TR</v>
      </c>
      <c r="F852" s="54">
        <v>1</v>
      </c>
      <c r="G852" s="54" t="s">
        <v>512</v>
      </c>
      <c r="J852" s="54" t="str">
        <f t="shared" si="38"/>
        <v>TR1601</v>
      </c>
    </row>
    <row r="853" spans="1:10" hidden="1">
      <c r="A853" s="71" t="s">
        <v>1241</v>
      </c>
      <c r="B853" s="1642" t="s">
        <v>651</v>
      </c>
      <c r="C853" s="73" t="s">
        <v>3328</v>
      </c>
      <c r="D853" s="72" t="s">
        <v>3300</v>
      </c>
      <c r="E853" s="2016" t="str">
        <f t="shared" si="37"/>
        <v>TR</v>
      </c>
      <c r="F853" s="54">
        <v>1</v>
      </c>
      <c r="G853" s="54" t="s">
        <v>512</v>
      </c>
      <c r="J853" s="54" t="str">
        <f t="shared" si="38"/>
        <v>TR1801</v>
      </c>
    </row>
    <row r="854" spans="1:10" hidden="1">
      <c r="A854" s="71" t="s">
        <v>781</v>
      </c>
      <c r="B854" s="1642" t="s">
        <v>1744</v>
      </c>
      <c r="C854" s="73" t="s">
        <v>3329</v>
      </c>
      <c r="D854" s="72" t="s">
        <v>3300</v>
      </c>
      <c r="E854" s="2016" t="str">
        <f t="shared" si="37"/>
        <v>TR</v>
      </c>
      <c r="F854" s="54">
        <v>1</v>
      </c>
      <c r="G854" s="54" t="s">
        <v>512</v>
      </c>
      <c r="J854" s="54" t="str">
        <f t="shared" si="38"/>
        <v>TR2501</v>
      </c>
    </row>
    <row r="855" spans="1:10" hidden="1">
      <c r="A855" s="71" t="s">
        <v>485</v>
      </c>
      <c r="B855" s="1642" t="s">
        <v>690</v>
      </c>
      <c r="C855" s="73" t="s">
        <v>3330</v>
      </c>
      <c r="D855" s="72" t="s">
        <v>3300</v>
      </c>
      <c r="E855" s="2016" t="str">
        <f t="shared" si="37"/>
        <v>TR</v>
      </c>
      <c r="F855" s="54">
        <v>1</v>
      </c>
      <c r="G855" s="54" t="s">
        <v>512</v>
      </c>
      <c r="J855" s="54" t="str">
        <f t="shared" si="38"/>
        <v>TR3201</v>
      </c>
    </row>
    <row r="856" spans="1:10" hidden="1">
      <c r="A856" s="71" t="s">
        <v>65</v>
      </c>
      <c r="B856" s="1642" t="s">
        <v>2095</v>
      </c>
      <c r="C856" s="73" t="s">
        <v>3331</v>
      </c>
      <c r="D856" s="72" t="s">
        <v>3300</v>
      </c>
      <c r="E856" s="2016" t="str">
        <f t="shared" si="37"/>
        <v>TR</v>
      </c>
      <c r="F856" s="54">
        <v>1</v>
      </c>
      <c r="G856" s="54" t="s">
        <v>512</v>
      </c>
      <c r="J856" s="54" t="str">
        <f t="shared" si="38"/>
        <v>TR4001</v>
      </c>
    </row>
    <row r="857" spans="1:10" hidden="1">
      <c r="A857" s="71" t="s">
        <v>876</v>
      </c>
      <c r="B857" s="1642" t="s">
        <v>2095</v>
      </c>
      <c r="C857" s="73" t="s">
        <v>3332</v>
      </c>
      <c r="D857" s="72" t="s">
        <v>3300</v>
      </c>
      <c r="E857" s="2016" t="str">
        <f t="shared" si="37"/>
        <v>TR</v>
      </c>
      <c r="F857" s="54">
        <v>1</v>
      </c>
      <c r="G857" s="54" t="s">
        <v>512</v>
      </c>
      <c r="J857" s="54" t="str">
        <f t="shared" si="38"/>
        <v>TR5601</v>
      </c>
    </row>
    <row r="858" spans="1:10" hidden="1">
      <c r="A858" s="71" t="s">
        <v>878</v>
      </c>
      <c r="B858" s="1642" t="s">
        <v>2095</v>
      </c>
      <c r="C858" s="73" t="s">
        <v>3333</v>
      </c>
      <c r="D858" s="72" t="s">
        <v>3300</v>
      </c>
      <c r="E858" s="2016" t="str">
        <f t="shared" si="37"/>
        <v>TR</v>
      </c>
      <c r="F858" s="54">
        <v>1</v>
      </c>
      <c r="G858" s="54" t="s">
        <v>512</v>
      </c>
      <c r="J858" s="54" t="str">
        <f t="shared" si="38"/>
        <v>TR6301</v>
      </c>
    </row>
    <row r="859" spans="1:10" hidden="1">
      <c r="A859" s="71" t="s">
        <v>613</v>
      </c>
      <c r="B859" s="1642" t="s">
        <v>652</v>
      </c>
      <c r="C859" s="73" t="s">
        <v>3334</v>
      </c>
      <c r="D859" s="72" t="s">
        <v>3300</v>
      </c>
      <c r="E859" s="2016" t="str">
        <f t="shared" si="37"/>
        <v>TR</v>
      </c>
      <c r="F859" s="54">
        <v>1</v>
      </c>
      <c r="G859" s="54" t="s">
        <v>512</v>
      </c>
      <c r="J859" s="54" t="str">
        <f t="shared" si="38"/>
        <v>TR7501</v>
      </c>
    </row>
    <row r="860" spans="1:10" hidden="1">
      <c r="A860" s="71" t="s">
        <v>614</v>
      </c>
      <c r="B860" s="1642" t="s">
        <v>652</v>
      </c>
      <c r="C860" s="73" t="s">
        <v>3335</v>
      </c>
      <c r="D860" s="72" t="s">
        <v>3300</v>
      </c>
      <c r="E860" s="2016" t="str">
        <f t="shared" si="37"/>
        <v>TR</v>
      </c>
      <c r="F860" s="54">
        <v>1</v>
      </c>
      <c r="G860" s="54" t="s">
        <v>512</v>
      </c>
      <c r="J860" s="54" t="str">
        <f t="shared" si="38"/>
        <v>TR10001</v>
      </c>
    </row>
    <row r="861" spans="1:10" hidden="1">
      <c r="A861" s="71" t="s">
        <v>1413</v>
      </c>
      <c r="B861" s="1642" t="s">
        <v>652</v>
      </c>
      <c r="C861" s="73" t="s">
        <v>3336</v>
      </c>
      <c r="D861" s="72" t="s">
        <v>3300</v>
      </c>
      <c r="E861" s="2016" t="str">
        <f t="shared" si="37"/>
        <v>TR</v>
      </c>
      <c r="F861" s="54">
        <v>1</v>
      </c>
      <c r="G861" s="54" t="s">
        <v>512</v>
      </c>
      <c r="J861" s="54" t="str">
        <f t="shared" si="38"/>
        <v>TR12501</v>
      </c>
    </row>
    <row r="862" spans="1:10" hidden="1">
      <c r="A862" s="71" t="s">
        <v>306</v>
      </c>
      <c r="B862" s="1642" t="s">
        <v>652</v>
      </c>
      <c r="C862" s="73" t="s">
        <v>3337</v>
      </c>
      <c r="D862" s="72" t="s">
        <v>3300</v>
      </c>
      <c r="E862" s="2016" t="str">
        <f t="shared" si="37"/>
        <v>TR</v>
      </c>
      <c r="F862" s="54">
        <v>1</v>
      </c>
      <c r="G862" s="54" t="s">
        <v>512</v>
      </c>
      <c r="J862" s="54" t="str">
        <f t="shared" si="38"/>
        <v>TR15001</v>
      </c>
    </row>
    <row r="863" spans="1:10" hidden="1">
      <c r="A863" s="71" t="s">
        <v>1453</v>
      </c>
      <c r="B863" s="1642" t="s">
        <v>652</v>
      </c>
      <c r="C863" s="73" t="s">
        <v>3338</v>
      </c>
      <c r="D863" s="72" t="s">
        <v>3300</v>
      </c>
      <c r="E863" s="2016" t="str">
        <f t="shared" si="37"/>
        <v>TR</v>
      </c>
      <c r="F863" s="54">
        <v>1</v>
      </c>
      <c r="G863" s="54" t="s">
        <v>512</v>
      </c>
      <c r="J863" s="54" t="str">
        <f t="shared" si="38"/>
        <v>TR16001</v>
      </c>
    </row>
    <row r="864" spans="1:10" hidden="1">
      <c r="A864" s="71" t="s">
        <v>2152</v>
      </c>
      <c r="B864" s="1642" t="s">
        <v>652</v>
      </c>
      <c r="C864" s="73" t="s">
        <v>3339</v>
      </c>
      <c r="D864" s="72" t="s">
        <v>3300</v>
      </c>
      <c r="E864" s="2016" t="str">
        <f t="shared" si="37"/>
        <v>TR</v>
      </c>
      <c r="F864" s="54">
        <v>1</v>
      </c>
      <c r="G864" s="54" t="s">
        <v>512</v>
      </c>
      <c r="J864" s="54" t="str">
        <f t="shared" si="38"/>
        <v>TR20001</v>
      </c>
    </row>
    <row r="865" spans="1:10" hidden="1">
      <c r="A865" s="71" t="s">
        <v>48</v>
      </c>
      <c r="B865" s="1642" t="s">
        <v>652</v>
      </c>
      <c r="C865" s="73" t="s">
        <v>3340</v>
      </c>
      <c r="D865" s="72" t="s">
        <v>3300</v>
      </c>
      <c r="E865" s="2016" t="str">
        <f t="shared" si="37"/>
        <v>TR</v>
      </c>
      <c r="F865" s="54">
        <v>1</v>
      </c>
      <c r="G865" s="54" t="s">
        <v>512</v>
      </c>
      <c r="J865" s="54" t="str">
        <f t="shared" si="38"/>
        <v>TR25001</v>
      </c>
    </row>
    <row r="866" spans="1:10" hidden="1">
      <c r="A866" s="71" t="s">
        <v>1279</v>
      </c>
      <c r="B866" s="1642" t="s">
        <v>652</v>
      </c>
      <c r="C866" s="73" t="s">
        <v>3341</v>
      </c>
      <c r="D866" s="72" t="s">
        <v>3300</v>
      </c>
      <c r="E866" s="2016" t="str">
        <f t="shared" si="37"/>
        <v>TR</v>
      </c>
      <c r="F866" s="54">
        <v>1</v>
      </c>
      <c r="G866" s="54" t="s">
        <v>512</v>
      </c>
      <c r="J866" s="54" t="str">
        <f t="shared" si="38"/>
        <v>TR30001</v>
      </c>
    </row>
    <row r="867" spans="1:10" hidden="1">
      <c r="A867" s="71" t="s">
        <v>804</v>
      </c>
      <c r="B867" s="1642" t="s">
        <v>652</v>
      </c>
      <c r="C867" s="73" t="s">
        <v>3342</v>
      </c>
      <c r="D867" s="72" t="s">
        <v>3300</v>
      </c>
      <c r="E867" s="2016" t="str">
        <f t="shared" si="37"/>
        <v>TR</v>
      </c>
      <c r="F867" s="54">
        <v>1</v>
      </c>
      <c r="G867" s="54" t="s">
        <v>512</v>
      </c>
      <c r="J867" s="54" t="str">
        <f t="shared" si="38"/>
        <v>TR40001</v>
      </c>
    </row>
    <row r="868" spans="1:10" hidden="1">
      <c r="A868" s="71" t="s">
        <v>1655</v>
      </c>
      <c r="B868" s="1661" t="s">
        <v>1651</v>
      </c>
      <c r="C868" s="71" t="s">
        <v>2030</v>
      </c>
      <c r="D868" s="72" t="s">
        <v>2555</v>
      </c>
      <c r="E868" s="2016" t="str">
        <f t="shared" ref="E868:E931" si="39">LEFT(A868,2)</f>
        <v>FC</v>
      </c>
      <c r="F868" s="54">
        <v>3</v>
      </c>
      <c r="G868" s="54" t="s">
        <v>512</v>
      </c>
      <c r="J868" s="54" t="str">
        <f t="shared" si="38"/>
        <v>FCO200-15</v>
      </c>
    </row>
    <row r="869" spans="1:10" hidden="1">
      <c r="A869" s="71" t="s">
        <v>1652</v>
      </c>
      <c r="B869" s="1661" t="s">
        <v>1745</v>
      </c>
      <c r="C869" s="71" t="s">
        <v>95</v>
      </c>
      <c r="D869" s="72" t="s">
        <v>2555</v>
      </c>
      <c r="E869" s="2016" t="str">
        <f t="shared" si="39"/>
        <v>FC</v>
      </c>
      <c r="F869" s="54">
        <v>3</v>
      </c>
      <c r="G869" s="54" t="s">
        <v>512</v>
      </c>
      <c r="J869" s="54" t="str">
        <f t="shared" si="38"/>
        <v>FCO100-22</v>
      </c>
    </row>
    <row r="870" spans="1:10" hidden="1">
      <c r="A870" s="71" t="s">
        <v>1653</v>
      </c>
      <c r="B870" s="1661" t="s">
        <v>435</v>
      </c>
      <c r="C870" s="71" t="s">
        <v>2030</v>
      </c>
      <c r="D870" s="72" t="s">
        <v>2555</v>
      </c>
      <c r="E870" s="2016" t="str">
        <f t="shared" si="39"/>
        <v>FC</v>
      </c>
      <c r="F870" s="54">
        <v>3</v>
      </c>
      <c r="G870" s="54" t="s">
        <v>512</v>
      </c>
      <c r="J870" s="54" t="str">
        <f t="shared" si="38"/>
        <v>FCO200-22</v>
      </c>
    </row>
    <row r="871" spans="1:10" hidden="1">
      <c r="A871" s="71" t="s">
        <v>1656</v>
      </c>
      <c r="B871" s="1661" t="s">
        <v>1651</v>
      </c>
      <c r="C871" s="71" t="s">
        <v>1256</v>
      </c>
      <c r="D871" s="72" t="s">
        <v>2555</v>
      </c>
      <c r="E871" s="2016" t="str">
        <f t="shared" si="39"/>
        <v>lb</v>
      </c>
      <c r="F871" s="54">
        <v>3</v>
      </c>
      <c r="G871" s="54" t="s">
        <v>512</v>
      </c>
      <c r="J871" s="54" t="str">
        <f t="shared" si="38"/>
        <v>lbfco100-15</v>
      </c>
    </row>
    <row r="872" spans="1:10" hidden="1">
      <c r="A872" s="71" t="s">
        <v>1657</v>
      </c>
      <c r="B872" s="1661" t="s">
        <v>1651</v>
      </c>
      <c r="C872" s="71" t="s">
        <v>1255</v>
      </c>
      <c r="D872" s="72" t="s">
        <v>2555</v>
      </c>
      <c r="E872" s="2016" t="str">
        <f t="shared" si="39"/>
        <v>LB</v>
      </c>
      <c r="F872" s="54">
        <v>3</v>
      </c>
      <c r="G872" s="54" t="s">
        <v>512</v>
      </c>
      <c r="J872" s="54" t="str">
        <f t="shared" si="38"/>
        <v>LBFCO200-15</v>
      </c>
    </row>
    <row r="873" spans="1:10" hidden="1">
      <c r="A873" s="71" t="s">
        <v>2125</v>
      </c>
      <c r="B873" s="1661" t="s">
        <v>435</v>
      </c>
      <c r="C873" s="71" t="s">
        <v>1256</v>
      </c>
      <c r="D873" s="72" t="s">
        <v>2555</v>
      </c>
      <c r="E873" s="2016" t="str">
        <f t="shared" si="39"/>
        <v>lb</v>
      </c>
      <c r="F873" s="54">
        <v>3</v>
      </c>
      <c r="G873" s="54" t="s">
        <v>512</v>
      </c>
      <c r="J873" s="54" t="str">
        <f t="shared" si="38"/>
        <v>lbfco100-22</v>
      </c>
    </row>
    <row r="874" spans="1:10" hidden="1">
      <c r="A874" s="71" t="s">
        <v>1654</v>
      </c>
      <c r="B874" s="1661" t="s">
        <v>435</v>
      </c>
      <c r="C874" s="71" t="s">
        <v>1255</v>
      </c>
      <c r="D874" s="72" t="s">
        <v>2555</v>
      </c>
      <c r="E874" s="2016" t="str">
        <f t="shared" si="39"/>
        <v>LB</v>
      </c>
      <c r="F874" s="54">
        <v>3</v>
      </c>
      <c r="G874" s="54" t="s">
        <v>512</v>
      </c>
      <c r="J874" s="54" t="str">
        <f t="shared" si="38"/>
        <v>LBFCO200-22</v>
      </c>
    </row>
    <row r="875" spans="1:10" hidden="1">
      <c r="A875" s="71" t="s">
        <v>446</v>
      </c>
      <c r="B875" s="1662" t="s">
        <v>1389</v>
      </c>
      <c r="C875" s="71" t="s">
        <v>1218</v>
      </c>
      <c r="D875" s="72" t="s">
        <v>2439</v>
      </c>
      <c r="E875" s="2016" t="str">
        <f t="shared" si="39"/>
        <v>DS</v>
      </c>
      <c r="F875" s="54">
        <v>50</v>
      </c>
      <c r="G875" s="54" t="s">
        <v>512</v>
      </c>
      <c r="J875" s="54" t="str">
        <f t="shared" si="38"/>
        <v>DS1P</v>
      </c>
    </row>
    <row r="876" spans="1:10" hidden="1">
      <c r="A876" s="71" t="s">
        <v>393</v>
      </c>
      <c r="B876" s="1662" t="s">
        <v>1389</v>
      </c>
      <c r="C876" s="71" t="s">
        <v>1593</v>
      </c>
      <c r="D876" s="72" t="s">
        <v>2439</v>
      </c>
      <c r="E876" s="2016" t="str">
        <f t="shared" si="39"/>
        <v>DS</v>
      </c>
      <c r="F876" s="54">
        <v>50</v>
      </c>
      <c r="G876" s="54" t="s">
        <v>512</v>
      </c>
      <c r="J876" s="54" t="str">
        <f t="shared" si="38"/>
        <v>DS3P</v>
      </c>
    </row>
    <row r="877" spans="1:10" hidden="1">
      <c r="A877" s="71" t="s">
        <v>1190</v>
      </c>
      <c r="B877" s="1662" t="s">
        <v>128</v>
      </c>
      <c r="C877" s="71" t="s">
        <v>1218</v>
      </c>
      <c r="D877" s="72" t="s">
        <v>2439</v>
      </c>
      <c r="E877" s="2016" t="str">
        <f t="shared" si="39"/>
        <v>DS</v>
      </c>
      <c r="F877" s="54">
        <v>50</v>
      </c>
      <c r="G877" s="54" t="s">
        <v>512</v>
      </c>
      <c r="J877" s="54" t="str">
        <f t="shared" si="38"/>
        <v>DS1PDD</v>
      </c>
    </row>
    <row r="878" spans="1:10" hidden="1">
      <c r="A878" s="71" t="s">
        <v>1191</v>
      </c>
      <c r="B878" s="1662" t="s">
        <v>129</v>
      </c>
      <c r="C878" s="71" t="s">
        <v>1593</v>
      </c>
      <c r="D878" s="72" t="s">
        <v>2439</v>
      </c>
      <c r="E878" s="2016" t="str">
        <f t="shared" si="39"/>
        <v>DS</v>
      </c>
      <c r="F878" s="54">
        <v>50</v>
      </c>
      <c r="G878" s="54" t="s">
        <v>512</v>
      </c>
      <c r="J878" s="54" t="str">
        <f t="shared" si="38"/>
        <v>DS3PDD</v>
      </c>
    </row>
    <row r="879" spans="1:10" hidden="1">
      <c r="A879" s="71" t="s">
        <v>602</v>
      </c>
      <c r="B879" s="1662" t="s">
        <v>1505</v>
      </c>
      <c r="C879" s="71" t="s">
        <v>1702</v>
      </c>
      <c r="D879" s="72" t="s">
        <v>2439</v>
      </c>
      <c r="E879" s="2016" t="str">
        <f t="shared" si="39"/>
        <v>LB</v>
      </c>
      <c r="F879" s="54">
        <v>50</v>
      </c>
      <c r="G879" s="54" t="s">
        <v>512</v>
      </c>
      <c r="J879" s="54" t="str">
        <f t="shared" si="38"/>
        <v>LBS 16</v>
      </c>
    </row>
    <row r="880" spans="1:10" hidden="1">
      <c r="A880" s="71" t="s">
        <v>535</v>
      </c>
      <c r="B880" s="1662" t="s">
        <v>1505</v>
      </c>
      <c r="C880" s="71" t="s">
        <v>3343</v>
      </c>
      <c r="D880" s="72" t="s">
        <v>2439</v>
      </c>
      <c r="E880" s="2016" t="str">
        <f t="shared" si="39"/>
        <v>LB</v>
      </c>
      <c r="F880" s="54">
        <v>50</v>
      </c>
      <c r="G880" s="54" t="s">
        <v>512</v>
      </c>
      <c r="J880" s="54" t="str">
        <f t="shared" si="38"/>
        <v>LBS treo</v>
      </c>
    </row>
    <row r="881" spans="1:10" hidden="1">
      <c r="A881" s="71" t="s">
        <v>2184</v>
      </c>
      <c r="B881" s="1662" t="s">
        <v>642</v>
      </c>
      <c r="C881" s="71" t="s">
        <v>6594</v>
      </c>
      <c r="D881" s="72" t="s">
        <v>2439</v>
      </c>
      <c r="E881" s="2016" t="str">
        <f t="shared" si="39"/>
        <v>RE</v>
      </c>
      <c r="F881" s="54">
        <v>50</v>
      </c>
      <c r="G881" s="54" t="s">
        <v>512</v>
      </c>
      <c r="J881" s="54" t="str">
        <f t="shared" si="38"/>
        <v>REC</v>
      </c>
    </row>
    <row r="882" spans="1:10" hidden="1">
      <c r="A882" s="71" t="s">
        <v>788</v>
      </c>
      <c r="B882" s="1662" t="s">
        <v>668</v>
      </c>
      <c r="C882" s="71" t="s">
        <v>1187</v>
      </c>
      <c r="D882" s="72" t="s">
        <v>2555</v>
      </c>
      <c r="E882" s="2016" t="str">
        <f t="shared" si="39"/>
        <v>LT</v>
      </c>
      <c r="F882" s="54">
        <v>50</v>
      </c>
      <c r="G882" s="54" t="s">
        <v>512</v>
      </c>
      <c r="J882" s="54" t="str">
        <f t="shared" si="38"/>
        <v>LTD</v>
      </c>
    </row>
    <row r="883" spans="1:10" hidden="1">
      <c r="A883" s="71" t="s">
        <v>966</v>
      </c>
      <c r="B883" s="1662" t="s">
        <v>965</v>
      </c>
      <c r="C883" s="71" t="s">
        <v>1194</v>
      </c>
      <c r="D883" s="72" t="s">
        <v>2555</v>
      </c>
      <c r="E883" s="2016" t="str">
        <f t="shared" si="39"/>
        <v>LA</v>
      </c>
      <c r="F883" s="54">
        <v>4</v>
      </c>
      <c r="G883" s="54" t="s">
        <v>512</v>
      </c>
      <c r="J883" s="54" t="str">
        <f t="shared" si="38"/>
        <v>LA12</v>
      </c>
    </row>
    <row r="884" spans="1:10" hidden="1">
      <c r="A884" s="71" t="s">
        <v>1373</v>
      </c>
      <c r="B884" s="1662" t="s">
        <v>965</v>
      </c>
      <c r="C884" s="71" t="s">
        <v>4880</v>
      </c>
      <c r="D884" s="72" t="s">
        <v>2555</v>
      </c>
      <c r="E884" s="2016" t="str">
        <f t="shared" si="39"/>
        <v>LA</v>
      </c>
      <c r="F884" s="54">
        <v>3</v>
      </c>
      <c r="G884" s="54" t="s">
        <v>512</v>
      </c>
      <c r="J884" s="54" t="str">
        <f t="shared" si="38"/>
        <v>LA18</v>
      </c>
    </row>
    <row r="885" spans="1:10" hidden="1">
      <c r="A885" s="71" t="s">
        <v>2158</v>
      </c>
      <c r="B885" s="75" t="s">
        <v>1475</v>
      </c>
      <c r="C885" s="71" t="s">
        <v>3344</v>
      </c>
      <c r="D885" s="72" t="s">
        <v>2555</v>
      </c>
      <c r="E885" s="2016" t="str">
        <f t="shared" si="39"/>
        <v>TI</v>
      </c>
      <c r="F885" s="54">
        <v>2000</v>
      </c>
      <c r="G885" s="54" t="s">
        <v>512</v>
      </c>
      <c r="J885" s="54" t="str">
        <f t="shared" si="38"/>
        <v>TI10</v>
      </c>
    </row>
    <row r="886" spans="1:10" hidden="1">
      <c r="A886" s="71" t="s">
        <v>1667</v>
      </c>
      <c r="B886" s="75" t="s">
        <v>1475</v>
      </c>
      <c r="C886" s="71" t="s">
        <v>3345</v>
      </c>
      <c r="D886" s="72" t="s">
        <v>2555</v>
      </c>
      <c r="E886" s="2016" t="str">
        <f t="shared" si="39"/>
        <v>TI</v>
      </c>
      <c r="F886" s="54">
        <v>2000</v>
      </c>
      <c r="G886" s="54" t="s">
        <v>512</v>
      </c>
      <c r="J886" s="54" t="str">
        <f t="shared" si="38"/>
        <v>TI15</v>
      </c>
    </row>
    <row r="887" spans="1:10" hidden="1">
      <c r="A887" s="71" t="s">
        <v>1729</v>
      </c>
      <c r="B887" s="75" t="s">
        <v>1475</v>
      </c>
      <c r="C887" s="71" t="s">
        <v>3346</v>
      </c>
      <c r="D887" s="72" t="s">
        <v>2555</v>
      </c>
      <c r="E887" s="2016" t="str">
        <f t="shared" si="39"/>
        <v>TI</v>
      </c>
      <c r="F887" s="54">
        <v>2000</v>
      </c>
      <c r="G887" s="54" t="s">
        <v>512</v>
      </c>
      <c r="J887" s="54" t="str">
        <f t="shared" si="38"/>
        <v>TI20</v>
      </c>
    </row>
    <row r="888" spans="1:10" hidden="1">
      <c r="A888" s="71" t="s">
        <v>1727</v>
      </c>
      <c r="B888" s="75" t="s">
        <v>1475</v>
      </c>
      <c r="C888" s="71" t="s">
        <v>3347</v>
      </c>
      <c r="D888" s="72" t="s">
        <v>2555</v>
      </c>
      <c r="E888" s="2016" t="str">
        <f t="shared" si="39"/>
        <v>TI</v>
      </c>
      <c r="F888" s="54">
        <v>2000</v>
      </c>
      <c r="G888" s="54" t="s">
        <v>512</v>
      </c>
      <c r="J888" s="54" t="str">
        <f t="shared" si="38"/>
        <v>TI25</v>
      </c>
    </row>
    <row r="889" spans="1:10" hidden="1">
      <c r="A889" s="71" t="s">
        <v>901</v>
      </c>
      <c r="B889" s="75" t="s">
        <v>1475</v>
      </c>
      <c r="C889" s="71" t="s">
        <v>3348</v>
      </c>
      <c r="D889" s="72" t="s">
        <v>2555</v>
      </c>
      <c r="E889" s="2016" t="str">
        <f t="shared" si="39"/>
        <v>TI</v>
      </c>
      <c r="F889" s="54">
        <v>2000</v>
      </c>
      <c r="G889" s="54" t="s">
        <v>512</v>
      </c>
      <c r="J889" s="54" t="str">
        <f t="shared" si="38"/>
        <v>TI30</v>
      </c>
    </row>
    <row r="890" spans="1:10" hidden="1">
      <c r="A890" s="71" t="s">
        <v>1728</v>
      </c>
      <c r="B890" s="75" t="s">
        <v>1475</v>
      </c>
      <c r="C890" s="71" t="s">
        <v>3349</v>
      </c>
      <c r="D890" s="72" t="s">
        <v>2555</v>
      </c>
      <c r="E890" s="2016" t="str">
        <f t="shared" si="39"/>
        <v>TI</v>
      </c>
      <c r="F890" s="54">
        <v>2000</v>
      </c>
      <c r="G890" s="54" t="s">
        <v>512</v>
      </c>
      <c r="J890" s="54" t="str">
        <f t="shared" si="38"/>
        <v>TI40</v>
      </c>
    </row>
    <row r="891" spans="1:10" hidden="1">
      <c r="A891" s="71" t="s">
        <v>202</v>
      </c>
      <c r="B891" s="75" t="s">
        <v>1475</v>
      </c>
      <c r="C891" s="71" t="s">
        <v>3350</v>
      </c>
      <c r="D891" s="72" t="s">
        <v>2555</v>
      </c>
      <c r="E891" s="2016" t="str">
        <f t="shared" si="39"/>
        <v>TI</v>
      </c>
      <c r="F891" s="54">
        <v>2000</v>
      </c>
      <c r="G891" s="54" t="s">
        <v>512</v>
      </c>
      <c r="J891" s="54" t="str">
        <f t="shared" si="38"/>
        <v>TI50</v>
      </c>
    </row>
    <row r="892" spans="1:10" hidden="1">
      <c r="A892" s="71" t="s">
        <v>2190</v>
      </c>
      <c r="B892" s="75" t="s">
        <v>1475</v>
      </c>
      <c r="C892" s="71" t="s">
        <v>3351</v>
      </c>
      <c r="D892" s="72" t="s">
        <v>2555</v>
      </c>
      <c r="E892" s="2016" t="str">
        <f t="shared" si="39"/>
        <v>TI</v>
      </c>
      <c r="F892" s="54">
        <v>2000</v>
      </c>
      <c r="G892" s="54" t="s">
        <v>512</v>
      </c>
      <c r="J892" s="54" t="str">
        <f t="shared" si="38"/>
        <v>TI60</v>
      </c>
    </row>
    <row r="893" spans="1:10" hidden="1">
      <c r="A893" s="71" t="s">
        <v>2089</v>
      </c>
      <c r="B893" s="75" t="s">
        <v>1475</v>
      </c>
      <c r="C893" s="71" t="s">
        <v>3352</v>
      </c>
      <c r="D893" s="72" t="s">
        <v>2555</v>
      </c>
      <c r="E893" s="2016" t="str">
        <f t="shared" si="39"/>
        <v>TI</v>
      </c>
      <c r="F893" s="54">
        <v>2000</v>
      </c>
      <c r="G893" s="54" t="s">
        <v>512</v>
      </c>
      <c r="J893" s="54" t="str">
        <f t="shared" si="38"/>
        <v>TI75</v>
      </c>
    </row>
    <row r="894" spans="1:10" hidden="1">
      <c r="A894" s="71" t="s">
        <v>1471</v>
      </c>
      <c r="B894" s="75" t="s">
        <v>1475</v>
      </c>
      <c r="C894" s="71" t="s">
        <v>3353</v>
      </c>
      <c r="D894" s="72" t="s">
        <v>2555</v>
      </c>
      <c r="E894" s="2016" t="str">
        <f t="shared" si="39"/>
        <v>TI</v>
      </c>
      <c r="F894" s="54">
        <v>2000</v>
      </c>
      <c r="G894" s="54" t="s">
        <v>512</v>
      </c>
      <c r="J894" s="54" t="str">
        <f t="shared" si="38"/>
        <v>TI100</v>
      </c>
    </row>
    <row r="895" spans="1:10" hidden="1">
      <c r="A895" s="71" t="s">
        <v>817</v>
      </c>
      <c r="B895" s="75" t="s">
        <v>1475</v>
      </c>
      <c r="C895" s="71" t="s">
        <v>3354</v>
      </c>
      <c r="D895" s="72" t="s">
        <v>2555</v>
      </c>
      <c r="E895" s="2016" t="str">
        <f t="shared" si="39"/>
        <v>TI</v>
      </c>
      <c r="F895" s="54">
        <v>2000</v>
      </c>
      <c r="G895" s="54" t="s">
        <v>512</v>
      </c>
      <c r="J895" s="54" t="str">
        <f t="shared" si="38"/>
        <v>TI150</v>
      </c>
    </row>
    <row r="896" spans="1:10" hidden="1">
      <c r="A896" s="71" t="s">
        <v>823</v>
      </c>
      <c r="B896" s="75"/>
      <c r="C896" s="1650" t="s">
        <v>3355</v>
      </c>
      <c r="D896" s="72" t="s">
        <v>2555</v>
      </c>
      <c r="E896" s="2016" t="str">
        <f t="shared" si="39"/>
        <v>TI</v>
      </c>
      <c r="F896" s="54">
        <v>2000</v>
      </c>
      <c r="G896" s="54" t="s">
        <v>512</v>
      </c>
      <c r="J896" s="54" t="str">
        <f t="shared" si="38"/>
        <v>TI755</v>
      </c>
    </row>
    <row r="897" spans="1:10" hidden="1">
      <c r="A897" s="71" t="s">
        <v>2043</v>
      </c>
      <c r="B897" s="75"/>
      <c r="C897" s="1650" t="s">
        <v>3356</v>
      </c>
      <c r="D897" s="72" t="s">
        <v>2555</v>
      </c>
      <c r="E897" s="2016" t="str">
        <f t="shared" si="39"/>
        <v>TI</v>
      </c>
      <c r="F897" s="54">
        <v>2000</v>
      </c>
      <c r="G897" s="54" t="s">
        <v>512</v>
      </c>
      <c r="J897" s="54" t="str">
        <f t="shared" si="38"/>
        <v>TI1005</v>
      </c>
    </row>
    <row r="898" spans="1:10" hidden="1">
      <c r="A898" s="71" t="s">
        <v>2044</v>
      </c>
      <c r="B898" s="75"/>
      <c r="C898" s="1650" t="s">
        <v>3357</v>
      </c>
      <c r="D898" s="72" t="s">
        <v>2555</v>
      </c>
      <c r="E898" s="2016" t="str">
        <f t="shared" si="39"/>
        <v>TI</v>
      </c>
      <c r="F898" s="54">
        <v>2000</v>
      </c>
      <c r="G898" s="54" t="s">
        <v>512</v>
      </c>
      <c r="J898" s="54" t="str">
        <f t="shared" si="38"/>
        <v>TI1255</v>
      </c>
    </row>
    <row r="899" spans="1:10" hidden="1">
      <c r="A899" s="71" t="s">
        <v>2186</v>
      </c>
      <c r="B899" s="75"/>
      <c r="C899" s="1650" t="s">
        <v>3358</v>
      </c>
      <c r="D899" s="72" t="s">
        <v>2555</v>
      </c>
      <c r="E899" s="2016" t="str">
        <f t="shared" si="39"/>
        <v>TI</v>
      </c>
      <c r="F899" s="54">
        <v>2000</v>
      </c>
      <c r="G899" s="54" t="s">
        <v>512</v>
      </c>
      <c r="J899" s="54" t="str">
        <f t="shared" si="38"/>
        <v>TI1505</v>
      </c>
    </row>
    <row r="900" spans="1:10" hidden="1">
      <c r="A900" s="71" t="s">
        <v>1116</v>
      </c>
      <c r="B900" s="75"/>
      <c r="C900" s="1650" t="s">
        <v>3359</v>
      </c>
      <c r="D900" s="72" t="s">
        <v>2555</v>
      </c>
      <c r="E900" s="2016" t="str">
        <f t="shared" si="39"/>
        <v>TI</v>
      </c>
      <c r="F900" s="54">
        <v>2000</v>
      </c>
      <c r="G900" s="54" t="s">
        <v>512</v>
      </c>
      <c r="J900" s="54" t="str">
        <f t="shared" si="38"/>
        <v>TI200</v>
      </c>
    </row>
    <row r="901" spans="1:10" hidden="1">
      <c r="A901" s="71" t="s">
        <v>1668</v>
      </c>
      <c r="B901" s="75"/>
      <c r="C901" s="1650" t="s">
        <v>3360</v>
      </c>
      <c r="D901" s="72" t="s">
        <v>2555</v>
      </c>
      <c r="E901" s="2016" t="str">
        <f t="shared" si="39"/>
        <v>TI</v>
      </c>
      <c r="F901" s="54">
        <v>2000</v>
      </c>
      <c r="G901" s="54" t="s">
        <v>512</v>
      </c>
      <c r="J901" s="54" t="str">
        <f t="shared" si="38"/>
        <v>TI250</v>
      </c>
    </row>
    <row r="902" spans="1:10" hidden="1">
      <c r="A902" s="71" t="s">
        <v>898</v>
      </c>
      <c r="B902" s="75"/>
      <c r="C902" s="1650" t="s">
        <v>3361</v>
      </c>
      <c r="D902" s="72" t="s">
        <v>2555</v>
      </c>
      <c r="E902" s="2016" t="str">
        <f t="shared" si="39"/>
        <v>TI</v>
      </c>
      <c r="F902" s="54">
        <v>2000</v>
      </c>
      <c r="G902" s="54" t="s">
        <v>512</v>
      </c>
      <c r="J902" s="54" t="str">
        <f t="shared" si="38"/>
        <v>TI300</v>
      </c>
    </row>
    <row r="903" spans="1:10" hidden="1">
      <c r="A903" s="71" t="s">
        <v>897</v>
      </c>
      <c r="B903" s="75"/>
      <c r="C903" s="1650" t="s">
        <v>3362</v>
      </c>
      <c r="D903" s="72" t="s">
        <v>2555</v>
      </c>
      <c r="E903" s="2016" t="str">
        <f t="shared" si="39"/>
        <v>TI</v>
      </c>
      <c r="F903" s="54">
        <v>2000</v>
      </c>
      <c r="G903" s="54" t="s">
        <v>512</v>
      </c>
      <c r="J903" s="54" t="str">
        <f t="shared" si="38"/>
        <v>TI400</v>
      </c>
    </row>
    <row r="904" spans="1:10" hidden="1">
      <c r="A904" s="71" t="s">
        <v>2275</v>
      </c>
      <c r="B904" s="75"/>
      <c r="C904" s="1650" t="s">
        <v>3363</v>
      </c>
      <c r="D904" s="72" t="s">
        <v>2555</v>
      </c>
      <c r="E904" s="2016" t="str">
        <f t="shared" si="39"/>
        <v>TI</v>
      </c>
      <c r="F904" s="54">
        <v>2000</v>
      </c>
      <c r="G904" s="54" t="s">
        <v>512</v>
      </c>
      <c r="J904" s="54" t="str">
        <f t="shared" si="38"/>
        <v>TI500</v>
      </c>
    </row>
    <row r="905" spans="1:10" hidden="1">
      <c r="A905" s="71" t="s">
        <v>64</v>
      </c>
      <c r="B905" s="75"/>
      <c r="C905" s="71" t="s">
        <v>3364</v>
      </c>
      <c r="D905" s="72" t="s">
        <v>2555</v>
      </c>
      <c r="E905" s="2016" t="str">
        <f t="shared" si="39"/>
        <v>TI</v>
      </c>
      <c r="F905" s="54">
        <v>2000</v>
      </c>
      <c r="G905" s="54" t="s">
        <v>512</v>
      </c>
      <c r="J905" s="54" t="str">
        <f t="shared" si="38"/>
        <v>TI600</v>
      </c>
    </row>
    <row r="906" spans="1:10" hidden="1">
      <c r="A906" s="71" t="s">
        <v>2042</v>
      </c>
      <c r="B906" s="75"/>
      <c r="C906" s="1650" t="s">
        <v>3365</v>
      </c>
      <c r="D906" s="72" t="s">
        <v>2555</v>
      </c>
      <c r="E906" s="2016" t="str">
        <f t="shared" si="39"/>
        <v>TI</v>
      </c>
      <c r="F906" s="54">
        <v>2000</v>
      </c>
      <c r="G906" s="54" t="s">
        <v>512</v>
      </c>
      <c r="J906" s="54" t="str">
        <f t="shared" si="38"/>
        <v>TI800</v>
      </c>
    </row>
    <row r="907" spans="1:10" hidden="1">
      <c r="A907" s="71" t="s">
        <v>1374</v>
      </c>
      <c r="B907" s="75" t="s">
        <v>317</v>
      </c>
      <c r="C907" s="1650" t="s">
        <v>3366</v>
      </c>
      <c r="D907" s="72" t="s">
        <v>2555</v>
      </c>
      <c r="E907" s="2016" t="str">
        <f t="shared" si="39"/>
        <v>TU</v>
      </c>
      <c r="F907" s="54">
        <v>2000</v>
      </c>
      <c r="G907" s="54" t="s">
        <v>512</v>
      </c>
      <c r="J907" s="54" t="str">
        <f t="shared" si="38"/>
        <v>TU15</v>
      </c>
    </row>
    <row r="908" spans="1:10" hidden="1">
      <c r="A908" s="71" t="s">
        <v>2187</v>
      </c>
      <c r="B908" s="75" t="s">
        <v>317</v>
      </c>
      <c r="C908" s="1650" t="s">
        <v>5611</v>
      </c>
      <c r="D908" s="72" t="s">
        <v>2555</v>
      </c>
      <c r="E908" s="2016" t="str">
        <f t="shared" si="39"/>
        <v>TU</v>
      </c>
      <c r="F908" s="54">
        <v>2000</v>
      </c>
      <c r="G908" s="54" t="s">
        <v>512</v>
      </c>
      <c r="J908" s="54" t="str">
        <f t="shared" si="38"/>
        <v>TU22</v>
      </c>
    </row>
    <row r="909" spans="1:10" hidden="1">
      <c r="A909" s="71" t="s">
        <v>2224</v>
      </c>
      <c r="B909" s="75"/>
      <c r="C909" s="1650" t="s">
        <v>3368</v>
      </c>
      <c r="D909" s="72" t="s">
        <v>2439</v>
      </c>
      <c r="E909" s="2016" t="str">
        <f t="shared" si="39"/>
        <v>TI</v>
      </c>
      <c r="F909" s="54">
        <v>50</v>
      </c>
      <c r="G909" s="54" t="s">
        <v>512</v>
      </c>
      <c r="J909" s="54" t="str">
        <f t="shared" ref="J909:J972" si="40">A909</f>
        <v>TIMER</v>
      </c>
    </row>
    <row r="910" spans="1:10" hidden="1">
      <c r="A910" s="71" t="s">
        <v>1796</v>
      </c>
      <c r="B910" s="75"/>
      <c r="C910" s="1650" t="s">
        <v>1140</v>
      </c>
      <c r="D910" s="72" t="s">
        <v>2555</v>
      </c>
      <c r="E910" s="2016" t="str">
        <f t="shared" si="39"/>
        <v>CO</v>
      </c>
      <c r="F910" s="54">
        <v>50</v>
      </c>
      <c r="G910" s="54" t="s">
        <v>512</v>
      </c>
      <c r="J910" s="54" t="str">
        <f t="shared" si="40"/>
        <v>COTATOR</v>
      </c>
    </row>
    <row r="911" spans="1:10" hidden="1">
      <c r="A911" s="71" t="s">
        <v>67</v>
      </c>
      <c r="B911" s="75"/>
      <c r="C911" s="1650" t="s">
        <v>68</v>
      </c>
      <c r="D911" s="72" t="s">
        <v>2555</v>
      </c>
      <c r="E911" s="2016" t="str">
        <f t="shared" si="39"/>
        <v>CO</v>
      </c>
      <c r="F911" s="54">
        <v>50</v>
      </c>
      <c r="G911" s="54" t="s">
        <v>512</v>
      </c>
      <c r="J911" s="54" t="str">
        <f t="shared" si="40"/>
        <v>CONTACTOR 100</v>
      </c>
    </row>
    <row r="912" spans="1:10" hidden="1">
      <c r="A912" s="71" t="s">
        <v>1644</v>
      </c>
      <c r="B912" s="75"/>
      <c r="C912" s="1650" t="s">
        <v>896</v>
      </c>
      <c r="D912" s="72" t="s">
        <v>2555</v>
      </c>
      <c r="E912" s="2016" t="str">
        <f t="shared" si="39"/>
        <v>CO</v>
      </c>
      <c r="F912" s="54">
        <v>50</v>
      </c>
      <c r="G912" s="54" t="s">
        <v>512</v>
      </c>
      <c r="J912" s="54" t="str">
        <f t="shared" si="40"/>
        <v>CONTACTOR 125</v>
      </c>
    </row>
    <row r="913" spans="1:10" hidden="1">
      <c r="A913" s="71" t="s">
        <v>2191</v>
      </c>
      <c r="B913" s="1642" t="s">
        <v>1387</v>
      </c>
      <c r="C913" s="1650" t="s">
        <v>3369</v>
      </c>
      <c r="D913" s="72" t="s">
        <v>3370</v>
      </c>
      <c r="E913" s="2016" t="str">
        <f t="shared" si="39"/>
        <v>TU</v>
      </c>
      <c r="F913" s="54">
        <v>2000</v>
      </c>
      <c r="G913" s="54" t="s">
        <v>512</v>
      </c>
      <c r="J913" s="54" t="str">
        <f t="shared" si="40"/>
        <v>TUBU1000</v>
      </c>
    </row>
    <row r="914" spans="1:10" hidden="1">
      <c r="A914" s="71" t="s">
        <v>2050</v>
      </c>
      <c r="B914" s="1642" t="s">
        <v>1387</v>
      </c>
      <c r="C914" s="1650" t="s">
        <v>3371</v>
      </c>
      <c r="D914" s="72" t="s">
        <v>3370</v>
      </c>
      <c r="E914" s="2016" t="str">
        <f t="shared" si="39"/>
        <v>TU</v>
      </c>
      <c r="F914" s="54">
        <v>2000</v>
      </c>
      <c r="G914" s="54" t="s">
        <v>512</v>
      </c>
      <c r="J914" s="54" t="str">
        <f t="shared" si="40"/>
        <v>TUBU750</v>
      </c>
    </row>
    <row r="915" spans="1:10" hidden="1">
      <c r="A915" s="71" t="s">
        <v>570</v>
      </c>
      <c r="B915" s="1642" t="s">
        <v>1387</v>
      </c>
      <c r="C915" s="1650" t="s">
        <v>3372</v>
      </c>
      <c r="D915" s="72" t="s">
        <v>3370</v>
      </c>
      <c r="E915" s="2016" t="str">
        <f t="shared" si="39"/>
        <v>TU</v>
      </c>
      <c r="F915" s="54">
        <v>2000</v>
      </c>
      <c r="G915" s="54" t="s">
        <v>512</v>
      </c>
      <c r="J915" s="54" t="str">
        <f t="shared" si="40"/>
        <v>TUBU600</v>
      </c>
    </row>
    <row r="916" spans="1:10" hidden="1">
      <c r="A916" s="71" t="s">
        <v>1959</v>
      </c>
      <c r="B916" s="1642" t="s">
        <v>1387</v>
      </c>
      <c r="C916" s="1650" t="s">
        <v>3373</v>
      </c>
      <c r="D916" s="72" t="s">
        <v>3370</v>
      </c>
      <c r="E916" s="2016" t="str">
        <f t="shared" si="39"/>
        <v>TU</v>
      </c>
      <c r="F916" s="54">
        <v>2000</v>
      </c>
      <c r="G916" s="54" t="s">
        <v>512</v>
      </c>
      <c r="J916" s="54" t="str">
        <f t="shared" si="40"/>
        <v>TUBU400</v>
      </c>
    </row>
    <row r="917" spans="1:10" hidden="1">
      <c r="A917" s="71" t="s">
        <v>1591</v>
      </c>
      <c r="B917" s="1642" t="s">
        <v>1387</v>
      </c>
      <c r="C917" s="1650" t="s">
        <v>3374</v>
      </c>
      <c r="D917" s="72" t="s">
        <v>3370</v>
      </c>
      <c r="E917" s="2016" t="str">
        <f t="shared" si="39"/>
        <v>TU</v>
      </c>
      <c r="F917" s="54">
        <v>2000</v>
      </c>
      <c r="G917" s="54" t="s">
        <v>512</v>
      </c>
      <c r="J917" s="54" t="str">
        <f t="shared" si="40"/>
        <v>TUBU380</v>
      </c>
    </row>
    <row r="918" spans="1:10" hidden="1">
      <c r="A918" s="71" t="s">
        <v>1792</v>
      </c>
      <c r="B918" s="1642" t="s">
        <v>1387</v>
      </c>
      <c r="C918" s="1650" t="s">
        <v>3375</v>
      </c>
      <c r="D918" s="72" t="s">
        <v>3370</v>
      </c>
      <c r="E918" s="2016" t="str">
        <f t="shared" si="39"/>
        <v>TU</v>
      </c>
      <c r="F918" s="54">
        <v>2000</v>
      </c>
      <c r="G918" s="54" t="s">
        <v>512</v>
      </c>
      <c r="J918" s="54" t="str">
        <f t="shared" si="40"/>
        <v>TUBU300</v>
      </c>
    </row>
    <row r="919" spans="1:10" hidden="1">
      <c r="A919" s="71" t="s">
        <v>734</v>
      </c>
      <c r="B919" s="1642" t="s">
        <v>1387</v>
      </c>
      <c r="C919" s="1650" t="s">
        <v>3376</v>
      </c>
      <c r="D919" s="72" t="s">
        <v>3370</v>
      </c>
      <c r="E919" s="2016" t="str">
        <f t="shared" si="39"/>
        <v>TU</v>
      </c>
      <c r="F919" s="54">
        <v>2000</v>
      </c>
      <c r="G919" s="54" t="s">
        <v>512</v>
      </c>
      <c r="J919" s="54" t="str">
        <f t="shared" si="40"/>
        <v>TUBU250</v>
      </c>
    </row>
    <row r="920" spans="1:10" hidden="1">
      <c r="A920" s="71" t="s">
        <v>1957</v>
      </c>
      <c r="B920" s="1642" t="s">
        <v>1387</v>
      </c>
      <c r="C920" s="1650" t="s">
        <v>3377</v>
      </c>
      <c r="D920" s="72" t="s">
        <v>3370</v>
      </c>
      <c r="E920" s="2016" t="str">
        <f t="shared" si="39"/>
        <v>TU</v>
      </c>
      <c r="F920" s="54">
        <v>2000</v>
      </c>
      <c r="G920" s="54" t="s">
        <v>512</v>
      </c>
      <c r="J920" s="54" t="str">
        <f t="shared" si="40"/>
        <v>TUBU220</v>
      </c>
    </row>
    <row r="921" spans="1:10" hidden="1">
      <c r="A921" s="71" t="s">
        <v>727</v>
      </c>
      <c r="B921" s="1642" t="s">
        <v>1387</v>
      </c>
      <c r="C921" s="1650" t="s">
        <v>3378</v>
      </c>
      <c r="D921" s="72" t="s">
        <v>3370</v>
      </c>
      <c r="E921" s="2016" t="str">
        <f t="shared" si="39"/>
        <v>TU</v>
      </c>
      <c r="F921" s="54">
        <v>2000</v>
      </c>
      <c r="G921" s="54" t="s">
        <v>512</v>
      </c>
      <c r="J921" s="54" t="str">
        <f t="shared" si="40"/>
        <v>TUBU160</v>
      </c>
    </row>
    <row r="922" spans="1:10" hidden="1">
      <c r="A922" s="71" t="s">
        <v>486</v>
      </c>
      <c r="B922" s="1642" t="s">
        <v>1387</v>
      </c>
      <c r="C922" s="1650" t="s">
        <v>3379</v>
      </c>
      <c r="D922" s="72" t="s">
        <v>3370</v>
      </c>
      <c r="E922" s="2016" t="str">
        <f t="shared" si="39"/>
        <v>TU</v>
      </c>
      <c r="F922" s="54">
        <v>2000</v>
      </c>
      <c r="G922" s="54" t="s">
        <v>512</v>
      </c>
      <c r="J922" s="54" t="str">
        <f t="shared" si="40"/>
        <v>TUBU135</v>
      </c>
    </row>
    <row r="923" spans="1:10" hidden="1">
      <c r="A923" s="71" t="s">
        <v>772</v>
      </c>
      <c r="B923" s="1642" t="s">
        <v>1387</v>
      </c>
      <c r="C923" s="1650" t="s">
        <v>3380</v>
      </c>
      <c r="D923" s="72" t="s">
        <v>3370</v>
      </c>
      <c r="E923" s="2016" t="str">
        <f t="shared" si="39"/>
        <v>TU</v>
      </c>
      <c r="F923" s="54">
        <v>2000</v>
      </c>
      <c r="G923" s="54" t="s">
        <v>512</v>
      </c>
      <c r="J923" s="54" t="str">
        <f t="shared" si="40"/>
        <v>TUBU130</v>
      </c>
    </row>
    <row r="924" spans="1:10" hidden="1">
      <c r="A924" s="71" t="s">
        <v>1793</v>
      </c>
      <c r="B924" s="1642" t="s">
        <v>1759</v>
      </c>
      <c r="C924" s="1650" t="s">
        <v>3381</v>
      </c>
      <c r="D924" s="72" t="s">
        <v>3370</v>
      </c>
      <c r="E924" s="2016" t="str">
        <f t="shared" si="39"/>
        <v>TU</v>
      </c>
      <c r="F924" s="54">
        <v>2000</v>
      </c>
      <c r="G924" s="54" t="s">
        <v>512</v>
      </c>
      <c r="J924" s="54" t="str">
        <f t="shared" si="40"/>
        <v>TUBU100</v>
      </c>
    </row>
    <row r="925" spans="1:10" hidden="1">
      <c r="A925" s="71" t="s">
        <v>4601</v>
      </c>
      <c r="B925" s="1642" t="s">
        <v>1387</v>
      </c>
      <c r="C925" s="1650" t="s">
        <v>4602</v>
      </c>
      <c r="D925" s="72" t="s">
        <v>3370</v>
      </c>
      <c r="E925" s="2016" t="str">
        <f>LEFT(A925,2)</f>
        <v>TU</v>
      </c>
      <c r="F925" s="54">
        <v>2000</v>
      </c>
      <c r="G925" s="54" t="s">
        <v>512</v>
      </c>
      <c r="J925" s="54" t="str">
        <f t="shared" si="40"/>
        <v>TUBU90</v>
      </c>
    </row>
    <row r="926" spans="1:10" hidden="1">
      <c r="A926" s="71" t="s">
        <v>686</v>
      </c>
      <c r="B926" s="1642" t="s">
        <v>1387</v>
      </c>
      <c r="C926" s="1650" t="s">
        <v>3382</v>
      </c>
      <c r="D926" s="72" t="s">
        <v>3370</v>
      </c>
      <c r="E926" s="2016" t="str">
        <f t="shared" si="39"/>
        <v>TU</v>
      </c>
      <c r="F926" s="54">
        <v>2000</v>
      </c>
      <c r="G926" s="54" t="s">
        <v>512</v>
      </c>
      <c r="J926" s="54" t="str">
        <f t="shared" si="40"/>
        <v>TUBU80</v>
      </c>
    </row>
    <row r="927" spans="1:10" hidden="1">
      <c r="A927" s="71" t="s">
        <v>2192</v>
      </c>
      <c r="B927" s="1642" t="s">
        <v>1387</v>
      </c>
      <c r="C927" s="1650" t="s">
        <v>3383</v>
      </c>
      <c r="D927" s="72" t="s">
        <v>3370</v>
      </c>
      <c r="E927" s="2016" t="str">
        <f t="shared" si="39"/>
        <v>TU</v>
      </c>
      <c r="F927" s="54">
        <v>2000</v>
      </c>
      <c r="G927" s="54" t="s">
        <v>512</v>
      </c>
      <c r="J927" s="54" t="str">
        <f t="shared" si="40"/>
        <v>TUBU60</v>
      </c>
    </row>
    <row r="928" spans="1:10" hidden="1">
      <c r="A928" s="71" t="s">
        <v>758</v>
      </c>
      <c r="B928" s="1642" t="s">
        <v>1387</v>
      </c>
      <c r="C928" s="1650" t="s">
        <v>4879</v>
      </c>
      <c r="D928" s="72" t="s">
        <v>3370</v>
      </c>
      <c r="E928" s="2016" t="str">
        <f t="shared" si="39"/>
        <v>TU</v>
      </c>
      <c r="F928" s="54">
        <v>2000</v>
      </c>
      <c r="G928" s="54" t="s">
        <v>512</v>
      </c>
      <c r="J928" s="54" t="str">
        <f t="shared" si="40"/>
        <v>TUBU40</v>
      </c>
    </row>
    <row r="929" spans="1:10" hidden="1">
      <c r="A929" s="71" t="s">
        <v>1594</v>
      </c>
      <c r="B929" s="1642" t="s">
        <v>1388</v>
      </c>
      <c r="C929" s="71" t="s">
        <v>3384</v>
      </c>
      <c r="D929" s="72" t="s">
        <v>3370</v>
      </c>
      <c r="E929" s="2016" t="str">
        <f t="shared" si="39"/>
        <v>TU</v>
      </c>
      <c r="F929" s="54">
        <v>50</v>
      </c>
      <c r="G929" s="54" t="s">
        <v>512</v>
      </c>
      <c r="J929" s="54" t="str">
        <f t="shared" si="40"/>
        <v>TULBS</v>
      </c>
    </row>
    <row r="930" spans="1:10" hidden="1">
      <c r="A930" s="71" t="s">
        <v>11</v>
      </c>
      <c r="B930" s="1642" t="s">
        <v>1388</v>
      </c>
      <c r="C930" s="71" t="s">
        <v>3385</v>
      </c>
      <c r="D930" s="72" t="s">
        <v>3370</v>
      </c>
      <c r="E930" s="2016" t="str">
        <f t="shared" si="39"/>
        <v>TU</v>
      </c>
      <c r="F930" s="54">
        <v>50</v>
      </c>
      <c r="G930" s="54" t="s">
        <v>512</v>
      </c>
      <c r="J930" s="54" t="str">
        <f t="shared" si="40"/>
        <v>TU LBS</v>
      </c>
    </row>
    <row r="931" spans="1:10" hidden="1">
      <c r="A931" s="71" t="s">
        <v>1790</v>
      </c>
      <c r="B931" s="1642" t="s">
        <v>1388</v>
      </c>
      <c r="C931" s="71" t="s">
        <v>3386</v>
      </c>
      <c r="D931" s="72" t="s">
        <v>3370</v>
      </c>
      <c r="E931" s="2016" t="str">
        <f t="shared" si="39"/>
        <v>TU</v>
      </c>
      <c r="F931" s="54">
        <v>50</v>
      </c>
      <c r="G931" s="54" t="s">
        <v>512</v>
      </c>
      <c r="J931" s="54" t="str">
        <f t="shared" si="40"/>
        <v>TUTC LBS</v>
      </c>
    </row>
    <row r="932" spans="1:10" hidden="1">
      <c r="A932" s="71" t="s">
        <v>1595</v>
      </c>
      <c r="B932" s="1642" t="s">
        <v>1388</v>
      </c>
      <c r="C932" s="71" t="s">
        <v>3387</v>
      </c>
      <c r="D932" s="72" t="s">
        <v>3370</v>
      </c>
      <c r="E932" s="2016" t="str">
        <f t="shared" ref="E932:E996" si="41">LEFT(A932,2)</f>
        <v>TU</v>
      </c>
      <c r="F932" s="54">
        <v>50</v>
      </c>
      <c r="G932" s="54" t="s">
        <v>512</v>
      </c>
      <c r="J932" s="54" t="str">
        <f t="shared" si="40"/>
        <v>TUDS</v>
      </c>
    </row>
    <row r="933" spans="1:10" hidden="1">
      <c r="A933" s="71" t="s">
        <v>1379</v>
      </c>
      <c r="B933" s="1642" t="s">
        <v>1025</v>
      </c>
      <c r="C933" s="71" t="s">
        <v>3388</v>
      </c>
      <c r="D933" s="72" t="s">
        <v>2555</v>
      </c>
      <c r="E933" s="2016" t="str">
        <f t="shared" si="41"/>
        <v>TU</v>
      </c>
      <c r="F933" s="54">
        <v>50</v>
      </c>
      <c r="G933" s="54" t="s">
        <v>512</v>
      </c>
      <c r="J933" s="54" t="str">
        <f t="shared" si="40"/>
        <v>TUACB</v>
      </c>
    </row>
    <row r="934" spans="1:10" hidden="1">
      <c r="A934" s="71" t="s">
        <v>887</v>
      </c>
      <c r="B934" s="1642" t="s">
        <v>1025</v>
      </c>
      <c r="C934" s="71" t="s">
        <v>3389</v>
      </c>
      <c r="D934" s="72" t="s">
        <v>2555</v>
      </c>
      <c r="E934" s="2016" t="str">
        <f t="shared" si="41"/>
        <v>TU</v>
      </c>
      <c r="F934" s="54">
        <v>50</v>
      </c>
      <c r="G934" s="54" t="s">
        <v>512</v>
      </c>
      <c r="J934" s="54" t="str">
        <f t="shared" si="40"/>
        <v>TUACB3200</v>
      </c>
    </row>
    <row r="935" spans="1:10" hidden="1">
      <c r="A935" s="71" t="s">
        <v>628</v>
      </c>
      <c r="B935" s="1642" t="s">
        <v>1025</v>
      </c>
      <c r="C935" s="71" t="s">
        <v>3390</v>
      </c>
      <c r="D935" s="72" t="s">
        <v>2555</v>
      </c>
      <c r="E935" s="2016" t="str">
        <f t="shared" si="41"/>
        <v>TU</v>
      </c>
      <c r="F935" s="54">
        <v>50</v>
      </c>
      <c r="G935" s="54" t="s">
        <v>512</v>
      </c>
      <c r="J935" s="54" t="str">
        <f t="shared" si="40"/>
        <v>TUACB4000</v>
      </c>
    </row>
    <row r="936" spans="1:10" hidden="1">
      <c r="A936" s="71" t="s">
        <v>615</v>
      </c>
      <c r="B936" s="1642" t="s">
        <v>1756</v>
      </c>
      <c r="C936" s="71" t="s">
        <v>3391</v>
      </c>
      <c r="D936" s="72" t="s">
        <v>2555</v>
      </c>
      <c r="E936" s="2016" t="str">
        <f t="shared" si="41"/>
        <v>TU</v>
      </c>
      <c r="F936" s="54">
        <v>50</v>
      </c>
      <c r="G936" s="54" t="s">
        <v>512</v>
      </c>
      <c r="J936" s="54" t="str">
        <f t="shared" si="40"/>
        <v>TUAP3-N</v>
      </c>
    </row>
    <row r="937" spans="1:10" hidden="1">
      <c r="A937" s="71" t="s">
        <v>1024</v>
      </c>
      <c r="B937" s="1642" t="s">
        <v>1755</v>
      </c>
      <c r="C937" s="71" t="s">
        <v>3392</v>
      </c>
      <c r="D937" s="72" t="s">
        <v>2555</v>
      </c>
      <c r="E937" s="2016" t="str">
        <f t="shared" si="41"/>
        <v>TU</v>
      </c>
      <c r="F937" s="54">
        <v>50</v>
      </c>
      <c r="G937" s="54" t="s">
        <v>512</v>
      </c>
      <c r="J937" s="54" t="str">
        <f t="shared" si="40"/>
        <v>TUAP1</v>
      </c>
    </row>
    <row r="938" spans="1:10" hidden="1">
      <c r="A938" s="71" t="s">
        <v>838</v>
      </c>
      <c r="B938" s="75" t="s">
        <v>1669</v>
      </c>
      <c r="C938" s="71" t="s">
        <v>3393</v>
      </c>
      <c r="D938" s="72" t="s">
        <v>2555</v>
      </c>
      <c r="E938" s="2016" t="str">
        <f t="shared" si="41"/>
        <v>TU</v>
      </c>
      <c r="F938" s="54">
        <v>50</v>
      </c>
      <c r="G938" s="54" t="s">
        <v>512</v>
      </c>
      <c r="J938" s="54" t="str">
        <f t="shared" si="40"/>
        <v>TUN</v>
      </c>
    </row>
    <row r="939" spans="1:10" hidden="1">
      <c r="A939" s="71" t="s">
        <v>1915</v>
      </c>
      <c r="B939" s="75" t="s">
        <v>1669</v>
      </c>
      <c r="C939" s="71" t="s">
        <v>3394</v>
      </c>
      <c r="D939" s="72" t="s">
        <v>2555</v>
      </c>
      <c r="E939" s="2016" t="str">
        <f t="shared" si="41"/>
        <v>TU</v>
      </c>
      <c r="F939" s="54">
        <v>50</v>
      </c>
      <c r="G939" s="54" t="s">
        <v>512</v>
      </c>
      <c r="J939" s="54" t="str">
        <f t="shared" si="40"/>
        <v>TUDKDT</v>
      </c>
    </row>
    <row r="940" spans="1:10" hidden="1">
      <c r="A940" s="71" t="s">
        <v>1026</v>
      </c>
      <c r="B940" s="75" t="s">
        <v>1025</v>
      </c>
      <c r="C940" s="71" t="s">
        <v>3395</v>
      </c>
      <c r="D940" s="72" t="s">
        <v>2555</v>
      </c>
      <c r="E940" s="2016" t="str">
        <f t="shared" si="41"/>
        <v>TU</v>
      </c>
      <c r="F940" s="54">
        <v>50</v>
      </c>
      <c r="G940" s="54" t="s">
        <v>512</v>
      </c>
      <c r="J940" s="54" t="str">
        <f t="shared" si="40"/>
        <v>TUAP3</v>
      </c>
    </row>
    <row r="941" spans="1:10" hidden="1">
      <c r="A941" s="71" t="s">
        <v>1504</v>
      </c>
      <c r="B941" s="75" t="s">
        <v>1756</v>
      </c>
      <c r="C941" s="71" t="s">
        <v>3396</v>
      </c>
      <c r="D941" s="72" t="s">
        <v>2555</v>
      </c>
      <c r="E941" s="2016" t="str">
        <f t="shared" si="41"/>
        <v>TU</v>
      </c>
      <c r="F941" s="54">
        <v>50</v>
      </c>
      <c r="G941" s="54" t="s">
        <v>512</v>
      </c>
      <c r="J941" s="54" t="str">
        <f t="shared" si="40"/>
        <v>TUAP3L</v>
      </c>
    </row>
    <row r="942" spans="1:10" hidden="1">
      <c r="A942" s="71" t="s">
        <v>1229</v>
      </c>
      <c r="B942" s="75" t="s">
        <v>1025</v>
      </c>
      <c r="C942" s="71" t="s">
        <v>3397</v>
      </c>
      <c r="D942" s="72" t="s">
        <v>2703</v>
      </c>
      <c r="E942" s="2016" t="str">
        <f t="shared" si="41"/>
        <v>KH</v>
      </c>
      <c r="F942" s="54">
        <v>50</v>
      </c>
      <c r="G942" s="54" t="s">
        <v>512</v>
      </c>
      <c r="J942" s="54" t="str">
        <f t="shared" si="40"/>
        <v>KHUNG TU</v>
      </c>
    </row>
    <row r="943" spans="1:10" hidden="1">
      <c r="A943" s="71" t="s">
        <v>917</v>
      </c>
      <c r="B943" s="75" t="s">
        <v>1669</v>
      </c>
      <c r="C943" s="71" t="s">
        <v>3398</v>
      </c>
      <c r="D943" s="72" t="s">
        <v>2555</v>
      </c>
      <c r="E943" s="2016" t="str">
        <f t="shared" si="41"/>
        <v>TU</v>
      </c>
      <c r="F943" s="54">
        <v>50</v>
      </c>
      <c r="G943" s="54" t="s">
        <v>512</v>
      </c>
      <c r="J943" s="54" t="str">
        <f t="shared" si="40"/>
        <v>TUPP</v>
      </c>
    </row>
    <row r="944" spans="1:10" hidden="1">
      <c r="A944" s="71" t="s">
        <v>2174</v>
      </c>
      <c r="B944" s="72"/>
      <c r="C944" s="71" t="s">
        <v>3399</v>
      </c>
      <c r="D944" s="72" t="s">
        <v>2555</v>
      </c>
      <c r="E944" s="2016" t="str">
        <f t="shared" si="41"/>
        <v>AT</v>
      </c>
      <c r="F944" s="54">
        <v>50</v>
      </c>
      <c r="G944" s="54" t="s">
        <v>512</v>
      </c>
      <c r="J944" s="54" t="str">
        <f t="shared" si="40"/>
        <v>ATM30A</v>
      </c>
    </row>
    <row r="945" spans="1:10" hidden="1">
      <c r="A945" s="71" t="s">
        <v>889</v>
      </c>
      <c r="B945" s="72"/>
      <c r="C945" s="71" t="s">
        <v>3400</v>
      </c>
      <c r="D945" s="72" t="s">
        <v>2555</v>
      </c>
      <c r="E945" s="2016" t="str">
        <f t="shared" si="41"/>
        <v>AT</v>
      </c>
      <c r="F945" s="54">
        <v>50</v>
      </c>
      <c r="G945" s="54" t="s">
        <v>512</v>
      </c>
      <c r="J945" s="54" t="str">
        <f t="shared" si="40"/>
        <v>ATM40A</v>
      </c>
    </row>
    <row r="946" spans="1:10" hidden="1">
      <c r="A946" s="71" t="s">
        <v>1418</v>
      </c>
      <c r="B946" s="72"/>
      <c r="C946" s="71" t="s">
        <v>3401</v>
      </c>
      <c r="D946" s="72" t="s">
        <v>2555</v>
      </c>
      <c r="E946" s="2016" t="str">
        <f t="shared" si="41"/>
        <v>AT</v>
      </c>
      <c r="F946" s="54">
        <v>50</v>
      </c>
      <c r="G946" s="54" t="s">
        <v>512</v>
      </c>
      <c r="J946" s="54" t="str">
        <f t="shared" si="40"/>
        <v>ATM100A</v>
      </c>
    </row>
    <row r="947" spans="1:10" hidden="1">
      <c r="A947" s="71" t="s">
        <v>80</v>
      </c>
      <c r="B947" s="1662" t="s">
        <v>1513</v>
      </c>
      <c r="C947" s="71" t="s">
        <v>4881</v>
      </c>
      <c r="D947" s="72" t="s">
        <v>2555</v>
      </c>
      <c r="E947" s="2016" t="str">
        <f t="shared" si="41"/>
        <v>AT</v>
      </c>
      <c r="F947" s="54">
        <v>5</v>
      </c>
      <c r="G947" s="54" t="s">
        <v>512</v>
      </c>
      <c r="J947" s="54" t="str">
        <f t="shared" si="40"/>
        <v>ATM50</v>
      </c>
    </row>
    <row r="948" spans="1:10" hidden="1">
      <c r="A948" s="71" t="s">
        <v>1724</v>
      </c>
      <c r="B948" s="1662" t="s">
        <v>1513</v>
      </c>
      <c r="C948" s="71" t="s">
        <v>3402</v>
      </c>
      <c r="D948" s="72" t="s">
        <v>2555</v>
      </c>
      <c r="E948" s="2016" t="str">
        <f t="shared" si="41"/>
        <v>AT</v>
      </c>
      <c r="F948" s="54">
        <v>5</v>
      </c>
      <c r="G948" s="54" t="s">
        <v>512</v>
      </c>
      <c r="J948" s="54" t="str">
        <f t="shared" si="40"/>
        <v>ATM80</v>
      </c>
    </row>
    <row r="949" spans="1:10" hidden="1">
      <c r="A949" s="71" t="s">
        <v>81</v>
      </c>
      <c r="B949" s="1662" t="s">
        <v>1513</v>
      </c>
      <c r="C949" s="71" t="s">
        <v>3403</v>
      </c>
      <c r="D949" s="72" t="s">
        <v>2555</v>
      </c>
      <c r="E949" s="2016" t="str">
        <f t="shared" si="41"/>
        <v>AT</v>
      </c>
      <c r="F949" s="54">
        <v>5</v>
      </c>
      <c r="G949" s="54" t="s">
        <v>512</v>
      </c>
      <c r="J949" s="54" t="str">
        <f t="shared" si="40"/>
        <v>ATM75</v>
      </c>
    </row>
    <row r="950" spans="1:10" hidden="1">
      <c r="A950" s="71" t="s">
        <v>793</v>
      </c>
      <c r="B950" s="1662" t="s">
        <v>1513</v>
      </c>
      <c r="C950" s="71" t="s">
        <v>3404</v>
      </c>
      <c r="D950" s="72" t="s">
        <v>2555</v>
      </c>
      <c r="E950" s="2016" t="str">
        <f t="shared" si="41"/>
        <v>AT</v>
      </c>
      <c r="F950" s="54">
        <v>5</v>
      </c>
      <c r="G950" s="54" t="s">
        <v>512</v>
      </c>
      <c r="J950" s="54" t="str">
        <f t="shared" si="40"/>
        <v>ATM100</v>
      </c>
    </row>
    <row r="951" spans="1:10" hidden="1">
      <c r="A951" s="71" t="s">
        <v>1419</v>
      </c>
      <c r="B951" s="1662" t="s">
        <v>1513</v>
      </c>
      <c r="C951" s="71" t="s">
        <v>4541</v>
      </c>
      <c r="D951" s="72" t="s">
        <v>2555</v>
      </c>
      <c r="E951" s="2016" t="str">
        <f t="shared" si="41"/>
        <v>AT</v>
      </c>
      <c r="F951" s="54">
        <v>5</v>
      </c>
      <c r="G951" s="54" t="s">
        <v>512</v>
      </c>
      <c r="J951" s="54" t="str">
        <f t="shared" si="40"/>
        <v>ATM125</v>
      </c>
    </row>
    <row r="952" spans="1:10" hidden="1">
      <c r="A952" s="71" t="s">
        <v>1848</v>
      </c>
      <c r="B952" s="1662" t="s">
        <v>1513</v>
      </c>
      <c r="C952" s="71" t="s">
        <v>3405</v>
      </c>
      <c r="D952" s="72" t="s">
        <v>2555</v>
      </c>
      <c r="E952" s="2016" t="str">
        <f t="shared" si="41"/>
        <v>AT</v>
      </c>
      <c r="F952" s="54">
        <v>5</v>
      </c>
      <c r="G952" s="54" t="s">
        <v>512</v>
      </c>
      <c r="J952" s="54" t="str">
        <f t="shared" si="40"/>
        <v>ATM150</v>
      </c>
    </row>
    <row r="953" spans="1:10" hidden="1">
      <c r="A953" s="71" t="s">
        <v>1427</v>
      </c>
      <c r="B953" s="1662" t="s">
        <v>1513</v>
      </c>
      <c r="C953" s="71" t="s">
        <v>3406</v>
      </c>
      <c r="D953" s="72" t="s">
        <v>2555</v>
      </c>
      <c r="E953" s="2016" t="str">
        <f t="shared" si="41"/>
        <v>AT</v>
      </c>
      <c r="F953" s="54">
        <v>5</v>
      </c>
      <c r="G953" s="54" t="s">
        <v>512</v>
      </c>
      <c r="J953" s="54" t="str">
        <f t="shared" si="40"/>
        <v>ATM200</v>
      </c>
    </row>
    <row r="954" spans="1:10" hidden="1">
      <c r="A954" s="71" t="s">
        <v>1560</v>
      </c>
      <c r="B954" s="1662" t="s">
        <v>1513</v>
      </c>
      <c r="C954" s="71" t="s">
        <v>4456</v>
      </c>
      <c r="D954" s="72" t="s">
        <v>2555</v>
      </c>
      <c r="E954" s="2016" t="str">
        <f t="shared" si="41"/>
        <v>AT</v>
      </c>
      <c r="F954" s="54">
        <v>5</v>
      </c>
      <c r="G954" s="54" t="s">
        <v>512</v>
      </c>
      <c r="J954" s="54" t="str">
        <f t="shared" si="40"/>
        <v>ATM250</v>
      </c>
    </row>
    <row r="955" spans="1:10" hidden="1">
      <c r="A955" s="71" t="s">
        <v>986</v>
      </c>
      <c r="B955" s="1662" t="s">
        <v>1883</v>
      </c>
      <c r="C955" s="71" t="s">
        <v>4508</v>
      </c>
      <c r="D955" s="72" t="s">
        <v>2555</v>
      </c>
      <c r="E955" s="2016" t="str">
        <f t="shared" si="41"/>
        <v>AT</v>
      </c>
      <c r="F955" s="54">
        <v>5</v>
      </c>
      <c r="G955" s="54" t="s">
        <v>512</v>
      </c>
      <c r="J955" s="54" t="str">
        <f t="shared" si="40"/>
        <v>ATM400</v>
      </c>
    </row>
    <row r="956" spans="1:10" hidden="1">
      <c r="A956" s="71" t="s">
        <v>305</v>
      </c>
      <c r="B956" s="1662" t="s">
        <v>543</v>
      </c>
      <c r="C956" s="71" t="s">
        <v>4756</v>
      </c>
      <c r="D956" s="72" t="s">
        <v>2555</v>
      </c>
      <c r="E956" s="2016" t="str">
        <f t="shared" si="41"/>
        <v>AT</v>
      </c>
      <c r="F956" s="54">
        <v>5</v>
      </c>
      <c r="G956" s="54" t="s">
        <v>512</v>
      </c>
      <c r="J956" s="54" t="str">
        <f t="shared" si="40"/>
        <v>ATM500</v>
      </c>
    </row>
    <row r="957" spans="1:10" hidden="1">
      <c r="A957" s="71" t="s">
        <v>542</v>
      </c>
      <c r="B957" s="1662" t="s">
        <v>543</v>
      </c>
      <c r="C957" s="71" t="s">
        <v>3407</v>
      </c>
      <c r="D957" s="72" t="s">
        <v>2555</v>
      </c>
      <c r="E957" s="2016" t="str">
        <f t="shared" si="41"/>
        <v>AT</v>
      </c>
      <c r="F957" s="54">
        <v>5</v>
      </c>
      <c r="G957" s="54" t="s">
        <v>512</v>
      </c>
      <c r="J957" s="54" t="str">
        <f t="shared" si="40"/>
        <v>ATM600</v>
      </c>
    </row>
    <row r="958" spans="1:10" hidden="1">
      <c r="A958" s="71" t="s">
        <v>960</v>
      </c>
      <c r="B958" s="1662" t="s">
        <v>543</v>
      </c>
      <c r="C958" s="71" t="s">
        <v>3408</v>
      </c>
      <c r="D958" s="72" t="s">
        <v>2555</v>
      </c>
      <c r="E958" s="2016" t="str">
        <f t="shared" si="41"/>
        <v>AT</v>
      </c>
      <c r="F958" s="54">
        <v>5</v>
      </c>
      <c r="G958" s="54" t="s">
        <v>512</v>
      </c>
      <c r="J958" s="54" t="str">
        <f t="shared" si="40"/>
        <v>ATM630</v>
      </c>
    </row>
    <row r="959" spans="1:10" hidden="1">
      <c r="A959" s="71" t="s">
        <v>655</v>
      </c>
      <c r="B959" s="1662" t="s">
        <v>543</v>
      </c>
      <c r="C959" s="71" t="s">
        <v>3409</v>
      </c>
      <c r="D959" s="72" t="s">
        <v>2555</v>
      </c>
      <c r="E959" s="2016" t="str">
        <f t="shared" si="41"/>
        <v>AT</v>
      </c>
      <c r="F959" s="54">
        <v>5</v>
      </c>
      <c r="G959" s="54" t="s">
        <v>512</v>
      </c>
      <c r="J959" s="54" t="str">
        <f t="shared" si="40"/>
        <v>ATM800</v>
      </c>
    </row>
    <row r="960" spans="1:10" hidden="1">
      <c r="A960" s="71" t="s">
        <v>656</v>
      </c>
      <c r="B960" s="1662" t="s">
        <v>825</v>
      </c>
      <c r="C960" s="71" t="s">
        <v>3410</v>
      </c>
      <c r="D960" s="72" t="s">
        <v>2555</v>
      </c>
      <c r="E960" s="2016" t="str">
        <f t="shared" si="41"/>
        <v>AT</v>
      </c>
      <c r="F960" s="54">
        <v>5</v>
      </c>
      <c r="G960" s="54" t="s">
        <v>512</v>
      </c>
      <c r="J960" s="54" t="str">
        <f t="shared" si="40"/>
        <v>ATM1000</v>
      </c>
    </row>
    <row r="961" spans="1:10" hidden="1">
      <c r="A961" s="71" t="s">
        <v>1376</v>
      </c>
      <c r="B961" s="1662" t="s">
        <v>825</v>
      </c>
      <c r="C961" s="71" t="s">
        <v>3411</v>
      </c>
      <c r="D961" s="72" t="s">
        <v>2555</v>
      </c>
      <c r="E961" s="2016" t="str">
        <f t="shared" si="41"/>
        <v>AT</v>
      </c>
      <c r="F961" s="54">
        <v>5</v>
      </c>
      <c r="G961" s="54" t="s">
        <v>512</v>
      </c>
      <c r="J961" s="54" t="str">
        <f t="shared" si="40"/>
        <v>ATM1250</v>
      </c>
    </row>
    <row r="962" spans="1:10" hidden="1">
      <c r="A962" s="71" t="s">
        <v>1377</v>
      </c>
      <c r="B962" s="1662" t="s">
        <v>825</v>
      </c>
      <c r="C962" s="71" t="s">
        <v>3412</v>
      </c>
      <c r="D962" s="72" t="s">
        <v>2555</v>
      </c>
      <c r="E962" s="2016" t="str">
        <f t="shared" si="41"/>
        <v>AT</v>
      </c>
      <c r="F962" s="54">
        <v>5</v>
      </c>
      <c r="G962" s="54" t="s">
        <v>512</v>
      </c>
      <c r="J962" s="54" t="str">
        <f t="shared" si="40"/>
        <v>ATM1600</v>
      </c>
    </row>
    <row r="963" spans="1:10" hidden="1">
      <c r="A963" s="71" t="s">
        <v>641</v>
      </c>
      <c r="B963" s="1662" t="s">
        <v>825</v>
      </c>
      <c r="C963" s="71" t="s">
        <v>3413</v>
      </c>
      <c r="D963" s="72" t="s">
        <v>2555</v>
      </c>
      <c r="E963" s="2016" t="str">
        <f t="shared" si="41"/>
        <v>AC</v>
      </c>
      <c r="F963" s="54">
        <v>50</v>
      </c>
      <c r="G963" s="54" t="s">
        <v>512</v>
      </c>
      <c r="J963" s="54" t="str">
        <f t="shared" si="40"/>
        <v>ACB1600</v>
      </c>
    </row>
    <row r="964" spans="1:10" hidden="1">
      <c r="A964" s="71" t="s">
        <v>440</v>
      </c>
      <c r="B964" s="1662" t="s">
        <v>825</v>
      </c>
      <c r="C964" s="71" t="s">
        <v>3414</v>
      </c>
      <c r="D964" s="72" t="s">
        <v>2555</v>
      </c>
      <c r="E964" s="2016" t="str">
        <f t="shared" si="41"/>
        <v>AC</v>
      </c>
      <c r="F964" s="54">
        <v>2</v>
      </c>
      <c r="G964" s="54" t="s">
        <v>512</v>
      </c>
      <c r="J964" s="54" t="str">
        <f t="shared" si="40"/>
        <v>ACB2000</v>
      </c>
    </row>
    <row r="965" spans="1:10" hidden="1">
      <c r="A965" s="71" t="s">
        <v>1135</v>
      </c>
      <c r="B965" s="1662" t="s">
        <v>825</v>
      </c>
      <c r="C965" s="71" t="s">
        <v>3415</v>
      </c>
      <c r="D965" s="72" t="s">
        <v>2555</v>
      </c>
      <c r="E965" s="2016" t="str">
        <f t="shared" si="41"/>
        <v>AC</v>
      </c>
      <c r="F965" s="54">
        <v>50</v>
      </c>
      <c r="G965" s="54" t="s">
        <v>512</v>
      </c>
      <c r="J965" s="54" t="str">
        <f t="shared" si="40"/>
        <v>ACB2500</v>
      </c>
    </row>
    <row r="966" spans="1:10" hidden="1">
      <c r="A966" s="71" t="s">
        <v>2185</v>
      </c>
      <c r="B966" s="1662" t="s">
        <v>825</v>
      </c>
      <c r="C966" s="71" t="s">
        <v>3416</v>
      </c>
      <c r="D966" s="72" t="s">
        <v>2555</v>
      </c>
      <c r="E966" s="2016" t="str">
        <f t="shared" si="41"/>
        <v>AC</v>
      </c>
      <c r="F966" s="54">
        <v>50</v>
      </c>
      <c r="G966" s="54" t="s">
        <v>512</v>
      </c>
      <c r="J966" s="54" t="str">
        <f t="shared" si="40"/>
        <v>ACB3200</v>
      </c>
    </row>
    <row r="967" spans="1:10" hidden="1">
      <c r="A967" s="71" t="s">
        <v>824</v>
      </c>
      <c r="B967" s="1662" t="s">
        <v>825</v>
      </c>
      <c r="C967" s="71" t="s">
        <v>3417</v>
      </c>
      <c r="D967" s="72" t="s">
        <v>2555</v>
      </c>
      <c r="E967" s="2016" t="str">
        <f t="shared" si="41"/>
        <v>AC</v>
      </c>
      <c r="F967" s="54">
        <v>50</v>
      </c>
      <c r="G967" s="54" t="s">
        <v>512</v>
      </c>
      <c r="J967" s="54" t="str">
        <f t="shared" si="40"/>
        <v>ACB4000</v>
      </c>
    </row>
    <row r="968" spans="1:10" hidden="1">
      <c r="A968" s="71" t="s">
        <v>1454</v>
      </c>
      <c r="B968" s="1662" t="s">
        <v>825</v>
      </c>
      <c r="C968" s="71" t="s">
        <v>3418</v>
      </c>
      <c r="D968" s="72" t="s">
        <v>2555</v>
      </c>
      <c r="E968" s="2016" t="str">
        <f t="shared" si="41"/>
        <v>AC</v>
      </c>
      <c r="F968" s="54">
        <v>50</v>
      </c>
      <c r="G968" s="54" t="s">
        <v>512</v>
      </c>
      <c r="J968" s="54" t="str">
        <f t="shared" si="40"/>
        <v>ACB4000-130</v>
      </c>
    </row>
    <row r="969" spans="1:10" hidden="1">
      <c r="A969" s="71" t="s">
        <v>1834</v>
      </c>
      <c r="B969" s="1662" t="s">
        <v>825</v>
      </c>
      <c r="C969" s="71" t="s">
        <v>3419</v>
      </c>
      <c r="D969" s="72" t="s">
        <v>2555</v>
      </c>
      <c r="E969" s="2016" t="str">
        <f t="shared" si="41"/>
        <v>AC</v>
      </c>
      <c r="F969" s="54">
        <v>50</v>
      </c>
      <c r="G969" s="54" t="s">
        <v>512</v>
      </c>
      <c r="J969" s="54" t="str">
        <f t="shared" si="40"/>
        <v>ACB6300</v>
      </c>
    </row>
    <row r="970" spans="1:10" hidden="1">
      <c r="A970" s="71" t="s">
        <v>1561</v>
      </c>
      <c r="B970" s="1662"/>
      <c r="C970" s="71" t="s">
        <v>3420</v>
      </c>
      <c r="D970" s="72" t="s">
        <v>2555</v>
      </c>
      <c r="E970" s="2016" t="str">
        <f t="shared" si="41"/>
        <v>AP</v>
      </c>
      <c r="F970" s="54">
        <v>50</v>
      </c>
      <c r="G970" s="54" t="s">
        <v>512</v>
      </c>
      <c r="J970" s="54" t="str">
        <f t="shared" si="40"/>
        <v>AP250</v>
      </c>
    </row>
    <row r="971" spans="1:10" hidden="1">
      <c r="A971" s="71" t="s">
        <v>1665</v>
      </c>
      <c r="B971" s="1662"/>
      <c r="C971" s="71" t="s">
        <v>3421</v>
      </c>
      <c r="D971" s="72" t="s">
        <v>2555</v>
      </c>
      <c r="E971" s="2016" t="str">
        <f t="shared" si="41"/>
        <v>AP</v>
      </c>
      <c r="F971" s="54">
        <v>50</v>
      </c>
      <c r="G971" s="54" t="s">
        <v>512</v>
      </c>
      <c r="J971" s="54" t="str">
        <f t="shared" si="40"/>
        <v>AP150</v>
      </c>
    </row>
    <row r="972" spans="1:10" hidden="1">
      <c r="A972" s="71" t="s">
        <v>888</v>
      </c>
      <c r="B972" s="75"/>
      <c r="C972" s="71" t="s">
        <v>3422</v>
      </c>
      <c r="D972" s="72" t="s">
        <v>2600</v>
      </c>
      <c r="E972" s="2016" t="str">
        <f t="shared" si="41"/>
        <v>CH</v>
      </c>
      <c r="F972" s="54">
        <v>50</v>
      </c>
      <c r="G972" s="54" t="s">
        <v>512</v>
      </c>
      <c r="J972" s="54" t="str">
        <f t="shared" si="40"/>
        <v>CHI3K</v>
      </c>
    </row>
    <row r="973" spans="1:10" hidden="1">
      <c r="A973" s="71" t="s">
        <v>26</v>
      </c>
      <c r="B973" s="75"/>
      <c r="C973" s="71" t="s">
        <v>3423</v>
      </c>
      <c r="D973" s="72" t="s">
        <v>2600</v>
      </c>
      <c r="E973" s="2016" t="str">
        <f t="shared" si="41"/>
        <v>CH</v>
      </c>
      <c r="F973" s="54">
        <v>50</v>
      </c>
      <c r="G973" s="54" t="s">
        <v>512</v>
      </c>
      <c r="J973" s="54" t="str">
        <f t="shared" ref="J973:J1036" si="42">A973</f>
        <v>CHI6K</v>
      </c>
    </row>
    <row r="974" spans="1:10" hidden="1">
      <c r="A974" s="71" t="s">
        <v>1027</v>
      </c>
      <c r="B974" s="75"/>
      <c r="C974" s="71" t="s">
        <v>3424</v>
      </c>
      <c r="D974" s="72" t="s">
        <v>2600</v>
      </c>
      <c r="E974" s="2016" t="str">
        <f t="shared" si="41"/>
        <v>CH</v>
      </c>
      <c r="F974" s="54">
        <v>50</v>
      </c>
      <c r="G974" s="54" t="s">
        <v>512</v>
      </c>
      <c r="J974" s="54" t="str">
        <f t="shared" si="42"/>
        <v>CHI8K</v>
      </c>
    </row>
    <row r="975" spans="1:10" hidden="1">
      <c r="A975" s="71" t="s">
        <v>1146</v>
      </c>
      <c r="B975" s="75"/>
      <c r="C975" s="71" t="s">
        <v>3425</v>
      </c>
      <c r="D975" s="72" t="s">
        <v>2600</v>
      </c>
      <c r="E975" s="2016" t="str">
        <f t="shared" si="41"/>
        <v>CH</v>
      </c>
      <c r="F975" s="54">
        <v>50</v>
      </c>
      <c r="G975" s="54" t="s">
        <v>512</v>
      </c>
      <c r="J975" s="54" t="str">
        <f t="shared" si="42"/>
        <v>CHI10K</v>
      </c>
    </row>
    <row r="976" spans="1:10" hidden="1">
      <c r="A976" s="71" t="s">
        <v>2065</v>
      </c>
      <c r="B976" s="75"/>
      <c r="C976" s="71" t="s">
        <v>3426</v>
      </c>
      <c r="D976" s="72" t="s">
        <v>2600</v>
      </c>
      <c r="E976" s="2016" t="str">
        <f t="shared" si="41"/>
        <v>CH</v>
      </c>
      <c r="F976" s="54">
        <v>50</v>
      </c>
      <c r="G976" s="54" t="s">
        <v>512</v>
      </c>
      <c r="J976" s="54" t="str">
        <f t="shared" si="42"/>
        <v>CHI12K</v>
      </c>
    </row>
    <row r="977" spans="1:10" hidden="1">
      <c r="A977" s="71" t="s">
        <v>2066</v>
      </c>
      <c r="B977" s="75"/>
      <c r="C977" s="71" t="s">
        <v>3427</v>
      </c>
      <c r="D977" s="72" t="s">
        <v>2600</v>
      </c>
      <c r="E977" s="2016" t="str">
        <f t="shared" si="41"/>
        <v>CH</v>
      </c>
      <c r="F977" s="54">
        <v>50</v>
      </c>
      <c r="G977" s="54" t="s">
        <v>512</v>
      </c>
      <c r="J977" s="54" t="str">
        <f t="shared" si="42"/>
        <v>CHI15K</v>
      </c>
    </row>
    <row r="978" spans="1:10" hidden="1">
      <c r="A978" s="71" t="s">
        <v>1161</v>
      </c>
      <c r="B978" s="75"/>
      <c r="C978" s="71" t="s">
        <v>3428</v>
      </c>
      <c r="D978" s="72" t="s">
        <v>2600</v>
      </c>
      <c r="E978" s="2016" t="str">
        <f t="shared" si="41"/>
        <v>CH</v>
      </c>
      <c r="F978" s="54">
        <v>50</v>
      </c>
      <c r="G978" s="54" t="s">
        <v>512</v>
      </c>
      <c r="J978" s="54" t="str">
        <f t="shared" si="42"/>
        <v>CHI20K</v>
      </c>
    </row>
    <row r="979" spans="1:10" hidden="1">
      <c r="A979" s="71" t="s">
        <v>2064</v>
      </c>
      <c r="B979" s="75"/>
      <c r="C979" s="71" t="s">
        <v>3429</v>
      </c>
      <c r="D979" s="72" t="s">
        <v>2600</v>
      </c>
      <c r="E979" s="2016" t="str">
        <f t="shared" si="41"/>
        <v>CH</v>
      </c>
      <c r="F979" s="54">
        <v>50</v>
      </c>
      <c r="G979" s="54" t="s">
        <v>512</v>
      </c>
      <c r="J979" s="54" t="str">
        <f t="shared" si="42"/>
        <v>CHI25K</v>
      </c>
    </row>
    <row r="980" spans="1:10" hidden="1">
      <c r="A980" s="71" t="s">
        <v>2067</v>
      </c>
      <c r="B980" s="75"/>
      <c r="C980" s="71" t="s">
        <v>3430</v>
      </c>
      <c r="D980" s="72" t="s">
        <v>2600</v>
      </c>
      <c r="E980" s="2016" t="str">
        <f t="shared" si="41"/>
        <v>CH</v>
      </c>
      <c r="F980" s="54">
        <v>50</v>
      </c>
      <c r="G980" s="54" t="s">
        <v>512</v>
      </c>
      <c r="J980" s="54" t="str">
        <f t="shared" si="42"/>
        <v>CHI30K</v>
      </c>
    </row>
    <row r="981" spans="1:10" hidden="1">
      <c r="A981" s="71" t="s">
        <v>2068</v>
      </c>
      <c r="B981" s="75"/>
      <c r="C981" s="71" t="s">
        <v>3431</v>
      </c>
      <c r="D981" s="72" t="s">
        <v>2600</v>
      </c>
      <c r="E981" s="2016" t="str">
        <f t="shared" si="41"/>
        <v>CH</v>
      </c>
      <c r="F981" s="54">
        <v>50</v>
      </c>
      <c r="G981" s="54" t="s">
        <v>512</v>
      </c>
      <c r="J981" s="54" t="str">
        <f t="shared" si="42"/>
        <v>CHI40K</v>
      </c>
    </row>
    <row r="982" spans="1:10" hidden="1">
      <c r="A982" s="71" t="s">
        <v>541</v>
      </c>
      <c r="B982" s="75"/>
      <c r="C982" s="71" t="s">
        <v>3432</v>
      </c>
      <c r="D982" s="72" t="s">
        <v>2600</v>
      </c>
      <c r="E982" s="2016" t="str">
        <f t="shared" si="41"/>
        <v>CH</v>
      </c>
      <c r="F982" s="54">
        <v>50</v>
      </c>
      <c r="G982" s="54" t="s">
        <v>512</v>
      </c>
      <c r="J982" s="54" t="str">
        <f t="shared" si="42"/>
        <v>CHI50K</v>
      </c>
    </row>
    <row r="983" spans="1:10" hidden="1">
      <c r="A983" s="71" t="s">
        <v>693</v>
      </c>
      <c r="B983" s="75"/>
      <c r="C983" s="71" t="s">
        <v>3433</v>
      </c>
      <c r="D983" s="72" t="s">
        <v>2600</v>
      </c>
      <c r="E983" s="2016" t="str">
        <f t="shared" si="41"/>
        <v>CH</v>
      </c>
      <c r="F983" s="54">
        <v>50</v>
      </c>
      <c r="G983" s="54" t="s">
        <v>512</v>
      </c>
      <c r="J983" s="54" t="str">
        <f t="shared" si="42"/>
        <v>CHI65K</v>
      </c>
    </row>
    <row r="984" spans="1:10" hidden="1">
      <c r="A984" s="71" t="s">
        <v>555</v>
      </c>
      <c r="B984" s="75"/>
      <c r="C984" s="71" t="s">
        <v>3434</v>
      </c>
      <c r="D984" s="72" t="s">
        <v>2600</v>
      </c>
      <c r="E984" s="2016" t="str">
        <f t="shared" si="41"/>
        <v>CH</v>
      </c>
      <c r="F984" s="54">
        <v>50</v>
      </c>
      <c r="G984" s="54" t="s">
        <v>512</v>
      </c>
      <c r="J984" s="54" t="str">
        <f t="shared" si="42"/>
        <v>CHI80K</v>
      </c>
    </row>
    <row r="985" spans="1:10" hidden="1">
      <c r="A985" s="71" t="s">
        <v>561</v>
      </c>
      <c r="B985" s="75"/>
      <c r="C985" s="71" t="s">
        <v>3435</v>
      </c>
      <c r="D985" s="72" t="s">
        <v>2600</v>
      </c>
      <c r="E985" s="2016" t="str">
        <f t="shared" si="41"/>
        <v>CH</v>
      </c>
      <c r="F985" s="54">
        <v>50</v>
      </c>
      <c r="G985" s="54" t="s">
        <v>512</v>
      </c>
      <c r="J985" s="54" t="str">
        <f t="shared" si="42"/>
        <v>CHI100K</v>
      </c>
    </row>
    <row r="986" spans="1:10" hidden="1">
      <c r="A986" s="71" t="s">
        <v>562</v>
      </c>
      <c r="B986" s="75"/>
      <c r="C986" s="71" t="s">
        <v>3436</v>
      </c>
      <c r="D986" s="72" t="s">
        <v>2600</v>
      </c>
      <c r="E986" s="2016" t="str">
        <f t="shared" si="41"/>
        <v>CH</v>
      </c>
      <c r="F986" s="54">
        <v>50</v>
      </c>
      <c r="G986" s="54" t="s">
        <v>512</v>
      </c>
      <c r="J986" s="54" t="str">
        <f t="shared" si="42"/>
        <v>CHI140K</v>
      </c>
    </row>
    <row r="987" spans="1:10" hidden="1">
      <c r="A987" s="71" t="s">
        <v>1584</v>
      </c>
      <c r="B987" s="1662"/>
      <c r="C987" s="71" t="s">
        <v>3437</v>
      </c>
      <c r="D987" s="72" t="s">
        <v>2555</v>
      </c>
      <c r="E987" s="2016" t="str">
        <f t="shared" si="41"/>
        <v>DK</v>
      </c>
      <c r="F987" s="54">
        <v>2000</v>
      </c>
      <c r="G987" s="54" t="s">
        <v>512</v>
      </c>
      <c r="J987" s="54" t="str">
        <f t="shared" si="42"/>
        <v>DK1p100A</v>
      </c>
    </row>
    <row r="988" spans="1:10" hidden="1">
      <c r="A988" s="71" t="s">
        <v>2193</v>
      </c>
      <c r="B988" s="1662"/>
      <c r="C988" s="71" t="s">
        <v>3438</v>
      </c>
      <c r="D988" s="72" t="s">
        <v>2555</v>
      </c>
      <c r="E988" s="2016" t="str">
        <f t="shared" si="41"/>
        <v>DK</v>
      </c>
      <c r="F988" s="54">
        <v>2000</v>
      </c>
      <c r="G988" s="54" t="s">
        <v>512</v>
      </c>
      <c r="J988" s="54" t="str">
        <f t="shared" si="42"/>
        <v>DK1p80A</v>
      </c>
    </row>
    <row r="989" spans="1:10" hidden="1">
      <c r="A989" s="71" t="s">
        <v>287</v>
      </c>
      <c r="B989" s="1662"/>
      <c r="C989" s="71" t="s">
        <v>3439</v>
      </c>
      <c r="D989" s="72" t="s">
        <v>2555</v>
      </c>
      <c r="E989" s="2016" t="str">
        <f t="shared" si="41"/>
        <v>DK</v>
      </c>
      <c r="F989" s="54">
        <v>2000</v>
      </c>
      <c r="G989" s="54" t="s">
        <v>512</v>
      </c>
      <c r="J989" s="54" t="str">
        <f t="shared" si="42"/>
        <v>DK1p5A</v>
      </c>
    </row>
    <row r="990" spans="1:10" hidden="1">
      <c r="A990" s="71" t="s">
        <v>1391</v>
      </c>
      <c r="B990" s="1662"/>
      <c r="C990" s="71" t="s">
        <v>3440</v>
      </c>
      <c r="D990" s="72" t="s">
        <v>2555</v>
      </c>
      <c r="E990" s="2016" t="str">
        <f t="shared" si="41"/>
        <v>DK</v>
      </c>
      <c r="F990" s="54">
        <v>2000</v>
      </c>
      <c r="G990" s="54" t="s">
        <v>512</v>
      </c>
      <c r="J990" s="54" t="str">
        <f t="shared" si="42"/>
        <v>DK3p50(100)A</v>
      </c>
    </row>
    <row r="991" spans="1:10" hidden="1">
      <c r="A991" s="71" t="s">
        <v>288</v>
      </c>
      <c r="B991" s="1662" t="s">
        <v>58</v>
      </c>
      <c r="C991" s="71" t="s">
        <v>3441</v>
      </c>
      <c r="D991" s="72" t="s">
        <v>2555</v>
      </c>
      <c r="E991" s="2016" t="str">
        <f t="shared" si="41"/>
        <v>DK</v>
      </c>
      <c r="F991" s="54">
        <v>2000</v>
      </c>
      <c r="G991" s="54" t="s">
        <v>512</v>
      </c>
      <c r="J991" s="54" t="str">
        <f t="shared" si="42"/>
        <v>DK3p5A</v>
      </c>
    </row>
    <row r="992" spans="1:10" hidden="1">
      <c r="A992" s="71" t="s">
        <v>4510</v>
      </c>
      <c r="B992" s="1662" t="s">
        <v>58</v>
      </c>
      <c r="C992" s="71" t="s">
        <v>4511</v>
      </c>
      <c r="D992" s="72" t="s">
        <v>2555</v>
      </c>
      <c r="E992" s="2016" t="str">
        <f>LEFT(A992,2)</f>
        <v>DK</v>
      </c>
      <c r="F992" s="54">
        <v>2000</v>
      </c>
      <c r="G992" s="54" t="s">
        <v>512</v>
      </c>
      <c r="J992" s="54" t="str">
        <f t="shared" si="42"/>
        <v>DK380-5A</v>
      </c>
    </row>
    <row r="993" spans="1:10" hidden="1">
      <c r="A993" s="71" t="s">
        <v>1837</v>
      </c>
      <c r="B993" s="1662"/>
      <c r="C993" s="71" t="s">
        <v>3442</v>
      </c>
      <c r="D993" s="72" t="s">
        <v>2555</v>
      </c>
      <c r="E993" s="2016" t="str">
        <f t="shared" si="41"/>
        <v>DK</v>
      </c>
      <c r="F993" s="54">
        <v>2000</v>
      </c>
      <c r="G993" s="54" t="s">
        <v>512</v>
      </c>
      <c r="J993" s="54" t="str">
        <f t="shared" si="42"/>
        <v>DK3DT</v>
      </c>
    </row>
    <row r="994" spans="1:10" hidden="1">
      <c r="A994" s="71" t="s">
        <v>943</v>
      </c>
      <c r="B994" s="1662" t="s">
        <v>58</v>
      </c>
      <c r="C994" s="71" t="s">
        <v>3443</v>
      </c>
      <c r="D994" s="72" t="s">
        <v>2555</v>
      </c>
      <c r="E994" s="2016" t="str">
        <f t="shared" si="41"/>
        <v>DK</v>
      </c>
      <c r="F994" s="54">
        <v>2000</v>
      </c>
      <c r="G994" s="54" t="s">
        <v>512</v>
      </c>
      <c r="J994" s="54" t="str">
        <f t="shared" si="42"/>
        <v>DK3P</v>
      </c>
    </row>
    <row r="995" spans="1:10" hidden="1">
      <c r="A995" s="71" t="s">
        <v>289</v>
      </c>
      <c r="B995" s="1662" t="s">
        <v>1758</v>
      </c>
      <c r="C995" s="71" t="s">
        <v>4558</v>
      </c>
      <c r="D995" s="72" t="s">
        <v>2439</v>
      </c>
      <c r="E995" s="2016" t="str">
        <f t="shared" si="41"/>
        <v>BA</v>
      </c>
      <c r="F995" s="54">
        <v>50</v>
      </c>
      <c r="G995" s="54" t="s">
        <v>512</v>
      </c>
      <c r="J995" s="54" t="str">
        <f t="shared" si="42"/>
        <v>BANG</v>
      </c>
    </row>
    <row r="996" spans="1:10" hidden="1">
      <c r="A996" s="71" t="s">
        <v>1585</v>
      </c>
      <c r="B996" s="75"/>
      <c r="C996" s="1651" t="s">
        <v>3444</v>
      </c>
      <c r="D996" s="72" t="s">
        <v>3445</v>
      </c>
      <c r="E996" s="2016" t="str">
        <f t="shared" si="41"/>
        <v>GT</v>
      </c>
      <c r="F996" s="54">
        <v>50</v>
      </c>
      <c r="G996" s="54" t="s">
        <v>512</v>
      </c>
      <c r="J996" s="54" t="str">
        <f t="shared" si="42"/>
        <v>GTD</v>
      </c>
    </row>
    <row r="997" spans="1:10" hidden="1">
      <c r="A997" s="71" t="s">
        <v>3446</v>
      </c>
      <c r="B997" s="75"/>
      <c r="C997" s="1651" t="s">
        <v>3447</v>
      </c>
      <c r="D997" s="72" t="s">
        <v>3445</v>
      </c>
      <c r="E997" s="2016" t="str">
        <f t="shared" ref="E997:E1061" si="43">LEFT(A997,2)</f>
        <v>GT</v>
      </c>
      <c r="F997" s="54">
        <v>50</v>
      </c>
      <c r="G997" s="54" t="s">
        <v>512</v>
      </c>
      <c r="J997" s="54" t="str">
        <f t="shared" si="42"/>
        <v>GTDĐ</v>
      </c>
    </row>
    <row r="998" spans="1:10" hidden="1">
      <c r="A998" s="71" t="s">
        <v>1253</v>
      </c>
      <c r="B998" s="1661" t="s">
        <v>1254</v>
      </c>
      <c r="C998" s="1651" t="s">
        <v>3448</v>
      </c>
      <c r="D998" s="72" t="s">
        <v>2555</v>
      </c>
      <c r="E998" s="2016" t="str">
        <f t="shared" si="43"/>
        <v>SX</v>
      </c>
      <c r="F998" s="54">
        <v>50</v>
      </c>
      <c r="G998" s="54" t="s">
        <v>512</v>
      </c>
      <c r="J998" s="54" t="str">
        <f t="shared" si="42"/>
        <v>SXTg</v>
      </c>
    </row>
    <row r="999" spans="1:10" hidden="1">
      <c r="A999" s="71" t="s">
        <v>1726</v>
      </c>
      <c r="B999" s="75"/>
      <c r="C999" s="1651" t="s">
        <v>4402</v>
      </c>
      <c r="D999" s="72" t="s">
        <v>2439</v>
      </c>
      <c r="E999" s="2016" t="str">
        <f t="shared" si="43"/>
        <v>GS</v>
      </c>
      <c r="F999" s="54">
        <v>50</v>
      </c>
      <c r="G999" s="54" t="s">
        <v>512</v>
      </c>
      <c r="J999" s="54" t="str">
        <f t="shared" si="42"/>
        <v>GSXTg</v>
      </c>
    </row>
    <row r="1000" spans="1:10" hidden="1">
      <c r="A1000" s="71" t="s">
        <v>1629</v>
      </c>
      <c r="B1000" s="75"/>
      <c r="C1000" s="1651" t="s">
        <v>3449</v>
      </c>
      <c r="D1000" s="72" t="s">
        <v>2439</v>
      </c>
      <c r="E1000" s="2016" t="str">
        <f t="shared" si="43"/>
        <v>GC</v>
      </c>
      <c r="F1000" s="54">
        <v>50</v>
      </c>
      <c r="G1000" s="54" t="s">
        <v>512</v>
      </c>
      <c r="J1000" s="54" t="str">
        <f t="shared" si="42"/>
        <v>GCAP</v>
      </c>
    </row>
    <row r="1001" spans="1:10" hidden="1">
      <c r="A1001" s="71" t="s">
        <v>2229</v>
      </c>
      <c r="B1001" s="1662" t="s">
        <v>2230</v>
      </c>
      <c r="C1001" s="1651" t="s">
        <v>3450</v>
      </c>
      <c r="D1001" s="72" t="s">
        <v>2439</v>
      </c>
      <c r="E1001" s="2016" t="str">
        <f t="shared" si="43"/>
        <v>SD</v>
      </c>
      <c r="F1001" s="54">
        <v>50</v>
      </c>
      <c r="G1001" s="54" t="s">
        <v>512</v>
      </c>
      <c r="J1001" s="54" t="str">
        <f t="shared" si="42"/>
        <v>SDTC</v>
      </c>
    </row>
    <row r="1002" spans="1:10" hidden="1">
      <c r="A1002" s="71" t="s">
        <v>1975</v>
      </c>
      <c r="B1002" s="75" t="s">
        <v>1976</v>
      </c>
      <c r="C1002" s="1651" t="s">
        <v>3451</v>
      </c>
      <c r="D1002" s="72" t="s">
        <v>1823</v>
      </c>
      <c r="E1002" s="2016" t="str">
        <f t="shared" si="43"/>
        <v>TC</v>
      </c>
      <c r="F1002" s="54">
        <v>50</v>
      </c>
      <c r="G1002" s="54" t="s">
        <v>512</v>
      </c>
      <c r="J1002" s="54" t="str">
        <f t="shared" si="42"/>
        <v>TC450</v>
      </c>
    </row>
    <row r="1003" spans="1:10" hidden="1">
      <c r="A1003" s="71" t="s">
        <v>123</v>
      </c>
      <c r="B1003" s="75" t="s">
        <v>1976</v>
      </c>
      <c r="C1003" s="1651" t="s">
        <v>3452</v>
      </c>
      <c r="D1003" s="72" t="s">
        <v>1823</v>
      </c>
      <c r="E1003" s="2016" t="str">
        <f t="shared" si="43"/>
        <v>TC</v>
      </c>
      <c r="F1003" s="54">
        <v>50</v>
      </c>
      <c r="G1003" s="54" t="s">
        <v>512</v>
      </c>
      <c r="J1003" s="54" t="str">
        <f t="shared" si="42"/>
        <v>TC430</v>
      </c>
    </row>
    <row r="1004" spans="1:10" hidden="1">
      <c r="A1004" s="71" t="s">
        <v>124</v>
      </c>
      <c r="B1004" s="75" t="s">
        <v>1775</v>
      </c>
      <c r="C1004" s="1651" t="s">
        <v>3453</v>
      </c>
      <c r="D1004" s="72" t="s">
        <v>1823</v>
      </c>
      <c r="E1004" s="2016" t="str">
        <f t="shared" si="43"/>
        <v>TC</v>
      </c>
      <c r="F1004" s="54">
        <v>50</v>
      </c>
      <c r="G1004" s="54" t="s">
        <v>512</v>
      </c>
      <c r="J1004" s="54" t="str">
        <f t="shared" si="42"/>
        <v>TC420</v>
      </c>
    </row>
    <row r="1005" spans="1:10" hidden="1">
      <c r="A1005" s="71" t="s">
        <v>1128</v>
      </c>
      <c r="B1005" s="75"/>
      <c r="C1005" s="1651" t="s">
        <v>3454</v>
      </c>
      <c r="D1005" s="72" t="s">
        <v>2439</v>
      </c>
      <c r="E1005" s="2016" t="str">
        <f t="shared" si="43"/>
        <v>Gi</v>
      </c>
      <c r="F1005" s="54">
        <v>50</v>
      </c>
      <c r="G1005" s="54" t="s">
        <v>512</v>
      </c>
      <c r="J1005" s="54" t="str">
        <f t="shared" si="42"/>
        <v>GiacapTT-2m</v>
      </c>
    </row>
    <row r="1006" spans="1:10" hidden="1">
      <c r="A1006" s="71" t="s">
        <v>1230</v>
      </c>
      <c r="B1006" s="75"/>
      <c r="C1006" s="1651" t="s">
        <v>3454</v>
      </c>
      <c r="D1006" s="72" t="s">
        <v>2439</v>
      </c>
      <c r="E1006" s="2016" t="str">
        <f t="shared" si="43"/>
        <v>Gi</v>
      </c>
      <c r="F1006" s="54">
        <v>50</v>
      </c>
      <c r="G1006" s="54" t="s">
        <v>512</v>
      </c>
      <c r="J1006" s="54" t="str">
        <f t="shared" si="42"/>
        <v>GiacapTT-6m</v>
      </c>
    </row>
    <row r="1007" spans="1:10" hidden="1">
      <c r="A1007" s="71" t="s">
        <v>850</v>
      </c>
      <c r="B1007" s="75"/>
      <c r="C1007" s="1651" t="s">
        <v>3454</v>
      </c>
      <c r="D1007" s="72" t="s">
        <v>2439</v>
      </c>
      <c r="E1007" s="2016" t="str">
        <f t="shared" si="43"/>
        <v>Gi</v>
      </c>
      <c r="F1007" s="54">
        <v>50</v>
      </c>
      <c r="G1007" s="54" t="s">
        <v>512</v>
      </c>
      <c r="J1007" s="54" t="str">
        <f t="shared" si="42"/>
        <v>GiacapTT-8m</v>
      </c>
    </row>
    <row r="1008" spans="1:10" hidden="1">
      <c r="A1008" s="71" t="s">
        <v>560</v>
      </c>
      <c r="B1008" s="75"/>
      <c r="C1008" s="1651" t="s">
        <v>3454</v>
      </c>
      <c r="D1008" s="72" t="s">
        <v>2439</v>
      </c>
      <c r="E1008" s="2016" t="str">
        <f t="shared" si="43"/>
        <v>Gi</v>
      </c>
      <c r="F1008" s="54">
        <v>50</v>
      </c>
      <c r="G1008" s="54" t="s">
        <v>512</v>
      </c>
      <c r="J1008" s="54" t="str">
        <f t="shared" si="42"/>
        <v>GiacapTT-15m</v>
      </c>
    </row>
    <row r="1009" spans="1:10" hidden="1">
      <c r="A1009" s="71" t="s">
        <v>2137</v>
      </c>
      <c r="B1009" s="75"/>
      <c r="C1009" s="1651" t="s">
        <v>3455</v>
      </c>
      <c r="D1009" s="72" t="s">
        <v>2439</v>
      </c>
      <c r="E1009" s="2016" t="str">
        <f t="shared" si="43"/>
        <v>Gi</v>
      </c>
      <c r="F1009" s="54">
        <v>50</v>
      </c>
      <c r="G1009" s="54" t="s">
        <v>512</v>
      </c>
      <c r="J1009" s="54" t="str">
        <f t="shared" si="42"/>
        <v>GiacapTHT-10m</v>
      </c>
    </row>
    <row r="1010" spans="1:10" hidden="1">
      <c r="A1010" s="71" t="s">
        <v>907</v>
      </c>
      <c r="B1010" s="75"/>
      <c r="C1010" s="1651" t="s">
        <v>3456</v>
      </c>
      <c r="D1010" s="72" t="s">
        <v>2439</v>
      </c>
      <c r="E1010" s="2016" t="str">
        <f t="shared" si="43"/>
        <v>Gi</v>
      </c>
      <c r="F1010" s="54">
        <v>50</v>
      </c>
      <c r="G1010" s="54" t="s">
        <v>512</v>
      </c>
      <c r="J1010" s="54" t="str">
        <f t="shared" si="42"/>
        <v>GiacapHT-1m</v>
      </c>
    </row>
    <row r="1011" spans="1:10" hidden="1">
      <c r="A1011" s="71" t="s">
        <v>1451</v>
      </c>
      <c r="B1011" s="1661"/>
      <c r="C1011" s="1651" t="s">
        <v>3456</v>
      </c>
      <c r="D1011" s="72" t="s">
        <v>2439</v>
      </c>
      <c r="E1011" s="2016" t="str">
        <f t="shared" si="43"/>
        <v>Gi</v>
      </c>
      <c r="F1011" s="54">
        <v>50</v>
      </c>
      <c r="G1011" s="54" t="s">
        <v>512</v>
      </c>
      <c r="J1011" s="54" t="str">
        <f t="shared" si="42"/>
        <v>GiacapHT-2m</v>
      </c>
    </row>
    <row r="1012" spans="1:10" hidden="1">
      <c r="A1012" s="71" t="s">
        <v>2232</v>
      </c>
      <c r="B1012" s="1661"/>
      <c r="C1012" s="1651" t="s">
        <v>3456</v>
      </c>
      <c r="D1012" s="72" t="s">
        <v>2439</v>
      </c>
      <c r="E1012" s="2016" t="str">
        <f t="shared" si="43"/>
        <v>Gi</v>
      </c>
      <c r="F1012" s="54">
        <v>50</v>
      </c>
      <c r="G1012" s="54" t="s">
        <v>512</v>
      </c>
      <c r="J1012" s="54" t="str">
        <f t="shared" si="42"/>
        <v>GiacapHT-3m</v>
      </c>
    </row>
    <row r="1013" spans="1:10" hidden="1">
      <c r="A1013" s="71" t="s">
        <v>248</v>
      </c>
      <c r="B1013" s="1661"/>
      <c r="C1013" s="1651" t="s">
        <v>3456</v>
      </c>
      <c r="D1013" s="72" t="s">
        <v>2439</v>
      </c>
      <c r="E1013" s="2016" t="str">
        <f t="shared" si="43"/>
        <v>Gi</v>
      </c>
      <c r="F1013" s="54">
        <v>50</v>
      </c>
      <c r="G1013" s="54" t="s">
        <v>512</v>
      </c>
      <c r="J1013" s="54" t="str">
        <f t="shared" si="42"/>
        <v>GiacapHT-4m</v>
      </c>
    </row>
    <row r="1014" spans="1:10" hidden="1">
      <c r="A1014" s="71" t="s">
        <v>1818</v>
      </c>
      <c r="B1014" s="1661"/>
      <c r="C1014" s="1651" t="s">
        <v>3456</v>
      </c>
      <c r="D1014" s="72" t="s">
        <v>2703</v>
      </c>
      <c r="E1014" s="2016" t="str">
        <f t="shared" si="43"/>
        <v>Gi</v>
      </c>
      <c r="F1014" s="54">
        <v>50</v>
      </c>
      <c r="G1014" s="54" t="s">
        <v>512</v>
      </c>
      <c r="J1014" s="54" t="str">
        <f t="shared" si="42"/>
        <v>GiacapHT</v>
      </c>
    </row>
    <row r="1015" spans="1:10" hidden="1">
      <c r="A1015" s="71" t="s">
        <v>164</v>
      </c>
      <c r="B1015" s="1661"/>
      <c r="C1015" s="1651" t="s">
        <v>3456</v>
      </c>
      <c r="D1015" s="72" t="s">
        <v>2439</v>
      </c>
      <c r="E1015" s="2016" t="str">
        <f t="shared" si="43"/>
        <v>Gi</v>
      </c>
      <c r="F1015" s="54">
        <v>50</v>
      </c>
      <c r="G1015" s="54" t="s">
        <v>512</v>
      </c>
      <c r="J1015" s="54" t="str">
        <f t="shared" si="42"/>
        <v>GiacapHT-30m</v>
      </c>
    </row>
    <row r="1016" spans="1:10" hidden="1">
      <c r="A1016" s="71" t="s">
        <v>1586</v>
      </c>
      <c r="B1016" s="1642" t="s">
        <v>277</v>
      </c>
      <c r="C1016" s="1651" t="s">
        <v>4403</v>
      </c>
      <c r="D1016" s="72" t="s">
        <v>3457</v>
      </c>
      <c r="E1016" s="2016" t="str">
        <f t="shared" si="43"/>
        <v>GT</v>
      </c>
      <c r="F1016" s="54">
        <v>50</v>
      </c>
      <c r="G1016" s="54" t="s">
        <v>512</v>
      </c>
      <c r="J1016" s="54" t="str">
        <f t="shared" si="42"/>
        <v>GTMBA15</v>
      </c>
    </row>
    <row r="1017" spans="1:10" hidden="1">
      <c r="A1017" s="71" t="s">
        <v>1000</v>
      </c>
      <c r="B1017" s="1642" t="s">
        <v>277</v>
      </c>
      <c r="C1017" s="1651" t="s">
        <v>4404</v>
      </c>
      <c r="D1017" s="72" t="s">
        <v>2555</v>
      </c>
      <c r="E1017" s="2016" t="str">
        <f t="shared" si="43"/>
        <v>GT</v>
      </c>
      <c r="F1017" s="54">
        <v>50</v>
      </c>
      <c r="G1017" s="54" t="s">
        <v>512</v>
      </c>
      <c r="J1017" s="54" t="str">
        <f t="shared" si="42"/>
        <v>GTMBA25</v>
      </c>
    </row>
    <row r="1018" spans="1:10" hidden="1">
      <c r="A1018" s="71" t="s">
        <v>1587</v>
      </c>
      <c r="B1018" s="1642" t="s">
        <v>277</v>
      </c>
      <c r="C1018" s="1651" t="s">
        <v>4405</v>
      </c>
      <c r="D1018" s="72" t="s">
        <v>2555</v>
      </c>
      <c r="E1018" s="2016" t="str">
        <f t="shared" si="43"/>
        <v>GT</v>
      </c>
      <c r="F1018" s="54">
        <v>50</v>
      </c>
      <c r="G1018" s="54" t="s">
        <v>512</v>
      </c>
      <c r="J1018" s="54" t="str">
        <f t="shared" si="42"/>
        <v>GTMBA37,5</v>
      </c>
    </row>
    <row r="1019" spans="1:10" hidden="1">
      <c r="A1019" s="71" t="s">
        <v>4990</v>
      </c>
      <c r="B1019" s="1642" t="s">
        <v>277</v>
      </c>
      <c r="C1019" s="1651" t="s">
        <v>4406</v>
      </c>
      <c r="D1019" s="72" t="s">
        <v>2555</v>
      </c>
      <c r="E1019" s="2016" t="str">
        <f>LEFT(A1019,2)</f>
        <v>GT</v>
      </c>
      <c r="F1019" s="54">
        <v>50</v>
      </c>
      <c r="G1019" s="54" t="s">
        <v>512</v>
      </c>
      <c r="J1019" s="54" t="str">
        <f t="shared" si="42"/>
        <v>GTMBA50</v>
      </c>
    </row>
    <row r="1020" spans="1:10" hidden="1">
      <c r="A1020" s="71" t="s">
        <v>4764</v>
      </c>
      <c r="B1020" s="1642" t="s">
        <v>277</v>
      </c>
      <c r="C1020" s="1651" t="s">
        <v>4765</v>
      </c>
      <c r="D1020" s="72" t="s">
        <v>2442</v>
      </c>
      <c r="E1020" s="2016" t="str">
        <f t="shared" si="43"/>
        <v>La</v>
      </c>
      <c r="F1020" s="54">
        <v>2000</v>
      </c>
      <c r="G1020" s="54" t="s">
        <v>512</v>
      </c>
      <c r="J1020" s="54" t="str">
        <f t="shared" si="42"/>
        <v>LapGTMBA</v>
      </c>
    </row>
    <row r="1021" spans="1:10" hidden="1">
      <c r="A1021" s="71" t="s">
        <v>1173</v>
      </c>
      <c r="B1021" s="75" t="s">
        <v>1295</v>
      </c>
      <c r="C1021" s="71" t="s">
        <v>3458</v>
      </c>
      <c r="D1021" s="72" t="s">
        <v>2555</v>
      </c>
      <c r="E1021" s="2016" t="str">
        <f t="shared" si="43"/>
        <v>CO</v>
      </c>
      <c r="F1021" s="54">
        <v>50</v>
      </c>
      <c r="G1021" s="54" t="s">
        <v>512</v>
      </c>
      <c r="J1021" s="54" t="str">
        <f t="shared" si="42"/>
        <v>COSe16</v>
      </c>
    </row>
    <row r="1022" spans="1:10" hidden="1">
      <c r="A1022" s="71" t="s">
        <v>548</v>
      </c>
      <c r="B1022" s="75" t="s">
        <v>1295</v>
      </c>
      <c r="C1022" s="71" t="s">
        <v>3459</v>
      </c>
      <c r="D1022" s="72" t="s">
        <v>2555</v>
      </c>
      <c r="E1022" s="2016" t="str">
        <f t="shared" si="43"/>
        <v>CO</v>
      </c>
      <c r="F1022" s="54">
        <v>50</v>
      </c>
      <c r="G1022" s="54" t="s">
        <v>512</v>
      </c>
      <c r="J1022" s="54" t="str">
        <f t="shared" si="42"/>
        <v>COSe25</v>
      </c>
    </row>
    <row r="1023" spans="1:10" hidden="1">
      <c r="A1023" s="71" t="s">
        <v>1298</v>
      </c>
      <c r="B1023" s="75" t="s">
        <v>1297</v>
      </c>
      <c r="C1023" s="71" t="s">
        <v>3460</v>
      </c>
      <c r="D1023" s="72" t="s">
        <v>2555</v>
      </c>
      <c r="E1023" s="2016" t="str">
        <f t="shared" si="43"/>
        <v>CO</v>
      </c>
      <c r="F1023" s="54">
        <v>50</v>
      </c>
      <c r="G1023" s="54" t="s">
        <v>512</v>
      </c>
      <c r="J1023" s="54" t="str">
        <f t="shared" si="42"/>
        <v>COSe50</v>
      </c>
    </row>
    <row r="1024" spans="1:10" hidden="1">
      <c r="A1024" s="71" t="s">
        <v>1988</v>
      </c>
      <c r="B1024" s="75" t="s">
        <v>1299</v>
      </c>
      <c r="C1024" s="71" t="s">
        <v>3461</v>
      </c>
      <c r="D1024" s="72" t="s">
        <v>2555</v>
      </c>
      <c r="E1024" s="2016" t="str">
        <f t="shared" si="43"/>
        <v>CO</v>
      </c>
      <c r="F1024" s="54">
        <v>50</v>
      </c>
      <c r="G1024" s="54" t="s">
        <v>512</v>
      </c>
      <c r="J1024" s="54" t="str">
        <f t="shared" si="42"/>
        <v>COSe70</v>
      </c>
    </row>
    <row r="1025" spans="1:10" hidden="1">
      <c r="A1025" s="71" t="s">
        <v>1300</v>
      </c>
      <c r="B1025" s="75" t="s">
        <v>1301</v>
      </c>
      <c r="C1025" s="71" t="s">
        <v>3462</v>
      </c>
      <c r="D1025" s="72" t="s">
        <v>2555</v>
      </c>
      <c r="E1025" s="2016" t="str">
        <f t="shared" si="43"/>
        <v>CO</v>
      </c>
      <c r="F1025" s="54">
        <v>50</v>
      </c>
      <c r="G1025" s="54" t="s">
        <v>512</v>
      </c>
      <c r="J1025" s="54" t="str">
        <f t="shared" si="42"/>
        <v>COSe95</v>
      </c>
    </row>
    <row r="1026" spans="1:10" hidden="1">
      <c r="A1026" s="71" t="s">
        <v>2143</v>
      </c>
      <c r="B1026" s="75" t="s">
        <v>1885</v>
      </c>
      <c r="C1026" s="71" t="s">
        <v>3463</v>
      </c>
      <c r="D1026" s="72" t="s">
        <v>2555</v>
      </c>
      <c r="E1026" s="2016" t="str">
        <f t="shared" si="43"/>
        <v>CO</v>
      </c>
      <c r="F1026" s="54">
        <v>50</v>
      </c>
      <c r="G1026" s="54" t="s">
        <v>512</v>
      </c>
      <c r="J1026" s="54" t="str">
        <f t="shared" si="42"/>
        <v>COSe120</v>
      </c>
    </row>
    <row r="1027" spans="1:10" hidden="1">
      <c r="A1027" s="71" t="s">
        <v>2144</v>
      </c>
      <c r="B1027" s="75" t="s">
        <v>1356</v>
      </c>
      <c r="C1027" s="71" t="s">
        <v>3464</v>
      </c>
      <c r="D1027" s="72" t="s">
        <v>2555</v>
      </c>
      <c r="E1027" s="2016" t="str">
        <f t="shared" si="43"/>
        <v>CO</v>
      </c>
      <c r="F1027" s="54">
        <v>50</v>
      </c>
      <c r="G1027" s="54" t="s">
        <v>512</v>
      </c>
      <c r="J1027" s="54" t="str">
        <f t="shared" si="42"/>
        <v>COSe150</v>
      </c>
    </row>
    <row r="1028" spans="1:10" hidden="1">
      <c r="A1028" s="71" t="s">
        <v>2145</v>
      </c>
      <c r="B1028" s="75" t="s">
        <v>1886</v>
      </c>
      <c r="C1028" s="71" t="s">
        <v>3465</v>
      </c>
      <c r="D1028" s="72" t="s">
        <v>2555</v>
      </c>
      <c r="E1028" s="2016" t="str">
        <f t="shared" si="43"/>
        <v>CO</v>
      </c>
      <c r="F1028" s="54">
        <v>50</v>
      </c>
      <c r="G1028" s="54" t="s">
        <v>512</v>
      </c>
      <c r="J1028" s="54" t="str">
        <f t="shared" si="42"/>
        <v>COSe185</v>
      </c>
    </row>
    <row r="1029" spans="1:10" hidden="1">
      <c r="A1029" s="71" t="s">
        <v>609</v>
      </c>
      <c r="B1029" s="75" t="s">
        <v>2157</v>
      </c>
      <c r="C1029" s="71" t="s">
        <v>3466</v>
      </c>
      <c r="D1029" s="72" t="s">
        <v>2555</v>
      </c>
      <c r="E1029" s="2016" t="str">
        <f t="shared" si="43"/>
        <v>CO</v>
      </c>
      <c r="F1029" s="54">
        <v>50</v>
      </c>
      <c r="G1029" s="54" t="s">
        <v>512</v>
      </c>
      <c r="J1029" s="54" t="str">
        <f t="shared" si="42"/>
        <v>COSe200</v>
      </c>
    </row>
    <row r="1030" spans="1:10" hidden="1">
      <c r="A1030" s="71" t="s">
        <v>1842</v>
      </c>
      <c r="B1030" s="75" t="s">
        <v>2157</v>
      </c>
      <c r="C1030" s="71" t="s">
        <v>3467</v>
      </c>
      <c r="D1030" s="72" t="s">
        <v>2555</v>
      </c>
      <c r="E1030" s="2016" t="str">
        <f t="shared" si="43"/>
        <v>CO</v>
      </c>
      <c r="F1030" s="54">
        <v>50</v>
      </c>
      <c r="G1030" s="54" t="s">
        <v>512</v>
      </c>
      <c r="J1030" s="54" t="str">
        <f t="shared" si="42"/>
        <v>COSe240</v>
      </c>
    </row>
    <row r="1031" spans="1:10" hidden="1">
      <c r="A1031" s="71" t="s">
        <v>782</v>
      </c>
      <c r="B1031" s="75" t="s">
        <v>2157</v>
      </c>
      <c r="C1031" s="71" t="s">
        <v>3468</v>
      </c>
      <c r="D1031" s="72" t="s">
        <v>2555</v>
      </c>
      <c r="E1031" s="2016" t="str">
        <f t="shared" si="43"/>
        <v>CO</v>
      </c>
      <c r="F1031" s="54">
        <v>50</v>
      </c>
      <c r="G1031" s="54" t="s">
        <v>512</v>
      </c>
      <c r="J1031" s="54" t="str">
        <f t="shared" si="42"/>
        <v>COSe250</v>
      </c>
    </row>
    <row r="1032" spans="1:10" hidden="1">
      <c r="A1032" s="71" t="s">
        <v>250</v>
      </c>
      <c r="B1032" s="75" t="s">
        <v>2157</v>
      </c>
      <c r="C1032" s="71" t="s">
        <v>3469</v>
      </c>
      <c r="D1032" s="72" t="s">
        <v>2555</v>
      </c>
      <c r="E1032" s="2016" t="str">
        <f t="shared" si="43"/>
        <v>CO</v>
      </c>
      <c r="F1032" s="54">
        <v>50</v>
      </c>
      <c r="G1032" s="54" t="s">
        <v>512</v>
      </c>
      <c r="J1032" s="54" t="str">
        <f t="shared" si="42"/>
        <v>COSe300</v>
      </c>
    </row>
    <row r="1033" spans="1:10" hidden="1">
      <c r="A1033" s="71" t="s">
        <v>4411</v>
      </c>
      <c r="B1033" s="75" t="s">
        <v>2157</v>
      </c>
      <c r="C1033" s="71" t="s">
        <v>3470</v>
      </c>
      <c r="D1033" s="72" t="s">
        <v>2555</v>
      </c>
      <c r="E1033" s="2016" t="str">
        <f t="shared" si="43"/>
        <v>CO</v>
      </c>
      <c r="F1033" s="54">
        <v>50</v>
      </c>
      <c r="G1033" s="54" t="s">
        <v>512</v>
      </c>
      <c r="J1033" s="54" t="str">
        <f t="shared" si="42"/>
        <v>COSe400</v>
      </c>
    </row>
    <row r="1034" spans="1:10" hidden="1">
      <c r="A1034" s="71" t="s">
        <v>1865</v>
      </c>
      <c r="B1034" s="75" t="s">
        <v>1295</v>
      </c>
      <c r="C1034" s="1663" t="s">
        <v>3471</v>
      </c>
      <c r="D1034" s="72" t="s">
        <v>2555</v>
      </c>
      <c r="E1034" s="2016" t="str">
        <f t="shared" si="43"/>
        <v>CO</v>
      </c>
      <c r="F1034" s="54">
        <v>50</v>
      </c>
      <c r="G1034" s="54" t="s">
        <v>512</v>
      </c>
      <c r="J1034" s="54" t="str">
        <f t="shared" si="42"/>
        <v>COS2,5</v>
      </c>
    </row>
    <row r="1035" spans="1:10" hidden="1">
      <c r="A1035" s="71" t="s">
        <v>2140</v>
      </c>
      <c r="B1035" s="75" t="s">
        <v>1295</v>
      </c>
      <c r="C1035" s="71" t="s">
        <v>3472</v>
      </c>
      <c r="D1035" s="72" t="s">
        <v>2555</v>
      </c>
      <c r="E1035" s="2016" t="str">
        <f t="shared" si="43"/>
        <v>CO</v>
      </c>
      <c r="F1035" s="54">
        <v>50</v>
      </c>
      <c r="G1035" s="54" t="s">
        <v>512</v>
      </c>
      <c r="J1035" s="54" t="str">
        <f t="shared" si="42"/>
        <v>COS5</v>
      </c>
    </row>
    <row r="1036" spans="1:10" hidden="1">
      <c r="A1036" s="71" t="s">
        <v>1843</v>
      </c>
      <c r="B1036" s="75" t="s">
        <v>1295</v>
      </c>
      <c r="C1036" s="71" t="s">
        <v>3473</v>
      </c>
      <c r="D1036" s="72" t="s">
        <v>2555</v>
      </c>
      <c r="E1036" s="2016" t="str">
        <f t="shared" si="43"/>
        <v>CO</v>
      </c>
      <c r="F1036" s="54">
        <v>50</v>
      </c>
      <c r="G1036" s="54" t="s">
        <v>512</v>
      </c>
      <c r="J1036" s="54" t="str">
        <f t="shared" si="42"/>
        <v>COS11</v>
      </c>
    </row>
    <row r="1037" spans="1:10" hidden="1">
      <c r="A1037" s="71" t="s">
        <v>537</v>
      </c>
      <c r="B1037" s="75" t="s">
        <v>1295</v>
      </c>
      <c r="C1037" s="71" t="s">
        <v>3474</v>
      </c>
      <c r="D1037" s="72" t="s">
        <v>2555</v>
      </c>
      <c r="E1037" s="2016" t="str">
        <f t="shared" si="43"/>
        <v>CO</v>
      </c>
      <c r="F1037" s="54">
        <v>50</v>
      </c>
      <c r="G1037" s="54" t="s">
        <v>512</v>
      </c>
      <c r="J1037" s="54" t="str">
        <f t="shared" ref="J1037:J1101" si="44">A1037</f>
        <v>COS16</v>
      </c>
    </row>
    <row r="1038" spans="1:10" hidden="1">
      <c r="A1038" s="71" t="s">
        <v>683</v>
      </c>
      <c r="B1038" s="75" t="s">
        <v>1295</v>
      </c>
      <c r="C1038" s="71" t="s">
        <v>3475</v>
      </c>
      <c r="D1038" s="72" t="s">
        <v>2555</v>
      </c>
      <c r="E1038" s="2016" t="str">
        <f t="shared" si="43"/>
        <v>CO</v>
      </c>
      <c r="F1038" s="54">
        <v>50</v>
      </c>
      <c r="G1038" s="54" t="s">
        <v>512</v>
      </c>
      <c r="J1038" s="54" t="str">
        <f t="shared" si="44"/>
        <v>COS22</v>
      </c>
    </row>
    <row r="1039" spans="1:10" hidden="1">
      <c r="A1039" s="71" t="s">
        <v>104</v>
      </c>
      <c r="B1039" s="75" t="s">
        <v>1295</v>
      </c>
      <c r="C1039" s="71" t="s">
        <v>3476</v>
      </c>
      <c r="D1039" s="72" t="s">
        <v>2555</v>
      </c>
      <c r="E1039" s="2016" t="str">
        <f t="shared" si="43"/>
        <v>CO</v>
      </c>
      <c r="F1039" s="54">
        <v>50</v>
      </c>
      <c r="G1039" s="54" t="s">
        <v>512</v>
      </c>
      <c r="J1039" s="54" t="str">
        <f t="shared" si="44"/>
        <v>COS25</v>
      </c>
    </row>
    <row r="1040" spans="1:10" hidden="1">
      <c r="A1040" s="71" t="s">
        <v>1534</v>
      </c>
      <c r="B1040" s="75" t="s">
        <v>1297</v>
      </c>
      <c r="C1040" s="71" t="s">
        <v>3477</v>
      </c>
      <c r="D1040" s="72" t="s">
        <v>2555</v>
      </c>
      <c r="E1040" s="2016" t="str">
        <f t="shared" si="43"/>
        <v>CO</v>
      </c>
      <c r="F1040" s="54">
        <v>50</v>
      </c>
      <c r="G1040" s="54" t="s">
        <v>512</v>
      </c>
      <c r="J1040" s="54" t="str">
        <f t="shared" si="44"/>
        <v>COS35</v>
      </c>
    </row>
    <row r="1041" spans="1:10" hidden="1">
      <c r="A1041" s="71" t="s">
        <v>1296</v>
      </c>
      <c r="B1041" s="75" t="s">
        <v>1297</v>
      </c>
      <c r="C1041" s="71" t="s">
        <v>3478</v>
      </c>
      <c r="D1041" s="72" t="s">
        <v>2555</v>
      </c>
      <c r="E1041" s="2016" t="str">
        <f t="shared" si="43"/>
        <v>CO</v>
      </c>
      <c r="F1041" s="54">
        <v>50</v>
      </c>
      <c r="G1041" s="54" t="s">
        <v>512</v>
      </c>
      <c r="J1041" s="54" t="str">
        <f t="shared" si="44"/>
        <v>COS38</v>
      </c>
    </row>
    <row r="1042" spans="1:10" hidden="1">
      <c r="A1042" s="71" t="s">
        <v>1302</v>
      </c>
      <c r="B1042" s="75" t="s">
        <v>1297</v>
      </c>
      <c r="C1042" s="71" t="s">
        <v>3479</v>
      </c>
      <c r="D1042" s="72" t="s">
        <v>2555</v>
      </c>
      <c r="E1042" s="2016" t="str">
        <f t="shared" si="43"/>
        <v>CO</v>
      </c>
      <c r="F1042" s="54">
        <v>50</v>
      </c>
      <c r="G1042" s="54" t="s">
        <v>512</v>
      </c>
      <c r="J1042" s="54" t="str">
        <f t="shared" si="44"/>
        <v>COS50</v>
      </c>
    </row>
    <row r="1043" spans="1:10" hidden="1">
      <c r="A1043" s="71" t="s">
        <v>1303</v>
      </c>
      <c r="B1043" s="75" t="s">
        <v>1299</v>
      </c>
      <c r="C1043" s="71" t="s">
        <v>3480</v>
      </c>
      <c r="D1043" s="72" t="s">
        <v>2555</v>
      </c>
      <c r="E1043" s="2016" t="str">
        <f t="shared" si="43"/>
        <v>CO</v>
      </c>
      <c r="F1043" s="54">
        <v>50</v>
      </c>
      <c r="G1043" s="54" t="s">
        <v>512</v>
      </c>
      <c r="J1043" s="54" t="str">
        <f t="shared" si="44"/>
        <v>COS70</v>
      </c>
    </row>
    <row r="1044" spans="1:10" hidden="1">
      <c r="A1044" s="71" t="s">
        <v>1304</v>
      </c>
      <c r="B1044" s="75" t="s">
        <v>1301</v>
      </c>
      <c r="C1044" s="71" t="s">
        <v>3481</v>
      </c>
      <c r="D1044" s="72" t="s">
        <v>2555</v>
      </c>
      <c r="E1044" s="2016" t="str">
        <f t="shared" si="43"/>
        <v>CO</v>
      </c>
      <c r="F1044" s="54">
        <v>50</v>
      </c>
      <c r="G1044" s="54" t="s">
        <v>512</v>
      </c>
      <c r="J1044" s="54" t="str">
        <f t="shared" si="44"/>
        <v>COS95</v>
      </c>
    </row>
    <row r="1045" spans="1:10" hidden="1">
      <c r="A1045" s="71" t="s">
        <v>1305</v>
      </c>
      <c r="B1045" s="75" t="s">
        <v>1885</v>
      </c>
      <c r="C1045" s="71" t="s">
        <v>3482</v>
      </c>
      <c r="D1045" s="72" t="s">
        <v>2555</v>
      </c>
      <c r="E1045" s="2016" t="str">
        <f t="shared" si="43"/>
        <v>CO</v>
      </c>
      <c r="F1045" s="54">
        <v>50</v>
      </c>
      <c r="G1045" s="54" t="s">
        <v>512</v>
      </c>
      <c r="J1045" s="54" t="str">
        <f t="shared" si="44"/>
        <v>COS120</v>
      </c>
    </row>
    <row r="1046" spans="1:10" hidden="1">
      <c r="A1046" s="71" t="s">
        <v>2155</v>
      </c>
      <c r="B1046" s="75" t="s">
        <v>1356</v>
      </c>
      <c r="C1046" s="71" t="s">
        <v>3483</v>
      </c>
      <c r="D1046" s="72" t="s">
        <v>2555</v>
      </c>
      <c r="E1046" s="2016" t="str">
        <f t="shared" si="43"/>
        <v>CO</v>
      </c>
      <c r="F1046" s="54">
        <v>50</v>
      </c>
      <c r="G1046" s="54" t="s">
        <v>512</v>
      </c>
      <c r="J1046" s="54" t="str">
        <f t="shared" si="44"/>
        <v>COS150</v>
      </c>
    </row>
    <row r="1047" spans="1:10" hidden="1">
      <c r="A1047" s="71" t="s">
        <v>151</v>
      </c>
      <c r="B1047" s="75" t="s">
        <v>1886</v>
      </c>
      <c r="C1047" s="71" t="s">
        <v>3484</v>
      </c>
      <c r="D1047" s="72" t="s">
        <v>2555</v>
      </c>
      <c r="E1047" s="2016" t="str">
        <f t="shared" si="43"/>
        <v>CO</v>
      </c>
      <c r="F1047" s="54">
        <v>50</v>
      </c>
      <c r="G1047" s="54" t="s">
        <v>512</v>
      </c>
      <c r="J1047" s="54" t="str">
        <f t="shared" si="44"/>
        <v>COS185</v>
      </c>
    </row>
    <row r="1048" spans="1:10" hidden="1">
      <c r="A1048" s="71" t="s">
        <v>447</v>
      </c>
      <c r="B1048" s="75" t="s">
        <v>2157</v>
      </c>
      <c r="C1048" s="71" t="s">
        <v>3485</v>
      </c>
      <c r="D1048" s="72" t="s">
        <v>2555</v>
      </c>
      <c r="E1048" s="2016" t="str">
        <f t="shared" si="43"/>
        <v>CO</v>
      </c>
      <c r="F1048" s="54">
        <v>50</v>
      </c>
      <c r="G1048" s="54" t="s">
        <v>512</v>
      </c>
      <c r="J1048" s="54" t="str">
        <f t="shared" si="44"/>
        <v>COS200</v>
      </c>
    </row>
    <row r="1049" spans="1:10" hidden="1">
      <c r="A1049" s="71" t="s">
        <v>2156</v>
      </c>
      <c r="B1049" s="75" t="s">
        <v>2157</v>
      </c>
      <c r="C1049" s="71" t="s">
        <v>3486</v>
      </c>
      <c r="D1049" s="72" t="s">
        <v>2555</v>
      </c>
      <c r="E1049" s="2016" t="str">
        <f t="shared" si="43"/>
        <v>CO</v>
      </c>
      <c r="F1049" s="54">
        <v>50</v>
      </c>
      <c r="G1049" s="54" t="s">
        <v>512</v>
      </c>
      <c r="J1049" s="54" t="str">
        <f t="shared" si="44"/>
        <v>COS240</v>
      </c>
    </row>
    <row r="1050" spans="1:10" hidden="1">
      <c r="A1050" s="71" t="s">
        <v>448</v>
      </c>
      <c r="B1050" s="75" t="s">
        <v>1774</v>
      </c>
      <c r="C1050" s="71" t="s">
        <v>3487</v>
      </c>
      <c r="D1050" s="72" t="s">
        <v>2555</v>
      </c>
      <c r="E1050" s="2016" t="str">
        <f t="shared" si="43"/>
        <v>CO</v>
      </c>
      <c r="F1050" s="54">
        <v>50</v>
      </c>
      <c r="G1050" s="54" t="s">
        <v>512</v>
      </c>
      <c r="J1050" s="54" t="str">
        <f t="shared" si="44"/>
        <v>COS250</v>
      </c>
    </row>
    <row r="1051" spans="1:10" hidden="1">
      <c r="A1051" s="71" t="s">
        <v>449</v>
      </c>
      <c r="B1051" s="75" t="s">
        <v>1774</v>
      </c>
      <c r="C1051" s="71" t="s">
        <v>3488</v>
      </c>
      <c r="D1051" s="72" t="s">
        <v>2555</v>
      </c>
      <c r="E1051" s="2016" t="str">
        <f t="shared" si="43"/>
        <v>CO</v>
      </c>
      <c r="F1051" s="54">
        <v>50</v>
      </c>
      <c r="G1051" s="54" t="s">
        <v>512</v>
      </c>
      <c r="J1051" s="54" t="str">
        <f t="shared" si="44"/>
        <v>COS300</v>
      </c>
    </row>
    <row r="1052" spans="1:10" hidden="1">
      <c r="A1052" s="71" t="s">
        <v>1231</v>
      </c>
      <c r="B1052" s="75"/>
      <c r="C1052" s="1664" t="s">
        <v>3489</v>
      </c>
      <c r="D1052" s="72" t="s">
        <v>2555</v>
      </c>
      <c r="E1052" s="2016" t="str">
        <f t="shared" si="43"/>
        <v>CH</v>
      </c>
      <c r="F1052" s="54">
        <v>50</v>
      </c>
      <c r="G1052" s="54" t="s">
        <v>512</v>
      </c>
      <c r="J1052" s="54" t="str">
        <f t="shared" si="44"/>
        <v>CHCOS11</v>
      </c>
    </row>
    <row r="1053" spans="1:10" hidden="1">
      <c r="A1053" s="71" t="s">
        <v>74</v>
      </c>
      <c r="B1053" s="75"/>
      <c r="C1053" s="1664" t="s">
        <v>3490</v>
      </c>
      <c r="D1053" s="72" t="s">
        <v>2555</v>
      </c>
      <c r="E1053" s="2016" t="str">
        <f t="shared" si="43"/>
        <v>CH</v>
      </c>
      <c r="F1053" s="54">
        <v>50</v>
      </c>
      <c r="G1053" s="54" t="s">
        <v>512</v>
      </c>
      <c r="J1053" s="54" t="str">
        <f t="shared" si="44"/>
        <v>CHCOS16</v>
      </c>
    </row>
    <row r="1054" spans="1:10" hidden="1">
      <c r="A1054" s="71" t="s">
        <v>1916</v>
      </c>
      <c r="B1054" s="75"/>
      <c r="C1054" s="1664" t="s">
        <v>3491</v>
      </c>
      <c r="D1054" s="72" t="s">
        <v>2555</v>
      </c>
      <c r="E1054" s="2016" t="str">
        <f t="shared" si="43"/>
        <v>CH</v>
      </c>
      <c r="F1054" s="54">
        <v>50</v>
      </c>
      <c r="G1054" s="54" t="s">
        <v>512</v>
      </c>
      <c r="J1054" s="54" t="str">
        <f t="shared" si="44"/>
        <v>CHCOS25</v>
      </c>
    </row>
    <row r="1055" spans="1:10" hidden="1">
      <c r="A1055" s="71" t="s">
        <v>418</v>
      </c>
      <c r="B1055" s="75"/>
      <c r="C1055" s="1664" t="s">
        <v>3492</v>
      </c>
      <c r="D1055" s="72" t="s">
        <v>2555</v>
      </c>
      <c r="E1055" s="2016" t="str">
        <f t="shared" si="43"/>
        <v>CH</v>
      </c>
      <c r="F1055" s="54">
        <v>50</v>
      </c>
      <c r="G1055" s="54" t="s">
        <v>512</v>
      </c>
      <c r="J1055" s="54" t="str">
        <f t="shared" si="44"/>
        <v>CHCOS35</v>
      </c>
    </row>
    <row r="1056" spans="1:10" hidden="1">
      <c r="A1056" s="71" t="s">
        <v>2151</v>
      </c>
      <c r="B1056" s="75"/>
      <c r="C1056" s="1664" t="s">
        <v>3493</v>
      </c>
      <c r="D1056" s="72" t="s">
        <v>2555</v>
      </c>
      <c r="E1056" s="2016" t="str">
        <f t="shared" si="43"/>
        <v>CH</v>
      </c>
      <c r="F1056" s="54">
        <v>50</v>
      </c>
      <c r="G1056" s="54" t="s">
        <v>512</v>
      </c>
      <c r="J1056" s="54" t="str">
        <f t="shared" si="44"/>
        <v>CHCOS50</v>
      </c>
    </row>
    <row r="1057" spans="1:10" hidden="1">
      <c r="A1057" s="71" t="s">
        <v>611</v>
      </c>
      <c r="B1057" s="75"/>
      <c r="C1057" s="1664" t="s">
        <v>3494</v>
      </c>
      <c r="D1057" s="72" t="s">
        <v>2555</v>
      </c>
      <c r="E1057" s="2016" t="str">
        <f t="shared" si="43"/>
        <v>CH</v>
      </c>
      <c r="F1057" s="54">
        <v>50</v>
      </c>
      <c r="G1057" s="54" t="s">
        <v>512</v>
      </c>
      <c r="J1057" s="54" t="str">
        <f t="shared" si="44"/>
        <v>CHCOS70</v>
      </c>
    </row>
    <row r="1058" spans="1:10" hidden="1">
      <c r="A1058" s="71" t="s">
        <v>94</v>
      </c>
      <c r="B1058" s="75"/>
      <c r="C1058" s="1664" t="s">
        <v>3495</v>
      </c>
      <c r="D1058" s="72" t="s">
        <v>2555</v>
      </c>
      <c r="E1058" s="2016" t="str">
        <f t="shared" si="43"/>
        <v>CH</v>
      </c>
      <c r="F1058" s="54">
        <v>50</v>
      </c>
      <c r="G1058" s="54" t="s">
        <v>512</v>
      </c>
      <c r="J1058" s="54" t="str">
        <f t="shared" si="44"/>
        <v>CHCOS95</v>
      </c>
    </row>
    <row r="1059" spans="1:10" hidden="1">
      <c r="A1059" s="71" t="s">
        <v>93</v>
      </c>
      <c r="B1059" s="75"/>
      <c r="C1059" s="1664" t="s">
        <v>3496</v>
      </c>
      <c r="D1059" s="72" t="s">
        <v>2555</v>
      </c>
      <c r="E1059" s="2016" t="str">
        <f t="shared" si="43"/>
        <v>CH</v>
      </c>
      <c r="F1059" s="54">
        <v>50</v>
      </c>
      <c r="G1059" s="54" t="s">
        <v>512</v>
      </c>
      <c r="J1059" s="54" t="str">
        <f t="shared" si="44"/>
        <v>CHCOS120</v>
      </c>
    </row>
    <row r="1060" spans="1:10" hidden="1">
      <c r="A1060" s="71" t="s">
        <v>91</v>
      </c>
      <c r="B1060" s="75"/>
      <c r="C1060" s="1664" t="s">
        <v>3497</v>
      </c>
      <c r="D1060" s="72" t="s">
        <v>2555</v>
      </c>
      <c r="E1060" s="2016" t="str">
        <f t="shared" si="43"/>
        <v>CH</v>
      </c>
      <c r="F1060" s="54">
        <v>50</v>
      </c>
      <c r="G1060" s="54" t="s">
        <v>512</v>
      </c>
      <c r="J1060" s="54" t="str">
        <f t="shared" si="44"/>
        <v>CHCOS150</v>
      </c>
    </row>
    <row r="1061" spans="1:10" hidden="1">
      <c r="A1061" s="71" t="s">
        <v>150</v>
      </c>
      <c r="B1061" s="75"/>
      <c r="C1061" s="1664" t="s">
        <v>3498</v>
      </c>
      <c r="D1061" s="72" t="s">
        <v>2555</v>
      </c>
      <c r="E1061" s="2016" t="str">
        <f t="shared" si="43"/>
        <v>CH</v>
      </c>
      <c r="F1061" s="54">
        <v>50</v>
      </c>
      <c r="G1061" s="54" t="s">
        <v>512</v>
      </c>
      <c r="J1061" s="54" t="str">
        <f t="shared" si="44"/>
        <v>CHCOS185</v>
      </c>
    </row>
    <row r="1062" spans="1:10" hidden="1">
      <c r="A1062" s="71" t="s">
        <v>610</v>
      </c>
      <c r="B1062" s="75"/>
      <c r="C1062" s="1664" t="s">
        <v>3499</v>
      </c>
      <c r="D1062" s="72" t="s">
        <v>2555</v>
      </c>
      <c r="E1062" s="2016" t="str">
        <f t="shared" ref="E1062:E1129" si="45">LEFT(A1062,2)</f>
        <v>CH</v>
      </c>
      <c r="F1062" s="54">
        <v>50</v>
      </c>
      <c r="G1062" s="54" t="s">
        <v>512</v>
      </c>
      <c r="J1062" s="54" t="str">
        <f t="shared" si="44"/>
        <v>CHCOS200</v>
      </c>
    </row>
    <row r="1063" spans="1:10" hidden="1">
      <c r="A1063" s="71" t="s">
        <v>90</v>
      </c>
      <c r="B1063" s="75"/>
      <c r="C1063" s="1664" t="s">
        <v>3500</v>
      </c>
      <c r="D1063" s="72" t="s">
        <v>2555</v>
      </c>
      <c r="E1063" s="2016" t="str">
        <f t="shared" si="45"/>
        <v>CH</v>
      </c>
      <c r="F1063" s="54">
        <v>50</v>
      </c>
      <c r="G1063" s="54" t="s">
        <v>512</v>
      </c>
      <c r="J1063" s="54" t="str">
        <f t="shared" si="44"/>
        <v>CHCOS240</v>
      </c>
    </row>
    <row r="1064" spans="1:10" hidden="1">
      <c r="A1064" s="71" t="s">
        <v>1072</v>
      </c>
      <c r="B1064" s="75"/>
      <c r="C1064" s="1664" t="s">
        <v>3501</v>
      </c>
      <c r="D1064" s="72" t="s">
        <v>2555</v>
      </c>
      <c r="E1064" s="2016" t="str">
        <f t="shared" si="45"/>
        <v>CH</v>
      </c>
      <c r="F1064" s="54">
        <v>50</v>
      </c>
      <c r="G1064" s="54" t="s">
        <v>512</v>
      </c>
      <c r="J1064" s="54" t="str">
        <f t="shared" si="44"/>
        <v>CHCOS250</v>
      </c>
    </row>
    <row r="1065" spans="1:10" hidden="1">
      <c r="A1065" s="71" t="s">
        <v>975</v>
      </c>
      <c r="B1065" s="75"/>
      <c r="C1065" s="1664" t="s">
        <v>3502</v>
      </c>
      <c r="D1065" s="72" t="s">
        <v>2555</v>
      </c>
      <c r="E1065" s="2016" t="str">
        <f t="shared" si="45"/>
        <v>CH</v>
      </c>
      <c r="F1065" s="54">
        <v>50</v>
      </c>
      <c r="G1065" s="54" t="s">
        <v>512</v>
      </c>
      <c r="J1065" s="54" t="str">
        <f t="shared" si="44"/>
        <v>CHCOS300</v>
      </c>
    </row>
    <row r="1066" spans="1:10" hidden="1">
      <c r="A1066" s="71" t="s">
        <v>381</v>
      </c>
      <c r="B1066" s="75"/>
      <c r="C1066" s="1664" t="s">
        <v>3503</v>
      </c>
      <c r="D1066" s="72" t="s">
        <v>2439</v>
      </c>
      <c r="E1066" s="2016" t="str">
        <f t="shared" si="45"/>
        <v>CH</v>
      </c>
      <c r="F1066" s="54">
        <v>50</v>
      </c>
      <c r="G1066" s="54" t="s">
        <v>512</v>
      </c>
      <c r="J1066" s="54" t="str">
        <f t="shared" si="44"/>
        <v>CHFCO</v>
      </c>
    </row>
    <row r="1067" spans="1:10" hidden="1">
      <c r="A1067" s="71" t="s">
        <v>379</v>
      </c>
      <c r="B1067" s="75"/>
      <c r="C1067" s="1664" t="s">
        <v>3504</v>
      </c>
      <c r="D1067" s="72" t="s">
        <v>2555</v>
      </c>
      <c r="E1067" s="2016" t="str">
        <f t="shared" si="45"/>
        <v>CH</v>
      </c>
      <c r="F1067" s="54">
        <v>50</v>
      </c>
      <c r="G1067" s="54" t="s">
        <v>512</v>
      </c>
      <c r="J1067" s="54" t="str">
        <f t="shared" si="44"/>
        <v>CHLA</v>
      </c>
    </row>
    <row r="1068" spans="1:10" hidden="1">
      <c r="A1068" s="71" t="s">
        <v>380</v>
      </c>
      <c r="B1068" s="75"/>
      <c r="C1068" s="1664" t="s">
        <v>3505</v>
      </c>
      <c r="D1068" s="72" t="s">
        <v>2555</v>
      </c>
      <c r="E1068" s="2016" t="str">
        <f>LEFT(A1068,2)</f>
        <v>CH</v>
      </c>
      <c r="F1068" s="54">
        <v>50</v>
      </c>
      <c r="G1068" s="54" t="s">
        <v>512</v>
      </c>
      <c r="J1068" s="54" t="str">
        <f t="shared" ref="J1068" si="46">A1068</f>
        <v>CHMBA</v>
      </c>
    </row>
    <row r="1069" spans="1:10" hidden="1">
      <c r="A1069" s="71" t="s">
        <v>6583</v>
      </c>
      <c r="B1069" s="75"/>
      <c r="C1069" s="1664" t="s">
        <v>6584</v>
      </c>
      <c r="D1069" s="72" t="s">
        <v>2555</v>
      </c>
      <c r="E1069" s="2016" t="str">
        <f>LEFT(A1069,2)</f>
        <v>CH</v>
      </c>
      <c r="F1069" s="54">
        <v>50</v>
      </c>
      <c r="G1069" s="54" t="s">
        <v>512</v>
      </c>
      <c r="J1069" s="54" t="str">
        <f t="shared" si="44"/>
        <v>CHLBS-REC</v>
      </c>
    </row>
    <row r="1070" spans="1:10" hidden="1">
      <c r="A1070" s="71" t="s">
        <v>4462</v>
      </c>
      <c r="B1070" s="75"/>
      <c r="C1070" s="1664" t="s">
        <v>4463</v>
      </c>
      <c r="D1070" s="72" t="s">
        <v>2439</v>
      </c>
      <c r="E1070" s="2016" t="str">
        <f t="shared" si="45"/>
        <v>CH</v>
      </c>
      <c r="F1070" s="54">
        <v>50</v>
      </c>
      <c r="G1070" s="54" t="s">
        <v>512</v>
      </c>
      <c r="J1070" s="54" t="str">
        <f t="shared" si="44"/>
        <v>CHQ-H</v>
      </c>
    </row>
    <row r="1071" spans="1:10" hidden="1">
      <c r="A1071" s="71" t="s">
        <v>197</v>
      </c>
      <c r="B1071" s="1662"/>
      <c r="C1071" s="1651" t="s">
        <v>3506</v>
      </c>
      <c r="D1071" s="72" t="s">
        <v>1823</v>
      </c>
      <c r="E1071" s="2016" t="str">
        <f t="shared" si="45"/>
        <v>DK</v>
      </c>
      <c r="F1071" s="54">
        <v>50</v>
      </c>
      <c r="G1071" s="54" t="s">
        <v>512</v>
      </c>
      <c r="J1071" s="54" t="str">
        <f t="shared" si="44"/>
        <v>DK2x11</v>
      </c>
    </row>
    <row r="1072" spans="1:10" hidden="1">
      <c r="A1072" s="71" t="s">
        <v>198</v>
      </c>
      <c r="B1072" s="1662"/>
      <c r="C1072" s="1651" t="s">
        <v>3507</v>
      </c>
      <c r="D1072" s="72" t="s">
        <v>1823</v>
      </c>
      <c r="E1072" s="2016" t="str">
        <f t="shared" si="45"/>
        <v>DV</v>
      </c>
      <c r="F1072" s="54">
        <v>50</v>
      </c>
      <c r="G1072" s="54" t="s">
        <v>512</v>
      </c>
      <c r="J1072" s="54" t="str">
        <f t="shared" si="44"/>
        <v>DVV7x1.5</v>
      </c>
    </row>
    <row r="1073" spans="1:10" hidden="1">
      <c r="A1073" s="71" t="s">
        <v>1682</v>
      </c>
      <c r="B1073" s="1662"/>
      <c r="C1073" s="1651" t="s">
        <v>3508</v>
      </c>
      <c r="D1073" s="72" t="s">
        <v>1823</v>
      </c>
      <c r="E1073" s="2016" t="str">
        <f t="shared" si="45"/>
        <v>Du</v>
      </c>
      <c r="F1073" s="54">
        <v>50</v>
      </c>
      <c r="G1073" s="54" t="s">
        <v>512</v>
      </c>
      <c r="J1073" s="54" t="str">
        <f t="shared" si="44"/>
        <v>Duplex 211</v>
      </c>
    </row>
    <row r="1074" spans="1:10" hidden="1">
      <c r="A1074" s="71" t="s">
        <v>3</v>
      </c>
      <c r="B1074" s="1662"/>
      <c r="C1074" s="1651" t="s">
        <v>3509</v>
      </c>
      <c r="D1074" s="72" t="s">
        <v>1823</v>
      </c>
      <c r="E1074" s="2016" t="str">
        <f t="shared" si="45"/>
        <v>Du</v>
      </c>
      <c r="F1074" s="54">
        <v>50</v>
      </c>
      <c r="G1074" s="54" t="s">
        <v>512</v>
      </c>
      <c r="J1074" s="54" t="str">
        <f t="shared" si="44"/>
        <v>Duplex 216</v>
      </c>
    </row>
    <row r="1075" spans="1:10" hidden="1">
      <c r="A1075" s="71" t="s">
        <v>927</v>
      </c>
      <c r="B1075" s="1662"/>
      <c r="C1075" s="1651" t="s">
        <v>3510</v>
      </c>
      <c r="D1075" s="72" t="s">
        <v>1823</v>
      </c>
      <c r="E1075" s="2016" t="str">
        <f t="shared" si="45"/>
        <v>Du</v>
      </c>
      <c r="F1075" s="54">
        <v>50</v>
      </c>
      <c r="G1075" s="54" t="s">
        <v>512</v>
      </c>
      <c r="J1075" s="54" t="str">
        <f t="shared" si="44"/>
        <v>Duplex 311</v>
      </c>
    </row>
    <row r="1076" spans="1:10" hidden="1">
      <c r="A1076" s="71" t="s">
        <v>928</v>
      </c>
      <c r="B1076" s="1662"/>
      <c r="C1076" s="1651" t="s">
        <v>3511</v>
      </c>
      <c r="D1076" s="72" t="s">
        <v>1823</v>
      </c>
      <c r="E1076" s="2016" t="str">
        <f t="shared" si="45"/>
        <v>Du</v>
      </c>
      <c r="F1076" s="54">
        <v>50</v>
      </c>
      <c r="G1076" s="54" t="s">
        <v>512</v>
      </c>
      <c r="J1076" s="54" t="str">
        <f t="shared" si="44"/>
        <v>Duplex 316</v>
      </c>
    </row>
    <row r="1077" spans="1:10" hidden="1">
      <c r="A1077" s="71" t="s">
        <v>1683</v>
      </c>
      <c r="B1077" s="1662"/>
      <c r="C1077" s="1651" t="s">
        <v>3512</v>
      </c>
      <c r="D1077" s="72" t="s">
        <v>1823</v>
      </c>
      <c r="E1077" s="2016" t="str">
        <f t="shared" si="45"/>
        <v>Du</v>
      </c>
      <c r="F1077" s="54">
        <v>50</v>
      </c>
      <c r="G1077" s="54" t="s">
        <v>512</v>
      </c>
      <c r="J1077" s="54" t="str">
        <f t="shared" si="44"/>
        <v>Duplex 411</v>
      </c>
    </row>
    <row r="1078" spans="1:10" hidden="1">
      <c r="A1078" s="71" t="s">
        <v>4</v>
      </c>
      <c r="B1078" s="1662"/>
      <c r="C1078" s="1651" t="s">
        <v>3513</v>
      </c>
      <c r="D1078" s="72" t="s">
        <v>1823</v>
      </c>
      <c r="E1078" s="2016" t="str">
        <f t="shared" si="45"/>
        <v>Du</v>
      </c>
      <c r="F1078" s="54">
        <v>50</v>
      </c>
      <c r="G1078" s="54" t="s">
        <v>512</v>
      </c>
      <c r="J1078" s="54" t="str">
        <f t="shared" si="44"/>
        <v>Duplex 416</v>
      </c>
    </row>
    <row r="1079" spans="1:10" hidden="1">
      <c r="A1079" s="71" t="s">
        <v>1060</v>
      </c>
      <c r="B1079" s="72" t="s">
        <v>108</v>
      </c>
      <c r="C1079" s="1651" t="s">
        <v>3514</v>
      </c>
      <c r="D1079" s="72" t="s">
        <v>2439</v>
      </c>
      <c r="E1079" s="2016" t="str">
        <f t="shared" si="45"/>
        <v>DE</v>
      </c>
      <c r="F1079" s="54">
        <v>50</v>
      </c>
      <c r="G1079" s="54" t="s">
        <v>512</v>
      </c>
      <c r="J1079" s="54" t="str">
        <f t="shared" si="44"/>
        <v>DENHQ</v>
      </c>
    </row>
    <row r="1080" spans="1:10" hidden="1">
      <c r="A1080" s="71" t="s">
        <v>1510</v>
      </c>
      <c r="B1080" s="1662"/>
      <c r="C1080" s="1651" t="s">
        <v>3515</v>
      </c>
      <c r="D1080" s="72" t="s">
        <v>2532</v>
      </c>
      <c r="E1080" s="2016" t="str">
        <f t="shared" si="45"/>
        <v>D1</v>
      </c>
      <c r="F1080" s="54">
        <v>50</v>
      </c>
      <c r="G1080" s="54" t="s">
        <v>512</v>
      </c>
      <c r="J1080" s="54" t="str">
        <f t="shared" si="44"/>
        <v>D16/10</v>
      </c>
    </row>
    <row r="1081" spans="1:10" hidden="1">
      <c r="A1081" s="71" t="s">
        <v>469</v>
      </c>
      <c r="B1081" s="1645"/>
      <c r="C1081" s="1651" t="s">
        <v>3516</v>
      </c>
      <c r="D1081" s="72" t="s">
        <v>2532</v>
      </c>
      <c r="E1081" s="2016" t="str">
        <f t="shared" si="45"/>
        <v>D2</v>
      </c>
      <c r="F1081" s="54">
        <v>50</v>
      </c>
      <c r="G1081" s="54" t="s">
        <v>512</v>
      </c>
      <c r="J1081" s="54" t="str">
        <f t="shared" si="44"/>
        <v>D20/10</v>
      </c>
    </row>
    <row r="1082" spans="1:10" hidden="1">
      <c r="A1082" s="71" t="s">
        <v>1511</v>
      </c>
      <c r="B1082" s="1662"/>
      <c r="C1082" s="1651" t="s">
        <v>3517</v>
      </c>
      <c r="D1082" s="72" t="s">
        <v>2532</v>
      </c>
      <c r="E1082" s="2016" t="str">
        <f t="shared" si="45"/>
        <v>D3</v>
      </c>
      <c r="F1082" s="54">
        <v>50</v>
      </c>
      <c r="G1082" s="54" t="s">
        <v>512</v>
      </c>
      <c r="J1082" s="54" t="str">
        <f t="shared" si="44"/>
        <v>D30/10</v>
      </c>
    </row>
    <row r="1083" spans="1:10" hidden="1">
      <c r="A1083" s="71" t="s">
        <v>1349</v>
      </c>
      <c r="B1083" s="1662"/>
      <c r="C1083" s="1651" t="s">
        <v>3518</v>
      </c>
      <c r="D1083" s="72" t="s">
        <v>3519</v>
      </c>
      <c r="E1083" s="2016" t="str">
        <f t="shared" si="45"/>
        <v>DR</v>
      </c>
      <c r="F1083" s="54">
        <v>50</v>
      </c>
      <c r="G1083" s="54" t="s">
        <v>512</v>
      </c>
      <c r="J1083" s="54" t="str">
        <f t="shared" si="44"/>
        <v>DRC</v>
      </c>
    </row>
    <row r="1084" spans="1:10" hidden="1">
      <c r="A1084" s="71" t="s">
        <v>1512</v>
      </c>
      <c r="B1084" s="75" t="s">
        <v>1513</v>
      </c>
      <c r="C1084" s="1651" t="s">
        <v>3520</v>
      </c>
      <c r="D1084" s="72" t="s">
        <v>2555</v>
      </c>
      <c r="E1084" s="2016" t="str">
        <f t="shared" si="45"/>
        <v>CD</v>
      </c>
      <c r="F1084" s="54">
        <v>50</v>
      </c>
      <c r="G1084" s="54" t="s">
        <v>512</v>
      </c>
      <c r="J1084" s="54" t="str">
        <f t="shared" si="44"/>
        <v>CDAO15</v>
      </c>
    </row>
    <row r="1085" spans="1:10" hidden="1">
      <c r="A1085" s="71" t="s">
        <v>1514</v>
      </c>
      <c r="B1085" s="75" t="s">
        <v>1513</v>
      </c>
      <c r="C1085" s="1651" t="s">
        <v>3521</v>
      </c>
      <c r="D1085" s="72" t="s">
        <v>2555</v>
      </c>
      <c r="E1085" s="2016" t="str">
        <f t="shared" si="45"/>
        <v>CD</v>
      </c>
      <c r="F1085" s="54">
        <v>50</v>
      </c>
      <c r="G1085" s="54" t="s">
        <v>512</v>
      </c>
      <c r="J1085" s="54" t="str">
        <f t="shared" si="44"/>
        <v>CDAO30</v>
      </c>
    </row>
    <row r="1086" spans="1:10" hidden="1">
      <c r="A1086" s="71" t="s">
        <v>261</v>
      </c>
      <c r="B1086" s="75" t="s">
        <v>1513</v>
      </c>
      <c r="C1086" s="1651" t="s">
        <v>3522</v>
      </c>
      <c r="D1086" s="72" t="s">
        <v>2555</v>
      </c>
      <c r="E1086" s="2016" t="str">
        <f t="shared" si="45"/>
        <v>CD</v>
      </c>
      <c r="F1086" s="54">
        <v>50</v>
      </c>
      <c r="G1086" s="54" t="s">
        <v>512</v>
      </c>
      <c r="J1086" s="54" t="str">
        <f t="shared" si="44"/>
        <v>CDAO60</v>
      </c>
    </row>
    <row r="1087" spans="1:10" hidden="1">
      <c r="A1087" s="71" t="s">
        <v>262</v>
      </c>
      <c r="B1087" s="75" t="s">
        <v>1513</v>
      </c>
      <c r="C1087" s="1651" t="s">
        <v>3523</v>
      </c>
      <c r="D1087" s="72" t="s">
        <v>2555</v>
      </c>
      <c r="E1087" s="2016" t="str">
        <f t="shared" si="45"/>
        <v>CD</v>
      </c>
      <c r="F1087" s="54">
        <v>50</v>
      </c>
      <c r="G1087" s="54" t="s">
        <v>512</v>
      </c>
      <c r="J1087" s="54" t="str">
        <f t="shared" si="44"/>
        <v>CDAO100</v>
      </c>
    </row>
    <row r="1088" spans="1:10" hidden="1">
      <c r="A1088" s="71" t="s">
        <v>712</v>
      </c>
      <c r="B1088" s="75" t="s">
        <v>1513</v>
      </c>
      <c r="C1088" s="1651" t="s">
        <v>3524</v>
      </c>
      <c r="D1088" s="72" t="s">
        <v>2555</v>
      </c>
      <c r="E1088" s="2016" t="str">
        <f t="shared" si="45"/>
        <v>CD</v>
      </c>
      <c r="F1088" s="54">
        <v>50</v>
      </c>
      <c r="G1088" s="54" t="s">
        <v>512</v>
      </c>
      <c r="J1088" s="54" t="str">
        <f t="shared" si="44"/>
        <v>CDAO150</v>
      </c>
    </row>
    <row r="1089" spans="1:10" hidden="1">
      <c r="A1089" s="71" t="s">
        <v>1098</v>
      </c>
      <c r="B1089" s="75" t="s">
        <v>1513</v>
      </c>
      <c r="C1089" s="1651" t="s">
        <v>3525</v>
      </c>
      <c r="D1089" s="72" t="s">
        <v>2555</v>
      </c>
      <c r="E1089" s="2016" t="str">
        <f t="shared" si="45"/>
        <v>CD</v>
      </c>
      <c r="F1089" s="54">
        <v>50</v>
      </c>
      <c r="G1089" s="54" t="s">
        <v>512</v>
      </c>
      <c r="J1089" s="54" t="str">
        <f t="shared" si="44"/>
        <v>CDAO200</v>
      </c>
    </row>
    <row r="1090" spans="1:10" hidden="1">
      <c r="A1090" s="71" t="s">
        <v>297</v>
      </c>
      <c r="B1090" s="75" t="s">
        <v>1513</v>
      </c>
      <c r="C1090" s="1651" t="s">
        <v>3526</v>
      </c>
      <c r="D1090" s="72" t="s">
        <v>2555</v>
      </c>
      <c r="E1090" s="2016" t="str">
        <f t="shared" si="45"/>
        <v>CD</v>
      </c>
      <c r="F1090" s="54">
        <v>50</v>
      </c>
      <c r="G1090" s="54" t="s">
        <v>512</v>
      </c>
      <c r="J1090" s="54" t="str">
        <f t="shared" si="44"/>
        <v>CDAO250</v>
      </c>
    </row>
    <row r="1091" spans="1:10" hidden="1">
      <c r="A1091" s="71" t="s">
        <v>1059</v>
      </c>
      <c r="B1091" s="75" t="s">
        <v>1513</v>
      </c>
      <c r="C1091" s="1651" t="s">
        <v>3527</v>
      </c>
      <c r="D1091" s="72" t="s">
        <v>2555</v>
      </c>
      <c r="E1091" s="2016" t="str">
        <f t="shared" si="45"/>
        <v>CD</v>
      </c>
      <c r="F1091" s="54">
        <v>50</v>
      </c>
      <c r="G1091" s="54" t="s">
        <v>512</v>
      </c>
      <c r="J1091" s="54" t="str">
        <f t="shared" si="44"/>
        <v>CDAO300</v>
      </c>
    </row>
    <row r="1092" spans="1:10" hidden="1">
      <c r="A1092" s="71" t="s">
        <v>1701</v>
      </c>
      <c r="B1092" s="1662"/>
      <c r="C1092" s="1651" t="s">
        <v>3528</v>
      </c>
      <c r="D1092" s="72" t="s">
        <v>1823</v>
      </c>
      <c r="E1092" s="2016" t="str">
        <f t="shared" si="45"/>
        <v>PV</v>
      </c>
      <c r="F1092" s="54">
        <v>50</v>
      </c>
      <c r="G1092" s="54" t="s">
        <v>512</v>
      </c>
      <c r="J1092" s="54" t="str">
        <f t="shared" si="44"/>
        <v>PVC200</v>
      </c>
    </row>
    <row r="1093" spans="1:10" hidden="1">
      <c r="A1093" s="71" t="s">
        <v>1677</v>
      </c>
      <c r="B1093" s="1662"/>
      <c r="C1093" s="1651" t="s">
        <v>3529</v>
      </c>
      <c r="D1093" s="72" t="s">
        <v>1823</v>
      </c>
      <c r="E1093" s="2016" t="str">
        <f t="shared" si="45"/>
        <v>PV</v>
      </c>
      <c r="F1093" s="54">
        <v>50</v>
      </c>
      <c r="G1093" s="54" t="s">
        <v>512</v>
      </c>
      <c r="J1093" s="54" t="str">
        <f t="shared" si="44"/>
        <v>PVC168</v>
      </c>
    </row>
    <row r="1094" spans="1:10" hidden="1">
      <c r="A1094" s="71" t="s">
        <v>1518</v>
      </c>
      <c r="B1094" s="1662"/>
      <c r="C1094" s="1651" t="s">
        <v>3530</v>
      </c>
      <c r="D1094" s="72" t="s">
        <v>1823</v>
      </c>
      <c r="E1094" s="2016" t="str">
        <f t="shared" si="45"/>
        <v>PV</v>
      </c>
      <c r="F1094" s="54">
        <v>50</v>
      </c>
      <c r="G1094" s="54" t="s">
        <v>512</v>
      </c>
      <c r="J1094" s="54" t="str">
        <f t="shared" si="44"/>
        <v>PVC140</v>
      </c>
    </row>
    <row r="1095" spans="1:10" hidden="1">
      <c r="A1095" s="71" t="s">
        <v>1042</v>
      </c>
      <c r="B1095" s="1662"/>
      <c r="C1095" s="1651" t="s">
        <v>3531</v>
      </c>
      <c r="D1095" s="72" t="s">
        <v>1823</v>
      </c>
      <c r="E1095" s="2016" t="str">
        <f t="shared" si="45"/>
        <v>PV</v>
      </c>
      <c r="F1095" s="54">
        <v>50</v>
      </c>
      <c r="G1095" s="54" t="s">
        <v>512</v>
      </c>
      <c r="J1095" s="54" t="str">
        <f t="shared" si="44"/>
        <v>PVC114</v>
      </c>
    </row>
    <row r="1096" spans="1:10" hidden="1">
      <c r="A1096" s="71" t="s">
        <v>282</v>
      </c>
      <c r="B1096" s="1662" t="s">
        <v>1751</v>
      </c>
      <c r="C1096" s="1651" t="s">
        <v>3532</v>
      </c>
      <c r="D1096" s="72" t="s">
        <v>1823</v>
      </c>
      <c r="E1096" s="2016" t="str">
        <f t="shared" si="45"/>
        <v>PV</v>
      </c>
      <c r="F1096" s="54">
        <v>50</v>
      </c>
      <c r="G1096" s="54" t="s">
        <v>512</v>
      </c>
      <c r="J1096" s="54" t="str">
        <f t="shared" si="44"/>
        <v>PVC90</v>
      </c>
    </row>
    <row r="1097" spans="1:10" hidden="1">
      <c r="A1097" s="71" t="s">
        <v>2009</v>
      </c>
      <c r="B1097" s="1662" t="s">
        <v>1777</v>
      </c>
      <c r="C1097" s="1651" t="s">
        <v>3533</v>
      </c>
      <c r="D1097" s="72" t="s">
        <v>1823</v>
      </c>
      <c r="E1097" s="2016" t="str">
        <f t="shared" si="45"/>
        <v>PV</v>
      </c>
      <c r="F1097" s="54">
        <v>50</v>
      </c>
      <c r="G1097" s="54" t="s">
        <v>512</v>
      </c>
      <c r="J1097" s="54" t="str">
        <f t="shared" si="44"/>
        <v>PVC60</v>
      </c>
    </row>
    <row r="1098" spans="1:10" hidden="1">
      <c r="A1098" s="71" t="s">
        <v>895</v>
      </c>
      <c r="B1098" s="1662" t="s">
        <v>1776</v>
      </c>
      <c r="C1098" s="1651" t="s">
        <v>3534</v>
      </c>
      <c r="D1098" s="72" t="s">
        <v>1823</v>
      </c>
      <c r="E1098" s="2016" t="str">
        <f t="shared" si="45"/>
        <v>PV</v>
      </c>
      <c r="F1098" s="54">
        <v>50</v>
      </c>
      <c r="G1098" s="54" t="s">
        <v>512</v>
      </c>
      <c r="J1098" s="54" t="str">
        <f t="shared" si="44"/>
        <v>PVC49</v>
      </c>
    </row>
    <row r="1099" spans="1:10" hidden="1">
      <c r="A1099" s="71" t="s">
        <v>2141</v>
      </c>
      <c r="B1099" s="1662" t="s">
        <v>1776</v>
      </c>
      <c r="C1099" s="1651" t="s">
        <v>3535</v>
      </c>
      <c r="D1099" s="72" t="s">
        <v>1823</v>
      </c>
      <c r="E1099" s="2016" t="str">
        <f t="shared" si="45"/>
        <v>PV</v>
      </c>
      <c r="F1099" s="54">
        <v>50</v>
      </c>
      <c r="G1099" s="54" t="s">
        <v>512</v>
      </c>
      <c r="J1099" s="54" t="str">
        <f t="shared" si="44"/>
        <v>PVC42</v>
      </c>
    </row>
    <row r="1100" spans="1:10" hidden="1">
      <c r="A1100" s="71" t="s">
        <v>576</v>
      </c>
      <c r="B1100" s="1662" t="s">
        <v>1776</v>
      </c>
      <c r="C1100" s="1651" t="s">
        <v>3536</v>
      </c>
      <c r="D1100" s="72" t="s">
        <v>1823</v>
      </c>
      <c r="E1100" s="2016" t="str">
        <f t="shared" si="45"/>
        <v>PV</v>
      </c>
      <c r="F1100" s="54">
        <v>50</v>
      </c>
      <c r="G1100" s="54" t="s">
        <v>512</v>
      </c>
      <c r="J1100" s="54" t="str">
        <f t="shared" si="44"/>
        <v>PVC21</v>
      </c>
    </row>
    <row r="1101" spans="1:10" hidden="1">
      <c r="A1101" s="71" t="s">
        <v>1051</v>
      </c>
      <c r="B1101" s="1662"/>
      <c r="C1101" s="1651" t="s">
        <v>3537</v>
      </c>
      <c r="D1101" s="72" t="s">
        <v>2532</v>
      </c>
      <c r="E1101" s="2016" t="str">
        <f t="shared" si="45"/>
        <v>OD</v>
      </c>
      <c r="F1101" s="54">
        <v>50</v>
      </c>
      <c r="G1101" s="54" t="s">
        <v>512</v>
      </c>
      <c r="J1101" s="54" t="str">
        <f t="shared" si="44"/>
        <v>ODH42</v>
      </c>
    </row>
    <row r="1102" spans="1:10" hidden="1">
      <c r="A1102" s="71" t="s">
        <v>238</v>
      </c>
      <c r="B1102" s="1662" t="s">
        <v>575</v>
      </c>
      <c r="C1102" s="1651" t="s">
        <v>3538</v>
      </c>
      <c r="D1102" s="72" t="s">
        <v>1823</v>
      </c>
      <c r="E1102" s="2016" t="str">
        <f t="shared" si="45"/>
        <v>ON</v>
      </c>
      <c r="F1102" s="54">
        <v>50</v>
      </c>
      <c r="G1102" s="54" t="s">
        <v>512</v>
      </c>
      <c r="J1102" s="54" t="str">
        <f t="shared" ref="J1102:J1165" si="47">A1102</f>
        <v>ONGDH168</v>
      </c>
    </row>
    <row r="1103" spans="1:10" hidden="1">
      <c r="A1103" s="71" t="s">
        <v>2274</v>
      </c>
      <c r="B1103" s="1662" t="s">
        <v>575</v>
      </c>
      <c r="C1103" s="1651" t="s">
        <v>3539</v>
      </c>
      <c r="D1103" s="72" t="s">
        <v>1823</v>
      </c>
      <c r="E1103" s="2016" t="str">
        <f t="shared" si="45"/>
        <v>ON</v>
      </c>
      <c r="F1103" s="54">
        <v>50</v>
      </c>
      <c r="G1103" s="54" t="s">
        <v>512</v>
      </c>
      <c r="J1103" s="54" t="str">
        <f t="shared" si="47"/>
        <v>ONGDH42</v>
      </c>
    </row>
    <row r="1104" spans="1:10" hidden="1">
      <c r="A1104" s="71" t="s">
        <v>1740</v>
      </c>
      <c r="B1104" s="1662" t="s">
        <v>575</v>
      </c>
      <c r="C1104" s="1651" t="s">
        <v>3540</v>
      </c>
      <c r="D1104" s="72" t="s">
        <v>1823</v>
      </c>
      <c r="E1104" s="2016" t="str">
        <f t="shared" si="45"/>
        <v>ON</v>
      </c>
      <c r="F1104" s="54">
        <v>50</v>
      </c>
      <c r="G1104" s="54" t="s">
        <v>512</v>
      </c>
      <c r="J1104" s="54" t="str">
        <f t="shared" si="47"/>
        <v>ONGDH114</v>
      </c>
    </row>
    <row r="1105" spans="1:10" hidden="1">
      <c r="A1105" s="71" t="s">
        <v>577</v>
      </c>
      <c r="B1105" s="75"/>
      <c r="C1105" s="1651" t="s">
        <v>578</v>
      </c>
      <c r="D1105" s="72" t="s">
        <v>2555</v>
      </c>
      <c r="E1105" s="2016" t="str">
        <f t="shared" si="45"/>
        <v>CU</v>
      </c>
      <c r="F1105" s="54">
        <v>50</v>
      </c>
      <c r="G1105" s="54" t="s">
        <v>512</v>
      </c>
      <c r="J1105" s="54" t="str">
        <f t="shared" si="47"/>
        <v>CUT21</v>
      </c>
    </row>
    <row r="1106" spans="1:10" hidden="1">
      <c r="A1106" s="71" t="s">
        <v>245</v>
      </c>
      <c r="B1106" s="75"/>
      <c r="C1106" s="1651" t="s">
        <v>3541</v>
      </c>
      <c r="D1106" s="72" t="s">
        <v>2555</v>
      </c>
      <c r="E1106" s="2016" t="str">
        <f t="shared" si="45"/>
        <v>CU</v>
      </c>
      <c r="F1106" s="54">
        <v>50</v>
      </c>
      <c r="G1106" s="54" t="s">
        <v>512</v>
      </c>
      <c r="J1106" s="54" t="str">
        <f t="shared" si="47"/>
        <v>CUT4245</v>
      </c>
    </row>
    <row r="1107" spans="1:10" hidden="1">
      <c r="A1107" s="71" t="s">
        <v>1616</v>
      </c>
      <c r="B1107" s="75"/>
      <c r="C1107" s="1651" t="s">
        <v>3542</v>
      </c>
      <c r="D1107" s="72" t="s">
        <v>2555</v>
      </c>
      <c r="E1107" s="2016" t="str">
        <f t="shared" si="45"/>
        <v>CU</v>
      </c>
      <c r="F1107" s="54">
        <v>50</v>
      </c>
      <c r="G1107" s="54" t="s">
        <v>512</v>
      </c>
      <c r="J1107" s="54" t="str">
        <f t="shared" si="47"/>
        <v>CUT42</v>
      </c>
    </row>
    <row r="1108" spans="1:10" hidden="1">
      <c r="A1108" s="71" t="s">
        <v>1050</v>
      </c>
      <c r="B1108" s="75"/>
      <c r="C1108" s="1651" t="s">
        <v>3543</v>
      </c>
      <c r="D1108" s="72" t="s">
        <v>2555</v>
      </c>
      <c r="E1108" s="2016" t="str">
        <f t="shared" si="45"/>
        <v>CU</v>
      </c>
      <c r="F1108" s="54">
        <v>50</v>
      </c>
      <c r="G1108" s="54" t="s">
        <v>512</v>
      </c>
      <c r="J1108" s="54" t="str">
        <f t="shared" si="47"/>
        <v>CUT42T</v>
      </c>
    </row>
    <row r="1109" spans="1:10" hidden="1">
      <c r="A1109" s="71" t="s">
        <v>1105</v>
      </c>
      <c r="B1109" s="75"/>
      <c r="C1109" s="1651" t="s">
        <v>3544</v>
      </c>
      <c r="D1109" s="72" t="s">
        <v>2555</v>
      </c>
      <c r="E1109" s="2016" t="str">
        <f t="shared" si="45"/>
        <v>CU</v>
      </c>
      <c r="F1109" s="54">
        <v>50</v>
      </c>
      <c r="G1109" s="54" t="s">
        <v>512</v>
      </c>
      <c r="J1109" s="54" t="str">
        <f t="shared" si="47"/>
        <v>CUT60</v>
      </c>
    </row>
    <row r="1110" spans="1:10" hidden="1">
      <c r="A1110" s="71" t="s">
        <v>940</v>
      </c>
      <c r="B1110" s="75"/>
      <c r="C1110" s="1651" t="s">
        <v>3545</v>
      </c>
      <c r="D1110" s="72" t="s">
        <v>2555</v>
      </c>
      <c r="E1110" s="2016" t="str">
        <f t="shared" si="45"/>
        <v>CU</v>
      </c>
      <c r="F1110" s="54">
        <v>50</v>
      </c>
      <c r="G1110" s="54" t="s">
        <v>512</v>
      </c>
      <c r="J1110" s="54" t="str">
        <f t="shared" si="47"/>
        <v>CUT60135</v>
      </c>
    </row>
    <row r="1111" spans="1:10" hidden="1">
      <c r="A1111" s="71" t="s">
        <v>283</v>
      </c>
      <c r="B1111" s="75"/>
      <c r="C1111" s="1651" t="s">
        <v>3546</v>
      </c>
      <c r="D1111" s="72" t="s">
        <v>2555</v>
      </c>
      <c r="E1111" s="2016" t="str">
        <f t="shared" si="45"/>
        <v>CU</v>
      </c>
      <c r="F1111" s="54">
        <v>50</v>
      </c>
      <c r="G1111" s="54" t="s">
        <v>512</v>
      </c>
      <c r="J1111" s="54" t="str">
        <f t="shared" si="47"/>
        <v>CUT90</v>
      </c>
    </row>
    <row r="1112" spans="1:10" hidden="1">
      <c r="A1112" s="71" t="s">
        <v>1215</v>
      </c>
      <c r="B1112" s="75"/>
      <c r="C1112" s="1651" t="s">
        <v>3547</v>
      </c>
      <c r="D1112" s="72" t="s">
        <v>2555</v>
      </c>
      <c r="E1112" s="2016" t="str">
        <f t="shared" si="45"/>
        <v>CU</v>
      </c>
      <c r="F1112" s="54">
        <v>50</v>
      </c>
      <c r="G1112" s="54" t="s">
        <v>512</v>
      </c>
      <c r="J1112" s="54" t="str">
        <f t="shared" si="47"/>
        <v>CUT90135</v>
      </c>
    </row>
    <row r="1113" spans="1:10" hidden="1">
      <c r="A1113" s="71" t="s">
        <v>70</v>
      </c>
      <c r="B1113" s="75"/>
      <c r="C1113" s="1651" t="s">
        <v>3548</v>
      </c>
      <c r="D1113" s="72" t="s">
        <v>2555</v>
      </c>
      <c r="E1113" s="2016" t="str">
        <f t="shared" si="45"/>
        <v>CU</v>
      </c>
      <c r="F1113" s="54">
        <v>50</v>
      </c>
      <c r="G1113" s="54" t="s">
        <v>512</v>
      </c>
      <c r="J1113" s="54" t="str">
        <f t="shared" si="47"/>
        <v>CUT90T</v>
      </c>
    </row>
    <row r="1114" spans="1:10" hidden="1">
      <c r="A1114" s="71" t="s">
        <v>2117</v>
      </c>
      <c r="B1114" s="75"/>
      <c r="C1114" s="1651" t="s">
        <v>3549</v>
      </c>
      <c r="D1114" s="72" t="s">
        <v>2555</v>
      </c>
      <c r="E1114" s="2016" t="str">
        <f>LEFT(A1114,2)</f>
        <v>CU</v>
      </c>
      <c r="F1114" s="54">
        <v>50</v>
      </c>
      <c r="G1114" s="54" t="s">
        <v>512</v>
      </c>
      <c r="J1114" s="54" t="str">
        <f t="shared" si="47"/>
        <v>CUT114T</v>
      </c>
    </row>
    <row r="1115" spans="1:10" hidden="1">
      <c r="A1115" s="71" t="s">
        <v>4766</v>
      </c>
      <c r="B1115" s="75"/>
      <c r="C1115" s="1651" t="s">
        <v>4767</v>
      </c>
      <c r="D1115" s="72" t="s">
        <v>2555</v>
      </c>
      <c r="E1115" s="2016" t="str">
        <f t="shared" si="45"/>
        <v>CU</v>
      </c>
      <c r="F1115" s="54">
        <v>50</v>
      </c>
      <c r="G1115" s="54" t="s">
        <v>512</v>
      </c>
      <c r="J1115" s="54" t="str">
        <f t="shared" si="47"/>
        <v>CUT114L</v>
      </c>
    </row>
    <row r="1116" spans="1:10" hidden="1">
      <c r="A1116" s="71" t="s">
        <v>1043</v>
      </c>
      <c r="B1116" s="75"/>
      <c r="C1116" s="1651" t="s">
        <v>3550</v>
      </c>
      <c r="D1116" s="72" t="s">
        <v>2555</v>
      </c>
      <c r="E1116" s="2016" t="str">
        <f t="shared" si="45"/>
        <v>CU</v>
      </c>
      <c r="F1116" s="54">
        <v>50</v>
      </c>
      <c r="G1116" s="54" t="s">
        <v>512</v>
      </c>
      <c r="J1116" s="54" t="str">
        <f t="shared" si="47"/>
        <v>CUT114</v>
      </c>
    </row>
    <row r="1117" spans="1:10" hidden="1">
      <c r="A1117" s="71" t="s">
        <v>450</v>
      </c>
      <c r="B1117" s="75"/>
      <c r="C1117" s="1651" t="s">
        <v>3551</v>
      </c>
      <c r="D1117" s="72" t="s">
        <v>2555</v>
      </c>
      <c r="E1117" s="2016" t="str">
        <f t="shared" si="45"/>
        <v>CU</v>
      </c>
      <c r="F1117" s="54">
        <v>50</v>
      </c>
      <c r="G1117" s="54" t="s">
        <v>512</v>
      </c>
      <c r="J1117" s="54" t="str">
        <f t="shared" si="47"/>
        <v>CUT140t</v>
      </c>
    </row>
    <row r="1118" spans="1:10" hidden="1">
      <c r="A1118" s="71" t="s">
        <v>473</v>
      </c>
      <c r="B1118" s="75"/>
      <c r="C1118" s="1651" t="s">
        <v>3552</v>
      </c>
      <c r="D1118" s="72" t="s">
        <v>2555</v>
      </c>
      <c r="E1118" s="2016" t="str">
        <f t="shared" si="45"/>
        <v>CU</v>
      </c>
      <c r="F1118" s="54">
        <v>50</v>
      </c>
      <c r="G1118" s="54" t="s">
        <v>512</v>
      </c>
      <c r="J1118" s="54" t="str">
        <f t="shared" si="47"/>
        <v>CUT140</v>
      </c>
    </row>
    <row r="1119" spans="1:10" hidden="1">
      <c r="A1119" s="71" t="s">
        <v>1271</v>
      </c>
      <c r="B1119" s="75"/>
      <c r="C1119" s="1651" t="s">
        <v>3553</v>
      </c>
      <c r="D1119" s="72" t="s">
        <v>2555</v>
      </c>
      <c r="E1119" s="2016" t="str">
        <f t="shared" si="45"/>
        <v>CU</v>
      </c>
      <c r="F1119" s="54">
        <v>50</v>
      </c>
      <c r="G1119" s="54" t="s">
        <v>512</v>
      </c>
      <c r="J1119" s="54" t="str">
        <f t="shared" si="47"/>
        <v>CUT168</v>
      </c>
    </row>
    <row r="1120" spans="1:10" hidden="1">
      <c r="A1120" s="71" t="s">
        <v>688</v>
      </c>
      <c r="B1120" s="1662"/>
      <c r="C1120" s="1651" t="s">
        <v>4451</v>
      </c>
      <c r="D1120" s="72" t="s">
        <v>2555</v>
      </c>
      <c r="E1120" s="2016" t="str">
        <f>LEFT(A1120,2)</f>
        <v>NP</v>
      </c>
      <c r="F1120" s="54">
        <v>50</v>
      </c>
      <c r="G1120" s="54" t="s">
        <v>512</v>
      </c>
      <c r="J1120" s="54" t="str">
        <f t="shared" si="47"/>
        <v>NPVC114</v>
      </c>
    </row>
    <row r="1121" spans="1:10" hidden="1">
      <c r="A1121" s="71" t="s">
        <v>1407</v>
      </c>
      <c r="B1121" s="1662"/>
      <c r="C1121" s="1651" t="s">
        <v>3554</v>
      </c>
      <c r="D1121" s="72" t="s">
        <v>2555</v>
      </c>
      <c r="E1121" s="2016" t="str">
        <f t="shared" si="45"/>
        <v>NP</v>
      </c>
      <c r="F1121" s="54">
        <v>50</v>
      </c>
      <c r="G1121" s="54" t="s">
        <v>512</v>
      </c>
      <c r="J1121" s="54" t="str">
        <f t="shared" si="47"/>
        <v>NPVC140</v>
      </c>
    </row>
    <row r="1122" spans="1:10" hidden="1">
      <c r="A1122" s="71" t="s">
        <v>4346</v>
      </c>
      <c r="B1122" s="1662"/>
      <c r="C1122" s="1651" t="s">
        <v>4347</v>
      </c>
      <c r="D1122" s="72" t="s">
        <v>2555</v>
      </c>
      <c r="E1122" s="2016" t="str">
        <f t="shared" si="45"/>
        <v>NP</v>
      </c>
      <c r="F1122" s="54">
        <v>50</v>
      </c>
      <c r="G1122" s="54" t="s">
        <v>512</v>
      </c>
      <c r="J1122" s="54" t="str">
        <f t="shared" si="47"/>
        <v>NPVC114-90</v>
      </c>
    </row>
    <row r="1123" spans="1:10" hidden="1">
      <c r="A1123" s="71" t="s">
        <v>725</v>
      </c>
      <c r="B1123" s="1662"/>
      <c r="C1123" s="1651" t="s">
        <v>3555</v>
      </c>
      <c r="D1123" s="72" t="s">
        <v>2555</v>
      </c>
      <c r="E1123" s="2016" t="str">
        <f t="shared" si="45"/>
        <v>NP</v>
      </c>
      <c r="F1123" s="54">
        <v>50</v>
      </c>
      <c r="G1123" s="54" t="s">
        <v>512</v>
      </c>
      <c r="J1123" s="54" t="str">
        <f t="shared" si="47"/>
        <v>NPVC90</v>
      </c>
    </row>
    <row r="1124" spans="1:10" hidden="1">
      <c r="A1124" s="71" t="s">
        <v>1913</v>
      </c>
      <c r="B1124" s="1662"/>
      <c r="C1124" s="1651" t="s">
        <v>3556</v>
      </c>
      <c r="D1124" s="72" t="s">
        <v>2555</v>
      </c>
      <c r="E1124" s="2016" t="str">
        <f t="shared" si="45"/>
        <v>NP</v>
      </c>
      <c r="F1124" s="54">
        <v>50</v>
      </c>
      <c r="G1124" s="54" t="s">
        <v>512</v>
      </c>
      <c r="J1124" s="54" t="str">
        <f t="shared" si="47"/>
        <v>NPVC42</v>
      </c>
    </row>
    <row r="1125" spans="1:10" hidden="1">
      <c r="A1125" s="71" t="s">
        <v>2272</v>
      </c>
      <c r="B1125" s="1662"/>
      <c r="C1125" s="1651" t="s">
        <v>3557</v>
      </c>
      <c r="D1125" s="72" t="s">
        <v>2555</v>
      </c>
      <c r="E1125" s="2016" t="str">
        <f t="shared" si="45"/>
        <v>NP</v>
      </c>
      <c r="F1125" s="54">
        <v>50</v>
      </c>
      <c r="G1125" s="54" t="s">
        <v>512</v>
      </c>
      <c r="J1125" s="54" t="str">
        <f t="shared" si="47"/>
        <v>NPVC21</v>
      </c>
    </row>
    <row r="1126" spans="1:10" hidden="1">
      <c r="A1126" s="71" t="s">
        <v>2273</v>
      </c>
      <c r="B1126" s="1662"/>
      <c r="C1126" s="1651" t="s">
        <v>3558</v>
      </c>
      <c r="D1126" s="72" t="s">
        <v>2555</v>
      </c>
      <c r="E1126" s="2016" t="str">
        <f t="shared" si="45"/>
        <v>NT</v>
      </c>
      <c r="F1126" s="54">
        <v>50</v>
      </c>
      <c r="G1126" s="54" t="s">
        <v>512</v>
      </c>
      <c r="J1126" s="54" t="str">
        <f t="shared" si="47"/>
        <v>NT42</v>
      </c>
    </row>
    <row r="1127" spans="1:10" hidden="1">
      <c r="A1127" s="71" t="s">
        <v>622</v>
      </c>
      <c r="B1127" s="75"/>
      <c r="C1127" s="73" t="s">
        <v>3559</v>
      </c>
      <c r="D1127" s="72" t="s">
        <v>2555</v>
      </c>
      <c r="E1127" s="2016" t="str">
        <f t="shared" si="45"/>
        <v>BA</v>
      </c>
      <c r="F1127" s="54">
        <v>50</v>
      </c>
      <c r="G1127" s="54" t="s">
        <v>512</v>
      </c>
      <c r="J1127" s="54" t="str">
        <f t="shared" si="47"/>
        <v>BAKE6200</v>
      </c>
    </row>
    <row r="1128" spans="1:10" hidden="1">
      <c r="A1128" s="71" t="s">
        <v>880</v>
      </c>
      <c r="B1128" s="1662"/>
      <c r="C1128" s="1651" t="s">
        <v>3560</v>
      </c>
      <c r="D1128" s="72" t="s">
        <v>2555</v>
      </c>
      <c r="E1128" s="2016" t="str">
        <f t="shared" si="45"/>
        <v>BA</v>
      </c>
      <c r="F1128" s="54">
        <v>50</v>
      </c>
      <c r="G1128" s="54" t="s">
        <v>512</v>
      </c>
      <c r="J1128" s="54" t="str">
        <f t="shared" si="47"/>
        <v>BAKE</v>
      </c>
    </row>
    <row r="1129" spans="1:10" hidden="1">
      <c r="A1129" s="71" t="s">
        <v>1914</v>
      </c>
      <c r="B1129" s="1662"/>
      <c r="C1129" s="1651" t="s">
        <v>3561</v>
      </c>
      <c r="D1129" s="72" t="s">
        <v>2555</v>
      </c>
      <c r="E1129" s="2016" t="str">
        <f t="shared" si="45"/>
        <v>BA</v>
      </c>
      <c r="F1129" s="54">
        <v>50</v>
      </c>
      <c r="G1129" s="54" t="s">
        <v>512</v>
      </c>
      <c r="J1129" s="54" t="str">
        <f t="shared" si="47"/>
        <v>BAKEDKDT</v>
      </c>
    </row>
    <row r="1130" spans="1:10" hidden="1">
      <c r="A1130" s="71" t="s">
        <v>59</v>
      </c>
      <c r="B1130" s="1662"/>
      <c r="C1130" s="1651" t="s">
        <v>3562</v>
      </c>
      <c r="D1130" s="72" t="s">
        <v>2555</v>
      </c>
      <c r="E1130" s="2016" t="str">
        <f t="shared" ref="E1130:E1200" si="48">LEFT(A1130,2)</f>
        <v>BA</v>
      </c>
      <c r="F1130" s="54">
        <v>50</v>
      </c>
      <c r="G1130" s="54" t="s">
        <v>512</v>
      </c>
      <c r="J1130" s="54" t="str">
        <f t="shared" si="47"/>
        <v>BAKETu</v>
      </c>
    </row>
    <row r="1131" spans="1:10" hidden="1">
      <c r="A1131" s="71" t="s">
        <v>243</v>
      </c>
      <c r="B1131" s="1662"/>
      <c r="C1131" s="1651" t="s">
        <v>3563</v>
      </c>
      <c r="D1131" s="72" t="s">
        <v>2555</v>
      </c>
      <c r="E1131" s="2016" t="str">
        <f t="shared" si="48"/>
        <v>BA</v>
      </c>
      <c r="F1131" s="54">
        <v>50</v>
      </c>
      <c r="G1131" s="54" t="s">
        <v>512</v>
      </c>
      <c r="J1131" s="54" t="str">
        <f t="shared" si="47"/>
        <v>BANGG</v>
      </c>
    </row>
    <row r="1132" spans="1:10" hidden="1">
      <c r="A1132" s="71" t="s">
        <v>1597</v>
      </c>
      <c r="B1132" s="1662"/>
      <c r="C1132" s="1651" t="s">
        <v>3564</v>
      </c>
      <c r="D1132" s="72" t="s">
        <v>2555</v>
      </c>
      <c r="E1132" s="2016" t="str">
        <f t="shared" si="48"/>
        <v>BA</v>
      </c>
      <c r="F1132" s="54">
        <v>50</v>
      </c>
      <c r="G1132" s="54" t="s">
        <v>512</v>
      </c>
      <c r="J1132" s="54" t="str">
        <f t="shared" si="47"/>
        <v>BANGNHUA</v>
      </c>
    </row>
    <row r="1133" spans="1:10" hidden="1">
      <c r="A1133" s="71" t="s">
        <v>672</v>
      </c>
      <c r="B1133" s="1662"/>
      <c r="C1133" s="1651" t="s">
        <v>3565</v>
      </c>
      <c r="D1133" s="72" t="s">
        <v>3566</v>
      </c>
      <c r="E1133" s="2016" t="str">
        <f>LEFT(A1133,2)</f>
        <v>BA</v>
      </c>
      <c r="F1133" s="54">
        <v>50</v>
      </c>
      <c r="G1133" s="54" t="s">
        <v>512</v>
      </c>
      <c r="J1133" s="54" t="str">
        <f>A1133</f>
        <v>BANGKEO</v>
      </c>
    </row>
    <row r="1134" spans="1:10" hidden="1">
      <c r="A1134" s="71" t="s">
        <v>372</v>
      </c>
      <c r="B1134" s="1662"/>
      <c r="C1134" s="1651" t="s">
        <v>373</v>
      </c>
      <c r="D1134" s="72" t="s">
        <v>2555</v>
      </c>
      <c r="E1134" s="2016" t="str">
        <f t="shared" si="48"/>
        <v>BA</v>
      </c>
      <c r="F1134" s="54">
        <v>50</v>
      </c>
      <c r="G1134" s="54" t="s">
        <v>512</v>
      </c>
      <c r="J1134" s="54" t="str">
        <f t="shared" si="47"/>
        <v>BAKE16-200X200</v>
      </c>
    </row>
    <row r="1135" spans="1:10" hidden="1">
      <c r="A1135" s="71" t="s">
        <v>1179</v>
      </c>
      <c r="B1135" s="1665"/>
      <c r="C1135" s="1651" t="s">
        <v>3567</v>
      </c>
      <c r="D1135" s="72" t="s">
        <v>3568</v>
      </c>
      <c r="E1135" s="2016" t="str">
        <f t="shared" si="48"/>
        <v>KE</v>
      </c>
      <c r="F1135" s="54">
        <v>50</v>
      </c>
      <c r="G1135" s="54" t="s">
        <v>512</v>
      </c>
      <c r="J1135" s="54" t="str">
        <f t="shared" si="47"/>
        <v>KEOBIT</v>
      </c>
    </row>
    <row r="1136" spans="1:10" hidden="1">
      <c r="A1136" s="71" t="s">
        <v>1425</v>
      </c>
      <c r="B1136" s="1642"/>
      <c r="C1136" s="71" t="s">
        <v>3569</v>
      </c>
      <c r="D1136" s="72" t="s">
        <v>2248</v>
      </c>
      <c r="E1136" s="2016" t="str">
        <f t="shared" si="48"/>
        <v>KE</v>
      </c>
      <c r="F1136" s="54">
        <v>50</v>
      </c>
      <c r="G1136" s="54" t="s">
        <v>512</v>
      </c>
      <c r="J1136" s="54" t="str">
        <f t="shared" si="47"/>
        <v>KEM</v>
      </c>
    </row>
    <row r="1137" spans="1:10" hidden="1">
      <c r="A1137" s="71" t="s">
        <v>2036</v>
      </c>
      <c r="B1137" s="75"/>
      <c r="C1137" s="1651" t="s">
        <v>3570</v>
      </c>
      <c r="D1137" s="72" t="s">
        <v>3571</v>
      </c>
      <c r="E1137" s="2016" t="str">
        <f t="shared" si="48"/>
        <v>ke</v>
      </c>
      <c r="F1137" s="54">
        <v>50</v>
      </c>
      <c r="G1137" s="54" t="s">
        <v>512</v>
      </c>
      <c r="J1137" s="54" t="str">
        <f t="shared" si="47"/>
        <v>keodan</v>
      </c>
    </row>
    <row r="1138" spans="1:10" hidden="1">
      <c r="A1138" s="71" t="s">
        <v>726</v>
      </c>
      <c r="B1138" s="75"/>
      <c r="C1138" s="1651" t="s">
        <v>3572</v>
      </c>
      <c r="D1138" s="72" t="s">
        <v>388</v>
      </c>
      <c r="E1138" s="2016" t="str">
        <f t="shared" si="48"/>
        <v>KE</v>
      </c>
      <c r="F1138" s="54">
        <v>50</v>
      </c>
      <c r="G1138" s="54" t="s">
        <v>512</v>
      </c>
      <c r="J1138" s="54" t="str">
        <f t="shared" si="47"/>
        <v>KEO</v>
      </c>
    </row>
    <row r="1139" spans="1:10" hidden="1">
      <c r="A1139" s="71" t="s">
        <v>2120</v>
      </c>
      <c r="B1139" s="1665"/>
      <c r="C1139" s="1651" t="s">
        <v>3573</v>
      </c>
      <c r="D1139" s="72" t="s">
        <v>2555</v>
      </c>
      <c r="E1139" s="2016" t="str">
        <f t="shared" si="48"/>
        <v>KV</v>
      </c>
      <c r="F1139" s="54">
        <v>50</v>
      </c>
      <c r="G1139" s="54" t="s">
        <v>512</v>
      </c>
      <c r="J1139" s="54" t="str">
        <f t="shared" si="47"/>
        <v>KVRT42</v>
      </c>
    </row>
    <row r="1140" spans="1:10" hidden="1">
      <c r="A1140" s="71" t="s">
        <v>931</v>
      </c>
      <c r="B1140" s="1665"/>
      <c r="C1140" s="1651" t="s">
        <v>3574</v>
      </c>
      <c r="D1140" s="72" t="s">
        <v>2555</v>
      </c>
      <c r="E1140" s="2016" t="str">
        <f t="shared" si="48"/>
        <v>KV</v>
      </c>
      <c r="F1140" s="54">
        <v>50</v>
      </c>
      <c r="G1140" s="54" t="s">
        <v>512</v>
      </c>
      <c r="J1140" s="54" t="str">
        <f t="shared" si="47"/>
        <v>KVRT90</v>
      </c>
    </row>
    <row r="1141" spans="1:10" hidden="1">
      <c r="A1141" s="71" t="s">
        <v>1964</v>
      </c>
      <c r="B1141" s="1665"/>
      <c r="C1141" s="1651" t="s">
        <v>3575</v>
      </c>
      <c r="D1141" s="72" t="s">
        <v>2555</v>
      </c>
      <c r="E1141" s="2016" t="str">
        <f t="shared" si="48"/>
        <v>KV</v>
      </c>
      <c r="F1141" s="54">
        <v>50</v>
      </c>
      <c r="G1141" s="54" t="s">
        <v>512</v>
      </c>
      <c r="J1141" s="54" t="str">
        <f t="shared" si="47"/>
        <v>KVRT114</v>
      </c>
    </row>
    <row r="1142" spans="1:10" hidden="1">
      <c r="A1142" s="71" t="s">
        <v>1499</v>
      </c>
      <c r="B1142" s="1665"/>
      <c r="C1142" s="1651" t="s">
        <v>3576</v>
      </c>
      <c r="D1142" s="72" t="s">
        <v>2555</v>
      </c>
      <c r="E1142" s="2016" t="str">
        <f t="shared" si="48"/>
        <v>KV</v>
      </c>
      <c r="F1142" s="54">
        <v>50</v>
      </c>
      <c r="G1142" s="54" t="s">
        <v>512</v>
      </c>
      <c r="J1142" s="54" t="str">
        <f t="shared" si="47"/>
        <v>KVRT140</v>
      </c>
    </row>
    <row r="1143" spans="1:10" hidden="1">
      <c r="A1143" s="71" t="s">
        <v>959</v>
      </c>
      <c r="B1143" s="1665"/>
      <c r="C1143" s="1651" t="s">
        <v>3577</v>
      </c>
      <c r="D1143" s="72" t="s">
        <v>2555</v>
      </c>
      <c r="E1143" s="2016" t="str">
        <f t="shared" si="48"/>
        <v>KV</v>
      </c>
      <c r="F1143" s="54">
        <v>50</v>
      </c>
      <c r="G1143" s="54" t="s">
        <v>512</v>
      </c>
      <c r="J1143" s="54" t="str">
        <f t="shared" si="47"/>
        <v>KVRN42</v>
      </c>
    </row>
    <row r="1144" spans="1:10" hidden="1">
      <c r="A1144" s="71" t="s">
        <v>930</v>
      </c>
      <c r="B1144" s="1665"/>
      <c r="C1144" s="1651" t="s">
        <v>3578</v>
      </c>
      <c r="D1144" s="72" t="s">
        <v>2555</v>
      </c>
      <c r="E1144" s="2016" t="str">
        <f t="shared" si="48"/>
        <v>KV</v>
      </c>
      <c r="F1144" s="54">
        <v>50</v>
      </c>
      <c r="G1144" s="54" t="s">
        <v>512</v>
      </c>
      <c r="J1144" s="54" t="str">
        <f t="shared" si="47"/>
        <v>KVRN90</v>
      </c>
    </row>
    <row r="1145" spans="1:10" hidden="1">
      <c r="A1145" s="71" t="s">
        <v>1965</v>
      </c>
      <c r="B1145" s="1665"/>
      <c r="C1145" s="1651" t="s">
        <v>3579</v>
      </c>
      <c r="D1145" s="72" t="s">
        <v>2555</v>
      </c>
      <c r="E1145" s="2016" t="str">
        <f t="shared" si="48"/>
        <v>KV</v>
      </c>
      <c r="F1145" s="54">
        <v>50</v>
      </c>
      <c r="G1145" s="54" t="s">
        <v>512</v>
      </c>
      <c r="J1145" s="54" t="str">
        <f t="shared" si="47"/>
        <v>KVRN114</v>
      </c>
    </row>
    <row r="1146" spans="1:10" hidden="1">
      <c r="A1146" s="71" t="s">
        <v>1884</v>
      </c>
      <c r="B1146" s="1665"/>
      <c r="C1146" s="1651" t="s">
        <v>3580</v>
      </c>
      <c r="D1146" s="72" t="s">
        <v>2555</v>
      </c>
      <c r="E1146" s="2016" t="str">
        <f t="shared" si="48"/>
        <v>KV</v>
      </c>
      <c r="F1146" s="54">
        <v>50</v>
      </c>
      <c r="G1146" s="54" t="s">
        <v>512</v>
      </c>
      <c r="J1146" s="54" t="str">
        <f t="shared" si="47"/>
        <v>KVRN140</v>
      </c>
    </row>
    <row r="1147" spans="1:10" hidden="1">
      <c r="A1147" s="71" t="s">
        <v>1036</v>
      </c>
      <c r="B1147" s="1666" t="s">
        <v>1455</v>
      </c>
      <c r="C1147" s="1651" t="s">
        <v>4734</v>
      </c>
      <c r="D1147" s="72" t="s">
        <v>2555</v>
      </c>
      <c r="E1147" s="2016" t="str">
        <f t="shared" si="48"/>
        <v>OX</v>
      </c>
      <c r="F1147" s="54">
        <v>50</v>
      </c>
      <c r="G1147" s="54" t="s">
        <v>512</v>
      </c>
      <c r="J1147" s="54" t="str">
        <f t="shared" si="47"/>
        <v>OXC1/0</v>
      </c>
    </row>
    <row r="1148" spans="1:10" hidden="1">
      <c r="A1148" s="71" t="s">
        <v>1037</v>
      </c>
      <c r="B1148" s="1666" t="s">
        <v>1455</v>
      </c>
      <c r="C1148" s="1651" t="s">
        <v>4735</v>
      </c>
      <c r="D1148" s="72" t="s">
        <v>2555</v>
      </c>
      <c r="E1148" s="2016" t="str">
        <f t="shared" si="48"/>
        <v>OX</v>
      </c>
      <c r="F1148" s="54">
        <v>50</v>
      </c>
      <c r="G1148" s="54" t="s">
        <v>512</v>
      </c>
      <c r="J1148" s="54" t="str">
        <f t="shared" si="47"/>
        <v>OXC2/0</v>
      </c>
    </row>
    <row r="1149" spans="1:10" hidden="1">
      <c r="A1149" s="71" t="s">
        <v>2121</v>
      </c>
      <c r="B1149" s="1666" t="s">
        <v>1455</v>
      </c>
      <c r="C1149" s="1651" t="s">
        <v>4736</v>
      </c>
      <c r="D1149" s="72" t="s">
        <v>2555</v>
      </c>
      <c r="E1149" s="2016" t="str">
        <f t="shared" si="48"/>
        <v>OX</v>
      </c>
      <c r="F1149" s="54">
        <v>50</v>
      </c>
      <c r="G1149" s="54" t="s">
        <v>512</v>
      </c>
      <c r="J1149" s="54" t="str">
        <f t="shared" si="47"/>
        <v>OXCth</v>
      </c>
    </row>
    <row r="1150" spans="1:10" hidden="1">
      <c r="A1150" s="71" t="s">
        <v>1470</v>
      </c>
      <c r="B1150" s="1666" t="s">
        <v>1455</v>
      </c>
      <c r="C1150" s="1651" t="s">
        <v>4737</v>
      </c>
      <c r="D1150" s="72" t="s">
        <v>2555</v>
      </c>
      <c r="E1150" s="2016" t="str">
        <f t="shared" si="48"/>
        <v>OX</v>
      </c>
      <c r="F1150" s="54">
        <v>50</v>
      </c>
      <c r="G1150" s="54" t="s">
        <v>512</v>
      </c>
      <c r="J1150" s="54" t="str">
        <f t="shared" si="47"/>
        <v>OXC11</v>
      </c>
    </row>
    <row r="1151" spans="1:10" hidden="1">
      <c r="A1151" s="71" t="s">
        <v>2256</v>
      </c>
      <c r="B1151" s="1666" t="s">
        <v>1455</v>
      </c>
      <c r="C1151" s="1651" t="s">
        <v>4738</v>
      </c>
      <c r="D1151" s="72" t="s">
        <v>2555</v>
      </c>
      <c r="E1151" s="2016" t="str">
        <f t="shared" si="48"/>
        <v>OX</v>
      </c>
      <c r="F1151" s="54">
        <v>50</v>
      </c>
      <c r="G1151" s="54" t="s">
        <v>512</v>
      </c>
      <c r="J1151" s="54" t="str">
        <f t="shared" si="47"/>
        <v>OXC22</v>
      </c>
    </row>
    <row r="1152" spans="1:10" hidden="1">
      <c r="A1152" s="71" t="s">
        <v>1062</v>
      </c>
      <c r="B1152" s="1662" t="s">
        <v>1455</v>
      </c>
      <c r="C1152" s="71" t="s">
        <v>4739</v>
      </c>
      <c r="D1152" s="72" t="s">
        <v>2555</v>
      </c>
      <c r="E1152" s="2016" t="str">
        <f t="shared" si="48"/>
        <v>OX</v>
      </c>
      <c r="F1152" s="54">
        <v>50</v>
      </c>
      <c r="G1152" s="54" t="s">
        <v>512</v>
      </c>
      <c r="J1152" s="54" t="str">
        <f t="shared" si="47"/>
        <v>OXC25</v>
      </c>
    </row>
    <row r="1153" spans="1:10" hidden="1">
      <c r="A1153" s="71" t="s">
        <v>1063</v>
      </c>
      <c r="B1153" s="1666" t="s">
        <v>1455</v>
      </c>
      <c r="C1153" s="1651" t="s">
        <v>4740</v>
      </c>
      <c r="D1153" s="72" t="s">
        <v>2555</v>
      </c>
      <c r="E1153" s="2016" t="str">
        <f t="shared" si="48"/>
        <v>OX</v>
      </c>
      <c r="F1153" s="54">
        <v>50</v>
      </c>
      <c r="G1153" s="54" t="s">
        <v>512</v>
      </c>
      <c r="J1153" s="54" t="str">
        <f t="shared" si="47"/>
        <v>OXC38</v>
      </c>
    </row>
    <row r="1154" spans="1:10" hidden="1">
      <c r="A1154" s="71" t="s">
        <v>1469</v>
      </c>
      <c r="B1154" s="1666" t="s">
        <v>1455</v>
      </c>
      <c r="C1154" s="1651" t="s">
        <v>4741</v>
      </c>
      <c r="D1154" s="72" t="s">
        <v>2555</v>
      </c>
      <c r="E1154" s="2016" t="str">
        <f t="shared" si="48"/>
        <v>OX</v>
      </c>
      <c r="F1154" s="54">
        <v>50</v>
      </c>
      <c r="G1154" s="54" t="s">
        <v>512</v>
      </c>
      <c r="J1154" s="54" t="str">
        <f t="shared" si="47"/>
        <v>OXC50</v>
      </c>
    </row>
    <row r="1155" spans="1:10" hidden="1">
      <c r="A1155" s="71" t="s">
        <v>1620</v>
      </c>
      <c r="B1155" s="1666" t="s">
        <v>1455</v>
      </c>
      <c r="C1155" s="1651" t="s">
        <v>4742</v>
      </c>
      <c r="D1155" s="72" t="s">
        <v>2555</v>
      </c>
      <c r="E1155" s="2016" t="str">
        <f t="shared" si="48"/>
        <v>OX</v>
      </c>
      <c r="F1155" s="54">
        <v>50</v>
      </c>
      <c r="G1155" s="54" t="s">
        <v>512</v>
      </c>
      <c r="J1155" s="54" t="str">
        <f t="shared" si="47"/>
        <v>OXC70</v>
      </c>
    </row>
    <row r="1156" spans="1:10" hidden="1">
      <c r="A1156" s="71" t="s">
        <v>687</v>
      </c>
      <c r="B1156" s="1666" t="s">
        <v>1455</v>
      </c>
      <c r="C1156" s="1651" t="s">
        <v>4743</v>
      </c>
      <c r="D1156" s="72" t="s">
        <v>2555</v>
      </c>
      <c r="E1156" s="2016" t="str">
        <f t="shared" si="48"/>
        <v>OX</v>
      </c>
      <c r="F1156" s="54">
        <v>50</v>
      </c>
      <c r="G1156" s="54" t="s">
        <v>512</v>
      </c>
      <c r="J1156" s="54" t="str">
        <f t="shared" si="47"/>
        <v>OXC95</v>
      </c>
    </row>
    <row r="1157" spans="1:10" hidden="1">
      <c r="A1157" s="71" t="s">
        <v>625</v>
      </c>
      <c r="B1157" s="1666" t="s">
        <v>1455</v>
      </c>
      <c r="C1157" s="1651" t="s">
        <v>4744</v>
      </c>
      <c r="D1157" s="72" t="s">
        <v>2555</v>
      </c>
      <c r="E1157" s="2016" t="str">
        <f t="shared" si="48"/>
        <v>OX</v>
      </c>
      <c r="F1157" s="54">
        <v>50</v>
      </c>
      <c r="G1157" s="54" t="s">
        <v>512</v>
      </c>
      <c r="J1157" s="54" t="str">
        <f t="shared" si="47"/>
        <v>OXC120</v>
      </c>
    </row>
    <row r="1158" spans="1:10" hidden="1">
      <c r="A1158" s="71" t="s">
        <v>1096</v>
      </c>
      <c r="B1158" s="1662" t="s">
        <v>1455</v>
      </c>
      <c r="C1158" s="71" t="s">
        <v>4745</v>
      </c>
      <c r="D1158" s="72" t="s">
        <v>2555</v>
      </c>
      <c r="E1158" s="2016" t="str">
        <f t="shared" si="48"/>
        <v>OX</v>
      </c>
      <c r="F1158" s="54">
        <v>50</v>
      </c>
      <c r="G1158" s="54" t="s">
        <v>512</v>
      </c>
      <c r="J1158" s="54" t="str">
        <f t="shared" si="47"/>
        <v>OXC150</v>
      </c>
    </row>
    <row r="1159" spans="1:10" hidden="1">
      <c r="A1159" s="71" t="s">
        <v>2108</v>
      </c>
      <c r="B1159" s="1662" t="s">
        <v>1455</v>
      </c>
      <c r="C1159" s="71" t="s">
        <v>4746</v>
      </c>
      <c r="D1159" s="72" t="s">
        <v>2555</v>
      </c>
      <c r="E1159" s="2016" t="str">
        <f t="shared" si="48"/>
        <v>OX</v>
      </c>
      <c r="F1159" s="54">
        <v>50</v>
      </c>
      <c r="G1159" s="54" t="s">
        <v>512</v>
      </c>
      <c r="J1159" s="54" t="str">
        <f t="shared" si="47"/>
        <v>OXC185</v>
      </c>
    </row>
    <row r="1160" spans="1:10" hidden="1">
      <c r="A1160" s="71" t="s">
        <v>487</v>
      </c>
      <c r="B1160" s="1662" t="s">
        <v>1455</v>
      </c>
      <c r="C1160" s="71" t="s">
        <v>4747</v>
      </c>
      <c r="D1160" s="72" t="s">
        <v>2555</v>
      </c>
      <c r="E1160" s="2016" t="str">
        <f t="shared" si="48"/>
        <v>OX</v>
      </c>
      <c r="F1160" s="54">
        <v>50</v>
      </c>
      <c r="G1160" s="54" t="s">
        <v>512</v>
      </c>
      <c r="J1160" s="54" t="str">
        <f t="shared" si="47"/>
        <v>OXC240</v>
      </c>
    </row>
    <row r="1161" spans="1:10" hidden="1">
      <c r="A1161" s="71" t="s">
        <v>2077</v>
      </c>
      <c r="B1161" s="75"/>
      <c r="C1161" s="1651" t="s">
        <v>3582</v>
      </c>
      <c r="D1161" s="72" t="s">
        <v>2555</v>
      </c>
      <c r="E1161" s="2016" t="str">
        <f t="shared" si="48"/>
        <v>KH</v>
      </c>
      <c r="F1161" s="54">
        <v>50</v>
      </c>
      <c r="G1161" s="54" t="s">
        <v>512</v>
      </c>
      <c r="J1161" s="54" t="str">
        <f t="shared" si="47"/>
        <v>KHOA</v>
      </c>
    </row>
    <row r="1162" spans="1:10" hidden="1">
      <c r="A1162" s="71" t="s">
        <v>438</v>
      </c>
      <c r="B1162" s="72"/>
      <c r="C1162" s="1650" t="s">
        <v>3583</v>
      </c>
      <c r="D1162" s="72" t="s">
        <v>856</v>
      </c>
      <c r="E1162" s="2016" t="str">
        <f t="shared" si="48"/>
        <v>ox</v>
      </c>
      <c r="F1162" s="54">
        <v>50</v>
      </c>
      <c r="G1162" s="54" t="s">
        <v>512</v>
      </c>
      <c r="J1162" s="54" t="str">
        <f t="shared" si="47"/>
        <v>oxy</v>
      </c>
    </row>
    <row r="1163" spans="1:10" hidden="1">
      <c r="A1163" s="71" t="s">
        <v>870</v>
      </c>
      <c r="B1163" s="72" t="s">
        <v>215</v>
      </c>
      <c r="C1163" s="73" t="s">
        <v>3584</v>
      </c>
      <c r="D1163" s="72" t="s">
        <v>3585</v>
      </c>
      <c r="E1163" s="2016" t="str">
        <f t="shared" si="48"/>
        <v>LC</v>
      </c>
      <c r="F1163" s="54">
        <v>50</v>
      </c>
      <c r="J1163" s="54" t="str">
        <f t="shared" si="47"/>
        <v>LCbh9</v>
      </c>
    </row>
    <row r="1164" spans="1:10" hidden="1">
      <c r="A1164" s="71" t="s">
        <v>1639</v>
      </c>
      <c r="B1164" s="72" t="s">
        <v>2092</v>
      </c>
      <c r="C1164" s="73" t="s">
        <v>3586</v>
      </c>
      <c r="D1164" s="72" t="s">
        <v>3585</v>
      </c>
      <c r="E1164" s="2016" t="str">
        <f t="shared" si="48"/>
        <v>LB</v>
      </c>
      <c r="F1164" s="54">
        <v>50</v>
      </c>
      <c r="J1164" s="54" t="str">
        <f t="shared" si="47"/>
        <v>LBbh</v>
      </c>
    </row>
    <row r="1165" spans="1:10" hidden="1">
      <c r="A1165" s="71" t="s">
        <v>403</v>
      </c>
      <c r="B1165" s="72"/>
      <c r="C1165" s="73" t="s">
        <v>3587</v>
      </c>
      <c r="D1165" s="72" t="s">
        <v>3370</v>
      </c>
      <c r="E1165" s="2016" t="str">
        <f t="shared" si="48"/>
        <v>LT</v>
      </c>
      <c r="F1165" s="54">
        <v>50</v>
      </c>
      <c r="J1165" s="54" t="str">
        <f t="shared" si="47"/>
        <v>LTC</v>
      </c>
    </row>
    <row r="1166" spans="1:10" hidden="1">
      <c r="A1166" s="71" t="s">
        <v>1640</v>
      </c>
      <c r="B1166" s="1662" t="s">
        <v>1147</v>
      </c>
      <c r="C1166" s="73" t="s">
        <v>3588</v>
      </c>
      <c r="D1166" s="72" t="s">
        <v>1960</v>
      </c>
      <c r="E1166" s="2016" t="str">
        <f t="shared" si="48"/>
        <v>So</v>
      </c>
      <c r="F1166" s="54">
        <v>50</v>
      </c>
      <c r="J1166" s="54" t="str">
        <f t="shared" ref="J1166:J1229" si="49">A1166</f>
        <v>SonCBH</v>
      </c>
    </row>
    <row r="1167" spans="1:10" hidden="1">
      <c r="A1167" s="71" t="s">
        <v>311</v>
      </c>
      <c r="B1167" s="1662" t="s">
        <v>1147</v>
      </c>
      <c r="C1167" s="73" t="s">
        <v>3589</v>
      </c>
      <c r="D1167" s="72" t="s">
        <v>1960</v>
      </c>
      <c r="E1167" s="2016" t="str">
        <f t="shared" si="48"/>
        <v>So</v>
      </c>
      <c r="F1167" s="54">
        <v>50</v>
      </c>
      <c r="J1167" s="54" t="str">
        <f t="shared" si="49"/>
        <v>SonBBH</v>
      </c>
    </row>
    <row r="1168" spans="1:10" hidden="1">
      <c r="A1168" s="71" t="s">
        <v>1641</v>
      </c>
      <c r="B1168" s="1661" t="s">
        <v>1148</v>
      </c>
      <c r="C1168" s="73" t="s">
        <v>3590</v>
      </c>
      <c r="D1168" s="72" t="s">
        <v>3585</v>
      </c>
      <c r="E1168" s="2016" t="str">
        <f t="shared" si="48"/>
        <v>VC</v>
      </c>
      <c r="F1168" s="54">
        <v>2000</v>
      </c>
      <c r="J1168" s="54" t="str">
        <f t="shared" si="49"/>
        <v>VCT</v>
      </c>
    </row>
    <row r="1169" spans="1:10" hidden="1">
      <c r="A1169" s="71" t="s">
        <v>1136</v>
      </c>
      <c r="B1169" s="1661" t="s">
        <v>692</v>
      </c>
      <c r="C1169" s="73" t="s">
        <v>4457</v>
      </c>
      <c r="D1169" s="72" t="s">
        <v>2555</v>
      </c>
      <c r="E1169" s="2016" t="str">
        <f t="shared" si="48"/>
        <v>U1</v>
      </c>
      <c r="F1169" s="54">
        <v>50</v>
      </c>
      <c r="G1169" s="54" t="s">
        <v>512</v>
      </c>
      <c r="J1169" s="54" t="str">
        <f t="shared" si="49"/>
        <v>U16-280</v>
      </c>
    </row>
    <row r="1170" spans="1:10" hidden="1">
      <c r="A1170" s="71" t="s">
        <v>1408</v>
      </c>
      <c r="B1170" s="1661" t="s">
        <v>692</v>
      </c>
      <c r="C1170" s="73" t="s">
        <v>4458</v>
      </c>
      <c r="D1170" s="72" t="s">
        <v>2555</v>
      </c>
      <c r="E1170" s="2016" t="str">
        <f t="shared" si="48"/>
        <v>U2</v>
      </c>
      <c r="F1170" s="54">
        <v>50</v>
      </c>
      <c r="G1170" s="54" t="s">
        <v>512</v>
      </c>
      <c r="J1170" s="54" t="str">
        <f t="shared" si="49"/>
        <v>U20-280</v>
      </c>
    </row>
    <row r="1171" spans="1:10" hidden="1">
      <c r="A1171" s="71" t="s">
        <v>1138</v>
      </c>
      <c r="B1171" s="1661" t="s">
        <v>691</v>
      </c>
      <c r="C1171" s="73" t="s">
        <v>3591</v>
      </c>
      <c r="D1171" s="72" t="s">
        <v>2555</v>
      </c>
      <c r="E1171" s="2016" t="str">
        <f t="shared" si="48"/>
        <v>U1</v>
      </c>
      <c r="F1171" s="54">
        <v>50</v>
      </c>
      <c r="G1171" s="54" t="s">
        <v>512</v>
      </c>
      <c r="J1171" s="54" t="str">
        <f t="shared" si="49"/>
        <v>U1008</v>
      </c>
    </row>
    <row r="1172" spans="1:10" hidden="1">
      <c r="A1172" s="71" t="s">
        <v>1426</v>
      </c>
      <c r="B1172" s="1661" t="s">
        <v>2150</v>
      </c>
      <c r="C1172" s="73" t="s">
        <v>3592</v>
      </c>
      <c r="D1172" s="72" t="s">
        <v>2248</v>
      </c>
      <c r="E1172" s="2016" t="str">
        <f t="shared" si="48"/>
        <v>U8</v>
      </c>
      <c r="F1172" s="54">
        <v>50</v>
      </c>
      <c r="G1172" s="54" t="s">
        <v>512</v>
      </c>
      <c r="J1172" s="54" t="str">
        <f t="shared" si="49"/>
        <v>U8034</v>
      </c>
    </row>
    <row r="1173" spans="1:10" hidden="1">
      <c r="A1173" s="71" t="s">
        <v>1137</v>
      </c>
      <c r="B1173" s="1661" t="s">
        <v>691</v>
      </c>
      <c r="C1173" s="73" t="s">
        <v>3593</v>
      </c>
      <c r="D1173" s="72" t="s">
        <v>2555</v>
      </c>
      <c r="E1173" s="2016" t="str">
        <f t="shared" si="48"/>
        <v>U1</v>
      </c>
      <c r="F1173" s="54">
        <v>50</v>
      </c>
      <c r="G1173" s="54" t="s">
        <v>512</v>
      </c>
      <c r="J1173" s="54" t="str">
        <f t="shared" si="49"/>
        <v>U1004</v>
      </c>
    </row>
    <row r="1174" spans="1:10" hidden="1">
      <c r="A1174" s="2014" t="str">
        <f>"U100-"&amp;H1174</f>
        <v>U100-500</v>
      </c>
      <c r="B1174" s="2017"/>
      <c r="C1174" s="2018" t="str">
        <f>"Đà U100x46x4.5x"&amp;H1174</f>
        <v>Đà U100x46x4.5x500</v>
      </c>
      <c r="D1174" s="72" t="s">
        <v>2555</v>
      </c>
      <c r="E1174" s="2016" t="str">
        <f t="shared" ref="E1174:E1179" si="50">LEFT(A1174,2)</f>
        <v>U1</v>
      </c>
      <c r="F1174" s="54">
        <v>50</v>
      </c>
      <c r="G1174" s="54" t="s">
        <v>512</v>
      </c>
      <c r="H1174" s="54">
        <v>500</v>
      </c>
      <c r="J1174" s="54" t="str">
        <f t="shared" si="49"/>
        <v>U100-500</v>
      </c>
    </row>
    <row r="1175" spans="1:10" hidden="1">
      <c r="A1175" s="2014" t="str">
        <f>"U100-"&amp;H1175</f>
        <v>U100-700</v>
      </c>
      <c r="B1175" s="2017"/>
      <c r="C1175" s="2018" t="str">
        <f>"Đà U100x46x4.5x"&amp;H1175</f>
        <v>Đà U100x46x4.5x700</v>
      </c>
      <c r="D1175" s="72" t="s">
        <v>2555</v>
      </c>
      <c r="E1175" s="2016" t="str">
        <f t="shared" si="50"/>
        <v>U1</v>
      </c>
      <c r="F1175" s="54">
        <v>50</v>
      </c>
      <c r="G1175" s="54" t="s">
        <v>512</v>
      </c>
      <c r="H1175" s="54">
        <v>700</v>
      </c>
      <c r="J1175" s="54" t="str">
        <f t="shared" si="49"/>
        <v>U100-700</v>
      </c>
    </row>
    <row r="1176" spans="1:10" hidden="1">
      <c r="A1176" s="2014" t="str">
        <f>"U160-"&amp;H1176</f>
        <v>U160-740</v>
      </c>
      <c r="B1176" s="2017"/>
      <c r="C1176" s="2018" t="str">
        <f>"Đà U100x68x5x"&amp;H1176</f>
        <v>Đà U100x68x5x740</v>
      </c>
      <c r="D1176" s="72" t="s">
        <v>2555</v>
      </c>
      <c r="E1176" s="2016" t="str">
        <f t="shared" si="50"/>
        <v>U1</v>
      </c>
      <c r="F1176" s="54">
        <v>50</v>
      </c>
      <c r="G1176" s="54" t="s">
        <v>512</v>
      </c>
      <c r="H1176" s="54">
        <v>740</v>
      </c>
      <c r="J1176" s="54" t="str">
        <f t="shared" si="49"/>
        <v>U160-740</v>
      </c>
    </row>
    <row r="1177" spans="1:10" hidden="1">
      <c r="A1177" s="2014" t="str">
        <f>"U160-"&amp;H1177</f>
        <v>U160-1100</v>
      </c>
      <c r="B1177" s="2017"/>
      <c r="C1177" s="2018" t="str">
        <f>"Đà U100x68x5x"&amp;H1177</f>
        <v>Đà U100x68x5x1100</v>
      </c>
      <c r="D1177" s="72" t="s">
        <v>2555</v>
      </c>
      <c r="E1177" s="2016" t="str">
        <f t="shared" si="50"/>
        <v>U1</v>
      </c>
      <c r="F1177" s="54">
        <v>50</v>
      </c>
      <c r="G1177" s="54" t="s">
        <v>512</v>
      </c>
      <c r="H1177" s="54">
        <v>1100</v>
      </c>
      <c r="J1177" s="54" t="str">
        <f t="shared" si="49"/>
        <v>U160-1100</v>
      </c>
    </row>
    <row r="1178" spans="1:10" hidden="1">
      <c r="A1178" s="2014" t="str">
        <f>"U160-"&amp;H1178</f>
        <v>U160-1449</v>
      </c>
      <c r="B1178" s="2017"/>
      <c r="C1178" s="2018" t="str">
        <f>"Đà U100x68x5x"&amp;H1178</f>
        <v>Đà U100x68x5x1449</v>
      </c>
      <c r="D1178" s="72" t="s">
        <v>2555</v>
      </c>
      <c r="E1178" s="2016" t="str">
        <f t="shared" si="50"/>
        <v>U1</v>
      </c>
      <c r="F1178" s="54">
        <v>50</v>
      </c>
      <c r="G1178" s="54" t="s">
        <v>512</v>
      </c>
      <c r="H1178" s="54">
        <v>1449</v>
      </c>
      <c r="J1178" s="54" t="str">
        <f t="shared" si="49"/>
        <v>U160-1449</v>
      </c>
    </row>
    <row r="1179" spans="1:10" hidden="1">
      <c r="A1179" s="2014" t="str">
        <f>"U160-"&amp;H1179</f>
        <v>U160-1700</v>
      </c>
      <c r="B1179" s="2017"/>
      <c r="C1179" s="2018" t="str">
        <f>"Đà U100x68x5x"&amp;H1179</f>
        <v>Đà U100x68x5x1700</v>
      </c>
      <c r="D1179" s="72" t="s">
        <v>2555</v>
      </c>
      <c r="E1179" s="2016" t="str">
        <f t="shared" si="50"/>
        <v>U1</v>
      </c>
      <c r="F1179" s="54">
        <v>50</v>
      </c>
      <c r="G1179" s="54" t="s">
        <v>512</v>
      </c>
      <c r="H1179" s="54">
        <v>1700</v>
      </c>
      <c r="J1179" s="54" t="str">
        <f t="shared" si="49"/>
        <v>U160-1700</v>
      </c>
    </row>
    <row r="1180" spans="1:10" hidden="1">
      <c r="A1180" s="2014" t="str">
        <f>"U160-"&amp;H1180</f>
        <v>U160-2100</v>
      </c>
      <c r="B1180" s="2017"/>
      <c r="C1180" s="2018" t="str">
        <f>"Đà U100x68x5x"&amp;H1180</f>
        <v>Đà U100x68x5x2100</v>
      </c>
      <c r="D1180" s="72" t="s">
        <v>2555</v>
      </c>
      <c r="E1180" s="2016" t="str">
        <f>LEFT(A1180,2)</f>
        <v>U1</v>
      </c>
      <c r="F1180" s="54">
        <v>50</v>
      </c>
      <c r="G1180" s="54" t="s">
        <v>512</v>
      </c>
      <c r="H1180" s="54">
        <v>2100</v>
      </c>
      <c r="J1180" s="54" t="str">
        <f t="shared" si="49"/>
        <v>U160-2100</v>
      </c>
    </row>
    <row r="1181" spans="1:10" hidden="1">
      <c r="A1181" s="71" t="s">
        <v>1003</v>
      </c>
      <c r="B1181" s="1661" t="s">
        <v>691</v>
      </c>
      <c r="C1181" s="73" t="s">
        <v>3594</v>
      </c>
      <c r="D1181" s="72" t="s">
        <v>2385</v>
      </c>
      <c r="E1181" s="2016" t="str">
        <f t="shared" si="48"/>
        <v>XA</v>
      </c>
      <c r="F1181" s="54">
        <v>50</v>
      </c>
      <c r="G1181" s="54" t="s">
        <v>512</v>
      </c>
      <c r="J1181" s="54" t="str">
        <f t="shared" si="49"/>
        <v>XATUTI</v>
      </c>
    </row>
    <row r="1182" spans="1:10" hidden="1">
      <c r="A1182" s="71" t="s">
        <v>199</v>
      </c>
      <c r="B1182" s="72"/>
      <c r="C1182" s="73" t="s">
        <v>3595</v>
      </c>
      <c r="D1182" s="72" t="s">
        <v>2385</v>
      </c>
      <c r="E1182" s="2016" t="str">
        <f t="shared" si="48"/>
        <v>AK</v>
      </c>
      <c r="F1182" s="54">
        <v>50</v>
      </c>
      <c r="G1182" s="54" t="s">
        <v>512</v>
      </c>
      <c r="J1182" s="54" t="str">
        <f t="shared" si="49"/>
        <v>AK1</v>
      </c>
    </row>
    <row r="1183" spans="1:10" hidden="1">
      <c r="A1183" s="71" t="s">
        <v>200</v>
      </c>
      <c r="B1183" s="72"/>
      <c r="C1183" s="73" t="s">
        <v>3596</v>
      </c>
      <c r="D1183" s="72" t="s">
        <v>2385</v>
      </c>
      <c r="E1183" s="2016" t="str">
        <f t="shared" si="48"/>
        <v>VK</v>
      </c>
      <c r="F1183" s="54">
        <v>50</v>
      </c>
      <c r="G1183" s="54" t="s">
        <v>512</v>
      </c>
      <c r="J1183" s="54" t="str">
        <f t="shared" si="49"/>
        <v>VK1</v>
      </c>
    </row>
    <row r="1184" spans="1:10" hidden="1">
      <c r="A1184" s="71" t="s">
        <v>2090</v>
      </c>
      <c r="B1184" s="72"/>
      <c r="C1184" s="73" t="s">
        <v>3597</v>
      </c>
      <c r="D1184" s="72" t="s">
        <v>2385</v>
      </c>
      <c r="E1184" s="2016" t="str">
        <f t="shared" si="48"/>
        <v>AV</v>
      </c>
      <c r="F1184" s="54">
        <v>50</v>
      </c>
      <c r="G1184" s="54" t="s">
        <v>512</v>
      </c>
      <c r="J1184" s="54" t="str">
        <f t="shared" si="49"/>
        <v>AVK1</v>
      </c>
    </row>
    <row r="1185" spans="1:10" hidden="1">
      <c r="A1185" s="71" t="s">
        <v>2181</v>
      </c>
      <c r="B1185" s="72"/>
      <c r="C1185" s="73" t="s">
        <v>3598</v>
      </c>
      <c r="D1185" s="72" t="s">
        <v>2385</v>
      </c>
      <c r="E1185" s="2016" t="str">
        <f t="shared" si="48"/>
        <v>AV</v>
      </c>
      <c r="F1185" s="54">
        <v>50</v>
      </c>
      <c r="G1185" s="54" t="s">
        <v>512</v>
      </c>
      <c r="J1185" s="54" t="str">
        <f t="shared" si="49"/>
        <v>AVK3</v>
      </c>
    </row>
    <row r="1186" spans="1:10" hidden="1">
      <c r="A1186" s="71" t="s">
        <v>1564</v>
      </c>
      <c r="B1186" s="72"/>
      <c r="C1186" s="1650" t="s">
        <v>3599</v>
      </c>
      <c r="D1186" s="72" t="s">
        <v>856</v>
      </c>
      <c r="E1186" s="2016" t="str">
        <f t="shared" si="48"/>
        <v>ax</v>
      </c>
      <c r="F1186" s="54">
        <v>50</v>
      </c>
      <c r="G1186" s="54" t="s">
        <v>512</v>
      </c>
      <c r="J1186" s="54" t="str">
        <f t="shared" si="49"/>
        <v>axetylen</v>
      </c>
    </row>
    <row r="1187" spans="1:10" hidden="1">
      <c r="A1187" s="1667" t="s">
        <v>899</v>
      </c>
      <c r="B1187" s="1662"/>
      <c r="C1187" s="71" t="s">
        <v>3600</v>
      </c>
      <c r="D1187" s="72" t="s">
        <v>2555</v>
      </c>
      <c r="E1187" s="2016" t="str">
        <f t="shared" si="48"/>
        <v>GI</v>
      </c>
      <c r="F1187" s="54">
        <v>50</v>
      </c>
      <c r="G1187" s="54" t="s">
        <v>512</v>
      </c>
      <c r="J1187" s="54" t="str">
        <f t="shared" si="49"/>
        <v>GIP11-11</v>
      </c>
    </row>
    <row r="1188" spans="1:10" hidden="1">
      <c r="A1188" s="1667" t="s">
        <v>2214</v>
      </c>
      <c r="B1188" s="1662"/>
      <c r="C1188" s="71" t="s">
        <v>3601</v>
      </c>
      <c r="D1188" s="72" t="s">
        <v>2555</v>
      </c>
      <c r="E1188" s="2016" t="str">
        <f t="shared" si="48"/>
        <v>GI</v>
      </c>
      <c r="F1188" s="54">
        <v>50</v>
      </c>
      <c r="G1188" s="54" t="s">
        <v>512</v>
      </c>
      <c r="J1188" s="54" t="str">
        <f t="shared" si="49"/>
        <v>GIP22-11</v>
      </c>
    </row>
    <row r="1189" spans="1:10" hidden="1">
      <c r="A1189" s="1667" t="s">
        <v>2213</v>
      </c>
      <c r="B1189" s="1662"/>
      <c r="C1189" s="71" t="s">
        <v>3602</v>
      </c>
      <c r="D1189" s="72" t="s">
        <v>2555</v>
      </c>
      <c r="E1189" s="2016" t="str">
        <f t="shared" si="48"/>
        <v>GI</v>
      </c>
      <c r="F1189" s="54">
        <v>50</v>
      </c>
      <c r="G1189" s="54" t="s">
        <v>512</v>
      </c>
      <c r="J1189" s="54" t="str">
        <f t="shared" si="49"/>
        <v>GIP22-22</v>
      </c>
    </row>
    <row r="1190" spans="1:10" hidden="1">
      <c r="A1190" s="1667" t="s">
        <v>1066</v>
      </c>
      <c r="B1190" s="1662"/>
      <c r="C1190" s="71" t="s">
        <v>3603</v>
      </c>
      <c r="D1190" s="72" t="s">
        <v>2555</v>
      </c>
      <c r="E1190" s="2016" t="str">
        <f t="shared" si="48"/>
        <v>GI</v>
      </c>
      <c r="F1190" s="54">
        <v>50</v>
      </c>
      <c r="G1190" s="54" t="s">
        <v>512</v>
      </c>
      <c r="J1190" s="54" t="str">
        <f t="shared" si="49"/>
        <v>GIP35-35</v>
      </c>
    </row>
    <row r="1191" spans="1:10" hidden="1">
      <c r="A1191" s="1667" t="s">
        <v>1439</v>
      </c>
      <c r="B1191" s="1662"/>
      <c r="C1191" s="71" t="s">
        <v>3604</v>
      </c>
      <c r="D1191" s="72" t="s">
        <v>2555</v>
      </c>
      <c r="E1191" s="2016" t="str">
        <f t="shared" si="48"/>
        <v>GI</v>
      </c>
      <c r="F1191" s="54">
        <v>50</v>
      </c>
      <c r="G1191" s="54" t="s">
        <v>512</v>
      </c>
      <c r="J1191" s="54" t="str">
        <f t="shared" si="49"/>
        <v>GIP50-25</v>
      </c>
    </row>
    <row r="1192" spans="1:10" hidden="1">
      <c r="A1192" s="1667" t="s">
        <v>2212</v>
      </c>
      <c r="B1192" s="1662"/>
      <c r="C1192" s="71" t="s">
        <v>3605</v>
      </c>
      <c r="D1192" s="72" t="s">
        <v>2555</v>
      </c>
      <c r="E1192" s="2016" t="str">
        <f t="shared" si="48"/>
        <v>GI</v>
      </c>
      <c r="F1192" s="54">
        <v>50</v>
      </c>
      <c r="G1192" s="54" t="s">
        <v>512</v>
      </c>
      <c r="J1192" s="54" t="str">
        <f t="shared" si="49"/>
        <v>GIP50-35</v>
      </c>
    </row>
    <row r="1193" spans="1:10" hidden="1">
      <c r="A1193" s="1667" t="s">
        <v>2201</v>
      </c>
      <c r="B1193" s="1662"/>
      <c r="C1193" s="71" t="s">
        <v>2386</v>
      </c>
      <c r="D1193" s="72" t="s">
        <v>2555</v>
      </c>
      <c r="E1193" s="2016" t="str">
        <f t="shared" si="48"/>
        <v>GI</v>
      </c>
      <c r="F1193" s="54">
        <v>50</v>
      </c>
      <c r="G1193" s="54" t="s">
        <v>512</v>
      </c>
      <c r="J1193" s="54" t="str">
        <f t="shared" si="49"/>
        <v>GIP70-35</v>
      </c>
    </row>
    <row r="1194" spans="1:10" hidden="1">
      <c r="A1194" s="1667" t="s">
        <v>4321</v>
      </c>
      <c r="B1194" s="1662"/>
      <c r="C1194" s="71" t="s">
        <v>4873</v>
      </c>
      <c r="D1194" s="72" t="s">
        <v>2555</v>
      </c>
      <c r="E1194" s="2016" t="str">
        <f t="shared" si="48"/>
        <v>GI</v>
      </c>
      <c r="F1194" s="54">
        <v>50</v>
      </c>
      <c r="G1194" s="54" t="s">
        <v>512</v>
      </c>
      <c r="J1194" s="54" t="str">
        <f t="shared" si="49"/>
        <v>GIP95-25</v>
      </c>
    </row>
    <row r="1195" spans="1:10" hidden="1">
      <c r="A1195" s="1667" t="s">
        <v>861</v>
      </c>
      <c r="B1195" s="1662"/>
      <c r="C1195" s="71" t="s">
        <v>3606</v>
      </c>
      <c r="D1195" s="72" t="s">
        <v>2555</v>
      </c>
      <c r="E1195" s="2016" t="str">
        <f t="shared" si="48"/>
        <v>GI</v>
      </c>
      <c r="F1195" s="54">
        <v>50</v>
      </c>
      <c r="G1195" s="54" t="s">
        <v>512</v>
      </c>
      <c r="J1195" s="54" t="str">
        <f t="shared" si="49"/>
        <v>GIP95-35</v>
      </c>
    </row>
    <row r="1196" spans="1:10" hidden="1">
      <c r="A1196" s="1667" t="s">
        <v>862</v>
      </c>
      <c r="B1196" s="1662"/>
      <c r="C1196" s="71" t="s">
        <v>3607</v>
      </c>
      <c r="D1196" s="72" t="s">
        <v>2555</v>
      </c>
      <c r="E1196" s="2016" t="str">
        <f t="shared" si="48"/>
        <v>GI</v>
      </c>
      <c r="F1196" s="54">
        <v>50</v>
      </c>
      <c r="G1196" s="54" t="s">
        <v>512</v>
      </c>
      <c r="J1196" s="54" t="str">
        <f t="shared" si="49"/>
        <v>GIP120-35</v>
      </c>
    </row>
    <row r="1197" spans="1:10" hidden="1">
      <c r="A1197" s="1667" t="s">
        <v>2023</v>
      </c>
      <c r="B1197" s="1662"/>
      <c r="C1197" s="71" t="s">
        <v>3608</v>
      </c>
      <c r="D1197" s="72" t="s">
        <v>2555</v>
      </c>
      <c r="E1197" s="2016" t="str">
        <f t="shared" si="48"/>
        <v>GI</v>
      </c>
      <c r="F1197" s="54">
        <v>50</v>
      </c>
      <c r="G1197" s="54" t="s">
        <v>512</v>
      </c>
      <c r="J1197" s="54" t="str">
        <f t="shared" si="49"/>
        <v>GIP50-50</v>
      </c>
    </row>
    <row r="1198" spans="1:10" hidden="1">
      <c r="A1198" s="1668" t="s">
        <v>2031</v>
      </c>
      <c r="B1198" s="1662"/>
      <c r="C1198" s="71" t="s">
        <v>3609</v>
      </c>
      <c r="D1198" s="72" t="s">
        <v>2555</v>
      </c>
      <c r="E1198" s="2016" t="str">
        <f t="shared" si="48"/>
        <v>GI</v>
      </c>
      <c r="F1198" s="54">
        <v>50</v>
      </c>
      <c r="G1198" s="54" t="s">
        <v>512</v>
      </c>
      <c r="J1198" s="54" t="str">
        <f t="shared" si="49"/>
        <v>GIP70-50</v>
      </c>
    </row>
    <row r="1199" spans="1:10" hidden="1">
      <c r="A1199" s="1668" t="s">
        <v>1154</v>
      </c>
      <c r="B1199" s="1662"/>
      <c r="C1199" s="71" t="s">
        <v>3610</v>
      </c>
      <c r="D1199" s="72" t="s">
        <v>2555</v>
      </c>
      <c r="E1199" s="2016" t="str">
        <f t="shared" si="48"/>
        <v>GI</v>
      </c>
      <c r="F1199" s="54">
        <v>50</v>
      </c>
      <c r="G1199" s="54" t="s">
        <v>512</v>
      </c>
      <c r="J1199" s="54" t="str">
        <f t="shared" si="49"/>
        <v>GIP95-50</v>
      </c>
    </row>
    <row r="1200" spans="1:10" hidden="1">
      <c r="A1200" s="1668" t="s">
        <v>1155</v>
      </c>
      <c r="B1200" s="1662"/>
      <c r="C1200" s="71" t="s">
        <v>3611</v>
      </c>
      <c r="D1200" s="72" t="s">
        <v>2555</v>
      </c>
      <c r="E1200" s="2016" t="str">
        <f t="shared" si="48"/>
        <v>GI</v>
      </c>
      <c r="F1200" s="54">
        <v>50</v>
      </c>
      <c r="G1200" s="54" t="s">
        <v>512</v>
      </c>
      <c r="J1200" s="54" t="str">
        <f t="shared" si="49"/>
        <v>GIP120-50</v>
      </c>
    </row>
    <row r="1201" spans="1:10" hidden="1">
      <c r="A1201" s="1668" t="s">
        <v>1347</v>
      </c>
      <c r="B1201" s="1662"/>
      <c r="C1201" s="71" t="s">
        <v>3612</v>
      </c>
      <c r="D1201" s="72" t="s">
        <v>2555</v>
      </c>
      <c r="E1201" s="2016" t="str">
        <f t="shared" ref="E1201:E1262" si="51">LEFT(A1201,2)</f>
        <v>GI</v>
      </c>
      <c r="F1201" s="54">
        <v>50</v>
      </c>
      <c r="G1201" s="54" t="s">
        <v>512</v>
      </c>
      <c r="J1201" s="54" t="str">
        <f t="shared" si="49"/>
        <v>GIP150-50</v>
      </c>
    </row>
    <row r="1202" spans="1:10" hidden="1">
      <c r="A1202" s="1667" t="s">
        <v>1109</v>
      </c>
      <c r="B1202" s="1662"/>
      <c r="C1202" s="71" t="s">
        <v>3613</v>
      </c>
      <c r="D1202" s="72" t="s">
        <v>2555</v>
      </c>
      <c r="E1202" s="2016" t="str">
        <f t="shared" si="51"/>
        <v>GI</v>
      </c>
      <c r="F1202" s="54">
        <v>50</v>
      </c>
      <c r="G1202" s="54" t="s">
        <v>512</v>
      </c>
      <c r="J1202" s="54" t="str">
        <f t="shared" si="49"/>
        <v>GIP70-70</v>
      </c>
    </row>
    <row r="1203" spans="1:10" hidden="1">
      <c r="A1203" s="1668" t="s">
        <v>2032</v>
      </c>
      <c r="B1203" s="1662"/>
      <c r="C1203" s="71" t="s">
        <v>3614</v>
      </c>
      <c r="D1203" s="72" t="s">
        <v>2555</v>
      </c>
      <c r="E1203" s="2016" t="str">
        <f t="shared" si="51"/>
        <v>GI</v>
      </c>
      <c r="F1203" s="54">
        <v>50</v>
      </c>
      <c r="G1203" s="54" t="s">
        <v>512</v>
      </c>
      <c r="J1203" s="54" t="str">
        <f t="shared" si="49"/>
        <v>GIP95-70</v>
      </c>
    </row>
    <row r="1204" spans="1:10" hidden="1">
      <c r="A1204" s="1667" t="s">
        <v>474</v>
      </c>
      <c r="B1204" s="1662"/>
      <c r="C1204" s="71" t="s">
        <v>3615</v>
      </c>
      <c r="D1204" s="72" t="s">
        <v>2555</v>
      </c>
      <c r="E1204" s="2016" t="str">
        <f t="shared" si="51"/>
        <v>GI</v>
      </c>
      <c r="F1204" s="54">
        <v>50</v>
      </c>
      <c r="G1204" s="54" t="s">
        <v>512</v>
      </c>
      <c r="J1204" s="54" t="str">
        <f t="shared" si="49"/>
        <v>GIP120-70</v>
      </c>
    </row>
    <row r="1205" spans="1:10" hidden="1">
      <c r="A1205" s="1667" t="s">
        <v>1345</v>
      </c>
      <c r="B1205" s="1662"/>
      <c r="C1205" s="71" t="s">
        <v>3616</v>
      </c>
      <c r="D1205" s="72" t="s">
        <v>2555</v>
      </c>
      <c r="E1205" s="2016" t="str">
        <f t="shared" si="51"/>
        <v>GI</v>
      </c>
      <c r="F1205" s="54">
        <v>50</v>
      </c>
      <c r="G1205" s="54" t="s">
        <v>512</v>
      </c>
      <c r="J1205" s="54" t="str">
        <f t="shared" si="49"/>
        <v>GIP150-70</v>
      </c>
    </row>
    <row r="1206" spans="1:10" hidden="1">
      <c r="A1206" s="1667" t="s">
        <v>1108</v>
      </c>
      <c r="B1206" s="1662"/>
      <c r="C1206" s="71" t="s">
        <v>3617</v>
      </c>
      <c r="D1206" s="72" t="s">
        <v>2555</v>
      </c>
      <c r="E1206" s="2016" t="str">
        <f t="shared" si="51"/>
        <v>GI</v>
      </c>
      <c r="F1206" s="54">
        <v>50</v>
      </c>
      <c r="G1206" s="54" t="s">
        <v>512</v>
      </c>
      <c r="J1206" s="54" t="str">
        <f t="shared" si="49"/>
        <v>GIP95-95</v>
      </c>
    </row>
    <row r="1207" spans="1:10" ht="14.25" hidden="1" customHeight="1">
      <c r="A1207" s="1668" t="s">
        <v>1153</v>
      </c>
      <c r="B1207" s="1662"/>
      <c r="C1207" s="71" t="s">
        <v>3618</v>
      </c>
      <c r="D1207" s="72" t="s">
        <v>2555</v>
      </c>
      <c r="E1207" s="2016" t="str">
        <f t="shared" si="51"/>
        <v>GI</v>
      </c>
      <c r="F1207" s="54">
        <v>50</v>
      </c>
      <c r="G1207" s="54" t="s">
        <v>512</v>
      </c>
      <c r="J1207" s="54" t="str">
        <f t="shared" si="49"/>
        <v>GIP95-120</v>
      </c>
    </row>
    <row r="1208" spans="1:10" ht="14.25" hidden="1" customHeight="1">
      <c r="A1208" s="1668" t="s">
        <v>1344</v>
      </c>
      <c r="B1208" s="1662"/>
      <c r="C1208" s="71" t="s">
        <v>3619</v>
      </c>
      <c r="D1208" s="72" t="s">
        <v>2555</v>
      </c>
      <c r="E1208" s="2016" t="str">
        <f t="shared" si="51"/>
        <v>GI</v>
      </c>
      <c r="F1208" s="54">
        <v>50</v>
      </c>
      <c r="G1208" s="54" t="s">
        <v>512</v>
      </c>
      <c r="J1208" s="54" t="str">
        <f t="shared" si="49"/>
        <v>GIP95-150</v>
      </c>
    </row>
    <row r="1209" spans="1:10" hidden="1">
      <c r="A1209" s="1647" t="s">
        <v>923</v>
      </c>
      <c r="B1209" s="75" t="s">
        <v>581</v>
      </c>
      <c r="C1209" s="71" t="s">
        <v>3620</v>
      </c>
      <c r="D1209" s="72" t="s">
        <v>2037</v>
      </c>
      <c r="E1209" s="2016" t="str">
        <f t="shared" si="51"/>
        <v>KQ</v>
      </c>
      <c r="F1209" s="54">
        <v>50</v>
      </c>
      <c r="J1209" s="54" t="str">
        <f t="shared" si="49"/>
        <v>KQDUPLEX35</v>
      </c>
    </row>
    <row r="1210" spans="1:10" hidden="1">
      <c r="A1210" s="1647" t="s">
        <v>1113</v>
      </c>
      <c r="B1210" s="75" t="s">
        <v>773</v>
      </c>
      <c r="C1210" s="71" t="s">
        <v>3621</v>
      </c>
      <c r="D1210" s="72" t="s">
        <v>2037</v>
      </c>
      <c r="E1210" s="2016" t="str">
        <f t="shared" si="51"/>
        <v>KQ</v>
      </c>
      <c r="F1210" s="54">
        <v>50</v>
      </c>
      <c r="J1210" s="54" t="str">
        <f t="shared" si="49"/>
        <v>KQDUPLEX22</v>
      </c>
    </row>
    <row r="1211" spans="1:10" hidden="1">
      <c r="A1211" s="1647" t="s">
        <v>2062</v>
      </c>
      <c r="B1211" s="75" t="s">
        <v>775</v>
      </c>
      <c r="C1211" s="71" t="s">
        <v>3622</v>
      </c>
      <c r="D1211" s="72" t="s">
        <v>2037</v>
      </c>
      <c r="E1211" s="2016" t="str">
        <f t="shared" si="51"/>
        <v>KQ</v>
      </c>
      <c r="F1211" s="54">
        <v>50</v>
      </c>
      <c r="J1211" s="54" t="str">
        <f t="shared" si="49"/>
        <v>KQDUPLEX16</v>
      </c>
    </row>
    <row r="1212" spans="1:10" hidden="1">
      <c r="A1212" s="1647" t="s">
        <v>774</v>
      </c>
      <c r="B1212" s="75" t="s">
        <v>775</v>
      </c>
      <c r="C1212" s="71" t="s">
        <v>3623</v>
      </c>
      <c r="D1212" s="72" t="s">
        <v>2037</v>
      </c>
      <c r="E1212" s="2016" t="str">
        <f t="shared" si="51"/>
        <v>KQ</v>
      </c>
      <c r="F1212" s="54">
        <v>50</v>
      </c>
      <c r="J1212" s="54" t="str">
        <f t="shared" si="49"/>
        <v>KQDUPLEX14</v>
      </c>
    </row>
    <row r="1213" spans="1:10" hidden="1">
      <c r="A1213" s="1647" t="s">
        <v>776</v>
      </c>
      <c r="B1213" s="75" t="s">
        <v>775</v>
      </c>
      <c r="C1213" s="71" t="s">
        <v>3624</v>
      </c>
      <c r="D1213" s="72" t="s">
        <v>2037</v>
      </c>
      <c r="E1213" s="2016" t="str">
        <f t="shared" si="51"/>
        <v>KQ</v>
      </c>
      <c r="F1213" s="54">
        <v>50</v>
      </c>
      <c r="J1213" s="54" t="str">
        <f t="shared" si="49"/>
        <v>KQDUPLEX11</v>
      </c>
    </row>
    <row r="1214" spans="1:10" hidden="1">
      <c r="A1214" s="1647" t="s">
        <v>735</v>
      </c>
      <c r="B1214" s="75" t="s">
        <v>775</v>
      </c>
      <c r="C1214" s="71" t="s">
        <v>3625</v>
      </c>
      <c r="D1214" s="72" t="s">
        <v>2037</v>
      </c>
      <c r="E1214" s="2016" t="str">
        <f t="shared" si="51"/>
        <v>KT</v>
      </c>
      <c r="F1214" s="54">
        <v>50</v>
      </c>
      <c r="J1214" s="54" t="str">
        <f t="shared" si="49"/>
        <v>KTriplex16</v>
      </c>
    </row>
    <row r="1215" spans="1:10" hidden="1">
      <c r="A1215" s="1647" t="s">
        <v>777</v>
      </c>
      <c r="B1215" s="75" t="s">
        <v>775</v>
      </c>
      <c r="C1215" s="71" t="s">
        <v>3626</v>
      </c>
      <c r="D1215" s="72" t="s">
        <v>2037</v>
      </c>
      <c r="E1215" s="2016" t="str">
        <f t="shared" si="51"/>
        <v>KD</v>
      </c>
      <c r="F1215" s="54">
        <v>50</v>
      </c>
      <c r="J1215" s="54" t="str">
        <f t="shared" si="49"/>
        <v>KDUPLEX11</v>
      </c>
    </row>
    <row r="1216" spans="1:10" hidden="1">
      <c r="A1216" s="71" t="s">
        <v>467</v>
      </c>
      <c r="B1216" s="1662"/>
      <c r="C1216" s="73" t="s">
        <v>3627</v>
      </c>
      <c r="D1216" s="72" t="s">
        <v>2555</v>
      </c>
      <c r="E1216" s="2016" t="str">
        <f t="shared" si="51"/>
        <v>Di</v>
      </c>
      <c r="F1216" s="54">
        <v>50</v>
      </c>
      <c r="G1216" s="54" t="s">
        <v>512</v>
      </c>
      <c r="J1216" s="54" t="str">
        <f t="shared" si="49"/>
        <v>Diabaohieu</v>
      </c>
    </row>
    <row r="1217" spans="1:10" hidden="1">
      <c r="A1217" s="71" t="s">
        <v>1420</v>
      </c>
      <c r="B1217" s="1662"/>
      <c r="C1217" s="73" t="s">
        <v>3628</v>
      </c>
      <c r="D1217" s="72" t="s">
        <v>2555</v>
      </c>
      <c r="E1217" s="2016" t="str">
        <f t="shared" si="51"/>
        <v>De</v>
      </c>
      <c r="F1217" s="54">
        <v>50</v>
      </c>
      <c r="G1217" s="54" t="s">
        <v>512</v>
      </c>
      <c r="J1217" s="54" t="str">
        <f t="shared" si="49"/>
        <v>Denbao</v>
      </c>
    </row>
    <row r="1218" spans="1:10" hidden="1">
      <c r="A1218" s="1659" t="s">
        <v>3629</v>
      </c>
      <c r="E1218" s="2016" t="str">
        <f t="shared" si="51"/>
        <v>Đơ</v>
      </c>
      <c r="F1218" s="54">
        <v>50</v>
      </c>
      <c r="G1218" s="54" t="s">
        <v>512</v>
      </c>
      <c r="J1218" s="54" t="str">
        <f t="shared" si="49"/>
        <v>Đơn giá chiếu sáng</v>
      </c>
    </row>
    <row r="1219" spans="1:10" hidden="1">
      <c r="A1219" s="71" t="s">
        <v>2058</v>
      </c>
      <c r="B1219" s="1642" t="s">
        <v>1800</v>
      </c>
      <c r="C1219" s="71" t="s">
        <v>2602</v>
      </c>
      <c r="D1219" s="72" t="s">
        <v>2555</v>
      </c>
      <c r="E1219" s="2016" t="str">
        <f t="shared" si="51"/>
        <v>TU</v>
      </c>
      <c r="F1219" s="54">
        <v>50</v>
      </c>
      <c r="G1219" s="54" t="s">
        <v>512</v>
      </c>
      <c r="J1219" s="54" t="str">
        <f t="shared" si="49"/>
        <v>TUDKCS</v>
      </c>
    </row>
    <row r="1220" spans="1:10" hidden="1">
      <c r="A1220" s="71" t="s">
        <v>441</v>
      </c>
      <c r="B1220" s="75"/>
      <c r="C1220" s="73" t="s">
        <v>3630</v>
      </c>
      <c r="D1220" s="72" t="s">
        <v>2831</v>
      </c>
      <c r="E1220" s="2016" t="str">
        <f t="shared" si="51"/>
        <v>TR</v>
      </c>
      <c r="F1220" s="54">
        <v>16</v>
      </c>
      <c r="G1220" s="54" t="s">
        <v>512</v>
      </c>
      <c r="J1220" s="54" t="str">
        <f t="shared" si="49"/>
        <v>TRTHEP6</v>
      </c>
    </row>
    <row r="1221" spans="1:10" hidden="1">
      <c r="A1221" s="71" t="s">
        <v>387</v>
      </c>
      <c r="B1221" s="75"/>
      <c r="C1221" s="73" t="s">
        <v>3631</v>
      </c>
      <c r="D1221" s="72" t="s">
        <v>2831</v>
      </c>
      <c r="E1221" s="2016" t="str">
        <f t="shared" si="51"/>
        <v>TR</v>
      </c>
      <c r="F1221" s="54">
        <v>16</v>
      </c>
      <c r="G1221" s="54" t="s">
        <v>512</v>
      </c>
      <c r="J1221" s="54" t="str">
        <f t="shared" si="49"/>
        <v>TRTHEP7</v>
      </c>
    </row>
    <row r="1222" spans="1:10" hidden="1">
      <c r="A1222" s="71" t="s">
        <v>1361</v>
      </c>
      <c r="B1222" s="75" t="s">
        <v>220</v>
      </c>
      <c r="C1222" s="73" t="s">
        <v>3632</v>
      </c>
      <c r="D1222" s="72" t="s">
        <v>2555</v>
      </c>
      <c r="E1222" s="2016" t="str">
        <f t="shared" si="51"/>
        <v>D1</v>
      </c>
      <c r="F1222" s="54">
        <v>50</v>
      </c>
      <c r="G1222" s="54" t="s">
        <v>512</v>
      </c>
      <c r="J1222" s="54" t="str">
        <f t="shared" si="49"/>
        <v>D12 CS</v>
      </c>
    </row>
    <row r="1223" spans="1:10" ht="32.25" hidden="1" customHeight="1">
      <c r="A1223" s="71" t="s">
        <v>1246</v>
      </c>
      <c r="B1223" s="75"/>
      <c r="C1223" s="73" t="s">
        <v>3633</v>
      </c>
      <c r="D1223" s="72" t="s">
        <v>3634</v>
      </c>
      <c r="E1223" s="2016" t="str">
        <f t="shared" si="51"/>
        <v>CD</v>
      </c>
      <c r="F1223" s="54">
        <v>50</v>
      </c>
      <c r="G1223" s="54" t="s">
        <v>512</v>
      </c>
      <c r="J1223" s="54" t="str">
        <f t="shared" si="49"/>
        <v>CDDON</v>
      </c>
    </row>
    <row r="1224" spans="1:10" ht="32.25" hidden="1" customHeight="1">
      <c r="A1224" s="71" t="s">
        <v>1245</v>
      </c>
      <c r="B1224" s="75"/>
      <c r="C1224" s="73" t="s">
        <v>3635</v>
      </c>
      <c r="D1224" s="72" t="s">
        <v>3634</v>
      </c>
      <c r="E1224" s="2016" t="str">
        <f t="shared" si="51"/>
        <v>CD</v>
      </c>
      <c r="F1224" s="54">
        <v>50</v>
      </c>
      <c r="G1224" s="54" t="s">
        <v>512</v>
      </c>
      <c r="J1224" s="54" t="str">
        <f t="shared" si="49"/>
        <v>CDDOI</v>
      </c>
    </row>
    <row r="1225" spans="1:10" ht="32.25" hidden="1" customHeight="1">
      <c r="A1225" s="71" t="s">
        <v>2135</v>
      </c>
      <c r="B1225" s="75"/>
      <c r="C1225" s="73" t="s">
        <v>3636</v>
      </c>
      <c r="D1225" s="72" t="s">
        <v>3634</v>
      </c>
      <c r="E1225" s="2016" t="str">
        <f t="shared" si="51"/>
        <v>CD</v>
      </c>
      <c r="F1225" s="54">
        <v>50</v>
      </c>
      <c r="G1225" s="54" t="s">
        <v>512</v>
      </c>
      <c r="J1225" s="54" t="str">
        <f t="shared" si="49"/>
        <v>CD-Sonadezi</v>
      </c>
    </row>
    <row r="1226" spans="1:10" ht="30.75" hidden="1" customHeight="1">
      <c r="A1226" s="71" t="s">
        <v>839</v>
      </c>
      <c r="B1226" s="75"/>
      <c r="C1226" s="73" t="s">
        <v>3637</v>
      </c>
      <c r="D1226" s="72" t="s">
        <v>3634</v>
      </c>
      <c r="E1226" s="2016" t="str">
        <f t="shared" si="51"/>
        <v>CD</v>
      </c>
      <c r="F1226" s="54">
        <v>50</v>
      </c>
      <c r="G1226" s="54" t="s">
        <v>512</v>
      </c>
      <c r="J1226" s="54" t="str">
        <f t="shared" si="49"/>
        <v>CDDON+C</v>
      </c>
    </row>
    <row r="1227" spans="1:10" ht="32.25" hidden="1" customHeight="1">
      <c r="A1227" s="71" t="s">
        <v>840</v>
      </c>
      <c r="B1227" s="75"/>
      <c r="C1227" s="73" t="s">
        <v>3638</v>
      </c>
      <c r="D1227" s="72" t="s">
        <v>3634</v>
      </c>
      <c r="E1227" s="2016" t="str">
        <f t="shared" si="51"/>
        <v>CD</v>
      </c>
      <c r="F1227" s="54">
        <v>50</v>
      </c>
      <c r="G1227" s="54" t="s">
        <v>512</v>
      </c>
      <c r="J1227" s="54" t="str">
        <f t="shared" si="49"/>
        <v>CDDOI+C</v>
      </c>
    </row>
    <row r="1228" spans="1:10" hidden="1">
      <c r="A1228" s="71" t="s">
        <v>1170</v>
      </c>
      <c r="B1228" s="75"/>
      <c r="C1228" s="73" t="s">
        <v>3639</v>
      </c>
      <c r="D1228" s="72" t="s">
        <v>3634</v>
      </c>
      <c r="E1228" s="2016" t="str">
        <f t="shared" si="51"/>
        <v>CD</v>
      </c>
      <c r="F1228" s="54">
        <v>50</v>
      </c>
      <c r="G1228" s="54" t="s">
        <v>512</v>
      </c>
      <c r="J1228" s="54" t="str">
        <f t="shared" si="49"/>
        <v>CDBA</v>
      </c>
    </row>
    <row r="1229" spans="1:10" hidden="1">
      <c r="A1229" s="71" t="s">
        <v>320</v>
      </c>
      <c r="B1229" s="1662"/>
      <c r="C1229" s="73" t="s">
        <v>3640</v>
      </c>
      <c r="D1229" s="72" t="s">
        <v>2439</v>
      </c>
      <c r="E1229" s="2016" t="str">
        <f t="shared" si="51"/>
        <v>DE</v>
      </c>
      <c r="F1229" s="54">
        <v>50</v>
      </c>
      <c r="G1229" s="54" t="s">
        <v>512</v>
      </c>
      <c r="J1229" s="54" t="str">
        <f t="shared" si="49"/>
        <v>DEN</v>
      </c>
    </row>
    <row r="1230" spans="1:10" hidden="1">
      <c r="A1230" s="71" t="s">
        <v>1362</v>
      </c>
      <c r="B1230" s="1662"/>
      <c r="C1230" s="73" t="s">
        <v>3641</v>
      </c>
      <c r="D1230" s="72" t="s">
        <v>2439</v>
      </c>
      <c r="E1230" s="2016" t="str">
        <f t="shared" si="51"/>
        <v>DE</v>
      </c>
      <c r="F1230" s="54">
        <v>50</v>
      </c>
      <c r="G1230" s="54" t="s">
        <v>512</v>
      </c>
      <c r="J1230" s="54" t="str">
        <f t="shared" ref="J1230:J1293" si="52">A1230</f>
        <v>DEN-sonadezi</v>
      </c>
    </row>
    <row r="1231" spans="1:10" hidden="1">
      <c r="A1231" s="71" t="s">
        <v>969</v>
      </c>
      <c r="B1231" s="75"/>
      <c r="C1231" s="73" t="s">
        <v>3642</v>
      </c>
      <c r="D1231" s="72" t="s">
        <v>2555</v>
      </c>
      <c r="E1231" s="2016" t="str">
        <f t="shared" si="51"/>
        <v>CH</v>
      </c>
      <c r="F1231" s="54">
        <v>50</v>
      </c>
      <c r="G1231" s="54" t="s">
        <v>512</v>
      </c>
      <c r="J1231" s="54" t="str">
        <f t="shared" si="52"/>
        <v>CHI5</v>
      </c>
    </row>
    <row r="1232" spans="1:10" hidden="1">
      <c r="A1232" s="71" t="s">
        <v>475</v>
      </c>
      <c r="B1232" s="1662"/>
      <c r="C1232" s="73" t="s">
        <v>3643</v>
      </c>
      <c r="D1232" s="72" t="s">
        <v>2555</v>
      </c>
      <c r="E1232" s="2016" t="str">
        <f t="shared" si="51"/>
        <v>DO</v>
      </c>
      <c r="F1232" s="54">
        <v>50</v>
      </c>
      <c r="G1232" s="54" t="s">
        <v>512</v>
      </c>
      <c r="J1232" s="54" t="str">
        <f t="shared" si="52"/>
        <v>DOMINO</v>
      </c>
    </row>
    <row r="1233" spans="1:10" hidden="1">
      <c r="A1233" s="1669"/>
      <c r="B1233" s="1670"/>
      <c r="C1233" s="1669"/>
      <c r="D1233" s="1671"/>
      <c r="E1233" s="2016" t="str">
        <f t="shared" si="51"/>
        <v/>
      </c>
      <c r="F1233" s="54">
        <v>50</v>
      </c>
      <c r="J1233" s="54">
        <f t="shared" si="52"/>
        <v>0</v>
      </c>
    </row>
    <row r="1234" spans="1:10" hidden="1">
      <c r="A1234" s="1672" t="s">
        <v>1844</v>
      </c>
      <c r="B1234" s="1673" t="s">
        <v>290</v>
      </c>
      <c r="C1234" s="1672" t="s">
        <v>3644</v>
      </c>
      <c r="D1234" s="1674" t="s">
        <v>2555</v>
      </c>
      <c r="E1234" s="2016" t="str">
        <f t="shared" si="51"/>
        <v>LC</v>
      </c>
      <c r="F1234" s="54">
        <v>2000</v>
      </c>
      <c r="J1234" s="54" t="str">
        <f t="shared" si="52"/>
        <v>LCAN+C</v>
      </c>
    </row>
    <row r="1235" spans="1:10" hidden="1">
      <c r="A1235" s="71" t="s">
        <v>514</v>
      </c>
      <c r="B1235" s="1642" t="s">
        <v>291</v>
      </c>
      <c r="C1235" s="71" t="s">
        <v>3645</v>
      </c>
      <c r="D1235" s="72" t="s">
        <v>3634</v>
      </c>
      <c r="E1235" s="2016" t="str">
        <f t="shared" si="51"/>
        <v>LC</v>
      </c>
      <c r="F1235" s="54">
        <v>2000</v>
      </c>
      <c r="J1235" s="54" t="str">
        <f t="shared" si="52"/>
        <v>LCAN2,8</v>
      </c>
    </row>
    <row r="1236" spans="1:10" hidden="1">
      <c r="A1236" s="71" t="s">
        <v>121</v>
      </c>
      <c r="B1236" s="1642" t="s">
        <v>122</v>
      </c>
      <c r="C1236" s="71" t="s">
        <v>3646</v>
      </c>
      <c r="D1236" s="72" t="s">
        <v>3634</v>
      </c>
      <c r="E1236" s="2016" t="str">
        <f t="shared" si="51"/>
        <v>LC</v>
      </c>
      <c r="F1236" s="54">
        <v>2000</v>
      </c>
      <c r="J1236" s="54" t="str">
        <f t="shared" si="52"/>
        <v>LCAN3,2</v>
      </c>
    </row>
    <row r="1237" spans="1:10" hidden="1">
      <c r="A1237" s="71" t="s">
        <v>1801</v>
      </c>
      <c r="B1237" s="1642" t="s">
        <v>1803</v>
      </c>
      <c r="C1237" s="71" t="s">
        <v>3647</v>
      </c>
      <c r="D1237" s="72" t="s">
        <v>2532</v>
      </c>
      <c r="E1237" s="2016" t="str">
        <f t="shared" si="51"/>
        <v>LT</v>
      </c>
      <c r="F1237" s="54">
        <v>2000</v>
      </c>
      <c r="J1237" s="54" t="str">
        <f t="shared" si="52"/>
        <v>LTD-DEN</v>
      </c>
    </row>
    <row r="1238" spans="1:10" hidden="1">
      <c r="A1238" s="71" t="s">
        <v>1172</v>
      </c>
      <c r="B1238" s="1642" t="s">
        <v>292</v>
      </c>
      <c r="C1238" s="71" t="s">
        <v>3648</v>
      </c>
      <c r="D1238" s="72" t="s">
        <v>2439</v>
      </c>
      <c r="E1238" s="2016" t="str">
        <f t="shared" si="51"/>
        <v>LD</v>
      </c>
      <c r="F1238" s="54">
        <v>2000</v>
      </c>
      <c r="J1238" s="54" t="str">
        <f t="shared" si="52"/>
        <v>LDEN</v>
      </c>
    </row>
    <row r="1239" spans="1:10" hidden="1">
      <c r="A1239" s="71" t="s">
        <v>494</v>
      </c>
      <c r="B1239" s="1642" t="s">
        <v>1363</v>
      </c>
      <c r="C1239" s="73" t="s">
        <v>3649</v>
      </c>
      <c r="D1239" s="72" t="s">
        <v>2831</v>
      </c>
      <c r="E1239" s="2016" t="str">
        <f t="shared" si="51"/>
        <v>LT</v>
      </c>
      <c r="F1239" s="54">
        <v>2000</v>
      </c>
      <c r="J1239" s="54" t="str">
        <f t="shared" si="52"/>
        <v>LTRUDEN</v>
      </c>
    </row>
    <row r="1240" spans="1:10" hidden="1">
      <c r="A1240" s="71" t="s">
        <v>1364</v>
      </c>
      <c r="B1240" s="1642" t="s">
        <v>789</v>
      </c>
      <c r="C1240" s="73" t="s">
        <v>3650</v>
      </c>
      <c r="D1240" s="72" t="s">
        <v>2831</v>
      </c>
      <c r="E1240" s="2016" t="str">
        <f t="shared" si="51"/>
        <v>LB</v>
      </c>
      <c r="F1240" s="54">
        <v>2000</v>
      </c>
      <c r="J1240" s="54" t="str">
        <f t="shared" si="52"/>
        <v>LBTLT</v>
      </c>
    </row>
    <row r="1241" spans="1:10" hidden="1">
      <c r="A1241" s="71" t="s">
        <v>1684</v>
      </c>
      <c r="B1241" s="1642" t="s">
        <v>493</v>
      </c>
      <c r="C1241" s="73" t="s">
        <v>3651</v>
      </c>
      <c r="D1241" s="72" t="s">
        <v>2532</v>
      </c>
      <c r="E1241" s="2016" t="str">
        <f t="shared" si="51"/>
        <v>LU</v>
      </c>
      <c r="F1241" s="54">
        <v>2000</v>
      </c>
      <c r="J1241" s="54" t="str">
        <f t="shared" si="52"/>
        <v>LUONDAY</v>
      </c>
    </row>
    <row r="1242" spans="1:10" hidden="1">
      <c r="A1242" s="71" t="s">
        <v>592</v>
      </c>
      <c r="B1242" s="1642" t="s">
        <v>593</v>
      </c>
      <c r="C1242" s="73" t="s">
        <v>3652</v>
      </c>
      <c r="D1242" s="72" t="s">
        <v>2532</v>
      </c>
      <c r="E1242" s="2016" t="str">
        <f t="shared" si="51"/>
        <v>KC</v>
      </c>
      <c r="F1242" s="54">
        <v>2000</v>
      </c>
      <c r="J1242" s="54" t="str">
        <f t="shared" si="52"/>
        <v>KCAPDEN</v>
      </c>
    </row>
    <row r="1243" spans="1:10" hidden="1">
      <c r="A1243" s="71" t="s">
        <v>594</v>
      </c>
      <c r="B1243" s="1642" t="s">
        <v>595</v>
      </c>
      <c r="C1243" s="73" t="s">
        <v>3653</v>
      </c>
      <c r="D1243" s="72" t="s">
        <v>2532</v>
      </c>
      <c r="E1243" s="2016" t="str">
        <f t="shared" si="51"/>
        <v>KC</v>
      </c>
      <c r="F1243" s="54">
        <v>2000</v>
      </c>
      <c r="J1243" s="54" t="str">
        <f t="shared" si="52"/>
        <v>KCAPDEN25</v>
      </c>
    </row>
    <row r="1244" spans="1:10" hidden="1">
      <c r="A1244" s="71" t="s">
        <v>293</v>
      </c>
      <c r="B1244" s="1642" t="s">
        <v>492</v>
      </c>
      <c r="C1244" s="73" t="s">
        <v>3654</v>
      </c>
      <c r="D1244" s="72" t="s">
        <v>2532</v>
      </c>
      <c r="E1244" s="2016" t="str">
        <f t="shared" si="51"/>
        <v>LC</v>
      </c>
      <c r="F1244" s="54">
        <v>2000</v>
      </c>
      <c r="J1244" s="54" t="str">
        <f t="shared" si="52"/>
        <v>LCAPDEN</v>
      </c>
    </row>
    <row r="1245" spans="1:10" hidden="1">
      <c r="A1245" s="71" t="s">
        <v>596</v>
      </c>
      <c r="B1245" s="1642" t="s">
        <v>597</v>
      </c>
      <c r="C1245" s="73" t="s">
        <v>3655</v>
      </c>
      <c r="D1245" s="72" t="s">
        <v>2439</v>
      </c>
      <c r="E1245" s="2016" t="str">
        <f t="shared" si="51"/>
        <v>LD</v>
      </c>
      <c r="F1245" s="54">
        <v>2000</v>
      </c>
      <c r="J1245" s="54" t="str">
        <f t="shared" si="52"/>
        <v>LDAUCAPCS</v>
      </c>
    </row>
    <row r="1246" spans="1:10" hidden="1">
      <c r="A1246" s="71" t="s">
        <v>1121</v>
      </c>
      <c r="B1246" s="1642" t="s">
        <v>1122</v>
      </c>
      <c r="C1246" s="73" t="s">
        <v>3656</v>
      </c>
      <c r="D1246" s="72" t="s">
        <v>2555</v>
      </c>
      <c r="E1246" s="2016" t="str">
        <f t="shared" si="51"/>
        <v>Lc</v>
      </c>
      <c r="F1246" s="54">
        <v>2000</v>
      </c>
      <c r="J1246" s="54" t="str">
        <f t="shared" si="52"/>
        <v>Lcauchi</v>
      </c>
    </row>
    <row r="1247" spans="1:10" hidden="1">
      <c r="A1247" s="71" t="s">
        <v>1275</v>
      </c>
      <c r="B1247" s="1642" t="s">
        <v>2102</v>
      </c>
      <c r="C1247" s="73" t="s">
        <v>3657</v>
      </c>
      <c r="D1247" s="72" t="s">
        <v>2532</v>
      </c>
      <c r="E1247" s="2016" t="str">
        <f t="shared" si="51"/>
        <v>LP</v>
      </c>
      <c r="F1247" s="54">
        <v>2000</v>
      </c>
      <c r="J1247" s="54" t="str">
        <f t="shared" si="52"/>
        <v>LPVC60CL CS</v>
      </c>
    </row>
    <row r="1248" spans="1:10" hidden="1">
      <c r="A1248" s="71" t="s">
        <v>1276</v>
      </c>
      <c r="B1248" s="1642" t="s">
        <v>2103</v>
      </c>
      <c r="C1248" s="73" t="s">
        <v>3658</v>
      </c>
      <c r="D1248" s="72" t="s">
        <v>2532</v>
      </c>
      <c r="E1248" s="2016" t="str">
        <f t="shared" si="51"/>
        <v>LP</v>
      </c>
      <c r="F1248" s="54">
        <v>2000</v>
      </c>
      <c r="J1248" s="54" t="str">
        <f t="shared" si="52"/>
        <v>LPVC90CL CS</v>
      </c>
    </row>
    <row r="1249" spans="1:10" hidden="1">
      <c r="A1249" s="71" t="s">
        <v>1277</v>
      </c>
      <c r="B1249" s="1642" t="s">
        <v>1278</v>
      </c>
      <c r="C1249" s="73" t="s">
        <v>3659</v>
      </c>
      <c r="D1249" s="72" t="s">
        <v>2532</v>
      </c>
      <c r="E1249" s="2016" t="str">
        <f t="shared" si="51"/>
        <v>LS</v>
      </c>
      <c r="F1249" s="54">
        <v>2000</v>
      </c>
      <c r="J1249" s="54" t="str">
        <f t="shared" si="52"/>
        <v>LSTK120d CS</v>
      </c>
    </row>
    <row r="1250" spans="1:10" hidden="1">
      <c r="A1250" s="71" t="s">
        <v>2123</v>
      </c>
      <c r="B1250" s="1642" t="s">
        <v>85</v>
      </c>
      <c r="C1250" s="73" t="s">
        <v>3660</v>
      </c>
      <c r="D1250" s="72" t="s">
        <v>3006</v>
      </c>
      <c r="E1250" s="2016" t="str">
        <f t="shared" si="51"/>
        <v>LG</v>
      </c>
      <c r="F1250" s="54">
        <v>2000</v>
      </c>
      <c r="J1250" s="54" t="str">
        <f t="shared" si="52"/>
        <v>LGACH CS</v>
      </c>
    </row>
    <row r="1251" spans="1:10" hidden="1">
      <c r="A1251" s="71" t="s">
        <v>1554</v>
      </c>
      <c r="B1251" s="1642" t="s">
        <v>2195</v>
      </c>
      <c r="C1251" s="73" t="s">
        <v>3661</v>
      </c>
      <c r="D1251" s="72" t="s">
        <v>856</v>
      </c>
      <c r="E1251" s="2016" t="str">
        <f t="shared" si="51"/>
        <v>DM</v>
      </c>
      <c r="F1251" s="54">
        <v>2000</v>
      </c>
      <c r="J1251" s="54" t="str">
        <f t="shared" si="52"/>
        <v>DMCS</v>
      </c>
    </row>
    <row r="1252" spans="1:10" hidden="1">
      <c r="A1252" s="71" t="s">
        <v>2196</v>
      </c>
      <c r="B1252" s="1642" t="s">
        <v>2197</v>
      </c>
      <c r="C1252" s="73" t="s">
        <v>3662</v>
      </c>
      <c r="D1252" s="72" t="s">
        <v>856</v>
      </c>
      <c r="E1252" s="2016" t="str">
        <f t="shared" si="51"/>
        <v>DD</v>
      </c>
      <c r="F1252" s="54">
        <v>2000</v>
      </c>
      <c r="J1252" s="54" t="str">
        <f t="shared" si="52"/>
        <v>DDMCS3</v>
      </c>
    </row>
    <row r="1253" spans="1:10" hidden="1">
      <c r="A1253" s="71" t="s">
        <v>2198</v>
      </c>
      <c r="B1253" s="1642" t="s">
        <v>2199</v>
      </c>
      <c r="C1253" s="73" t="s">
        <v>3663</v>
      </c>
      <c r="D1253" s="72" t="s">
        <v>856</v>
      </c>
      <c r="E1253" s="2016" t="str">
        <f t="shared" si="51"/>
        <v>DC</v>
      </c>
      <c r="F1253" s="54">
        <v>2000</v>
      </c>
      <c r="J1253" s="54" t="str">
        <f t="shared" si="52"/>
        <v>DCatMCS</v>
      </c>
    </row>
    <row r="1254" spans="1:10" hidden="1">
      <c r="A1254" s="71" t="s">
        <v>559</v>
      </c>
      <c r="B1254" s="1642" t="s">
        <v>1555</v>
      </c>
      <c r="C1254" s="73" t="s">
        <v>3664</v>
      </c>
      <c r="D1254" s="72" t="s">
        <v>856</v>
      </c>
      <c r="E1254" s="2016" t="str">
        <f t="shared" si="51"/>
        <v>DM</v>
      </c>
      <c r="F1254" s="54">
        <v>2000</v>
      </c>
      <c r="J1254" s="54" t="str">
        <f t="shared" si="52"/>
        <v>DMongCS</v>
      </c>
    </row>
    <row r="1255" spans="1:10" hidden="1">
      <c r="A1255" s="71" t="s">
        <v>1553</v>
      </c>
      <c r="B1255" s="1642" t="s">
        <v>1556</v>
      </c>
      <c r="C1255" s="73" t="s">
        <v>3665</v>
      </c>
      <c r="D1255" s="72" t="s">
        <v>856</v>
      </c>
      <c r="E1255" s="2016" t="str">
        <f t="shared" si="51"/>
        <v>DM</v>
      </c>
      <c r="F1255" s="54">
        <v>2000</v>
      </c>
      <c r="J1255" s="54" t="str">
        <f t="shared" si="52"/>
        <v>DMongCS1</v>
      </c>
    </row>
    <row r="1256" spans="1:10" hidden="1">
      <c r="A1256" s="71" t="s">
        <v>1805</v>
      </c>
      <c r="B1256" s="1642" t="s">
        <v>972</v>
      </c>
      <c r="C1256" s="73" t="s">
        <v>3666</v>
      </c>
      <c r="D1256" s="72" t="s">
        <v>856</v>
      </c>
      <c r="E1256" s="2016" t="str">
        <f t="shared" si="51"/>
        <v>DD</v>
      </c>
      <c r="F1256" s="54">
        <v>2000</v>
      </c>
      <c r="J1256" s="54" t="str">
        <f t="shared" si="52"/>
        <v>DDMongCS3</v>
      </c>
    </row>
    <row r="1257" spans="1:10" hidden="1">
      <c r="A1257" s="71" t="s">
        <v>1806</v>
      </c>
      <c r="B1257" s="1642" t="s">
        <v>973</v>
      </c>
      <c r="C1257" s="73" t="s">
        <v>3667</v>
      </c>
      <c r="D1257" s="72" t="s">
        <v>856</v>
      </c>
      <c r="E1257" s="2016" t="str">
        <f t="shared" si="51"/>
        <v>DC</v>
      </c>
      <c r="F1257" s="54">
        <v>2000</v>
      </c>
      <c r="J1257" s="54" t="str">
        <f t="shared" si="52"/>
        <v>DCatMongCS</v>
      </c>
    </row>
    <row r="1258" spans="1:10" hidden="1">
      <c r="A1258" s="71" t="s">
        <v>1804</v>
      </c>
      <c r="B1258" s="1642" t="s">
        <v>1802</v>
      </c>
      <c r="C1258" s="73" t="s">
        <v>3668</v>
      </c>
      <c r="D1258" s="72" t="s">
        <v>2278</v>
      </c>
      <c r="E1258" s="2016" t="str">
        <f t="shared" si="51"/>
        <v>Do</v>
      </c>
      <c r="F1258" s="54">
        <v>2000</v>
      </c>
      <c r="J1258" s="54" t="str">
        <f t="shared" si="52"/>
        <v>DongCTD</v>
      </c>
    </row>
    <row r="1259" spans="1:10" hidden="1">
      <c r="A1259" s="71" t="s">
        <v>1952</v>
      </c>
      <c r="B1259" s="1642" t="s">
        <v>1953</v>
      </c>
      <c r="C1259" s="73" t="s">
        <v>3669</v>
      </c>
      <c r="D1259" s="72" t="s">
        <v>856</v>
      </c>
      <c r="E1259" s="2016" t="str">
        <f t="shared" si="51"/>
        <v>DB</v>
      </c>
      <c r="F1259" s="54">
        <v>2000</v>
      </c>
      <c r="J1259" s="54" t="str">
        <f t="shared" si="52"/>
        <v>DBTM150CS</v>
      </c>
    </row>
    <row r="1260" spans="1:10" hidden="1">
      <c r="A1260" s="71" t="s">
        <v>1573</v>
      </c>
      <c r="B1260" s="1642" t="s">
        <v>265</v>
      </c>
      <c r="C1260" s="73" t="s">
        <v>3670</v>
      </c>
      <c r="D1260" s="72" t="s">
        <v>856</v>
      </c>
      <c r="E1260" s="2016" t="str">
        <f t="shared" si="51"/>
        <v>DB</v>
      </c>
      <c r="F1260" s="54">
        <v>2000</v>
      </c>
      <c r="J1260" s="54" t="str">
        <f t="shared" si="52"/>
        <v>DBT20012CS</v>
      </c>
    </row>
    <row r="1261" spans="1:10" hidden="1">
      <c r="A1261" s="1675" t="s">
        <v>4139</v>
      </c>
      <c r="B1261" s="1642" t="s">
        <v>1754</v>
      </c>
      <c r="C1261" s="1676" t="s">
        <v>4877</v>
      </c>
      <c r="D1261" s="1677" t="s">
        <v>4140</v>
      </c>
      <c r="E1261" s="2016" t="str">
        <f t="shared" si="51"/>
        <v>Ho</v>
      </c>
      <c r="F1261" s="54">
        <v>50</v>
      </c>
      <c r="G1261" s="54" t="s">
        <v>512</v>
      </c>
      <c r="J1261" s="54" t="str">
        <f t="shared" si="52"/>
        <v>HopCBpd</v>
      </c>
    </row>
    <row r="1262" spans="1:10" hidden="1">
      <c r="A1262" s="1675" t="s">
        <v>4348</v>
      </c>
      <c r="B1262" s="1642"/>
      <c r="C1262" s="1676" t="s">
        <v>4349</v>
      </c>
      <c r="D1262" s="1678" t="s">
        <v>2555</v>
      </c>
      <c r="E1262" s="2016" t="str">
        <f t="shared" si="51"/>
        <v>CC</v>
      </c>
      <c r="F1262" s="54">
        <v>50</v>
      </c>
      <c r="G1262" s="54" t="s">
        <v>512</v>
      </c>
      <c r="J1262" s="54" t="str">
        <f t="shared" si="52"/>
        <v>CCĐMBA</v>
      </c>
    </row>
    <row r="1263" spans="1:10" hidden="1">
      <c r="A1263" s="1675" t="s">
        <v>4342</v>
      </c>
      <c r="B1263" s="1642"/>
      <c r="C1263" s="1676" t="s">
        <v>4341</v>
      </c>
      <c r="D1263" s="1678" t="s">
        <v>2439</v>
      </c>
      <c r="E1263" s="2016" t="str">
        <f t="shared" ref="E1263:E1280" si="53">LEFT(A1263,2)</f>
        <v>CC</v>
      </c>
      <c r="F1263" s="54">
        <v>50</v>
      </c>
      <c r="G1263" s="54" t="s">
        <v>512</v>
      </c>
      <c r="J1263" s="54" t="str">
        <f t="shared" si="52"/>
        <v>CCĐfco</v>
      </c>
    </row>
    <row r="1264" spans="1:10" hidden="1">
      <c r="A1264" s="1675" t="s">
        <v>4350</v>
      </c>
      <c r="B1264" s="1642"/>
      <c r="C1264" s="1676" t="s">
        <v>4351</v>
      </c>
      <c r="D1264" s="1678" t="s">
        <v>2555</v>
      </c>
      <c r="E1264" s="2016" t="str">
        <f t="shared" si="53"/>
        <v>CC</v>
      </c>
      <c r="F1264" s="54">
        <v>50</v>
      </c>
      <c r="G1264" s="54" t="s">
        <v>512</v>
      </c>
      <c r="J1264" s="54" t="str">
        <f t="shared" si="52"/>
        <v>CCĐLA</v>
      </c>
    </row>
    <row r="1265" spans="1:10" hidden="1">
      <c r="A1265" s="1675" t="s">
        <v>4537</v>
      </c>
      <c r="B1265" s="1642"/>
      <c r="C1265" s="1676" t="s">
        <v>4538</v>
      </c>
      <c r="D1265" s="1678" t="s">
        <v>2555</v>
      </c>
      <c r="E1265" s="2016" t="str">
        <f>LEFT(A1265,2)</f>
        <v>CC</v>
      </c>
      <c r="F1265" s="54">
        <v>50</v>
      </c>
      <c r="G1265" s="54" t="s">
        <v>512</v>
      </c>
      <c r="J1265" s="54" t="str">
        <f t="shared" si="52"/>
        <v>CCDQU</v>
      </c>
    </row>
    <row r="1266" spans="1:10" hidden="1">
      <c r="A1266" s="1675" t="s">
        <v>4290</v>
      </c>
      <c r="B1266" s="1642"/>
      <c r="C1266" s="1676" t="s">
        <v>4876</v>
      </c>
      <c r="D1266" s="1678" t="s">
        <v>2439</v>
      </c>
      <c r="E1266" s="2016" t="str">
        <f t="shared" si="53"/>
        <v>TD</v>
      </c>
      <c r="F1266" s="54">
        <v>50</v>
      </c>
      <c r="G1266" s="54" t="s">
        <v>512</v>
      </c>
      <c r="J1266" s="54" t="str">
        <f t="shared" si="52"/>
        <v>TDLLCD</v>
      </c>
    </row>
    <row r="1267" spans="1:10" hidden="1">
      <c r="A1267" s="1675" t="s">
        <v>356</v>
      </c>
      <c r="B1267" s="75" t="s">
        <v>1133</v>
      </c>
      <c r="C1267" s="1650" t="s">
        <v>4337</v>
      </c>
      <c r="D1267" s="1678" t="s">
        <v>2442</v>
      </c>
      <c r="E1267" s="2016" t="str">
        <f t="shared" si="53"/>
        <v>PK</v>
      </c>
      <c r="F1267" s="54">
        <v>2000</v>
      </c>
      <c r="J1267" s="54" t="str">
        <f t="shared" si="52"/>
        <v>PK</v>
      </c>
    </row>
    <row r="1268" spans="1:10" hidden="1">
      <c r="A1268" s="1675" t="s">
        <v>357</v>
      </c>
      <c r="B1268" s="75" t="s">
        <v>1197</v>
      </c>
      <c r="C1268" s="1650" t="s">
        <v>2591</v>
      </c>
      <c r="D1268" s="1678" t="s">
        <v>2442</v>
      </c>
      <c r="E1268" s="2016" t="str">
        <f t="shared" si="53"/>
        <v>DA</v>
      </c>
      <c r="F1268" s="54">
        <v>2000</v>
      </c>
      <c r="J1268" s="54" t="str">
        <f t="shared" si="52"/>
        <v>DAY</v>
      </c>
    </row>
    <row r="1269" spans="1:10" hidden="1">
      <c r="A1269" s="1675" t="s">
        <v>606</v>
      </c>
      <c r="B1269" s="75" t="s">
        <v>1691</v>
      </c>
      <c r="C1269" s="1650" t="s">
        <v>4338</v>
      </c>
      <c r="D1269" s="1678" t="s">
        <v>2442</v>
      </c>
      <c r="E1269" s="2016" t="str">
        <f t="shared" si="53"/>
        <v>DC</v>
      </c>
      <c r="F1269" s="54">
        <v>2000</v>
      </c>
      <c r="J1269" s="54" t="str">
        <f t="shared" si="52"/>
        <v>DCTC</v>
      </c>
    </row>
    <row r="1270" spans="1:10" hidden="1">
      <c r="A1270" s="1675" t="s">
        <v>17</v>
      </c>
      <c r="B1270" s="75" t="s">
        <v>1209</v>
      </c>
      <c r="C1270" s="1650" t="s">
        <v>2579</v>
      </c>
      <c r="D1270" s="1678" t="s">
        <v>2442</v>
      </c>
      <c r="E1270" s="2016" t="str">
        <f t="shared" si="53"/>
        <v>TH</v>
      </c>
      <c r="F1270" s="54">
        <v>2000</v>
      </c>
      <c r="J1270" s="54" t="str">
        <f t="shared" si="52"/>
        <v>THEP</v>
      </c>
    </row>
    <row r="1271" spans="1:10" hidden="1">
      <c r="A1271" s="1675" t="s">
        <v>18</v>
      </c>
      <c r="B1271" s="75" t="s">
        <v>496</v>
      </c>
      <c r="C1271" s="1650" t="s">
        <v>2580</v>
      </c>
      <c r="D1271" s="1678" t="s">
        <v>2442</v>
      </c>
      <c r="E1271" s="2016" t="str">
        <f t="shared" si="53"/>
        <v>XI</v>
      </c>
      <c r="F1271" s="54">
        <v>2000</v>
      </c>
      <c r="J1271" s="54" t="str">
        <f t="shared" si="52"/>
        <v>XIMANG</v>
      </c>
    </row>
    <row r="1272" spans="1:10" hidden="1">
      <c r="A1272" s="1675" t="s">
        <v>4412</v>
      </c>
      <c r="B1272" s="75" t="s">
        <v>1117</v>
      </c>
      <c r="C1272" s="1650" t="s">
        <v>2581</v>
      </c>
      <c r="D1272" s="1678" t="s">
        <v>856</v>
      </c>
      <c r="E1272" s="2016" t="str">
        <f t="shared" si="53"/>
        <v>vc</v>
      </c>
      <c r="F1272" s="54">
        <v>2000</v>
      </c>
      <c r="J1272" s="54" t="str">
        <f t="shared" si="52"/>
        <v>vcCAT</v>
      </c>
    </row>
    <row r="1273" spans="1:10" hidden="1">
      <c r="A1273" s="1675" t="s">
        <v>20</v>
      </c>
      <c r="B1273" s="75" t="s">
        <v>808</v>
      </c>
      <c r="C1273" s="1650" t="s">
        <v>2582</v>
      </c>
      <c r="D1273" s="1678" t="s">
        <v>856</v>
      </c>
      <c r="E1273" s="2016" t="str">
        <f t="shared" si="53"/>
        <v>DA</v>
      </c>
      <c r="F1273" s="54">
        <v>2000</v>
      </c>
      <c r="J1273" s="54" t="str">
        <f t="shared" si="52"/>
        <v>DADAM</v>
      </c>
    </row>
    <row r="1274" spans="1:10" hidden="1">
      <c r="A1274" s="1675" t="s">
        <v>4410</v>
      </c>
      <c r="B1274" s="75" t="s">
        <v>556</v>
      </c>
      <c r="C1274" s="1650" t="s">
        <v>2583</v>
      </c>
      <c r="D1274" s="1678" t="s">
        <v>2442</v>
      </c>
      <c r="E1274" s="2016" t="str">
        <f t="shared" si="53"/>
        <v>DA</v>
      </c>
      <c r="F1274" s="54">
        <v>2000</v>
      </c>
      <c r="J1274" s="54" t="str">
        <f t="shared" si="52"/>
        <v>DA</v>
      </c>
    </row>
    <row r="1275" spans="1:10" hidden="1">
      <c r="A1275" s="1675" t="s">
        <v>1903</v>
      </c>
      <c r="B1275" s="75" t="s">
        <v>1209</v>
      </c>
      <c r="C1275" s="1650" t="s">
        <v>2584</v>
      </c>
      <c r="D1275" s="1678" t="s">
        <v>2442</v>
      </c>
      <c r="E1275" s="2016" t="str">
        <f t="shared" si="53"/>
        <v>TD</v>
      </c>
      <c r="F1275" s="54">
        <v>2000</v>
      </c>
      <c r="J1275" s="54" t="str">
        <f t="shared" si="52"/>
        <v>TD</v>
      </c>
    </row>
    <row r="1276" spans="1:10" hidden="1">
      <c r="A1276" s="1675" t="s">
        <v>605</v>
      </c>
      <c r="B1276" s="75" t="s">
        <v>556</v>
      </c>
      <c r="C1276" s="1650" t="s">
        <v>2585</v>
      </c>
      <c r="D1276" s="1678" t="s">
        <v>2442</v>
      </c>
      <c r="E1276" s="2016" t="str">
        <f t="shared" si="53"/>
        <v>DN</v>
      </c>
      <c r="F1276" s="54">
        <v>2000</v>
      </c>
      <c r="J1276" s="54" t="str">
        <f t="shared" si="52"/>
        <v>DN</v>
      </c>
    </row>
    <row r="1277" spans="1:10" hidden="1">
      <c r="A1277" s="1675" t="s">
        <v>4413</v>
      </c>
      <c r="B1277" s="75" t="s">
        <v>1133</v>
      </c>
      <c r="C1277" s="1650" t="s">
        <v>2586</v>
      </c>
      <c r="D1277" s="1678" t="s">
        <v>2442</v>
      </c>
      <c r="E1277" s="2016" t="str">
        <f t="shared" si="53"/>
        <v>vc</v>
      </c>
      <c r="F1277" s="54">
        <v>2000</v>
      </c>
      <c r="J1277" s="54" t="str">
        <f t="shared" si="52"/>
        <v>vcNX</v>
      </c>
    </row>
    <row r="1278" spans="1:10" hidden="1">
      <c r="A1278" s="1675" t="s">
        <v>1199</v>
      </c>
      <c r="B1278" s="75" t="s">
        <v>2236</v>
      </c>
      <c r="C1278" s="1650" t="s">
        <v>2587</v>
      </c>
      <c r="D1278" s="1678" t="s">
        <v>2442</v>
      </c>
      <c r="E1278" s="2016" t="str">
        <f t="shared" si="53"/>
        <v>CO</v>
      </c>
      <c r="F1278" s="54">
        <v>2000</v>
      </c>
      <c r="J1278" s="54" t="str">
        <f t="shared" si="52"/>
        <v>COT</v>
      </c>
    </row>
    <row r="1279" spans="1:10" hidden="1">
      <c r="A1279" s="1675" t="s">
        <v>1997</v>
      </c>
      <c r="B1279" s="75" t="s">
        <v>1607</v>
      </c>
      <c r="C1279" s="1650" t="s">
        <v>2443</v>
      </c>
      <c r="D1279" s="1678" t="s">
        <v>2442</v>
      </c>
      <c r="E1279" s="2016" t="str">
        <f t="shared" si="53"/>
        <v>XA</v>
      </c>
      <c r="F1279" s="54">
        <v>2000</v>
      </c>
      <c r="J1279" s="54" t="str">
        <f t="shared" si="52"/>
        <v>XA</v>
      </c>
    </row>
    <row r="1280" spans="1:10" hidden="1">
      <c r="A1280" s="1675" t="s">
        <v>634</v>
      </c>
      <c r="B1280" s="75" t="s">
        <v>716</v>
      </c>
      <c r="C1280" s="1650" t="s">
        <v>2589</v>
      </c>
      <c r="D1280" s="1678" t="s">
        <v>2590</v>
      </c>
      <c r="E1280" s="2016" t="str">
        <f t="shared" si="53"/>
        <v>ct</v>
      </c>
      <c r="F1280" s="54">
        <v>2000</v>
      </c>
      <c r="J1280" s="54" t="str">
        <f t="shared" si="52"/>
        <v>ctram</v>
      </c>
    </row>
    <row r="1281" spans="1:10" hidden="1">
      <c r="A1281" s="1659" t="s">
        <v>4993</v>
      </c>
      <c r="C1281" s="1659" t="s">
        <v>4986</v>
      </c>
      <c r="D1281" s="54" t="s">
        <v>2385</v>
      </c>
      <c r="F1281" s="54">
        <v>50</v>
      </c>
      <c r="J1281" s="54" t="str">
        <f t="shared" si="52"/>
        <v>CD114dd23</v>
      </c>
    </row>
    <row r="1282" spans="1:10" hidden="1">
      <c r="A1282" s="1659" t="s">
        <v>4994</v>
      </c>
      <c r="C1282" s="1659" t="s">
        <v>4987</v>
      </c>
      <c r="D1282" s="54" t="s">
        <v>2385</v>
      </c>
      <c r="F1282" s="54">
        <v>50</v>
      </c>
      <c r="J1282" s="54" t="str">
        <f t="shared" si="52"/>
        <v>CD114dd28</v>
      </c>
    </row>
    <row r="1283" spans="1:10" hidden="1">
      <c r="A1283" s="1659" t="s">
        <v>87</v>
      </c>
      <c r="C1283" s="1659" t="s">
        <v>2326</v>
      </c>
      <c r="D1283" s="54" t="s">
        <v>2327</v>
      </c>
      <c r="F1283" s="54">
        <v>2000</v>
      </c>
      <c r="J1283" s="54" t="str">
        <f t="shared" si="52"/>
        <v>M7</v>
      </c>
    </row>
    <row r="1284" spans="1:10" hidden="1">
      <c r="A1284" s="1659" t="s">
        <v>102</v>
      </c>
      <c r="C1284" s="1659" t="s">
        <v>2328</v>
      </c>
      <c r="D1284" s="54" t="s">
        <v>2327</v>
      </c>
      <c r="F1284" s="54">
        <v>2000</v>
      </c>
      <c r="J1284" s="54" t="str">
        <f t="shared" si="52"/>
        <v>M7a</v>
      </c>
    </row>
    <row r="1285" spans="1:10" hidden="1">
      <c r="A1285" s="1659" t="s">
        <v>762</v>
      </c>
      <c r="C1285" s="1659" t="s">
        <v>2329</v>
      </c>
      <c r="D1285" s="54" t="s">
        <v>2327</v>
      </c>
      <c r="F1285" s="54">
        <v>2000</v>
      </c>
      <c r="J1285" s="54" t="str">
        <f t="shared" si="52"/>
        <v>M7b</v>
      </c>
    </row>
    <row r="1286" spans="1:10" hidden="1">
      <c r="A1286" s="1659" t="s">
        <v>761</v>
      </c>
      <c r="C1286" s="1659" t="s">
        <v>2330</v>
      </c>
      <c r="D1286" s="54" t="s">
        <v>2327</v>
      </c>
      <c r="F1286" s="54">
        <v>2000</v>
      </c>
      <c r="J1286" s="54" t="str">
        <f t="shared" si="52"/>
        <v>M7aa</v>
      </c>
    </row>
    <row r="1287" spans="1:10" hidden="1">
      <c r="A1287" s="1659" t="s">
        <v>443</v>
      </c>
      <c r="C1287" s="1659" t="s">
        <v>2331</v>
      </c>
      <c r="D1287" s="54" t="s">
        <v>2327</v>
      </c>
      <c r="F1287" s="54">
        <v>2000</v>
      </c>
      <c r="J1287" s="54" t="str">
        <f t="shared" si="52"/>
        <v>M7ba</v>
      </c>
    </row>
    <row r="1288" spans="1:10" hidden="1">
      <c r="A1288" s="1659" t="s">
        <v>444</v>
      </c>
      <c r="C1288" s="1659" t="s">
        <v>2332</v>
      </c>
      <c r="D1288" s="54" t="s">
        <v>2327</v>
      </c>
      <c r="F1288" s="54">
        <v>2000</v>
      </c>
      <c r="J1288" s="54" t="str">
        <f t="shared" si="52"/>
        <v>M7-2a</v>
      </c>
    </row>
    <row r="1289" spans="1:10" hidden="1">
      <c r="A1289" s="1659" t="s">
        <v>958</v>
      </c>
      <c r="C1289" s="1659" t="s">
        <v>2333</v>
      </c>
      <c r="D1289" s="54" t="s">
        <v>2327</v>
      </c>
      <c r="F1289" s="54">
        <v>2000</v>
      </c>
      <c r="J1289" s="54" t="str">
        <f t="shared" si="52"/>
        <v>M8</v>
      </c>
    </row>
    <row r="1290" spans="1:10" hidden="1">
      <c r="A1290" s="1659" t="s">
        <v>2176</v>
      </c>
      <c r="C1290" s="1659" t="s">
        <v>2334</v>
      </c>
      <c r="D1290" s="54" t="s">
        <v>2327</v>
      </c>
      <c r="F1290" s="54">
        <v>2000</v>
      </c>
      <c r="J1290" s="54" t="str">
        <f t="shared" si="52"/>
        <v>M8a</v>
      </c>
    </row>
    <row r="1291" spans="1:10" hidden="1">
      <c r="A1291" s="1659" t="s">
        <v>2315</v>
      </c>
      <c r="C1291" s="1659" t="s">
        <v>2335</v>
      </c>
      <c r="D1291" s="54" t="s">
        <v>2327</v>
      </c>
      <c r="F1291" s="54">
        <v>2000</v>
      </c>
      <c r="J1291" s="54" t="str">
        <f t="shared" si="52"/>
        <v>M8BT Đơn</v>
      </c>
    </row>
    <row r="1292" spans="1:10" hidden="1">
      <c r="A1292" s="1659" t="s">
        <v>4128</v>
      </c>
      <c r="C1292" s="1659" t="s">
        <v>4289</v>
      </c>
      <c r="D1292" s="54" t="s">
        <v>2327</v>
      </c>
      <c r="F1292" s="54">
        <v>2000</v>
      </c>
      <c r="J1292" s="54" t="str">
        <f t="shared" si="52"/>
        <v>M7BT Đôi</v>
      </c>
    </row>
    <row r="1293" spans="1:10" hidden="1">
      <c r="A1293" s="1659" t="s">
        <v>234</v>
      </c>
      <c r="C1293" s="1659" t="s">
        <v>2336</v>
      </c>
      <c r="D1293" s="54" t="s">
        <v>2327</v>
      </c>
      <c r="F1293" s="54">
        <v>2000</v>
      </c>
      <c r="J1293" s="54" t="str">
        <f t="shared" si="52"/>
        <v>M8b</v>
      </c>
    </row>
    <row r="1294" spans="1:10" hidden="1">
      <c r="A1294" s="1659" t="s">
        <v>2177</v>
      </c>
      <c r="C1294" s="1659" t="s">
        <v>2337</v>
      </c>
      <c r="D1294" s="54" t="s">
        <v>2327</v>
      </c>
      <c r="F1294" s="54">
        <v>2000</v>
      </c>
      <c r="J1294" s="54" t="str">
        <f t="shared" ref="J1294:J1361" si="54">A1294</f>
        <v>M8aa</v>
      </c>
    </row>
    <row r="1295" spans="1:10" hidden="1">
      <c r="A1295" s="1659" t="s">
        <v>932</v>
      </c>
      <c r="C1295" s="1659" t="s">
        <v>2338</v>
      </c>
      <c r="D1295" s="54" t="s">
        <v>2327</v>
      </c>
      <c r="F1295" s="54">
        <v>2000</v>
      </c>
      <c r="J1295" s="54" t="str">
        <f t="shared" si="54"/>
        <v>M8ba</v>
      </c>
    </row>
    <row r="1296" spans="1:10" hidden="1">
      <c r="A1296" s="1659" t="s">
        <v>933</v>
      </c>
      <c r="C1296" s="1659" t="s">
        <v>2339</v>
      </c>
      <c r="D1296" s="54" t="s">
        <v>2327</v>
      </c>
      <c r="F1296" s="54">
        <v>2000</v>
      </c>
      <c r="J1296" s="54" t="str">
        <f t="shared" si="54"/>
        <v>M8bb</v>
      </c>
    </row>
    <row r="1297" spans="1:10" hidden="1">
      <c r="A1297" s="1659" t="s">
        <v>2178</v>
      </c>
      <c r="C1297" s="1659" t="s">
        <v>2340</v>
      </c>
      <c r="D1297" s="54" t="s">
        <v>2327</v>
      </c>
      <c r="F1297" s="54">
        <v>2000</v>
      </c>
      <c r="J1297" s="54" t="str">
        <f t="shared" si="54"/>
        <v>M8-2a</v>
      </c>
    </row>
    <row r="1298" spans="1:10" hidden="1">
      <c r="A1298" s="1659" t="s">
        <v>12</v>
      </c>
      <c r="C1298" s="1659" t="s">
        <v>2341</v>
      </c>
      <c r="D1298" s="54" t="s">
        <v>2327</v>
      </c>
      <c r="F1298" s="54">
        <v>2000</v>
      </c>
      <c r="J1298" s="54" t="str">
        <f t="shared" si="54"/>
        <v>M10</v>
      </c>
    </row>
    <row r="1299" spans="1:10" hidden="1">
      <c r="A1299" s="1659" t="s">
        <v>695</v>
      </c>
      <c r="C1299" s="1659" t="s">
        <v>2342</v>
      </c>
      <c r="D1299" s="54" t="s">
        <v>2327</v>
      </c>
      <c r="F1299" s="54">
        <v>2000</v>
      </c>
      <c r="J1299" s="54" t="str">
        <f t="shared" si="54"/>
        <v>M10a</v>
      </c>
    </row>
    <row r="1300" spans="1:10" hidden="1">
      <c r="A1300" s="1659" t="s">
        <v>994</v>
      </c>
      <c r="C1300" s="1659" t="s">
        <v>2343</v>
      </c>
      <c r="D1300" s="54" t="s">
        <v>2327</v>
      </c>
      <c r="F1300" s="54">
        <v>2000</v>
      </c>
      <c r="J1300" s="54" t="str">
        <f t="shared" si="54"/>
        <v>M10b</v>
      </c>
    </row>
    <row r="1301" spans="1:10" hidden="1">
      <c r="A1301" s="1659" t="s">
        <v>2303</v>
      </c>
      <c r="C1301" s="1659" t="s">
        <v>2344</v>
      </c>
      <c r="D1301" s="54" t="s">
        <v>2327</v>
      </c>
      <c r="F1301" s="54">
        <v>2000</v>
      </c>
      <c r="J1301" s="54" t="str">
        <f t="shared" si="54"/>
        <v>M10BT ĐƠN</v>
      </c>
    </row>
    <row r="1302" spans="1:10" hidden="1">
      <c r="A1302" s="1659" t="s">
        <v>100</v>
      </c>
      <c r="C1302" s="1659" t="s">
        <v>2345</v>
      </c>
      <c r="D1302" s="54" t="s">
        <v>2327</v>
      </c>
      <c r="F1302" s="54">
        <v>2000</v>
      </c>
      <c r="J1302" s="54" t="str">
        <f t="shared" si="54"/>
        <v>M10aa</v>
      </c>
    </row>
    <row r="1303" spans="1:10" hidden="1">
      <c r="A1303" s="1659" t="s">
        <v>833</v>
      </c>
      <c r="C1303" s="1659" t="s">
        <v>2346</v>
      </c>
      <c r="D1303" s="54" t="s">
        <v>2327</v>
      </c>
      <c r="F1303" s="54">
        <v>2000</v>
      </c>
      <c r="J1303" s="54" t="str">
        <f t="shared" si="54"/>
        <v>M10ba</v>
      </c>
    </row>
    <row r="1304" spans="1:10" hidden="1">
      <c r="A1304" s="1659" t="s">
        <v>834</v>
      </c>
      <c r="C1304" s="1659" t="s">
        <v>2347</v>
      </c>
      <c r="D1304" s="54" t="s">
        <v>2327</v>
      </c>
      <c r="F1304" s="54">
        <v>2000</v>
      </c>
      <c r="J1304" s="54" t="str">
        <f t="shared" si="54"/>
        <v>M10bb</v>
      </c>
    </row>
    <row r="1305" spans="1:10" hidden="1">
      <c r="A1305" s="1659" t="s">
        <v>286</v>
      </c>
      <c r="C1305" s="1659" t="s">
        <v>2348</v>
      </c>
      <c r="D1305" s="54" t="s">
        <v>2327</v>
      </c>
      <c r="F1305" s="54">
        <v>2000</v>
      </c>
      <c r="J1305" s="54" t="str">
        <f t="shared" si="54"/>
        <v>M10-2bn</v>
      </c>
    </row>
    <row r="1306" spans="1:10" hidden="1">
      <c r="A1306" s="1659" t="s">
        <v>832</v>
      </c>
      <c r="C1306" s="1659" t="s">
        <v>2349</v>
      </c>
      <c r="D1306" s="54" t="s">
        <v>2327</v>
      </c>
      <c r="F1306" s="54">
        <v>2000</v>
      </c>
      <c r="J1306" s="54" t="str">
        <f t="shared" si="54"/>
        <v>M10-2a</v>
      </c>
    </row>
    <row r="1307" spans="1:10" hidden="1">
      <c r="A1307" s="1659" t="s">
        <v>760</v>
      </c>
      <c r="C1307" s="1659" t="s">
        <v>2350</v>
      </c>
      <c r="D1307" s="54" t="s">
        <v>2327</v>
      </c>
      <c r="F1307" s="54">
        <v>2000</v>
      </c>
      <c r="J1307" s="54" t="str">
        <f t="shared" si="54"/>
        <v>M10-2b</v>
      </c>
    </row>
    <row r="1308" spans="1:10" hidden="1">
      <c r="A1308" s="1659" t="s">
        <v>219</v>
      </c>
      <c r="C1308" s="1659" t="s">
        <v>2351</v>
      </c>
      <c r="D1308" s="54" t="s">
        <v>2327</v>
      </c>
      <c r="F1308" s="54">
        <v>2000</v>
      </c>
      <c r="J1308" s="54" t="str">
        <f t="shared" si="54"/>
        <v>M12</v>
      </c>
    </row>
    <row r="1309" spans="1:10" hidden="1">
      <c r="A1309" s="1659" t="s">
        <v>303</v>
      </c>
      <c r="C1309" s="1659" t="s">
        <v>2352</v>
      </c>
      <c r="D1309" s="54" t="s">
        <v>2327</v>
      </c>
      <c r="F1309" s="54">
        <v>2000</v>
      </c>
      <c r="J1309" s="54" t="str">
        <f t="shared" si="54"/>
        <v>M12a</v>
      </c>
    </row>
    <row r="1310" spans="1:10" hidden="1">
      <c r="A1310" s="1659" t="s">
        <v>2263</v>
      </c>
      <c r="C1310" s="1659" t="s">
        <v>2353</v>
      </c>
      <c r="D1310" s="54" t="s">
        <v>2327</v>
      </c>
      <c r="F1310" s="54">
        <v>2000</v>
      </c>
      <c r="J1310" s="54" t="str">
        <f t="shared" si="54"/>
        <v>M12b</v>
      </c>
    </row>
    <row r="1311" spans="1:10" hidden="1">
      <c r="A1311" s="1659" t="s">
        <v>304</v>
      </c>
      <c r="C1311" s="1659" t="s">
        <v>2354</v>
      </c>
      <c r="D1311" s="54" t="s">
        <v>2327</v>
      </c>
      <c r="F1311" s="54">
        <v>2000</v>
      </c>
      <c r="J1311" s="54" t="str">
        <f t="shared" si="54"/>
        <v>M12aa</v>
      </c>
    </row>
    <row r="1312" spans="1:10" hidden="1">
      <c r="A1312" s="1659" t="s">
        <v>638</v>
      </c>
      <c r="C1312" s="1659" t="s">
        <v>2355</v>
      </c>
      <c r="D1312" s="54" t="s">
        <v>2327</v>
      </c>
      <c r="F1312" s="54">
        <v>2000</v>
      </c>
      <c r="J1312" s="54" t="str">
        <f t="shared" si="54"/>
        <v>M12ba</v>
      </c>
    </row>
    <row r="1313" spans="1:10" hidden="1">
      <c r="A1313" s="1659" t="s">
        <v>647</v>
      </c>
      <c r="C1313" s="1659" t="s">
        <v>2356</v>
      </c>
      <c r="D1313" s="54" t="s">
        <v>2327</v>
      </c>
      <c r="F1313" s="54">
        <v>2000</v>
      </c>
      <c r="J1313" s="54" t="str">
        <f t="shared" si="54"/>
        <v>M12bb</v>
      </c>
    </row>
    <row r="1314" spans="1:10" hidden="1">
      <c r="A1314" s="1659" t="s">
        <v>511</v>
      </c>
      <c r="C1314" s="1659" t="s">
        <v>2357</v>
      </c>
      <c r="D1314" s="54" t="s">
        <v>2327</v>
      </c>
      <c r="F1314" s="54">
        <v>2000</v>
      </c>
      <c r="J1314" s="54" t="str">
        <f t="shared" si="54"/>
        <v>M12-2bn</v>
      </c>
    </row>
    <row r="1315" spans="1:10" hidden="1">
      <c r="A1315" s="1659" t="s">
        <v>646</v>
      </c>
      <c r="C1315" s="1659" t="s">
        <v>2358</v>
      </c>
      <c r="D1315" s="54" t="s">
        <v>2327</v>
      </c>
      <c r="F1315" s="54">
        <v>2000</v>
      </c>
      <c r="J1315" s="54" t="str">
        <f t="shared" si="54"/>
        <v>M12-2a</v>
      </c>
    </row>
    <row r="1316" spans="1:10" hidden="1">
      <c r="A1316" s="1659" t="s">
        <v>1901</v>
      </c>
      <c r="C1316" s="1659" t="s">
        <v>2359</v>
      </c>
      <c r="D1316" s="54" t="s">
        <v>2327</v>
      </c>
      <c r="F1316" s="54">
        <v>2000</v>
      </c>
      <c r="J1316" s="54" t="str">
        <f t="shared" si="54"/>
        <v>M12-2b</v>
      </c>
    </row>
    <row r="1317" spans="1:10" hidden="1">
      <c r="A1317" s="1659" t="s">
        <v>2180</v>
      </c>
      <c r="C1317" s="1659" t="s">
        <v>2360</v>
      </c>
      <c r="D1317" s="54" t="s">
        <v>2327</v>
      </c>
      <c r="F1317" s="54">
        <v>2000</v>
      </c>
      <c r="J1317" s="54" t="str">
        <f t="shared" si="54"/>
        <v>M12b-aa(hh)</v>
      </c>
    </row>
    <row r="1318" spans="1:10" hidden="1">
      <c r="A1318" s="1659" t="s">
        <v>500</v>
      </c>
      <c r="C1318" s="1659" t="s">
        <v>2361</v>
      </c>
      <c r="D1318" s="54" t="s">
        <v>2327</v>
      </c>
      <c r="F1318" s="54">
        <v>2000</v>
      </c>
      <c r="J1318" s="54" t="str">
        <f t="shared" si="54"/>
        <v>M12b-2a(hh)</v>
      </c>
    </row>
    <row r="1319" spans="1:10" hidden="1">
      <c r="A1319" s="1659" t="s">
        <v>2304</v>
      </c>
      <c r="C1319" s="1659" t="s">
        <v>2362</v>
      </c>
      <c r="D1319" s="54" t="s">
        <v>2327</v>
      </c>
      <c r="F1319" s="54">
        <v>2000</v>
      </c>
      <c r="J1319" s="54" t="str">
        <f t="shared" si="54"/>
        <v>M12 PĐ</v>
      </c>
    </row>
    <row r="1320" spans="1:10" hidden="1">
      <c r="A1320" s="1659" t="s">
        <v>2305</v>
      </c>
      <c r="C1320" s="1659" t="s">
        <v>2363</v>
      </c>
      <c r="D1320" s="54" t="s">
        <v>2327</v>
      </c>
      <c r="F1320" s="54">
        <v>2000</v>
      </c>
      <c r="J1320" s="54" t="str">
        <f t="shared" si="54"/>
        <v>M12BT ĐƠN</v>
      </c>
    </row>
    <row r="1321" spans="1:10" hidden="1">
      <c r="A1321" s="1659" t="s">
        <v>2306</v>
      </c>
      <c r="C1321" s="1659" t="s">
        <v>2364</v>
      </c>
      <c r="D1321" s="54" t="s">
        <v>2327</v>
      </c>
      <c r="F1321" s="54">
        <v>2000</v>
      </c>
      <c r="J1321" s="54" t="str">
        <f t="shared" si="54"/>
        <v>M12BT ĐÔI</v>
      </c>
    </row>
    <row r="1322" spans="1:10" hidden="1">
      <c r="A1322" s="1659" t="s">
        <v>744</v>
      </c>
      <c r="C1322" s="1659" t="s">
        <v>2365</v>
      </c>
      <c r="D1322" s="54" t="s">
        <v>2327</v>
      </c>
      <c r="F1322" s="54">
        <v>2000</v>
      </c>
      <c r="J1322" s="54" t="str">
        <f t="shared" si="54"/>
        <v>M12 CN</v>
      </c>
    </row>
    <row r="1323" spans="1:10" hidden="1">
      <c r="A1323" s="1659" t="s">
        <v>2264</v>
      </c>
      <c r="C1323" s="1659" t="s">
        <v>2367</v>
      </c>
      <c r="D1323" s="54" t="s">
        <v>2327</v>
      </c>
      <c r="F1323" s="54">
        <v>2000</v>
      </c>
      <c r="J1323" s="54" t="str">
        <f t="shared" si="54"/>
        <v>M12BT P500</v>
      </c>
    </row>
    <row r="1324" spans="1:10" hidden="1">
      <c r="A1324" s="1659" t="s">
        <v>780</v>
      </c>
      <c r="C1324" s="1659" t="s">
        <v>2368</v>
      </c>
      <c r="D1324" s="54" t="s">
        <v>2327</v>
      </c>
      <c r="F1324" s="54">
        <v>2000</v>
      </c>
      <c r="J1324" s="54" t="str">
        <f t="shared" si="54"/>
        <v>M14</v>
      </c>
    </row>
    <row r="1325" spans="1:10" hidden="1">
      <c r="A1325" s="1659" t="s">
        <v>648</v>
      </c>
      <c r="C1325" s="1659" t="s">
        <v>2369</v>
      </c>
      <c r="D1325" s="54" t="s">
        <v>2327</v>
      </c>
      <c r="F1325" s="54">
        <v>2000</v>
      </c>
      <c r="J1325" s="54" t="str">
        <f t="shared" si="54"/>
        <v>M14a</v>
      </c>
    </row>
    <row r="1326" spans="1:10" hidden="1">
      <c r="A1326" s="1659" t="s">
        <v>750</v>
      </c>
      <c r="C1326" s="1659" t="s">
        <v>2370</v>
      </c>
      <c r="D1326" s="54" t="s">
        <v>2327</v>
      </c>
      <c r="F1326" s="54">
        <v>2000</v>
      </c>
      <c r="J1326" s="54" t="str">
        <f t="shared" si="54"/>
        <v>M14b</v>
      </c>
    </row>
    <row r="1327" spans="1:10" hidden="1">
      <c r="A1327" s="1659" t="s">
        <v>2307</v>
      </c>
      <c r="C1327" s="1659" t="s">
        <v>2371</v>
      </c>
      <c r="D1327" s="54" t="s">
        <v>2327</v>
      </c>
      <c r="F1327" s="54">
        <v>2000</v>
      </c>
      <c r="J1327" s="54" t="str">
        <f t="shared" si="54"/>
        <v>M14BT ĐƠN</v>
      </c>
    </row>
    <row r="1328" spans="1:10" hidden="1">
      <c r="A1328" s="1659" t="s">
        <v>6530</v>
      </c>
      <c r="C1328" s="1659" t="s">
        <v>6531</v>
      </c>
      <c r="D1328" s="54" t="s">
        <v>2327</v>
      </c>
      <c r="F1328" s="54">
        <v>2000</v>
      </c>
      <c r="J1328" s="54" t="str">
        <f t="shared" ref="J1328:J1329" si="55">A1328</f>
        <v>M14BT Đôi</v>
      </c>
    </row>
    <row r="1329" spans="1:10" hidden="1">
      <c r="A1329" s="1659" t="s">
        <v>6440</v>
      </c>
      <c r="C1329" s="1659" t="s">
        <v>6441</v>
      </c>
      <c r="D1329" s="54" t="s">
        <v>2327</v>
      </c>
      <c r="F1329" s="54">
        <v>2000</v>
      </c>
      <c r="J1329" s="54" t="str">
        <f t="shared" si="55"/>
        <v>MTuBu</v>
      </c>
    </row>
    <row r="1330" spans="1:10" hidden="1">
      <c r="A1330" s="1659" t="s">
        <v>6473</v>
      </c>
      <c r="C1330" s="1659" t="s">
        <v>6474</v>
      </c>
      <c r="D1330" s="54" t="s">
        <v>2327</v>
      </c>
      <c r="F1330" s="54">
        <v>2000</v>
      </c>
      <c r="J1330" s="54" t="str">
        <f t="shared" si="54"/>
        <v>M-TBA</v>
      </c>
    </row>
    <row r="1331" spans="1:10" hidden="1">
      <c r="A1331" s="1659" t="s">
        <v>649</v>
      </c>
      <c r="C1331" s="1659" t="s">
        <v>2372</v>
      </c>
      <c r="D1331" s="54" t="s">
        <v>2327</v>
      </c>
      <c r="F1331" s="54">
        <v>2000</v>
      </c>
      <c r="J1331" s="54" t="str">
        <f t="shared" si="54"/>
        <v>M14aa</v>
      </c>
    </row>
    <row r="1332" spans="1:10" hidden="1">
      <c r="A1332" s="1659" t="s">
        <v>483</v>
      </c>
      <c r="C1332" s="1659" t="s">
        <v>2373</v>
      </c>
      <c r="D1332" s="54" t="s">
        <v>2327</v>
      </c>
      <c r="F1332" s="54">
        <v>2000</v>
      </c>
      <c r="J1332" s="54" t="str">
        <f t="shared" si="54"/>
        <v>M14ba</v>
      </c>
    </row>
    <row r="1333" spans="1:10" hidden="1">
      <c r="A1333" s="1659" t="s">
        <v>484</v>
      </c>
      <c r="C1333" s="1659" t="s">
        <v>2374</v>
      </c>
      <c r="D1333" s="54" t="s">
        <v>2327</v>
      </c>
      <c r="F1333" s="54">
        <v>2000</v>
      </c>
      <c r="J1333" s="54" t="str">
        <f t="shared" si="54"/>
        <v>M14bb</v>
      </c>
    </row>
    <row r="1334" spans="1:10" hidden="1">
      <c r="A1334" s="1659" t="s">
        <v>285</v>
      </c>
      <c r="C1334" s="1659" t="s">
        <v>2375</v>
      </c>
      <c r="D1334" s="54" t="s">
        <v>2327</v>
      </c>
      <c r="F1334" s="54">
        <v>2000</v>
      </c>
      <c r="J1334" s="54" t="str">
        <f t="shared" si="54"/>
        <v>M14-2bn</v>
      </c>
    </row>
    <row r="1335" spans="1:10" hidden="1">
      <c r="A1335" s="1659" t="s">
        <v>650</v>
      </c>
      <c r="C1335" s="1659" t="s">
        <v>2376</v>
      </c>
      <c r="D1335" s="54" t="s">
        <v>2327</v>
      </c>
      <c r="F1335" s="54">
        <v>2000</v>
      </c>
      <c r="J1335" s="54" t="str">
        <f t="shared" si="54"/>
        <v>M14-2a</v>
      </c>
    </row>
    <row r="1336" spans="1:10" hidden="1">
      <c r="A1336" s="1659" t="s">
        <v>1642</v>
      </c>
      <c r="C1336" s="1659" t="s">
        <v>2377</v>
      </c>
      <c r="D1336" s="54" t="s">
        <v>2327</v>
      </c>
      <c r="F1336" s="54">
        <v>2000</v>
      </c>
      <c r="J1336" s="54" t="str">
        <f t="shared" si="54"/>
        <v>M14-2b</v>
      </c>
    </row>
    <row r="1337" spans="1:10" hidden="1">
      <c r="A1337" s="1659" t="s">
        <v>987</v>
      </c>
      <c r="C1337" s="1659" t="s">
        <v>2378</v>
      </c>
      <c r="D1337" s="54" t="s">
        <v>2327</v>
      </c>
      <c r="F1337" s="54">
        <v>2000</v>
      </c>
      <c r="J1337" s="54" t="str">
        <f t="shared" si="54"/>
        <v>M14-4b</v>
      </c>
    </row>
    <row r="1338" spans="1:10" hidden="1">
      <c r="A1338" s="1659" t="s">
        <v>312</v>
      </c>
      <c r="C1338" s="1659" t="s">
        <v>2379</v>
      </c>
      <c r="D1338" s="54" t="s">
        <v>2327</v>
      </c>
      <c r="F1338" s="54">
        <v>2000</v>
      </c>
      <c r="J1338" s="54" t="str">
        <f t="shared" si="54"/>
        <v>BTCL-14-500</v>
      </c>
    </row>
    <row r="1339" spans="1:10" hidden="1">
      <c r="A1339" s="1659" t="s">
        <v>891</v>
      </c>
      <c r="C1339" s="1659" t="s">
        <v>2380</v>
      </c>
      <c r="D1339" s="54" t="s">
        <v>2327</v>
      </c>
      <c r="F1339" s="54">
        <v>2000</v>
      </c>
      <c r="J1339" s="54" t="str">
        <f t="shared" si="54"/>
        <v>M20-4b</v>
      </c>
    </row>
    <row r="1340" spans="1:10" hidden="1">
      <c r="A1340" s="1659" t="s">
        <v>513</v>
      </c>
      <c r="C1340" s="1659" t="s">
        <v>2381</v>
      </c>
      <c r="D1340" s="54" t="s">
        <v>2382</v>
      </c>
      <c r="F1340" s="54">
        <v>2000</v>
      </c>
      <c r="J1340" s="54" t="str">
        <f t="shared" si="54"/>
        <v>MTUPP</v>
      </c>
    </row>
    <row r="1341" spans="1:10" hidden="1">
      <c r="A1341" s="1659" t="s">
        <v>549</v>
      </c>
      <c r="C1341" s="1659" t="s">
        <v>2383</v>
      </c>
      <c r="D1341" s="54" t="s">
        <v>2382</v>
      </c>
      <c r="F1341" s="54">
        <v>2000</v>
      </c>
      <c r="J1341" s="54" t="str">
        <f t="shared" si="54"/>
        <v>MTUCS</v>
      </c>
    </row>
    <row r="1342" spans="1:10" hidden="1">
      <c r="A1342" s="1659" t="s">
        <v>1562</v>
      </c>
      <c r="C1342" s="1659" t="s">
        <v>2384</v>
      </c>
      <c r="D1342" s="54" t="s">
        <v>2385</v>
      </c>
      <c r="F1342" s="54">
        <v>2000</v>
      </c>
      <c r="J1342" s="54" t="str">
        <f t="shared" si="54"/>
        <v>TD75</v>
      </c>
    </row>
    <row r="1343" spans="1:10" hidden="1">
      <c r="A1343" s="1659" t="s">
        <v>1563</v>
      </c>
      <c r="C1343" s="1659" t="s">
        <v>2387</v>
      </c>
      <c r="D1343" s="54" t="s">
        <v>2385</v>
      </c>
      <c r="F1343" s="54">
        <v>2000</v>
      </c>
      <c r="J1343" s="54" t="str">
        <f t="shared" si="54"/>
        <v>TD85</v>
      </c>
    </row>
    <row r="1344" spans="1:10" hidden="1">
      <c r="A1344" s="1659" t="s">
        <v>5</v>
      </c>
      <c r="C1344" s="1659" t="s">
        <v>4293</v>
      </c>
      <c r="D1344" s="54" t="s">
        <v>2385</v>
      </c>
      <c r="F1344" s="54">
        <v>2000</v>
      </c>
      <c r="J1344" s="54" t="str">
        <f t="shared" si="54"/>
        <v>TD85ABC</v>
      </c>
    </row>
    <row r="1345" spans="1:10" hidden="1">
      <c r="A1345" s="1659" t="s">
        <v>515</v>
      </c>
      <c r="C1345" s="1659" t="s">
        <v>2389</v>
      </c>
      <c r="D1345" s="54" t="s">
        <v>2385</v>
      </c>
      <c r="F1345" s="54">
        <v>2000</v>
      </c>
      <c r="J1345" s="54" t="str">
        <f t="shared" si="54"/>
        <v>TDTUPP</v>
      </c>
    </row>
    <row r="1346" spans="1:10" hidden="1">
      <c r="A1346" s="1659" t="s">
        <v>2142</v>
      </c>
      <c r="C1346" s="1659" t="s">
        <v>2390</v>
      </c>
      <c r="D1346" s="54" t="s">
        <v>2385</v>
      </c>
      <c r="F1346" s="54">
        <v>2000</v>
      </c>
      <c r="J1346" s="54" t="str">
        <f t="shared" si="54"/>
        <v>TDTT105</v>
      </c>
    </row>
    <row r="1347" spans="1:10" hidden="1">
      <c r="A1347" s="1659" t="s">
        <v>1637</v>
      </c>
      <c r="C1347" s="1659" t="s">
        <v>2391</v>
      </c>
      <c r="D1347" s="54" t="s">
        <v>2385</v>
      </c>
      <c r="F1347" s="54">
        <v>2000</v>
      </c>
      <c r="J1347" s="54" t="str">
        <f t="shared" si="54"/>
        <v>TDTT12</v>
      </c>
    </row>
    <row r="1348" spans="1:10" hidden="1">
      <c r="A1348" s="1659" t="s">
        <v>2235</v>
      </c>
      <c r="C1348" s="1659" t="s">
        <v>2392</v>
      </c>
      <c r="D1348" s="54" t="s">
        <v>2385</v>
      </c>
      <c r="F1348" s="54">
        <v>2000</v>
      </c>
      <c r="J1348" s="54" t="str">
        <f t="shared" si="54"/>
        <v>TDLL12</v>
      </c>
    </row>
    <row r="1349" spans="1:10" hidden="1">
      <c r="A1349" s="1659" t="s">
        <v>6532</v>
      </c>
      <c r="C1349" s="1659" t="s">
        <v>6533</v>
      </c>
      <c r="D1349" s="54" t="s">
        <v>2385</v>
      </c>
      <c r="F1349" s="54">
        <v>2000</v>
      </c>
      <c r="J1349" s="54" t="str">
        <f t="shared" si="54"/>
        <v>TDTB</v>
      </c>
    </row>
    <row r="1350" spans="1:10" hidden="1">
      <c r="A1350" s="1659" t="s">
        <v>1638</v>
      </c>
      <c r="C1350" s="1659" t="s">
        <v>2394</v>
      </c>
      <c r="D1350" s="54" t="s">
        <v>2385</v>
      </c>
      <c r="F1350" s="54">
        <v>2000</v>
      </c>
      <c r="J1350" s="54" t="str">
        <f t="shared" si="54"/>
        <v>TDTT14</v>
      </c>
    </row>
    <row r="1351" spans="1:10" hidden="1">
      <c r="A1351" s="1659" t="s">
        <v>1984</v>
      </c>
      <c r="C1351" s="1659" t="s">
        <v>2395</v>
      </c>
      <c r="D1351" s="54" t="s">
        <v>2385</v>
      </c>
      <c r="F1351" s="54">
        <v>2000</v>
      </c>
      <c r="J1351" s="54" t="str">
        <f t="shared" si="54"/>
        <v>TDTT20</v>
      </c>
    </row>
    <row r="1352" spans="1:10" hidden="1">
      <c r="A1352" s="1659" t="s">
        <v>547</v>
      </c>
      <c r="C1352" s="1659" t="s">
        <v>2396</v>
      </c>
      <c r="D1352" s="54" t="s">
        <v>2385</v>
      </c>
      <c r="F1352" s="54">
        <v>2000</v>
      </c>
      <c r="J1352" s="54" t="str">
        <f t="shared" si="54"/>
        <v>TDMT</v>
      </c>
    </row>
    <row r="1353" spans="1:10" hidden="1">
      <c r="A1353" s="1659" t="s">
        <v>1054</v>
      </c>
      <c r="C1353" s="1659" t="s">
        <v>2397</v>
      </c>
      <c r="D1353" s="54" t="s">
        <v>2385</v>
      </c>
      <c r="F1353" s="54">
        <v>2000</v>
      </c>
      <c r="J1353" s="54" t="str">
        <f t="shared" ref="J1353" si="56">A1353</f>
        <v>TDDD</v>
      </c>
    </row>
    <row r="1354" spans="1:10" hidden="1">
      <c r="A1354" s="1659" t="s">
        <v>6438</v>
      </c>
      <c r="C1354" s="1659" t="s">
        <v>6439</v>
      </c>
      <c r="D1354" s="54" t="s">
        <v>2385</v>
      </c>
      <c r="F1354" s="54">
        <v>2000</v>
      </c>
      <c r="J1354" s="54" t="str">
        <f t="shared" si="54"/>
        <v>TDTBA</v>
      </c>
    </row>
    <row r="1355" spans="1:10" hidden="1">
      <c r="A1355" s="1659" t="s">
        <v>954</v>
      </c>
      <c r="C1355" s="1659" t="s">
        <v>2398</v>
      </c>
      <c r="D1355" s="54" t="s">
        <v>2277</v>
      </c>
      <c r="F1355" s="54">
        <v>2000</v>
      </c>
      <c r="J1355" s="54" t="str">
        <f t="shared" si="54"/>
        <v>TRUTHEP</v>
      </c>
    </row>
    <row r="1356" spans="1:10" hidden="1">
      <c r="A1356" s="1659" t="s">
        <v>233</v>
      </c>
      <c r="C1356" s="1659" t="s">
        <v>2399</v>
      </c>
      <c r="D1356" s="54" t="s">
        <v>2277</v>
      </c>
      <c r="F1356" s="54">
        <v>2000</v>
      </c>
      <c r="J1356" s="54" t="str">
        <f t="shared" si="54"/>
        <v>BTLT 7.5</v>
      </c>
    </row>
    <row r="1357" spans="1:10" hidden="1">
      <c r="A1357" s="1659" t="s">
        <v>232</v>
      </c>
      <c r="C1357" s="1659" t="s">
        <v>4552</v>
      </c>
      <c r="D1357" s="54" t="s">
        <v>2277</v>
      </c>
      <c r="F1357" s="54">
        <v>2000</v>
      </c>
      <c r="J1357" s="54" t="str">
        <f t="shared" si="54"/>
        <v>BTLT 8.5</v>
      </c>
    </row>
    <row r="1358" spans="1:10" hidden="1">
      <c r="A1358" s="1659" t="s">
        <v>4553</v>
      </c>
      <c r="C1358" s="1659" t="s">
        <v>2400</v>
      </c>
      <c r="D1358" s="54" t="s">
        <v>2277</v>
      </c>
      <c r="F1358" s="54">
        <v>2000</v>
      </c>
      <c r="J1358" s="54" t="str">
        <f t="shared" si="54"/>
        <v xml:space="preserve">BTLT 8.4 </v>
      </c>
    </row>
    <row r="1359" spans="1:10" hidden="1">
      <c r="A1359" s="1659" t="s">
        <v>185</v>
      </c>
      <c r="C1359" s="1659" t="s">
        <v>2401</v>
      </c>
      <c r="D1359" s="54" t="s">
        <v>2277</v>
      </c>
      <c r="F1359" s="54">
        <v>2000</v>
      </c>
      <c r="J1359" s="54" t="str">
        <f t="shared" si="54"/>
        <v>BTLT 8.4TD</v>
      </c>
    </row>
    <row r="1360" spans="1:10" hidden="1">
      <c r="A1360" s="1659" t="s">
        <v>1630</v>
      </c>
      <c r="C1360" s="1659" t="s">
        <v>2402</v>
      </c>
      <c r="D1360" s="54" t="s">
        <v>2277</v>
      </c>
      <c r="F1360" s="54">
        <v>2000</v>
      </c>
      <c r="J1360" s="54" t="str">
        <f t="shared" si="54"/>
        <v>N-BTLT 8.4</v>
      </c>
    </row>
    <row r="1361" spans="1:10" hidden="1">
      <c r="A1361" s="1659" t="s">
        <v>510</v>
      </c>
      <c r="C1361" s="1659" t="s">
        <v>2405</v>
      </c>
      <c r="D1361" s="54" t="s">
        <v>2277</v>
      </c>
      <c r="F1361" s="54">
        <v>2000</v>
      </c>
      <c r="J1361" s="54" t="str">
        <f t="shared" si="54"/>
        <v>N-T-BTLT 8.4</v>
      </c>
    </row>
    <row r="1362" spans="1:10" hidden="1">
      <c r="A1362" s="1659" t="s">
        <v>300</v>
      </c>
      <c r="C1362" s="1659" t="s">
        <v>2406</v>
      </c>
      <c r="D1362" s="54" t="s">
        <v>2277</v>
      </c>
      <c r="F1362" s="54">
        <v>2000</v>
      </c>
      <c r="J1362" s="54" t="str">
        <f t="shared" ref="J1362:J1425" si="57">A1362</f>
        <v>BTLT 10.5</v>
      </c>
    </row>
    <row r="1363" spans="1:10" hidden="1">
      <c r="A1363" s="1659" t="s">
        <v>370</v>
      </c>
      <c r="C1363" s="1659" t="s">
        <v>2407</v>
      </c>
      <c r="D1363" s="54" t="s">
        <v>2277</v>
      </c>
      <c r="F1363" s="54">
        <v>2000</v>
      </c>
      <c r="J1363" s="54" t="str">
        <f t="shared" si="57"/>
        <v>N-BTLT 10.5</v>
      </c>
    </row>
    <row r="1364" spans="1:10" hidden="1">
      <c r="A1364" s="1659" t="s">
        <v>1186</v>
      </c>
      <c r="C1364" s="1659" t="s">
        <v>2409</v>
      </c>
      <c r="D1364" s="54" t="s">
        <v>2277</v>
      </c>
      <c r="F1364" s="54">
        <v>2000</v>
      </c>
      <c r="J1364" s="54" t="str">
        <f t="shared" si="57"/>
        <v>BTLT 12 TC</v>
      </c>
    </row>
    <row r="1365" spans="1:10" hidden="1">
      <c r="A1365" s="1659" t="s">
        <v>301</v>
      </c>
      <c r="C1365" s="1659" t="s">
        <v>2410</v>
      </c>
      <c r="D1365" s="54" t="s">
        <v>2277</v>
      </c>
      <c r="F1365" s="54">
        <v>2000</v>
      </c>
      <c r="J1365" s="54" t="str">
        <f t="shared" si="57"/>
        <v>BTLT 12</v>
      </c>
    </row>
    <row r="1366" spans="1:10" hidden="1">
      <c r="A1366" s="1659" t="s">
        <v>2308</v>
      </c>
      <c r="C1366" s="1659" t="s">
        <v>2411</v>
      </c>
      <c r="D1366" s="54" t="s">
        <v>2277</v>
      </c>
      <c r="F1366" s="54">
        <v>2000</v>
      </c>
      <c r="J1366" s="54" t="str">
        <f t="shared" si="57"/>
        <v>BTLT 12 TĐ</v>
      </c>
    </row>
    <row r="1367" spans="1:10" hidden="1">
      <c r="A1367" s="1659" t="s">
        <v>302</v>
      </c>
      <c r="C1367" s="1659" t="s">
        <v>2413</v>
      </c>
      <c r="D1367" s="54" t="s">
        <v>2277</v>
      </c>
      <c r="F1367" s="54">
        <v>2000</v>
      </c>
      <c r="J1367" s="54" t="str">
        <f t="shared" si="57"/>
        <v>BTLT 14</v>
      </c>
    </row>
    <row r="1368" spans="1:10" hidden="1">
      <c r="A1368" s="1659" t="s">
        <v>759</v>
      </c>
      <c r="C1368" s="1659" t="s">
        <v>2414</v>
      </c>
      <c r="D1368" s="54" t="s">
        <v>2277</v>
      </c>
      <c r="F1368" s="54">
        <v>2000</v>
      </c>
      <c r="J1368" s="54" t="str">
        <f t="shared" si="57"/>
        <v>BTLT 20</v>
      </c>
    </row>
    <row r="1369" spans="1:10" hidden="1">
      <c r="A1369" s="1659" t="s">
        <v>361</v>
      </c>
      <c r="C1369" s="1659" t="s">
        <v>2453</v>
      </c>
      <c r="D1369" s="54" t="s">
        <v>2385</v>
      </c>
      <c r="F1369" s="54">
        <v>2000</v>
      </c>
      <c r="G1369" s="54" t="s">
        <v>512</v>
      </c>
      <c r="J1369" s="54" t="str">
        <f t="shared" si="57"/>
        <v>X-24COMPOSITE</v>
      </c>
    </row>
    <row r="1370" spans="1:10" hidden="1">
      <c r="A1370" s="1659" t="s">
        <v>2309</v>
      </c>
      <c r="C1370" s="1659" t="s">
        <v>2415</v>
      </c>
      <c r="D1370" s="54" t="s">
        <v>2385</v>
      </c>
      <c r="F1370" s="54">
        <v>2000</v>
      </c>
      <c r="J1370" s="54" t="str">
        <f t="shared" si="57"/>
        <v>X-1,66Đ</v>
      </c>
    </row>
    <row r="1371" spans="1:10" hidden="1">
      <c r="A1371" s="1659" t="s">
        <v>1291</v>
      </c>
      <c r="C1371" s="1659" t="s">
        <v>2416</v>
      </c>
      <c r="D1371" s="54" t="s">
        <v>2385</v>
      </c>
      <c r="F1371" s="54">
        <v>2000</v>
      </c>
      <c r="J1371" s="54" t="str">
        <f t="shared" si="57"/>
        <v>X-1,66K</v>
      </c>
    </row>
    <row r="1372" spans="1:10" hidden="1">
      <c r="A1372" s="1659" t="s">
        <v>2295</v>
      </c>
      <c r="C1372" s="1659" t="s">
        <v>4327</v>
      </c>
      <c r="D1372" s="54" t="s">
        <v>2385</v>
      </c>
      <c r="F1372" s="54">
        <v>2000</v>
      </c>
      <c r="J1372" s="54" t="str">
        <f t="shared" si="57"/>
        <v>X-22K-Đ</v>
      </c>
    </row>
    <row r="1373" spans="1:10" hidden="1">
      <c r="A1373" s="1659" t="s">
        <v>2291</v>
      </c>
      <c r="C1373" s="1659" t="s">
        <v>2417</v>
      </c>
      <c r="D1373" s="54" t="s">
        <v>2385</v>
      </c>
      <c r="F1373" s="54">
        <v>2000</v>
      </c>
      <c r="J1373" s="54" t="str">
        <f t="shared" si="57"/>
        <v>X-20Đ</v>
      </c>
    </row>
    <row r="1374" spans="1:10" hidden="1">
      <c r="A1374" s="1659" t="s">
        <v>909</v>
      </c>
      <c r="C1374" s="1659" t="s">
        <v>2418</v>
      </c>
      <c r="D1374" s="54" t="s">
        <v>2385</v>
      </c>
      <c r="F1374" s="54">
        <v>2000</v>
      </c>
      <c r="J1374" s="54" t="str">
        <f t="shared" si="57"/>
        <v>X-20K</v>
      </c>
    </row>
    <row r="1375" spans="1:10" hidden="1">
      <c r="A1375" s="1659" t="s">
        <v>2294</v>
      </c>
      <c r="C1375" s="1659" t="s">
        <v>2419</v>
      </c>
      <c r="D1375" s="54" t="s">
        <v>2385</v>
      </c>
      <c r="F1375" s="54">
        <v>2000</v>
      </c>
      <c r="J1375" s="54" t="str">
        <f t="shared" si="57"/>
        <v>X-22Đ</v>
      </c>
    </row>
    <row r="1376" spans="1:10" hidden="1">
      <c r="A1376" s="1659" t="s">
        <v>2310</v>
      </c>
      <c r="C1376" s="1659" t="s">
        <v>2421</v>
      </c>
      <c r="D1376" s="54" t="s">
        <v>2385</v>
      </c>
      <c r="F1376" s="54">
        <v>2000</v>
      </c>
      <c r="J1376" s="54" t="str">
        <f t="shared" si="57"/>
        <v>X-22Đ - C920</v>
      </c>
    </row>
    <row r="1377" spans="1:10" hidden="1">
      <c r="A1377" s="1659" t="s">
        <v>1082</v>
      </c>
      <c r="C1377" s="1659" t="s">
        <v>2422</v>
      </c>
      <c r="D1377" s="54" t="s">
        <v>2385</v>
      </c>
      <c r="F1377" s="54">
        <v>2000</v>
      </c>
      <c r="J1377" s="54" t="str">
        <f t="shared" si="57"/>
        <v>TL X-21K</v>
      </c>
    </row>
    <row r="1378" spans="1:10" hidden="1">
      <c r="A1378" s="1659" t="s">
        <v>533</v>
      </c>
      <c r="C1378" s="1659" t="s">
        <v>2423</v>
      </c>
      <c r="D1378" s="54" t="s">
        <v>2385</v>
      </c>
      <c r="F1378" s="54">
        <v>2000</v>
      </c>
      <c r="J1378" s="54" t="str">
        <f t="shared" si="57"/>
        <v>X-22K-K</v>
      </c>
    </row>
    <row r="1379" spans="1:10" hidden="1">
      <c r="A1379" s="1659" t="s">
        <v>1112</v>
      </c>
      <c r="C1379" s="1659" t="s">
        <v>2424</v>
      </c>
      <c r="D1379" s="54" t="s">
        <v>2385</v>
      </c>
      <c r="F1379" s="54">
        <v>2000</v>
      </c>
      <c r="J1379" s="54" t="str">
        <f t="shared" si="57"/>
        <v>X-22K - C920</v>
      </c>
    </row>
    <row r="1380" spans="1:10" hidden="1">
      <c r="A1380" s="1659" t="s">
        <v>2296</v>
      </c>
      <c r="C1380" s="1659" t="s">
        <v>2425</v>
      </c>
      <c r="D1380" s="54" t="s">
        <v>2385</v>
      </c>
      <c r="F1380" s="54">
        <v>2000</v>
      </c>
      <c r="J1380" s="54" t="str">
        <f t="shared" si="57"/>
        <v>X-24Đ</v>
      </c>
    </row>
    <row r="1381" spans="1:10" hidden="1">
      <c r="A1381" s="1659" t="s">
        <v>910</v>
      </c>
      <c r="C1381" s="1659" t="s">
        <v>2426</v>
      </c>
      <c r="D1381" s="54" t="s">
        <v>2385</v>
      </c>
      <c r="F1381" s="54">
        <v>2000</v>
      </c>
      <c r="J1381" s="54" t="str">
        <f t="shared" si="57"/>
        <v>X-24K</v>
      </c>
    </row>
    <row r="1382" spans="1:10" hidden="1">
      <c r="A1382" s="1659" t="s">
        <v>713</v>
      </c>
      <c r="C1382" s="1659" t="s">
        <v>2427</v>
      </c>
      <c r="D1382" s="54" t="s">
        <v>2385</v>
      </c>
      <c r="F1382" s="54">
        <v>2000</v>
      </c>
      <c r="J1382" s="54" t="str">
        <f t="shared" si="57"/>
        <v>TL X-26K</v>
      </c>
    </row>
    <row r="1383" spans="1:10" hidden="1">
      <c r="A1383" s="1659" t="s">
        <v>2297</v>
      </c>
      <c r="C1383" s="1659" t="s">
        <v>2428</v>
      </c>
      <c r="D1383" s="54" t="s">
        <v>2385</v>
      </c>
      <c r="F1383" s="54">
        <v>2000</v>
      </c>
      <c r="J1383" s="54" t="str">
        <f t="shared" si="57"/>
        <v>X-8ĐL</v>
      </c>
    </row>
    <row r="1384" spans="1:10" hidden="1">
      <c r="A1384" s="1659" t="s">
        <v>344</v>
      </c>
      <c r="C1384" s="1659" t="s">
        <v>2429</v>
      </c>
      <c r="D1384" s="54" t="s">
        <v>2385</v>
      </c>
      <c r="F1384" s="54">
        <v>2000</v>
      </c>
      <c r="J1384" s="54" t="str">
        <f t="shared" si="57"/>
        <v>X-8KL</v>
      </c>
    </row>
    <row r="1385" spans="1:10" hidden="1">
      <c r="A1385" s="1659" t="s">
        <v>2292</v>
      </c>
      <c r="C1385" s="1659" t="s">
        <v>2430</v>
      </c>
      <c r="D1385" s="54" t="s">
        <v>2385</v>
      </c>
      <c r="F1385" s="54">
        <v>2000</v>
      </c>
      <c r="J1385" s="54" t="str">
        <f t="shared" si="57"/>
        <v>X-21ĐL</v>
      </c>
    </row>
    <row r="1386" spans="1:10" hidden="1">
      <c r="A1386" s="1659" t="s">
        <v>893</v>
      </c>
      <c r="C1386" s="1659" t="s">
        <v>2431</v>
      </c>
      <c r="D1386" s="54" t="s">
        <v>2385</v>
      </c>
      <c r="F1386" s="54">
        <v>2000</v>
      </c>
      <c r="J1386" s="54" t="str">
        <f t="shared" si="57"/>
        <v>X-21KL</v>
      </c>
    </row>
    <row r="1387" spans="1:10" hidden="1">
      <c r="A1387" s="1659" t="s">
        <v>2293</v>
      </c>
      <c r="C1387" s="1659" t="s">
        <v>2432</v>
      </c>
      <c r="D1387" s="54" t="s">
        <v>2385</v>
      </c>
      <c r="F1387" s="54">
        <v>2000</v>
      </c>
      <c r="J1387" s="54" t="str">
        <f t="shared" si="57"/>
        <v>X-20ĐL2/3</v>
      </c>
    </row>
    <row r="1388" spans="1:10" hidden="1">
      <c r="A1388" s="1659" t="s">
        <v>2119</v>
      </c>
      <c r="C1388" s="1659" t="s">
        <v>2433</v>
      </c>
      <c r="D1388" s="54" t="s">
        <v>2385</v>
      </c>
      <c r="F1388" s="54">
        <v>2000</v>
      </c>
      <c r="J1388" s="54" t="str">
        <f t="shared" si="57"/>
        <v>X-20KL2/3</v>
      </c>
    </row>
    <row r="1389" spans="1:10" hidden="1">
      <c r="A1389" s="1659" t="s">
        <v>2298</v>
      </c>
      <c r="C1389" s="1659" t="s">
        <v>2434</v>
      </c>
      <c r="D1389" s="54" t="s">
        <v>2385</v>
      </c>
      <c r="F1389" s="54">
        <v>2000</v>
      </c>
      <c r="J1389" s="54" t="str">
        <f t="shared" si="57"/>
        <v>X-24ĐP</v>
      </c>
    </row>
    <row r="1390" spans="1:10" hidden="1">
      <c r="A1390" s="1659" t="s">
        <v>213</v>
      </c>
      <c r="C1390" s="1659" t="s">
        <v>2435</v>
      </c>
      <c r="D1390" s="54" t="s">
        <v>2385</v>
      </c>
      <c r="F1390" s="54">
        <v>2000</v>
      </c>
      <c r="J1390" s="54" t="str">
        <f t="shared" si="57"/>
        <v>X-24KP</v>
      </c>
    </row>
    <row r="1391" spans="1:10" hidden="1">
      <c r="A1391" s="1659" t="s">
        <v>2311</v>
      </c>
      <c r="C1391" s="1659" t="s">
        <v>2436</v>
      </c>
      <c r="D1391" s="54" t="s">
        <v>2385</v>
      </c>
      <c r="F1391" s="54">
        <v>2000</v>
      </c>
      <c r="J1391" s="54" t="str">
        <f t="shared" si="57"/>
        <v>X-26ĐP</v>
      </c>
    </row>
    <row r="1392" spans="1:10" hidden="1">
      <c r="A1392" s="1659" t="s">
        <v>1501</v>
      </c>
      <c r="C1392" s="1659" t="s">
        <v>2445</v>
      </c>
      <c r="D1392" s="54" t="s">
        <v>2385</v>
      </c>
      <c r="F1392" s="54">
        <v>2000</v>
      </c>
      <c r="J1392" s="54" t="str">
        <f t="shared" si="57"/>
        <v>X-26KP</v>
      </c>
    </row>
    <row r="1393" spans="1:10" hidden="1">
      <c r="A1393" s="1659" t="s">
        <v>1574</v>
      </c>
      <c r="C1393" s="1659" t="s">
        <v>2447</v>
      </c>
      <c r="D1393" s="54" t="s">
        <v>2385</v>
      </c>
      <c r="F1393" s="54">
        <v>2000</v>
      </c>
      <c r="J1393" s="54" t="str">
        <f t="shared" si="57"/>
        <v>X-28KP</v>
      </c>
    </row>
    <row r="1394" spans="1:10" hidden="1">
      <c r="A1394" s="1659" t="s">
        <v>105</v>
      </c>
      <c r="C1394" s="1659" t="s">
        <v>2449</v>
      </c>
      <c r="D1394" s="54" t="s">
        <v>2385</v>
      </c>
      <c r="F1394" s="54">
        <v>2000</v>
      </c>
      <c r="J1394" s="54" t="str">
        <f t="shared" si="57"/>
        <v>X-30KP</v>
      </c>
    </row>
    <row r="1395" spans="1:10" hidden="1">
      <c r="A1395" s="1659" t="s">
        <v>2299</v>
      </c>
      <c r="C1395" s="1659" t="s">
        <v>2450</v>
      </c>
      <c r="D1395" s="54" t="s">
        <v>2385</v>
      </c>
      <c r="F1395" s="54">
        <v>2000</v>
      </c>
      <c r="J1395" s="54" t="str">
        <f t="shared" si="57"/>
        <v>X-38Đ</v>
      </c>
    </row>
    <row r="1396" spans="1:10" hidden="1">
      <c r="A1396" s="1659" t="s">
        <v>807</v>
      </c>
      <c r="C1396" s="1659" t="s">
        <v>2451</v>
      </c>
      <c r="D1396" s="54" t="s">
        <v>2385</v>
      </c>
      <c r="F1396" s="54">
        <v>2000</v>
      </c>
      <c r="J1396" s="54" t="str">
        <f t="shared" si="57"/>
        <v>X-42KP</v>
      </c>
    </row>
    <row r="1397" spans="1:10" hidden="1">
      <c r="A1397" s="1659" t="s">
        <v>1868</v>
      </c>
      <c r="C1397" s="1659" t="s">
        <v>2452</v>
      </c>
      <c r="D1397" s="54" t="s">
        <v>2385</v>
      </c>
      <c r="F1397" s="54">
        <v>2000</v>
      </c>
      <c r="J1397" s="54" t="str">
        <f t="shared" si="57"/>
        <v>X-24KP500</v>
      </c>
    </row>
    <row r="1398" spans="1:10" hidden="1">
      <c r="A1398" s="1659" t="s">
        <v>806</v>
      </c>
      <c r="C1398" s="1659" t="s">
        <v>2454</v>
      </c>
      <c r="D1398" s="54" t="s">
        <v>2385</v>
      </c>
      <c r="F1398" s="54">
        <v>2000</v>
      </c>
      <c r="J1398" s="54" t="str">
        <f t="shared" si="57"/>
        <v>G-20KP</v>
      </c>
    </row>
    <row r="1399" spans="1:10" hidden="1">
      <c r="A1399" s="1659" t="s">
        <v>805</v>
      </c>
      <c r="C1399" s="1659" t="s">
        <v>2455</v>
      </c>
      <c r="D1399" s="54" t="s">
        <v>2385</v>
      </c>
      <c r="F1399" s="54">
        <v>2000</v>
      </c>
      <c r="J1399" s="54" t="str">
        <f t="shared" si="57"/>
        <v>G-23KP</v>
      </c>
    </row>
    <row r="1400" spans="1:10" hidden="1">
      <c r="A1400" s="1659" t="s">
        <v>1566</v>
      </c>
      <c r="C1400" s="1659" t="s">
        <v>2456</v>
      </c>
      <c r="D1400" s="54" t="s">
        <v>2385</v>
      </c>
      <c r="F1400" s="54">
        <v>2000</v>
      </c>
      <c r="J1400" s="54" t="str">
        <f t="shared" si="57"/>
        <v>G-720</v>
      </c>
    </row>
    <row r="1401" spans="1:10" hidden="1">
      <c r="A1401" s="1659" t="s">
        <v>1195</v>
      </c>
      <c r="C1401" s="1659" t="s">
        <v>2457</v>
      </c>
      <c r="D1401" s="54" t="s">
        <v>2385</v>
      </c>
      <c r="F1401" s="54">
        <v>2000</v>
      </c>
      <c r="J1401" s="54" t="str">
        <f t="shared" si="57"/>
        <v>CODE th-Þ240</v>
      </c>
    </row>
    <row r="1402" spans="1:10" hidden="1">
      <c r="A1402" s="1659" t="s">
        <v>633</v>
      </c>
      <c r="C1402" s="1659" t="s">
        <v>2458</v>
      </c>
      <c r="D1402" s="54" t="s">
        <v>2385</v>
      </c>
      <c r="F1402" s="54">
        <v>2000</v>
      </c>
      <c r="J1402" s="54" t="str">
        <f t="shared" si="57"/>
        <v>CX-ht</v>
      </c>
    </row>
    <row r="1403" spans="1:10" hidden="1">
      <c r="A1403" s="1659" t="s">
        <v>205</v>
      </c>
      <c r="C1403" s="1659" t="s">
        <v>2459</v>
      </c>
      <c r="D1403" s="54" t="s">
        <v>2385</v>
      </c>
      <c r="F1403" s="54">
        <v>2000</v>
      </c>
      <c r="J1403" s="54" t="str">
        <f t="shared" si="57"/>
        <v>T CL-ht</v>
      </c>
    </row>
    <row r="1404" spans="1:10" hidden="1">
      <c r="A1404" s="1659" t="s">
        <v>632</v>
      </c>
      <c r="C1404" s="1659" t="s">
        <v>2462</v>
      </c>
      <c r="D1404" s="54" t="s">
        <v>2385</v>
      </c>
      <c r="F1404" s="54">
        <v>2000</v>
      </c>
      <c r="J1404" s="54" t="str">
        <f t="shared" si="57"/>
        <v>CL-ht</v>
      </c>
    </row>
    <row r="1405" spans="1:10" hidden="1">
      <c r="A1405" s="1659" t="s">
        <v>835</v>
      </c>
      <c r="C1405" s="1659" t="s">
        <v>2463</v>
      </c>
      <c r="D1405" s="54" t="s">
        <v>2385</v>
      </c>
      <c r="F1405" s="54">
        <v>2000</v>
      </c>
      <c r="J1405" s="54" t="str">
        <f t="shared" si="57"/>
        <v>CX10-B</v>
      </c>
    </row>
    <row r="1406" spans="1:10" hidden="1">
      <c r="A1406" s="1659" t="s">
        <v>836</v>
      </c>
      <c r="C1406" s="1659" t="s">
        <v>2464</v>
      </c>
      <c r="D1406" s="54" t="s">
        <v>2385</v>
      </c>
      <c r="F1406" s="54">
        <v>2000</v>
      </c>
      <c r="J1406" s="54" t="str">
        <f t="shared" si="57"/>
        <v>CL10-B</v>
      </c>
    </row>
    <row r="1407" spans="1:10" hidden="1">
      <c r="A1407" s="1659" t="s">
        <v>837</v>
      </c>
      <c r="C1407" s="1659" t="s">
        <v>2465</v>
      </c>
      <c r="D1407" s="54" t="s">
        <v>2385</v>
      </c>
      <c r="F1407" s="54">
        <v>2000</v>
      </c>
      <c r="J1407" s="54" t="str">
        <f t="shared" si="57"/>
        <v>CXX10-B</v>
      </c>
    </row>
    <row r="1408" spans="1:10" hidden="1">
      <c r="A1408" s="1659" t="s">
        <v>1270</v>
      </c>
      <c r="C1408" s="1659" t="s">
        <v>2466</v>
      </c>
      <c r="D1408" s="54" t="s">
        <v>2385</v>
      </c>
      <c r="F1408" s="54">
        <v>2000</v>
      </c>
      <c r="J1408" s="54" t="str">
        <f t="shared" si="57"/>
        <v>T CX12-B</v>
      </c>
    </row>
    <row r="1409" spans="1:10" hidden="1">
      <c r="A1409" s="1659" t="s">
        <v>663</v>
      </c>
      <c r="C1409" s="1659" t="s">
        <v>2467</v>
      </c>
      <c r="D1409" s="54" t="s">
        <v>2385</v>
      </c>
      <c r="F1409" s="54">
        <v>2000</v>
      </c>
      <c r="J1409" s="54" t="str">
        <f t="shared" si="57"/>
        <v>CX12-B</v>
      </c>
    </row>
    <row r="1410" spans="1:10" hidden="1">
      <c r="A1410" s="1659" t="s">
        <v>195</v>
      </c>
      <c r="C1410" s="1659" t="s">
        <v>2469</v>
      </c>
      <c r="D1410" s="54" t="s">
        <v>2385</v>
      </c>
      <c r="F1410" s="54">
        <v>2000</v>
      </c>
      <c r="J1410" s="54" t="str">
        <f t="shared" si="57"/>
        <v>T CL12-B</v>
      </c>
    </row>
    <row r="1411" spans="1:10" hidden="1">
      <c r="A1411" s="1659" t="s">
        <v>664</v>
      </c>
      <c r="C1411" s="1659" t="s">
        <v>2470</v>
      </c>
      <c r="D1411" s="54" t="s">
        <v>2385</v>
      </c>
      <c r="F1411" s="54">
        <v>2000</v>
      </c>
      <c r="J1411" s="54" t="str">
        <f t="shared" si="57"/>
        <v>CL12-B</v>
      </c>
    </row>
    <row r="1412" spans="1:10" hidden="1">
      <c r="A1412" s="1659" t="s">
        <v>665</v>
      </c>
      <c r="C1412" s="1659" t="s">
        <v>2471</v>
      </c>
      <c r="D1412" s="54" t="s">
        <v>2385</v>
      </c>
      <c r="F1412" s="54">
        <v>2000</v>
      </c>
      <c r="J1412" s="54" t="str">
        <f t="shared" si="57"/>
        <v>CXX12-B</v>
      </c>
    </row>
    <row r="1413" spans="1:10" hidden="1">
      <c r="A1413" s="1659" t="s">
        <v>666</v>
      </c>
      <c r="C1413" s="1659" t="s">
        <v>2472</v>
      </c>
      <c r="D1413" s="54" t="s">
        <v>2385</v>
      </c>
      <c r="F1413" s="54">
        <v>2000</v>
      </c>
      <c r="J1413" s="54" t="str">
        <f t="shared" si="57"/>
        <v>CX14-B</v>
      </c>
    </row>
    <row r="1414" spans="1:10" hidden="1">
      <c r="A1414" s="1659" t="s">
        <v>912</v>
      </c>
      <c r="C1414" s="1659" t="s">
        <v>2473</v>
      </c>
      <c r="D1414" s="54" t="s">
        <v>2385</v>
      </c>
      <c r="F1414" s="54">
        <v>2000</v>
      </c>
      <c r="J1414" s="54" t="str">
        <f t="shared" si="57"/>
        <v>CL14-B</v>
      </c>
    </row>
    <row r="1415" spans="1:10" hidden="1">
      <c r="A1415" s="1659" t="s">
        <v>913</v>
      </c>
      <c r="C1415" s="1659" t="s">
        <v>2474</v>
      </c>
      <c r="D1415" s="54" t="s">
        <v>2385</v>
      </c>
      <c r="F1415" s="54">
        <v>2000</v>
      </c>
      <c r="J1415" s="54" t="str">
        <f t="shared" si="57"/>
        <v>CXX14-B</v>
      </c>
    </row>
    <row r="1416" spans="1:10" hidden="1">
      <c r="A1416" s="1659" t="s">
        <v>749</v>
      </c>
      <c r="C1416" s="1659" t="s">
        <v>2475</v>
      </c>
      <c r="D1416" s="54" t="s">
        <v>2385</v>
      </c>
      <c r="F1416" s="54">
        <v>2000</v>
      </c>
      <c r="J1416" s="54" t="str">
        <f t="shared" si="57"/>
        <v>CK-B</v>
      </c>
    </row>
    <row r="1417" spans="1:10" hidden="1">
      <c r="A1417" s="1659" t="s">
        <v>748</v>
      </c>
      <c r="C1417" s="1659" t="s">
        <v>2476</v>
      </c>
      <c r="D1417" s="54" t="s">
        <v>2385</v>
      </c>
      <c r="F1417" s="54">
        <v>2000</v>
      </c>
      <c r="J1417" s="54" t="str">
        <f t="shared" si="57"/>
        <v>CKK-B</v>
      </c>
    </row>
    <row r="1418" spans="1:10" hidden="1">
      <c r="A1418" s="1659" t="s">
        <v>345</v>
      </c>
      <c r="C1418" s="1659" t="s">
        <v>2477</v>
      </c>
      <c r="D1418" s="54" t="s">
        <v>2385</v>
      </c>
      <c r="F1418" s="54">
        <v>2000</v>
      </c>
      <c r="J1418" s="54" t="str">
        <f t="shared" si="57"/>
        <v>CX10-C</v>
      </c>
    </row>
    <row r="1419" spans="1:10" hidden="1">
      <c r="A1419" s="1659" t="s">
        <v>1084</v>
      </c>
      <c r="C1419" s="1659" t="s">
        <v>2478</v>
      </c>
      <c r="D1419" s="54" t="s">
        <v>2385</v>
      </c>
      <c r="F1419" s="54">
        <v>2000</v>
      </c>
      <c r="J1419" s="54" t="str">
        <f t="shared" si="57"/>
        <v>CL10-C</v>
      </c>
    </row>
    <row r="1420" spans="1:10" hidden="1">
      <c r="A1420" s="1659" t="s">
        <v>1085</v>
      </c>
      <c r="C1420" s="1659" t="s">
        <v>2479</v>
      </c>
      <c r="D1420" s="54" t="s">
        <v>2385</v>
      </c>
      <c r="F1420" s="54">
        <v>2000</v>
      </c>
      <c r="J1420" s="54" t="str">
        <f t="shared" si="57"/>
        <v>CXX10-C</v>
      </c>
    </row>
    <row r="1421" spans="1:10" hidden="1">
      <c r="A1421" s="1659" t="s">
        <v>1086</v>
      </c>
      <c r="C1421" s="1659" t="s">
        <v>2480</v>
      </c>
      <c r="D1421" s="54" t="s">
        <v>2385</v>
      </c>
      <c r="F1421" s="54">
        <v>2000</v>
      </c>
      <c r="J1421" s="54" t="str">
        <f t="shared" si="57"/>
        <v>CX12-C</v>
      </c>
    </row>
    <row r="1422" spans="1:10" hidden="1">
      <c r="A1422" s="1659" t="s">
        <v>1087</v>
      </c>
      <c r="C1422" s="1659" t="s">
        <v>2481</v>
      </c>
      <c r="D1422" s="54" t="s">
        <v>2385</v>
      </c>
      <c r="F1422" s="54">
        <v>2000</v>
      </c>
      <c r="J1422" s="54" t="str">
        <f t="shared" si="57"/>
        <v>CL12-C</v>
      </c>
    </row>
    <row r="1423" spans="1:10" hidden="1">
      <c r="A1423" s="1659" t="s">
        <v>1088</v>
      </c>
      <c r="C1423" s="1659" t="s">
        <v>2482</v>
      </c>
      <c r="D1423" s="54" t="s">
        <v>2385</v>
      </c>
      <c r="F1423" s="54">
        <v>2000</v>
      </c>
      <c r="J1423" s="54" t="str">
        <f t="shared" si="57"/>
        <v>CXX12-C</v>
      </c>
    </row>
    <row r="1424" spans="1:10" hidden="1">
      <c r="A1424" s="1659" t="s">
        <v>1809</v>
      </c>
      <c r="C1424" s="1659" t="s">
        <v>2483</v>
      </c>
      <c r="D1424" s="54" t="s">
        <v>2385</v>
      </c>
      <c r="F1424" s="54">
        <v>2000</v>
      </c>
      <c r="J1424" s="54" t="str">
        <f t="shared" si="57"/>
        <v>CX14-C</v>
      </c>
    </row>
    <row r="1425" spans="1:10" hidden="1">
      <c r="A1425" s="1659" t="s">
        <v>339</v>
      </c>
      <c r="C1425" s="1659" t="s">
        <v>2484</v>
      </c>
      <c r="D1425" s="54" t="s">
        <v>2385</v>
      </c>
      <c r="F1425" s="54">
        <v>2000</v>
      </c>
      <c r="J1425" s="54" t="str">
        <f t="shared" si="57"/>
        <v>CL14-C</v>
      </c>
    </row>
    <row r="1426" spans="1:10" hidden="1">
      <c r="A1426" s="1659" t="s">
        <v>1240</v>
      </c>
      <c r="C1426" s="1659" t="s">
        <v>2485</v>
      </c>
      <c r="D1426" s="54" t="s">
        <v>2385</v>
      </c>
      <c r="F1426" s="54">
        <v>2000</v>
      </c>
      <c r="J1426" s="54" t="str">
        <f t="shared" ref="J1426:J1490" si="58">A1426</f>
        <v>CXX14-C</v>
      </c>
    </row>
    <row r="1427" spans="1:10" hidden="1">
      <c r="A1427" s="1659" t="s">
        <v>812</v>
      </c>
      <c r="C1427" s="1659" t="s">
        <v>2486</v>
      </c>
      <c r="D1427" s="54" t="s">
        <v>2385</v>
      </c>
      <c r="F1427" s="54">
        <v>2000</v>
      </c>
      <c r="J1427" s="54" t="str">
        <f t="shared" si="58"/>
        <v>CX20-C</v>
      </c>
    </row>
    <row r="1428" spans="1:10" hidden="1">
      <c r="A1428" s="1659" t="s">
        <v>1089</v>
      </c>
      <c r="C1428" s="1659" t="s">
        <v>2487</v>
      </c>
      <c r="D1428" s="54" t="s">
        <v>2385</v>
      </c>
      <c r="F1428" s="54">
        <v>2000</v>
      </c>
      <c r="J1428" s="54" t="str">
        <f t="shared" si="58"/>
        <v>CK-C</v>
      </c>
    </row>
    <row r="1429" spans="1:10" hidden="1">
      <c r="A1429" s="1659" t="s">
        <v>1090</v>
      </c>
      <c r="C1429" s="1659" t="s">
        <v>2488</v>
      </c>
      <c r="D1429" s="54" t="s">
        <v>2385</v>
      </c>
      <c r="F1429" s="54">
        <v>2000</v>
      </c>
      <c r="J1429" s="54" t="str">
        <f t="shared" si="58"/>
        <v>CKK-C</v>
      </c>
    </row>
    <row r="1430" spans="1:10" hidden="1">
      <c r="A1430" s="1659" t="s">
        <v>1492</v>
      </c>
      <c r="C1430" s="1659" t="s">
        <v>2489</v>
      </c>
      <c r="D1430" s="54" t="s">
        <v>2385</v>
      </c>
      <c r="F1430" s="54">
        <v>2000</v>
      </c>
      <c r="J1430" s="54" t="str">
        <f t="shared" si="58"/>
        <v>NXX</v>
      </c>
    </row>
    <row r="1431" spans="1:10" hidden="1">
      <c r="A1431" s="1659" t="s">
        <v>1493</v>
      </c>
      <c r="C1431" s="1659" t="s">
        <v>2490</v>
      </c>
      <c r="D1431" s="54" t="s">
        <v>2385</v>
      </c>
      <c r="F1431" s="54">
        <v>2000</v>
      </c>
      <c r="J1431" s="54" t="str">
        <f t="shared" si="58"/>
        <v>NXL</v>
      </c>
    </row>
    <row r="1432" spans="1:10" hidden="1">
      <c r="A1432" s="1659" t="s">
        <v>1572</v>
      </c>
      <c r="C1432" s="1659" t="s">
        <v>2491</v>
      </c>
      <c r="D1432" s="54" t="s">
        <v>2385</v>
      </c>
      <c r="F1432" s="54">
        <v>2000</v>
      </c>
      <c r="J1432" s="54" t="str">
        <f t="shared" si="58"/>
        <v xml:space="preserve">MNX12-2 </v>
      </c>
    </row>
    <row r="1433" spans="1:10" hidden="1">
      <c r="A1433" s="1659" t="s">
        <v>1091</v>
      </c>
      <c r="C1433" s="1659" t="s">
        <v>2492</v>
      </c>
      <c r="D1433" s="54" t="s">
        <v>2385</v>
      </c>
      <c r="F1433" s="54">
        <v>2000</v>
      </c>
      <c r="J1433" s="54" t="str">
        <f t="shared" si="58"/>
        <v>MNL12-2</v>
      </c>
    </row>
    <row r="1434" spans="1:10" hidden="1">
      <c r="A1434" s="1659" t="s">
        <v>2146</v>
      </c>
      <c r="C1434" s="1659" t="s">
        <v>2493</v>
      </c>
      <c r="D1434" s="54" t="s">
        <v>2385</v>
      </c>
      <c r="F1434" s="54">
        <v>2000</v>
      </c>
      <c r="J1434" s="54" t="str">
        <f t="shared" si="58"/>
        <v xml:space="preserve">MNX12-4 </v>
      </c>
    </row>
    <row r="1435" spans="1:10" hidden="1">
      <c r="A1435" s="1659" t="s">
        <v>1092</v>
      </c>
      <c r="C1435" s="1659" t="s">
        <v>2494</v>
      </c>
      <c r="D1435" s="54" t="s">
        <v>2385</v>
      </c>
      <c r="F1435" s="54">
        <v>2000</v>
      </c>
      <c r="J1435" s="54" t="str">
        <f t="shared" si="58"/>
        <v xml:space="preserve">MNL12-4 </v>
      </c>
    </row>
    <row r="1436" spans="1:10" hidden="1">
      <c r="A1436" s="1659" t="s">
        <v>2147</v>
      </c>
      <c r="C1436" s="1659" t="s">
        <v>2495</v>
      </c>
      <c r="D1436" s="54" t="s">
        <v>2385</v>
      </c>
      <c r="F1436" s="54">
        <v>2000</v>
      </c>
      <c r="J1436" s="54" t="str">
        <f t="shared" si="58"/>
        <v xml:space="preserve">MNX15-4 </v>
      </c>
    </row>
    <row r="1437" spans="1:10" hidden="1">
      <c r="A1437" s="1659" t="s">
        <v>1093</v>
      </c>
      <c r="C1437" s="1659" t="s">
        <v>2496</v>
      </c>
      <c r="D1437" s="54" t="s">
        <v>2385</v>
      </c>
      <c r="F1437" s="54">
        <v>2000</v>
      </c>
      <c r="J1437" s="54" t="str">
        <f t="shared" si="58"/>
        <v>MNL15-4</v>
      </c>
    </row>
    <row r="1438" spans="1:10" hidden="1">
      <c r="A1438" s="1659" t="s">
        <v>2045</v>
      </c>
      <c r="C1438" s="1659" t="s">
        <v>2497</v>
      </c>
      <c r="D1438" s="54" t="s">
        <v>2385</v>
      </c>
      <c r="F1438" s="54">
        <v>2000</v>
      </c>
      <c r="J1438" s="54" t="str">
        <f t="shared" si="58"/>
        <v xml:space="preserve">MNX15-6 </v>
      </c>
    </row>
    <row r="1439" spans="1:10" hidden="1">
      <c r="A1439" s="1659" t="s">
        <v>1094</v>
      </c>
      <c r="C1439" s="1659" t="s">
        <v>2498</v>
      </c>
      <c r="D1439" s="54" t="s">
        <v>2385</v>
      </c>
      <c r="F1439" s="54">
        <v>2000</v>
      </c>
      <c r="J1439" s="54" t="str">
        <f t="shared" si="58"/>
        <v xml:space="preserve">MNL15-6 </v>
      </c>
    </row>
    <row r="1440" spans="1:10" hidden="1">
      <c r="A1440" s="1659" t="s">
        <v>28</v>
      </c>
      <c r="C1440" s="1659" t="s">
        <v>4407</v>
      </c>
      <c r="D1440" s="54" t="s">
        <v>2301</v>
      </c>
      <c r="F1440" s="54">
        <v>2000</v>
      </c>
      <c r="J1440" s="54" t="str">
        <f t="shared" si="58"/>
        <v>DDTT3P-ct</v>
      </c>
    </row>
    <row r="1441" spans="1:10" hidden="1">
      <c r="A1441" s="1659" t="s">
        <v>742</v>
      </c>
      <c r="C1441" s="1659" t="s">
        <v>2527</v>
      </c>
      <c r="D1441" s="54" t="s">
        <v>2301</v>
      </c>
      <c r="F1441" s="54">
        <v>2000</v>
      </c>
      <c r="J1441" s="54" t="str">
        <f t="shared" si="58"/>
        <v>DDTT3P2m-m</v>
      </c>
    </row>
    <row r="1442" spans="1:10" hidden="1">
      <c r="A1442" s="1659" t="s">
        <v>1919</v>
      </c>
      <c r="C1442" s="1659" t="s">
        <v>4468</v>
      </c>
      <c r="D1442" s="54" t="s">
        <v>2301</v>
      </c>
      <c r="F1442" s="54">
        <v>2000</v>
      </c>
      <c r="J1442" s="54" t="str">
        <f t="shared" si="58"/>
        <v>DDTT3P1m-m</v>
      </c>
    </row>
    <row r="1443" spans="1:10" hidden="1">
      <c r="A1443" s="1659" t="s">
        <v>1978</v>
      </c>
      <c r="C1443" s="1659" t="s">
        <v>2554</v>
      </c>
      <c r="D1443" s="54" t="s">
        <v>2301</v>
      </c>
      <c r="F1443" s="54">
        <v>2000</v>
      </c>
      <c r="J1443" s="54" t="str">
        <f t="shared" si="58"/>
        <v>DDTT1P-m</v>
      </c>
    </row>
    <row r="1444" spans="1:10" hidden="1">
      <c r="A1444" s="1659" t="s">
        <v>284</v>
      </c>
      <c r="C1444" s="1659" t="s">
        <v>2559</v>
      </c>
      <c r="D1444" s="54" t="s">
        <v>2301</v>
      </c>
      <c r="F1444" s="54">
        <v>2000</v>
      </c>
      <c r="J1444" s="54" t="str">
        <f t="shared" si="58"/>
        <v>DDHTDL</v>
      </c>
    </row>
    <row r="1445" spans="1:10" hidden="1">
      <c r="A1445" s="1659" t="s">
        <v>31</v>
      </c>
      <c r="C1445" s="1659" t="s">
        <v>2564</v>
      </c>
      <c r="D1445" s="54" t="s">
        <v>2301</v>
      </c>
      <c r="F1445" s="54">
        <v>2000</v>
      </c>
      <c r="J1445" s="54" t="str">
        <f t="shared" si="58"/>
        <v>DDHTHH</v>
      </c>
    </row>
    <row r="1446" spans="1:10" hidden="1">
      <c r="A1446" s="1659" t="s">
        <v>162</v>
      </c>
      <c r="C1446" s="1659" t="s">
        <v>2565</v>
      </c>
      <c r="D1446" s="54" t="s">
        <v>2301</v>
      </c>
      <c r="F1446" s="54">
        <v>2000</v>
      </c>
      <c r="J1446" s="54" t="str">
        <f t="shared" si="58"/>
        <v>HTCS</v>
      </c>
    </row>
    <row r="1447" spans="1:10" hidden="1">
      <c r="A1447" s="1659" t="s">
        <v>1498</v>
      </c>
      <c r="C1447" s="1659" t="s">
        <v>2566</v>
      </c>
      <c r="F1447" s="54">
        <v>2000</v>
      </c>
      <c r="J1447" s="54" t="str">
        <f t="shared" si="58"/>
        <v>Hotline</v>
      </c>
    </row>
    <row r="1448" spans="1:10" hidden="1">
      <c r="A1448" s="1659" t="s">
        <v>589</v>
      </c>
      <c r="C1448" s="1659" t="s">
        <v>2567</v>
      </c>
      <c r="F1448" s="54">
        <v>2000</v>
      </c>
      <c r="J1448" s="54" t="str">
        <f t="shared" si="58"/>
        <v>TBDD3pct</v>
      </c>
    </row>
    <row r="1449" spans="1:10" hidden="1">
      <c r="A1449" s="1659" t="s">
        <v>1922</v>
      </c>
      <c r="C1449" s="1659" t="s">
        <v>2568</v>
      </c>
      <c r="F1449" s="54">
        <v>2000</v>
      </c>
      <c r="J1449" s="54" t="str">
        <f t="shared" si="58"/>
        <v>TBDD3p2m</v>
      </c>
    </row>
    <row r="1450" spans="1:10" hidden="1">
      <c r="A1450" s="1659" t="s">
        <v>1139</v>
      </c>
      <c r="C1450" s="1659" t="s">
        <v>2569</v>
      </c>
      <c r="F1450" s="54">
        <v>2000</v>
      </c>
      <c r="J1450" s="54" t="str">
        <f t="shared" si="58"/>
        <v>TBDD3p1m</v>
      </c>
    </row>
    <row r="1451" spans="1:10" hidden="1">
      <c r="A1451" s="1659" t="s">
        <v>2312</v>
      </c>
      <c r="C1451" s="1659" t="s">
        <v>2570</v>
      </c>
      <c r="F1451" s="54">
        <v>2000</v>
      </c>
      <c r="J1451" s="54" t="str">
        <f t="shared" si="58"/>
        <v>TĐĐ</v>
      </c>
    </row>
    <row r="1452" spans="1:10" hidden="1">
      <c r="A1452" s="1659" t="s">
        <v>1899</v>
      </c>
      <c r="C1452" s="1659" t="s">
        <v>2571</v>
      </c>
      <c r="F1452" s="54">
        <v>2000</v>
      </c>
      <c r="J1452" s="54" t="str">
        <f t="shared" si="58"/>
        <v>TBDD1p</v>
      </c>
    </row>
    <row r="1453" spans="1:10" hidden="1">
      <c r="A1453" s="1659" t="s">
        <v>947</v>
      </c>
      <c r="C1453" s="1659" t="s">
        <v>2572</v>
      </c>
      <c r="F1453" s="54">
        <v>2000</v>
      </c>
      <c r="J1453" s="54" t="str">
        <f t="shared" si="58"/>
        <v>TBHT</v>
      </c>
    </row>
    <row r="1454" spans="1:10" hidden="1">
      <c r="A1454" s="1659" t="s">
        <v>1044</v>
      </c>
      <c r="C1454" s="1659" t="s">
        <v>2573</v>
      </c>
      <c r="F1454" s="54">
        <v>2000</v>
      </c>
      <c r="J1454" s="54" t="str">
        <f t="shared" si="58"/>
        <v>BBVS</v>
      </c>
    </row>
    <row r="1455" spans="1:10" hidden="1">
      <c r="A1455" s="1659" t="s">
        <v>1045</v>
      </c>
      <c r="C1455" s="1659" t="s">
        <v>2574</v>
      </c>
      <c r="D1455" s="54" t="s">
        <v>2575</v>
      </c>
      <c r="F1455" s="54">
        <v>2000</v>
      </c>
      <c r="J1455" s="54" t="str">
        <f t="shared" si="58"/>
        <v>CBH9</v>
      </c>
    </row>
    <row r="1456" spans="1:10" hidden="1">
      <c r="A1456" s="1659" t="s">
        <v>1046</v>
      </c>
      <c r="C1456" s="1659" t="s">
        <v>2576</v>
      </c>
      <c r="D1456" s="54" t="s">
        <v>2577</v>
      </c>
      <c r="F1456" s="54">
        <v>2000</v>
      </c>
      <c r="J1456" s="54" t="str">
        <f t="shared" si="58"/>
        <v>BBH1212</v>
      </c>
    </row>
    <row r="1457" spans="1:10" hidden="1">
      <c r="A1457" s="1659" t="s">
        <v>1047</v>
      </c>
      <c r="C1457" s="1659" t="s">
        <v>2578</v>
      </c>
      <c r="D1457" s="54" t="s">
        <v>2327</v>
      </c>
      <c r="F1457" s="54">
        <v>2000</v>
      </c>
      <c r="J1457" s="54" t="str">
        <f t="shared" si="58"/>
        <v>MCBH1212</v>
      </c>
    </row>
    <row r="1458" spans="1:10" ht="16.8" hidden="1">
      <c r="A1458" s="1679" t="s">
        <v>2499</v>
      </c>
      <c r="C1458" s="1659" t="s">
        <v>2500</v>
      </c>
      <c r="D1458" s="54" t="s">
        <v>2439</v>
      </c>
      <c r="F1458" s="54">
        <v>2000</v>
      </c>
      <c r="J1458" s="54" t="str">
        <f t="shared" si="58"/>
        <v>Đth-U</v>
      </c>
    </row>
    <row r="1459" spans="1:10" ht="16.8" hidden="1">
      <c r="A1459" s="1679" t="s">
        <v>1621</v>
      </c>
      <c r="C1459" s="1659" t="s">
        <v>2501</v>
      </c>
      <c r="D1459" s="54" t="s">
        <v>2439</v>
      </c>
      <c r="F1459" s="54">
        <v>2000</v>
      </c>
      <c r="J1459" s="54" t="str">
        <f t="shared" si="58"/>
        <v>Nth-U</v>
      </c>
    </row>
    <row r="1460" spans="1:10" ht="16.8" hidden="1">
      <c r="A1460" s="1679" t="s">
        <v>1622</v>
      </c>
      <c r="C1460" s="1659" t="s">
        <v>6579</v>
      </c>
      <c r="D1460" s="54" t="s">
        <v>2439</v>
      </c>
      <c r="F1460" s="54">
        <v>2000</v>
      </c>
      <c r="J1460" s="54" t="str">
        <f t="shared" si="58"/>
        <v>Nth-T</v>
      </c>
    </row>
    <row r="1461" spans="1:10" ht="16.8" hidden="1">
      <c r="A1461" s="1679" t="s">
        <v>2160</v>
      </c>
      <c r="C1461" s="1659" t="s">
        <v>6580</v>
      </c>
      <c r="D1461" s="54" t="s">
        <v>2439</v>
      </c>
      <c r="F1461" s="54">
        <v>2000</v>
      </c>
      <c r="J1461" s="54" t="str">
        <f t="shared" si="58"/>
        <v>Nth-X</v>
      </c>
    </row>
    <row r="1462" spans="1:10" ht="16.8" hidden="1">
      <c r="A1462" s="1679" t="s">
        <v>2504</v>
      </c>
      <c r="C1462" s="1659" t="s">
        <v>2505</v>
      </c>
      <c r="D1462" s="54" t="s">
        <v>2439</v>
      </c>
      <c r="E1462" s="2016" t="str">
        <f>LEFT(A1462,2)</f>
        <v>SĐ</v>
      </c>
      <c r="F1462" s="54">
        <v>2000</v>
      </c>
      <c r="J1462" s="54" t="str">
        <f t="shared" si="58"/>
        <v>SĐU</v>
      </c>
    </row>
    <row r="1463" spans="1:10" ht="16.8" hidden="1">
      <c r="A1463" s="1679" t="s">
        <v>2506</v>
      </c>
      <c r="C1463" s="1659" t="s">
        <v>2507</v>
      </c>
      <c r="D1463" s="54" t="s">
        <v>2439</v>
      </c>
      <c r="F1463" s="54">
        <v>2000</v>
      </c>
      <c r="J1463" s="54" t="str">
        <f t="shared" si="58"/>
        <v>SĐI</v>
      </c>
    </row>
    <row r="1464" spans="1:10" ht="16.8" hidden="1">
      <c r="A1464" s="1679" t="s">
        <v>2508</v>
      </c>
      <c r="C1464" s="1659" t="s">
        <v>2509</v>
      </c>
      <c r="D1464" s="54" t="s">
        <v>2439</v>
      </c>
      <c r="F1464" s="54">
        <v>2000</v>
      </c>
      <c r="J1464" s="54" t="str">
        <f t="shared" si="58"/>
        <v>SĐG</v>
      </c>
    </row>
    <row r="1465" spans="1:10" ht="16.8" hidden="1">
      <c r="A1465" s="1679" t="s">
        <v>2510</v>
      </c>
      <c r="C1465" s="1659" t="s">
        <v>2511</v>
      </c>
      <c r="D1465" s="54" t="s">
        <v>2439</v>
      </c>
      <c r="F1465" s="54">
        <v>2000</v>
      </c>
      <c r="J1465" s="54" t="str">
        <f t="shared" si="58"/>
        <v>CĐT 2BAT-T</v>
      </c>
    </row>
    <row r="1466" spans="1:10" ht="16.8" hidden="1">
      <c r="A1466" s="1679" t="s">
        <v>2513</v>
      </c>
      <c r="C1466" s="1659" t="s">
        <v>2514</v>
      </c>
      <c r="D1466" s="54" t="s">
        <v>2439</v>
      </c>
      <c r="F1466" s="54">
        <v>2000</v>
      </c>
      <c r="J1466" s="54" t="str">
        <f t="shared" si="58"/>
        <v>CĐT 2BAT-X</v>
      </c>
    </row>
    <row r="1467" spans="1:10" ht="16.8" hidden="1">
      <c r="A1467" s="1679" t="s">
        <v>2515</v>
      </c>
      <c r="C1467" s="1659" t="s">
        <v>6536</v>
      </c>
      <c r="D1467" s="54" t="s">
        <v>2439</v>
      </c>
      <c r="F1467" s="54">
        <v>2000</v>
      </c>
      <c r="J1467" s="54" t="str">
        <f t="shared" ref="J1467" si="59">A1467</f>
        <v>CĐT ply-X</v>
      </c>
    </row>
    <row r="1468" spans="1:10" ht="16.8" hidden="1">
      <c r="A1468" s="1679" t="s">
        <v>6534</v>
      </c>
      <c r="C1468" s="1659" t="s">
        <v>6535</v>
      </c>
      <c r="D1468" s="54" t="s">
        <v>2439</v>
      </c>
      <c r="F1468" s="54">
        <v>2000</v>
      </c>
      <c r="J1468" s="54" t="str">
        <f t="shared" si="58"/>
        <v>CĐT ply-XK</v>
      </c>
    </row>
    <row r="1469" spans="1:10" ht="16.8" hidden="1">
      <c r="A1469" s="1679" t="s">
        <v>2529</v>
      </c>
      <c r="C1469" s="1659" t="s">
        <v>6536</v>
      </c>
      <c r="D1469" s="54" t="s">
        <v>2439</v>
      </c>
      <c r="F1469" s="54">
        <v>2000</v>
      </c>
      <c r="J1469" s="54" t="str">
        <f t="shared" si="58"/>
        <v>CĐT pty-X</v>
      </c>
    </row>
    <row r="1470" spans="1:10" ht="16.8" hidden="1">
      <c r="A1470" s="1679" t="s">
        <v>2534</v>
      </c>
      <c r="C1470" s="1659" t="s">
        <v>2535</v>
      </c>
      <c r="D1470" s="54" t="s">
        <v>2439</v>
      </c>
      <c r="F1470" s="54">
        <v>2000</v>
      </c>
      <c r="J1470" s="54" t="str">
        <f t="shared" si="58"/>
        <v>Đth-U-g</v>
      </c>
    </row>
    <row r="1471" spans="1:10" ht="16.8" hidden="1">
      <c r="A1471" s="1679" t="s">
        <v>2536</v>
      </c>
      <c r="C1471" s="1659" t="s">
        <v>2537</v>
      </c>
      <c r="D1471" s="54" t="s">
        <v>2439</v>
      </c>
      <c r="F1471" s="54">
        <v>2000</v>
      </c>
      <c r="J1471" s="54" t="str">
        <f t="shared" si="58"/>
        <v>Đth-X</v>
      </c>
    </row>
    <row r="1472" spans="1:10" ht="16.8" hidden="1">
      <c r="A1472" s="1679" t="s">
        <v>534</v>
      </c>
      <c r="C1472" s="1659" t="s">
        <v>6581</v>
      </c>
      <c r="D1472" s="54" t="s">
        <v>2439</v>
      </c>
      <c r="F1472" s="54">
        <v>2000</v>
      </c>
      <c r="J1472" s="54" t="str">
        <f t="shared" si="58"/>
        <v>Nth-T-g</v>
      </c>
    </row>
    <row r="1473" spans="1:10" ht="16.8" hidden="1">
      <c r="A1473" s="1679" t="s">
        <v>2540</v>
      </c>
      <c r="C1473" s="1659" t="s">
        <v>6536</v>
      </c>
      <c r="D1473" s="54" t="s">
        <v>2439</v>
      </c>
      <c r="F1473" s="54">
        <v>2000</v>
      </c>
      <c r="J1473" s="54" t="str">
        <f t="shared" si="58"/>
        <v>CĐTply-X</v>
      </c>
    </row>
    <row r="1474" spans="1:10" ht="16.8" hidden="1">
      <c r="A1474" s="1679" t="s">
        <v>2541</v>
      </c>
      <c r="C1474" s="1659" t="s">
        <v>6537</v>
      </c>
      <c r="D1474" s="54" t="s">
        <v>2439</v>
      </c>
      <c r="F1474" s="54">
        <v>2000</v>
      </c>
      <c r="J1474" s="54" t="str">
        <f t="shared" si="58"/>
        <v>CĐTply-T</v>
      </c>
    </row>
    <row r="1475" spans="1:10" hidden="1">
      <c r="A1475" s="1659" t="str">
        <f>"ttf-"&amp;H1475</f>
        <v>ttf-50</v>
      </c>
      <c r="C1475" s="1659" t="str">
        <f>"Dây buộc đầu sứ cỡ dây "&amp;H1475&amp;"mm2"</f>
        <v>Dây buộc đầu sứ cỡ dây 50mm2</v>
      </c>
      <c r="D1475" s="54" t="s">
        <v>2555</v>
      </c>
      <c r="F1475" s="54">
        <v>50</v>
      </c>
      <c r="H1475" s="54">
        <v>50</v>
      </c>
      <c r="J1475" s="54" t="str">
        <f t="shared" si="58"/>
        <v>ttf-50</v>
      </c>
    </row>
    <row r="1476" spans="1:10" hidden="1">
      <c r="A1476" s="1659" t="str">
        <f>"ssf-"&amp;H1476</f>
        <v>ssf-70</v>
      </c>
      <c r="C1476" s="1659" t="str">
        <f>"Dây buộc cổ sứ cỡ dây "&amp;H1476&amp;"mm2"</f>
        <v>Dây buộc cổ sứ cỡ dây 70mm2</v>
      </c>
      <c r="D1476" s="54" t="s">
        <v>2555</v>
      </c>
      <c r="F1476" s="54">
        <v>50</v>
      </c>
      <c r="H1476" s="54">
        <v>70</v>
      </c>
      <c r="J1476" s="54" t="str">
        <f t="shared" si="58"/>
        <v>ssf-70</v>
      </c>
    </row>
    <row r="1477" spans="1:10" hidden="1">
      <c r="A1477" s="1659" t="s">
        <v>4632</v>
      </c>
      <c r="C1477" s="1659" t="s">
        <v>4633</v>
      </c>
      <c r="D1477" s="54" t="s">
        <v>856</v>
      </c>
      <c r="F1477" s="54">
        <v>999</v>
      </c>
      <c r="J1477" s="54" t="str">
        <f t="shared" si="58"/>
        <v>GO-CH</v>
      </c>
    </row>
    <row r="1478" spans="1:10" hidden="1">
      <c r="A1478" s="1659" t="s">
        <v>4634</v>
      </c>
      <c r="C1478" s="1659" t="s">
        <v>4635</v>
      </c>
      <c r="D1478" s="54" t="s">
        <v>856</v>
      </c>
      <c r="F1478" s="54">
        <v>999</v>
      </c>
      <c r="J1478" s="54" t="str">
        <f t="shared" si="58"/>
        <v>GO-DN</v>
      </c>
    </row>
    <row r="1479" spans="1:10" hidden="1">
      <c r="A1479" s="1659" t="s">
        <v>4636</v>
      </c>
      <c r="C1479" s="1659" t="s">
        <v>4637</v>
      </c>
      <c r="D1479" s="54" t="s">
        <v>856</v>
      </c>
      <c r="F1479" s="54">
        <v>999</v>
      </c>
      <c r="J1479" s="54" t="str">
        <f t="shared" si="58"/>
        <v>GO-V</v>
      </c>
    </row>
    <row r="1480" spans="1:10" hidden="1">
      <c r="A1480" s="1659" t="s">
        <v>4638</v>
      </c>
      <c r="C1480" s="1659" t="s">
        <v>4639</v>
      </c>
      <c r="D1480" s="54" t="s">
        <v>856</v>
      </c>
      <c r="F1480" s="54">
        <v>2000</v>
      </c>
      <c r="J1480" s="54" t="str">
        <f t="shared" si="58"/>
        <v>MDD3R1</v>
      </c>
    </row>
    <row r="1481" spans="1:10" hidden="1">
      <c r="A1481" s="1659" t="s">
        <v>4640</v>
      </c>
      <c r="C1481" s="1659" t="s">
        <v>4641</v>
      </c>
      <c r="D1481" s="54" t="s">
        <v>2439</v>
      </c>
      <c r="F1481" s="54">
        <v>50</v>
      </c>
      <c r="J1481" s="54" t="str">
        <f t="shared" si="58"/>
        <v>B16750V</v>
      </c>
    </row>
    <row r="1482" spans="1:10" hidden="1">
      <c r="A1482" s="1659" t="s">
        <v>4839</v>
      </c>
      <c r="C1482" s="1659" t="s">
        <v>4840</v>
      </c>
      <c r="D1482" s="54" t="s">
        <v>2439</v>
      </c>
      <c r="F1482" s="54">
        <v>50</v>
      </c>
      <c r="J1482" s="54" t="str">
        <f t="shared" si="58"/>
        <v>B16800V</v>
      </c>
    </row>
    <row r="1483" spans="1:10" hidden="1">
      <c r="A1483" s="1659" t="s">
        <v>4642</v>
      </c>
      <c r="C1483" s="1659" t="s">
        <v>4643</v>
      </c>
      <c r="D1483" s="54" t="s">
        <v>4644</v>
      </c>
      <c r="F1483" s="54">
        <v>3000</v>
      </c>
      <c r="J1483" s="54" t="str">
        <f t="shared" si="58"/>
        <v>LVANK</v>
      </c>
    </row>
    <row r="1484" spans="1:10" hidden="1">
      <c r="A1484" s="1659" t="s">
        <v>4645</v>
      </c>
      <c r="C1484" s="1659" t="s">
        <v>4646</v>
      </c>
      <c r="D1484" s="54" t="s">
        <v>2831</v>
      </c>
      <c r="F1484" s="54">
        <v>16</v>
      </c>
      <c r="J1484" s="54" t="str">
        <f t="shared" si="58"/>
        <v>T12540</v>
      </c>
    </row>
    <row r="1485" spans="1:10" hidden="1">
      <c r="A1485" s="1659" t="s">
        <v>4647</v>
      </c>
      <c r="C1485" s="1659" t="s">
        <v>4648</v>
      </c>
      <c r="D1485" s="54" t="s">
        <v>4649</v>
      </c>
      <c r="F1485" s="54">
        <v>50</v>
      </c>
      <c r="J1485" s="54" t="str">
        <f t="shared" si="58"/>
        <v>d22</v>
      </c>
    </row>
    <row r="1486" spans="1:10" hidden="1">
      <c r="A1486" s="1659" t="s">
        <v>4650</v>
      </c>
      <c r="C1486" s="1659" t="s">
        <v>4651</v>
      </c>
      <c r="D1486" s="54" t="s">
        <v>4649</v>
      </c>
      <c r="F1486" s="54">
        <v>50</v>
      </c>
      <c r="J1486" s="54" t="str">
        <f t="shared" si="58"/>
        <v>t81</v>
      </c>
    </row>
    <row r="1487" spans="1:10" hidden="1">
      <c r="A1487" s="1659" t="s">
        <v>4652</v>
      </c>
      <c r="C1487" s="1659" t="s">
        <v>4653</v>
      </c>
      <c r="D1487" s="54" t="s">
        <v>4649</v>
      </c>
      <c r="F1487" s="54">
        <v>50</v>
      </c>
      <c r="J1487" s="54" t="str">
        <f t="shared" si="58"/>
        <v>d200</v>
      </c>
    </row>
    <row r="1488" spans="1:10" hidden="1">
      <c r="A1488" s="1659" t="s">
        <v>4654</v>
      </c>
      <c r="C1488" s="1659" t="s">
        <v>4655</v>
      </c>
      <c r="D1488" s="54" t="s">
        <v>4649</v>
      </c>
      <c r="F1488" s="54">
        <v>50</v>
      </c>
      <c r="J1488" s="54" t="str">
        <f t="shared" si="58"/>
        <v>t115</v>
      </c>
    </row>
    <row r="1489" spans="1:10" hidden="1">
      <c r="A1489" s="1659" t="s">
        <v>4656</v>
      </c>
      <c r="C1489" s="1659" t="s">
        <v>4657</v>
      </c>
      <c r="D1489" s="54" t="s">
        <v>2439</v>
      </c>
      <c r="F1489" s="54">
        <v>2000</v>
      </c>
      <c r="J1489" s="54" t="str">
        <f t="shared" si="58"/>
        <v>XT2</v>
      </c>
    </row>
    <row r="1490" spans="1:10" hidden="1">
      <c r="A1490" s="1659" t="s">
        <v>4658</v>
      </c>
      <c r="C1490" s="1659" t="s">
        <v>4659</v>
      </c>
      <c r="D1490" s="54" t="s">
        <v>2439</v>
      </c>
      <c r="F1490" s="54">
        <v>2000</v>
      </c>
      <c r="J1490" s="54" t="str">
        <f t="shared" si="58"/>
        <v>XTK2</v>
      </c>
    </row>
    <row r="1491" spans="1:10" hidden="1">
      <c r="A1491" s="1659" t="s">
        <v>4660</v>
      </c>
      <c r="C1491" s="1659" t="s">
        <v>4661</v>
      </c>
      <c r="D1491" s="54" t="s">
        <v>2555</v>
      </c>
      <c r="F1491" s="54">
        <v>50</v>
      </c>
      <c r="J1491" s="54" t="str">
        <f t="shared" ref="J1491:J1534" si="60">A1491</f>
        <v>MANG4</v>
      </c>
    </row>
    <row r="1492" spans="1:10" hidden="1">
      <c r="A1492" s="1659" t="s">
        <v>4662</v>
      </c>
      <c r="C1492" s="1659" t="s">
        <v>4663</v>
      </c>
      <c r="D1492" s="54" t="s">
        <v>2532</v>
      </c>
      <c r="F1492" s="54">
        <v>11</v>
      </c>
      <c r="J1492" s="54" t="str">
        <f t="shared" si="60"/>
        <v>ACX50</v>
      </c>
    </row>
    <row r="1493" spans="1:10" hidden="1">
      <c r="A1493" s="1659" t="s">
        <v>4664</v>
      </c>
      <c r="C1493" s="1659" t="s">
        <v>4665</v>
      </c>
      <c r="D1493" s="54" t="s">
        <v>2555</v>
      </c>
      <c r="F1493" s="54">
        <v>50</v>
      </c>
      <c r="J1493" s="54" t="str">
        <f t="shared" si="60"/>
        <v>GNIU 185</v>
      </c>
    </row>
    <row r="1494" spans="1:10" hidden="1">
      <c r="A1494" s="1659" t="s">
        <v>4666</v>
      </c>
      <c r="C1494" s="1659" t="s">
        <v>4667</v>
      </c>
      <c r="D1494" s="54" t="s">
        <v>2555</v>
      </c>
      <c r="F1494" s="54">
        <v>50</v>
      </c>
      <c r="J1494" s="54" t="str">
        <f t="shared" si="60"/>
        <v>GNIU50</v>
      </c>
    </row>
    <row r="1495" spans="1:10" hidden="1">
      <c r="A1495" s="1659" t="s">
        <v>4668</v>
      </c>
      <c r="C1495" s="1659" t="s">
        <v>4669</v>
      </c>
      <c r="D1495" s="54" t="s">
        <v>2555</v>
      </c>
      <c r="F1495" s="54">
        <v>50</v>
      </c>
      <c r="J1495" s="54" t="str">
        <f t="shared" si="60"/>
        <v>ke279</v>
      </c>
    </row>
    <row r="1496" spans="1:10" hidden="1">
      <c r="A1496" s="1659" t="s">
        <v>4670</v>
      </c>
      <c r="C1496" s="1659" t="s">
        <v>4671</v>
      </c>
      <c r="D1496" s="54" t="s">
        <v>2555</v>
      </c>
      <c r="F1496" s="54">
        <v>50</v>
      </c>
      <c r="J1496" s="54" t="str">
        <f t="shared" si="60"/>
        <v>ke419</v>
      </c>
    </row>
    <row r="1497" spans="1:10" hidden="1">
      <c r="A1497" s="1659" t="s">
        <v>4672</v>
      </c>
      <c r="C1497" s="1659" t="s">
        <v>4673</v>
      </c>
      <c r="D1497" s="54" t="s">
        <v>2555</v>
      </c>
      <c r="F1497" s="54">
        <v>50</v>
      </c>
      <c r="J1497" s="54" t="str">
        <f t="shared" si="60"/>
        <v>ke929</v>
      </c>
    </row>
    <row r="1498" spans="1:10" hidden="1">
      <c r="A1498" s="1659" t="s">
        <v>4674</v>
      </c>
      <c r="C1498" s="1659" t="s">
        <v>4770</v>
      </c>
      <c r="D1498" s="54" t="s">
        <v>1823</v>
      </c>
      <c r="F1498" s="54">
        <v>50</v>
      </c>
      <c r="J1498" s="54" t="str">
        <f t="shared" si="60"/>
        <v>OCN</v>
      </c>
    </row>
    <row r="1499" spans="1:10" hidden="1">
      <c r="A1499" s="1659" t="s">
        <v>4675</v>
      </c>
      <c r="C1499" s="1659" t="s">
        <v>4676</v>
      </c>
      <c r="D1499" s="54" t="s">
        <v>2439</v>
      </c>
      <c r="F1499" s="54">
        <v>50</v>
      </c>
      <c r="J1499" s="54" t="str">
        <f t="shared" si="60"/>
        <v>chupU</v>
      </c>
    </row>
    <row r="1500" spans="1:10" hidden="1">
      <c r="A1500" s="1659" t="s">
        <v>4677</v>
      </c>
      <c r="C1500" s="1659" t="s">
        <v>4678</v>
      </c>
      <c r="D1500" s="54" t="s">
        <v>2385</v>
      </c>
      <c r="F1500" s="54">
        <v>50</v>
      </c>
      <c r="J1500" s="54" t="str">
        <f t="shared" si="60"/>
        <v>KDIN</v>
      </c>
    </row>
    <row r="1501" spans="1:10" hidden="1">
      <c r="A1501" s="1659" t="str">
        <f>"ttf-"&amp;H1501</f>
        <v>ttf-70</v>
      </c>
      <c r="C1501" s="1659" t="str">
        <f>"Dây buộc đầu sứ cỡ dây "&amp;H1501&amp;"mm2"</f>
        <v>Dây buộc đầu sứ cỡ dây 70mm2</v>
      </c>
      <c r="D1501" s="54" t="s">
        <v>2555</v>
      </c>
      <c r="F1501" s="54">
        <v>50</v>
      </c>
      <c r="H1501" s="54">
        <v>70</v>
      </c>
      <c r="J1501" s="54" t="str">
        <f t="shared" si="60"/>
        <v>ttf-70</v>
      </c>
    </row>
    <row r="1502" spans="1:10" hidden="1">
      <c r="A1502" s="1659" t="str">
        <f>"ssf-"&amp;H1502</f>
        <v>ssf-95</v>
      </c>
      <c r="C1502" s="1659" t="str">
        <f>"Dây buộc cổ sứ cỡ dây "&amp;H1502&amp;"mm2"</f>
        <v>Dây buộc cổ sứ cỡ dây 95mm2</v>
      </c>
      <c r="D1502" s="54" t="s">
        <v>2555</v>
      </c>
      <c r="F1502" s="54">
        <v>50</v>
      </c>
      <c r="H1502" s="54">
        <v>95</v>
      </c>
      <c r="J1502" s="54" t="str">
        <f t="shared" si="60"/>
        <v>ssf-95</v>
      </c>
    </row>
    <row r="1503" spans="1:10" hidden="1">
      <c r="A1503" s="1659" t="s">
        <v>4679</v>
      </c>
      <c r="C1503" s="1659" t="s">
        <v>4680</v>
      </c>
      <c r="D1503" s="54" t="s">
        <v>2439</v>
      </c>
      <c r="E1503" s="2016" t="str">
        <f>LEFT(A1503,2)</f>
        <v>LS</v>
      </c>
      <c r="F1503" s="54">
        <v>2000</v>
      </c>
      <c r="J1503" s="54" t="str">
        <f t="shared" si="60"/>
        <v>LSDD</v>
      </c>
    </row>
    <row r="1504" spans="1:10" hidden="1">
      <c r="A1504" s="1659" t="s">
        <v>4681</v>
      </c>
      <c r="C1504" s="1659" t="s">
        <v>3711</v>
      </c>
      <c r="D1504" s="54" t="s">
        <v>2439</v>
      </c>
      <c r="F1504" s="54">
        <v>2000</v>
      </c>
      <c r="J1504" s="54" t="str">
        <f t="shared" si="60"/>
        <v>BTLT 12 F540</v>
      </c>
    </row>
    <row r="1505" spans="1:10" hidden="1">
      <c r="A1505" s="1659" t="s">
        <v>4682</v>
      </c>
      <c r="C1505" s="1659" t="s">
        <v>4683</v>
      </c>
      <c r="D1505" s="54" t="s">
        <v>2555</v>
      </c>
      <c r="E1505" s="2016" t="s">
        <v>4684</v>
      </c>
      <c r="F1505" s="54">
        <v>18</v>
      </c>
      <c r="J1505" s="54" t="str">
        <f t="shared" si="60"/>
        <v>TC920</v>
      </c>
    </row>
    <row r="1506" spans="1:10" hidden="1">
      <c r="A1506" s="1659" t="s">
        <v>4685</v>
      </c>
      <c r="C1506" s="1659" t="s">
        <v>4686</v>
      </c>
      <c r="D1506" s="54" t="s">
        <v>2555</v>
      </c>
      <c r="E1506" s="2016" t="s">
        <v>4684</v>
      </c>
      <c r="F1506" s="54">
        <v>18</v>
      </c>
      <c r="J1506" s="54" t="str">
        <f t="shared" si="60"/>
        <v>TC810</v>
      </c>
    </row>
    <row r="1507" spans="1:10" hidden="1">
      <c r="A1507" s="1659" t="s">
        <v>4687</v>
      </c>
      <c r="C1507" s="1659" t="s">
        <v>4688</v>
      </c>
      <c r="D1507" s="54" t="s">
        <v>2555</v>
      </c>
      <c r="E1507" s="2016" t="s">
        <v>4684</v>
      </c>
      <c r="F1507" s="54">
        <v>18</v>
      </c>
      <c r="J1507" s="54" t="str">
        <f t="shared" si="60"/>
        <v>TC1150</v>
      </c>
    </row>
    <row r="1508" spans="1:10" hidden="1">
      <c r="A1508" s="1659" t="s">
        <v>4689</v>
      </c>
      <c r="C1508" s="1659" t="s">
        <v>4690</v>
      </c>
      <c r="D1508" s="54" t="s">
        <v>3445</v>
      </c>
      <c r="F1508" s="54">
        <v>17</v>
      </c>
      <c r="J1508" s="54" t="str">
        <f t="shared" si="60"/>
        <v>Xa1660</v>
      </c>
    </row>
    <row r="1509" spans="1:10" hidden="1">
      <c r="A1509" s="1659" t="s">
        <v>4691</v>
      </c>
      <c r="C1509" s="1659" t="s">
        <v>4692</v>
      </c>
      <c r="D1509" s="54" t="s">
        <v>3445</v>
      </c>
      <c r="F1509" s="54">
        <v>17</v>
      </c>
      <c r="J1509" s="54" t="str">
        <f t="shared" si="60"/>
        <v>xa2000</v>
      </c>
    </row>
    <row r="1510" spans="1:10" hidden="1">
      <c r="A1510" s="1659" t="s">
        <v>4693</v>
      </c>
      <c r="C1510" s="1659" t="s">
        <v>4694</v>
      </c>
      <c r="D1510" s="54" t="s">
        <v>3445</v>
      </c>
      <c r="F1510" s="54">
        <v>17</v>
      </c>
      <c r="J1510" s="54" t="str">
        <f t="shared" si="60"/>
        <v>xa2200</v>
      </c>
    </row>
    <row r="1511" spans="1:10" hidden="1">
      <c r="A1511" s="1659" t="s">
        <v>4695</v>
      </c>
      <c r="C1511" s="1659" t="s">
        <v>4543</v>
      </c>
      <c r="D1511" s="54" t="s">
        <v>2590</v>
      </c>
      <c r="F1511" s="54">
        <v>17</v>
      </c>
      <c r="G1511" s="54" t="s">
        <v>512</v>
      </c>
      <c r="J1511" s="54" t="str">
        <f t="shared" si="60"/>
        <v>com800</v>
      </c>
    </row>
    <row r="1512" spans="1:10" hidden="1">
      <c r="A1512" s="1659" t="s">
        <v>4696</v>
      </c>
      <c r="C1512" s="1659" t="s">
        <v>4697</v>
      </c>
      <c r="D1512" s="54" t="s">
        <v>2555</v>
      </c>
      <c r="F1512" s="54">
        <v>50</v>
      </c>
      <c r="J1512" s="54" t="str">
        <f t="shared" si="60"/>
        <v>len</v>
      </c>
    </row>
    <row r="1513" spans="1:10" hidden="1">
      <c r="A1513" s="1659" t="s">
        <v>4698</v>
      </c>
      <c r="C1513" s="1659" t="s">
        <v>4699</v>
      </c>
      <c r="D1513" s="54" t="s">
        <v>2555</v>
      </c>
      <c r="F1513" s="54">
        <v>50</v>
      </c>
      <c r="J1513" s="54" t="str">
        <f>A1513</f>
        <v>Kep3U</v>
      </c>
    </row>
    <row r="1514" spans="1:10" hidden="1">
      <c r="A1514" s="1659" t="s">
        <v>4908</v>
      </c>
      <c r="C1514" s="1659" t="s">
        <v>4909</v>
      </c>
      <c r="D1514" s="54" t="s">
        <v>2555</v>
      </c>
      <c r="F1514" s="54">
        <v>50</v>
      </c>
      <c r="J1514" s="54" t="str">
        <f t="shared" si="60"/>
        <v>Kep5U</v>
      </c>
    </row>
    <row r="1515" spans="1:10" hidden="1">
      <c r="A1515" s="1659" t="s">
        <v>4700</v>
      </c>
      <c r="C1515" s="1659" t="s">
        <v>4701</v>
      </c>
      <c r="D1515" s="54" t="s">
        <v>2555</v>
      </c>
      <c r="E1515" s="2016" t="str">
        <f>LEFT(A1515,2)</f>
        <v>ts</v>
      </c>
      <c r="F1515" s="54">
        <v>50</v>
      </c>
      <c r="J1515" s="54" t="str">
        <f t="shared" si="60"/>
        <v>tsd20</v>
      </c>
    </row>
    <row r="1516" spans="1:10" hidden="1">
      <c r="A1516" s="1659" t="s">
        <v>4702</v>
      </c>
      <c r="C1516" s="1659" t="s">
        <v>4703</v>
      </c>
      <c r="D1516" s="54" t="s">
        <v>2385</v>
      </c>
      <c r="F1516" s="54">
        <v>2000</v>
      </c>
      <c r="J1516" s="54" t="str">
        <f t="shared" si="60"/>
        <v>STTT-2BAT</v>
      </c>
    </row>
    <row r="1517" spans="1:10" hidden="1">
      <c r="A1517" s="1659" t="s">
        <v>4704</v>
      </c>
      <c r="C1517" s="1659" t="s">
        <v>4705</v>
      </c>
      <c r="D1517" s="54" t="s">
        <v>2439</v>
      </c>
      <c r="F1517" s="54">
        <v>19</v>
      </c>
      <c r="J1517" s="54" t="str">
        <f t="shared" si="60"/>
        <v>cl1200</v>
      </c>
    </row>
    <row r="1518" spans="1:10" hidden="1">
      <c r="A1518" s="1659" t="s">
        <v>4706</v>
      </c>
      <c r="C1518" s="1659" t="s">
        <v>4707</v>
      </c>
      <c r="D1518" s="54" t="s">
        <v>2439</v>
      </c>
      <c r="E1518" s="2016" t="s">
        <v>4708</v>
      </c>
      <c r="F1518" s="54">
        <v>50</v>
      </c>
      <c r="J1518" s="54" t="str">
        <f t="shared" si="60"/>
        <v>BMOC16200</v>
      </c>
    </row>
    <row r="1519" spans="1:10" hidden="1">
      <c r="A1519" s="1659" t="s">
        <v>4709</v>
      </c>
      <c r="C1519" s="1659" t="s">
        <v>4710</v>
      </c>
      <c r="D1519" s="54" t="s">
        <v>2439</v>
      </c>
      <c r="F1519" s="54">
        <v>2000</v>
      </c>
      <c r="G1519" s="54" t="s">
        <v>512</v>
      </c>
      <c r="J1519" s="54" t="str">
        <f t="shared" si="60"/>
        <v>X-com800</v>
      </c>
    </row>
    <row r="1520" spans="1:10" hidden="1">
      <c r="A1520" s="1659" t="s">
        <v>4711</v>
      </c>
      <c r="C1520" s="1659" t="s">
        <v>3931</v>
      </c>
      <c r="D1520" s="54" t="s">
        <v>2555</v>
      </c>
      <c r="E1520" s="2016" t="s">
        <v>4712</v>
      </c>
      <c r="F1520" s="54">
        <v>50</v>
      </c>
      <c r="J1520" s="54" t="str">
        <f t="shared" si="60"/>
        <v>GIP</v>
      </c>
    </row>
    <row r="1521" spans="1:10" hidden="1">
      <c r="A1521" s="1659" t="s">
        <v>4716</v>
      </c>
      <c r="C1521" s="1659" t="s">
        <v>4717</v>
      </c>
      <c r="D1521" s="54" t="s">
        <v>2555</v>
      </c>
      <c r="F1521" s="54">
        <v>50</v>
      </c>
      <c r="J1521" s="54" t="str">
        <f t="shared" si="60"/>
        <v>khanhkep</v>
      </c>
    </row>
    <row r="1522" spans="1:10" hidden="1">
      <c r="A1522" s="1659" t="s">
        <v>4811</v>
      </c>
      <c r="C1522" s="1659" t="s">
        <v>4855</v>
      </c>
      <c r="D1522" s="54" t="s">
        <v>2385</v>
      </c>
      <c r="F1522" s="54">
        <v>2000</v>
      </c>
      <c r="J1522" s="54" t="str">
        <f t="shared" si="60"/>
        <v>X-22K-Đ-C920</v>
      </c>
    </row>
    <row r="1523" spans="1:10" hidden="1">
      <c r="A1523" s="1659" t="s">
        <v>4812</v>
      </c>
      <c r="C1523" s="1659" t="s">
        <v>4854</v>
      </c>
      <c r="D1523" s="54" t="s">
        <v>2385</v>
      </c>
      <c r="F1523" s="54">
        <v>2000</v>
      </c>
      <c r="J1523" s="54" t="str">
        <f t="shared" si="60"/>
        <v>X-22K-K-C920</v>
      </c>
    </row>
    <row r="1524" spans="1:10" hidden="1">
      <c r="A1524" s="1659" t="s">
        <v>4963</v>
      </c>
      <c r="C1524" s="1659" t="s">
        <v>4970</v>
      </c>
      <c r="D1524" s="54" t="s">
        <v>2555</v>
      </c>
      <c r="F1524" s="54">
        <v>50</v>
      </c>
      <c r="J1524" s="54" t="str">
        <f t="shared" si="60"/>
        <v>OXC</v>
      </c>
    </row>
    <row r="1525" spans="1:10" hidden="1">
      <c r="A1525" s="1659" t="s">
        <v>4964</v>
      </c>
      <c r="C1525" s="1659" t="s">
        <v>4971</v>
      </c>
      <c r="D1525" s="54" t="s">
        <v>4649</v>
      </c>
      <c r="F1525" s="2016">
        <v>50</v>
      </c>
      <c r="J1525" s="54" t="str">
        <f t="shared" si="60"/>
        <v>Comp24</v>
      </c>
    </row>
    <row r="1526" spans="1:10" hidden="1">
      <c r="A1526" s="1659" t="s">
        <v>4965</v>
      </c>
      <c r="C1526" s="1659" t="s">
        <v>4972</v>
      </c>
      <c r="D1526" s="54" t="s">
        <v>4649</v>
      </c>
      <c r="F1526" s="2016">
        <v>50</v>
      </c>
      <c r="J1526" s="54" t="str">
        <f t="shared" si="60"/>
        <v>TCX</v>
      </c>
    </row>
    <row r="1527" spans="1:10" hidden="1">
      <c r="A1527" s="1659" t="s">
        <v>4967</v>
      </c>
      <c r="C1527" s="1659" t="s">
        <v>4973</v>
      </c>
      <c r="D1527" s="54" t="s">
        <v>4649</v>
      </c>
      <c r="F1527" s="2016">
        <v>50</v>
      </c>
      <c r="J1527" s="54" t="str">
        <f t="shared" si="60"/>
        <v>d21</v>
      </c>
    </row>
    <row r="1528" spans="1:10" hidden="1">
      <c r="A1528" s="1659" t="s">
        <v>4968</v>
      </c>
      <c r="C1528" s="1659" t="s">
        <v>4974</v>
      </c>
      <c r="D1528" s="54" t="s">
        <v>4649</v>
      </c>
      <c r="F1528" s="2016">
        <v>50</v>
      </c>
      <c r="J1528" s="54" t="str">
        <f t="shared" si="60"/>
        <v>t199</v>
      </c>
    </row>
    <row r="1529" spans="1:10" hidden="1">
      <c r="A1529" s="1659" t="str">
        <f>"ttf-"&amp;H1529</f>
        <v>ttf-95</v>
      </c>
      <c r="C1529" s="1659" t="str">
        <f>"Dây buộc đầu sứ cỡ dây "&amp;H1529&amp;"mm2"</f>
        <v>Dây buộc đầu sứ cỡ dây 95mm2</v>
      </c>
      <c r="D1529" s="54" t="s">
        <v>2555</v>
      </c>
      <c r="F1529" s="2016">
        <v>50</v>
      </c>
      <c r="H1529" s="54">
        <v>95</v>
      </c>
      <c r="J1529" s="54" t="str">
        <f t="shared" si="60"/>
        <v>ttf-95</v>
      </c>
    </row>
    <row r="1530" spans="1:10" hidden="1">
      <c r="A1530" s="1659" t="s">
        <v>4969</v>
      </c>
      <c r="C1530" s="1659" t="s">
        <v>4982</v>
      </c>
      <c r="D1530" s="54" t="s">
        <v>2555</v>
      </c>
      <c r="F1530" s="2016">
        <v>50</v>
      </c>
      <c r="J1530" s="54" t="str">
        <f t="shared" si="60"/>
        <v>HOPPP</v>
      </c>
    </row>
    <row r="1531" spans="1:10" hidden="1">
      <c r="A1531" s="1659" t="s">
        <v>4988</v>
      </c>
      <c r="C1531" s="1659" t="s">
        <v>4983</v>
      </c>
      <c r="D1531" s="54" t="s">
        <v>2555</v>
      </c>
      <c r="F1531" s="2016">
        <v>50</v>
      </c>
      <c r="J1531" s="54" t="str">
        <f t="shared" si="60"/>
        <v>Chupm</v>
      </c>
    </row>
    <row r="1532" spans="1:10" hidden="1">
      <c r="A1532" s="1659" t="s">
        <v>4989</v>
      </c>
      <c r="C1532" s="1659" t="s">
        <v>3504</v>
      </c>
      <c r="D1532" s="54" t="s">
        <v>2555</v>
      </c>
      <c r="F1532" s="2016">
        <v>50</v>
      </c>
      <c r="J1532" s="54" t="str">
        <f t="shared" si="60"/>
        <v>Chupl</v>
      </c>
    </row>
    <row r="1533" spans="1:10" hidden="1">
      <c r="A1533" s="1659" t="s">
        <v>4992</v>
      </c>
      <c r="C1533" s="1659" t="s">
        <v>4985</v>
      </c>
      <c r="D1533" s="54" t="s">
        <v>2555</v>
      </c>
      <c r="F1533" s="2016">
        <v>50</v>
      </c>
      <c r="J1533" s="54" t="str">
        <f t="shared" si="60"/>
        <v>CUT114135</v>
      </c>
    </row>
    <row r="1534" spans="1:10" hidden="1">
      <c r="J1534" s="54">
        <f t="shared" si="60"/>
        <v>0</v>
      </c>
    </row>
    <row r="1535" spans="1:10" hidden="1"/>
    <row r="1536" spans="1:10" hidden="1"/>
    <row r="1537" spans="1:6" hidden="1"/>
    <row r="1538" spans="1:6" hidden="1"/>
    <row r="1539" spans="1:6" hidden="1"/>
    <row r="1540" spans="1:6" hidden="1"/>
    <row r="1541" spans="1:6" hidden="1"/>
    <row r="1542" spans="1:6" hidden="1"/>
    <row r="1543" spans="1:6" hidden="1">
      <c r="A1543" s="1659" t="s">
        <v>5048</v>
      </c>
      <c r="B1543" s="1653" t="s">
        <v>1746</v>
      </c>
      <c r="C1543" s="1659" t="s">
        <v>5049</v>
      </c>
      <c r="D1543" s="54" t="s">
        <v>2555</v>
      </c>
      <c r="F1543" s="54" t="s">
        <v>4394</v>
      </c>
    </row>
    <row r="1544" spans="1:6" hidden="1">
      <c r="A1544" s="1659" t="s">
        <v>5050</v>
      </c>
      <c r="C1544" s="1659" t="s">
        <v>5051</v>
      </c>
      <c r="D1544" s="54" t="s">
        <v>2439</v>
      </c>
      <c r="F1544" s="54" t="s">
        <v>4394</v>
      </c>
    </row>
    <row r="1545" spans="1:6" hidden="1">
      <c r="A1545" s="1659" t="s">
        <v>5052</v>
      </c>
      <c r="C1545" s="1659" t="s">
        <v>5053</v>
      </c>
      <c r="D1545" s="54" t="s">
        <v>2439</v>
      </c>
      <c r="F1545" s="54" t="s">
        <v>4394</v>
      </c>
    </row>
    <row r="1546" spans="1:6" hidden="1">
      <c r="A1546" s="1659" t="s">
        <v>5054</v>
      </c>
      <c r="C1546" s="1659" t="s">
        <v>5055</v>
      </c>
      <c r="D1546" s="54" t="s">
        <v>2439</v>
      </c>
      <c r="F1546" s="54" t="s">
        <v>4394</v>
      </c>
    </row>
    <row r="1547" spans="1:6" hidden="1">
      <c r="A1547" s="1659" t="s">
        <v>5056</v>
      </c>
      <c r="C1547" s="1659" t="s">
        <v>5057</v>
      </c>
      <c r="D1547" s="54" t="s">
        <v>2439</v>
      </c>
      <c r="F1547" s="54" t="s">
        <v>4394</v>
      </c>
    </row>
    <row r="1548" spans="1:6" hidden="1">
      <c r="A1548" s="1659" t="s">
        <v>5058</v>
      </c>
      <c r="C1548" s="1659" t="s">
        <v>5059</v>
      </c>
      <c r="D1548" s="54" t="s">
        <v>2439</v>
      </c>
      <c r="F1548" s="54">
        <v>50</v>
      </c>
    </row>
    <row r="1549" spans="1:6" hidden="1">
      <c r="A1549" s="1659" t="s">
        <v>5060</v>
      </c>
      <c r="C1549" s="1659" t="s">
        <v>5061</v>
      </c>
      <c r="D1549" s="54" t="s">
        <v>2439</v>
      </c>
      <c r="F1549" s="54" t="s">
        <v>4394</v>
      </c>
    </row>
    <row r="1550" spans="1:6" hidden="1">
      <c r="A1550" s="1659" t="s">
        <v>5062</v>
      </c>
      <c r="C1550" s="1659" t="s">
        <v>5063</v>
      </c>
      <c r="D1550" s="54" t="s">
        <v>2439</v>
      </c>
      <c r="F1550" s="54" t="s">
        <v>4394</v>
      </c>
    </row>
    <row r="1551" spans="1:6" hidden="1">
      <c r="A1551" s="1659" t="s">
        <v>5064</v>
      </c>
      <c r="C1551" s="1659" t="s">
        <v>4641</v>
      </c>
      <c r="D1551" s="54" t="s">
        <v>2439</v>
      </c>
      <c r="F1551" s="54" t="s">
        <v>4394</v>
      </c>
    </row>
    <row r="1552" spans="1:6" hidden="1">
      <c r="A1552" s="1659" t="s">
        <v>5066</v>
      </c>
      <c r="C1552" s="1659" t="s">
        <v>5067</v>
      </c>
      <c r="D1552" s="54" t="s">
        <v>2439</v>
      </c>
      <c r="F1552" s="54" t="s">
        <v>4394</v>
      </c>
    </row>
    <row r="1553" spans="1:7" hidden="1">
      <c r="A1553" s="1659" t="s">
        <v>5068</v>
      </c>
      <c r="C1553" s="1659" t="s">
        <v>5067</v>
      </c>
      <c r="D1553" s="54" t="s">
        <v>2439</v>
      </c>
      <c r="F1553" s="54" t="s">
        <v>4394</v>
      </c>
    </row>
    <row r="1554" spans="1:7" hidden="1">
      <c r="A1554" s="1659" t="s">
        <v>5069</v>
      </c>
      <c r="C1554" s="1659" t="s">
        <v>5067</v>
      </c>
      <c r="D1554" s="54" t="s">
        <v>2439</v>
      </c>
      <c r="F1554" s="54" t="s">
        <v>4394</v>
      </c>
    </row>
    <row r="1555" spans="1:7" hidden="1">
      <c r="A1555" s="1659" t="s">
        <v>5070</v>
      </c>
      <c r="C1555" s="1659" t="s">
        <v>5067</v>
      </c>
      <c r="D1555" s="54" t="s">
        <v>2439</v>
      </c>
      <c r="F1555" s="54" t="s">
        <v>4394</v>
      </c>
    </row>
    <row r="1556" spans="1:7" hidden="1">
      <c r="A1556" s="1659" t="s">
        <v>5073</v>
      </c>
      <c r="C1556" s="1659" t="s">
        <v>5074</v>
      </c>
      <c r="D1556" s="54" t="s">
        <v>2439</v>
      </c>
      <c r="F1556" s="54">
        <v>50</v>
      </c>
      <c r="G1556" s="54" t="s">
        <v>512</v>
      </c>
    </row>
    <row r="1557" spans="1:7" hidden="1">
      <c r="A1557" s="1659" t="s">
        <v>5076</v>
      </c>
      <c r="C1557" s="1659" t="s">
        <v>5077</v>
      </c>
      <c r="D1557" s="54" t="s">
        <v>2439</v>
      </c>
      <c r="F1557" s="54" t="s">
        <v>4394</v>
      </c>
    </row>
    <row r="1558" spans="1:7" hidden="1">
      <c r="A1558" s="1659" t="s">
        <v>5079</v>
      </c>
      <c r="C1558" s="1659" t="s">
        <v>5080</v>
      </c>
      <c r="D1558" s="54" t="s">
        <v>2575</v>
      </c>
      <c r="F1558" s="54" t="s">
        <v>4394</v>
      </c>
    </row>
    <row r="1559" spans="1:7" hidden="1">
      <c r="A1559" s="1659" t="s">
        <v>5081</v>
      </c>
      <c r="C1559" s="1659" t="s">
        <v>5082</v>
      </c>
      <c r="D1559" s="54" t="s">
        <v>2532</v>
      </c>
      <c r="F1559" s="54" t="s">
        <v>4394</v>
      </c>
    </row>
    <row r="1560" spans="1:7" hidden="1">
      <c r="A1560" s="1659" t="s">
        <v>5083</v>
      </c>
      <c r="C1560" s="1659" t="s">
        <v>5084</v>
      </c>
      <c r="D1560" s="54" t="s">
        <v>2532</v>
      </c>
      <c r="F1560" s="54" t="s">
        <v>4394</v>
      </c>
    </row>
    <row r="1561" spans="1:7" hidden="1">
      <c r="A1561" s="1659" t="s">
        <v>5085</v>
      </c>
      <c r="C1561" s="1659" t="s">
        <v>5086</v>
      </c>
      <c r="D1561" s="54" t="s">
        <v>2532</v>
      </c>
      <c r="F1561" s="54" t="s">
        <v>4394</v>
      </c>
    </row>
    <row r="1562" spans="1:7" hidden="1">
      <c r="A1562" s="1659" t="s">
        <v>5088</v>
      </c>
      <c r="C1562" s="1659" t="s">
        <v>2710</v>
      </c>
      <c r="D1562" s="54" t="s">
        <v>2532</v>
      </c>
      <c r="F1562" s="54" t="s">
        <v>4394</v>
      </c>
    </row>
    <row r="1563" spans="1:7" hidden="1">
      <c r="A1563" s="1659" t="s">
        <v>5089</v>
      </c>
      <c r="C1563" s="1659" t="s">
        <v>5034</v>
      </c>
      <c r="D1563" s="54" t="s">
        <v>2532</v>
      </c>
      <c r="F1563" s="54" t="s">
        <v>4394</v>
      </c>
    </row>
    <row r="1564" spans="1:7" hidden="1">
      <c r="A1564" s="1659" t="s">
        <v>5090</v>
      </c>
      <c r="C1564" s="1659" t="s">
        <v>5091</v>
      </c>
      <c r="D1564" s="54" t="s">
        <v>2532</v>
      </c>
      <c r="F1564" s="54" t="s">
        <v>4394</v>
      </c>
    </row>
    <row r="1565" spans="1:7" hidden="1">
      <c r="A1565" s="1659" t="s">
        <v>6565</v>
      </c>
      <c r="C1565" s="1659" t="s">
        <v>5093</v>
      </c>
      <c r="D1565" s="54" t="s">
        <v>2532</v>
      </c>
      <c r="F1565" s="54">
        <v>11</v>
      </c>
      <c r="G1565" s="54" t="s">
        <v>512</v>
      </c>
    </row>
    <row r="1566" spans="1:7" hidden="1">
      <c r="A1566" s="3015" t="s">
        <v>6566</v>
      </c>
      <c r="C1566" s="1659" t="s">
        <v>6568</v>
      </c>
      <c r="D1566" s="54" t="s">
        <v>2532</v>
      </c>
      <c r="F1566" s="54">
        <v>11</v>
      </c>
      <c r="G1566" s="54" t="s">
        <v>512</v>
      </c>
    </row>
    <row r="1567" spans="1:7" ht="26.4" hidden="1">
      <c r="A1567" s="3015" t="s">
        <v>6567</v>
      </c>
      <c r="C1567" s="1659" t="s">
        <v>6433</v>
      </c>
      <c r="D1567" s="54" t="s">
        <v>2532</v>
      </c>
      <c r="F1567" s="54">
        <v>11</v>
      </c>
      <c r="G1567" s="54" t="s">
        <v>512</v>
      </c>
    </row>
    <row r="1568" spans="1:7" hidden="1">
      <c r="A1568" s="1659" t="s">
        <v>5094</v>
      </c>
      <c r="C1568" s="1659" t="s">
        <v>5095</v>
      </c>
      <c r="D1568" s="54" t="s">
        <v>2532</v>
      </c>
      <c r="F1568" s="54" t="s">
        <v>4394</v>
      </c>
    </row>
    <row r="1569" spans="1:6" hidden="1">
      <c r="A1569" s="1659" t="s">
        <v>5096</v>
      </c>
      <c r="C1569" s="1659" t="s">
        <v>5097</v>
      </c>
      <c r="D1569" s="54" t="s">
        <v>2532</v>
      </c>
      <c r="F1569" s="54" t="s">
        <v>4394</v>
      </c>
    </row>
    <row r="1570" spans="1:6" hidden="1">
      <c r="A1570" s="1659" t="s">
        <v>5098</v>
      </c>
      <c r="C1570" s="1659" t="s">
        <v>5099</v>
      </c>
      <c r="D1570" s="54" t="s">
        <v>2532</v>
      </c>
      <c r="F1570" s="54" t="s">
        <v>4394</v>
      </c>
    </row>
    <row r="1571" spans="1:6" hidden="1">
      <c r="A1571" s="1659" t="s">
        <v>5100</v>
      </c>
      <c r="C1571" s="1659" t="s">
        <v>5101</v>
      </c>
      <c r="D1571" s="54" t="s">
        <v>2532</v>
      </c>
      <c r="F1571" s="54" t="s">
        <v>4394</v>
      </c>
    </row>
    <row r="1572" spans="1:6" hidden="1">
      <c r="A1572" s="1659" t="s">
        <v>5102</v>
      </c>
      <c r="C1572" s="1659" t="s">
        <v>5103</v>
      </c>
      <c r="D1572" s="54" t="s">
        <v>2532</v>
      </c>
      <c r="F1572" s="54" t="s">
        <v>4394</v>
      </c>
    </row>
    <row r="1573" spans="1:6" hidden="1">
      <c r="A1573" s="1659" t="s">
        <v>5104</v>
      </c>
      <c r="C1573" s="1659" t="s">
        <v>5105</v>
      </c>
      <c r="D1573" s="54" t="s">
        <v>2532</v>
      </c>
      <c r="F1573" s="54" t="s">
        <v>4394</v>
      </c>
    </row>
    <row r="1574" spans="1:6" hidden="1">
      <c r="A1574" s="1659" t="s">
        <v>5106</v>
      </c>
      <c r="C1574" s="1659" t="s">
        <v>5107</v>
      </c>
      <c r="D1574" s="54" t="s">
        <v>2532</v>
      </c>
      <c r="F1574" s="54" t="s">
        <v>4394</v>
      </c>
    </row>
    <row r="1575" spans="1:6" hidden="1">
      <c r="A1575" s="1659" t="s">
        <v>5108</v>
      </c>
      <c r="C1575" s="1659" t="s">
        <v>5109</v>
      </c>
      <c r="D1575" s="54" t="s">
        <v>2532</v>
      </c>
      <c r="F1575" s="54" t="s">
        <v>4394</v>
      </c>
    </row>
    <row r="1576" spans="1:6" hidden="1">
      <c r="A1576" s="1659" t="s">
        <v>5110</v>
      </c>
      <c r="C1576" s="1659" t="s">
        <v>5111</v>
      </c>
      <c r="D1576" s="54" t="s">
        <v>2532</v>
      </c>
      <c r="F1576" s="54" t="s">
        <v>4394</v>
      </c>
    </row>
    <row r="1577" spans="1:6" hidden="1">
      <c r="A1577" s="1659" t="s">
        <v>5112</v>
      </c>
      <c r="C1577" s="1659" t="s">
        <v>5113</v>
      </c>
      <c r="D1577" s="54" t="s">
        <v>2532</v>
      </c>
      <c r="F1577" s="54" t="s">
        <v>4394</v>
      </c>
    </row>
    <row r="1578" spans="1:6" hidden="1">
      <c r="A1578" s="1659" t="s">
        <v>5114</v>
      </c>
      <c r="C1578" s="1659" t="s">
        <v>5115</v>
      </c>
      <c r="D1578" s="54" t="s">
        <v>2532</v>
      </c>
      <c r="F1578" s="54" t="s">
        <v>4394</v>
      </c>
    </row>
    <row r="1579" spans="1:6" hidden="1">
      <c r="A1579" s="1659" t="s">
        <v>5116</v>
      </c>
      <c r="C1579" s="1659" t="s">
        <v>5117</v>
      </c>
      <c r="D1579" s="54" t="s">
        <v>2532</v>
      </c>
      <c r="F1579" s="54" t="s">
        <v>4394</v>
      </c>
    </row>
    <row r="1580" spans="1:6" hidden="1">
      <c r="A1580" s="1659" t="s">
        <v>5118</v>
      </c>
      <c r="C1580" s="1659" t="s">
        <v>5119</v>
      </c>
      <c r="D1580" s="54" t="s">
        <v>2532</v>
      </c>
      <c r="F1580" s="54" t="s">
        <v>4394</v>
      </c>
    </row>
    <row r="1581" spans="1:6" hidden="1">
      <c r="A1581" s="1659" t="s">
        <v>5120</v>
      </c>
      <c r="C1581" s="1659" t="s">
        <v>5121</v>
      </c>
      <c r="D1581" s="54" t="s">
        <v>2532</v>
      </c>
      <c r="F1581" s="54" t="s">
        <v>4394</v>
      </c>
    </row>
    <row r="1582" spans="1:6" hidden="1">
      <c r="A1582" s="1659" t="s">
        <v>5122</v>
      </c>
      <c r="C1582" s="1659" t="s">
        <v>5123</v>
      </c>
      <c r="D1582" s="54" t="s">
        <v>2532</v>
      </c>
      <c r="F1582" s="54" t="s">
        <v>4394</v>
      </c>
    </row>
    <row r="1583" spans="1:6" hidden="1">
      <c r="A1583" s="1659" t="s">
        <v>5124</v>
      </c>
      <c r="C1583" s="1659" t="s">
        <v>5125</v>
      </c>
      <c r="D1583" s="54" t="s">
        <v>2532</v>
      </c>
      <c r="F1583" s="54" t="s">
        <v>4394</v>
      </c>
    </row>
    <row r="1584" spans="1:6" hidden="1">
      <c r="A1584" s="1659" t="s">
        <v>5126</v>
      </c>
      <c r="C1584" s="1659" t="s">
        <v>5127</v>
      </c>
      <c r="D1584" s="54" t="s">
        <v>2532</v>
      </c>
      <c r="F1584" s="54" t="s">
        <v>4394</v>
      </c>
    </row>
    <row r="1585" spans="1:10" hidden="1">
      <c r="A1585" s="1659" t="s">
        <v>5128</v>
      </c>
      <c r="C1585" s="1659" t="s">
        <v>5129</v>
      </c>
      <c r="D1585" s="54" t="s">
        <v>2532</v>
      </c>
      <c r="F1585" s="54" t="s">
        <v>4394</v>
      </c>
    </row>
    <row r="1586" spans="1:10" hidden="1">
      <c r="A1586" s="1659" t="s">
        <v>5130</v>
      </c>
      <c r="C1586" s="1659" t="s">
        <v>5131</v>
      </c>
      <c r="D1586" s="54" t="s">
        <v>2532</v>
      </c>
      <c r="F1586" s="54" t="s">
        <v>4394</v>
      </c>
    </row>
    <row r="1587" spans="1:10" hidden="1">
      <c r="A1587" s="1659" t="s">
        <v>5132</v>
      </c>
      <c r="C1587" s="1659" t="s">
        <v>5133</v>
      </c>
      <c r="D1587" s="54" t="s">
        <v>2532</v>
      </c>
      <c r="F1587" s="54" t="s">
        <v>4394</v>
      </c>
    </row>
    <row r="1588" spans="1:10" hidden="1">
      <c r="A1588" s="1659" t="s">
        <v>5134</v>
      </c>
      <c r="C1588" s="1659" t="s">
        <v>5135</v>
      </c>
      <c r="D1588" s="54" t="s">
        <v>2532</v>
      </c>
      <c r="F1588" s="54" t="s">
        <v>4394</v>
      </c>
    </row>
    <row r="1589" spans="1:10" hidden="1">
      <c r="A1589" s="1659" t="s">
        <v>5136</v>
      </c>
      <c r="C1589" s="1659" t="s">
        <v>5137</v>
      </c>
      <c r="D1589" s="54" t="s">
        <v>2532</v>
      </c>
      <c r="F1589" s="54" t="s">
        <v>4394</v>
      </c>
    </row>
    <row r="1590" spans="1:10" hidden="1">
      <c r="A1590" s="1659" t="s">
        <v>5138</v>
      </c>
      <c r="C1590" s="1659" t="s">
        <v>5139</v>
      </c>
      <c r="D1590" s="54" t="s">
        <v>2532</v>
      </c>
      <c r="F1590" s="54" t="s">
        <v>4394</v>
      </c>
    </row>
    <row r="1591" spans="1:10" hidden="1">
      <c r="A1591" s="1659" t="s">
        <v>5140</v>
      </c>
      <c r="C1591" s="1659" t="s">
        <v>5141</v>
      </c>
      <c r="D1591" s="54" t="s">
        <v>2532</v>
      </c>
      <c r="F1591" s="54" t="s">
        <v>4394</v>
      </c>
    </row>
    <row r="1592" spans="1:10" hidden="1">
      <c r="A1592" s="1659" t="s">
        <v>5142</v>
      </c>
      <c r="C1592" s="1659" t="s">
        <v>5143</v>
      </c>
      <c r="D1592" s="54" t="s">
        <v>2532</v>
      </c>
      <c r="F1592" s="54" t="s">
        <v>4394</v>
      </c>
    </row>
    <row r="1593" spans="1:10" hidden="1">
      <c r="A1593" s="1659" t="str">
        <f t="shared" ref="A1593:A1596" si="61">"ssf-"&amp;H1593</f>
        <v>ssf-120</v>
      </c>
      <c r="C1593" s="1659" t="str">
        <f t="shared" ref="C1593:C1596" si="62">"Dây buộc cổ sứ cỡ dây "&amp;H1593&amp;"mm2"</f>
        <v>Dây buộc cổ sứ cỡ dây 120mm2</v>
      </c>
      <c r="D1593" s="54" t="s">
        <v>2555</v>
      </c>
      <c r="F1593" s="54">
        <v>50</v>
      </c>
      <c r="H1593" s="54">
        <v>120</v>
      </c>
      <c r="J1593" s="54" t="str">
        <f t="shared" ref="J1593:J1600" si="63">A1593</f>
        <v>ssf-120</v>
      </c>
    </row>
    <row r="1594" spans="1:10" hidden="1">
      <c r="A1594" s="1659" t="str">
        <f t="shared" si="61"/>
        <v>ssf-150</v>
      </c>
      <c r="C1594" s="1659" t="str">
        <f t="shared" si="62"/>
        <v>Dây buộc cổ sứ cỡ dây 150mm2</v>
      </c>
      <c r="D1594" s="54" t="s">
        <v>2555</v>
      </c>
      <c r="F1594" s="54">
        <v>50</v>
      </c>
      <c r="H1594" s="54">
        <v>150</v>
      </c>
      <c r="J1594" s="54" t="str">
        <f t="shared" si="63"/>
        <v>ssf-150</v>
      </c>
    </row>
    <row r="1595" spans="1:10" hidden="1">
      <c r="A1595" s="1659" t="str">
        <f t="shared" si="61"/>
        <v>ssf-185</v>
      </c>
      <c r="C1595" s="1659" t="str">
        <f t="shared" si="62"/>
        <v>Dây buộc cổ sứ cỡ dây 185mm2</v>
      </c>
      <c r="D1595" s="54" t="s">
        <v>2555</v>
      </c>
      <c r="F1595" s="54" t="s">
        <v>4394</v>
      </c>
      <c r="H1595" s="54">
        <v>185</v>
      </c>
      <c r="J1595" s="54" t="str">
        <f t="shared" si="63"/>
        <v>ssf-185</v>
      </c>
    </row>
    <row r="1596" spans="1:10" hidden="1">
      <c r="A1596" s="1659" t="str">
        <f t="shared" si="61"/>
        <v>ssf-240</v>
      </c>
      <c r="C1596" s="1659" t="str">
        <f t="shared" si="62"/>
        <v>Dây buộc cổ sứ cỡ dây 240mm2</v>
      </c>
      <c r="D1596" s="54" t="s">
        <v>2555</v>
      </c>
      <c r="F1596" s="54" t="s">
        <v>4394</v>
      </c>
      <c r="H1596" s="54">
        <v>240</v>
      </c>
      <c r="J1596" s="54" t="str">
        <f t="shared" si="63"/>
        <v>ssf-240</v>
      </c>
    </row>
    <row r="1597" spans="1:10" hidden="1">
      <c r="A1597" s="1659" t="str">
        <f t="shared" ref="A1597:A1599" si="64">"ttf-"&amp;H1597</f>
        <v>ttf-120</v>
      </c>
      <c r="C1597" s="1659" t="str">
        <f t="shared" ref="C1597:C1599" si="65">"Dây buộc đầu sứ cỡ dây "&amp;H1597&amp;"mm2"</f>
        <v>Dây buộc đầu sứ cỡ dây 120mm2</v>
      </c>
      <c r="D1597" s="54" t="s">
        <v>2555</v>
      </c>
      <c r="F1597" s="54">
        <v>50</v>
      </c>
      <c r="H1597" s="54">
        <v>120</v>
      </c>
      <c r="J1597" s="54" t="str">
        <f t="shared" ref="J1597:J1598" si="66">A1597</f>
        <v>ttf-120</v>
      </c>
    </row>
    <row r="1598" spans="1:10" hidden="1">
      <c r="A1598" s="1659" t="str">
        <f t="shared" si="64"/>
        <v>ttf-150</v>
      </c>
      <c r="C1598" s="1659" t="str">
        <f t="shared" si="65"/>
        <v>Dây buộc đầu sứ cỡ dây 150mm2</v>
      </c>
      <c r="D1598" s="54" t="s">
        <v>2555</v>
      </c>
      <c r="F1598" s="54">
        <v>50</v>
      </c>
      <c r="H1598" s="54">
        <v>150</v>
      </c>
      <c r="J1598" s="54" t="str">
        <f t="shared" si="66"/>
        <v>ttf-150</v>
      </c>
    </row>
    <row r="1599" spans="1:10" hidden="1">
      <c r="A1599" s="1659" t="str">
        <f t="shared" si="64"/>
        <v>ttf-185</v>
      </c>
      <c r="C1599" s="1659" t="str">
        <f t="shared" si="65"/>
        <v>Dây buộc đầu sứ cỡ dây 185mm2</v>
      </c>
      <c r="D1599" s="54" t="s">
        <v>2555</v>
      </c>
      <c r="F1599" s="54">
        <v>50</v>
      </c>
      <c r="H1599" s="54">
        <v>185</v>
      </c>
      <c r="J1599" s="54" t="str">
        <f t="shared" si="63"/>
        <v>ttf-185</v>
      </c>
    </row>
    <row r="1600" spans="1:10" hidden="1">
      <c r="A1600" s="1659" t="str">
        <f>"ssf"&amp;H1600</f>
        <v>ssf</v>
      </c>
      <c r="C1600" s="1659" t="str">
        <f>"Dây buộc cổ sứ"</f>
        <v>Dây buộc cổ sứ</v>
      </c>
      <c r="D1600" s="54" t="s">
        <v>2555</v>
      </c>
      <c r="F1600" s="54" t="s">
        <v>4394</v>
      </c>
      <c r="J1600" s="54" t="str">
        <f t="shared" si="63"/>
        <v>ssf</v>
      </c>
    </row>
    <row r="1601" spans="1:6" hidden="1">
      <c r="A1601" s="1659" t="s">
        <v>5147</v>
      </c>
      <c r="B1601" s="1653" t="s">
        <v>5148</v>
      </c>
      <c r="C1601" s="1659" t="s">
        <v>5149</v>
      </c>
      <c r="D1601" s="54" t="s">
        <v>2439</v>
      </c>
      <c r="F1601" s="54" t="s">
        <v>4394</v>
      </c>
    </row>
    <row r="1602" spans="1:6" hidden="1">
      <c r="A1602" s="1659" t="s">
        <v>5150</v>
      </c>
      <c r="C1602" s="1659" t="s">
        <v>2830</v>
      </c>
      <c r="D1602" s="54" t="s">
        <v>2831</v>
      </c>
      <c r="F1602" s="54" t="s">
        <v>4394</v>
      </c>
    </row>
    <row r="1603" spans="1:6" hidden="1">
      <c r="A1603" s="1659" t="s">
        <v>5151</v>
      </c>
      <c r="C1603" s="1659" t="s">
        <v>5152</v>
      </c>
      <c r="D1603" s="54" t="s">
        <v>2590</v>
      </c>
      <c r="F1603" s="54" t="s">
        <v>4394</v>
      </c>
    </row>
    <row r="1604" spans="1:6" hidden="1">
      <c r="A1604" s="1659" t="s">
        <v>5153</v>
      </c>
      <c r="C1604" s="1659" t="s">
        <v>5154</v>
      </c>
      <c r="D1604" s="54" t="s">
        <v>2590</v>
      </c>
      <c r="F1604" s="54" t="s">
        <v>4394</v>
      </c>
    </row>
    <row r="1605" spans="1:6" hidden="1">
      <c r="A1605" s="1659" t="s">
        <v>5155</v>
      </c>
      <c r="C1605" s="1659" t="s">
        <v>5156</v>
      </c>
      <c r="D1605" s="54" t="s">
        <v>2590</v>
      </c>
      <c r="F1605" s="54" t="s">
        <v>4394</v>
      </c>
    </row>
    <row r="1606" spans="1:6" hidden="1">
      <c r="A1606" s="1659" t="s">
        <v>5157</v>
      </c>
      <c r="C1606" s="1659" t="s">
        <v>4865</v>
      </c>
      <c r="D1606" s="54" t="s">
        <v>2590</v>
      </c>
      <c r="F1606" s="54" t="s">
        <v>4394</v>
      </c>
    </row>
    <row r="1607" spans="1:6" hidden="1">
      <c r="A1607" s="1659" t="s">
        <v>5158</v>
      </c>
      <c r="C1607" s="1659" t="s">
        <v>5159</v>
      </c>
      <c r="D1607" s="54" t="s">
        <v>5160</v>
      </c>
      <c r="F1607" s="54" t="s">
        <v>4394</v>
      </c>
    </row>
    <row r="1608" spans="1:6" hidden="1">
      <c r="A1608" s="1659" t="s">
        <v>5161</v>
      </c>
      <c r="C1608" s="1659" t="s">
        <v>5162</v>
      </c>
      <c r="D1608" s="54" t="s">
        <v>5160</v>
      </c>
      <c r="F1608" s="54" t="s">
        <v>4394</v>
      </c>
    </row>
    <row r="1609" spans="1:6" hidden="1">
      <c r="A1609" s="1659" t="s">
        <v>5164</v>
      </c>
      <c r="C1609" s="1659" t="s">
        <v>5165</v>
      </c>
      <c r="D1609" s="54" t="s">
        <v>2248</v>
      </c>
      <c r="F1609" s="54">
        <v>50</v>
      </c>
    </row>
    <row r="1610" spans="1:6" hidden="1">
      <c r="A1610" s="1659" t="s">
        <v>5166</v>
      </c>
      <c r="C1610" s="1659" t="s">
        <v>5167</v>
      </c>
      <c r="D1610" s="54" t="s">
        <v>2248</v>
      </c>
      <c r="F1610" s="54">
        <v>50</v>
      </c>
    </row>
    <row r="1611" spans="1:6" hidden="1">
      <c r="A1611" s="1659" t="s">
        <v>5168</v>
      </c>
      <c r="B1611" s="1653" t="s">
        <v>5169</v>
      </c>
      <c r="C1611" s="1659" t="s">
        <v>5170</v>
      </c>
      <c r="D1611" s="54" t="s">
        <v>5171</v>
      </c>
      <c r="F1611" s="54" t="s">
        <v>4394</v>
      </c>
    </row>
    <row r="1612" spans="1:6" hidden="1">
      <c r="A1612" s="1659" t="s">
        <v>5172</v>
      </c>
      <c r="C1612" s="1659" t="s">
        <v>5173</v>
      </c>
      <c r="D1612" s="54" t="s">
        <v>5174</v>
      </c>
      <c r="F1612" s="54" t="s">
        <v>4394</v>
      </c>
    </row>
    <row r="1613" spans="1:6" hidden="1">
      <c r="A1613" s="1659" t="s">
        <v>5175</v>
      </c>
      <c r="C1613" s="1659" t="s">
        <v>5176</v>
      </c>
      <c r="D1613" s="54" t="s">
        <v>5174</v>
      </c>
      <c r="F1613" s="54" t="s">
        <v>4394</v>
      </c>
    </row>
    <row r="1614" spans="1:6" hidden="1">
      <c r="A1614" s="1659" t="s">
        <v>5177</v>
      </c>
      <c r="C1614" s="1659" t="s">
        <v>5178</v>
      </c>
      <c r="D1614" s="54" t="s">
        <v>5174</v>
      </c>
      <c r="F1614" s="54" t="s">
        <v>4394</v>
      </c>
    </row>
    <row r="1615" spans="1:6" hidden="1">
      <c r="A1615" s="1659" t="s">
        <v>5179</v>
      </c>
      <c r="C1615" s="1659" t="s">
        <v>5180</v>
      </c>
      <c r="D1615" s="54" t="s">
        <v>5174</v>
      </c>
      <c r="F1615" s="54" t="s">
        <v>4394</v>
      </c>
    </row>
    <row r="1616" spans="1:6" hidden="1">
      <c r="A1616" s="1659" t="s">
        <v>5181</v>
      </c>
      <c r="C1616" s="1659" t="s">
        <v>5182</v>
      </c>
      <c r="D1616" s="54" t="s">
        <v>2532</v>
      </c>
      <c r="F1616" s="54" t="s">
        <v>4394</v>
      </c>
    </row>
    <row r="1617" spans="1:6" hidden="1">
      <c r="A1617" s="1659" t="s">
        <v>5183</v>
      </c>
      <c r="C1617" s="1659" t="s">
        <v>5184</v>
      </c>
      <c r="D1617" s="54" t="s">
        <v>2555</v>
      </c>
      <c r="F1617" s="54" t="s">
        <v>4394</v>
      </c>
    </row>
    <row r="1618" spans="1:6" hidden="1">
      <c r="A1618" s="1659" t="s">
        <v>5185</v>
      </c>
      <c r="C1618" s="1659" t="s">
        <v>2835</v>
      </c>
      <c r="D1618" s="54" t="s">
        <v>2555</v>
      </c>
      <c r="F1618" s="54" t="s">
        <v>4394</v>
      </c>
    </row>
    <row r="1619" spans="1:6" hidden="1">
      <c r="A1619" s="1659" t="s">
        <v>5186</v>
      </c>
      <c r="C1619" s="1659" t="s">
        <v>2836</v>
      </c>
      <c r="D1619" s="54" t="s">
        <v>2555</v>
      </c>
      <c r="F1619" s="54" t="s">
        <v>4394</v>
      </c>
    </row>
    <row r="1620" spans="1:6" hidden="1">
      <c r="A1620" s="1659" t="s">
        <v>5187</v>
      </c>
      <c r="C1620" s="1659" t="s">
        <v>2837</v>
      </c>
      <c r="D1620" s="54" t="s">
        <v>2555</v>
      </c>
      <c r="F1620" s="54" t="s">
        <v>4394</v>
      </c>
    </row>
    <row r="1621" spans="1:6" hidden="1">
      <c r="A1621" s="1659" t="s">
        <v>5188</v>
      </c>
      <c r="C1621" s="1659" t="s">
        <v>2838</v>
      </c>
      <c r="D1621" s="54" t="s">
        <v>2555</v>
      </c>
      <c r="F1621" s="54" t="s">
        <v>4394</v>
      </c>
    </row>
    <row r="1622" spans="1:6" hidden="1">
      <c r="A1622" s="1659" t="s">
        <v>5189</v>
      </c>
      <c r="C1622" s="1659" t="s">
        <v>2839</v>
      </c>
      <c r="D1622" s="54" t="s">
        <v>2555</v>
      </c>
      <c r="F1622" s="54" t="s">
        <v>4394</v>
      </c>
    </row>
    <row r="1623" spans="1:6" hidden="1">
      <c r="A1623" s="1659" t="s">
        <v>5190</v>
      </c>
      <c r="C1623" s="1659" t="s">
        <v>2840</v>
      </c>
      <c r="D1623" s="54" t="s">
        <v>2555</v>
      </c>
      <c r="F1623" s="54" t="s">
        <v>4394</v>
      </c>
    </row>
    <row r="1624" spans="1:6" hidden="1">
      <c r="A1624" s="1659" t="s">
        <v>5191</v>
      </c>
      <c r="C1624" s="1659" t="s">
        <v>4875</v>
      </c>
      <c r="D1624" s="54" t="s">
        <v>2555</v>
      </c>
      <c r="F1624" s="54" t="s">
        <v>4394</v>
      </c>
    </row>
    <row r="1625" spans="1:6" hidden="1">
      <c r="A1625" s="1659" t="s">
        <v>5192</v>
      </c>
      <c r="C1625" s="1659" t="s">
        <v>2841</v>
      </c>
      <c r="D1625" s="54" t="s">
        <v>2555</v>
      </c>
      <c r="F1625" s="54" t="s">
        <v>4394</v>
      </c>
    </row>
    <row r="1626" spans="1:6" hidden="1">
      <c r="A1626" s="1659" t="s">
        <v>5193</v>
      </c>
      <c r="C1626" s="1659" t="s">
        <v>2842</v>
      </c>
      <c r="D1626" s="54" t="s">
        <v>2555</v>
      </c>
      <c r="F1626" s="54" t="s">
        <v>4394</v>
      </c>
    </row>
    <row r="1627" spans="1:6" hidden="1">
      <c r="A1627" s="1659" t="s">
        <v>5194</v>
      </c>
      <c r="C1627" s="1659" t="s">
        <v>2846</v>
      </c>
      <c r="D1627" s="54" t="s">
        <v>2555</v>
      </c>
      <c r="F1627" s="54" t="s">
        <v>4394</v>
      </c>
    </row>
    <row r="1628" spans="1:6" hidden="1">
      <c r="A1628" s="1659" t="s">
        <v>5195</v>
      </c>
      <c r="C1628" s="1659" t="s">
        <v>2847</v>
      </c>
      <c r="D1628" s="54" t="s">
        <v>2555</v>
      </c>
      <c r="F1628" s="54" t="s">
        <v>4394</v>
      </c>
    </row>
    <row r="1629" spans="1:6" hidden="1">
      <c r="A1629" s="1659" t="s">
        <v>5196</v>
      </c>
      <c r="C1629" s="1659" t="s">
        <v>2848</v>
      </c>
      <c r="D1629" s="54" t="s">
        <v>2555</v>
      </c>
      <c r="F1629" s="54" t="s">
        <v>4394</v>
      </c>
    </row>
    <row r="1630" spans="1:6" hidden="1">
      <c r="A1630" s="1659" t="s">
        <v>5197</v>
      </c>
      <c r="C1630" s="1659" t="s">
        <v>2849</v>
      </c>
      <c r="D1630" s="54" t="s">
        <v>2555</v>
      </c>
      <c r="F1630" s="54" t="s">
        <v>4394</v>
      </c>
    </row>
    <row r="1631" spans="1:6" hidden="1">
      <c r="A1631" s="1659" t="s">
        <v>5198</v>
      </c>
      <c r="C1631" s="1659" t="s">
        <v>2850</v>
      </c>
      <c r="D1631" s="54" t="s">
        <v>2555</v>
      </c>
      <c r="F1631" s="54" t="s">
        <v>4394</v>
      </c>
    </row>
    <row r="1632" spans="1:6" hidden="1">
      <c r="A1632" s="1659" t="s">
        <v>5199</v>
      </c>
      <c r="C1632" s="1659" t="s">
        <v>2851</v>
      </c>
      <c r="D1632" s="54" t="s">
        <v>2555</v>
      </c>
      <c r="F1632" s="54" t="s">
        <v>4394</v>
      </c>
    </row>
    <row r="1633" spans="1:7" hidden="1">
      <c r="A1633" s="1659" t="s">
        <v>5200</v>
      </c>
      <c r="C1633" s="1659" t="s">
        <v>4761</v>
      </c>
      <c r="D1633" s="54" t="s">
        <v>2555</v>
      </c>
      <c r="F1633" s="54" t="s">
        <v>4394</v>
      </c>
    </row>
    <row r="1634" spans="1:7" hidden="1">
      <c r="A1634" s="1659" t="s">
        <v>5201</v>
      </c>
      <c r="C1634" s="1659" t="s">
        <v>2852</v>
      </c>
      <c r="D1634" s="54" t="s">
        <v>2555</v>
      </c>
      <c r="F1634" s="54" t="s">
        <v>4394</v>
      </c>
    </row>
    <row r="1635" spans="1:7" hidden="1">
      <c r="A1635" s="1659" t="s">
        <v>5202</v>
      </c>
      <c r="C1635" s="1659" t="s">
        <v>2853</v>
      </c>
      <c r="D1635" s="54" t="s">
        <v>2555</v>
      </c>
      <c r="F1635" s="54" t="s">
        <v>4394</v>
      </c>
    </row>
    <row r="1636" spans="1:7" hidden="1">
      <c r="A1636" s="1659" t="s">
        <v>5203</v>
      </c>
      <c r="B1636" s="1653" t="s">
        <v>5204</v>
      </c>
      <c r="C1636" s="1659" t="s">
        <v>5205</v>
      </c>
      <c r="D1636" s="54" t="s">
        <v>2555</v>
      </c>
      <c r="F1636" s="54" t="s">
        <v>4394</v>
      </c>
    </row>
    <row r="1637" spans="1:7" hidden="1">
      <c r="A1637" s="1659" t="s">
        <v>5206</v>
      </c>
      <c r="B1637" s="1653" t="s">
        <v>5204</v>
      </c>
      <c r="C1637" s="1659" t="s">
        <v>5207</v>
      </c>
      <c r="D1637" s="54" t="s">
        <v>2555</v>
      </c>
      <c r="F1637" s="54" t="s">
        <v>4394</v>
      </c>
    </row>
    <row r="1638" spans="1:7" hidden="1">
      <c r="A1638" s="1659" t="s">
        <v>5208</v>
      </c>
      <c r="C1638" s="1659" t="s">
        <v>2866</v>
      </c>
      <c r="D1638" s="54" t="s">
        <v>2555</v>
      </c>
      <c r="F1638" s="54" t="s">
        <v>4394</v>
      </c>
    </row>
    <row r="1639" spans="1:7" hidden="1">
      <c r="A1639" s="1659" t="s">
        <v>5209</v>
      </c>
      <c r="C1639" s="1659" t="s">
        <v>2867</v>
      </c>
      <c r="D1639" s="54" t="s">
        <v>2555</v>
      </c>
      <c r="F1639" s="54" t="s">
        <v>4394</v>
      </c>
    </row>
    <row r="1640" spans="1:7" hidden="1">
      <c r="A1640" s="1659" t="s">
        <v>5210</v>
      </c>
      <c r="C1640" s="1659" t="s">
        <v>2868</v>
      </c>
      <c r="D1640" s="54" t="s">
        <v>2555</v>
      </c>
      <c r="F1640" s="54" t="s">
        <v>4394</v>
      </c>
    </row>
    <row r="1641" spans="1:7" hidden="1">
      <c r="A1641" s="1659" t="s">
        <v>5211</v>
      </c>
      <c r="C1641" s="1659" t="s">
        <v>2869</v>
      </c>
      <c r="D1641" s="54" t="s">
        <v>2555</v>
      </c>
      <c r="F1641" s="54" t="s">
        <v>4394</v>
      </c>
    </row>
    <row r="1642" spans="1:7" hidden="1">
      <c r="A1642" s="1659" t="s">
        <v>5212</v>
      </c>
      <c r="C1642" s="1659" t="s">
        <v>2870</v>
      </c>
      <c r="D1642" s="54" t="s">
        <v>2555</v>
      </c>
      <c r="F1642" s="54" t="s">
        <v>4394</v>
      </c>
    </row>
    <row r="1643" spans="1:7" hidden="1">
      <c r="A1643" s="1659" t="s">
        <v>5213</v>
      </c>
      <c r="C1643" s="1659" t="s">
        <v>5214</v>
      </c>
      <c r="D1643" s="54" t="s">
        <v>2439</v>
      </c>
      <c r="F1643" s="54">
        <v>50</v>
      </c>
      <c r="G1643" s="54" t="s">
        <v>512</v>
      </c>
    </row>
    <row r="1644" spans="1:7" hidden="1">
      <c r="A1644" s="1659" t="s">
        <v>5215</v>
      </c>
      <c r="C1644" s="1659" t="s">
        <v>5216</v>
      </c>
      <c r="D1644" s="54" t="s">
        <v>2555</v>
      </c>
      <c r="F1644" s="54" t="s">
        <v>4394</v>
      </c>
    </row>
    <row r="1645" spans="1:7" hidden="1">
      <c r="A1645" s="1659" t="s">
        <v>5217</v>
      </c>
      <c r="C1645" s="1659" t="s">
        <v>5218</v>
      </c>
      <c r="D1645" s="54" t="s">
        <v>2555</v>
      </c>
      <c r="F1645" s="54">
        <v>50</v>
      </c>
    </row>
    <row r="1646" spans="1:7" hidden="1">
      <c r="A1646" s="1659" t="s">
        <v>5219</v>
      </c>
      <c r="C1646" s="1659" t="s">
        <v>5220</v>
      </c>
      <c r="D1646" s="54" t="s">
        <v>2555</v>
      </c>
      <c r="F1646" s="54" t="s">
        <v>4394</v>
      </c>
    </row>
    <row r="1647" spans="1:7" hidden="1">
      <c r="A1647" s="1659" t="s">
        <v>5221</v>
      </c>
      <c r="C1647" s="1659" t="s">
        <v>5222</v>
      </c>
      <c r="D1647" s="54" t="s">
        <v>2555</v>
      </c>
      <c r="F1647" s="54" t="s">
        <v>4394</v>
      </c>
    </row>
    <row r="1648" spans="1:7" hidden="1">
      <c r="A1648" s="1659" t="s">
        <v>5223</v>
      </c>
      <c r="C1648" s="1659" t="s">
        <v>5224</v>
      </c>
      <c r="D1648" s="54" t="s">
        <v>2555</v>
      </c>
      <c r="F1648" s="54" t="s">
        <v>4394</v>
      </c>
    </row>
    <row r="1649" spans="1:6" hidden="1">
      <c r="A1649" s="1659" t="s">
        <v>5225</v>
      </c>
      <c r="C1649" s="1659" t="s">
        <v>5226</v>
      </c>
      <c r="D1649" s="54" t="s">
        <v>2555</v>
      </c>
      <c r="F1649" s="54" t="s">
        <v>4394</v>
      </c>
    </row>
    <row r="1650" spans="1:6" hidden="1">
      <c r="A1650" s="1659" t="s">
        <v>5228</v>
      </c>
      <c r="C1650" s="1659" t="s">
        <v>5229</v>
      </c>
      <c r="D1650" s="54" t="s">
        <v>5174</v>
      </c>
      <c r="F1650" s="54">
        <v>50</v>
      </c>
    </row>
    <row r="1651" spans="1:6" hidden="1">
      <c r="A1651" s="1659" t="s">
        <v>6103</v>
      </c>
      <c r="C1651" s="1659" t="s">
        <v>6104</v>
      </c>
      <c r="D1651" s="54" t="s">
        <v>2555</v>
      </c>
      <c r="F1651" s="54">
        <v>50</v>
      </c>
    </row>
    <row r="1652" spans="1:6" hidden="1">
      <c r="A1652" s="1659" t="s">
        <v>5230</v>
      </c>
      <c r="C1652" s="1659" t="s">
        <v>5231</v>
      </c>
      <c r="D1652" s="54" t="s">
        <v>5174</v>
      </c>
      <c r="F1652" s="54">
        <v>50</v>
      </c>
    </row>
    <row r="1653" spans="1:6" hidden="1">
      <c r="A1653" s="1659" t="s">
        <v>5232</v>
      </c>
      <c r="C1653" s="1659" t="s">
        <v>5233</v>
      </c>
      <c r="D1653" s="54" t="s">
        <v>5174</v>
      </c>
      <c r="F1653" s="54">
        <v>50</v>
      </c>
    </row>
    <row r="1654" spans="1:6" hidden="1">
      <c r="A1654" s="1659" t="s">
        <v>5234</v>
      </c>
      <c r="C1654" s="1659" t="s">
        <v>5235</v>
      </c>
      <c r="D1654" s="54" t="s">
        <v>5174</v>
      </c>
      <c r="F1654" s="54">
        <v>50</v>
      </c>
    </row>
    <row r="1655" spans="1:6" hidden="1">
      <c r="A1655" s="1659" t="s">
        <v>5236</v>
      </c>
      <c r="C1655" s="1659" t="s">
        <v>5237</v>
      </c>
      <c r="D1655" s="54" t="s">
        <v>5174</v>
      </c>
      <c r="F1655" s="54">
        <v>50</v>
      </c>
    </row>
    <row r="1656" spans="1:6" hidden="1">
      <c r="A1656" s="1659" t="s">
        <v>5238</v>
      </c>
      <c r="C1656" s="1659" t="s">
        <v>5239</v>
      </c>
      <c r="D1656" s="54" t="s">
        <v>5174</v>
      </c>
      <c r="F1656" s="54">
        <v>50</v>
      </c>
    </row>
    <row r="1657" spans="1:6" hidden="1">
      <c r="A1657" s="1659" t="s">
        <v>5240</v>
      </c>
      <c r="C1657" s="1659" t="s">
        <v>5241</v>
      </c>
      <c r="D1657" s="54" t="s">
        <v>5174</v>
      </c>
      <c r="F1657" s="54">
        <v>50</v>
      </c>
    </row>
    <row r="1658" spans="1:6" hidden="1">
      <c r="A1658" s="1659" t="s">
        <v>5242</v>
      </c>
      <c r="C1658" s="1659" t="s">
        <v>5243</v>
      </c>
      <c r="D1658" s="54" t="s">
        <v>5174</v>
      </c>
      <c r="F1658" s="54">
        <v>50</v>
      </c>
    </row>
    <row r="1659" spans="1:6" hidden="1">
      <c r="A1659" s="1659" t="s">
        <v>5244</v>
      </c>
      <c r="C1659" s="1659" t="s">
        <v>5245</v>
      </c>
      <c r="D1659" s="54" t="s">
        <v>5174</v>
      </c>
      <c r="F1659" s="54">
        <v>50</v>
      </c>
    </row>
    <row r="1660" spans="1:6" hidden="1">
      <c r="A1660" s="1659" t="s">
        <v>5248</v>
      </c>
      <c r="C1660" s="1659" t="s">
        <v>5249</v>
      </c>
      <c r="D1660" s="54" t="s">
        <v>2439</v>
      </c>
      <c r="F1660" s="54">
        <v>50</v>
      </c>
    </row>
    <row r="1661" spans="1:6" hidden="1">
      <c r="A1661" s="1659" t="s">
        <v>5250</v>
      </c>
      <c r="C1661" s="1659" t="s">
        <v>5251</v>
      </c>
      <c r="D1661" s="54" t="s">
        <v>2439</v>
      </c>
      <c r="F1661" s="54">
        <v>50</v>
      </c>
    </row>
    <row r="1662" spans="1:6" hidden="1">
      <c r="A1662" s="1659" t="s">
        <v>5253</v>
      </c>
      <c r="C1662" s="1659" t="s">
        <v>5254</v>
      </c>
      <c r="D1662" s="54" t="s">
        <v>2439</v>
      </c>
      <c r="F1662" s="54">
        <v>50</v>
      </c>
    </row>
    <row r="1663" spans="1:6" hidden="1">
      <c r="A1663" s="1659" t="s">
        <v>5255</v>
      </c>
      <c r="C1663" s="1659" t="s">
        <v>5256</v>
      </c>
      <c r="D1663" s="54" t="s">
        <v>2439</v>
      </c>
      <c r="F1663" s="54">
        <v>50</v>
      </c>
    </row>
    <row r="1664" spans="1:6" hidden="1">
      <c r="A1664" s="1659" t="s">
        <v>5259</v>
      </c>
      <c r="C1664" s="1659" t="s">
        <v>5260</v>
      </c>
      <c r="D1664" s="54" t="s">
        <v>2439</v>
      </c>
      <c r="F1664" s="54">
        <v>50</v>
      </c>
    </row>
    <row r="1665" spans="1:7" hidden="1">
      <c r="A1665" s="1659" t="s">
        <v>5261</v>
      </c>
      <c r="C1665" s="1659" t="s">
        <v>5262</v>
      </c>
      <c r="D1665" s="54" t="s">
        <v>2439</v>
      </c>
      <c r="F1665" s="54">
        <v>50</v>
      </c>
    </row>
    <row r="1666" spans="1:7" hidden="1">
      <c r="A1666" s="1659" t="s">
        <v>5263</v>
      </c>
      <c r="C1666" s="1659" t="s">
        <v>5264</v>
      </c>
      <c r="D1666" s="54" t="s">
        <v>2439</v>
      </c>
      <c r="F1666" s="54">
        <v>50</v>
      </c>
    </row>
    <row r="1667" spans="1:7" hidden="1">
      <c r="A1667" s="1659" t="s">
        <v>5265</v>
      </c>
      <c r="C1667" s="1659" t="s">
        <v>5266</v>
      </c>
      <c r="D1667" s="54" t="s">
        <v>2439</v>
      </c>
      <c r="F1667" s="54">
        <v>50</v>
      </c>
    </row>
    <row r="1668" spans="1:7" hidden="1">
      <c r="A1668" s="1659" t="s">
        <v>5267</v>
      </c>
      <c r="C1668" s="1659" t="s">
        <v>5268</v>
      </c>
      <c r="D1668" s="54" t="s">
        <v>2439</v>
      </c>
      <c r="F1668" s="54">
        <v>50</v>
      </c>
    </row>
    <row r="1669" spans="1:7" hidden="1">
      <c r="A1669" s="1659" t="s">
        <v>5271</v>
      </c>
      <c r="B1669" s="1653" t="s">
        <v>5272</v>
      </c>
      <c r="C1669" s="1659" t="s">
        <v>5273</v>
      </c>
      <c r="D1669" s="54" t="s">
        <v>2439</v>
      </c>
      <c r="F1669" s="54">
        <v>3000</v>
      </c>
    </row>
    <row r="1670" spans="1:7" hidden="1">
      <c r="A1670" s="1659" t="s">
        <v>5274</v>
      </c>
      <c r="C1670" s="1659" t="s">
        <v>5278</v>
      </c>
      <c r="D1670" s="54" t="s">
        <v>2831</v>
      </c>
      <c r="F1670" s="54">
        <v>16</v>
      </c>
      <c r="G1670" s="54" t="s">
        <v>512</v>
      </c>
    </row>
    <row r="1671" spans="1:7" hidden="1">
      <c r="A1671" s="1659" t="s">
        <v>5275</v>
      </c>
      <c r="C1671" s="1659" t="s">
        <v>5276</v>
      </c>
      <c r="D1671" s="54" t="s">
        <v>2831</v>
      </c>
      <c r="F1671" s="54" t="s">
        <v>4394</v>
      </c>
    </row>
    <row r="1672" spans="1:7" hidden="1">
      <c r="A1672" s="1659" t="s">
        <v>5277</v>
      </c>
      <c r="C1672" s="1659" t="s">
        <v>5278</v>
      </c>
      <c r="D1672" s="54" t="s">
        <v>2831</v>
      </c>
      <c r="F1672" s="54" t="s">
        <v>4394</v>
      </c>
    </row>
    <row r="1673" spans="1:7" hidden="1">
      <c r="A1673" s="1659" t="s">
        <v>5279</v>
      </c>
      <c r="C1673" s="1659" t="s">
        <v>5280</v>
      </c>
      <c r="D1673" s="54" t="s">
        <v>2831</v>
      </c>
      <c r="F1673" s="54" t="s">
        <v>4394</v>
      </c>
    </row>
    <row r="1674" spans="1:7" hidden="1">
      <c r="A1674" s="1659" t="s">
        <v>5281</v>
      </c>
      <c r="C1674" s="1659" t="s">
        <v>5282</v>
      </c>
      <c r="D1674" s="54" t="s">
        <v>2831</v>
      </c>
      <c r="F1674" s="54" t="s">
        <v>4394</v>
      </c>
    </row>
    <row r="1675" spans="1:7" hidden="1">
      <c r="A1675" s="1659" t="s">
        <v>5283</v>
      </c>
      <c r="C1675" s="1659" t="s">
        <v>5284</v>
      </c>
      <c r="D1675" s="54" t="s">
        <v>2831</v>
      </c>
      <c r="F1675" s="54" t="s">
        <v>4394</v>
      </c>
    </row>
    <row r="1676" spans="1:7" hidden="1">
      <c r="A1676" s="1659" t="s">
        <v>5285</v>
      </c>
      <c r="C1676" s="1659" t="s">
        <v>5286</v>
      </c>
      <c r="D1676" s="54" t="s">
        <v>2831</v>
      </c>
      <c r="F1676" s="54" t="s">
        <v>4394</v>
      </c>
    </row>
    <row r="1677" spans="1:7" hidden="1">
      <c r="A1677" s="1659" t="s">
        <v>5287</v>
      </c>
      <c r="C1677" s="1659" t="s">
        <v>6472</v>
      </c>
      <c r="D1677" s="54" t="s">
        <v>856</v>
      </c>
      <c r="F1677" s="54">
        <v>1999</v>
      </c>
    </row>
    <row r="1678" spans="1:7" hidden="1">
      <c r="A1678" s="1659" t="s">
        <v>5291</v>
      </c>
      <c r="C1678" s="1659" t="s">
        <v>5292</v>
      </c>
      <c r="D1678" s="54" t="s">
        <v>2555</v>
      </c>
      <c r="F1678" s="54" t="s">
        <v>4394</v>
      </c>
    </row>
    <row r="1679" spans="1:7" hidden="1">
      <c r="A1679" s="1659" t="s">
        <v>5293</v>
      </c>
      <c r="C1679" s="1659" t="s">
        <v>5294</v>
      </c>
      <c r="D1679" s="54" t="s">
        <v>2555</v>
      </c>
      <c r="F1679" s="54">
        <v>50</v>
      </c>
    </row>
    <row r="1680" spans="1:7" hidden="1">
      <c r="A1680" s="1659" t="s">
        <v>5295</v>
      </c>
      <c r="C1680" s="1659" t="s">
        <v>5296</v>
      </c>
      <c r="D1680" s="54" t="s">
        <v>2555</v>
      </c>
      <c r="F1680" s="54">
        <v>50</v>
      </c>
    </row>
    <row r="1681" spans="1:6" hidden="1">
      <c r="A1681" s="1659" t="s">
        <v>5297</v>
      </c>
      <c r="C1681" s="1659" t="s">
        <v>5298</v>
      </c>
      <c r="D1681" s="54" t="s">
        <v>2555</v>
      </c>
      <c r="F1681" s="54">
        <v>50</v>
      </c>
    </row>
    <row r="1682" spans="1:6" hidden="1">
      <c r="A1682" s="1659" t="s">
        <v>5299</v>
      </c>
      <c r="B1682" s="1653" t="s">
        <v>5300</v>
      </c>
      <c r="C1682" s="1659" t="s">
        <v>5301</v>
      </c>
      <c r="D1682" s="54" t="s">
        <v>2532</v>
      </c>
      <c r="F1682" s="54">
        <v>50</v>
      </c>
    </row>
    <row r="1683" spans="1:6" hidden="1">
      <c r="A1683" s="1659" t="s">
        <v>5302</v>
      </c>
      <c r="B1683" s="1653" t="s">
        <v>5303</v>
      </c>
      <c r="C1683" s="1659" t="s">
        <v>5304</v>
      </c>
      <c r="D1683" s="54" t="s">
        <v>2532</v>
      </c>
      <c r="F1683" s="54">
        <v>50</v>
      </c>
    </row>
    <row r="1684" spans="1:6" hidden="1">
      <c r="A1684" s="1659" t="s">
        <v>5307</v>
      </c>
      <c r="B1684" s="1653" t="s">
        <v>5305</v>
      </c>
      <c r="C1684" s="1659" t="s">
        <v>5308</v>
      </c>
      <c r="D1684" s="54" t="s">
        <v>2532</v>
      </c>
      <c r="F1684" s="54">
        <v>50</v>
      </c>
    </row>
    <row r="1685" spans="1:6" hidden="1">
      <c r="A1685" s="1659" t="s">
        <v>5309</v>
      </c>
      <c r="C1685" s="1659" t="s">
        <v>5310</v>
      </c>
      <c r="D1685" s="54" t="s">
        <v>2532</v>
      </c>
      <c r="F1685" s="54">
        <v>50</v>
      </c>
    </row>
    <row r="1686" spans="1:6" hidden="1">
      <c r="A1686" s="1659" t="s">
        <v>5311</v>
      </c>
      <c r="F1686" s="54" t="s">
        <v>4394</v>
      </c>
    </row>
    <row r="1687" spans="1:6" hidden="1">
      <c r="A1687" s="1659" t="s">
        <v>5312</v>
      </c>
      <c r="B1687" s="1653" t="s">
        <v>5313</v>
      </c>
      <c r="C1687" s="1659" t="s">
        <v>5314</v>
      </c>
      <c r="D1687" s="54" t="s">
        <v>856</v>
      </c>
      <c r="F1687" s="54" t="s">
        <v>4394</v>
      </c>
    </row>
    <row r="1688" spans="1:6" hidden="1">
      <c r="A1688" s="1659" t="s">
        <v>5315</v>
      </c>
      <c r="B1688" s="1653" t="s">
        <v>5316</v>
      </c>
      <c r="C1688" s="1659" t="s">
        <v>5317</v>
      </c>
      <c r="D1688" s="54" t="s">
        <v>856</v>
      </c>
      <c r="F1688" s="54" t="s">
        <v>4394</v>
      </c>
    </row>
    <row r="1689" spans="1:6" hidden="1">
      <c r="A1689" s="1659" t="s">
        <v>5318</v>
      </c>
      <c r="B1689" s="1653" t="s">
        <v>5319</v>
      </c>
      <c r="C1689" s="1659" t="s">
        <v>5320</v>
      </c>
      <c r="D1689" s="54" t="s">
        <v>856</v>
      </c>
      <c r="F1689" s="54" t="s">
        <v>4394</v>
      </c>
    </row>
    <row r="1690" spans="1:6" hidden="1">
      <c r="A1690" s="1659" t="s">
        <v>5321</v>
      </c>
      <c r="B1690" s="1653" t="s">
        <v>5322</v>
      </c>
      <c r="C1690" s="1659" t="s">
        <v>5323</v>
      </c>
      <c r="D1690" s="54" t="s">
        <v>856</v>
      </c>
      <c r="F1690" s="54" t="s">
        <v>4394</v>
      </c>
    </row>
    <row r="1691" spans="1:6" hidden="1">
      <c r="A1691" s="1659" t="s">
        <v>5329</v>
      </c>
      <c r="B1691" s="1653" t="s">
        <v>5330</v>
      </c>
      <c r="C1691" s="1659" t="s">
        <v>5331</v>
      </c>
      <c r="D1691" s="54" t="s">
        <v>856</v>
      </c>
      <c r="F1691" s="54" t="s">
        <v>4394</v>
      </c>
    </row>
    <row r="1692" spans="1:6" hidden="1">
      <c r="A1692" s="1659" t="s">
        <v>5338</v>
      </c>
      <c r="B1692" s="1653" t="s">
        <v>5339</v>
      </c>
      <c r="C1692" s="1659" t="s">
        <v>5340</v>
      </c>
      <c r="D1692" s="54" t="s">
        <v>856</v>
      </c>
      <c r="F1692" s="54" t="s">
        <v>4394</v>
      </c>
    </row>
    <row r="1693" spans="1:6" hidden="1">
      <c r="A1693" s="1659" t="s">
        <v>5348</v>
      </c>
      <c r="B1693" s="1653" t="s">
        <v>5349</v>
      </c>
      <c r="C1693" s="1659" t="s">
        <v>5350</v>
      </c>
      <c r="D1693" s="54" t="s">
        <v>2278</v>
      </c>
      <c r="F1693" s="54" t="s">
        <v>4394</v>
      </c>
    </row>
    <row r="1694" spans="1:6" hidden="1">
      <c r="A1694" s="1659" t="s">
        <v>5353</v>
      </c>
      <c r="B1694" s="1653" t="s">
        <v>1709</v>
      </c>
      <c r="C1694" s="1659" t="s">
        <v>5354</v>
      </c>
      <c r="D1694" s="54" t="s">
        <v>2278</v>
      </c>
      <c r="F1694" s="54" t="s">
        <v>4394</v>
      </c>
    </row>
    <row r="1695" spans="1:6" hidden="1">
      <c r="A1695" s="1659" t="s">
        <v>5355</v>
      </c>
      <c r="B1695" s="1653" t="s">
        <v>1709</v>
      </c>
      <c r="C1695" s="1659" t="s">
        <v>5356</v>
      </c>
      <c r="D1695" s="54" t="s">
        <v>2278</v>
      </c>
      <c r="F1695" s="54" t="s">
        <v>4394</v>
      </c>
    </row>
    <row r="1696" spans="1:6" hidden="1">
      <c r="A1696" s="1659" t="s">
        <v>5361</v>
      </c>
      <c r="B1696" s="1653" t="s">
        <v>5362</v>
      </c>
      <c r="C1696" s="1659" t="s">
        <v>5363</v>
      </c>
      <c r="D1696" s="54" t="s">
        <v>2831</v>
      </c>
      <c r="F1696" s="54" t="s">
        <v>4394</v>
      </c>
    </row>
    <row r="1697" spans="1:6" hidden="1">
      <c r="A1697" s="1659" t="s">
        <v>5364</v>
      </c>
      <c r="B1697" s="1653" t="s">
        <v>5365</v>
      </c>
      <c r="C1697" s="1659" t="s">
        <v>5366</v>
      </c>
      <c r="D1697" s="54" t="s">
        <v>5367</v>
      </c>
      <c r="F1697" s="54">
        <v>3000</v>
      </c>
    </row>
    <row r="1698" spans="1:6" hidden="1">
      <c r="A1698" s="1659" t="s">
        <v>5368</v>
      </c>
      <c r="B1698" s="1653" t="s">
        <v>2127</v>
      </c>
      <c r="C1698" s="1659" t="s">
        <v>5369</v>
      </c>
      <c r="D1698" s="54" t="s">
        <v>2831</v>
      </c>
      <c r="F1698" s="54" t="s">
        <v>4394</v>
      </c>
    </row>
    <row r="1699" spans="1:6" hidden="1">
      <c r="A1699" s="1659" t="s">
        <v>5370</v>
      </c>
      <c r="B1699" s="1653" t="s">
        <v>5148</v>
      </c>
      <c r="C1699" s="1659" t="s">
        <v>5371</v>
      </c>
      <c r="D1699" s="54" t="s">
        <v>2439</v>
      </c>
      <c r="F1699" s="54" t="s">
        <v>4394</v>
      </c>
    </row>
    <row r="1700" spans="1:6" hidden="1">
      <c r="A1700" s="1659" t="s">
        <v>5372</v>
      </c>
      <c r="B1700" s="1653" t="s">
        <v>5148</v>
      </c>
      <c r="C1700" s="1659" t="s">
        <v>5373</v>
      </c>
      <c r="D1700" s="54" t="s">
        <v>2439</v>
      </c>
      <c r="F1700" s="54" t="s">
        <v>4394</v>
      </c>
    </row>
    <row r="1701" spans="1:6" hidden="1">
      <c r="A1701" s="1659" t="s">
        <v>5374</v>
      </c>
      <c r="B1701" s="1653" t="s">
        <v>5148</v>
      </c>
      <c r="C1701" s="1659" t="s">
        <v>5375</v>
      </c>
      <c r="D1701" s="54" t="s">
        <v>2439</v>
      </c>
      <c r="F1701" s="54" t="s">
        <v>4394</v>
      </c>
    </row>
    <row r="1702" spans="1:6" hidden="1">
      <c r="A1702" s="1659" t="s">
        <v>5376</v>
      </c>
      <c r="B1702" s="1653" t="s">
        <v>5148</v>
      </c>
      <c r="C1702" s="1659" t="s">
        <v>5377</v>
      </c>
      <c r="D1702" s="54" t="s">
        <v>2439</v>
      </c>
      <c r="F1702" s="54" t="s">
        <v>4394</v>
      </c>
    </row>
    <row r="1703" spans="1:6" hidden="1">
      <c r="A1703" s="1659" t="s">
        <v>5380</v>
      </c>
      <c r="B1703" s="1653" t="s">
        <v>5381</v>
      </c>
      <c r="C1703" s="1659" t="s">
        <v>5382</v>
      </c>
      <c r="D1703" s="54" t="s">
        <v>2439</v>
      </c>
      <c r="F1703" s="54" t="s">
        <v>4394</v>
      </c>
    </row>
    <row r="1704" spans="1:6" hidden="1">
      <c r="A1704" s="1659" t="s">
        <v>5383</v>
      </c>
      <c r="B1704" s="1653" t="s">
        <v>5384</v>
      </c>
      <c r="C1704" s="1659" t="s">
        <v>5385</v>
      </c>
      <c r="D1704" s="54" t="s">
        <v>2439</v>
      </c>
      <c r="F1704" s="54" t="s">
        <v>4394</v>
      </c>
    </row>
    <row r="1705" spans="1:6" hidden="1">
      <c r="A1705" s="1659" t="s">
        <v>5386</v>
      </c>
      <c r="B1705" s="1653" t="s">
        <v>5387</v>
      </c>
      <c r="C1705" s="1659" t="s">
        <v>5388</v>
      </c>
      <c r="D1705" s="54" t="s">
        <v>2439</v>
      </c>
      <c r="F1705" s="54" t="s">
        <v>4394</v>
      </c>
    </row>
    <row r="1706" spans="1:6" hidden="1">
      <c r="A1706" s="1659" t="s">
        <v>5389</v>
      </c>
      <c r="B1706" s="1653" t="s">
        <v>5390</v>
      </c>
      <c r="C1706" s="1659" t="s">
        <v>5391</v>
      </c>
      <c r="D1706" s="54" t="s">
        <v>2439</v>
      </c>
      <c r="F1706" s="54" t="s">
        <v>4394</v>
      </c>
    </row>
    <row r="1707" spans="1:6" hidden="1">
      <c r="A1707" s="1659" t="s">
        <v>5392</v>
      </c>
      <c r="B1707" s="1653" t="s">
        <v>5393</v>
      </c>
      <c r="C1707" s="1659" t="s">
        <v>5394</v>
      </c>
      <c r="D1707" s="54" t="s">
        <v>2439</v>
      </c>
      <c r="F1707" s="54" t="s">
        <v>4394</v>
      </c>
    </row>
    <row r="1708" spans="1:6" hidden="1">
      <c r="A1708" s="1659" t="s">
        <v>5395</v>
      </c>
      <c r="B1708" s="1653" t="s">
        <v>5396</v>
      </c>
      <c r="C1708" s="1659" t="s">
        <v>5397</v>
      </c>
      <c r="D1708" s="54" t="s">
        <v>2439</v>
      </c>
      <c r="F1708" s="54" t="s">
        <v>4394</v>
      </c>
    </row>
    <row r="1709" spans="1:6" hidden="1">
      <c r="A1709" s="1659" t="s">
        <v>5398</v>
      </c>
      <c r="B1709" s="1653" t="s">
        <v>5399</v>
      </c>
      <c r="C1709" s="1659" t="s">
        <v>5400</v>
      </c>
      <c r="D1709" s="54" t="s">
        <v>2439</v>
      </c>
      <c r="F1709" s="54" t="s">
        <v>4394</v>
      </c>
    </row>
    <row r="1710" spans="1:6" hidden="1">
      <c r="A1710" s="1659" t="s">
        <v>5401</v>
      </c>
      <c r="B1710" s="1653" t="s">
        <v>5402</v>
      </c>
      <c r="C1710" s="1659" t="s">
        <v>5403</v>
      </c>
      <c r="D1710" s="54" t="s">
        <v>2439</v>
      </c>
      <c r="F1710" s="54" t="s">
        <v>4394</v>
      </c>
    </row>
    <row r="1711" spans="1:6" hidden="1">
      <c r="A1711" s="1659" t="s">
        <v>5404</v>
      </c>
      <c r="B1711" s="1653" t="s">
        <v>5405</v>
      </c>
      <c r="C1711" s="1659" t="s">
        <v>5406</v>
      </c>
      <c r="D1711" s="54" t="s">
        <v>2439</v>
      </c>
      <c r="F1711" s="54" t="s">
        <v>4394</v>
      </c>
    </row>
    <row r="1712" spans="1:6" hidden="1">
      <c r="A1712" s="1659" t="s">
        <v>5407</v>
      </c>
      <c r="B1712" s="1653" t="s">
        <v>5399</v>
      </c>
      <c r="C1712" s="1659" t="s">
        <v>5408</v>
      </c>
      <c r="D1712" s="54" t="s">
        <v>2439</v>
      </c>
      <c r="F1712" s="54" t="s">
        <v>4394</v>
      </c>
    </row>
    <row r="1713" spans="1:6" hidden="1">
      <c r="A1713" s="1659" t="s">
        <v>5409</v>
      </c>
      <c r="B1713" s="1653" t="s">
        <v>5410</v>
      </c>
      <c r="C1713" s="1659" t="s">
        <v>5411</v>
      </c>
      <c r="D1713" s="54" t="s">
        <v>2439</v>
      </c>
      <c r="F1713" s="54" t="s">
        <v>4394</v>
      </c>
    </row>
    <row r="1714" spans="1:6" hidden="1">
      <c r="A1714" s="1659" t="s">
        <v>5412</v>
      </c>
      <c r="B1714" s="1653" t="s">
        <v>5413</v>
      </c>
      <c r="C1714" s="1659" t="s">
        <v>5414</v>
      </c>
      <c r="D1714" s="54" t="s">
        <v>2439</v>
      </c>
      <c r="F1714" s="54" t="s">
        <v>4394</v>
      </c>
    </row>
    <row r="1715" spans="1:6" hidden="1">
      <c r="A1715" s="1659" t="s">
        <v>5415</v>
      </c>
      <c r="B1715" s="1653" t="s">
        <v>5416</v>
      </c>
      <c r="C1715" s="1659" t="s">
        <v>5417</v>
      </c>
      <c r="D1715" s="54" t="s">
        <v>2439</v>
      </c>
      <c r="F1715" s="54" t="s">
        <v>4394</v>
      </c>
    </row>
    <row r="1716" spans="1:6" hidden="1">
      <c r="A1716" s="1659" t="s">
        <v>5418</v>
      </c>
      <c r="B1716" s="1653" t="s">
        <v>5419</v>
      </c>
      <c r="C1716" s="1659" t="s">
        <v>5420</v>
      </c>
      <c r="D1716" s="54" t="s">
        <v>2439</v>
      </c>
      <c r="F1716" s="54" t="s">
        <v>4394</v>
      </c>
    </row>
    <row r="1717" spans="1:6" hidden="1">
      <c r="A1717" s="1659" t="s">
        <v>5423</v>
      </c>
      <c r="B1717" s="1653" t="s">
        <v>2265</v>
      </c>
      <c r="C1717" s="1659" t="s">
        <v>5424</v>
      </c>
      <c r="D1717" s="54" t="s">
        <v>2439</v>
      </c>
      <c r="F1717" s="54" t="s">
        <v>4394</v>
      </c>
    </row>
    <row r="1718" spans="1:6" hidden="1">
      <c r="A1718" s="1659" t="s">
        <v>5425</v>
      </c>
      <c r="B1718" s="1653" t="s">
        <v>5426</v>
      </c>
      <c r="C1718" s="1659" t="s">
        <v>5427</v>
      </c>
      <c r="D1718" s="54" t="s">
        <v>2248</v>
      </c>
      <c r="F1718" s="54" t="s">
        <v>4394</v>
      </c>
    </row>
    <row r="1719" spans="1:6" hidden="1">
      <c r="A1719" s="1659" t="s">
        <v>5432</v>
      </c>
      <c r="B1719" s="1653" t="s">
        <v>5433</v>
      </c>
      <c r="C1719" s="1659" t="s">
        <v>5434</v>
      </c>
      <c r="D1719" s="54" t="s">
        <v>2439</v>
      </c>
      <c r="F1719" s="54" t="s">
        <v>4394</v>
      </c>
    </row>
    <row r="1720" spans="1:6" hidden="1">
      <c r="A1720" s="1659" t="s">
        <v>5435</v>
      </c>
      <c r="B1720" s="1653" t="s">
        <v>5436</v>
      </c>
      <c r="C1720" s="1659" t="s">
        <v>5437</v>
      </c>
      <c r="D1720" s="54" t="s">
        <v>2439</v>
      </c>
      <c r="F1720" s="54" t="s">
        <v>4394</v>
      </c>
    </row>
    <row r="1721" spans="1:6" hidden="1">
      <c r="A1721" s="1659" t="s">
        <v>5438</v>
      </c>
      <c r="B1721" s="1653" t="s">
        <v>5439</v>
      </c>
      <c r="C1721" s="1659" t="s">
        <v>5440</v>
      </c>
      <c r="D1721" s="54" t="s">
        <v>2439</v>
      </c>
      <c r="F1721" s="54" t="s">
        <v>4394</v>
      </c>
    </row>
    <row r="1722" spans="1:6" hidden="1">
      <c r="A1722" s="1659" t="s">
        <v>5441</v>
      </c>
      <c r="B1722" s="1653" t="s">
        <v>5442</v>
      </c>
      <c r="C1722" s="1659" t="s">
        <v>5443</v>
      </c>
      <c r="D1722" s="54" t="s">
        <v>2439</v>
      </c>
      <c r="F1722" s="54" t="s">
        <v>4394</v>
      </c>
    </row>
    <row r="1723" spans="1:6" hidden="1">
      <c r="A1723" s="1659" t="s">
        <v>5445</v>
      </c>
      <c r="B1723" s="1653" t="s">
        <v>5431</v>
      </c>
      <c r="C1723" s="1659" t="s">
        <v>5446</v>
      </c>
      <c r="D1723" s="54" t="s">
        <v>2439</v>
      </c>
      <c r="F1723" s="54" t="s">
        <v>4394</v>
      </c>
    </row>
    <row r="1724" spans="1:6" hidden="1">
      <c r="A1724" s="1659" t="s">
        <v>5447</v>
      </c>
      <c r="B1724" s="1653" t="s">
        <v>5433</v>
      </c>
      <c r="C1724" s="1659" t="s">
        <v>5448</v>
      </c>
      <c r="D1724" s="54" t="s">
        <v>2439</v>
      </c>
      <c r="F1724" s="54" t="s">
        <v>4394</v>
      </c>
    </row>
    <row r="1725" spans="1:6" hidden="1">
      <c r="A1725" s="1659" t="s">
        <v>5449</v>
      </c>
      <c r="B1725" s="1653" t="s">
        <v>5450</v>
      </c>
      <c r="C1725" s="1659" t="s">
        <v>5451</v>
      </c>
      <c r="D1725" s="54" t="s">
        <v>2439</v>
      </c>
      <c r="F1725" s="54" t="s">
        <v>4394</v>
      </c>
    </row>
    <row r="1726" spans="1:6" hidden="1">
      <c r="A1726" s="1659" t="s">
        <v>5452</v>
      </c>
      <c r="B1726" s="1653" t="s">
        <v>5453</v>
      </c>
      <c r="C1726" s="1659" t="s">
        <v>5454</v>
      </c>
      <c r="D1726" s="54" t="s">
        <v>2439</v>
      </c>
      <c r="F1726" s="54" t="s">
        <v>4394</v>
      </c>
    </row>
    <row r="1727" spans="1:6" hidden="1">
      <c r="A1727" s="1659" t="s">
        <v>5455</v>
      </c>
      <c r="C1727" s="1659" t="s">
        <v>5456</v>
      </c>
      <c r="D1727" s="54" t="s">
        <v>2555</v>
      </c>
      <c r="F1727" s="54" t="s">
        <v>4394</v>
      </c>
    </row>
    <row r="1728" spans="1:6" hidden="1">
      <c r="A1728" s="1659" t="s">
        <v>5457</v>
      </c>
      <c r="C1728" s="1659" t="s">
        <v>5458</v>
      </c>
      <c r="D1728" s="54" t="s">
        <v>2555</v>
      </c>
      <c r="F1728" s="54" t="s">
        <v>4394</v>
      </c>
    </row>
    <row r="1729" spans="1:6" hidden="1">
      <c r="A1729" s="1659" t="s">
        <v>5460</v>
      </c>
      <c r="B1729" s="1653" t="s">
        <v>5461</v>
      </c>
      <c r="C1729" s="1659" t="s">
        <v>3178</v>
      </c>
      <c r="D1729" s="54" t="s">
        <v>2555</v>
      </c>
      <c r="F1729" s="54" t="s">
        <v>4394</v>
      </c>
    </row>
    <row r="1730" spans="1:6" hidden="1">
      <c r="A1730" s="1659" t="s">
        <v>5462</v>
      </c>
      <c r="B1730" s="1653">
        <v>74316</v>
      </c>
      <c r="C1730" s="1659" t="s">
        <v>5463</v>
      </c>
      <c r="D1730" s="54" t="s">
        <v>2555</v>
      </c>
      <c r="F1730" s="54" t="s">
        <v>4394</v>
      </c>
    </row>
    <row r="1731" spans="1:6" hidden="1">
      <c r="A1731" s="1659" t="s">
        <v>5464</v>
      </c>
      <c r="B1731" s="1653" t="s">
        <v>5465</v>
      </c>
      <c r="C1731" s="1659" t="s">
        <v>5466</v>
      </c>
      <c r="D1731" s="54" t="s">
        <v>2555</v>
      </c>
      <c r="F1731" s="54" t="s">
        <v>4394</v>
      </c>
    </row>
    <row r="1732" spans="1:6" hidden="1">
      <c r="A1732" s="1659" t="s">
        <v>5467</v>
      </c>
      <c r="B1732" s="1653" t="s">
        <v>1778</v>
      </c>
      <c r="C1732" s="1659" t="s">
        <v>5468</v>
      </c>
      <c r="D1732" s="54" t="s">
        <v>2555</v>
      </c>
      <c r="F1732" s="54" t="s">
        <v>4394</v>
      </c>
    </row>
    <row r="1733" spans="1:6" hidden="1">
      <c r="A1733" s="1659" t="s">
        <v>5469</v>
      </c>
      <c r="B1733" s="1653">
        <v>74316</v>
      </c>
      <c r="C1733" s="1659" t="s">
        <v>5463</v>
      </c>
      <c r="D1733" s="54" t="s">
        <v>2555</v>
      </c>
      <c r="F1733" s="54" t="s">
        <v>4394</v>
      </c>
    </row>
    <row r="1734" spans="1:6" hidden="1">
      <c r="A1734" s="1659" t="s">
        <v>5475</v>
      </c>
      <c r="B1734" s="1653" t="s">
        <v>5476</v>
      </c>
      <c r="C1734" s="1659" t="s">
        <v>5477</v>
      </c>
      <c r="D1734" s="54" t="s">
        <v>856</v>
      </c>
      <c r="F1734" s="54" t="s">
        <v>4394</v>
      </c>
    </row>
    <row r="1735" spans="1:6" hidden="1">
      <c r="A1735" s="1659" t="s">
        <v>5480</v>
      </c>
      <c r="B1735" s="1653" t="s">
        <v>5481</v>
      </c>
      <c r="C1735" s="1659" t="s">
        <v>5482</v>
      </c>
      <c r="D1735" s="54" t="s">
        <v>1960</v>
      </c>
      <c r="F1735" s="54">
        <v>50</v>
      </c>
    </row>
    <row r="1736" spans="1:6" hidden="1">
      <c r="A1736" s="1659" t="s">
        <v>5483</v>
      </c>
      <c r="C1736" s="1659" t="s">
        <v>5484</v>
      </c>
      <c r="D1736" s="54" t="s">
        <v>856</v>
      </c>
      <c r="F1736" s="54">
        <v>3000</v>
      </c>
    </row>
    <row r="1737" spans="1:6" hidden="1">
      <c r="A1737" s="1659" t="s">
        <v>5485</v>
      </c>
      <c r="C1737" s="1659" t="s">
        <v>5486</v>
      </c>
      <c r="D1737" s="54" t="s">
        <v>856</v>
      </c>
      <c r="F1737" s="54">
        <v>3000</v>
      </c>
    </row>
    <row r="1738" spans="1:6" hidden="1">
      <c r="A1738" s="1659" t="s">
        <v>5487</v>
      </c>
      <c r="B1738" s="1653" t="s">
        <v>5488</v>
      </c>
      <c r="C1738" s="1659" t="s">
        <v>5489</v>
      </c>
      <c r="D1738" s="54" t="s">
        <v>856</v>
      </c>
      <c r="F1738" s="54">
        <v>3000</v>
      </c>
    </row>
    <row r="1739" spans="1:6" hidden="1">
      <c r="A1739" s="1659" t="s">
        <v>5494</v>
      </c>
      <c r="B1739" s="1653" t="s">
        <v>5495</v>
      </c>
      <c r="C1739" s="1659" t="s">
        <v>3215</v>
      </c>
      <c r="D1739" s="54" t="s">
        <v>2037</v>
      </c>
      <c r="F1739" s="54" t="s">
        <v>4394</v>
      </c>
    </row>
    <row r="1740" spans="1:6" hidden="1">
      <c r="A1740" s="1659" t="s">
        <v>5496</v>
      </c>
      <c r="B1740" s="1653" t="s">
        <v>5490</v>
      </c>
      <c r="C1740" s="1659" t="s">
        <v>2563</v>
      </c>
      <c r="D1740" s="54" t="s">
        <v>2037</v>
      </c>
      <c r="F1740" s="54" t="s">
        <v>4394</v>
      </c>
    </row>
    <row r="1741" spans="1:6" hidden="1">
      <c r="A1741" s="1659" t="s">
        <v>5497</v>
      </c>
      <c r="B1741" s="1653" t="s">
        <v>5491</v>
      </c>
      <c r="C1741" s="1659" t="s">
        <v>5498</v>
      </c>
      <c r="D1741" s="54" t="s">
        <v>2037</v>
      </c>
      <c r="F1741" s="54" t="s">
        <v>4394</v>
      </c>
    </row>
    <row r="1742" spans="1:6" hidden="1">
      <c r="A1742" s="1659" t="s">
        <v>5499</v>
      </c>
      <c r="B1742" s="1653" t="s">
        <v>5492</v>
      </c>
      <c r="C1742" s="1659" t="s">
        <v>4324</v>
      </c>
      <c r="D1742" s="54" t="s">
        <v>2037</v>
      </c>
      <c r="F1742" s="54" t="s">
        <v>4394</v>
      </c>
    </row>
    <row r="1743" spans="1:6" hidden="1">
      <c r="A1743" s="1659" t="s">
        <v>5500</v>
      </c>
      <c r="B1743" s="1653" t="s">
        <v>5493</v>
      </c>
      <c r="C1743" s="1659" t="s">
        <v>5501</v>
      </c>
      <c r="D1743" s="54" t="s">
        <v>2037</v>
      </c>
      <c r="F1743" s="54" t="s">
        <v>4394</v>
      </c>
    </row>
    <row r="1744" spans="1:6" hidden="1">
      <c r="A1744" s="1659" t="s">
        <v>5502</v>
      </c>
      <c r="B1744" s="1653" t="s">
        <v>5495</v>
      </c>
      <c r="C1744" s="1659" t="s">
        <v>5503</v>
      </c>
      <c r="D1744" s="54" t="s">
        <v>2037</v>
      </c>
      <c r="F1744" s="54" t="s">
        <v>4394</v>
      </c>
    </row>
    <row r="1745" spans="1:6" hidden="1">
      <c r="A1745" s="1659" t="s">
        <v>5504</v>
      </c>
      <c r="B1745" s="1653" t="s">
        <v>5490</v>
      </c>
      <c r="C1745" s="1659" t="s">
        <v>5505</v>
      </c>
      <c r="D1745" s="54" t="s">
        <v>2037</v>
      </c>
      <c r="F1745" s="54" t="s">
        <v>4394</v>
      </c>
    </row>
    <row r="1746" spans="1:6" hidden="1">
      <c r="A1746" s="1659" t="s">
        <v>5506</v>
      </c>
      <c r="B1746" s="1653" t="s">
        <v>5491</v>
      </c>
      <c r="C1746" s="1659" t="s">
        <v>5507</v>
      </c>
      <c r="D1746" s="54" t="s">
        <v>2037</v>
      </c>
      <c r="F1746" s="54" t="s">
        <v>4394</v>
      </c>
    </row>
    <row r="1747" spans="1:6" hidden="1">
      <c r="A1747" s="1659" t="s">
        <v>5508</v>
      </c>
      <c r="B1747" s="1653" t="s">
        <v>5492</v>
      </c>
      <c r="C1747" s="1659" t="s">
        <v>5509</v>
      </c>
      <c r="D1747" s="54" t="s">
        <v>2037</v>
      </c>
      <c r="F1747" s="54" t="s">
        <v>4394</v>
      </c>
    </row>
    <row r="1748" spans="1:6" hidden="1">
      <c r="A1748" s="1659" t="s">
        <v>5510</v>
      </c>
      <c r="B1748" s="1653" t="s">
        <v>5493</v>
      </c>
      <c r="C1748" s="1659" t="s">
        <v>5511</v>
      </c>
      <c r="D1748" s="54" t="s">
        <v>2037</v>
      </c>
      <c r="F1748" s="54" t="s">
        <v>4394</v>
      </c>
    </row>
    <row r="1749" spans="1:6" hidden="1">
      <c r="A1749" s="1659" t="s">
        <v>5512</v>
      </c>
      <c r="B1749" s="1653" t="s">
        <v>5495</v>
      </c>
      <c r="C1749" s="1659" t="s">
        <v>5513</v>
      </c>
      <c r="D1749" s="54" t="s">
        <v>2037</v>
      </c>
      <c r="F1749" s="54" t="s">
        <v>4394</v>
      </c>
    </row>
    <row r="1750" spans="1:6" hidden="1">
      <c r="A1750" s="1659" t="s">
        <v>5519</v>
      </c>
      <c r="B1750" s="1653" t="s">
        <v>5514</v>
      </c>
      <c r="C1750" s="1659" t="s">
        <v>5520</v>
      </c>
      <c r="D1750" s="54" t="s">
        <v>2037</v>
      </c>
      <c r="F1750" s="54" t="s">
        <v>4394</v>
      </c>
    </row>
    <row r="1751" spans="1:6" hidden="1">
      <c r="A1751" s="1659" t="s">
        <v>5521</v>
      </c>
      <c r="B1751" s="1653" t="s">
        <v>5515</v>
      </c>
      <c r="C1751" s="1659" t="s">
        <v>5522</v>
      </c>
      <c r="D1751" s="54" t="s">
        <v>2037</v>
      </c>
      <c r="F1751" s="54" t="s">
        <v>4394</v>
      </c>
    </row>
    <row r="1752" spans="1:6" hidden="1">
      <c r="A1752" s="1659" t="s">
        <v>5523</v>
      </c>
      <c r="B1752" s="1653" t="s">
        <v>5516</v>
      </c>
      <c r="C1752" s="1659" t="s">
        <v>5524</v>
      </c>
      <c r="D1752" s="54" t="s">
        <v>2037</v>
      </c>
      <c r="F1752" s="54" t="s">
        <v>4394</v>
      </c>
    </row>
    <row r="1753" spans="1:6" hidden="1">
      <c r="A1753" s="1659" t="s">
        <v>5525</v>
      </c>
      <c r="B1753" s="1653" t="s">
        <v>5517</v>
      </c>
      <c r="C1753" s="1659" t="s">
        <v>5526</v>
      </c>
      <c r="D1753" s="54" t="s">
        <v>2037</v>
      </c>
      <c r="F1753" s="54" t="s">
        <v>4394</v>
      </c>
    </row>
    <row r="1754" spans="1:6" hidden="1">
      <c r="A1754" s="1659" t="s">
        <v>5527</v>
      </c>
      <c r="B1754" s="1653" t="s">
        <v>5518</v>
      </c>
      <c r="C1754" s="1659" t="s">
        <v>5528</v>
      </c>
      <c r="D1754" s="54" t="s">
        <v>2037</v>
      </c>
      <c r="F1754" s="54" t="s">
        <v>4394</v>
      </c>
    </row>
    <row r="1755" spans="1:6" hidden="1">
      <c r="A1755" s="1659" t="s">
        <v>5529</v>
      </c>
      <c r="B1755" s="1653" t="s">
        <v>5530</v>
      </c>
      <c r="C1755" s="1659" t="s">
        <v>5531</v>
      </c>
      <c r="D1755" s="54" t="s">
        <v>2037</v>
      </c>
      <c r="F1755" s="54" t="s">
        <v>4394</v>
      </c>
    </row>
    <row r="1756" spans="1:6" hidden="1">
      <c r="A1756" s="1659" t="s">
        <v>5532</v>
      </c>
      <c r="B1756" s="1653" t="s">
        <v>5533</v>
      </c>
      <c r="C1756" s="1659" t="s">
        <v>5534</v>
      </c>
      <c r="D1756" s="54" t="s">
        <v>2037</v>
      </c>
      <c r="F1756" s="54" t="s">
        <v>4394</v>
      </c>
    </row>
    <row r="1757" spans="1:6" hidden="1">
      <c r="A1757" s="1659" t="s">
        <v>5535</v>
      </c>
      <c r="B1757" s="1653" t="s">
        <v>5536</v>
      </c>
      <c r="C1757" s="1659" t="s">
        <v>5537</v>
      </c>
      <c r="D1757" s="54" t="s">
        <v>2037</v>
      </c>
      <c r="F1757" s="54" t="s">
        <v>4394</v>
      </c>
    </row>
    <row r="1758" spans="1:6" hidden="1">
      <c r="A1758" s="1659" t="s">
        <v>5538</v>
      </c>
      <c r="B1758" s="1653" t="s">
        <v>5539</v>
      </c>
      <c r="C1758" s="1659" t="s">
        <v>5540</v>
      </c>
      <c r="D1758" s="54" t="s">
        <v>2037</v>
      </c>
      <c r="F1758" s="54" t="s">
        <v>4394</v>
      </c>
    </row>
    <row r="1759" spans="1:6" hidden="1">
      <c r="A1759" s="1659" t="s">
        <v>5541</v>
      </c>
      <c r="B1759" s="1653" t="s">
        <v>5542</v>
      </c>
      <c r="C1759" s="1659" t="s">
        <v>5543</v>
      </c>
      <c r="D1759" s="54" t="s">
        <v>2037</v>
      </c>
      <c r="F1759" s="54" t="s">
        <v>4394</v>
      </c>
    </row>
    <row r="1760" spans="1:6" hidden="1">
      <c r="A1760" s="1659" t="s">
        <v>5544</v>
      </c>
      <c r="B1760" s="1653" t="s">
        <v>478</v>
      </c>
      <c r="C1760" s="1659" t="s">
        <v>5545</v>
      </c>
      <c r="D1760" s="54" t="s">
        <v>2037</v>
      </c>
      <c r="F1760" s="54" t="s">
        <v>4394</v>
      </c>
    </row>
    <row r="1761" spans="1:6" hidden="1">
      <c r="A1761" s="1659" t="s">
        <v>5549</v>
      </c>
      <c r="B1761" s="1653" t="s">
        <v>5550</v>
      </c>
      <c r="C1761" s="1659" t="s">
        <v>5551</v>
      </c>
      <c r="D1761" s="54" t="s">
        <v>2532</v>
      </c>
      <c r="F1761" s="54" t="s">
        <v>4394</v>
      </c>
    </row>
    <row r="1762" spans="1:6" hidden="1">
      <c r="A1762" s="1659" t="s">
        <v>5553</v>
      </c>
      <c r="B1762" s="1653">
        <v>73213</v>
      </c>
      <c r="C1762" s="1659" t="s">
        <v>5554</v>
      </c>
      <c r="D1762" s="54" t="s">
        <v>2532</v>
      </c>
      <c r="F1762" s="54" t="s">
        <v>4394</v>
      </c>
    </row>
    <row r="1763" spans="1:6" hidden="1">
      <c r="A1763" s="1659" t="s">
        <v>5555</v>
      </c>
      <c r="B1763" s="1653">
        <v>73413</v>
      </c>
      <c r="C1763" s="1659" t="s">
        <v>5556</v>
      </c>
      <c r="D1763" s="54" t="s">
        <v>2532</v>
      </c>
      <c r="F1763" s="54" t="s">
        <v>4394</v>
      </c>
    </row>
    <row r="1764" spans="1:6" hidden="1">
      <c r="A1764" s="1659" t="s">
        <v>5557</v>
      </c>
      <c r="B1764" s="1653" t="s">
        <v>5558</v>
      </c>
      <c r="C1764" s="1659" t="s">
        <v>5559</v>
      </c>
      <c r="D1764" s="54" t="s">
        <v>2439</v>
      </c>
      <c r="F1764" s="54" t="s">
        <v>4394</v>
      </c>
    </row>
    <row r="1765" spans="1:6" hidden="1">
      <c r="A1765" s="1659" t="s">
        <v>5561</v>
      </c>
      <c r="B1765" s="1653" t="s">
        <v>5562</v>
      </c>
      <c r="C1765" s="1659" t="s">
        <v>5563</v>
      </c>
      <c r="D1765" s="54" t="s">
        <v>2555</v>
      </c>
      <c r="F1765" s="54" t="s">
        <v>4394</v>
      </c>
    </row>
    <row r="1766" spans="1:6" hidden="1">
      <c r="A1766" s="1659" t="s">
        <v>5565</v>
      </c>
      <c r="B1766" s="1653" t="s">
        <v>5564</v>
      </c>
      <c r="C1766" s="1659" t="s">
        <v>5566</v>
      </c>
      <c r="D1766" s="54" t="s">
        <v>2439</v>
      </c>
      <c r="F1766" s="54" t="s">
        <v>4394</v>
      </c>
    </row>
    <row r="1767" spans="1:6" hidden="1">
      <c r="C1767" s="1659" t="s">
        <v>5570</v>
      </c>
      <c r="F1767" s="54">
        <v>3000</v>
      </c>
    </row>
    <row r="1768" spans="1:6" hidden="1">
      <c r="A1768" s="1659" t="s">
        <v>5575</v>
      </c>
      <c r="B1768" s="1653" t="s">
        <v>5576</v>
      </c>
      <c r="C1768" s="1659" t="s">
        <v>5577</v>
      </c>
      <c r="D1768" s="54" t="s">
        <v>1823</v>
      </c>
      <c r="F1768" s="54" t="s">
        <v>4394</v>
      </c>
    </row>
    <row r="1769" spans="1:6" hidden="1">
      <c r="A1769" s="1659" t="s">
        <v>5578</v>
      </c>
      <c r="B1769" s="1653" t="s">
        <v>435</v>
      </c>
      <c r="C1769" s="1659" t="s">
        <v>5579</v>
      </c>
      <c r="D1769" s="54" t="s">
        <v>2555</v>
      </c>
      <c r="F1769" s="54" t="s">
        <v>4394</v>
      </c>
    </row>
    <row r="1770" spans="1:6" hidden="1">
      <c r="A1770" s="1659" t="s">
        <v>5582</v>
      </c>
      <c r="F1770" s="54" t="s">
        <v>4394</v>
      </c>
    </row>
    <row r="1771" spans="1:6" hidden="1">
      <c r="A1771" s="1659" t="s">
        <v>5595</v>
      </c>
      <c r="B1771" s="1653" t="s">
        <v>5596</v>
      </c>
      <c r="C1771" s="1659" t="s">
        <v>5597</v>
      </c>
      <c r="D1771" s="54" t="s">
        <v>3370</v>
      </c>
      <c r="F1771" s="54" t="s">
        <v>4394</v>
      </c>
    </row>
    <row r="1772" spans="1:6" hidden="1">
      <c r="A1772" s="1659" t="s">
        <v>5603</v>
      </c>
      <c r="B1772" s="1653" t="s">
        <v>5602</v>
      </c>
      <c r="C1772" s="1659" t="s">
        <v>1194</v>
      </c>
      <c r="D1772" s="54" t="s">
        <v>2555</v>
      </c>
      <c r="F1772" s="54" t="s">
        <v>4394</v>
      </c>
    </row>
    <row r="1773" spans="1:6" hidden="1">
      <c r="A1773" s="1659" t="s">
        <v>5604</v>
      </c>
      <c r="B1773" s="1653" t="s">
        <v>5602</v>
      </c>
      <c r="C1773" s="1659" t="s">
        <v>1193</v>
      </c>
      <c r="D1773" s="54" t="s">
        <v>2555</v>
      </c>
      <c r="F1773" s="54" t="s">
        <v>4394</v>
      </c>
    </row>
    <row r="1774" spans="1:6" hidden="1">
      <c r="A1774" s="1659" t="s">
        <v>5605</v>
      </c>
      <c r="C1774" s="1659" t="s">
        <v>5606</v>
      </c>
      <c r="D1774" s="54" t="s">
        <v>2555</v>
      </c>
      <c r="F1774" s="54" t="s">
        <v>4394</v>
      </c>
    </row>
    <row r="1775" spans="1:6" hidden="1">
      <c r="A1775" s="1659" t="s">
        <v>5607</v>
      </c>
      <c r="C1775" s="1659" t="s">
        <v>5608</v>
      </c>
      <c r="D1775" s="54" t="s">
        <v>2555</v>
      </c>
      <c r="F1775" s="54" t="s">
        <v>4394</v>
      </c>
    </row>
    <row r="1776" spans="1:6" hidden="1">
      <c r="A1776" s="1659" t="s">
        <v>5609</v>
      </c>
      <c r="C1776" s="1659" t="s">
        <v>5610</v>
      </c>
      <c r="D1776" s="54" t="s">
        <v>2555</v>
      </c>
      <c r="F1776" s="54" t="s">
        <v>4394</v>
      </c>
    </row>
    <row r="1777" spans="1:6" hidden="1">
      <c r="A1777" s="1659" t="s">
        <v>5612</v>
      </c>
      <c r="B1777" s="1653" t="s">
        <v>5613</v>
      </c>
      <c r="C1777" s="1659" t="s">
        <v>5614</v>
      </c>
      <c r="D1777" s="54" t="s">
        <v>3370</v>
      </c>
      <c r="F1777" s="54" t="s">
        <v>4394</v>
      </c>
    </row>
    <row r="1778" spans="1:6" hidden="1">
      <c r="A1778" s="1659" t="s">
        <v>5615</v>
      </c>
      <c r="B1778" s="1653" t="s">
        <v>1025</v>
      </c>
      <c r="C1778" s="1659" t="s">
        <v>5616</v>
      </c>
      <c r="D1778" s="54" t="s">
        <v>3370</v>
      </c>
      <c r="F1778" s="54" t="s">
        <v>4394</v>
      </c>
    </row>
    <row r="1779" spans="1:6" hidden="1">
      <c r="A1779" s="1659" t="s">
        <v>5617</v>
      </c>
      <c r="B1779" s="1653" t="s">
        <v>1025</v>
      </c>
      <c r="C1779" s="1659" t="s">
        <v>5618</v>
      </c>
      <c r="D1779" s="54" t="s">
        <v>3370</v>
      </c>
      <c r="F1779" s="54">
        <v>3000</v>
      </c>
    </row>
    <row r="1780" spans="1:6" hidden="1">
      <c r="A1780" s="1659" t="s">
        <v>5622</v>
      </c>
      <c r="B1780" s="1653" t="s">
        <v>5619</v>
      </c>
      <c r="C1780" s="1659" t="s">
        <v>5623</v>
      </c>
      <c r="D1780" s="54" t="s">
        <v>3370</v>
      </c>
      <c r="F1780" s="54" t="s">
        <v>4394</v>
      </c>
    </row>
    <row r="1781" spans="1:6" hidden="1">
      <c r="A1781" s="1659" t="s">
        <v>5624</v>
      </c>
      <c r="B1781" s="1653" t="s">
        <v>1025</v>
      </c>
      <c r="C1781" s="1659" t="s">
        <v>5625</v>
      </c>
      <c r="D1781" s="54" t="s">
        <v>3370</v>
      </c>
      <c r="F1781" s="54" t="s">
        <v>4394</v>
      </c>
    </row>
    <row r="1782" spans="1:6" hidden="1">
      <c r="A1782" s="1659" t="s">
        <v>5626</v>
      </c>
      <c r="B1782" s="1653" t="s">
        <v>1388</v>
      </c>
      <c r="C1782" s="1659" t="s">
        <v>5627</v>
      </c>
      <c r="D1782" s="54" t="s">
        <v>3370</v>
      </c>
      <c r="F1782" s="54" t="s">
        <v>4394</v>
      </c>
    </row>
    <row r="1783" spans="1:6" hidden="1">
      <c r="A1783" s="1659" t="s">
        <v>5628</v>
      </c>
      <c r="B1783" s="1653" t="s">
        <v>5629</v>
      </c>
      <c r="C1783" s="1659" t="s">
        <v>5630</v>
      </c>
      <c r="D1783" s="54" t="s">
        <v>3370</v>
      </c>
      <c r="F1783" s="54" t="s">
        <v>4394</v>
      </c>
    </row>
    <row r="1784" spans="1:6" hidden="1">
      <c r="A1784" s="1659" t="s">
        <v>5631</v>
      </c>
      <c r="B1784" s="1653" t="s">
        <v>5629</v>
      </c>
      <c r="C1784" s="1659" t="s">
        <v>5632</v>
      </c>
      <c r="D1784" s="54" t="s">
        <v>3370</v>
      </c>
      <c r="F1784" s="54" t="s">
        <v>4394</v>
      </c>
    </row>
    <row r="1785" spans="1:6" hidden="1">
      <c r="A1785" s="1659" t="s">
        <v>5634</v>
      </c>
      <c r="B1785" s="1653" t="s">
        <v>5633</v>
      </c>
      <c r="C1785" s="1659" t="s">
        <v>5635</v>
      </c>
      <c r="D1785" s="54" t="s">
        <v>2555</v>
      </c>
      <c r="F1785" s="54">
        <v>50</v>
      </c>
    </row>
    <row r="1786" spans="1:6" hidden="1">
      <c r="A1786" s="1659" t="s">
        <v>5636</v>
      </c>
      <c r="B1786" s="1653" t="s">
        <v>5633</v>
      </c>
      <c r="C1786" s="1659" t="s">
        <v>5637</v>
      </c>
      <c r="D1786" s="54" t="s">
        <v>2555</v>
      </c>
      <c r="F1786" s="54">
        <v>50</v>
      </c>
    </row>
    <row r="1787" spans="1:6" hidden="1">
      <c r="A1787" s="1659" t="s">
        <v>5638</v>
      </c>
      <c r="B1787" s="1653" t="s">
        <v>5633</v>
      </c>
      <c r="C1787" s="1659" t="s">
        <v>5639</v>
      </c>
      <c r="D1787" s="54" t="s">
        <v>2555</v>
      </c>
      <c r="F1787" s="54">
        <v>50</v>
      </c>
    </row>
    <row r="1788" spans="1:6" hidden="1">
      <c r="A1788" s="1659" t="s">
        <v>5641</v>
      </c>
      <c r="B1788" s="1653" t="s">
        <v>5633</v>
      </c>
      <c r="C1788" s="1659" t="s">
        <v>5642</v>
      </c>
      <c r="D1788" s="54" t="s">
        <v>2555</v>
      </c>
      <c r="F1788" s="54">
        <v>50</v>
      </c>
    </row>
    <row r="1789" spans="1:6" hidden="1">
      <c r="A1789" s="1659" t="s">
        <v>5643</v>
      </c>
      <c r="B1789" s="1653" t="s">
        <v>5633</v>
      </c>
      <c r="C1789" s="1659" t="s">
        <v>5644</v>
      </c>
      <c r="D1789" s="54" t="s">
        <v>2555</v>
      </c>
      <c r="F1789" s="54">
        <v>50</v>
      </c>
    </row>
    <row r="1790" spans="1:6" hidden="1">
      <c r="A1790" s="1659" t="s">
        <v>5645</v>
      </c>
      <c r="B1790" s="1653" t="s">
        <v>5633</v>
      </c>
      <c r="C1790" s="1659" t="s">
        <v>5646</v>
      </c>
      <c r="D1790" s="54" t="s">
        <v>2555</v>
      </c>
      <c r="F1790" s="54">
        <v>50</v>
      </c>
    </row>
    <row r="1791" spans="1:6" hidden="1">
      <c r="A1791" s="1659" t="s">
        <v>5647</v>
      </c>
      <c r="B1791" s="1653" t="s">
        <v>5633</v>
      </c>
      <c r="C1791" s="1659" t="s">
        <v>5648</v>
      </c>
      <c r="D1791" s="54" t="s">
        <v>2555</v>
      </c>
      <c r="F1791" s="54">
        <v>50</v>
      </c>
    </row>
    <row r="1792" spans="1:6" hidden="1">
      <c r="A1792" s="1659" t="s">
        <v>5649</v>
      </c>
      <c r="B1792" s="1653" t="s">
        <v>5633</v>
      </c>
      <c r="C1792" s="1659" t="s">
        <v>5650</v>
      </c>
      <c r="D1792" s="54" t="s">
        <v>2555</v>
      </c>
      <c r="F1792" s="54">
        <v>50</v>
      </c>
    </row>
    <row r="1793" spans="1:6" hidden="1">
      <c r="A1793" s="1659" t="s">
        <v>5651</v>
      </c>
      <c r="B1793" s="1653" t="s">
        <v>5633</v>
      </c>
      <c r="C1793" s="1659" t="s">
        <v>5652</v>
      </c>
      <c r="D1793" s="54" t="s">
        <v>2555</v>
      </c>
      <c r="F1793" s="54">
        <v>50</v>
      </c>
    </row>
    <row r="1794" spans="1:6" hidden="1">
      <c r="A1794" s="1659" t="s">
        <v>5653</v>
      </c>
      <c r="B1794" s="1653" t="s">
        <v>5633</v>
      </c>
      <c r="C1794" s="1659" t="s">
        <v>5646</v>
      </c>
      <c r="D1794" s="54" t="s">
        <v>2555</v>
      </c>
      <c r="F1794" s="54">
        <v>50</v>
      </c>
    </row>
    <row r="1795" spans="1:6" hidden="1">
      <c r="A1795" s="1659" t="s">
        <v>5654</v>
      </c>
      <c r="B1795" s="1653" t="s">
        <v>5655</v>
      </c>
      <c r="C1795" s="1659" t="s">
        <v>5656</v>
      </c>
      <c r="D1795" s="54" t="s">
        <v>2555</v>
      </c>
      <c r="F1795" s="54">
        <v>50</v>
      </c>
    </row>
    <row r="1796" spans="1:6" hidden="1">
      <c r="A1796" s="1659" t="s">
        <v>5657</v>
      </c>
      <c r="B1796" s="1653" t="s">
        <v>5633</v>
      </c>
      <c r="C1796" s="1659" t="s">
        <v>5658</v>
      </c>
      <c r="D1796" s="54" t="s">
        <v>2555</v>
      </c>
      <c r="F1796" s="54">
        <v>50</v>
      </c>
    </row>
    <row r="1797" spans="1:6" hidden="1">
      <c r="A1797" s="1659" t="s">
        <v>6442</v>
      </c>
      <c r="B1797" s="1653" t="s">
        <v>5633</v>
      </c>
      <c r="C1797" s="1659" t="s">
        <v>6443</v>
      </c>
      <c r="D1797" s="54" t="s">
        <v>2439</v>
      </c>
      <c r="F1797" s="54">
        <v>2000</v>
      </c>
    </row>
    <row r="1798" spans="1:6" hidden="1">
      <c r="A1798" s="1659" t="s">
        <v>5660</v>
      </c>
      <c r="B1798" s="1653" t="s">
        <v>5633</v>
      </c>
      <c r="C1798" s="1659" t="s">
        <v>5661</v>
      </c>
      <c r="D1798" s="54" t="s">
        <v>2555</v>
      </c>
      <c r="F1798" s="54" t="s">
        <v>4394</v>
      </c>
    </row>
    <row r="1799" spans="1:6" hidden="1">
      <c r="A1799" s="1659" t="s">
        <v>5662</v>
      </c>
      <c r="B1799" s="1653" t="s">
        <v>58</v>
      </c>
      <c r="C1799" s="1659" t="s">
        <v>5663</v>
      </c>
      <c r="D1799" s="54" t="s">
        <v>2555</v>
      </c>
      <c r="F1799" s="54" t="s">
        <v>4394</v>
      </c>
    </row>
    <row r="1800" spans="1:6" hidden="1">
      <c r="A1800" s="1659" t="s">
        <v>5664</v>
      </c>
      <c r="C1800" s="1659" t="s">
        <v>5665</v>
      </c>
      <c r="D1800" s="54" t="s">
        <v>2555</v>
      </c>
      <c r="F1800" s="54" t="s">
        <v>4394</v>
      </c>
    </row>
    <row r="1801" spans="1:6" hidden="1">
      <c r="A1801" s="1659" t="s">
        <v>5666</v>
      </c>
      <c r="C1801" s="1659" t="s">
        <v>5667</v>
      </c>
      <c r="D1801" s="54" t="s">
        <v>2555</v>
      </c>
      <c r="F1801" s="54" t="s">
        <v>4394</v>
      </c>
    </row>
    <row r="1802" spans="1:6" hidden="1">
      <c r="A1802" s="1659" t="s">
        <v>5668</v>
      </c>
      <c r="C1802" s="1659" t="s">
        <v>5669</v>
      </c>
      <c r="D1802" s="54" t="s">
        <v>2555</v>
      </c>
      <c r="F1802" s="54" t="s">
        <v>4394</v>
      </c>
    </row>
    <row r="1803" spans="1:6" hidden="1">
      <c r="A1803" s="1659" t="s">
        <v>5670</v>
      </c>
      <c r="C1803" s="1659" t="s">
        <v>5671</v>
      </c>
      <c r="D1803" s="54" t="s">
        <v>2555</v>
      </c>
      <c r="F1803" s="54" t="s">
        <v>4394</v>
      </c>
    </row>
    <row r="1804" spans="1:6" hidden="1">
      <c r="A1804" s="1659" t="s">
        <v>5672</v>
      </c>
      <c r="C1804" s="1659" t="s">
        <v>5673</v>
      </c>
      <c r="D1804" s="54" t="s">
        <v>2555</v>
      </c>
      <c r="F1804" s="54" t="s">
        <v>4394</v>
      </c>
    </row>
    <row r="1805" spans="1:6" hidden="1">
      <c r="A1805" s="1659" t="s">
        <v>5674</v>
      </c>
      <c r="C1805" s="1659" t="s">
        <v>5675</v>
      </c>
      <c r="D1805" s="54" t="s">
        <v>2555</v>
      </c>
      <c r="F1805" s="54" t="s">
        <v>4394</v>
      </c>
    </row>
    <row r="1806" spans="1:6" hidden="1">
      <c r="A1806" s="1659" t="s">
        <v>5677</v>
      </c>
      <c r="C1806" s="1659" t="s">
        <v>5678</v>
      </c>
      <c r="D1806" s="54" t="s">
        <v>2555</v>
      </c>
      <c r="F1806" s="54" t="s">
        <v>4394</v>
      </c>
    </row>
    <row r="1807" spans="1:6" hidden="1">
      <c r="A1807" s="1659" t="s">
        <v>5683</v>
      </c>
      <c r="C1807" s="1659" t="s">
        <v>5684</v>
      </c>
      <c r="D1807" s="54" t="s">
        <v>2555</v>
      </c>
      <c r="F1807" s="54" t="s">
        <v>4394</v>
      </c>
    </row>
    <row r="1808" spans="1:6" hidden="1">
      <c r="A1808" s="1659" t="s">
        <v>5691</v>
      </c>
      <c r="B1808" s="1653" t="s">
        <v>5688</v>
      </c>
      <c r="C1808" s="1659" t="s">
        <v>5692</v>
      </c>
      <c r="D1808" s="54" t="s">
        <v>2555</v>
      </c>
      <c r="F1808" s="54" t="s">
        <v>4394</v>
      </c>
    </row>
    <row r="1809" spans="1:6" hidden="1">
      <c r="A1809" s="1659" t="s">
        <v>5693</v>
      </c>
      <c r="C1809" s="1659" t="s">
        <v>5694</v>
      </c>
      <c r="D1809" s="54" t="s">
        <v>2555</v>
      </c>
      <c r="F1809" s="54" t="s">
        <v>4394</v>
      </c>
    </row>
    <row r="1810" spans="1:6" hidden="1">
      <c r="A1810" s="1659" t="s">
        <v>5695</v>
      </c>
      <c r="C1810" s="1659" t="s">
        <v>5696</v>
      </c>
      <c r="D1810" s="54" t="s">
        <v>2555</v>
      </c>
      <c r="F1810" s="54" t="s">
        <v>4394</v>
      </c>
    </row>
    <row r="1811" spans="1:6" hidden="1">
      <c r="A1811" s="1659" t="s">
        <v>6468</v>
      </c>
      <c r="C1811" s="1659" t="s">
        <v>5698</v>
      </c>
      <c r="D1811" s="54" t="s">
        <v>3445</v>
      </c>
      <c r="F1811" s="54">
        <v>50</v>
      </c>
    </row>
    <row r="1812" spans="1:6" hidden="1">
      <c r="A1812" s="1659" t="s">
        <v>5699</v>
      </c>
      <c r="C1812" s="1659" t="s">
        <v>5700</v>
      </c>
      <c r="D1812" s="54" t="s">
        <v>2555</v>
      </c>
      <c r="F1812" s="54">
        <v>50</v>
      </c>
    </row>
    <row r="1813" spans="1:6" hidden="1">
      <c r="A1813" s="1659" t="s">
        <v>5701</v>
      </c>
      <c r="C1813" s="1659" t="s">
        <v>5702</v>
      </c>
      <c r="D1813" s="54" t="s">
        <v>2555</v>
      </c>
      <c r="F1813" s="54" t="s">
        <v>4394</v>
      </c>
    </row>
    <row r="1814" spans="1:6" hidden="1">
      <c r="A1814" s="1659" t="s">
        <v>5703</v>
      </c>
      <c r="C1814" s="1659" t="s">
        <v>5702</v>
      </c>
      <c r="D1814" s="54" t="s">
        <v>2555</v>
      </c>
      <c r="F1814" s="54" t="s">
        <v>4394</v>
      </c>
    </row>
    <row r="1815" spans="1:6" hidden="1">
      <c r="A1815" s="1659" t="s">
        <v>5704</v>
      </c>
      <c r="C1815" s="1659" t="s">
        <v>4538</v>
      </c>
      <c r="D1815" s="54" t="s">
        <v>3445</v>
      </c>
      <c r="F1815" s="54">
        <v>50</v>
      </c>
    </row>
    <row r="1816" spans="1:6" hidden="1">
      <c r="A1816" s="1659" t="s">
        <v>5705</v>
      </c>
      <c r="C1816" s="1659" t="s">
        <v>5706</v>
      </c>
      <c r="D1816" s="54" t="s">
        <v>2555</v>
      </c>
      <c r="F1816" s="54">
        <v>50</v>
      </c>
    </row>
    <row r="1817" spans="1:6" hidden="1">
      <c r="A1817" s="1659" t="s">
        <v>5707</v>
      </c>
      <c r="C1817" s="1659" t="s">
        <v>5708</v>
      </c>
      <c r="D1817" s="54" t="s">
        <v>2555</v>
      </c>
      <c r="F1817" s="54">
        <v>50</v>
      </c>
    </row>
    <row r="1818" spans="1:6" hidden="1">
      <c r="A1818" s="1659" t="s">
        <v>5710</v>
      </c>
      <c r="C1818" s="1659" t="s">
        <v>5711</v>
      </c>
      <c r="D1818" s="54" t="s">
        <v>2555</v>
      </c>
      <c r="F1818" s="54" t="s">
        <v>4394</v>
      </c>
    </row>
    <row r="1819" spans="1:6" hidden="1">
      <c r="A1819" s="1659" t="s">
        <v>1041</v>
      </c>
      <c r="C1819" s="1659" t="s">
        <v>5717</v>
      </c>
      <c r="D1819" s="54" t="s">
        <v>3457</v>
      </c>
      <c r="F1819" s="54" t="s">
        <v>4394</v>
      </c>
    </row>
    <row r="1820" spans="1:6" hidden="1">
      <c r="A1820" s="1659" t="s">
        <v>5718</v>
      </c>
      <c r="C1820" s="1659" t="s">
        <v>5719</v>
      </c>
      <c r="D1820" s="54" t="s">
        <v>3457</v>
      </c>
      <c r="F1820" s="54" t="s">
        <v>4394</v>
      </c>
    </row>
    <row r="1821" spans="1:6" hidden="1">
      <c r="A1821" s="1659" t="s">
        <v>5720</v>
      </c>
      <c r="B1821" s="1653" t="s">
        <v>5426</v>
      </c>
      <c r="C1821" s="1659" t="s">
        <v>5721</v>
      </c>
      <c r="D1821" s="54" t="s">
        <v>3457</v>
      </c>
      <c r="F1821" s="54" t="s">
        <v>4394</v>
      </c>
    </row>
    <row r="1822" spans="1:6" hidden="1">
      <c r="A1822" s="1659" t="s">
        <v>5722</v>
      </c>
      <c r="B1822" s="1653" t="s">
        <v>691</v>
      </c>
      <c r="C1822" s="1659" t="s">
        <v>5723</v>
      </c>
      <c r="D1822" s="54" t="s">
        <v>3457</v>
      </c>
      <c r="F1822" s="54" t="s">
        <v>4394</v>
      </c>
    </row>
    <row r="1823" spans="1:6" hidden="1">
      <c r="A1823" s="1659" t="s">
        <v>5734</v>
      </c>
      <c r="B1823" s="1653" t="s">
        <v>5724</v>
      </c>
      <c r="C1823" s="1659" t="s">
        <v>5735</v>
      </c>
      <c r="D1823" s="54" t="s">
        <v>2555</v>
      </c>
      <c r="F1823" s="54">
        <v>50</v>
      </c>
    </row>
    <row r="1824" spans="1:6" hidden="1">
      <c r="A1824" s="1659" t="s">
        <v>5736</v>
      </c>
      <c r="B1824" s="1653" t="s">
        <v>5724</v>
      </c>
      <c r="C1824" s="1659" t="s">
        <v>5737</v>
      </c>
      <c r="D1824" s="54" t="s">
        <v>2555</v>
      </c>
      <c r="F1824" s="54" t="s">
        <v>4394</v>
      </c>
    </row>
    <row r="1825" spans="1:6" hidden="1">
      <c r="A1825" s="1659" t="s">
        <v>5738</v>
      </c>
      <c r="B1825" s="1653" t="s">
        <v>5725</v>
      </c>
      <c r="C1825" s="1659" t="s">
        <v>3477</v>
      </c>
      <c r="D1825" s="54" t="s">
        <v>2555</v>
      </c>
      <c r="F1825" s="54" t="s">
        <v>4394</v>
      </c>
    </row>
    <row r="1826" spans="1:6" hidden="1">
      <c r="A1826" s="1659" t="s">
        <v>5739</v>
      </c>
      <c r="B1826" s="1653" t="s">
        <v>5725</v>
      </c>
      <c r="C1826" s="1659" t="s">
        <v>3478</v>
      </c>
      <c r="D1826" s="54" t="s">
        <v>2555</v>
      </c>
      <c r="F1826" s="54" t="s">
        <v>4394</v>
      </c>
    </row>
    <row r="1827" spans="1:6" hidden="1">
      <c r="A1827" s="1659" t="s">
        <v>5740</v>
      </c>
      <c r="B1827" s="1653" t="s">
        <v>5725</v>
      </c>
      <c r="C1827" s="1659" t="s">
        <v>3479</v>
      </c>
      <c r="D1827" s="54" t="s">
        <v>2555</v>
      </c>
      <c r="F1827" s="54" t="s">
        <v>4394</v>
      </c>
    </row>
    <row r="1828" spans="1:6" hidden="1">
      <c r="A1828" s="1659" t="s">
        <v>5741</v>
      </c>
      <c r="B1828" s="1653" t="s">
        <v>5726</v>
      </c>
      <c r="C1828" s="1659" t="s">
        <v>3480</v>
      </c>
      <c r="D1828" s="54" t="s">
        <v>2555</v>
      </c>
      <c r="F1828" s="54" t="s">
        <v>4394</v>
      </c>
    </row>
    <row r="1829" spans="1:6" hidden="1">
      <c r="A1829" s="1659" t="s">
        <v>5742</v>
      </c>
      <c r="B1829" s="1653" t="s">
        <v>5727</v>
      </c>
      <c r="C1829" s="1659" t="s">
        <v>3481</v>
      </c>
      <c r="D1829" s="54" t="s">
        <v>2555</v>
      </c>
      <c r="F1829" s="54" t="s">
        <v>4394</v>
      </c>
    </row>
    <row r="1830" spans="1:6" hidden="1">
      <c r="A1830" s="1659" t="s">
        <v>5743</v>
      </c>
      <c r="B1830" s="1653" t="s">
        <v>5728</v>
      </c>
      <c r="C1830" s="1659" t="s">
        <v>3482</v>
      </c>
      <c r="D1830" s="54" t="s">
        <v>2555</v>
      </c>
      <c r="F1830" s="54" t="s">
        <v>4394</v>
      </c>
    </row>
    <row r="1831" spans="1:6" hidden="1">
      <c r="A1831" s="1659" t="s">
        <v>5744</v>
      </c>
      <c r="B1831" s="1653" t="s">
        <v>5729</v>
      </c>
      <c r="C1831" s="1659" t="s">
        <v>3483</v>
      </c>
      <c r="D1831" s="54" t="s">
        <v>2555</v>
      </c>
      <c r="F1831" s="54" t="s">
        <v>4394</v>
      </c>
    </row>
    <row r="1832" spans="1:6" hidden="1">
      <c r="A1832" s="1659" t="s">
        <v>5745</v>
      </c>
      <c r="B1832" s="1653" t="s">
        <v>5730</v>
      </c>
      <c r="C1832" s="1659" t="s">
        <v>3484</v>
      </c>
      <c r="D1832" s="54" t="s">
        <v>2555</v>
      </c>
      <c r="F1832" s="54" t="s">
        <v>4394</v>
      </c>
    </row>
    <row r="1833" spans="1:6" hidden="1">
      <c r="A1833" s="1659" t="s">
        <v>5746</v>
      </c>
      <c r="B1833" s="1653" t="s">
        <v>5731</v>
      </c>
      <c r="C1833" s="1659" t="s">
        <v>3485</v>
      </c>
      <c r="D1833" s="54" t="s">
        <v>2555</v>
      </c>
      <c r="F1833" s="54" t="s">
        <v>4394</v>
      </c>
    </row>
    <row r="1834" spans="1:6" hidden="1">
      <c r="A1834" s="1659" t="s">
        <v>5747</v>
      </c>
      <c r="B1834" s="1653" t="s">
        <v>5731</v>
      </c>
      <c r="C1834" s="1659" t="s">
        <v>3486</v>
      </c>
      <c r="D1834" s="54" t="s">
        <v>2555</v>
      </c>
      <c r="F1834" s="54" t="s">
        <v>4394</v>
      </c>
    </row>
    <row r="1835" spans="1:6" hidden="1">
      <c r="A1835" s="1659" t="s">
        <v>5748</v>
      </c>
      <c r="B1835" s="1653" t="s">
        <v>5731</v>
      </c>
      <c r="C1835" s="1659" t="s">
        <v>3487</v>
      </c>
      <c r="D1835" s="54" t="s">
        <v>2555</v>
      </c>
      <c r="F1835" s="54" t="s">
        <v>4394</v>
      </c>
    </row>
    <row r="1836" spans="1:6" hidden="1">
      <c r="A1836" s="1659" t="s">
        <v>5749</v>
      </c>
      <c r="B1836" s="1653" t="s">
        <v>5732</v>
      </c>
      <c r="C1836" s="1659" t="s">
        <v>3488</v>
      </c>
      <c r="D1836" s="54" t="s">
        <v>2555</v>
      </c>
      <c r="F1836" s="54" t="s">
        <v>4394</v>
      </c>
    </row>
    <row r="1837" spans="1:6" hidden="1">
      <c r="A1837" s="1659" t="s">
        <v>5750</v>
      </c>
      <c r="B1837" s="1653" t="s">
        <v>5732</v>
      </c>
      <c r="C1837" s="1659" t="s">
        <v>5751</v>
      </c>
      <c r="D1837" s="54" t="s">
        <v>2555</v>
      </c>
      <c r="F1837" s="54" t="s">
        <v>4394</v>
      </c>
    </row>
    <row r="1838" spans="1:6" hidden="1">
      <c r="A1838" s="1659" t="s">
        <v>5752</v>
      </c>
      <c r="B1838" s="1653" t="s">
        <v>5725</v>
      </c>
      <c r="C1838" s="1659" t="s">
        <v>5753</v>
      </c>
      <c r="D1838" s="54" t="s">
        <v>2555</v>
      </c>
      <c r="F1838" s="54" t="s">
        <v>4394</v>
      </c>
    </row>
    <row r="1839" spans="1:6" hidden="1">
      <c r="A1839" s="1659" t="s">
        <v>5754</v>
      </c>
      <c r="B1839" s="1653" t="s">
        <v>5726</v>
      </c>
      <c r="C1839" s="1659" t="s">
        <v>5755</v>
      </c>
      <c r="D1839" s="54" t="s">
        <v>2555</v>
      </c>
      <c r="F1839" s="54" t="s">
        <v>4394</v>
      </c>
    </row>
    <row r="1840" spans="1:6" hidden="1">
      <c r="A1840" s="1659" t="s">
        <v>5756</v>
      </c>
      <c r="B1840" s="1653" t="s">
        <v>5732</v>
      </c>
      <c r="C1840" s="1659" t="s">
        <v>5751</v>
      </c>
      <c r="D1840" s="54" t="s">
        <v>2555</v>
      </c>
      <c r="F1840" s="54" t="s">
        <v>4394</v>
      </c>
    </row>
    <row r="1841" spans="1:6" hidden="1">
      <c r="A1841" s="1659" t="s">
        <v>5757</v>
      </c>
      <c r="B1841" s="1653" t="s">
        <v>5724</v>
      </c>
      <c r="C1841" s="1659" t="s">
        <v>5758</v>
      </c>
      <c r="D1841" s="54" t="s">
        <v>2555</v>
      </c>
      <c r="F1841" s="54" t="s">
        <v>4394</v>
      </c>
    </row>
    <row r="1842" spans="1:6" hidden="1">
      <c r="A1842" s="1659" t="s">
        <v>5759</v>
      </c>
      <c r="B1842" s="1653" t="s">
        <v>5725</v>
      </c>
      <c r="C1842" s="1659" t="s">
        <v>5760</v>
      </c>
      <c r="D1842" s="54" t="s">
        <v>2555</v>
      </c>
      <c r="F1842" s="54" t="s">
        <v>4394</v>
      </c>
    </row>
    <row r="1843" spans="1:6" hidden="1">
      <c r="A1843" s="1659" t="s">
        <v>5761</v>
      </c>
      <c r="B1843" s="1653" t="s">
        <v>5726</v>
      </c>
      <c r="C1843" s="1659" t="s">
        <v>5762</v>
      </c>
      <c r="D1843" s="54" t="s">
        <v>2555</v>
      </c>
      <c r="F1843" s="54" t="s">
        <v>4394</v>
      </c>
    </row>
    <row r="1844" spans="1:6" hidden="1">
      <c r="A1844" s="1659" t="s">
        <v>5763</v>
      </c>
      <c r="B1844" s="1653" t="s">
        <v>5727</v>
      </c>
      <c r="C1844" s="1659" t="s">
        <v>5764</v>
      </c>
      <c r="D1844" s="54" t="s">
        <v>2555</v>
      </c>
      <c r="F1844" s="54" t="s">
        <v>4394</v>
      </c>
    </row>
    <row r="1845" spans="1:6" hidden="1">
      <c r="A1845" s="1659" t="s">
        <v>5765</v>
      </c>
      <c r="B1845" s="1653" t="s">
        <v>5728</v>
      </c>
      <c r="C1845" s="1659" t="s">
        <v>5766</v>
      </c>
      <c r="D1845" s="54" t="s">
        <v>2555</v>
      </c>
      <c r="F1845" s="54" t="s">
        <v>4394</v>
      </c>
    </row>
    <row r="1846" spans="1:6" hidden="1">
      <c r="A1846" s="1659" t="s">
        <v>5767</v>
      </c>
      <c r="B1846" s="1653" t="s">
        <v>5729</v>
      </c>
      <c r="C1846" s="1659" t="s">
        <v>5768</v>
      </c>
      <c r="D1846" s="54" t="s">
        <v>2555</v>
      </c>
      <c r="F1846" s="54" t="s">
        <v>4394</v>
      </c>
    </row>
    <row r="1847" spans="1:6" hidden="1">
      <c r="A1847" s="1659" t="s">
        <v>5769</v>
      </c>
      <c r="B1847" s="1653" t="s">
        <v>5730</v>
      </c>
      <c r="C1847" s="1659" t="s">
        <v>5770</v>
      </c>
      <c r="D1847" s="54" t="s">
        <v>2555</v>
      </c>
      <c r="F1847" s="54" t="s">
        <v>4394</v>
      </c>
    </row>
    <row r="1848" spans="1:6" hidden="1">
      <c r="A1848" s="1659" t="s">
        <v>5771</v>
      </c>
      <c r="B1848" s="1653" t="s">
        <v>5731</v>
      </c>
      <c r="C1848" s="1659" t="s">
        <v>5772</v>
      </c>
      <c r="D1848" s="54" t="s">
        <v>2555</v>
      </c>
      <c r="F1848" s="54" t="s">
        <v>4394</v>
      </c>
    </row>
    <row r="1849" spans="1:6" hidden="1">
      <c r="A1849" s="1659" t="s">
        <v>5773</v>
      </c>
      <c r="B1849" s="1653" t="s">
        <v>5731</v>
      </c>
      <c r="C1849" s="1659" t="s">
        <v>5774</v>
      </c>
      <c r="D1849" s="54" t="s">
        <v>2555</v>
      </c>
      <c r="F1849" s="54" t="s">
        <v>4394</v>
      </c>
    </row>
    <row r="1850" spans="1:6" hidden="1">
      <c r="A1850" s="1659" t="s">
        <v>5775</v>
      </c>
      <c r="B1850" s="1653" t="s">
        <v>5731</v>
      </c>
      <c r="C1850" s="1659" t="s">
        <v>5776</v>
      </c>
      <c r="D1850" s="54" t="s">
        <v>2555</v>
      </c>
      <c r="F1850" s="54" t="s">
        <v>4394</v>
      </c>
    </row>
    <row r="1851" spans="1:6" hidden="1">
      <c r="A1851" s="1659" t="s">
        <v>5777</v>
      </c>
      <c r="B1851" s="1653" t="s">
        <v>5732</v>
      </c>
      <c r="C1851" s="1659" t="s">
        <v>5778</v>
      </c>
      <c r="D1851" s="54" t="s">
        <v>2555</v>
      </c>
      <c r="F1851" s="54" t="s">
        <v>4394</v>
      </c>
    </row>
    <row r="1852" spans="1:6" hidden="1">
      <c r="A1852" s="1659" t="s">
        <v>5779</v>
      </c>
      <c r="B1852" s="1653" t="s">
        <v>5733</v>
      </c>
      <c r="C1852" s="1659" t="s">
        <v>5780</v>
      </c>
      <c r="D1852" s="54" t="s">
        <v>2555</v>
      </c>
      <c r="F1852" s="54" t="s">
        <v>4394</v>
      </c>
    </row>
    <row r="1853" spans="1:6" hidden="1">
      <c r="A1853" s="1659" t="s">
        <v>5781</v>
      </c>
      <c r="C1853" s="1659" t="s">
        <v>5782</v>
      </c>
      <c r="D1853" s="54" t="s">
        <v>1823</v>
      </c>
      <c r="F1853" s="54" t="s">
        <v>4394</v>
      </c>
    </row>
    <row r="1854" spans="1:6" hidden="1">
      <c r="A1854" s="1659" t="s">
        <v>5783</v>
      </c>
      <c r="C1854" s="1659" t="s">
        <v>5784</v>
      </c>
      <c r="D1854" s="54" t="s">
        <v>1823</v>
      </c>
      <c r="F1854" s="54" t="s">
        <v>4394</v>
      </c>
    </row>
    <row r="1855" spans="1:6" hidden="1">
      <c r="A1855" s="1659" t="s">
        <v>5785</v>
      </c>
      <c r="C1855" s="1659" t="s">
        <v>5786</v>
      </c>
      <c r="D1855" s="54" t="s">
        <v>1823</v>
      </c>
      <c r="F1855" s="54" t="s">
        <v>4394</v>
      </c>
    </row>
    <row r="1856" spans="1:6" hidden="1">
      <c r="A1856" s="1659" t="s">
        <v>5787</v>
      </c>
      <c r="C1856" s="1659" t="s">
        <v>5788</v>
      </c>
      <c r="D1856" s="54" t="s">
        <v>1823</v>
      </c>
      <c r="F1856" s="54" t="s">
        <v>4394</v>
      </c>
    </row>
    <row r="1857" spans="1:6" hidden="1">
      <c r="A1857" s="1659" t="s">
        <v>5789</v>
      </c>
      <c r="C1857" s="1659" t="s">
        <v>5790</v>
      </c>
      <c r="D1857" s="54" t="s">
        <v>1823</v>
      </c>
      <c r="F1857" s="54" t="s">
        <v>4394</v>
      </c>
    </row>
    <row r="1858" spans="1:6" hidden="1">
      <c r="A1858" s="1659" t="s">
        <v>5791</v>
      </c>
      <c r="C1858" s="1659" t="s">
        <v>5792</v>
      </c>
      <c r="D1858" s="54" t="s">
        <v>1823</v>
      </c>
      <c r="F1858" s="54" t="s">
        <v>4394</v>
      </c>
    </row>
    <row r="1859" spans="1:6" hidden="1">
      <c r="A1859" s="1659" t="s">
        <v>5793</v>
      </c>
      <c r="C1859" s="1659" t="s">
        <v>5794</v>
      </c>
      <c r="D1859" s="54" t="s">
        <v>1823</v>
      </c>
      <c r="F1859" s="54" t="s">
        <v>4394</v>
      </c>
    </row>
    <row r="1860" spans="1:6">
      <c r="A1860" s="1659" t="s">
        <v>5800</v>
      </c>
      <c r="C1860" s="1659" t="s">
        <v>4979</v>
      </c>
      <c r="D1860" s="54" t="s">
        <v>3566</v>
      </c>
      <c r="F1860" s="54">
        <v>50</v>
      </c>
    </row>
    <row r="1861" spans="1:6" hidden="1">
      <c r="A1861" s="1659" t="s">
        <v>5802</v>
      </c>
      <c r="C1861" s="1659" t="s">
        <v>5803</v>
      </c>
      <c r="D1861" s="54" t="s">
        <v>2555</v>
      </c>
      <c r="F1861" s="54" t="s">
        <v>4394</v>
      </c>
    </row>
    <row r="1862" spans="1:6" hidden="1">
      <c r="A1862" s="1659" t="s">
        <v>5804</v>
      </c>
      <c r="C1862" s="1659" t="s">
        <v>5805</v>
      </c>
      <c r="D1862" s="54" t="s">
        <v>2555</v>
      </c>
      <c r="F1862" s="54" t="s">
        <v>4394</v>
      </c>
    </row>
    <row r="1863" spans="1:6" hidden="1">
      <c r="A1863" s="1659" t="s">
        <v>5807</v>
      </c>
      <c r="C1863" s="1659" t="s">
        <v>5808</v>
      </c>
      <c r="D1863" s="54" t="s">
        <v>2555</v>
      </c>
      <c r="F1863" s="54" t="s">
        <v>4394</v>
      </c>
    </row>
    <row r="1864" spans="1:6" hidden="1">
      <c r="A1864" s="1659" t="s">
        <v>5809</v>
      </c>
      <c r="C1864" s="1659" t="s">
        <v>5810</v>
      </c>
      <c r="D1864" s="54" t="s">
        <v>2555</v>
      </c>
      <c r="F1864" s="54">
        <v>50</v>
      </c>
    </row>
    <row r="1865" spans="1:6" hidden="1">
      <c r="A1865" s="1659" t="s">
        <v>5811</v>
      </c>
      <c r="C1865" s="1659" t="s">
        <v>5812</v>
      </c>
      <c r="D1865" s="54" t="s">
        <v>2555</v>
      </c>
      <c r="F1865" s="54" t="s">
        <v>4394</v>
      </c>
    </row>
    <row r="1866" spans="1:6" hidden="1">
      <c r="A1866" s="1659" t="s">
        <v>5813</v>
      </c>
      <c r="C1866" s="1659" t="s">
        <v>5814</v>
      </c>
      <c r="D1866" s="54" t="s">
        <v>2555</v>
      </c>
      <c r="F1866" s="54">
        <v>50</v>
      </c>
    </row>
    <row r="1867" spans="1:6" hidden="1">
      <c r="A1867" s="1659" t="s">
        <v>6470</v>
      </c>
      <c r="C1867" s="1659" t="s">
        <v>6471</v>
      </c>
      <c r="D1867" s="54" t="s">
        <v>2555</v>
      </c>
      <c r="F1867" s="54">
        <v>50</v>
      </c>
    </row>
    <row r="1868" spans="1:6" hidden="1">
      <c r="A1868" s="1659" t="s">
        <v>5815</v>
      </c>
      <c r="C1868" s="1659" t="s">
        <v>5816</v>
      </c>
      <c r="D1868" s="54" t="s">
        <v>4649</v>
      </c>
      <c r="F1868" s="54" t="s">
        <v>4394</v>
      </c>
    </row>
    <row r="1869" spans="1:6" hidden="1">
      <c r="A1869" s="1659" t="s">
        <v>5817</v>
      </c>
      <c r="C1869" s="1659" t="s">
        <v>5818</v>
      </c>
      <c r="D1869" s="54" t="s">
        <v>4649</v>
      </c>
      <c r="F1869" s="54" t="s">
        <v>4394</v>
      </c>
    </row>
    <row r="1870" spans="1:6" hidden="1">
      <c r="A1870" s="1659" t="s">
        <v>5819</v>
      </c>
      <c r="C1870" s="1659" t="s">
        <v>5820</v>
      </c>
      <c r="D1870" s="54" t="s">
        <v>4649</v>
      </c>
      <c r="F1870" s="54" t="s">
        <v>4394</v>
      </c>
    </row>
    <row r="1871" spans="1:6" hidden="1">
      <c r="A1871" s="1659" t="s">
        <v>5821</v>
      </c>
      <c r="C1871" s="1659" t="s">
        <v>5822</v>
      </c>
      <c r="D1871" s="54" t="s">
        <v>4649</v>
      </c>
      <c r="F1871" s="54" t="s">
        <v>4394</v>
      </c>
    </row>
    <row r="1872" spans="1:6" hidden="1">
      <c r="A1872" s="1659" t="s">
        <v>5823</v>
      </c>
      <c r="C1872" s="1659" t="s">
        <v>5824</v>
      </c>
      <c r="D1872" s="54" t="s">
        <v>4649</v>
      </c>
      <c r="F1872" s="54" t="s">
        <v>4394</v>
      </c>
    </row>
    <row r="1873" spans="1:6" hidden="1">
      <c r="A1873" s="1659" t="s">
        <v>5825</v>
      </c>
      <c r="C1873" s="1659" t="s">
        <v>5826</v>
      </c>
      <c r="D1873" s="54" t="s">
        <v>4649</v>
      </c>
      <c r="F1873" s="54" t="s">
        <v>4394</v>
      </c>
    </row>
    <row r="1874" spans="1:6" hidden="1">
      <c r="A1874" s="1659" t="s">
        <v>5827</v>
      </c>
      <c r="C1874" s="1659" t="s">
        <v>5828</v>
      </c>
      <c r="D1874" s="54" t="s">
        <v>4649</v>
      </c>
      <c r="F1874" s="54" t="s">
        <v>4394</v>
      </c>
    </row>
    <row r="1875" spans="1:6" hidden="1">
      <c r="A1875" s="1659" t="s">
        <v>5829</v>
      </c>
      <c r="C1875" s="1659" t="s">
        <v>5830</v>
      </c>
      <c r="D1875" s="54" t="s">
        <v>4649</v>
      </c>
      <c r="F1875" s="54" t="s">
        <v>4394</v>
      </c>
    </row>
    <row r="1876" spans="1:6" hidden="1">
      <c r="A1876" s="1659" t="s">
        <v>5831</v>
      </c>
      <c r="C1876" s="1659" t="s">
        <v>5832</v>
      </c>
      <c r="D1876" s="54" t="s">
        <v>4649</v>
      </c>
      <c r="F1876" s="54" t="s">
        <v>4394</v>
      </c>
    </row>
    <row r="1877" spans="1:6" hidden="1">
      <c r="A1877" s="1659" t="s">
        <v>5833</v>
      </c>
      <c r="C1877" s="1659" t="s">
        <v>5834</v>
      </c>
      <c r="D1877" s="54" t="s">
        <v>4649</v>
      </c>
      <c r="F1877" s="54" t="s">
        <v>4394</v>
      </c>
    </row>
    <row r="1878" spans="1:6" hidden="1">
      <c r="A1878" s="1659" t="s">
        <v>5835</v>
      </c>
      <c r="C1878" s="1659" t="s">
        <v>5836</v>
      </c>
      <c r="D1878" s="54" t="s">
        <v>2248</v>
      </c>
      <c r="F1878" s="54" t="s">
        <v>4394</v>
      </c>
    </row>
    <row r="1879" spans="1:6" hidden="1">
      <c r="A1879" s="1659" t="s">
        <v>5839</v>
      </c>
      <c r="C1879" s="1659" t="s">
        <v>5840</v>
      </c>
      <c r="D1879" s="54" t="s">
        <v>2248</v>
      </c>
      <c r="F1879" s="54" t="s">
        <v>4394</v>
      </c>
    </row>
    <row r="1880" spans="1:6" hidden="1">
      <c r="A1880" s="1659" t="s">
        <v>5841</v>
      </c>
      <c r="C1880" s="1659" t="s">
        <v>5842</v>
      </c>
      <c r="D1880" s="54" t="s">
        <v>2248</v>
      </c>
      <c r="F1880" s="54" t="s">
        <v>4394</v>
      </c>
    </row>
    <row r="1881" spans="1:6" hidden="1">
      <c r="A1881" s="1659" t="s">
        <v>5843</v>
      </c>
      <c r="C1881" s="1659" t="s">
        <v>5844</v>
      </c>
      <c r="D1881" s="54" t="s">
        <v>2248</v>
      </c>
      <c r="F1881" s="54" t="s">
        <v>4394</v>
      </c>
    </row>
    <row r="1882" spans="1:6" hidden="1">
      <c r="A1882" s="1659" t="s">
        <v>5845</v>
      </c>
      <c r="C1882" s="1659" t="s">
        <v>5846</v>
      </c>
      <c r="D1882" s="54" t="s">
        <v>2248</v>
      </c>
      <c r="F1882" s="54" t="s">
        <v>4394</v>
      </c>
    </row>
    <row r="1883" spans="1:6" hidden="1">
      <c r="A1883" s="1659" t="s">
        <v>5847</v>
      </c>
      <c r="C1883" s="1659" t="s">
        <v>5848</v>
      </c>
      <c r="D1883" s="54" t="s">
        <v>2248</v>
      </c>
      <c r="F1883" s="54" t="s">
        <v>4394</v>
      </c>
    </row>
    <row r="1884" spans="1:6" hidden="1">
      <c r="A1884" s="1659" t="s">
        <v>5849</v>
      </c>
      <c r="C1884" s="1659" t="s">
        <v>5850</v>
      </c>
      <c r="D1884" s="54" t="s">
        <v>2248</v>
      </c>
      <c r="F1884" s="54" t="s">
        <v>4394</v>
      </c>
    </row>
    <row r="1885" spans="1:6" hidden="1">
      <c r="A1885" s="1659" t="s">
        <v>5851</v>
      </c>
      <c r="C1885" s="1659" t="s">
        <v>5852</v>
      </c>
      <c r="D1885" s="54" t="s">
        <v>2248</v>
      </c>
      <c r="F1885" s="54" t="s">
        <v>4394</v>
      </c>
    </row>
    <row r="1886" spans="1:6" hidden="1">
      <c r="A1886" s="1659" t="s">
        <v>5853</v>
      </c>
      <c r="C1886" s="1659" t="s">
        <v>5854</v>
      </c>
      <c r="D1886" s="54" t="s">
        <v>2248</v>
      </c>
      <c r="F1886" s="54" t="s">
        <v>4394</v>
      </c>
    </row>
    <row r="1887" spans="1:6" hidden="1">
      <c r="A1887" s="1659" t="s">
        <v>5855</v>
      </c>
      <c r="C1887" s="1659" t="s">
        <v>5856</v>
      </c>
      <c r="D1887" s="54" t="s">
        <v>2248</v>
      </c>
      <c r="F1887" s="54" t="s">
        <v>4394</v>
      </c>
    </row>
    <row r="1888" spans="1:6" hidden="1">
      <c r="A1888" s="1659" t="s">
        <v>5857</v>
      </c>
      <c r="C1888" s="1659" t="s">
        <v>5858</v>
      </c>
      <c r="D1888" s="54" t="s">
        <v>2248</v>
      </c>
      <c r="F1888" s="54" t="s">
        <v>4394</v>
      </c>
    </row>
    <row r="1889" spans="1:6" hidden="1">
      <c r="A1889" s="1659" t="s">
        <v>5859</v>
      </c>
      <c r="C1889" s="1659" t="s">
        <v>5860</v>
      </c>
      <c r="D1889" s="54" t="s">
        <v>2248</v>
      </c>
      <c r="F1889" s="54" t="s">
        <v>4394</v>
      </c>
    </row>
    <row r="1890" spans="1:6" hidden="1">
      <c r="A1890" s="1659" t="s">
        <v>5861</v>
      </c>
      <c r="C1890" s="1659" t="s">
        <v>5862</v>
      </c>
      <c r="D1890" s="54" t="s">
        <v>2248</v>
      </c>
      <c r="F1890" s="54" t="s">
        <v>4394</v>
      </c>
    </row>
    <row r="1891" spans="1:6" hidden="1">
      <c r="A1891" s="1659" t="s">
        <v>5863</v>
      </c>
      <c r="C1891" s="1659" t="s">
        <v>5864</v>
      </c>
      <c r="D1891" s="54" t="s">
        <v>2248</v>
      </c>
      <c r="F1891" s="54" t="s">
        <v>4394</v>
      </c>
    </row>
    <row r="1892" spans="1:6" hidden="1">
      <c r="A1892" s="1659" t="s">
        <v>5865</v>
      </c>
      <c r="C1892" s="1659" t="s">
        <v>5866</v>
      </c>
      <c r="D1892" s="54" t="s">
        <v>2248</v>
      </c>
      <c r="F1892" s="54" t="s">
        <v>4394</v>
      </c>
    </row>
    <row r="1893" spans="1:6" hidden="1">
      <c r="A1893" s="1659" t="s">
        <v>5867</v>
      </c>
      <c r="C1893" s="1659" t="s">
        <v>5868</v>
      </c>
      <c r="D1893" s="54" t="s">
        <v>2248</v>
      </c>
      <c r="F1893" s="54" t="s">
        <v>4394</v>
      </c>
    </row>
    <row r="1894" spans="1:6" hidden="1">
      <c r="A1894" s="1659" t="s">
        <v>5870</v>
      </c>
      <c r="C1894" s="1659" t="s">
        <v>5871</v>
      </c>
      <c r="D1894" s="54" t="s">
        <v>2555</v>
      </c>
      <c r="F1894" s="54" t="s">
        <v>4394</v>
      </c>
    </row>
    <row r="1895" spans="1:6" hidden="1">
      <c r="A1895" s="1659" t="s">
        <v>5872</v>
      </c>
      <c r="C1895" s="1659" t="s">
        <v>5873</v>
      </c>
      <c r="D1895" s="54" t="s">
        <v>2555</v>
      </c>
      <c r="F1895" s="54" t="s">
        <v>4394</v>
      </c>
    </row>
    <row r="1896" spans="1:6" hidden="1">
      <c r="A1896" s="1659" t="s">
        <v>5874</v>
      </c>
      <c r="C1896" s="1659" t="s">
        <v>5875</v>
      </c>
      <c r="D1896" s="54" t="s">
        <v>2555</v>
      </c>
      <c r="F1896" s="54" t="s">
        <v>4394</v>
      </c>
    </row>
    <row r="1897" spans="1:6" hidden="1">
      <c r="A1897" s="1659" t="s">
        <v>5876</v>
      </c>
      <c r="C1897" s="1659" t="s">
        <v>5877</v>
      </c>
      <c r="D1897" s="54" t="s">
        <v>2555</v>
      </c>
      <c r="F1897" s="54" t="s">
        <v>4394</v>
      </c>
    </row>
    <row r="1898" spans="1:6" hidden="1">
      <c r="A1898" s="1659" t="s">
        <v>5878</v>
      </c>
      <c r="C1898" s="1659" t="s">
        <v>5879</v>
      </c>
      <c r="D1898" s="54" t="s">
        <v>2555</v>
      </c>
      <c r="F1898" s="54" t="s">
        <v>4394</v>
      </c>
    </row>
    <row r="1899" spans="1:6" hidden="1">
      <c r="A1899" s="1659" t="s">
        <v>5880</v>
      </c>
      <c r="C1899" s="1659" t="s">
        <v>5881</v>
      </c>
      <c r="D1899" s="54" t="s">
        <v>2555</v>
      </c>
      <c r="F1899" s="54" t="s">
        <v>4394</v>
      </c>
    </row>
    <row r="1900" spans="1:6" hidden="1">
      <c r="A1900" s="1659" t="s">
        <v>5882</v>
      </c>
      <c r="B1900" s="1653" t="s">
        <v>581</v>
      </c>
      <c r="C1900" s="1659" t="s">
        <v>3620</v>
      </c>
      <c r="D1900" s="54" t="s">
        <v>2037</v>
      </c>
      <c r="F1900" s="54" t="s">
        <v>4394</v>
      </c>
    </row>
    <row r="1901" spans="1:6" hidden="1">
      <c r="A1901" s="1659" t="s">
        <v>5883</v>
      </c>
      <c r="B1901" s="1653" t="s">
        <v>773</v>
      </c>
      <c r="C1901" s="1659" t="s">
        <v>3621</v>
      </c>
      <c r="D1901" s="54" t="s">
        <v>2037</v>
      </c>
      <c r="F1901" s="54" t="s">
        <v>4394</v>
      </c>
    </row>
    <row r="1902" spans="1:6" hidden="1">
      <c r="A1902" s="1659" t="s">
        <v>5884</v>
      </c>
      <c r="B1902" s="1653" t="s">
        <v>775</v>
      </c>
      <c r="C1902" s="1659" t="s">
        <v>3622</v>
      </c>
      <c r="D1902" s="54" t="s">
        <v>2037</v>
      </c>
      <c r="F1902" s="54" t="s">
        <v>4394</v>
      </c>
    </row>
    <row r="1903" spans="1:6" hidden="1">
      <c r="A1903" s="1659" t="s">
        <v>5885</v>
      </c>
      <c r="B1903" s="1653" t="s">
        <v>775</v>
      </c>
      <c r="C1903" s="1659" t="s">
        <v>3623</v>
      </c>
      <c r="D1903" s="54" t="s">
        <v>2037</v>
      </c>
      <c r="F1903" s="54" t="s">
        <v>4394</v>
      </c>
    </row>
    <row r="1904" spans="1:6" hidden="1">
      <c r="A1904" s="1659" t="s">
        <v>5886</v>
      </c>
      <c r="B1904" s="1653" t="s">
        <v>775</v>
      </c>
      <c r="C1904" s="1659" t="s">
        <v>3624</v>
      </c>
      <c r="D1904" s="54" t="s">
        <v>2037</v>
      </c>
      <c r="F1904" s="54" t="s">
        <v>4394</v>
      </c>
    </row>
    <row r="1905" spans="1:6" hidden="1">
      <c r="A1905" s="1659" t="s">
        <v>5887</v>
      </c>
      <c r="B1905" s="1653" t="s">
        <v>775</v>
      </c>
      <c r="C1905" s="1659" t="s">
        <v>3625</v>
      </c>
      <c r="D1905" s="54" t="s">
        <v>2037</v>
      </c>
      <c r="F1905" s="54" t="s">
        <v>4394</v>
      </c>
    </row>
    <row r="1906" spans="1:6" hidden="1">
      <c r="A1906" s="1659" t="s">
        <v>5888</v>
      </c>
      <c r="B1906" s="1653" t="s">
        <v>775</v>
      </c>
      <c r="C1906" s="1659" t="s">
        <v>3626</v>
      </c>
      <c r="D1906" s="54" t="s">
        <v>2037</v>
      </c>
      <c r="F1906" s="54" t="s">
        <v>4394</v>
      </c>
    </row>
    <row r="1907" spans="1:6" hidden="1">
      <c r="A1907" s="1659" t="s">
        <v>5889</v>
      </c>
      <c r="C1907" s="1659" t="s">
        <v>5890</v>
      </c>
      <c r="D1907" s="54" t="s">
        <v>2555</v>
      </c>
      <c r="F1907" s="54" t="s">
        <v>4394</v>
      </c>
    </row>
    <row r="1908" spans="1:6" hidden="1">
      <c r="A1908" s="1659">
        <v>3</v>
      </c>
      <c r="B1908" s="1653" t="s">
        <v>5891</v>
      </c>
      <c r="C1908" s="1659">
        <v>9</v>
      </c>
      <c r="D1908" s="54">
        <v>12</v>
      </c>
      <c r="F1908" s="54" t="s">
        <v>4394</v>
      </c>
    </row>
    <row r="1909" spans="1:6" hidden="1">
      <c r="F1909" s="54">
        <v>3000</v>
      </c>
    </row>
    <row r="1910" spans="1:6" hidden="1">
      <c r="A1910" s="1659" t="s">
        <v>5892</v>
      </c>
      <c r="B1910" s="1653" t="s">
        <v>5893</v>
      </c>
      <c r="C1910" s="1659" t="s">
        <v>5894</v>
      </c>
      <c r="D1910" s="54" t="s">
        <v>2555</v>
      </c>
      <c r="F1910" s="54">
        <v>3000</v>
      </c>
    </row>
    <row r="1911" spans="1:6" hidden="1">
      <c r="A1911" s="1659" t="s">
        <v>5895</v>
      </c>
      <c r="B1911" s="1653" t="s">
        <v>5896</v>
      </c>
      <c r="C1911" s="1659" t="s">
        <v>5897</v>
      </c>
      <c r="D1911" s="54" t="s">
        <v>2555</v>
      </c>
      <c r="F1911" s="54" t="s">
        <v>4394</v>
      </c>
    </row>
    <row r="1912" spans="1:6" hidden="1">
      <c r="A1912" s="1659" t="s">
        <v>5898</v>
      </c>
      <c r="B1912" s="1653" t="s">
        <v>5899</v>
      </c>
      <c r="C1912" s="1659" t="s">
        <v>5900</v>
      </c>
      <c r="D1912" s="54" t="s">
        <v>2555</v>
      </c>
      <c r="F1912" s="54" t="s">
        <v>4394</v>
      </c>
    </row>
    <row r="1913" spans="1:6" hidden="1">
      <c r="A1913" s="1659" t="s">
        <v>5901</v>
      </c>
      <c r="B1913" s="1653" t="s">
        <v>5902</v>
      </c>
      <c r="C1913" s="1659" t="s">
        <v>5903</v>
      </c>
      <c r="D1913" s="54" t="s">
        <v>2555</v>
      </c>
      <c r="F1913" s="54" t="s">
        <v>4394</v>
      </c>
    </row>
    <row r="1914" spans="1:6" hidden="1">
      <c r="A1914" s="1659" t="s">
        <v>5904</v>
      </c>
      <c r="B1914" s="1653" t="s">
        <v>5905</v>
      </c>
      <c r="C1914" s="1659" t="s">
        <v>5906</v>
      </c>
      <c r="D1914" s="54" t="s">
        <v>2555</v>
      </c>
      <c r="F1914" s="54" t="s">
        <v>4394</v>
      </c>
    </row>
    <row r="1915" spans="1:6" hidden="1">
      <c r="A1915" s="1659" t="s">
        <v>5907</v>
      </c>
      <c r="B1915" s="1653" t="s">
        <v>5908</v>
      </c>
      <c r="C1915" s="1659" t="s">
        <v>5909</v>
      </c>
      <c r="D1915" s="54" t="s">
        <v>2555</v>
      </c>
      <c r="F1915" s="54" t="s">
        <v>4394</v>
      </c>
    </row>
    <row r="1916" spans="1:6" hidden="1">
      <c r="A1916" s="1659" t="s">
        <v>5910</v>
      </c>
      <c r="B1916" s="1653" t="s">
        <v>5893</v>
      </c>
      <c r="C1916" s="1659" t="s">
        <v>5911</v>
      </c>
      <c r="D1916" s="54" t="s">
        <v>2555</v>
      </c>
      <c r="F1916" s="54">
        <v>3000</v>
      </c>
    </row>
    <row r="1917" spans="1:6" hidden="1">
      <c r="A1917" s="1659" t="s">
        <v>5912</v>
      </c>
      <c r="B1917" s="1653" t="s">
        <v>5896</v>
      </c>
      <c r="C1917" s="1659" t="s">
        <v>5913</v>
      </c>
      <c r="D1917" s="54" t="s">
        <v>2555</v>
      </c>
      <c r="F1917" s="54" t="s">
        <v>4394</v>
      </c>
    </row>
    <row r="1918" spans="1:6" hidden="1">
      <c r="A1918" s="1659" t="s">
        <v>5914</v>
      </c>
      <c r="B1918" s="1653" t="s">
        <v>5899</v>
      </c>
      <c r="C1918" s="1659" t="s">
        <v>5915</v>
      </c>
      <c r="D1918" s="54" t="s">
        <v>2555</v>
      </c>
      <c r="F1918" s="54" t="s">
        <v>4394</v>
      </c>
    </row>
    <row r="1919" spans="1:6" hidden="1">
      <c r="A1919" s="1659" t="s">
        <v>5916</v>
      </c>
      <c r="B1919" s="1653" t="s">
        <v>5902</v>
      </c>
      <c r="C1919" s="1659" t="s">
        <v>5917</v>
      </c>
      <c r="D1919" s="54" t="s">
        <v>2555</v>
      </c>
      <c r="F1919" s="54" t="s">
        <v>4394</v>
      </c>
    </row>
    <row r="1920" spans="1:6" hidden="1">
      <c r="A1920" s="1659" t="s">
        <v>5918</v>
      </c>
      <c r="B1920" s="1653" t="s">
        <v>5905</v>
      </c>
      <c r="C1920" s="1659" t="s">
        <v>5919</v>
      </c>
      <c r="D1920" s="54" t="s">
        <v>2555</v>
      </c>
      <c r="F1920" s="54" t="s">
        <v>4394</v>
      </c>
    </row>
    <row r="1921" spans="1:6" hidden="1">
      <c r="A1921" s="1659" t="s">
        <v>5920</v>
      </c>
      <c r="B1921" s="1653" t="s">
        <v>5908</v>
      </c>
      <c r="C1921" s="1659" t="s">
        <v>5921</v>
      </c>
      <c r="D1921" s="54" t="s">
        <v>2555</v>
      </c>
      <c r="F1921" s="54" t="s">
        <v>4394</v>
      </c>
    </row>
    <row r="1922" spans="1:6" hidden="1">
      <c r="A1922" s="1659" t="s">
        <v>5922</v>
      </c>
      <c r="B1922" s="1653" t="s">
        <v>5923</v>
      </c>
      <c r="C1922" s="1659" t="s">
        <v>5924</v>
      </c>
      <c r="D1922" s="54" t="s">
        <v>2555</v>
      </c>
      <c r="F1922" s="54" t="s">
        <v>4394</v>
      </c>
    </row>
    <row r="1923" spans="1:6" hidden="1">
      <c r="A1923" s="1659" t="s">
        <v>5925</v>
      </c>
      <c r="B1923" s="1653" t="s">
        <v>5926</v>
      </c>
      <c r="C1923" s="1659" t="s">
        <v>5927</v>
      </c>
      <c r="D1923" s="54" t="s">
        <v>2555</v>
      </c>
      <c r="F1923" s="54" t="s">
        <v>4394</v>
      </c>
    </row>
    <row r="1924" spans="1:6" hidden="1">
      <c r="A1924" s="1659" t="s">
        <v>5928</v>
      </c>
      <c r="B1924" s="1653" t="s">
        <v>5929</v>
      </c>
      <c r="C1924" s="1659" t="s">
        <v>5930</v>
      </c>
      <c r="D1924" s="54" t="s">
        <v>4140</v>
      </c>
      <c r="F1924" s="54" t="s">
        <v>4394</v>
      </c>
    </row>
    <row r="1925" spans="1:6" hidden="1">
      <c r="A1925" s="1659" t="s">
        <v>5931</v>
      </c>
      <c r="B1925" s="1653" t="s">
        <v>5923</v>
      </c>
      <c r="C1925" s="1659" t="s">
        <v>5932</v>
      </c>
      <c r="D1925" s="54" t="s">
        <v>2555</v>
      </c>
      <c r="F1925" s="54" t="s">
        <v>4394</v>
      </c>
    </row>
    <row r="1926" spans="1:6" hidden="1">
      <c r="A1926" s="1659" t="s">
        <v>5933</v>
      </c>
      <c r="B1926" s="1653" t="s">
        <v>5926</v>
      </c>
      <c r="C1926" s="1659" t="s">
        <v>5934</v>
      </c>
      <c r="D1926" s="54" t="s">
        <v>2555</v>
      </c>
      <c r="F1926" s="54" t="s">
        <v>4394</v>
      </c>
    </row>
    <row r="1927" spans="1:6" hidden="1">
      <c r="A1927" s="1659" t="s">
        <v>5935</v>
      </c>
      <c r="B1927" s="1653" t="s">
        <v>5929</v>
      </c>
      <c r="C1927" s="1659" t="s">
        <v>5936</v>
      </c>
      <c r="D1927" s="54" t="s">
        <v>2555</v>
      </c>
      <c r="F1927" s="54" t="s">
        <v>4394</v>
      </c>
    </row>
    <row r="1928" spans="1:6" hidden="1">
      <c r="A1928" s="1659" t="s">
        <v>5937</v>
      </c>
      <c r="B1928" s="1653" t="s">
        <v>5929</v>
      </c>
      <c r="C1928" s="1659" t="s">
        <v>5938</v>
      </c>
      <c r="D1928" s="54" t="s">
        <v>4140</v>
      </c>
      <c r="F1928" s="54" t="s">
        <v>4394</v>
      </c>
    </row>
    <row r="1929" spans="1:6" hidden="1">
      <c r="A1929" s="1659" t="s">
        <v>5939</v>
      </c>
      <c r="B1929" s="1653" t="s">
        <v>5929</v>
      </c>
      <c r="C1929" s="1659" t="s">
        <v>5940</v>
      </c>
      <c r="D1929" s="54" t="s">
        <v>4140</v>
      </c>
      <c r="F1929" s="54" t="s">
        <v>4394</v>
      </c>
    </row>
    <row r="1930" spans="1:6" hidden="1">
      <c r="A1930" s="1659" t="s">
        <v>5941</v>
      </c>
      <c r="B1930" s="1653" t="s">
        <v>5942</v>
      </c>
      <c r="C1930" s="1659" t="s">
        <v>5943</v>
      </c>
      <c r="D1930" s="54" t="s">
        <v>3300</v>
      </c>
      <c r="F1930" s="54" t="s">
        <v>4394</v>
      </c>
    </row>
    <row r="1931" spans="1:6" hidden="1">
      <c r="A1931" s="1659" t="s">
        <v>5944</v>
      </c>
      <c r="B1931" s="1653" t="s">
        <v>5945</v>
      </c>
      <c r="C1931" s="1659" t="s">
        <v>5946</v>
      </c>
      <c r="D1931" s="54" t="s">
        <v>3300</v>
      </c>
      <c r="F1931" s="54" t="s">
        <v>4394</v>
      </c>
    </row>
    <row r="1932" spans="1:6" hidden="1">
      <c r="A1932" s="1659" t="s">
        <v>5947</v>
      </c>
      <c r="B1932" s="1653" t="s">
        <v>5589</v>
      </c>
      <c r="C1932" s="1659" t="s">
        <v>5948</v>
      </c>
      <c r="D1932" s="54" t="s">
        <v>3300</v>
      </c>
      <c r="F1932" s="54" t="s">
        <v>4394</v>
      </c>
    </row>
    <row r="1933" spans="1:6" hidden="1">
      <c r="A1933" s="1659" t="s">
        <v>5949</v>
      </c>
      <c r="B1933" s="1653" t="s">
        <v>5590</v>
      </c>
      <c r="C1933" s="1659" t="s">
        <v>5950</v>
      </c>
      <c r="D1933" s="54" t="s">
        <v>3300</v>
      </c>
      <c r="F1933" s="54" t="s">
        <v>4394</v>
      </c>
    </row>
    <row r="1934" spans="1:6" hidden="1">
      <c r="A1934" s="1659" t="s">
        <v>5951</v>
      </c>
      <c r="B1934" s="1653" t="s">
        <v>5591</v>
      </c>
      <c r="C1934" s="1659" t="s">
        <v>5952</v>
      </c>
      <c r="D1934" s="54" t="s">
        <v>3300</v>
      </c>
      <c r="F1934" s="54" t="s">
        <v>4394</v>
      </c>
    </row>
    <row r="1935" spans="1:6" hidden="1">
      <c r="A1935" s="1659" t="s">
        <v>5953</v>
      </c>
      <c r="B1935" s="1653" t="s">
        <v>5592</v>
      </c>
      <c r="C1935" s="1659" t="s">
        <v>5954</v>
      </c>
      <c r="D1935" s="54" t="s">
        <v>3300</v>
      </c>
      <c r="F1935" s="54" t="s">
        <v>4394</v>
      </c>
    </row>
    <row r="1936" spans="1:6" hidden="1">
      <c r="A1936" s="1659" t="s">
        <v>5955</v>
      </c>
      <c r="B1936" s="1653" t="s">
        <v>5593</v>
      </c>
      <c r="C1936" s="1659" t="s">
        <v>5956</v>
      </c>
      <c r="D1936" s="54" t="s">
        <v>3300</v>
      </c>
      <c r="F1936" s="54" t="s">
        <v>4394</v>
      </c>
    </row>
    <row r="1937" spans="1:6" hidden="1">
      <c r="A1937" s="1659" t="s">
        <v>5957</v>
      </c>
      <c r="B1937" s="1653" t="s">
        <v>5594</v>
      </c>
      <c r="C1937" s="1659" t="s">
        <v>5958</v>
      </c>
      <c r="D1937" s="54" t="s">
        <v>3300</v>
      </c>
      <c r="F1937" s="54" t="s">
        <v>4394</v>
      </c>
    </row>
    <row r="1938" spans="1:6" hidden="1">
      <c r="A1938" s="1659" t="s">
        <v>5959</v>
      </c>
      <c r="B1938" s="1653" t="s">
        <v>5583</v>
      </c>
      <c r="C1938" s="1659" t="s">
        <v>5960</v>
      </c>
      <c r="D1938" s="54" t="s">
        <v>3300</v>
      </c>
      <c r="F1938" s="54" t="s">
        <v>4394</v>
      </c>
    </row>
    <row r="1939" spans="1:6" hidden="1">
      <c r="A1939" s="1659" t="s">
        <v>5961</v>
      </c>
      <c r="B1939" s="1653" t="s">
        <v>5584</v>
      </c>
      <c r="C1939" s="1659" t="s">
        <v>5962</v>
      </c>
      <c r="D1939" s="54" t="s">
        <v>3300</v>
      </c>
      <c r="F1939" s="54" t="s">
        <v>4394</v>
      </c>
    </row>
    <row r="1940" spans="1:6" hidden="1">
      <c r="A1940" s="1659" t="s">
        <v>5963</v>
      </c>
      <c r="B1940" s="1653" t="s">
        <v>5585</v>
      </c>
      <c r="C1940" s="1659" t="s">
        <v>5964</v>
      </c>
      <c r="D1940" s="54" t="s">
        <v>3300</v>
      </c>
      <c r="F1940" s="54" t="s">
        <v>4394</v>
      </c>
    </row>
    <row r="1941" spans="1:6" hidden="1">
      <c r="A1941" s="1659" t="s">
        <v>5965</v>
      </c>
      <c r="B1941" s="1653" t="s">
        <v>5586</v>
      </c>
      <c r="C1941" s="1659" t="s">
        <v>5966</v>
      </c>
      <c r="D1941" s="54" t="s">
        <v>3300</v>
      </c>
      <c r="F1941" s="54" t="s">
        <v>4394</v>
      </c>
    </row>
    <row r="1942" spans="1:6" hidden="1">
      <c r="A1942" s="1659" t="s">
        <v>5967</v>
      </c>
      <c r="B1942" s="1653" t="s">
        <v>5968</v>
      </c>
      <c r="C1942" s="1659" t="s">
        <v>5969</v>
      </c>
      <c r="D1942" s="54" t="s">
        <v>3300</v>
      </c>
      <c r="F1942" s="54" t="s">
        <v>4394</v>
      </c>
    </row>
    <row r="1943" spans="1:6" hidden="1">
      <c r="A1943" s="1659" t="s">
        <v>5970</v>
      </c>
      <c r="B1943" s="1653" t="s">
        <v>5971</v>
      </c>
      <c r="C1943" s="1659" t="s">
        <v>5972</v>
      </c>
      <c r="D1943" s="54" t="s">
        <v>3300</v>
      </c>
      <c r="F1943" s="54" t="s">
        <v>4394</v>
      </c>
    </row>
    <row r="1944" spans="1:6" hidden="1">
      <c r="A1944" s="1659" t="s">
        <v>5973</v>
      </c>
      <c r="B1944" s="1653" t="s">
        <v>5601</v>
      </c>
      <c r="C1944" s="1659" t="s">
        <v>5974</v>
      </c>
      <c r="D1944" s="54" t="s">
        <v>2555</v>
      </c>
      <c r="F1944" s="54" t="s">
        <v>4394</v>
      </c>
    </row>
    <row r="1945" spans="1:6" hidden="1">
      <c r="A1945" s="1659" t="s">
        <v>5975</v>
      </c>
      <c r="B1945" s="1653" t="s">
        <v>5599</v>
      </c>
      <c r="C1945" s="1659" t="s">
        <v>5976</v>
      </c>
      <c r="D1945" s="54" t="s">
        <v>2555</v>
      </c>
      <c r="F1945" s="54" t="s">
        <v>4394</v>
      </c>
    </row>
    <row r="1946" spans="1:6" hidden="1">
      <c r="A1946" s="1659" t="s">
        <v>5977</v>
      </c>
      <c r="B1946" s="1653" t="s">
        <v>5602</v>
      </c>
      <c r="C1946" s="1659" t="s">
        <v>5978</v>
      </c>
      <c r="D1946" s="54" t="s">
        <v>2555</v>
      </c>
      <c r="F1946" s="54" t="s">
        <v>4394</v>
      </c>
    </row>
    <row r="1947" spans="1:6" hidden="1">
      <c r="C1947" s="1659" t="s">
        <v>5979</v>
      </c>
      <c r="F1947" s="54">
        <v>3000</v>
      </c>
    </row>
    <row r="1948" spans="1:6" hidden="1">
      <c r="A1948" s="1659" t="s">
        <v>5980</v>
      </c>
      <c r="B1948" s="1653" t="s">
        <v>5981</v>
      </c>
      <c r="C1948" s="1659" t="s">
        <v>5982</v>
      </c>
      <c r="D1948" s="54" t="s">
        <v>2555</v>
      </c>
      <c r="F1948" s="54" t="s">
        <v>4394</v>
      </c>
    </row>
    <row r="1949" spans="1:6" hidden="1">
      <c r="A1949" s="1659" t="s">
        <v>5983</v>
      </c>
      <c r="B1949" s="1653" t="s">
        <v>5981</v>
      </c>
      <c r="C1949" s="1659" t="s">
        <v>5984</v>
      </c>
      <c r="D1949" s="54" t="s">
        <v>2555</v>
      </c>
      <c r="F1949" s="54" t="s">
        <v>4394</v>
      </c>
    </row>
    <row r="1950" spans="1:6" hidden="1">
      <c r="A1950" s="1659" t="s">
        <v>5985</v>
      </c>
      <c r="B1950" s="1653" t="s">
        <v>5986</v>
      </c>
      <c r="C1950" s="1659" t="s">
        <v>5987</v>
      </c>
      <c r="D1950" s="54" t="s">
        <v>2555</v>
      </c>
      <c r="F1950" s="54" t="s">
        <v>4394</v>
      </c>
    </row>
    <row r="1951" spans="1:6" hidden="1">
      <c r="A1951" s="1659" t="s">
        <v>5988</v>
      </c>
      <c r="B1951" s="1653" t="s">
        <v>5562</v>
      </c>
      <c r="C1951" s="1659" t="s">
        <v>5989</v>
      </c>
      <c r="D1951" s="54" t="s">
        <v>2439</v>
      </c>
      <c r="F1951" s="54" t="s">
        <v>4394</v>
      </c>
    </row>
    <row r="1952" spans="1:6" hidden="1">
      <c r="A1952" s="1659" t="s">
        <v>5990</v>
      </c>
      <c r="B1952" s="1653" t="s">
        <v>5991</v>
      </c>
      <c r="C1952" s="1659" t="s">
        <v>5992</v>
      </c>
      <c r="D1952" s="54" t="s">
        <v>2831</v>
      </c>
      <c r="F1952" s="54" t="s">
        <v>4394</v>
      </c>
    </row>
    <row r="1953" spans="1:6" hidden="1">
      <c r="A1953" s="1659" t="s">
        <v>5993</v>
      </c>
      <c r="B1953" s="1653" t="s">
        <v>5994</v>
      </c>
      <c r="C1953" s="1659" t="s">
        <v>5995</v>
      </c>
      <c r="D1953" s="54" t="s">
        <v>2831</v>
      </c>
      <c r="F1953" s="54" t="s">
        <v>4394</v>
      </c>
    </row>
    <row r="1954" spans="1:6" hidden="1">
      <c r="A1954" s="1659" t="s">
        <v>5996</v>
      </c>
      <c r="B1954" s="1653" t="s">
        <v>5997</v>
      </c>
      <c r="C1954" s="1659" t="s">
        <v>5998</v>
      </c>
      <c r="D1954" s="54" t="s">
        <v>2831</v>
      </c>
      <c r="F1954" s="54" t="s">
        <v>4394</v>
      </c>
    </row>
    <row r="1955" spans="1:6" hidden="1">
      <c r="A1955" s="1659" t="s">
        <v>5999</v>
      </c>
      <c r="B1955" s="1653" t="s">
        <v>6000</v>
      </c>
      <c r="C1955" s="1659" t="s">
        <v>6001</v>
      </c>
      <c r="D1955" s="54" t="s">
        <v>2831</v>
      </c>
      <c r="F1955" s="54" t="s">
        <v>4394</v>
      </c>
    </row>
    <row r="1956" spans="1:6" hidden="1">
      <c r="A1956" s="1659" t="s">
        <v>6002</v>
      </c>
      <c r="B1956" s="1653" t="s">
        <v>6003</v>
      </c>
      <c r="C1956" s="1659" t="s">
        <v>6004</v>
      </c>
      <c r="D1956" s="54" t="s">
        <v>1823</v>
      </c>
      <c r="F1956" s="54" t="s">
        <v>4394</v>
      </c>
    </row>
    <row r="1957" spans="1:6" hidden="1">
      <c r="A1957" s="1659" t="s">
        <v>6005</v>
      </c>
      <c r="B1957" s="1653" t="s">
        <v>6006</v>
      </c>
      <c r="C1957" s="1659" t="s">
        <v>6007</v>
      </c>
      <c r="D1957" s="54" t="s">
        <v>1823</v>
      </c>
      <c r="F1957" s="54" t="s">
        <v>4394</v>
      </c>
    </row>
    <row r="1958" spans="1:6" hidden="1">
      <c r="A1958" s="1659" t="s">
        <v>6008</v>
      </c>
      <c r="B1958" s="1653" t="s">
        <v>6009</v>
      </c>
      <c r="C1958" s="1659" t="s">
        <v>6010</v>
      </c>
      <c r="D1958" s="54" t="s">
        <v>1823</v>
      </c>
      <c r="F1958" s="54" t="s">
        <v>4394</v>
      </c>
    </row>
    <row r="1959" spans="1:6" hidden="1">
      <c r="A1959" s="1659" t="s">
        <v>6011</v>
      </c>
      <c r="B1959" s="1653" t="s">
        <v>6012</v>
      </c>
      <c r="C1959" s="1659" t="s">
        <v>6013</v>
      </c>
      <c r="D1959" s="54" t="s">
        <v>1823</v>
      </c>
      <c r="F1959" s="54" t="s">
        <v>4394</v>
      </c>
    </row>
    <row r="1960" spans="1:6" hidden="1">
      <c r="A1960" s="1659" t="s">
        <v>6014</v>
      </c>
      <c r="B1960" s="1653" t="s">
        <v>6015</v>
      </c>
      <c r="C1960" s="1659" t="s">
        <v>6016</v>
      </c>
      <c r="D1960" s="54" t="s">
        <v>1823</v>
      </c>
      <c r="F1960" s="54" t="s">
        <v>4394</v>
      </c>
    </row>
    <row r="1961" spans="1:6" hidden="1">
      <c r="C1961" s="1659" t="s">
        <v>6017</v>
      </c>
      <c r="D1961" s="54" t="s">
        <v>1823</v>
      </c>
      <c r="F1961" s="54">
        <v>3000</v>
      </c>
    </row>
    <row r="1962" spans="1:6" hidden="1">
      <c r="A1962" s="1659" t="s">
        <v>6018</v>
      </c>
      <c r="B1962" s="1653" t="s">
        <v>6019</v>
      </c>
      <c r="C1962" s="1659" t="s">
        <v>6020</v>
      </c>
      <c r="D1962" s="54" t="s">
        <v>1823</v>
      </c>
      <c r="F1962" s="54" t="s">
        <v>4394</v>
      </c>
    </row>
    <row r="1963" spans="1:6" hidden="1">
      <c r="A1963" s="1659" t="s">
        <v>6021</v>
      </c>
      <c r="B1963" s="1653" t="s">
        <v>6022</v>
      </c>
      <c r="C1963" s="1659" t="s">
        <v>6023</v>
      </c>
      <c r="D1963" s="54" t="s">
        <v>1823</v>
      </c>
      <c r="F1963" s="54" t="s">
        <v>4394</v>
      </c>
    </row>
    <row r="1964" spans="1:6" hidden="1">
      <c r="A1964" s="1659" t="s">
        <v>6024</v>
      </c>
      <c r="B1964" s="1653" t="s">
        <v>6025</v>
      </c>
      <c r="C1964" s="1659" t="s">
        <v>6026</v>
      </c>
      <c r="D1964" s="54" t="s">
        <v>1823</v>
      </c>
      <c r="F1964" s="54" t="s">
        <v>4394</v>
      </c>
    </row>
    <row r="1965" spans="1:6" hidden="1">
      <c r="A1965" s="1659" t="s">
        <v>6027</v>
      </c>
      <c r="B1965" s="1653" t="s">
        <v>6028</v>
      </c>
      <c r="C1965" s="1659" t="s">
        <v>6029</v>
      </c>
      <c r="D1965" s="54" t="s">
        <v>1823</v>
      </c>
      <c r="F1965" s="54" t="s">
        <v>4394</v>
      </c>
    </row>
    <row r="1966" spans="1:6" hidden="1">
      <c r="A1966" s="1659" t="s">
        <v>6030</v>
      </c>
      <c r="B1966" s="1653" t="s">
        <v>6031</v>
      </c>
      <c r="C1966" s="1659" t="s">
        <v>6032</v>
      </c>
      <c r="D1966" s="54" t="s">
        <v>1823</v>
      </c>
      <c r="F1966" s="54" t="s">
        <v>4394</v>
      </c>
    </row>
    <row r="1967" spans="1:6" hidden="1">
      <c r="A1967" s="1659" t="s">
        <v>6033</v>
      </c>
      <c r="B1967" s="1653" t="s">
        <v>6034</v>
      </c>
      <c r="C1967" s="1659" t="s">
        <v>6035</v>
      </c>
      <c r="D1967" s="54" t="s">
        <v>1823</v>
      </c>
      <c r="F1967" s="54" t="s">
        <v>4394</v>
      </c>
    </row>
    <row r="1968" spans="1:6" hidden="1">
      <c r="C1968" s="1659" t="s">
        <v>6036</v>
      </c>
      <c r="D1968" s="54" t="s">
        <v>1823</v>
      </c>
      <c r="F1968" s="54">
        <v>3000</v>
      </c>
    </row>
    <row r="1969" spans="1:6" hidden="1">
      <c r="A1969" s="1659" t="s">
        <v>6037</v>
      </c>
      <c r="B1969" s="1653" t="s">
        <v>6038</v>
      </c>
      <c r="C1969" s="1659" t="s">
        <v>6039</v>
      </c>
      <c r="D1969" s="54" t="s">
        <v>1823</v>
      </c>
      <c r="F1969" s="54" t="s">
        <v>4394</v>
      </c>
    </row>
    <row r="1970" spans="1:6" hidden="1">
      <c r="A1970" s="1659" t="s">
        <v>6040</v>
      </c>
      <c r="B1970" s="1653" t="s">
        <v>6041</v>
      </c>
      <c r="C1970" s="1659" t="s">
        <v>6042</v>
      </c>
      <c r="D1970" s="54" t="s">
        <v>1823</v>
      </c>
      <c r="F1970" s="54" t="s">
        <v>4394</v>
      </c>
    </row>
    <row r="1971" spans="1:6" hidden="1">
      <c r="A1971" s="1659" t="s">
        <v>6043</v>
      </c>
      <c r="B1971" s="1653" t="s">
        <v>6044</v>
      </c>
      <c r="C1971" s="1659" t="s">
        <v>6045</v>
      </c>
      <c r="D1971" s="54" t="s">
        <v>1823</v>
      </c>
      <c r="F1971" s="54" t="s">
        <v>4394</v>
      </c>
    </row>
    <row r="1972" spans="1:6" hidden="1">
      <c r="A1972" s="1659" t="s">
        <v>6046</v>
      </c>
      <c r="B1972" s="1653" t="s">
        <v>6047</v>
      </c>
      <c r="C1972" s="1659" t="s">
        <v>6048</v>
      </c>
      <c r="D1972" s="54" t="s">
        <v>1823</v>
      </c>
      <c r="F1972" s="54" t="s">
        <v>4394</v>
      </c>
    </row>
    <row r="1973" spans="1:6" hidden="1">
      <c r="A1973" s="1659" t="s">
        <v>6049</v>
      </c>
      <c r="B1973" s="1653" t="s">
        <v>6050</v>
      </c>
      <c r="C1973" s="1659" t="s">
        <v>6051</v>
      </c>
      <c r="D1973" s="54" t="s">
        <v>1823</v>
      </c>
      <c r="F1973" s="54" t="s">
        <v>4394</v>
      </c>
    </row>
    <row r="1974" spans="1:6" hidden="1">
      <c r="A1974" s="1659" t="s">
        <v>6052</v>
      </c>
      <c r="B1974" s="1653" t="s">
        <v>6053</v>
      </c>
      <c r="C1974" s="1659" t="s">
        <v>6054</v>
      </c>
      <c r="D1974" s="54" t="s">
        <v>1823</v>
      </c>
      <c r="F1974" s="54" t="s">
        <v>4394</v>
      </c>
    </row>
    <row r="1975" spans="1:6" hidden="1">
      <c r="C1975" s="1659" t="s">
        <v>6055</v>
      </c>
      <c r="D1975" s="54" t="s">
        <v>1823</v>
      </c>
      <c r="F1975" s="54">
        <v>3000</v>
      </c>
    </row>
    <row r="1976" spans="1:6" hidden="1">
      <c r="A1976" s="1659" t="s">
        <v>6056</v>
      </c>
      <c r="B1976" s="1653" t="s">
        <v>6057</v>
      </c>
      <c r="C1976" s="1659" t="s">
        <v>6058</v>
      </c>
      <c r="D1976" s="54" t="s">
        <v>1823</v>
      </c>
      <c r="F1976" s="54" t="s">
        <v>4394</v>
      </c>
    </row>
    <row r="1977" spans="1:6" hidden="1">
      <c r="A1977" s="1659" t="s">
        <v>6059</v>
      </c>
      <c r="B1977" s="1653" t="s">
        <v>6060</v>
      </c>
      <c r="C1977" s="1659" t="s">
        <v>6061</v>
      </c>
      <c r="D1977" s="54" t="s">
        <v>1823</v>
      </c>
      <c r="F1977" s="54" t="s">
        <v>4394</v>
      </c>
    </row>
    <row r="1978" spans="1:6" hidden="1">
      <c r="A1978" s="1659" t="s">
        <v>6062</v>
      </c>
      <c r="B1978" s="1653" t="s">
        <v>6063</v>
      </c>
      <c r="C1978" s="1659" t="s">
        <v>6064</v>
      </c>
      <c r="D1978" s="54" t="s">
        <v>1823</v>
      </c>
      <c r="F1978" s="54" t="s">
        <v>4394</v>
      </c>
    </row>
    <row r="1979" spans="1:6" hidden="1">
      <c r="A1979" s="1659" t="s">
        <v>6065</v>
      </c>
      <c r="B1979" s="1653" t="s">
        <v>6066</v>
      </c>
      <c r="C1979" s="1659" t="s">
        <v>6067</v>
      </c>
      <c r="D1979" s="54" t="s">
        <v>1823</v>
      </c>
      <c r="F1979" s="54" t="s">
        <v>4394</v>
      </c>
    </row>
    <row r="1980" spans="1:6" hidden="1">
      <c r="C1980" s="1659" t="s">
        <v>6068</v>
      </c>
      <c r="D1980" s="54" t="s">
        <v>1823</v>
      </c>
      <c r="F1980" s="54">
        <v>3000</v>
      </c>
    </row>
    <row r="1981" spans="1:6" hidden="1">
      <c r="A1981" s="1659" t="s">
        <v>6069</v>
      </c>
      <c r="B1981" s="1653" t="s">
        <v>6070</v>
      </c>
      <c r="C1981" s="1659" t="s">
        <v>6071</v>
      </c>
      <c r="D1981" s="54" t="s">
        <v>1823</v>
      </c>
      <c r="F1981" s="54" t="s">
        <v>4394</v>
      </c>
    </row>
    <row r="1982" spans="1:6" hidden="1">
      <c r="A1982" s="1659" t="s">
        <v>6072</v>
      </c>
      <c r="B1982" s="1653" t="s">
        <v>6073</v>
      </c>
      <c r="C1982" s="1659" t="s">
        <v>6074</v>
      </c>
      <c r="D1982" s="54" t="s">
        <v>1823</v>
      </c>
      <c r="F1982" s="54" t="s">
        <v>4394</v>
      </c>
    </row>
    <row r="1983" spans="1:6" hidden="1">
      <c r="A1983" s="1659" t="s">
        <v>6075</v>
      </c>
      <c r="B1983" s="1653" t="s">
        <v>6076</v>
      </c>
      <c r="C1983" s="1659" t="s">
        <v>6077</v>
      </c>
      <c r="D1983" s="54" t="s">
        <v>1823</v>
      </c>
      <c r="F1983" s="54" t="s">
        <v>4394</v>
      </c>
    </row>
    <row r="1984" spans="1:6" hidden="1">
      <c r="A1984" s="1659" t="s">
        <v>6078</v>
      </c>
      <c r="B1984" s="1653" t="s">
        <v>6079</v>
      </c>
      <c r="C1984" s="1659" t="s">
        <v>6080</v>
      </c>
      <c r="D1984" s="54" t="s">
        <v>1823</v>
      </c>
      <c r="F1984" s="54" t="s">
        <v>4394</v>
      </c>
    </row>
    <row r="1985" spans="1:6" hidden="1">
      <c r="C1985" s="1659" t="s">
        <v>6081</v>
      </c>
      <c r="D1985" s="54" t="s">
        <v>1823</v>
      </c>
      <c r="F1985" s="54">
        <v>3000</v>
      </c>
    </row>
    <row r="1986" spans="1:6" hidden="1">
      <c r="A1986" s="1659" t="s">
        <v>6082</v>
      </c>
      <c r="B1986" s="1653" t="s">
        <v>6019</v>
      </c>
      <c r="C1986" s="1659" t="s">
        <v>6083</v>
      </c>
      <c r="D1986" s="54" t="s">
        <v>1823</v>
      </c>
      <c r="F1986" s="54" t="s">
        <v>4394</v>
      </c>
    </row>
    <row r="1987" spans="1:6" hidden="1">
      <c r="A1987" s="1659" t="s">
        <v>6084</v>
      </c>
      <c r="B1987" s="1653" t="s">
        <v>6019</v>
      </c>
      <c r="C1987" s="1659" t="s">
        <v>6085</v>
      </c>
      <c r="D1987" s="54" t="s">
        <v>1823</v>
      </c>
      <c r="F1987" s="54" t="s">
        <v>4394</v>
      </c>
    </row>
    <row r="1988" spans="1:6" hidden="1">
      <c r="A1988" s="1659" t="s">
        <v>6086</v>
      </c>
      <c r="B1988" s="1653" t="s">
        <v>6019</v>
      </c>
      <c r="C1988" s="1659" t="s">
        <v>6087</v>
      </c>
      <c r="D1988" s="54" t="s">
        <v>1823</v>
      </c>
      <c r="F1988" s="54" t="s">
        <v>4394</v>
      </c>
    </row>
    <row r="1989" spans="1:6" hidden="1">
      <c r="A1989" s="1659" t="s">
        <v>6088</v>
      </c>
      <c r="B1989" s="1653" t="s">
        <v>6019</v>
      </c>
      <c r="C1989" s="1659" t="s">
        <v>6089</v>
      </c>
      <c r="D1989" s="54" t="s">
        <v>1823</v>
      </c>
      <c r="F1989" s="54" t="s">
        <v>4394</v>
      </c>
    </row>
    <row r="1990" spans="1:6" hidden="1">
      <c r="A1990" s="1659" t="s">
        <v>6414</v>
      </c>
      <c r="C1990" s="1659" t="s">
        <v>6237</v>
      </c>
      <c r="D1990" s="54" t="s">
        <v>2385</v>
      </c>
      <c r="F1990" s="54">
        <v>2000</v>
      </c>
    </row>
    <row r="1991" spans="1:6" hidden="1">
      <c r="A1991" s="1659" t="s">
        <v>6415</v>
      </c>
      <c r="C1991" s="1659" t="s">
        <v>6276</v>
      </c>
      <c r="D1991" s="54" t="s">
        <v>2385</v>
      </c>
      <c r="F1991" s="54">
        <v>2000</v>
      </c>
    </row>
    <row r="1992" spans="1:6" hidden="1">
      <c r="A1992" s="1659" t="s">
        <v>6416</v>
      </c>
      <c r="C1992" s="1659" t="s">
        <v>6277</v>
      </c>
      <c r="D1992" s="54" t="s">
        <v>2385</v>
      </c>
      <c r="F1992" s="54">
        <v>2000</v>
      </c>
    </row>
    <row r="1993" spans="1:6" hidden="1"/>
    <row r="1994" spans="1:6" hidden="1">
      <c r="C1994" s="1659" t="s">
        <v>3692</v>
      </c>
      <c r="D1994" s="54" t="s">
        <v>2385</v>
      </c>
    </row>
    <row r="1995" spans="1:6" hidden="1">
      <c r="C1995" s="1659" t="s">
        <v>3674</v>
      </c>
      <c r="D1995" s="54" t="s">
        <v>2385</v>
      </c>
    </row>
    <row r="1996" spans="1:6" hidden="1">
      <c r="A1996" s="1659" t="s">
        <v>6465</v>
      </c>
      <c r="C1996" s="1659" t="s">
        <v>4344</v>
      </c>
      <c r="D1996" s="54" t="s">
        <v>2385</v>
      </c>
      <c r="F1996" s="54">
        <v>2000</v>
      </c>
    </row>
    <row r="1997" spans="1:6" hidden="1">
      <c r="C1997" s="1659" t="s">
        <v>4377</v>
      </c>
      <c r="D1997" s="54" t="s">
        <v>2385</v>
      </c>
    </row>
    <row r="1998" spans="1:6" hidden="1">
      <c r="C1998" s="1659" t="s">
        <v>3700</v>
      </c>
      <c r="D1998" s="54" t="s">
        <v>2385</v>
      </c>
    </row>
    <row r="1999" spans="1:6" hidden="1">
      <c r="C1999" s="1659" t="s">
        <v>3707</v>
      </c>
      <c r="D1999" s="54" t="s">
        <v>2385</v>
      </c>
    </row>
    <row r="2000" spans="1:6" hidden="1">
      <c r="C2000" s="1659" t="s">
        <v>3708</v>
      </c>
      <c r="D2000" s="54" t="s">
        <v>2385</v>
      </c>
    </row>
    <row r="2001" spans="1:6" hidden="1">
      <c r="C2001" s="1659" t="s">
        <v>3701</v>
      </c>
      <c r="D2001" s="54" t="s">
        <v>2385</v>
      </c>
    </row>
    <row r="2002" spans="1:6" hidden="1">
      <c r="C2002" s="1659" t="s">
        <v>3709</v>
      </c>
      <c r="D2002" s="54" t="s">
        <v>2385</v>
      </c>
    </row>
    <row r="2003" spans="1:6" hidden="1">
      <c r="C2003" s="1659" t="s">
        <v>3712</v>
      </c>
      <c r="D2003" s="54" t="s">
        <v>2277</v>
      </c>
    </row>
    <row r="2004" spans="1:6" hidden="1">
      <c r="C2004" s="1659" t="s">
        <v>3713</v>
      </c>
      <c r="D2004" s="54" t="s">
        <v>2327</v>
      </c>
    </row>
    <row r="2005" spans="1:6" hidden="1">
      <c r="C2005" s="1659" t="s">
        <v>4825</v>
      </c>
      <c r="D2005" s="54" t="s">
        <v>2385</v>
      </c>
    </row>
    <row r="2006" spans="1:6" hidden="1">
      <c r="C2006" s="1659" t="s">
        <v>4826</v>
      </c>
      <c r="D2006" s="54" t="s">
        <v>2385</v>
      </c>
    </row>
    <row r="2007" spans="1:6" hidden="1">
      <c r="C2007" s="1659" t="s">
        <v>3715</v>
      </c>
      <c r="D2007" s="54" t="s">
        <v>2385</v>
      </c>
    </row>
    <row r="2008" spans="1:6" hidden="1">
      <c r="C2008" s="1659" t="s">
        <v>4452</v>
      </c>
      <c r="D2008" s="54" t="s">
        <v>2385</v>
      </c>
    </row>
    <row r="2009" spans="1:6" hidden="1">
      <c r="A2009" s="1659" t="s">
        <v>6466</v>
      </c>
      <c r="C2009" s="1659" t="s">
        <v>4459</v>
      </c>
      <c r="D2009" s="54" t="s">
        <v>2385</v>
      </c>
      <c r="F2009" s="54">
        <v>2000</v>
      </c>
    </row>
    <row r="2010" spans="1:6" hidden="1">
      <c r="C2010" s="1659" t="s">
        <v>3717</v>
      </c>
      <c r="D2010" s="54" t="s">
        <v>2385</v>
      </c>
    </row>
    <row r="2011" spans="1:6" hidden="1">
      <c r="C2011" s="1659" t="s">
        <v>3718</v>
      </c>
      <c r="D2011" s="54" t="s">
        <v>2385</v>
      </c>
    </row>
    <row r="2012" spans="1:6" hidden="1">
      <c r="C2012" s="1659" t="s">
        <v>3719</v>
      </c>
      <c r="D2012" s="54" t="s">
        <v>2385</v>
      </c>
    </row>
    <row r="2013" spans="1:6" hidden="1">
      <c r="C2013" s="1659" t="s">
        <v>3720</v>
      </c>
      <c r="D2013" s="54" t="s">
        <v>2385</v>
      </c>
    </row>
    <row r="2014" spans="1:6" hidden="1">
      <c r="C2014" s="1659" t="s">
        <v>3721</v>
      </c>
      <c r="D2014" s="54" t="s">
        <v>2385</v>
      </c>
    </row>
    <row r="2015" spans="1:6" hidden="1">
      <c r="C2015" s="1659" t="s">
        <v>3722</v>
      </c>
      <c r="D2015" s="54" t="s">
        <v>2385</v>
      </c>
    </row>
    <row r="2016" spans="1:6" hidden="1">
      <c r="C2016" s="1659" t="s">
        <v>3723</v>
      </c>
      <c r="D2016" s="54" t="s">
        <v>2385</v>
      </c>
    </row>
    <row r="2017" spans="1:6" hidden="1">
      <c r="C2017" s="1659" t="s">
        <v>3724</v>
      </c>
      <c r="D2017" s="54" t="s">
        <v>2532</v>
      </c>
    </row>
    <row r="2018" spans="1:6" hidden="1">
      <c r="C2018" s="1659" t="s">
        <v>3725</v>
      </c>
      <c r="D2018" s="54" t="s">
        <v>2385</v>
      </c>
    </row>
    <row r="2019" spans="1:6" hidden="1">
      <c r="C2019" s="1659" t="s">
        <v>3726</v>
      </c>
      <c r="D2019" s="54" t="s">
        <v>2385</v>
      </c>
    </row>
    <row r="2020" spans="1:6" hidden="1">
      <c r="C2020" s="1659" t="s">
        <v>3727</v>
      </c>
      <c r="D2020" s="54" t="s">
        <v>2385</v>
      </c>
    </row>
    <row r="2021" spans="1:6" hidden="1">
      <c r="C2021" s="1659" t="s">
        <v>3728</v>
      </c>
      <c r="D2021" s="54" t="s">
        <v>2385</v>
      </c>
    </row>
    <row r="2022" spans="1:6" hidden="1">
      <c r="C2022" s="1659" t="s">
        <v>3729</v>
      </c>
      <c r="D2022" s="54" t="s">
        <v>2385</v>
      </c>
    </row>
    <row r="2023" spans="1:6" hidden="1">
      <c r="C2023" s="1659" t="s">
        <v>3733</v>
      </c>
      <c r="D2023" s="54" t="s">
        <v>2277</v>
      </c>
    </row>
    <row r="2024" spans="1:6" hidden="1">
      <c r="C2024" s="1659" t="s">
        <v>3734</v>
      </c>
      <c r="D2024" s="54" t="s">
        <v>2277</v>
      </c>
    </row>
    <row r="2025" spans="1:6" hidden="1">
      <c r="A2025" s="1659" t="s">
        <v>6454</v>
      </c>
      <c r="C2025" s="1659" t="s">
        <v>3714</v>
      </c>
      <c r="D2025" s="54" t="s">
        <v>2385</v>
      </c>
      <c r="F2025" s="54">
        <v>2000</v>
      </c>
    </row>
    <row r="2026" spans="1:6" hidden="1">
      <c r="C2026" s="1659" t="s">
        <v>3735</v>
      </c>
      <c r="D2026" s="54" t="s">
        <v>2385</v>
      </c>
    </row>
    <row r="2027" spans="1:6" hidden="1">
      <c r="C2027" s="1659" t="s">
        <v>4557</v>
      </c>
      <c r="D2027" s="54" t="s">
        <v>2385</v>
      </c>
    </row>
    <row r="2028" spans="1:6" hidden="1">
      <c r="C2028" s="1659" t="s">
        <v>3739</v>
      </c>
      <c r="D2028" s="54" t="s">
        <v>2385</v>
      </c>
    </row>
    <row r="2029" spans="1:6" hidden="1">
      <c r="A2029" s="1659" t="s">
        <v>6444</v>
      </c>
      <c r="C2029" s="1659" t="s">
        <v>3736</v>
      </c>
      <c r="D2029" s="54" t="s">
        <v>2385</v>
      </c>
      <c r="F2029" s="54">
        <v>2000</v>
      </c>
    </row>
    <row r="2030" spans="1:6" hidden="1">
      <c r="C2030" s="1659" t="s">
        <v>4534</v>
      </c>
      <c r="D2030" s="54" t="s">
        <v>2385</v>
      </c>
    </row>
    <row r="2031" spans="1:6" hidden="1">
      <c r="C2031" s="1659" t="s">
        <v>3737</v>
      </c>
      <c r="D2031" s="54" t="s">
        <v>2385</v>
      </c>
    </row>
    <row r="2032" spans="1:6" hidden="1">
      <c r="C2032" s="1659" t="s">
        <v>3738</v>
      </c>
      <c r="D2032" s="54" t="s">
        <v>2385</v>
      </c>
    </row>
    <row r="2033" spans="3:4" hidden="1">
      <c r="C2033" s="1659" t="s">
        <v>4797</v>
      </c>
      <c r="D2033" s="54" t="s">
        <v>2385</v>
      </c>
    </row>
    <row r="2034" spans="3:4" hidden="1">
      <c r="C2034" s="1659" t="s">
        <v>3740</v>
      </c>
      <c r="D2034" s="54" t="s">
        <v>2385</v>
      </c>
    </row>
    <row r="2035" spans="3:4" hidden="1">
      <c r="C2035" s="1659" t="s">
        <v>3742</v>
      </c>
      <c r="D2035" s="54" t="s">
        <v>2385</v>
      </c>
    </row>
    <row r="2036" spans="3:4" hidden="1">
      <c r="C2036" s="1659" t="s">
        <v>3743</v>
      </c>
      <c r="D2036" s="54" t="s">
        <v>2385</v>
      </c>
    </row>
    <row r="2037" spans="3:4" hidden="1">
      <c r="C2037" s="1659" t="s">
        <v>3744</v>
      </c>
      <c r="D2037" s="54" t="s">
        <v>2385</v>
      </c>
    </row>
    <row r="2038" spans="3:4" hidden="1">
      <c r="C2038" s="1659" t="s">
        <v>6427</v>
      </c>
      <c r="D2038" s="54" t="s">
        <v>2385</v>
      </c>
    </row>
    <row r="2039" spans="3:4" hidden="1">
      <c r="C2039" s="1659" t="s">
        <v>3745</v>
      </c>
      <c r="D2039" s="54" t="s">
        <v>2385</v>
      </c>
    </row>
    <row r="2040" spans="3:4" hidden="1">
      <c r="C2040" s="1659" t="s">
        <v>3746</v>
      </c>
      <c r="D2040" s="54" t="s">
        <v>2385</v>
      </c>
    </row>
    <row r="2041" spans="3:4" hidden="1">
      <c r="C2041" s="1659" t="s">
        <v>3747</v>
      </c>
      <c r="D2041" s="54" t="s">
        <v>2385</v>
      </c>
    </row>
    <row r="2042" spans="3:4" hidden="1">
      <c r="C2042" s="1659" t="s">
        <v>3749</v>
      </c>
      <c r="D2042" s="54" t="s">
        <v>2385</v>
      </c>
    </row>
    <row r="2043" spans="3:4" hidden="1">
      <c r="C2043" s="1659" t="s">
        <v>3716</v>
      </c>
      <c r="D2043" s="54" t="s">
        <v>2385</v>
      </c>
    </row>
    <row r="2044" spans="3:4" hidden="1">
      <c r="C2044" s="1659" t="s">
        <v>3751</v>
      </c>
      <c r="D2044" s="54" t="s">
        <v>2385</v>
      </c>
    </row>
    <row r="2045" spans="3:4" hidden="1">
      <c r="C2045" s="1659" t="s">
        <v>3752</v>
      </c>
      <c r="D2045" s="54" t="s">
        <v>2385</v>
      </c>
    </row>
    <row r="2046" spans="3:4" hidden="1">
      <c r="C2046" s="1659" t="s">
        <v>3753</v>
      </c>
      <c r="D2046" s="54" t="s">
        <v>2385</v>
      </c>
    </row>
    <row r="2047" spans="3:4" hidden="1">
      <c r="C2047" s="1659" t="s">
        <v>3754</v>
      </c>
      <c r="D2047" s="54" t="s">
        <v>2385</v>
      </c>
    </row>
    <row r="2048" spans="3:4" hidden="1">
      <c r="C2048" s="1659" t="s">
        <v>3756</v>
      </c>
      <c r="D2048" s="54" t="s">
        <v>2385</v>
      </c>
    </row>
    <row r="2049" spans="1:6" hidden="1">
      <c r="C2049" s="1659" t="s">
        <v>3757</v>
      </c>
      <c r="D2049" s="54" t="s">
        <v>2532</v>
      </c>
    </row>
    <row r="2050" spans="1:6" hidden="1">
      <c r="C2050" s="1659" t="s">
        <v>3758</v>
      </c>
      <c r="D2050" s="54" t="s">
        <v>2385</v>
      </c>
    </row>
    <row r="2051" spans="1:6" hidden="1">
      <c r="C2051" s="1659" t="s">
        <v>3759</v>
      </c>
      <c r="D2051" s="54" t="s">
        <v>2385</v>
      </c>
    </row>
    <row r="2052" spans="1:6" hidden="1">
      <c r="A2052" s="1659" t="s">
        <v>6449</v>
      </c>
      <c r="C2052" s="1659" t="s">
        <v>3760</v>
      </c>
      <c r="D2052" s="54" t="s">
        <v>2385</v>
      </c>
      <c r="F2052" s="54">
        <v>2000</v>
      </c>
    </row>
    <row r="2053" spans="1:6" hidden="1">
      <c r="A2053" s="1659" t="s">
        <v>6448</v>
      </c>
      <c r="C2053" s="1659" t="s">
        <v>6447</v>
      </c>
      <c r="D2053" s="54" t="s">
        <v>2385</v>
      </c>
      <c r="F2053" s="54">
        <v>2000</v>
      </c>
    </row>
    <row r="2054" spans="1:6" ht="13.8">
      <c r="C2054" s="2836"/>
    </row>
  </sheetData>
  <autoFilter ref="A1:J2053" xr:uid="{00000000-0009-0000-0000-000000000000}">
    <filterColumn colId="2">
      <colorFilter dxfId="166"/>
    </filterColumn>
  </autoFilter>
  <phoneticPr fontId="0" type="noConversion"/>
  <conditionalFormatting sqref="A1468:A1565 A1:A36 A1567:A1048576 A1069:A1466 A38:A1067">
    <cfRule type="duplicateValues" dxfId="165" priority="9"/>
  </conditionalFormatting>
  <conditionalFormatting sqref="A1467">
    <cfRule type="duplicateValues" dxfId="164" priority="7"/>
  </conditionalFormatting>
  <conditionalFormatting sqref="A1566">
    <cfRule type="duplicateValues" dxfId="163" priority="5"/>
  </conditionalFormatting>
  <conditionalFormatting sqref="A1068">
    <cfRule type="duplicateValues" dxfId="162" priority="3"/>
  </conditionalFormatting>
  <conditionalFormatting sqref="A37">
    <cfRule type="duplicateValues" dxfId="161"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7" operator="containsText" id="{4AC0C48D-BFC6-4A2E-848F-AAD217C6DE83}">
            <xm:f>NOT(ISERROR(SEARCH($A$1,C1)))</xm:f>
            <xm:f>$A$1</xm:f>
            <x14:dxf>
              <font>
                <color rgb="FF9C0006"/>
              </font>
              <fill>
                <patternFill>
                  <bgColor rgb="FFFFC7CE"/>
                </patternFill>
              </fill>
            </x14:dxf>
          </x14:cfRule>
          <xm:sqref>C1867:C1048576 C1:C36 C1330:C1466 C364:C1067 C199:C356 C1328 C1468:C1565 C1567:C1865 C38:C197 C1069:C1326</xm:sqref>
        </x14:conditionalFormatting>
        <x14:conditionalFormatting xmlns:xm="http://schemas.microsoft.com/office/excel/2006/main">
          <x14:cfRule type="containsText" priority="16" operator="containsText" id="{B66F0CBB-EA1D-40E3-AC73-BFF20AD0C72F}">
            <xm:f>NOT(ISERROR(SEARCH($A$1,C1866)))</xm:f>
            <xm:f>$A$1</xm:f>
            <x14:dxf>
              <font>
                <color rgb="FF9C0006"/>
              </font>
              <fill>
                <patternFill>
                  <bgColor rgb="FFFFC7CE"/>
                </patternFill>
              </fill>
            </x14:dxf>
          </x14:cfRule>
          <xm:sqref>C1866</xm:sqref>
        </x14:conditionalFormatting>
        <x14:conditionalFormatting xmlns:xm="http://schemas.microsoft.com/office/excel/2006/main">
          <x14:cfRule type="containsText" priority="15" operator="containsText" id="{A06451CD-11BA-4B9E-9E5F-AE40CFEFE276}">
            <xm:f>NOT(ISERROR(SEARCH($A$1,C1329)))</xm:f>
            <xm:f>$A$1</xm:f>
            <x14:dxf>
              <font>
                <color rgb="FF9C0006"/>
              </font>
              <fill>
                <patternFill>
                  <bgColor rgb="FFFFC7CE"/>
                </patternFill>
              </fill>
            </x14:dxf>
          </x14:cfRule>
          <xm:sqref>C1329</xm:sqref>
        </x14:conditionalFormatting>
        <x14:conditionalFormatting xmlns:xm="http://schemas.microsoft.com/office/excel/2006/main">
          <x14:cfRule type="containsText" priority="12"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11"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10" operator="containsText" id="{4E61755B-5598-46B1-92B1-0208D94E644C}">
            <xm:f>NOT(ISERROR(SEARCH($A$1,C1327)))</xm:f>
            <xm:f>$A$1</xm:f>
            <x14:dxf>
              <font>
                <color rgb="FF9C0006"/>
              </font>
              <fill>
                <patternFill>
                  <bgColor rgb="FFFFC7CE"/>
                </patternFill>
              </fill>
            </x14:dxf>
          </x14:cfRule>
          <xm:sqref>C1327</xm:sqref>
        </x14:conditionalFormatting>
        <x14:conditionalFormatting xmlns:xm="http://schemas.microsoft.com/office/excel/2006/main">
          <x14:cfRule type="containsText" priority="8" operator="containsText" id="{56120D96-3B03-45FD-B5AB-DFFC33EC991E}">
            <xm:f>NOT(ISERROR(SEARCH($A$1,C1467)))</xm:f>
            <xm:f>$A$1</xm:f>
            <x14:dxf>
              <font>
                <color rgb="FF9C0006"/>
              </font>
              <fill>
                <patternFill>
                  <bgColor rgb="FFFFC7CE"/>
                </patternFill>
              </fill>
            </x14:dxf>
          </x14:cfRule>
          <xm:sqref>C1467</xm:sqref>
        </x14:conditionalFormatting>
        <x14:conditionalFormatting xmlns:xm="http://schemas.microsoft.com/office/excel/2006/main">
          <x14:cfRule type="containsText" priority="6" operator="containsText" id="{55843FE4-7273-43E1-B569-665557BB27BD}">
            <xm:f>NOT(ISERROR(SEARCH($A$1,C1566)))</xm:f>
            <xm:f>$A$1</xm:f>
            <x14:dxf>
              <font>
                <color rgb="FF9C0006"/>
              </font>
              <fill>
                <patternFill>
                  <bgColor rgb="FFFFC7CE"/>
                </patternFill>
              </fill>
            </x14:dxf>
          </x14:cfRule>
          <xm:sqref>C1566</xm:sqref>
        </x14:conditionalFormatting>
        <x14:conditionalFormatting xmlns:xm="http://schemas.microsoft.com/office/excel/2006/main">
          <x14:cfRule type="containsText" priority="4" operator="containsText" id="{8187FA20-F809-45FC-8D5C-93EDA8610E68}">
            <xm:f>NOT(ISERROR(SEARCH($A$1,C1068)))</xm:f>
            <xm:f>$A$1</xm:f>
            <x14:dxf>
              <font>
                <color rgb="FF9C0006"/>
              </font>
              <fill>
                <patternFill>
                  <bgColor rgb="FFFFC7CE"/>
                </patternFill>
              </fill>
            </x14:dxf>
          </x14:cfRule>
          <xm:sqref>C1068</xm:sqref>
        </x14:conditionalFormatting>
        <x14:conditionalFormatting xmlns:xm="http://schemas.microsoft.com/office/excel/2006/main">
          <x14:cfRule type="containsText" priority="2" operator="containsText" id="{C9D27EB8-CFAB-410E-864C-33DDB7BCB0EB}">
            <xm:f>NOT(ISERROR(SEARCH($A$1,C37)))</xm:f>
            <xm:f>$A$1</xm:f>
            <x14:dxf>
              <font>
                <color rgb="FF9C0006"/>
              </font>
              <fill>
                <patternFill>
                  <bgColor rgb="FFFFC7CE"/>
                </patternFill>
              </fill>
            </x14:dxf>
          </x14:cfRule>
          <xm:sqref>C37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V1" zoomScale="85" zoomScaleNormal="85" workbookViewId="0">
      <selection activeCell="AK2" sqref="AK2"/>
    </sheetView>
  </sheetViews>
  <sheetFormatPr defaultColWidth="8.90625" defaultRowHeight="16.8" outlineLevelCol="1"/>
  <cols>
    <col min="1" max="1" width="18.90625" style="949" hidden="1" customWidth="1" outlineLevel="1"/>
    <col min="2" max="2" width="20.54296875" style="949" hidden="1" customWidth="1" outlineLevel="1"/>
    <col min="3" max="3" width="15.08984375" style="1215" hidden="1" customWidth="1" outlineLevel="1"/>
    <col min="4" max="4" width="11.453125" style="950" hidden="1" customWidth="1" outlineLevel="1"/>
    <col min="5" max="5" width="15.08984375" style="1215" hidden="1" customWidth="1" outlineLevel="1"/>
    <col min="6" max="6" width="20.90625" style="949" hidden="1" customWidth="1" outlineLevel="1"/>
    <col min="7" max="7" width="11.453125" style="950" hidden="1" customWidth="1" outlineLevel="1"/>
    <col min="8" max="9" width="19" style="950" hidden="1" customWidth="1" outlineLevel="1"/>
    <col min="10" max="10" width="15.08984375" style="1215" hidden="1" customWidth="1" outlineLevel="1"/>
    <col min="11" max="11" width="12.81640625" hidden="1" customWidth="1" outlineLevel="1"/>
    <col min="12" max="12" width="8.08984375" style="950" hidden="1" customWidth="1" outlineLevel="1"/>
    <col min="13" max="13" width="8.81640625" style="950" hidden="1" customWidth="1" outlineLevel="1"/>
    <col min="14" max="14" width="11.54296875" style="950" hidden="1" customWidth="1" outlineLevel="1"/>
    <col min="15" max="15" width="14.6328125" style="950" hidden="1" customWidth="1" outlineLevel="1"/>
    <col min="16" max="16" width="11.453125" style="1215" hidden="1" customWidth="1" outlineLevel="1"/>
    <col min="17" max="17" width="18.1796875" style="950" hidden="1" customWidth="1" outlineLevel="1"/>
    <col min="18" max="18" width="12.453125" style="953" hidden="1" customWidth="1" outlineLevel="1"/>
    <col min="19" max="19" width="15.453125" style="950" hidden="1" customWidth="1" outlineLevel="1"/>
    <col min="20" max="20" width="17.453125" style="950" hidden="1" customWidth="1" outlineLevel="1"/>
    <col min="21" max="21" width="21" style="949" hidden="1" customWidth="1" outlineLevel="1"/>
    <col min="22" max="22" width="19.6328125" style="949" customWidth="1" collapsed="1"/>
    <col min="23" max="23" width="17.1796875" style="949" customWidth="1"/>
    <col min="24" max="24" width="22.6328125" style="949" customWidth="1"/>
    <col min="25" max="25" width="22.6328125" style="1215" customWidth="1"/>
    <col min="26" max="26" width="10.453125" style="949" customWidth="1"/>
    <col min="27" max="27" width="8.90625" style="949"/>
    <col min="28" max="30" width="22.6328125" style="949" customWidth="1"/>
    <col min="31" max="31" width="22.6328125" style="949" hidden="1" customWidth="1"/>
    <col min="32" max="37" width="8.90625" style="949"/>
    <col min="38" max="38" width="11.90625" style="949" customWidth="1"/>
    <col min="39" max="39" width="8.90625" style="949"/>
    <col min="40" max="42" width="8.90625" style="949" customWidth="1" outlineLevel="1"/>
    <col min="43" max="43" width="20.6328125" style="949" customWidth="1" outlineLevel="1"/>
    <col min="44" max="44" width="8.90625" style="949" customWidth="1" outlineLevel="1"/>
    <col min="45" max="45" width="8.90625" style="1215" customWidth="1" outlineLevel="1"/>
    <col min="46" max="48" width="8.90625" style="949" customWidth="1" outlineLevel="1"/>
    <col min="49" max="49" width="38.1796875" style="949" customWidth="1" outlineLevel="1"/>
    <col min="50" max="50" width="53.6328125" style="949" customWidth="1"/>
    <col min="51" max="51" width="8.90625" style="949"/>
    <col min="52" max="59" width="20.453125" style="949" customWidth="1"/>
    <col min="60" max="60" width="20" style="949" customWidth="1"/>
    <col min="61" max="69" width="18.90625" style="949" customWidth="1"/>
    <col min="70" max="16384" width="8.90625" style="949"/>
  </cols>
  <sheetData>
    <row r="1" spans="1:69" s="952" customFormat="1" ht="46.95" customHeight="1" thickTop="1">
      <c r="A1" s="1761" t="s">
        <v>4606</v>
      </c>
      <c r="B1" s="1761" t="s">
        <v>4379</v>
      </c>
      <c r="C1" s="1761" t="s">
        <v>4544</v>
      </c>
      <c r="D1" s="1761" t="s">
        <v>4382</v>
      </c>
      <c r="E1" s="1761" t="s">
        <v>4555</v>
      </c>
      <c r="F1" s="1761" t="s">
        <v>4470</v>
      </c>
      <c r="G1" s="1761" t="s">
        <v>4607</v>
      </c>
      <c r="H1" s="1761" t="s">
        <v>4608</v>
      </c>
      <c r="I1" s="1761" t="s">
        <v>4609</v>
      </c>
      <c r="J1" s="1761" t="s">
        <v>4945</v>
      </c>
      <c r="K1" s="1761" t="s">
        <v>4610</v>
      </c>
      <c r="L1" s="1761" t="s">
        <v>6455</v>
      </c>
      <c r="M1" s="1761" t="s">
        <v>6456</v>
      </c>
      <c r="N1" s="1761" t="s">
        <v>4611</v>
      </c>
      <c r="O1" s="1761" t="s">
        <v>4386</v>
      </c>
      <c r="P1" s="1761" t="s">
        <v>4947</v>
      </c>
      <c r="Q1" s="1761" t="s">
        <v>4383</v>
      </c>
      <c r="R1" s="1761" t="s">
        <v>4384</v>
      </c>
      <c r="S1" s="1761" t="s">
        <v>4385</v>
      </c>
      <c r="T1" s="1761" t="s">
        <v>4381</v>
      </c>
      <c r="U1" s="1761" t="s">
        <v>4612</v>
      </c>
      <c r="V1" s="1761" t="s">
        <v>4613</v>
      </c>
      <c r="W1" s="1761" t="s">
        <v>4173</v>
      </c>
      <c r="X1" s="1761" t="s">
        <v>4943</v>
      </c>
      <c r="Y1" s="1761" t="s">
        <v>4944</v>
      </c>
      <c r="Z1" s="1761" t="s">
        <v>4388</v>
      </c>
      <c r="AA1" s="1761" t="s">
        <v>4389</v>
      </c>
      <c r="AB1" s="1761" t="s">
        <v>4391</v>
      </c>
      <c r="AC1" s="1761" t="s">
        <v>4387</v>
      </c>
      <c r="AD1" s="1761" t="s">
        <v>4390</v>
      </c>
      <c r="AE1" s="1761" t="s">
        <v>4380</v>
      </c>
      <c r="AF1" s="1764" t="s">
        <v>4296</v>
      </c>
      <c r="AG1" s="1765" t="s">
        <v>4614</v>
      </c>
      <c r="AH1" s="1766" t="s">
        <v>4615</v>
      </c>
      <c r="AI1" s="1767" t="s">
        <v>4616</v>
      </c>
      <c r="AJ1" s="1761" t="s">
        <v>4617</v>
      </c>
      <c r="AK1" s="1761" t="s">
        <v>4618</v>
      </c>
      <c r="AL1" s="952" t="s">
        <v>4771</v>
      </c>
      <c r="AM1" s="952" t="s">
        <v>4801</v>
      </c>
      <c r="AN1" s="952" t="s">
        <v>4850</v>
      </c>
      <c r="AO1" s="952" t="s">
        <v>4847</v>
      </c>
      <c r="AP1" s="952" t="s">
        <v>4475</v>
      </c>
      <c r="AQ1" s="952" t="s">
        <v>1064</v>
      </c>
      <c r="AR1" s="952" t="s">
        <v>4849</v>
      </c>
      <c r="AS1" s="1760" t="s">
        <v>4856</v>
      </c>
      <c r="AT1" s="952" t="s">
        <v>4848</v>
      </c>
      <c r="AU1" s="952" t="s">
        <v>4851</v>
      </c>
      <c r="AV1" s="952" t="s">
        <v>4852</v>
      </c>
      <c r="AW1" s="952" t="s">
        <v>4935</v>
      </c>
      <c r="AX1" s="2075" t="s">
        <v>4948</v>
      </c>
      <c r="AY1" s="2076" t="s">
        <v>4949</v>
      </c>
      <c r="AZ1" s="2076" t="s">
        <v>4950</v>
      </c>
      <c r="BA1" s="2076" t="s">
        <v>4951</v>
      </c>
      <c r="BB1" s="2076" t="s">
        <v>4952</v>
      </c>
      <c r="BC1" s="2076" t="s">
        <v>4953</v>
      </c>
      <c r="BD1" s="2076" t="s">
        <v>4954</v>
      </c>
      <c r="BE1" s="2076" t="s">
        <v>4955</v>
      </c>
      <c r="BF1" s="2076" t="s">
        <v>4956</v>
      </c>
      <c r="BG1" s="2076" t="s">
        <v>4957</v>
      </c>
      <c r="BH1" s="2077" t="s">
        <v>4958</v>
      </c>
      <c r="BI1" s="2076" t="str">
        <f t="shared" ref="BI1:BQ1" si="0">"Top_"&amp;AZ1</f>
        <v>Top_NgayNTVT</v>
      </c>
      <c r="BJ1" s="2076" t="str">
        <f t="shared" si="0"/>
        <v>Top_Ngay_Mong</v>
      </c>
      <c r="BK1" s="2076" t="str">
        <f t="shared" si="0"/>
        <v>Top_Ngay_TrongTru-LapNeo</v>
      </c>
      <c r="BL1" s="2076" t="str">
        <f t="shared" si="0"/>
        <v>Top_NgayBeTong</v>
      </c>
      <c r="BM1" s="2076" t="str">
        <f t="shared" si="0"/>
        <v>Top_NgayPhuKien</v>
      </c>
      <c r="BN1" s="2076" t="str">
        <f t="shared" si="0"/>
        <v>Top_NgayKeoDay</v>
      </c>
      <c r="BO1" s="2076" t="str">
        <f t="shared" si="0"/>
        <v>Top_NgayLapThietBi</v>
      </c>
      <c r="BP1" s="2076" t="str">
        <f t="shared" si="0"/>
        <v>Top_NgayTiepDia</v>
      </c>
      <c r="BQ1" s="2076" t="str">
        <f t="shared" si="0"/>
        <v>Top_NgayDauNoi</v>
      </c>
    </row>
    <row r="2" spans="1:69" s="1218" customFormat="1" ht="252">
      <c r="A2" s="1762" t="s">
        <v>6090</v>
      </c>
      <c r="B2" s="1762" t="s">
        <v>6091</v>
      </c>
      <c r="C2" s="1759" t="s">
        <v>4946</v>
      </c>
      <c r="D2" s="1762" t="s">
        <v>6092</v>
      </c>
      <c r="E2" s="1759" t="s">
        <v>4533</v>
      </c>
      <c r="F2" s="1762" t="s">
        <v>6419</v>
      </c>
      <c r="G2" s="1762" t="s">
        <v>4497</v>
      </c>
      <c r="H2" s="1762" t="s">
        <v>6093</v>
      </c>
      <c r="I2" s="1762" t="s">
        <v>6418</v>
      </c>
      <c r="J2" s="1759" t="s">
        <v>4533</v>
      </c>
      <c r="K2" s="1759" t="s">
        <v>6094</v>
      </c>
      <c r="L2" s="1762" t="s">
        <v>6457</v>
      </c>
      <c r="M2" s="1762" t="s">
        <v>6458</v>
      </c>
      <c r="N2" s="1762" t="s">
        <v>6095</v>
      </c>
      <c r="O2" s="1762" t="s">
        <v>6096</v>
      </c>
      <c r="P2" s="1759" t="s">
        <v>4533</v>
      </c>
      <c r="Q2" s="1759" t="s">
        <v>6435</v>
      </c>
      <c r="R2" s="1762" t="s">
        <v>6097</v>
      </c>
      <c r="S2" s="1760" t="s">
        <v>6098</v>
      </c>
      <c r="T2" s="1762"/>
      <c r="U2" s="1762"/>
      <c r="V2" s="967" t="s">
        <v>4946</v>
      </c>
      <c r="W2" s="1763" t="s">
        <v>6476</v>
      </c>
      <c r="X2" s="1763" t="s">
        <v>6413</v>
      </c>
      <c r="Y2" s="1763" t="s">
        <v>4173</v>
      </c>
      <c r="Z2" s="1759" t="s">
        <v>4800</v>
      </c>
      <c r="AA2" s="1763" t="str">
        <f>UPPER(Z2)</f>
        <v>XUÂN HƯNG</v>
      </c>
      <c r="AB2" s="1762" t="s">
        <v>6477</v>
      </c>
      <c r="AC2" s="1762" t="str">
        <f>UPPER(AB2)</f>
        <v>ĐƯỜNG DÂY 22KV &amp; TBA 3P-1000KVA CÔNG TY TNHH ĐẦU TƯ ĐỒNG TÂM SOLAR</v>
      </c>
      <c r="AD2" s="1763" t="str">
        <f>IF(Z2&lt;&gt;0,"Xã "&amp;Z2&amp;" - ","")&amp;"Huyện Xuân Lộc - Tỉnh Đồng Nai"</f>
        <v>Xã Xuân Hưng - Huyện Xuân Lộc - Tỉnh Đồng Nai</v>
      </c>
      <c r="AE2" s="1763" t="str">
        <f>UPPER(AD2)</f>
        <v>XÃ XUÂN HƯNG - HUYỆN XUÂN LỘC - TỈNH ĐỒNG NAI</v>
      </c>
      <c r="AF2" s="1768" t="s">
        <v>4619</v>
      </c>
      <c r="AG2" s="1769" t="s">
        <v>4620</v>
      </c>
      <c r="AH2" s="967" t="s">
        <v>4172</v>
      </c>
      <c r="AI2" s="1771"/>
      <c r="AJ2" s="1936" t="s">
        <v>6597</v>
      </c>
      <c r="AK2" s="1936" t="s">
        <v>6460</v>
      </c>
      <c r="AL2" s="1218" t="s">
        <v>6461</v>
      </c>
      <c r="AM2" s="2038" t="s">
        <v>6462</v>
      </c>
      <c r="AN2" s="2947">
        <f>Solieu!D3</f>
        <v>2</v>
      </c>
      <c r="AO2" s="2947">
        <f>Solieu!D4</f>
        <v>3</v>
      </c>
      <c r="AP2" s="2947">
        <f>Solieu!D5</f>
        <v>4</v>
      </c>
      <c r="AQ2" s="2947">
        <f>Solieu!D6</f>
        <v>4</v>
      </c>
      <c r="AR2" s="2947">
        <f>Solieu!D7</f>
        <v>5</v>
      </c>
      <c r="AS2" s="2947">
        <f>Solieu!D8</f>
        <v>6</v>
      </c>
      <c r="AT2" s="2947">
        <f>Solieu!D9</f>
        <v>7</v>
      </c>
      <c r="AU2" s="2947">
        <f>Solieu!D10</f>
        <v>8</v>
      </c>
      <c r="AV2" s="2947">
        <f>Solieu!D11</f>
        <v>9</v>
      </c>
      <c r="AW2" s="2038" t="str">
        <f t="array" ref="AW2">_xlfn.TEXTJOIN(CHAR(10),TRUE,AW5:AW16)</f>
        <v xml:space="preserve"> - Từ trụ 270/028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78" t="s">
        <v>4959</v>
      </c>
      <c r="AY2" s="2065" t="s">
        <v>6420</v>
      </c>
      <c r="AZ2" s="2079"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79"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79" t="str">
        <f t="shared" si="1"/>
        <v>Bắt đầu: .......... giờ .......... ngày .......... tháng.......... năm 2020.
Kết thúc:.......... giờ .......... ngày.......... tháng .......... năm 2020.</v>
      </c>
      <c r="BC2" s="2079" t="str">
        <f t="shared" si="1"/>
        <v>Bắt đầu: .......... giờ .......... ngày .......... tháng.......... năm 2020.
Kết thúc:.......... giờ .......... ngày.......... tháng .......... năm 2020.</v>
      </c>
      <c r="BD2" s="2079" t="str">
        <f t="shared" si="1"/>
        <v>Bắt đầu: .......... giờ .......... ngày .......... tháng.......... năm 2020.
Kết thúc:.......... giờ .......... ngày.......... tháng .......... năm 2020.</v>
      </c>
      <c r="BE2" s="2079" t="str">
        <f t="shared" si="1"/>
        <v>Bắt đầu: .......... giờ .......... ngày .......... tháng.......... năm 2020.
Kết thúc:.......... giờ .......... ngày.......... tháng .......... năm 2020.</v>
      </c>
      <c r="BF2" s="2079" t="str">
        <f t="shared" si="1"/>
        <v>Bắt đầu: .......... giờ .......... ngày .......... tháng.......... năm 2020.
Kết thúc:.......... giờ .......... ngày.......... tháng .......... năm 2020.</v>
      </c>
      <c r="BG2" s="2079" t="str">
        <f t="shared" si="1"/>
        <v>Bắt đầu: .......... giờ .......... ngày .......... tháng.......... năm 2020.
Kết thúc:.......... giờ .......... ngày.......... tháng .......... năm 2020.</v>
      </c>
      <c r="BH2" s="2079" t="str">
        <f t="shared" si="1"/>
        <v>Bắt đầu: .......... giờ .......... ngày .......... tháng.......... năm 2020.
Kết thúc:.......... giờ .......... ngày.......... tháng .......... năm 2020.</v>
      </c>
      <c r="BI2" s="2038" t="str">
        <f t="shared" ref="BI2:BQ2" ca="1" si="2">IF(BI3&gt;0,"ngày "&amp;TEXT(BI3,"dd")&amp;" tháng "&amp;TEXT(BI3,"MM")&amp;" năm "&amp;TEXT(BI3,"yyyy")," ngày         tháng         năm "&amp;YEAR(TODAY()))</f>
        <v xml:space="preserve"> ngày         tháng         năm 2020</v>
      </c>
      <c r="BJ2" s="2038" t="str">
        <f t="shared" ca="1" si="2"/>
        <v xml:space="preserve"> ngày         tháng         năm 2020</v>
      </c>
      <c r="BK2" s="2038" t="str">
        <f t="shared" ca="1" si="2"/>
        <v xml:space="preserve"> ngày         tháng         năm 2020</v>
      </c>
      <c r="BL2" s="2038" t="str">
        <f t="shared" ca="1" si="2"/>
        <v xml:space="preserve"> ngày         tháng         năm 2020</v>
      </c>
      <c r="BM2" s="2038" t="str">
        <f t="shared" ca="1" si="2"/>
        <v xml:space="preserve"> ngày         tháng         năm 2020</v>
      </c>
      <c r="BN2" s="2038" t="str">
        <f t="shared" ca="1" si="2"/>
        <v xml:space="preserve"> ngày         tháng         năm 2020</v>
      </c>
      <c r="BO2" s="2038" t="str">
        <f t="shared" ca="1" si="2"/>
        <v xml:space="preserve"> ngày         tháng         năm 2020</v>
      </c>
      <c r="BP2" s="2038" t="str">
        <f t="shared" ca="1" si="2"/>
        <v xml:space="preserve"> ngày         tháng         năm 2020</v>
      </c>
      <c r="BQ2" s="2038" t="str">
        <f t="shared" ca="1" si="2"/>
        <v xml:space="preserve"> ngày         tháng         năm 2020</v>
      </c>
    </row>
    <row r="3" spans="1:69" s="967" customFormat="1" ht="62.4">
      <c r="A3" s="1762" t="s">
        <v>4912</v>
      </c>
      <c r="B3" s="1762" t="s">
        <v>4913</v>
      </c>
      <c r="C3" s="1759" t="s">
        <v>4533</v>
      </c>
      <c r="D3" s="1762" t="s">
        <v>4914</v>
      </c>
      <c r="E3" s="1759" t="s">
        <v>4533</v>
      </c>
      <c r="F3" s="1762" t="s">
        <v>4915</v>
      </c>
      <c r="G3" s="1762" t="s">
        <v>4916</v>
      </c>
      <c r="H3" s="1762" t="s">
        <v>4917</v>
      </c>
      <c r="I3" s="1762" t="str">
        <f>F3</f>
        <v>………………………</v>
      </c>
      <c r="J3" s="1759" t="s">
        <v>4946</v>
      </c>
      <c r="K3" s="1762" t="s">
        <v>4921</v>
      </c>
      <c r="L3" s="1762"/>
      <c r="M3" s="1762"/>
      <c r="N3" s="1762" t="s">
        <v>4919</v>
      </c>
      <c r="O3" s="1762" t="s">
        <v>4920</v>
      </c>
      <c r="P3" s="1759" t="s">
        <v>4533</v>
      </c>
      <c r="Q3" s="1762" t="s">
        <v>4918</v>
      </c>
      <c r="R3" s="1760"/>
      <c r="S3" s="1760"/>
      <c r="T3" s="966"/>
      <c r="U3" s="966"/>
      <c r="V3" s="1759" t="s">
        <v>4533</v>
      </c>
      <c r="Z3" s="1759" t="s">
        <v>4775</v>
      </c>
      <c r="AB3" s="1762" t="s">
        <v>4776</v>
      </c>
      <c r="AC3" s="1762" t="str">
        <f>UPPER(AB3)</f>
        <v>ĐƯỜNG DÂY TRUNG THẾ &amp; TBA 1 PHA 25KVA - 12,7/0,23 KV HỘ DUY TRƯỜNG</v>
      </c>
      <c r="AH3" s="1770" t="s">
        <v>6434</v>
      </c>
      <c r="AL3" s="1218" t="s">
        <v>4772</v>
      </c>
      <c r="AX3" s="968" t="s">
        <v>4960</v>
      </c>
      <c r="AY3" s="2080"/>
      <c r="AZ3" s="2081"/>
      <c r="BA3" s="2081"/>
      <c r="BB3" s="2081"/>
      <c r="BC3" s="2081"/>
      <c r="BD3" s="2081"/>
      <c r="BE3" s="2081"/>
      <c r="BF3" s="2081"/>
      <c r="BG3" s="2081"/>
      <c r="BH3" s="2082"/>
      <c r="BI3" s="2824">
        <f t="shared" ref="BI3:BQ3" si="3">AZ3</f>
        <v>0</v>
      </c>
      <c r="BJ3" s="2824">
        <f t="shared" si="3"/>
        <v>0</v>
      </c>
      <c r="BK3" s="2824">
        <f t="shared" si="3"/>
        <v>0</v>
      </c>
      <c r="BL3" s="2824">
        <f t="shared" si="3"/>
        <v>0</v>
      </c>
      <c r="BM3" s="2824">
        <f t="shared" si="3"/>
        <v>0</v>
      </c>
      <c r="BN3" s="2824">
        <f t="shared" si="3"/>
        <v>0</v>
      </c>
      <c r="BO3" s="2824">
        <f t="shared" si="3"/>
        <v>0</v>
      </c>
      <c r="BP3" s="2824">
        <f t="shared" si="3"/>
        <v>0</v>
      </c>
      <c r="BQ3" s="2824">
        <f t="shared" si="3"/>
        <v>0</v>
      </c>
    </row>
    <row r="4" spans="1:69" s="967" customFormat="1" ht="63" thickBot="1">
      <c r="A4" s="941"/>
      <c r="B4" s="941"/>
      <c r="C4" s="1217"/>
      <c r="D4" s="941"/>
      <c r="E4" s="1217"/>
      <c r="F4" s="941"/>
      <c r="G4" s="941"/>
      <c r="H4" s="941"/>
      <c r="I4" s="941"/>
      <c r="J4" s="1217"/>
      <c r="K4" s="952"/>
      <c r="L4" s="952"/>
      <c r="P4" s="1217"/>
      <c r="R4" s="968"/>
      <c r="S4" s="941"/>
      <c r="V4" s="1759" t="s">
        <v>6459</v>
      </c>
      <c r="Z4" s="1759" t="s">
        <v>4800</v>
      </c>
      <c r="AB4" s="1762" t="s">
        <v>4762</v>
      </c>
      <c r="AD4" s="967">
        <v>0</v>
      </c>
      <c r="AH4" s="967" t="s">
        <v>4172</v>
      </c>
      <c r="AL4" s="1218" t="s">
        <v>6417</v>
      </c>
      <c r="AT4" s="1340" t="s">
        <v>4929</v>
      </c>
      <c r="AU4" s="1340" t="s">
        <v>4930</v>
      </c>
      <c r="AV4" s="1340" t="s">
        <v>4931</v>
      </c>
      <c r="AW4" s="2074" t="s">
        <v>4932</v>
      </c>
      <c r="AX4" s="2083"/>
      <c r="AY4" s="2084"/>
      <c r="AZ4" s="2823">
        <f>AZ3</f>
        <v>0</v>
      </c>
      <c r="BA4" s="2823">
        <f t="shared" ref="BA4:BQ4" si="4">BA3</f>
        <v>0</v>
      </c>
      <c r="BB4" s="2823">
        <f t="shared" si="4"/>
        <v>0</v>
      </c>
      <c r="BC4" s="2823">
        <f t="shared" si="4"/>
        <v>0</v>
      </c>
      <c r="BD4" s="2823">
        <f t="shared" si="4"/>
        <v>0</v>
      </c>
      <c r="BE4" s="2823">
        <f t="shared" si="4"/>
        <v>0</v>
      </c>
      <c r="BF4" s="2823">
        <f t="shared" si="4"/>
        <v>0</v>
      </c>
      <c r="BG4" s="2823">
        <f t="shared" si="4"/>
        <v>0</v>
      </c>
      <c r="BH4" s="2823">
        <f t="shared" si="4"/>
        <v>0</v>
      </c>
      <c r="BI4" s="2823">
        <f t="shared" si="4"/>
        <v>0</v>
      </c>
      <c r="BJ4" s="2823">
        <f t="shared" si="4"/>
        <v>0</v>
      </c>
      <c r="BK4" s="2823">
        <f t="shared" si="4"/>
        <v>0</v>
      </c>
      <c r="BL4" s="2823">
        <f t="shared" si="4"/>
        <v>0</v>
      </c>
      <c r="BM4" s="2823">
        <f t="shared" si="4"/>
        <v>0</v>
      </c>
      <c r="BN4" s="2823">
        <f t="shared" si="4"/>
        <v>0</v>
      </c>
      <c r="BO4" s="2823">
        <f t="shared" si="4"/>
        <v>0</v>
      </c>
      <c r="BP4" s="2823">
        <f t="shared" si="4"/>
        <v>0</v>
      </c>
      <c r="BQ4" s="2823">
        <f t="shared" si="4"/>
        <v>0</v>
      </c>
    </row>
    <row r="5" spans="1:69" s="967" customFormat="1" ht="106.5" customHeight="1">
      <c r="A5" s="941"/>
      <c r="B5" s="941"/>
      <c r="C5" s="1217"/>
      <c r="D5" s="941"/>
      <c r="E5" s="1217"/>
      <c r="F5" s="941"/>
      <c r="J5" s="1217"/>
      <c r="P5" s="1217"/>
      <c r="R5" s="968"/>
      <c r="V5" s="967" t="s">
        <v>4946</v>
      </c>
      <c r="Z5" s="1759" t="s">
        <v>4922</v>
      </c>
      <c r="AB5" s="968" t="s">
        <v>4883</v>
      </c>
      <c r="AT5" s="2086" t="str">
        <f>AJ2</f>
        <v>270/028</v>
      </c>
      <c r="AU5" s="2056">
        <v>72</v>
      </c>
      <c r="AV5" s="1770" t="s">
        <v>4933</v>
      </c>
      <c r="AW5" s="2057" t="str">
        <f>IF(AU5&lt;&gt;0," - Từ trụ "&amp;AT5&amp;" đến trụ "&amp;AU5&amp;" đường dây băng qua bên "&amp;AV5&amp;" đường và đi dọc theo đường hiện hữu.","")</f>
        <v xml:space="preserve"> - Từ trụ 270/028 đến trụ 72 đường dây băng qua bên trái đường và đi dọc theo đường hiện hữu.</v>
      </c>
      <c r="AX5" s="2686" t="str">
        <f>IF(AV5&lt;&gt;0," - Từ trụ "&amp;AU5&amp;" đến trụ "&amp;AV5&amp;" đường dây băng qua bên "&amp;AW5&amp;" đường và đi dọc theo đường hiện hữu.","")</f>
        <v xml:space="preserve"> - Từ trụ 72 đến trụ trái đường dây băng qua bên  - Từ trụ 270/028 đến trụ 72 đường dây băng qua bên trái đường và đi dọc theo đường hiện hữu. đường và đi dọc theo đường hiện hữu.</v>
      </c>
    </row>
    <row r="6" spans="1:69" ht="43.2" customHeight="1">
      <c r="A6" s="941"/>
      <c r="B6" s="941"/>
      <c r="C6" s="1217"/>
      <c r="D6" s="941"/>
      <c r="E6" s="1217"/>
      <c r="F6" s="941"/>
      <c r="G6" s="941"/>
      <c r="H6" s="941"/>
      <c r="I6" s="941"/>
      <c r="J6" s="1217"/>
      <c r="K6" s="952"/>
      <c r="L6" s="952"/>
      <c r="M6" s="941"/>
      <c r="N6" s="1217"/>
      <c r="O6" s="952"/>
      <c r="P6" s="1217"/>
      <c r="Q6" s="1217"/>
      <c r="S6" s="941"/>
      <c r="Z6" s="1759" t="s">
        <v>4961</v>
      </c>
      <c r="AT6" s="1770">
        <f>AU5</f>
        <v>72</v>
      </c>
      <c r="AU6" s="2056">
        <v>75</v>
      </c>
      <c r="AV6" s="1770" t="s">
        <v>4934</v>
      </c>
      <c r="AW6" s="2057"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8" customFormat="1" ht="43.2" customHeight="1">
      <c r="A7" s="941"/>
      <c r="B7" s="941"/>
      <c r="C7" s="1217"/>
      <c r="D7" s="941"/>
      <c r="E7" s="1217"/>
      <c r="F7" s="941"/>
      <c r="G7" s="941"/>
      <c r="H7" s="941"/>
      <c r="I7" s="941"/>
      <c r="J7" s="1217"/>
      <c r="K7" s="952"/>
      <c r="L7" s="952"/>
      <c r="M7" s="941"/>
      <c r="N7" s="1217"/>
      <c r="O7" s="952"/>
      <c r="P7" s="1217"/>
      <c r="Q7" s="1217"/>
      <c r="R7" s="952"/>
      <c r="S7" s="941"/>
      <c r="T7" s="941"/>
      <c r="U7" s="952"/>
      <c r="V7" s="952"/>
      <c r="Z7" s="1759" t="s">
        <v>6453</v>
      </c>
      <c r="AT7" s="1770">
        <f t="shared" ref="AT7:AT15" si="6">AU6</f>
        <v>75</v>
      </c>
      <c r="AU7" s="2056">
        <v>83</v>
      </c>
      <c r="AV7" s="1770" t="s">
        <v>4933</v>
      </c>
      <c r="AW7" s="2057" t="str">
        <f t="shared" si="5"/>
        <v xml:space="preserve"> - Từ trụ 75 đến trụ 83 đường dây băng qua bên trái đường và đi dọc theo đường hiện hữu.</v>
      </c>
    </row>
    <row r="8" spans="1:69" s="1218" customFormat="1" ht="43.2" customHeight="1">
      <c r="A8" s="941"/>
      <c r="B8" s="941"/>
      <c r="C8" s="1217"/>
      <c r="D8" s="941"/>
      <c r="E8" s="1217"/>
      <c r="F8" s="941"/>
      <c r="G8" s="941"/>
      <c r="H8" s="941"/>
      <c r="I8" s="941"/>
      <c r="J8" s="1217"/>
      <c r="K8" s="952"/>
      <c r="L8" s="952"/>
      <c r="M8" s="941"/>
      <c r="N8" s="1217"/>
      <c r="O8" s="952"/>
      <c r="P8" s="1217"/>
      <c r="Q8" s="1217"/>
      <c r="R8" s="952"/>
      <c r="S8" s="941"/>
      <c r="T8" s="941"/>
      <c r="U8" s="952"/>
      <c r="V8" s="952"/>
      <c r="AT8" s="1770">
        <f t="shared" si="6"/>
        <v>83</v>
      </c>
      <c r="AU8" s="2056">
        <v>89</v>
      </c>
      <c r="AV8" s="1770" t="s">
        <v>4933</v>
      </c>
      <c r="AW8" s="2057"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86"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8" customFormat="1" ht="43.2" customHeight="1">
      <c r="A9" s="941"/>
      <c r="B9" s="941"/>
      <c r="C9" s="1217"/>
      <c r="D9" s="941"/>
      <c r="E9" s="1217"/>
      <c r="F9" s="941"/>
      <c r="G9" s="941"/>
      <c r="H9" s="941"/>
      <c r="I9" s="941"/>
      <c r="J9" s="1217"/>
      <c r="K9" s="952"/>
      <c r="L9" s="952"/>
      <c r="M9" s="941"/>
      <c r="N9" s="1217"/>
      <c r="O9" s="952"/>
      <c r="P9" s="1217"/>
      <c r="Q9" s="1217"/>
      <c r="R9" s="952"/>
      <c r="S9" s="941"/>
      <c r="T9" s="941"/>
      <c r="U9" s="952"/>
      <c r="V9" s="952"/>
      <c r="AT9" s="1770">
        <f t="shared" si="6"/>
        <v>89</v>
      </c>
      <c r="AU9" s="2056">
        <v>91</v>
      </c>
      <c r="AV9" s="1770" t="s">
        <v>4933</v>
      </c>
      <c r="AW9" s="2057"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2" customHeight="1">
      <c r="AT10" s="1770">
        <f t="shared" si="6"/>
        <v>91</v>
      </c>
      <c r="AU10" s="2056"/>
      <c r="AV10" s="1770" t="s">
        <v>4934</v>
      </c>
      <c r="AW10" s="2057" t="str">
        <f t="shared" si="5"/>
        <v/>
      </c>
    </row>
    <row r="11" spans="1:69" ht="43.2" customHeight="1">
      <c r="AT11" s="1770">
        <f t="shared" si="6"/>
        <v>0</v>
      </c>
      <c r="AU11" s="2056"/>
      <c r="AV11" s="1770" t="s">
        <v>4933</v>
      </c>
      <c r="AW11" s="2057" t="str">
        <f t="shared" si="5"/>
        <v/>
      </c>
    </row>
    <row r="12" spans="1:69" ht="43.2" customHeight="1">
      <c r="AT12" s="1770">
        <f t="shared" si="6"/>
        <v>0</v>
      </c>
      <c r="AU12" s="2056"/>
      <c r="AV12" s="1770" t="s">
        <v>4934</v>
      </c>
      <c r="AW12" s="2057" t="str">
        <f t="shared" si="5"/>
        <v/>
      </c>
    </row>
    <row r="13" spans="1:69">
      <c r="AT13" s="1770">
        <f t="shared" si="6"/>
        <v>0</v>
      </c>
      <c r="AU13" s="778"/>
      <c r="AV13" s="1770" t="s">
        <v>4933</v>
      </c>
      <c r="AW13" s="2057" t="str">
        <f t="shared" si="5"/>
        <v/>
      </c>
    </row>
    <row r="14" spans="1:69">
      <c r="AT14" s="1770">
        <f t="shared" si="6"/>
        <v>0</v>
      </c>
      <c r="AU14" s="778"/>
      <c r="AV14" s="1770" t="s">
        <v>4934</v>
      </c>
      <c r="AW14" s="2057" t="str">
        <f t="shared" si="5"/>
        <v/>
      </c>
    </row>
    <row r="15" spans="1:69">
      <c r="AT15" s="1770">
        <f t="shared" si="6"/>
        <v>0</v>
      </c>
      <c r="AU15" s="778"/>
      <c r="AV15" s="1770" t="s">
        <v>4933</v>
      </c>
      <c r="AW15" s="2057" t="str">
        <f t="shared" si="5"/>
        <v/>
      </c>
    </row>
    <row r="16" spans="1:69">
      <c r="AT16" s="778"/>
      <c r="AU16" s="778"/>
      <c r="AV16" s="1770"/>
      <c r="AW16" s="778"/>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3762</v>
      </c>
      <c r="C3" s="87"/>
      <c r="D3" s="87"/>
      <c r="E3" s="87"/>
      <c r="F3" s="88"/>
      <c r="G3" s="89"/>
      <c r="H3" s="90"/>
      <c r="I3" s="90"/>
    </row>
    <row r="4" spans="1:13" ht="13.8">
      <c r="A4" s="91"/>
      <c r="B4" s="3040" t="s">
        <v>1708</v>
      </c>
      <c r="C4" s="3040" t="s">
        <v>2281</v>
      </c>
      <c r="D4" s="78" t="s">
        <v>2282</v>
      </c>
      <c r="E4" s="78" t="s">
        <v>2283</v>
      </c>
      <c r="F4" s="92">
        <f>pp_NC!GV5</f>
        <v>0</v>
      </c>
      <c r="G4" s="92" t="str">
        <f>'pp3p2m '!ED6</f>
        <v>B</v>
      </c>
      <c r="H4" s="92" t="s">
        <v>1038</v>
      </c>
      <c r="I4" s="92" t="s">
        <v>1038</v>
      </c>
      <c r="J4" s="93"/>
      <c r="K4" s="89"/>
      <c r="L4" s="89"/>
      <c r="M4" s="89"/>
    </row>
    <row r="5" spans="1:13" ht="13.8">
      <c r="A5" s="79" t="s">
        <v>2284</v>
      </c>
      <c r="B5" s="3041"/>
      <c r="C5" s="3041"/>
      <c r="D5" s="80" t="s">
        <v>2285</v>
      </c>
      <c r="E5" s="80" t="s">
        <v>2286</v>
      </c>
      <c r="F5" s="81" t="s">
        <v>2287</v>
      </c>
      <c r="G5" s="94"/>
      <c r="H5" s="91"/>
      <c r="I5" s="91"/>
      <c r="J5" s="91"/>
    </row>
    <row r="6" spans="1:13" ht="13.8">
      <c r="A6" s="95"/>
      <c r="B6" s="96" t="s">
        <v>501</v>
      </c>
      <c r="C6" s="82" t="s">
        <v>2288</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939</v>
      </c>
      <c r="C38" s="83" t="s">
        <v>2289</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1615</v>
      </c>
      <c r="C43" s="83" t="s">
        <v>2290</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1908</v>
      </c>
      <c r="C91" s="83" t="s">
        <v>2300</v>
      </c>
      <c r="D91" s="84" t="s">
        <v>2301</v>
      </c>
      <c r="E91" s="105"/>
      <c r="F91" s="91"/>
      <c r="G91" s="99">
        <v>1</v>
      </c>
      <c r="H91" s="91"/>
      <c r="I91" s="91"/>
      <c r="J91" s="91"/>
    </row>
    <row r="92" spans="1:10" s="1" customFormat="1" ht="13.8">
      <c r="A92" s="9" t="str">
        <f>chitiet!B1512</f>
        <v>AC240</v>
      </c>
      <c r="B92" s="18" t="str">
        <f>IF(E92=0,"",COUNTIF($E$92:$E92,"&gt;0"))</f>
        <v/>
      </c>
      <c r="C92" s="16" t="s">
        <v>5007</v>
      </c>
      <c r="D92" s="19" t="s">
        <v>2248</v>
      </c>
      <c r="E92" s="17">
        <v>0</v>
      </c>
      <c r="F92" s="10"/>
      <c r="G92" s="7">
        <f>IF(E92&lt;&gt;0,1,0)</f>
        <v>0</v>
      </c>
      <c r="H92" s="4"/>
      <c r="I92" s="4"/>
      <c r="J92" s="4"/>
    </row>
    <row r="93" spans="1:10" s="1" customFormat="1" ht="13.8">
      <c r="A93" s="9" t="str">
        <f>chitiet!B1513</f>
        <v>AC185</v>
      </c>
      <c r="B93" s="18" t="str">
        <f>IF(E93=0,"",COUNTIF($B$92:$B92,"&gt;0")+1)</f>
        <v/>
      </c>
      <c r="C93" s="16" t="s">
        <v>2765</v>
      </c>
      <c r="D93" s="19" t="s">
        <v>2248</v>
      </c>
      <c r="E93" s="17">
        <v>0</v>
      </c>
      <c r="F93" s="10"/>
      <c r="G93" s="7">
        <f>IF(E93&lt;&gt;0,1,0)</f>
        <v>0</v>
      </c>
      <c r="H93" s="4"/>
      <c r="I93" s="4"/>
      <c r="J93" s="4"/>
    </row>
    <row r="94" spans="1:10" s="1" customFormat="1" ht="13.8">
      <c r="A94" s="9" t="str">
        <f>chitiet!B1514</f>
        <v>AC150</v>
      </c>
      <c r="B94" s="18" t="str">
        <f>IF(E94=0,"",COUNTIF($B$92:$B93,"&gt;0")+1)</f>
        <v/>
      </c>
      <c r="C94" s="16" t="s">
        <v>2764</v>
      </c>
      <c r="D94" s="19" t="s">
        <v>2248</v>
      </c>
      <c r="E94" s="17">
        <v>0</v>
      </c>
      <c r="F94" s="10">
        <f>chitiet!E1514</f>
        <v>0</v>
      </c>
      <c r="G94" s="7">
        <f>IF(E94&lt;&gt;0,1,0)</f>
        <v>0</v>
      </c>
      <c r="H94" s="4"/>
      <c r="I94" s="4"/>
      <c r="J94" s="4"/>
    </row>
    <row r="95" spans="1:10" s="1" customFormat="1" ht="13.8">
      <c r="A95" s="9" t="str">
        <f>chitiet!B1515</f>
        <v>AC120</v>
      </c>
      <c r="B95" s="18" t="str">
        <f>IF(E95=0,"",COUNTIF($B$92:$B94,"&gt;0")+1)</f>
        <v/>
      </c>
      <c r="C95" s="16" t="s">
        <v>2763</v>
      </c>
      <c r="D95" s="19" t="s">
        <v>2248</v>
      </c>
      <c r="E95" s="17">
        <v>0</v>
      </c>
      <c r="F95" s="10">
        <f>chitiet!E1515</f>
        <v>0</v>
      </c>
      <c r="G95" s="7">
        <f>IF(E95&lt;&gt;0,1,0)</f>
        <v>0</v>
      </c>
      <c r="H95" s="4"/>
      <c r="I95" s="4"/>
      <c r="J95" s="4"/>
    </row>
    <row r="96" spans="1:10" s="1" customFormat="1" ht="13.8">
      <c r="A96" s="9" t="str">
        <f>chitiet!B1516</f>
        <v>AC95</v>
      </c>
      <c r="B96" s="18" t="str">
        <f>IF(E96=0,"",COUNTIF($B$92:$B95,"&gt;0")+1)</f>
        <v/>
      </c>
      <c r="C96" s="16" t="s">
        <v>2762</v>
      </c>
      <c r="D96" s="19" t="s">
        <v>2248</v>
      </c>
      <c r="E96" s="17">
        <v>0</v>
      </c>
      <c r="F96" s="10"/>
      <c r="G96" s="7">
        <f t="shared" ref="G96:G104" si="3">IF(E96&lt;&gt;0,1,0)</f>
        <v>0</v>
      </c>
      <c r="H96" s="4"/>
      <c r="I96" s="4"/>
      <c r="J96" s="4"/>
    </row>
    <row r="97" spans="1:10" s="1" customFormat="1" ht="13.8">
      <c r="A97" s="9" t="str">
        <f>chitiet!B1517</f>
        <v>AC70</v>
      </c>
      <c r="B97" s="18" t="str">
        <f>IF(E97=0,"",COUNTIF($B$92:$B96,"&gt;0")+1)</f>
        <v/>
      </c>
      <c r="C97" s="16" t="s">
        <v>2761</v>
      </c>
      <c r="D97" s="19" t="s">
        <v>2248</v>
      </c>
      <c r="E97" s="17">
        <v>0</v>
      </c>
      <c r="F97" s="10">
        <f>chitiet!E1517</f>
        <v>0</v>
      </c>
      <c r="G97" s="7">
        <f t="shared" si="3"/>
        <v>0</v>
      </c>
      <c r="H97" s="4"/>
      <c r="I97" s="4"/>
      <c r="J97" s="4"/>
    </row>
    <row r="98" spans="1:10" s="1" customFormat="1" ht="13.8">
      <c r="A98" s="9" t="str">
        <f>chitiet!B1518</f>
        <v>AC50</v>
      </c>
      <c r="B98" s="18" t="str">
        <f>IF(E98=0,"",COUNTIF($B$92:$B97,"&gt;0")+1)</f>
        <v/>
      </c>
      <c r="C98" s="16" t="s">
        <v>2760</v>
      </c>
      <c r="D98" s="19" t="s">
        <v>2248</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2724</v>
      </c>
      <c r="D107" s="19" t="s">
        <v>2532</v>
      </c>
      <c r="E107" s="17">
        <v>0</v>
      </c>
      <c r="F107" s="10">
        <f>chitiet!E1520</f>
        <v>0</v>
      </c>
      <c r="G107" s="7">
        <f t="shared" si="4"/>
        <v>0</v>
      </c>
      <c r="H107" s="4"/>
      <c r="I107" s="4"/>
      <c r="J107" s="4"/>
    </row>
    <row r="108" spans="1:10" s="1" customFormat="1" ht="13.8">
      <c r="A108" s="9" t="str">
        <f>chitiet!B1521</f>
        <v>XLPE185A</v>
      </c>
      <c r="B108" s="18" t="str">
        <f>IF(E108=0,"",COUNTIF($B$92:$B107,"&gt;0")+1)</f>
        <v/>
      </c>
      <c r="C108" s="16" t="s">
        <v>2723</v>
      </c>
      <c r="D108" s="19" t="s">
        <v>2532</v>
      </c>
      <c r="E108" s="17">
        <v>0</v>
      </c>
      <c r="F108" s="10">
        <f>chitiet!E1521</f>
        <v>0</v>
      </c>
      <c r="G108" s="7">
        <f t="shared" si="4"/>
        <v>0</v>
      </c>
      <c r="H108" s="4"/>
      <c r="I108" s="4"/>
      <c r="J108" s="4"/>
    </row>
    <row r="109" spans="1:10" s="1" customFormat="1" ht="13.8">
      <c r="A109" s="9" t="str">
        <f>chitiet!B1522</f>
        <v>XLPE150A</v>
      </c>
      <c r="B109" s="18" t="str">
        <f>IF(E109=0,"",COUNTIF($B$92:$B108,"&gt;0")+1)</f>
        <v/>
      </c>
      <c r="C109" s="16" t="s">
        <v>2722</v>
      </c>
      <c r="D109" s="19" t="s">
        <v>2532</v>
      </c>
      <c r="E109" s="17">
        <v>0</v>
      </c>
      <c r="F109" s="10">
        <f>chitiet!E1522</f>
        <v>0</v>
      </c>
      <c r="G109" s="7">
        <f t="shared" si="4"/>
        <v>0</v>
      </c>
      <c r="H109" s="4"/>
      <c r="I109" s="4"/>
      <c r="J109" s="4"/>
    </row>
    <row r="110" spans="1:10" s="1" customFormat="1" ht="13.8">
      <c r="A110" s="9" t="str">
        <f>chitiet!B1523</f>
        <v>XLPE120A</v>
      </c>
      <c r="B110" s="18" t="str">
        <f>IF(E110=0,"",COUNTIF($B$92:$B109,"&gt;0")+1)</f>
        <v/>
      </c>
      <c r="C110" s="16" t="s">
        <v>2721</v>
      </c>
      <c r="D110" s="19" t="s">
        <v>2532</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2932</v>
      </c>
      <c r="D114" s="84" t="s">
        <v>2439</v>
      </c>
      <c r="E114" s="102" t="e">
        <f>E113</f>
        <v>#N/A</v>
      </c>
      <c r="F114" s="91"/>
      <c r="G114" s="103" t="e">
        <f t="shared" ref="G114:G181" si="5">IF(E114&lt;&gt;0,1,0)</f>
        <v>#N/A</v>
      </c>
      <c r="H114" s="91"/>
      <c r="I114" s="91"/>
      <c r="J114" s="91"/>
    </row>
    <row r="115" spans="1:10" ht="13.8">
      <c r="A115" s="106" t="str">
        <f>chitiet!B1528</f>
        <v>B16300</v>
      </c>
      <c r="B115" s="100"/>
      <c r="C115" s="101" t="s">
        <v>2649</v>
      </c>
      <c r="D115" s="84" t="s">
        <v>2439</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5008</v>
      </c>
      <c r="D116" s="22" t="s">
        <v>5006</v>
      </c>
      <c r="E116" s="23">
        <v>0</v>
      </c>
      <c r="F116" s="4"/>
      <c r="G116" s="8">
        <f t="shared" si="5"/>
        <v>0</v>
      </c>
      <c r="H116" s="4"/>
      <c r="I116" s="4"/>
      <c r="J116" s="4"/>
    </row>
    <row r="117" spans="1:10" s="1" customFormat="1" ht="13.8">
      <c r="A117" s="9" t="str">
        <f>chitiet!B1530</f>
        <v>R1</v>
      </c>
      <c r="B117" s="18" t="str">
        <f>IF(E117=0,"",COUNTIF($E$92:$E117,"&gt;0"))</f>
        <v/>
      </c>
      <c r="C117" s="16" t="s">
        <v>2932</v>
      </c>
      <c r="D117" s="19" t="s">
        <v>2439</v>
      </c>
      <c r="E117" s="17"/>
      <c r="F117" s="4"/>
      <c r="G117" s="8">
        <f t="shared" si="5"/>
        <v>0</v>
      </c>
      <c r="H117" s="4"/>
      <c r="I117" s="4"/>
      <c r="J117" s="4"/>
    </row>
    <row r="118" spans="1:10" s="1" customFormat="1" ht="13.8">
      <c r="A118" s="9" t="str">
        <f>chitiet!B1531</f>
        <v>B16300</v>
      </c>
      <c r="B118" s="18" t="str">
        <f>IF(E118=0,"",COUNTIF($E$92:$E118,"&gt;0"))</f>
        <v/>
      </c>
      <c r="C118" s="16" t="s">
        <v>2649</v>
      </c>
      <c r="D118" s="19" t="s">
        <v>2439</v>
      </c>
      <c r="E118" s="17"/>
      <c r="F118" s="4"/>
      <c r="G118" s="8">
        <f t="shared" si="5"/>
        <v>0</v>
      </c>
      <c r="H118" s="4"/>
      <c r="I118" s="4"/>
      <c r="J118" s="4"/>
    </row>
    <row r="119" spans="1:10" s="1" customFormat="1" ht="13.8">
      <c r="A119" s="9" t="str">
        <f>chitiet!B1532</f>
        <v>K50</v>
      </c>
      <c r="B119" s="18" t="str">
        <f>IF(E119=0,"",COUNTIF($E$92:$E119,"&gt;0"))</f>
        <v/>
      </c>
      <c r="C119" s="16" t="s">
        <v>5009</v>
      </c>
      <c r="D119" s="19" t="s">
        <v>2555</v>
      </c>
      <c r="E119" s="17"/>
      <c r="F119" s="4"/>
      <c r="G119" s="8">
        <f t="shared" si="5"/>
        <v>0</v>
      </c>
      <c r="H119" s="4"/>
      <c r="I119" s="4"/>
      <c r="J119" s="4"/>
    </row>
    <row r="120" spans="1:10" s="1" customFormat="1" ht="14.4">
      <c r="A120" s="9" t="str">
        <f>chitiet!B1533</f>
        <v>Nth-T</v>
      </c>
      <c r="B120" s="18">
        <f>IF(E120=0,"",COUNTIF($B$92:$B119,"&gt;0")+1)</f>
        <v>1</v>
      </c>
      <c r="C120" s="21" t="s">
        <v>5010</v>
      </c>
      <c r="D120" s="22" t="s">
        <v>5006</v>
      </c>
      <c r="E120" s="23">
        <v>1</v>
      </c>
      <c r="F120" s="4"/>
      <c r="G120" s="8">
        <f t="shared" si="5"/>
        <v>1</v>
      </c>
      <c r="H120" s="4"/>
      <c r="I120" s="4"/>
      <c r="J120" s="4"/>
    </row>
    <row r="121" spans="1:10" s="1" customFormat="1" ht="13.8">
      <c r="A121" s="9" t="str">
        <f>chitiet!B1534</f>
        <v>kn50</v>
      </c>
      <c r="B121" s="18" t="str">
        <f>IF(E121=0,"",COUNTIF($E$92:$E121,"&gt;0"))</f>
        <v/>
      </c>
      <c r="C121" s="16" t="s">
        <v>2900</v>
      </c>
      <c r="D121" s="19" t="s">
        <v>2555</v>
      </c>
      <c r="E121" s="17"/>
      <c r="F121" s="4"/>
      <c r="G121" s="8">
        <f t="shared" si="5"/>
        <v>0</v>
      </c>
      <c r="H121" s="4"/>
      <c r="I121" s="4"/>
      <c r="J121" s="4"/>
    </row>
    <row r="122" spans="1:10" s="1" customFormat="1" ht="13.8">
      <c r="A122" s="9" t="str">
        <f>chitiet!B1535</f>
        <v>MT</v>
      </c>
      <c r="B122" s="18" t="str">
        <f>IF(E122=0,"",COUNTIF($E$92:$E122,"&gt;0"))</f>
        <v/>
      </c>
      <c r="C122" s="16" t="s">
        <v>5011</v>
      </c>
      <c r="D122" s="19" t="s">
        <v>2555</v>
      </c>
      <c r="E122" s="17"/>
      <c r="F122" s="4"/>
      <c r="G122" s="8">
        <f t="shared" si="5"/>
        <v>0</v>
      </c>
      <c r="H122" s="4"/>
      <c r="I122" s="4"/>
      <c r="J122" s="4"/>
    </row>
    <row r="123" spans="1:10" s="1" customFormat="1" ht="13.8">
      <c r="A123" s="9" t="str">
        <f>chitiet!B1536</f>
        <v>BM16300</v>
      </c>
      <c r="B123" s="18">
        <f>IF(E123=0,"",COUNTIF($E$92:$E123,"&gt;0"))</f>
        <v>2</v>
      </c>
      <c r="C123" s="37" t="s">
        <v>4975</v>
      </c>
      <c r="D123" s="29" t="s">
        <v>2439</v>
      </c>
      <c r="E123" s="30">
        <v>1</v>
      </c>
      <c r="F123" s="4"/>
      <c r="G123" s="8">
        <f t="shared" si="5"/>
        <v>1</v>
      </c>
      <c r="H123" s="4"/>
      <c r="I123" s="4"/>
      <c r="J123" s="4"/>
    </row>
    <row r="124" spans="1:10" s="1" customFormat="1" ht="13.8">
      <c r="A124" s="9" t="str">
        <f>chitiet!B1537</f>
        <v>KE50</v>
      </c>
      <c r="B124" s="18" t="str">
        <f>IF(E124=0,"",COUNTIF($E$92:$E124,"&gt;0"))</f>
        <v/>
      </c>
      <c r="C124" s="16" t="s">
        <v>2873</v>
      </c>
      <c r="D124" s="19" t="s">
        <v>2555</v>
      </c>
      <c r="E124" s="17"/>
      <c r="F124" s="4"/>
      <c r="G124" s="8">
        <f t="shared" si="5"/>
        <v>0</v>
      </c>
      <c r="H124" s="4"/>
      <c r="I124" s="4"/>
      <c r="J124" s="4"/>
    </row>
    <row r="125" spans="1:10" ht="13.8">
      <c r="A125" s="106" t="str">
        <f>chitiet!B1538</f>
        <v>Nth-X</v>
      </c>
      <c r="B125" s="100" t="str">
        <f>IF(E125=0,"",COUNTIF($B$92:$B124,"&gt;0")+1)</f>
        <v/>
      </c>
      <c r="C125" s="108" t="s">
        <v>5012</v>
      </c>
      <c r="D125" s="109" t="s">
        <v>5006</v>
      </c>
      <c r="E125" s="110">
        <v>0</v>
      </c>
      <c r="F125" s="91"/>
      <c r="G125" s="103">
        <f>IF(E125&lt;&gt;0,1,0)</f>
        <v>0</v>
      </c>
      <c r="H125" s="91"/>
      <c r="I125" s="91"/>
      <c r="J125" s="91"/>
    </row>
    <row r="126" spans="1:10" ht="13.8">
      <c r="A126" s="106" t="str">
        <f>chitiet!B1539</f>
        <v>kn50</v>
      </c>
      <c r="B126" s="100"/>
      <c r="C126" s="101" t="s">
        <v>2900</v>
      </c>
      <c r="D126" s="84" t="s">
        <v>2555</v>
      </c>
      <c r="E126" s="102">
        <f>E125</f>
        <v>0</v>
      </c>
      <c r="F126" s="91"/>
      <c r="G126" s="103">
        <f>IF(E126&lt;&gt;0,1,0)</f>
        <v>0</v>
      </c>
      <c r="H126" s="91"/>
      <c r="I126" s="91"/>
      <c r="J126" s="91"/>
    </row>
    <row r="127" spans="1:10" ht="13.8">
      <c r="A127" s="106" t="str">
        <f>chitiet!B1540</f>
        <v>MT</v>
      </c>
      <c r="B127" s="100"/>
      <c r="C127" s="101" t="s">
        <v>5011</v>
      </c>
      <c r="D127" s="84" t="s">
        <v>2555</v>
      </c>
      <c r="E127" s="102">
        <f>E126*2</f>
        <v>0</v>
      </c>
      <c r="F127" s="91"/>
      <c r="G127" s="103">
        <f>IF(E127&lt;&gt;0,1,0)</f>
        <v>0</v>
      </c>
      <c r="H127" s="91"/>
      <c r="I127" s="91"/>
      <c r="J127" s="91"/>
    </row>
    <row r="128" spans="1:10" ht="13.8">
      <c r="A128" s="106" t="str">
        <f>chitiet!B1541</f>
        <v>KE50</v>
      </c>
      <c r="B128" s="100"/>
      <c r="C128" s="111" t="s">
        <v>2873</v>
      </c>
      <c r="D128" s="112" t="s">
        <v>2555</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4976</v>
      </c>
      <c r="D130" s="84" t="s">
        <v>2555</v>
      </c>
      <c r="E130" s="102" t="e">
        <f>E129</f>
        <v>#N/A</v>
      </c>
      <c r="F130" s="91"/>
      <c r="G130" s="103" t="e">
        <f t="shared" si="5"/>
        <v>#N/A</v>
      </c>
      <c r="H130" s="91"/>
      <c r="I130" s="91"/>
      <c r="J130" s="91"/>
    </row>
    <row r="131" spans="1:10" ht="13.8">
      <c r="A131" s="106" t="str">
        <f>chitiet!B1544</f>
        <v>CSD</v>
      </c>
      <c r="B131" s="100"/>
      <c r="C131" s="101" t="s">
        <v>4977</v>
      </c>
      <c r="D131" s="84" t="s">
        <v>2555</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4976</v>
      </c>
      <c r="D133" s="19" t="s">
        <v>2555</v>
      </c>
      <c r="E133" s="17"/>
      <c r="F133" s="4"/>
      <c r="G133" s="8">
        <f t="shared" si="5"/>
        <v>0</v>
      </c>
      <c r="H133" s="4"/>
      <c r="I133" s="4"/>
      <c r="J133" s="4"/>
    </row>
    <row r="134" spans="1:10" s="1" customFormat="1" ht="13.8">
      <c r="A134" s="9" t="str">
        <f>chitiet!B1547</f>
        <v>CSDI</v>
      </c>
      <c r="B134" s="18"/>
      <c r="C134" s="16" t="s">
        <v>5041</v>
      </c>
      <c r="D134" s="19" t="s">
        <v>2555</v>
      </c>
      <c r="E134" s="17"/>
      <c r="F134" s="4"/>
      <c r="G134" s="8">
        <f t="shared" si="5"/>
        <v>0</v>
      </c>
      <c r="H134" s="4"/>
      <c r="I134" s="4"/>
      <c r="J134" s="4"/>
    </row>
    <row r="135" spans="1:10" s="1" customFormat="1" ht="13.8">
      <c r="A135" s="9" t="str">
        <f>chitiet!B1548</f>
        <v>B16300</v>
      </c>
      <c r="B135" s="18" t="str">
        <f>IF(E135=0,"",COUNTIF($B$92:$B134,"&gt;0")+1)</f>
        <v/>
      </c>
      <c r="C135" s="16" t="s">
        <v>2649</v>
      </c>
      <c r="D135" s="19" t="s">
        <v>2439</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4976</v>
      </c>
      <c r="D137" s="19" t="s">
        <v>2555</v>
      </c>
      <c r="E137" s="17" t="e">
        <f>E136*2</f>
        <v>#N/A</v>
      </c>
      <c r="F137" s="4"/>
      <c r="G137" s="8" t="e">
        <f t="shared" si="5"/>
        <v>#N/A</v>
      </c>
      <c r="H137" s="4"/>
      <c r="I137" s="4"/>
      <c r="J137" s="4"/>
    </row>
    <row r="138" spans="1:10" s="1" customFormat="1" ht="13.8">
      <c r="A138" s="9" t="str">
        <f>chitiet!B1551</f>
        <v>CSDG</v>
      </c>
      <c r="B138" s="18" t="e">
        <f>IF(E138=0,"",COUNTIF($B$92:$B137,"&gt;0")+1)</f>
        <v>#N/A</v>
      </c>
      <c r="C138" s="16" t="s">
        <v>5028</v>
      </c>
      <c r="D138" s="19" t="s">
        <v>2555</v>
      </c>
      <c r="E138" s="17" t="e">
        <f>E137</f>
        <v>#N/A</v>
      </c>
      <c r="F138" s="4"/>
      <c r="G138" s="8" t="e">
        <f t="shared" si="5"/>
        <v>#N/A</v>
      </c>
      <c r="H138" s="4"/>
      <c r="I138" s="4"/>
      <c r="J138" s="4"/>
    </row>
    <row r="139" spans="1:10" s="1" customFormat="1" ht="13.8">
      <c r="A139" s="9" t="str">
        <f>chitiet!B1552</f>
        <v>B16300</v>
      </c>
      <c r="B139" s="28" t="e">
        <f>IF(E139=0,"",COUNTIF($B$92:$B138,"&gt;0")+1)</f>
        <v>#N/A</v>
      </c>
      <c r="C139" s="37" t="s">
        <v>2649</v>
      </c>
      <c r="D139" s="29" t="s">
        <v>2439</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2942</v>
      </c>
      <c r="D141" s="19" t="s">
        <v>2943</v>
      </c>
      <c r="E141" s="17"/>
      <c r="F141" s="4"/>
      <c r="G141" s="8">
        <f t="shared" si="5"/>
        <v>0</v>
      </c>
      <c r="H141" s="4"/>
      <c r="I141" s="4"/>
      <c r="J141" s="4"/>
    </row>
    <row r="142" spans="1:10" s="1" customFormat="1" ht="13.8">
      <c r="A142" s="9" t="str">
        <f>chitiet!B1555</f>
        <v>MT</v>
      </c>
      <c r="B142" s="18" t="str">
        <f>IF(E142=0,"",COUNTIF($B$92:$B141,"&gt;0")+1)</f>
        <v/>
      </c>
      <c r="C142" s="16" t="s">
        <v>5011</v>
      </c>
      <c r="D142" s="19" t="s">
        <v>2555</v>
      </c>
      <c r="E142" s="17"/>
      <c r="F142" s="4"/>
      <c r="G142" s="8">
        <f t="shared" si="5"/>
        <v>0</v>
      </c>
      <c r="H142" s="4"/>
      <c r="I142" s="4"/>
      <c r="J142" s="4"/>
    </row>
    <row r="143" spans="1:10" s="1" customFormat="1" ht="13.8">
      <c r="A143" s="9" t="str">
        <f>chitiet!B1556</f>
        <v>VT</v>
      </c>
      <c r="B143" s="18" t="str">
        <f>IF(E143=0,"",COUNTIF($B$92:$B142,"&gt;0")+1)</f>
        <v/>
      </c>
      <c r="C143" s="16" t="s">
        <v>2915</v>
      </c>
      <c r="D143" s="19" t="s">
        <v>2555</v>
      </c>
      <c r="E143" s="17"/>
      <c r="F143" s="4"/>
      <c r="G143" s="8">
        <f t="shared" si="5"/>
        <v>0</v>
      </c>
      <c r="H143" s="4"/>
      <c r="I143" s="4"/>
      <c r="J143" s="4"/>
    </row>
    <row r="144" spans="1:10" s="1" customFormat="1" ht="13.8">
      <c r="A144" s="9" t="str">
        <f>chitiet!B1557</f>
        <v>MND</v>
      </c>
      <c r="B144" s="18" t="str">
        <f>IF(E144=0,"",COUNTIF($B$92:$B143,"&gt;0")+1)</f>
        <v/>
      </c>
      <c r="C144" s="16" t="s">
        <v>2911</v>
      </c>
      <c r="D144" s="19" t="s">
        <v>2555</v>
      </c>
      <c r="E144" s="17"/>
      <c r="F144" s="4"/>
      <c r="G144" s="8">
        <f t="shared" si="5"/>
        <v>0</v>
      </c>
      <c r="H144" s="4"/>
      <c r="I144" s="4"/>
      <c r="J144" s="4"/>
    </row>
    <row r="145" spans="1:10" s="1" customFormat="1" ht="13.8">
      <c r="A145" s="9" t="str">
        <f>chitiet!B1558</f>
        <v>Bm16300</v>
      </c>
      <c r="B145" s="18" t="str">
        <f>IF(E145=0,"",COUNTIF($B$92:$B144,"&gt;0")+1)</f>
        <v/>
      </c>
      <c r="C145" s="16" t="s">
        <v>4975</v>
      </c>
      <c r="D145" s="19" t="s">
        <v>2439</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2942</v>
      </c>
      <c r="D147" s="19" t="s">
        <v>2943</v>
      </c>
      <c r="E147" s="17"/>
      <c r="F147" s="4"/>
      <c r="G147" s="8">
        <f t="shared" si="5"/>
        <v>0</v>
      </c>
      <c r="H147" s="4"/>
      <c r="I147" s="4"/>
      <c r="J147" s="4"/>
    </row>
    <row r="148" spans="1:10" s="1" customFormat="1" ht="13.8">
      <c r="A148" s="9" t="str">
        <f>chitiet!B1561</f>
        <v>MT</v>
      </c>
      <c r="B148" s="18" t="str">
        <f>IF(E148=0,"",COUNTIF($B$92:$B147,"&gt;0")+1)</f>
        <v/>
      </c>
      <c r="C148" s="16" t="s">
        <v>5011</v>
      </c>
      <c r="D148" s="19" t="s">
        <v>2555</v>
      </c>
      <c r="E148" s="17"/>
      <c r="F148" s="4"/>
      <c r="G148" s="8">
        <f t="shared" si="5"/>
        <v>0</v>
      </c>
      <c r="H148" s="4"/>
      <c r="I148" s="4"/>
      <c r="J148" s="4"/>
    </row>
    <row r="149" spans="1:10" s="1" customFormat="1" ht="13.8">
      <c r="A149" s="9" t="str">
        <f>chitiet!B1562</f>
        <v>VT</v>
      </c>
      <c r="B149" s="18" t="str">
        <f>IF(E149=0,"",COUNTIF($B$92:$B148,"&gt;0")+1)</f>
        <v/>
      </c>
      <c r="C149" s="16" t="s">
        <v>2915</v>
      </c>
      <c r="D149" s="19" t="s">
        <v>2555</v>
      </c>
      <c r="E149" s="17"/>
      <c r="F149" s="4"/>
      <c r="G149" s="8">
        <f t="shared" si="5"/>
        <v>0</v>
      </c>
      <c r="H149" s="4"/>
      <c r="I149" s="4"/>
      <c r="J149" s="4"/>
    </row>
    <row r="150" spans="1:10" s="1" customFormat="1" ht="13.8">
      <c r="A150" s="9" t="str">
        <f>chitiet!B1563</f>
        <v>MND</v>
      </c>
      <c r="B150" s="18"/>
      <c r="C150" s="16" t="s">
        <v>2911</v>
      </c>
      <c r="D150" s="19" t="s">
        <v>2555</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2945</v>
      </c>
      <c r="D152" s="84" t="s">
        <v>2555</v>
      </c>
      <c r="E152" s="102" t="e">
        <f>E151</f>
        <v>#N/A</v>
      </c>
      <c r="F152" s="91"/>
      <c r="G152" s="103" t="e">
        <f t="shared" si="5"/>
        <v>#N/A</v>
      </c>
      <c r="H152" s="91"/>
      <c r="I152" s="91"/>
      <c r="J152" s="91"/>
    </row>
    <row r="153" spans="1:10" ht="13.8">
      <c r="A153" s="106" t="str">
        <f>chitiet!B1566</f>
        <v>MT</v>
      </c>
      <c r="B153" s="100"/>
      <c r="C153" s="101" t="s">
        <v>5011</v>
      </c>
      <c r="D153" s="84" t="s">
        <v>2555</v>
      </c>
      <c r="E153" s="102" t="e">
        <f>E152*2</f>
        <v>#N/A</v>
      </c>
      <c r="F153" s="91"/>
      <c r="G153" s="103" t="e">
        <f t="shared" si="5"/>
        <v>#N/A</v>
      </c>
      <c r="H153" s="91"/>
      <c r="I153" s="91"/>
      <c r="J153" s="91"/>
    </row>
    <row r="154" spans="1:10" ht="13.8">
      <c r="A154" s="116">
        <f>chitiet!B1570</f>
        <v>0</v>
      </c>
      <c r="B154" s="100"/>
      <c r="C154" s="57" t="s">
        <v>2517</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589</v>
      </c>
      <c r="B196" s="15" t="s">
        <v>1897</v>
      </c>
      <c r="C196" s="83" t="s">
        <v>2302</v>
      </c>
      <c r="D196" s="84" t="s">
        <v>2301</v>
      </c>
      <c r="E196" s="20"/>
      <c r="F196" s="4"/>
      <c r="G196" s="8">
        <f t="shared" si="6"/>
        <v>0</v>
      </c>
      <c r="H196" s="4"/>
      <c r="I196" s="4"/>
      <c r="J196" s="4"/>
    </row>
    <row r="197" spans="1:10" s="1" customFormat="1" ht="13.8">
      <c r="A197" s="13" t="s">
        <v>788</v>
      </c>
      <c r="B197" s="18" t="str">
        <f>IF(E197=0,"",COUNTIF($B$196:$B196,"&gt;0")+1)</f>
        <v/>
      </c>
      <c r="C197" s="16" t="s">
        <v>1187</v>
      </c>
      <c r="D197" s="19" t="s">
        <v>2555</v>
      </c>
      <c r="E197" s="24">
        <f>pp_NC!ED184</f>
        <v>0</v>
      </c>
      <c r="F197" s="4"/>
      <c r="G197" s="8">
        <f t="shared" si="6"/>
        <v>0</v>
      </c>
      <c r="H197" s="4"/>
      <c r="I197" s="4"/>
      <c r="J197" s="4"/>
    </row>
    <row r="198" spans="1:10" s="1" customFormat="1" ht="13.8">
      <c r="A198" s="13" t="s">
        <v>675</v>
      </c>
      <c r="B198" s="18" t="str">
        <f>IF(E198=0,"",COUNTIF($B$196:$B197,"&gt;0")+1)</f>
        <v/>
      </c>
      <c r="C198" s="16" t="e">
        <v>#N/A</v>
      </c>
      <c r="D198" s="19" t="e">
        <v>#N/A</v>
      </c>
      <c r="E198" s="24">
        <f>pp_NC!ED185</f>
        <v>0</v>
      </c>
      <c r="F198" s="4"/>
      <c r="G198" s="8">
        <f t="shared" si="6"/>
        <v>0</v>
      </c>
      <c r="H198" s="4"/>
      <c r="I198" s="4"/>
      <c r="J198" s="4"/>
    </row>
    <row r="199" spans="1:10" s="1" customFormat="1" ht="13.8">
      <c r="A199" s="13" t="s">
        <v>1898</v>
      </c>
      <c r="B199" s="18" t="str">
        <f>IF(E199=0,"",COUNTIF($B$196:$B198,"&gt;0")+1)</f>
        <v/>
      </c>
      <c r="C199" s="16" t="e">
        <v>#N/A</v>
      </c>
      <c r="D199" s="19" t="e">
        <v>#N/A</v>
      </c>
      <c r="E199" s="24">
        <f>pp_NC!ED186</f>
        <v>0</v>
      </c>
      <c r="F199" s="4"/>
      <c r="G199" s="8">
        <f t="shared" si="6"/>
        <v>0</v>
      </c>
      <c r="H199" s="4"/>
      <c r="I199" s="4"/>
      <c r="J199" s="4"/>
    </row>
    <row r="200" spans="1:10" s="1" customFormat="1" ht="13.8">
      <c r="A200" s="13" t="s">
        <v>446</v>
      </c>
      <c r="B200" s="18" t="str">
        <f>IF(E200=0,"",COUNTIF($B$196:$B199,"&gt;0")+1)</f>
        <v/>
      </c>
      <c r="C200" s="16" t="s">
        <v>1218</v>
      </c>
      <c r="D200" s="19" t="s">
        <v>2439</v>
      </c>
      <c r="E200" s="24">
        <f>pp_NC!ED187</f>
        <v>0</v>
      </c>
      <c r="F200" s="4"/>
      <c r="G200" s="8">
        <f t="shared" si="6"/>
        <v>0</v>
      </c>
      <c r="H200" s="4"/>
      <c r="I200" s="4"/>
      <c r="J200" s="4"/>
    </row>
    <row r="201" spans="1:10" s="1" customFormat="1" ht="13.8">
      <c r="A201" s="13" t="s">
        <v>1921</v>
      </c>
      <c r="B201" s="18" t="str">
        <f>IF(E201=0,"",COUNTIF($B$196:$B200,"&gt;0")+1)</f>
        <v/>
      </c>
      <c r="C201" s="16" t="s">
        <v>1593</v>
      </c>
      <c r="D201" s="19" t="s">
        <v>2439</v>
      </c>
      <c r="E201" s="24">
        <f>pp_NC!ED188</f>
        <v>0</v>
      </c>
      <c r="F201" s="4"/>
      <c r="G201" s="8">
        <f t="shared" si="6"/>
        <v>0</v>
      </c>
      <c r="H201" s="4"/>
      <c r="I201" s="4"/>
      <c r="J201" s="4"/>
    </row>
    <row r="202" spans="1:10" s="1" customFormat="1" ht="13.8">
      <c r="A202" s="13" t="s">
        <v>394</v>
      </c>
      <c r="B202" s="18" t="str">
        <f>IF(E202=0,"",COUNTIF($B$196:$B201,"&gt;0")+1)</f>
        <v/>
      </c>
      <c r="C202" s="16" t="e">
        <v>#N/A</v>
      </c>
      <c r="D202" s="19" t="e">
        <v>#N/A</v>
      </c>
      <c r="E202" s="24">
        <f>pp_NC!ED189</f>
        <v>0</v>
      </c>
      <c r="F202" s="4"/>
      <c r="G202" s="8">
        <f t="shared" si="6"/>
        <v>0</v>
      </c>
      <c r="H202" s="4"/>
      <c r="I202" s="4"/>
      <c r="J202" s="4"/>
    </row>
    <row r="203" spans="1:10" s="1" customFormat="1" ht="13.8">
      <c r="A203" s="13" t="s">
        <v>1912</v>
      </c>
      <c r="B203" s="18" t="str">
        <f>IF(E203=0,"",COUNTIF($B$196:$B202,"&gt;0")+1)</f>
        <v/>
      </c>
      <c r="C203" s="16" t="s">
        <v>2057</v>
      </c>
      <c r="D203" s="19" t="s">
        <v>2439</v>
      </c>
      <c r="E203" s="24">
        <f>pp_NC!ED190</f>
        <v>0</v>
      </c>
      <c r="F203" s="4"/>
      <c r="G203" s="8">
        <f t="shared" si="6"/>
        <v>0</v>
      </c>
      <c r="H203" s="4"/>
      <c r="I203" s="4"/>
      <c r="J203" s="4"/>
    </row>
    <row r="204" spans="1:10" s="1" customFormat="1" ht="13.8">
      <c r="A204" s="6" t="s">
        <v>393</v>
      </c>
      <c r="B204" s="18"/>
      <c r="C204" s="16" t="s">
        <v>1593</v>
      </c>
      <c r="D204" s="19" t="s">
        <v>2439</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3763</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125" t="s">
        <v>501</v>
      </c>
      <c r="C10" s="122" t="s">
        <v>2288</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939</v>
      </c>
      <c r="C44" s="83" t="s">
        <v>2314</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1615</v>
      </c>
      <c r="C67" s="83" t="s">
        <v>2300</v>
      </c>
      <c r="D67" s="84" t="s">
        <v>2301</v>
      </c>
      <c r="E67" s="105"/>
      <c r="F67" s="91"/>
      <c r="G67" s="99">
        <v>1</v>
      </c>
      <c r="H67" s="91"/>
      <c r="I67" s="91"/>
      <c r="J67" s="91"/>
    </row>
    <row r="68" spans="1:10" s="1" customFormat="1" ht="13.8">
      <c r="A68" s="9" t="str">
        <f>chitiet!B2209</f>
        <v>AV95</v>
      </c>
      <c r="B68" s="18" t="e">
        <f>IF(E68=0,"",COUNTIF($E$68:$E68,"&gt;0"))</f>
        <v>#NAME?</v>
      </c>
      <c r="C68" s="16" t="e">
        <f>VLOOKUP($A68,DSPKhthh,4,)</f>
        <v>#NAME?</v>
      </c>
      <c r="D68" s="19" t="e">
        <f>VLOOKUP($A68,DSPKhthh,5,)</f>
        <v>#NAME?</v>
      </c>
      <c r="E68" s="24" t="e">
        <f>VLOOKUP($A68,DSPKhthh,6,)</f>
        <v>#NAME?</v>
      </c>
      <c r="F68" s="10">
        <f>chitiet!E2209</f>
        <v>0</v>
      </c>
      <c r="G68" s="7" t="e">
        <f t="shared" si="0"/>
        <v>#NAME?</v>
      </c>
      <c r="H68" s="4"/>
      <c r="I68" s="4"/>
      <c r="J68" s="4"/>
    </row>
    <row r="69" spans="1:10" ht="13.8">
      <c r="A69" s="106" t="str">
        <f>chitiet!B2210</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chitiet!B2211</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chitiet!B2212</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chitiet!B2213</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chitiet!B2214</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chitiet!B2215</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chitiet!B2216</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chitiet!B2217</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chitiet!B2218</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chitiet!B2220</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chitiet!B2221</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chitiet!B2222</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chitiet!B2223</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chitiet!B2224</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chitiet!B2225</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chitiet!B2226</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chitiet!B2227</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890</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3764</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5" t="str">
        <f>"Công trình: "&amp;WORD!S2</f>
        <v>Công trình: Trương Hồng Chinh</v>
      </c>
      <c r="C3" s="946"/>
      <c r="D3" s="159"/>
      <c r="E3" s="159"/>
      <c r="F3" s="159"/>
      <c r="G3" s="159"/>
      <c r="H3" s="159"/>
      <c r="I3" s="159"/>
      <c r="J3" s="135"/>
      <c r="K3" s="135"/>
      <c r="L3" s="135"/>
      <c r="M3" s="947"/>
      <c r="N3" s="135"/>
      <c r="O3" s="135"/>
      <c r="P3" s="135"/>
      <c r="Q3" s="135"/>
      <c r="R3" s="135"/>
      <c r="S3" s="135"/>
      <c r="T3" s="135"/>
      <c r="U3" s="948"/>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8"/>
      <c r="BI3" s="135"/>
      <c r="BJ3" s="135"/>
      <c r="BK3" s="135"/>
      <c r="BL3" s="135"/>
      <c r="BM3" s="135"/>
      <c r="BN3" s="135"/>
      <c r="BO3" s="135"/>
      <c r="BP3" s="135"/>
      <c r="BQ3" s="135"/>
      <c r="BR3" s="948"/>
      <c r="BS3" s="135"/>
      <c r="BT3" s="135"/>
      <c r="BU3" s="135"/>
      <c r="BV3" s="135"/>
      <c r="BW3" s="135"/>
      <c r="BX3" s="135"/>
      <c r="BY3" s="135"/>
      <c r="BZ3" s="135"/>
      <c r="CA3" s="135"/>
      <c r="CB3" s="135"/>
      <c r="CC3" s="135"/>
      <c r="CD3" s="135"/>
      <c r="CE3" s="135"/>
      <c r="CF3" s="135"/>
      <c r="CG3" s="135"/>
      <c r="CH3" s="135"/>
      <c r="CI3" s="135"/>
      <c r="CJ3" s="948"/>
      <c r="CK3" s="948"/>
      <c r="CL3" s="948"/>
      <c r="CM3" s="135"/>
      <c r="CN3" s="135"/>
      <c r="CO3" s="135"/>
      <c r="CP3" s="135"/>
      <c r="CQ3" s="135"/>
      <c r="CR3" s="135"/>
      <c r="CS3" s="135"/>
      <c r="CT3" s="948"/>
      <c r="CU3" s="135"/>
      <c r="CV3" s="135"/>
      <c r="CW3" s="135"/>
      <c r="CX3" s="135"/>
      <c r="CY3" s="135"/>
      <c r="CZ3" s="135"/>
      <c r="DA3" s="135"/>
      <c r="DB3" s="135"/>
      <c r="DC3" s="135"/>
      <c r="DD3" s="135"/>
      <c r="DE3" s="135"/>
      <c r="DF3" s="135"/>
      <c r="DG3" s="135"/>
      <c r="DH3" s="948"/>
      <c r="DI3" s="135"/>
      <c r="DJ3" s="948"/>
      <c r="DK3" s="135"/>
      <c r="DL3" s="135"/>
      <c r="DM3" s="135"/>
      <c r="DN3" s="135"/>
      <c r="DO3" s="135"/>
      <c r="DP3" s="948"/>
      <c r="DQ3" s="948"/>
      <c r="DR3" s="948"/>
      <c r="DS3" s="948"/>
      <c r="DT3" s="135"/>
      <c r="DU3" s="135"/>
      <c r="DV3" s="135"/>
      <c r="DW3" s="135"/>
      <c r="DX3" s="135"/>
      <c r="DY3" s="135"/>
      <c r="DZ3" s="135"/>
      <c r="EA3" s="135"/>
      <c r="EB3" s="135"/>
      <c r="EC3" s="135"/>
      <c r="ED3" s="135"/>
      <c r="EE3" s="135"/>
      <c r="EF3" s="135"/>
      <c r="EG3" s="135"/>
      <c r="EH3" s="948"/>
      <c r="EI3" s="135"/>
      <c r="EJ3" s="135"/>
      <c r="EK3" s="135"/>
      <c r="EL3" s="135"/>
      <c r="EM3" s="135"/>
      <c r="EN3" s="135"/>
      <c r="EO3" s="135"/>
      <c r="EP3" s="135"/>
      <c r="EQ3" s="135"/>
      <c r="ER3" s="135"/>
      <c r="ES3" s="135"/>
      <c r="ET3" s="135"/>
      <c r="EU3" s="135"/>
      <c r="EV3" s="135"/>
      <c r="EW3" s="135"/>
      <c r="EX3" s="135"/>
      <c r="EY3" s="135"/>
      <c r="EZ3" s="135"/>
      <c r="FA3" s="135"/>
      <c r="FB3" s="135"/>
      <c r="FC3" s="135"/>
      <c r="FD3" s="948"/>
      <c r="FE3" s="135"/>
      <c r="FF3" s="135"/>
      <c r="FG3" s="135"/>
      <c r="FH3" s="135"/>
      <c r="FI3" s="135"/>
      <c r="FJ3" s="135"/>
      <c r="FK3" s="135"/>
      <c r="FL3" s="948"/>
      <c r="FM3" s="135"/>
      <c r="FN3" s="135"/>
      <c r="FO3" s="948"/>
      <c r="FP3" s="135"/>
      <c r="FQ3" s="135"/>
      <c r="FR3" s="135"/>
      <c r="FS3" s="948"/>
      <c r="FT3" s="135"/>
      <c r="FU3" s="135"/>
      <c r="FV3" s="135"/>
      <c r="FW3" s="135"/>
      <c r="FX3" s="135"/>
      <c r="FY3" s="135"/>
      <c r="FZ3" s="135"/>
      <c r="GA3" s="135"/>
      <c r="GB3" s="135"/>
      <c r="GC3" s="135"/>
      <c r="GD3" s="948"/>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54" t="s">
        <v>3765</v>
      </c>
      <c r="B4" s="3042" t="s">
        <v>3766</v>
      </c>
      <c r="C4" s="3042" t="s">
        <v>4400</v>
      </c>
      <c r="D4" s="3042" t="s">
        <v>3767</v>
      </c>
      <c r="E4" s="3042" t="s">
        <v>3768</v>
      </c>
      <c r="F4" s="3042" t="s">
        <v>3769</v>
      </c>
      <c r="G4" s="3042" t="s">
        <v>3770</v>
      </c>
      <c r="H4" s="3042" t="s">
        <v>3771</v>
      </c>
      <c r="I4" s="3042" t="s">
        <v>3772</v>
      </c>
      <c r="J4" s="3044" t="s">
        <v>3773</v>
      </c>
      <c r="K4" s="3044" t="s">
        <v>3774</v>
      </c>
      <c r="L4" s="3044" t="s">
        <v>3775</v>
      </c>
      <c r="M4" s="3061" t="s">
        <v>3776</v>
      </c>
      <c r="N4" s="136" t="s">
        <v>2277</v>
      </c>
      <c r="O4" s="162"/>
      <c r="P4" s="162"/>
      <c r="Q4" s="162"/>
      <c r="R4" s="162"/>
      <c r="S4" s="162"/>
      <c r="T4" s="162"/>
      <c r="U4" s="162"/>
      <c r="V4" s="162"/>
      <c r="W4" s="163"/>
      <c r="X4" s="136" t="s">
        <v>3777</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3778</v>
      </c>
      <c r="BC4" s="162"/>
      <c r="BD4" s="162"/>
      <c r="BE4" s="162"/>
      <c r="BF4" s="162"/>
      <c r="BG4" s="162"/>
      <c r="BH4" s="162"/>
      <c r="BI4" s="162"/>
      <c r="BJ4" s="162"/>
      <c r="BK4" s="162"/>
      <c r="BL4" s="162"/>
      <c r="BM4" s="162"/>
      <c r="BN4" s="162"/>
      <c r="BO4" s="162"/>
      <c r="BP4" s="163"/>
      <c r="BQ4" s="3069" t="s">
        <v>3779</v>
      </c>
      <c r="BR4" s="3070"/>
      <c r="BS4" s="3070"/>
      <c r="BT4" s="3070"/>
      <c r="BU4" s="3070"/>
      <c r="BV4" s="3070"/>
      <c r="BW4" s="3070"/>
      <c r="BX4" s="3070"/>
      <c r="BY4" s="3070"/>
      <c r="BZ4" s="3070"/>
      <c r="CA4" s="3070"/>
      <c r="CB4" s="3071"/>
      <c r="CC4" s="3046" t="s">
        <v>2387</v>
      </c>
      <c r="CD4" s="3046" t="s">
        <v>2390</v>
      </c>
      <c r="CE4" s="3046" t="s">
        <v>2393</v>
      </c>
      <c r="CF4" s="3046" t="s">
        <v>2392</v>
      </c>
      <c r="CG4" s="3046" t="s">
        <v>2394</v>
      </c>
      <c r="CH4" s="3046" t="s">
        <v>2395</v>
      </c>
      <c r="CI4" s="137" t="s">
        <v>3780</v>
      </c>
      <c r="CJ4" s="164"/>
      <c r="CK4" s="164"/>
      <c r="CL4" s="164"/>
      <c r="CM4" s="165"/>
      <c r="CN4" s="165"/>
      <c r="CO4" s="165"/>
      <c r="CP4" s="165"/>
      <c r="CQ4" s="165"/>
      <c r="CR4" s="165"/>
      <c r="CS4" s="165"/>
      <c r="CT4" s="165"/>
      <c r="CU4" s="165"/>
      <c r="CV4" s="165"/>
      <c r="CW4" s="165"/>
      <c r="CX4" s="165"/>
      <c r="CY4" s="165"/>
      <c r="CZ4" s="165"/>
      <c r="DA4" s="165"/>
      <c r="DB4" s="165"/>
      <c r="DC4" s="165"/>
      <c r="DD4" s="165"/>
      <c r="DE4" s="165"/>
      <c r="DF4" s="3050" t="s">
        <v>3781</v>
      </c>
      <c r="DG4" s="3050" t="s">
        <v>3782</v>
      </c>
      <c r="DH4" s="3048" t="s">
        <v>3783</v>
      </c>
      <c r="DI4" s="3048" t="s">
        <v>3784</v>
      </c>
      <c r="DJ4" s="3048" t="s">
        <v>3785</v>
      </c>
      <c r="DK4" s="3048" t="s">
        <v>3786</v>
      </c>
      <c r="DL4" s="3048" t="s">
        <v>3787</v>
      </c>
      <c r="DM4" s="3048" t="s">
        <v>3788</v>
      </c>
      <c r="DN4" s="3048" t="s">
        <v>3789</v>
      </c>
      <c r="DO4" s="3048" t="s">
        <v>3790</v>
      </c>
      <c r="DP4" s="3048" t="s">
        <v>3791</v>
      </c>
      <c r="DQ4" s="3059" t="s">
        <v>1733</v>
      </c>
      <c r="DR4" s="3048" t="s">
        <v>3792</v>
      </c>
      <c r="DS4" s="3059" t="s">
        <v>4087</v>
      </c>
      <c r="DT4" s="3059" t="s">
        <v>3794</v>
      </c>
      <c r="DU4" s="3059" t="s">
        <v>3795</v>
      </c>
      <c r="DV4" s="3059" t="s">
        <v>3796</v>
      </c>
      <c r="DW4" s="3059" t="s">
        <v>3797</v>
      </c>
      <c r="DX4" s="3059" t="s">
        <v>3798</v>
      </c>
      <c r="DY4" s="3059" t="s">
        <v>3799</v>
      </c>
      <c r="DZ4" s="3059" t="s">
        <v>3800</v>
      </c>
      <c r="EA4" s="3059" t="s">
        <v>3801</v>
      </c>
      <c r="EB4" s="3059" t="s">
        <v>3802</v>
      </c>
      <c r="EC4" s="3059" t="s">
        <v>3803</v>
      </c>
      <c r="ED4" s="3088" t="s">
        <v>788</v>
      </c>
      <c r="EE4" s="3062" t="s">
        <v>1405</v>
      </c>
      <c r="EF4" s="3062" t="s">
        <v>1375</v>
      </c>
      <c r="EG4" s="3056" t="s">
        <v>675</v>
      </c>
      <c r="EH4" s="3056" t="s">
        <v>1898</v>
      </c>
      <c r="EI4" s="3056" t="s">
        <v>1129</v>
      </c>
      <c r="EJ4" s="3056" t="s">
        <v>1921</v>
      </c>
      <c r="EK4" s="3056" t="s">
        <v>394</v>
      </c>
      <c r="EL4" s="3056" t="s">
        <v>1912</v>
      </c>
      <c r="EM4" s="3056" t="s">
        <v>630</v>
      </c>
      <c r="EN4" s="3056" t="s">
        <v>629</v>
      </c>
      <c r="EO4" s="3056" t="s">
        <v>631</v>
      </c>
      <c r="EP4" s="3064" t="s">
        <v>3804</v>
      </c>
      <c r="EQ4" s="3064" t="s">
        <v>3805</v>
      </c>
      <c r="ER4" s="3064" t="s">
        <v>3806</v>
      </c>
      <c r="ES4" s="3064" t="s">
        <v>3807</v>
      </c>
      <c r="ET4" s="3046" t="s">
        <v>3808</v>
      </c>
      <c r="EU4" s="3046" t="s">
        <v>3809</v>
      </c>
      <c r="EV4" s="3046" t="s">
        <v>3810</v>
      </c>
      <c r="EW4" s="3046" t="s">
        <v>3811</v>
      </c>
      <c r="EX4" s="3046" t="s">
        <v>3812</v>
      </c>
      <c r="EY4" s="3046" t="s">
        <v>3813</v>
      </c>
      <c r="EZ4" s="3046" t="s">
        <v>3814</v>
      </c>
      <c r="FA4" s="3046" t="s">
        <v>3815</v>
      </c>
      <c r="FB4" s="3064" t="s">
        <v>3816</v>
      </c>
      <c r="FC4" s="3064" t="s">
        <v>3817</v>
      </c>
      <c r="FD4" s="3064" t="s">
        <v>3818</v>
      </c>
      <c r="FE4" s="3064" t="s">
        <v>3819</v>
      </c>
      <c r="FF4" s="3064" t="s">
        <v>3820</v>
      </c>
      <c r="FG4" s="3064" t="s">
        <v>3821</v>
      </c>
      <c r="FH4" s="3064" t="s">
        <v>3822</v>
      </c>
      <c r="FI4" s="3064" t="s">
        <v>3823</v>
      </c>
      <c r="FJ4" s="3064" t="s">
        <v>3824</v>
      </c>
      <c r="FK4" s="3064" t="s">
        <v>3825</v>
      </c>
      <c r="FL4" s="3064" t="s">
        <v>4330</v>
      </c>
      <c r="FM4" s="3064" t="s">
        <v>3826</v>
      </c>
      <c r="FN4" s="3064" t="s">
        <v>3827</v>
      </c>
      <c r="FO4" s="3064" t="s">
        <v>3828</v>
      </c>
      <c r="FP4" s="3064" t="s">
        <v>3829</v>
      </c>
      <c r="FQ4" s="3064" t="s">
        <v>3830</v>
      </c>
      <c r="FR4" s="3046" t="s">
        <v>3831</v>
      </c>
      <c r="FS4" s="3046" t="s">
        <v>3832</v>
      </c>
      <c r="FT4" s="3046" t="s">
        <v>3833</v>
      </c>
      <c r="FU4" s="3066" t="s">
        <v>3834</v>
      </c>
      <c r="FV4" s="3066" t="s">
        <v>3835</v>
      </c>
      <c r="FW4" s="3066" t="s">
        <v>3836</v>
      </c>
      <c r="FX4" s="3066" t="s">
        <v>3837</v>
      </c>
      <c r="FY4" s="3066" t="s">
        <v>3838</v>
      </c>
      <c r="FZ4" s="3066" t="s">
        <v>3839</v>
      </c>
      <c r="GA4" s="3066" t="s">
        <v>3840</v>
      </c>
      <c r="GB4" s="3066" t="s">
        <v>3841</v>
      </c>
      <c r="GC4" s="3066" t="s">
        <v>3842</v>
      </c>
      <c r="GD4" s="3066" t="s">
        <v>3843</v>
      </c>
      <c r="GE4" s="3066" t="s">
        <v>3844</v>
      </c>
      <c r="GF4" s="3066" t="s">
        <v>3845</v>
      </c>
      <c r="GG4" s="3066" t="s">
        <v>3846</v>
      </c>
      <c r="GH4" s="3076" t="s">
        <v>3847</v>
      </c>
      <c r="GI4" s="3076" t="s">
        <v>3848</v>
      </c>
      <c r="GJ4" s="3078" t="s">
        <v>3849</v>
      </c>
      <c r="GK4" s="3078" t="s">
        <v>3850</v>
      </c>
      <c r="GL4" s="3076" t="s">
        <v>3851</v>
      </c>
      <c r="GM4" s="3078" t="s">
        <v>3852</v>
      </c>
      <c r="GN4" s="3078" t="s">
        <v>3853</v>
      </c>
      <c r="GO4" s="3076" t="s">
        <v>3854</v>
      </c>
      <c r="GP4" s="3076" t="s">
        <v>3855</v>
      </c>
      <c r="GQ4" s="3076" t="s">
        <v>3856</v>
      </c>
      <c r="GR4" s="3066" t="s">
        <v>3857</v>
      </c>
      <c r="GS4" s="3066" t="s">
        <v>3671</v>
      </c>
      <c r="GT4" s="3086" t="s">
        <v>3858</v>
      </c>
      <c r="GU4" s="3084" t="s">
        <v>2599</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55"/>
      <c r="B5" s="3043"/>
      <c r="C5" s="3043"/>
      <c r="D5" s="3043"/>
      <c r="E5" s="3043"/>
      <c r="F5" s="3043"/>
      <c r="G5" s="3043"/>
      <c r="H5" s="3043"/>
      <c r="I5" s="3043"/>
      <c r="J5" s="3058"/>
      <c r="K5" s="3045"/>
      <c r="L5" s="3045"/>
      <c r="M5" s="3051"/>
      <c r="N5" s="139" t="s">
        <v>92</v>
      </c>
      <c r="O5" s="139" t="s">
        <v>1528</v>
      </c>
      <c r="P5" s="139" t="s">
        <v>1825</v>
      </c>
      <c r="Q5" s="139" t="s">
        <v>1824</v>
      </c>
      <c r="R5" s="139" t="s">
        <v>233</v>
      </c>
      <c r="S5" s="139" t="s">
        <v>519</v>
      </c>
      <c r="T5" s="139" t="s">
        <v>300</v>
      </c>
      <c r="U5" s="929" t="s">
        <v>318</v>
      </c>
      <c r="V5" s="167" t="s">
        <v>302</v>
      </c>
      <c r="W5" s="139" t="s">
        <v>759</v>
      </c>
      <c r="X5" s="138" t="s">
        <v>2176</v>
      </c>
      <c r="Y5" s="138" t="s">
        <v>3859</v>
      </c>
      <c r="Z5" s="138" t="s">
        <v>695</v>
      </c>
      <c r="AA5" s="138" t="s">
        <v>100</v>
      </c>
      <c r="AB5" s="138" t="s">
        <v>833</v>
      </c>
      <c r="AC5" s="138" t="s">
        <v>834</v>
      </c>
      <c r="AD5" s="138" t="s">
        <v>832</v>
      </c>
      <c r="AE5" s="138" t="s">
        <v>760</v>
      </c>
      <c r="AF5" s="138" t="s">
        <v>286</v>
      </c>
      <c r="AG5" s="138" t="s">
        <v>303</v>
      </c>
      <c r="AH5" s="138" t="s">
        <v>2263</v>
      </c>
      <c r="AI5" s="138" t="s">
        <v>304</v>
      </c>
      <c r="AJ5" s="138" t="s">
        <v>638</v>
      </c>
      <c r="AK5" s="138" t="s">
        <v>647</v>
      </c>
      <c r="AL5" s="138" t="s">
        <v>646</v>
      </c>
      <c r="AM5" s="138" t="s">
        <v>1901</v>
      </c>
      <c r="AN5" s="138" t="s">
        <v>511</v>
      </c>
      <c r="AO5" s="138" t="s">
        <v>2180</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3860</v>
      </c>
      <c r="BQ5" s="138" t="s">
        <v>1492</v>
      </c>
      <c r="BR5" s="138" t="s">
        <v>1493</v>
      </c>
      <c r="BS5" s="138" t="s">
        <v>1572</v>
      </c>
      <c r="BT5" s="138" t="s">
        <v>1091</v>
      </c>
      <c r="BU5" s="138" t="s">
        <v>2146</v>
      </c>
      <c r="BV5" s="138" t="s">
        <v>1092</v>
      </c>
      <c r="BW5" s="138" t="s">
        <v>2147</v>
      </c>
      <c r="BX5" s="138" t="s">
        <v>1093</v>
      </c>
      <c r="BY5" s="138" t="s">
        <v>2045</v>
      </c>
      <c r="BZ5" s="138" t="s">
        <v>1094</v>
      </c>
      <c r="CA5" s="138" t="s">
        <v>2046</v>
      </c>
      <c r="CB5" s="138" t="s">
        <v>892</v>
      </c>
      <c r="CC5" s="3047"/>
      <c r="CD5" s="3047"/>
      <c r="CE5" s="3047"/>
      <c r="CF5" s="3047"/>
      <c r="CG5" s="3047"/>
      <c r="CH5" s="3047"/>
      <c r="CI5" s="138" t="s">
        <v>2294</v>
      </c>
      <c r="CJ5" s="138" t="s">
        <v>2295</v>
      </c>
      <c r="CK5" s="138" t="s">
        <v>2293</v>
      </c>
      <c r="CL5" s="138" t="s">
        <v>2119</v>
      </c>
      <c r="CM5" s="138" t="s">
        <v>2292</v>
      </c>
      <c r="CN5" s="138" t="s">
        <v>893</v>
      </c>
      <c r="CO5" s="138" t="s">
        <v>280</v>
      </c>
      <c r="CP5" s="138" t="s">
        <v>910</v>
      </c>
      <c r="CQ5" s="138" t="s">
        <v>2311</v>
      </c>
      <c r="CR5" s="138" t="s">
        <v>1501</v>
      </c>
      <c r="CS5" s="138" t="s">
        <v>213</v>
      </c>
      <c r="CT5" s="138" t="s">
        <v>361</v>
      </c>
      <c r="CU5" s="138" t="s">
        <v>2297</v>
      </c>
      <c r="CV5" s="138" t="s">
        <v>344</v>
      </c>
      <c r="CW5" s="138" t="s">
        <v>1868</v>
      </c>
      <c r="CX5" s="138" t="s">
        <v>827</v>
      </c>
      <c r="CY5" s="138" t="s">
        <v>1574</v>
      </c>
      <c r="CZ5" s="138" t="s">
        <v>2299</v>
      </c>
      <c r="DA5" s="138" t="s">
        <v>807</v>
      </c>
      <c r="DB5" s="138" t="s">
        <v>1442</v>
      </c>
      <c r="DC5" s="138" t="s">
        <v>806</v>
      </c>
      <c r="DD5" s="138" t="s">
        <v>805</v>
      </c>
      <c r="DE5" s="138" t="s">
        <v>1195</v>
      </c>
      <c r="DF5" s="3051"/>
      <c r="DG5" s="3051"/>
      <c r="DH5" s="3049"/>
      <c r="DI5" s="3049"/>
      <c r="DJ5" s="3049"/>
      <c r="DK5" s="3049"/>
      <c r="DL5" s="3049"/>
      <c r="DM5" s="3049"/>
      <c r="DN5" s="3049"/>
      <c r="DO5" s="3049"/>
      <c r="DP5" s="3049"/>
      <c r="DQ5" s="3060"/>
      <c r="DR5" s="3049"/>
      <c r="DS5" s="3060"/>
      <c r="DT5" s="3060"/>
      <c r="DU5" s="3060"/>
      <c r="DV5" s="3060"/>
      <c r="DW5" s="3060"/>
      <c r="DX5" s="3060"/>
      <c r="DY5" s="3060"/>
      <c r="DZ5" s="3060"/>
      <c r="EA5" s="3060"/>
      <c r="EB5" s="3060"/>
      <c r="EC5" s="3060"/>
      <c r="ED5" s="3089"/>
      <c r="EE5" s="3063"/>
      <c r="EF5" s="3063"/>
      <c r="EG5" s="3057"/>
      <c r="EH5" s="3057"/>
      <c r="EI5" s="3057"/>
      <c r="EJ5" s="3057"/>
      <c r="EK5" s="3057"/>
      <c r="EL5" s="3057"/>
      <c r="EM5" s="3057"/>
      <c r="EN5" s="3057"/>
      <c r="EO5" s="3057"/>
      <c r="EP5" s="3065"/>
      <c r="EQ5" s="3065"/>
      <c r="ER5" s="3065"/>
      <c r="ES5" s="3065"/>
      <c r="ET5" s="3047"/>
      <c r="EU5" s="3047"/>
      <c r="EV5" s="3047"/>
      <c r="EW5" s="3047"/>
      <c r="EX5" s="3047"/>
      <c r="EY5" s="3047"/>
      <c r="EZ5" s="3047"/>
      <c r="FA5" s="3047"/>
      <c r="FB5" s="3065"/>
      <c r="FC5" s="3065"/>
      <c r="FD5" s="3065"/>
      <c r="FE5" s="3065"/>
      <c r="FF5" s="3065"/>
      <c r="FG5" s="3065"/>
      <c r="FH5" s="3065"/>
      <c r="FI5" s="3065"/>
      <c r="FJ5" s="3065"/>
      <c r="FK5" s="3065"/>
      <c r="FL5" s="3065"/>
      <c r="FM5" s="3065"/>
      <c r="FN5" s="3065"/>
      <c r="FO5" s="3065"/>
      <c r="FP5" s="3065"/>
      <c r="FQ5" s="3065"/>
      <c r="FR5" s="3047"/>
      <c r="FS5" s="3047"/>
      <c r="FT5" s="3047"/>
      <c r="FU5" s="3067"/>
      <c r="FV5" s="3067"/>
      <c r="FW5" s="3067"/>
      <c r="FX5" s="3067"/>
      <c r="FY5" s="3067"/>
      <c r="FZ5" s="3067"/>
      <c r="GA5" s="3067"/>
      <c r="GB5" s="3067"/>
      <c r="GC5" s="3067"/>
      <c r="GD5" s="3067"/>
      <c r="GE5" s="3067"/>
      <c r="GF5" s="3067"/>
      <c r="GG5" s="3067"/>
      <c r="GH5" s="3077"/>
      <c r="GI5" s="3077"/>
      <c r="GJ5" s="3079"/>
      <c r="GK5" s="3079"/>
      <c r="GL5" s="3077"/>
      <c r="GM5" s="3079"/>
      <c r="GN5" s="3079"/>
      <c r="GO5" s="3077"/>
      <c r="GP5" s="3077"/>
      <c r="GQ5" s="3077"/>
      <c r="GR5" s="3067"/>
      <c r="GS5" s="3067"/>
      <c r="GT5" s="3087"/>
      <c r="GU5" s="3085"/>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36"/>
      <c r="B9" s="1237"/>
      <c r="C9" s="1238"/>
      <c r="D9" s="174"/>
      <c r="E9" s="174"/>
      <c r="F9" s="174"/>
      <c r="G9" s="174"/>
      <c r="H9" s="174"/>
      <c r="I9" s="174"/>
      <c r="J9" s="175"/>
      <c r="K9" s="176"/>
      <c r="L9" s="177"/>
      <c r="M9" s="1241"/>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43"/>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36"/>
      <c r="B10" s="1239"/>
      <c r="C10" s="260"/>
      <c r="D10" s="184"/>
      <c r="E10" s="184"/>
      <c r="F10" s="184"/>
      <c r="G10" s="184"/>
      <c r="H10" s="184"/>
      <c r="I10" s="184"/>
      <c r="J10" s="185"/>
      <c r="K10" s="186"/>
      <c r="L10" s="187"/>
      <c r="M10" s="1242"/>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30"/>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36"/>
      <c r="B11" s="1239"/>
      <c r="C11" s="260"/>
      <c r="D11" s="184"/>
      <c r="E11" s="184"/>
      <c r="F11" s="184"/>
      <c r="G11" s="184"/>
      <c r="H11" s="184"/>
      <c r="I11" s="184"/>
      <c r="J11" s="185"/>
      <c r="K11" s="186"/>
      <c r="L11" s="187"/>
      <c r="M11" s="1242"/>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30"/>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36"/>
      <c r="B12" s="1240"/>
      <c r="C12" s="260"/>
      <c r="D12" s="184"/>
      <c r="E12" s="184"/>
      <c r="F12" s="184"/>
      <c r="G12" s="184"/>
      <c r="H12" s="184"/>
      <c r="I12" s="184"/>
      <c r="J12" s="185"/>
      <c r="K12" s="186"/>
      <c r="L12" s="187"/>
      <c r="M12" s="1242"/>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30"/>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36"/>
      <c r="B13" s="1240"/>
      <c r="C13" s="260"/>
      <c r="D13" s="184"/>
      <c r="E13" s="184"/>
      <c r="F13" s="184"/>
      <c r="G13" s="184"/>
      <c r="H13" s="184"/>
      <c r="I13" s="184"/>
      <c r="J13" s="185"/>
      <c r="K13" s="186"/>
      <c r="L13" s="187"/>
      <c r="M13" s="1242"/>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30"/>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36"/>
      <c r="B14" s="1240"/>
      <c r="C14" s="260"/>
      <c r="D14" s="184"/>
      <c r="E14" s="184"/>
      <c r="F14" s="184"/>
      <c r="G14" s="184"/>
      <c r="H14" s="184"/>
      <c r="I14" s="184"/>
      <c r="J14" s="185"/>
      <c r="K14" s="186"/>
      <c r="L14" s="187"/>
      <c r="M14" s="1242"/>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30"/>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36"/>
      <c r="B15" s="1240"/>
      <c r="C15" s="260"/>
      <c r="D15" s="184"/>
      <c r="E15" s="184"/>
      <c r="F15" s="184"/>
      <c r="G15" s="184"/>
      <c r="H15" s="184"/>
      <c r="I15" s="184"/>
      <c r="J15" s="185"/>
      <c r="K15" s="186"/>
      <c r="L15" s="187"/>
      <c r="M15" s="1242"/>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30"/>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36"/>
      <c r="B16" s="1240"/>
      <c r="C16" s="260"/>
      <c r="D16" s="184"/>
      <c r="E16" s="184"/>
      <c r="F16" s="184"/>
      <c r="G16" s="184"/>
      <c r="H16" s="184"/>
      <c r="I16" s="184"/>
      <c r="J16" s="185"/>
      <c r="K16" s="186"/>
      <c r="L16" s="187"/>
      <c r="M16" s="1242"/>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30"/>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36"/>
      <c r="B17" s="1240"/>
      <c r="C17" s="260"/>
      <c r="D17" s="184"/>
      <c r="E17" s="184"/>
      <c r="F17" s="184"/>
      <c r="G17" s="184"/>
      <c r="H17" s="184"/>
      <c r="I17" s="184"/>
      <c r="J17" s="185"/>
      <c r="K17" s="186"/>
      <c r="L17" s="187"/>
      <c r="M17" s="1242"/>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30"/>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36"/>
      <c r="B18" s="1240"/>
      <c r="C18" s="260"/>
      <c r="D18" s="184"/>
      <c r="E18" s="184"/>
      <c r="F18" s="184"/>
      <c r="G18" s="184"/>
      <c r="H18" s="184"/>
      <c r="I18" s="184"/>
      <c r="J18" s="185"/>
      <c r="K18" s="186"/>
      <c r="L18" s="187"/>
      <c r="M18" s="1242"/>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30"/>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36"/>
      <c r="B19" s="1240"/>
      <c r="C19" s="260"/>
      <c r="D19" s="184"/>
      <c r="E19" s="184"/>
      <c r="F19" s="184"/>
      <c r="G19" s="184"/>
      <c r="H19" s="184"/>
      <c r="I19" s="184"/>
      <c r="J19" s="185"/>
      <c r="K19" s="186"/>
      <c r="L19" s="187"/>
      <c r="M19" s="1242"/>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30"/>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36"/>
      <c r="B20" s="1240"/>
      <c r="C20" s="260"/>
      <c r="D20" s="184"/>
      <c r="E20" s="184"/>
      <c r="F20" s="184"/>
      <c r="G20" s="184"/>
      <c r="H20" s="184"/>
      <c r="I20" s="184"/>
      <c r="J20" s="185"/>
      <c r="K20" s="186"/>
      <c r="L20" s="187"/>
      <c r="M20" s="1242"/>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30"/>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3863</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3863</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3863</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3863</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3863</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3863</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3863</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3863</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3863</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3863</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3863</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3864</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3864</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3864</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3863</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3864</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3863</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3863</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3864</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3864</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3864</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3864</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3863</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3863</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3863</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3863</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3863</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3863</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3863</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3863</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3863</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3863</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3863</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3863</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3863</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3863</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3863</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3863</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3865</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3866</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3866</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3867</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3867</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3867</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3867</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3868</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3867</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3867</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3867</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3867</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3867</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3867</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3867</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3869</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72"/>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82" t="s">
        <v>3870</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73"/>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83"/>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3871</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3871</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3867</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3867</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3867</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74"/>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80" t="s">
        <v>3872</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75"/>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81"/>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3873</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3868</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3862</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2280</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3052" t="s">
        <v>2592</v>
      </c>
      <c r="B184" s="3053"/>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3874</v>
      </c>
      <c r="O185" s="379"/>
      <c r="P185" s="379"/>
      <c r="Q185" s="379"/>
      <c r="R185" s="379"/>
      <c r="S185" s="379"/>
      <c r="T185" s="379"/>
      <c r="U185" s="379"/>
      <c r="V185" s="379"/>
      <c r="W185" s="379"/>
      <c r="X185" s="379"/>
      <c r="Y185" s="379"/>
    </row>
    <row r="186" spans="1:256" ht="18.899999999999999" hidden="1" customHeight="1">
      <c r="A186" s="380" t="s">
        <v>728</v>
      </c>
      <c r="B186" s="157" t="s">
        <v>2172</v>
      </c>
      <c r="D186" s="376"/>
      <c r="E186" s="376"/>
      <c r="F186" s="376"/>
      <c r="G186" s="376"/>
      <c r="H186" s="376"/>
      <c r="I186" s="376"/>
      <c r="J186" s="156" t="s">
        <v>1823</v>
      </c>
      <c r="L186" s="381"/>
      <c r="N186" s="380" t="s">
        <v>728</v>
      </c>
      <c r="O186" s="156" t="s">
        <v>2172</v>
      </c>
      <c r="V186" s="3068">
        <f>1.02*D186</f>
        <v>0</v>
      </c>
      <c r="W186" s="3068"/>
      <c r="X186" s="3068"/>
      <c r="Y186" s="3068"/>
      <c r="Z186" s="3068"/>
      <c r="AA186" s="3068"/>
      <c r="AB186" s="3068"/>
      <c r="AC186" s="3068"/>
      <c r="AD186" s="3068"/>
      <c r="AE186" s="3068"/>
      <c r="AF186" s="3068"/>
      <c r="AG186" s="3068"/>
      <c r="AH186" s="3068"/>
      <c r="AI186" s="3068"/>
      <c r="AJ186" s="3068"/>
      <c r="AK186" s="3068"/>
      <c r="AL186" s="3068"/>
      <c r="AM186" s="3068"/>
      <c r="AN186" s="3068"/>
      <c r="AO186" s="3068"/>
      <c r="AP186" s="3068"/>
      <c r="AQ186" s="3068"/>
      <c r="AR186" s="3068"/>
      <c r="AS186" s="3068"/>
      <c r="AT186" s="3068"/>
      <c r="AU186" s="3068"/>
      <c r="AV186" s="3068"/>
      <c r="AW186" s="3068"/>
      <c r="AX186" s="3068"/>
      <c r="AY186" s="3068"/>
      <c r="AZ186" s="3068"/>
      <c r="BA186" s="3068"/>
      <c r="BB186" s="3068"/>
      <c r="BC186" s="3068"/>
      <c r="BD186" s="3068"/>
      <c r="BE186" s="3068"/>
      <c r="BF186" s="3068"/>
      <c r="BG186" s="3068"/>
      <c r="BH186" s="3068"/>
      <c r="BI186" s="3068"/>
      <c r="CS186" s="382"/>
    </row>
    <row r="187" spans="1:256" ht="18.899999999999999" hidden="1" customHeight="1">
      <c r="A187" s="380" t="s">
        <v>729</v>
      </c>
      <c r="B187" s="157" t="s">
        <v>2172</v>
      </c>
      <c r="D187" s="376"/>
      <c r="E187" s="376"/>
      <c r="F187" s="376"/>
      <c r="G187" s="376"/>
      <c r="H187" s="376"/>
      <c r="I187" s="376"/>
      <c r="J187" s="156" t="s">
        <v>1823</v>
      </c>
      <c r="L187" s="381"/>
      <c r="N187" s="380" t="s">
        <v>729</v>
      </c>
      <c r="O187" s="156" t="s">
        <v>2172</v>
      </c>
      <c r="V187" s="3068">
        <f>1.02*D187</f>
        <v>0</v>
      </c>
      <c r="W187" s="3068"/>
      <c r="X187" s="3068"/>
      <c r="Y187" s="3068"/>
      <c r="Z187" s="3068"/>
      <c r="AA187" s="3068"/>
      <c r="AB187" s="3068"/>
      <c r="AC187" s="3068"/>
      <c r="AD187" s="3068"/>
      <c r="AE187" s="3068"/>
      <c r="AF187" s="3068"/>
      <c r="AG187" s="3068"/>
      <c r="AH187" s="3068"/>
      <c r="AI187" s="3068"/>
      <c r="AJ187" s="3068"/>
      <c r="AK187" s="3068"/>
      <c r="AL187" s="3068"/>
      <c r="AM187" s="3068"/>
      <c r="AN187" s="3068"/>
      <c r="AO187" s="3068"/>
      <c r="AP187" s="3068"/>
      <c r="AQ187" s="3068"/>
      <c r="AR187" s="3068"/>
      <c r="AS187" s="3068"/>
      <c r="AT187" s="3068"/>
      <c r="AU187" s="3068"/>
      <c r="AV187" s="3068"/>
      <c r="AW187" s="3068"/>
      <c r="AX187" s="3068"/>
      <c r="AY187" s="3068"/>
      <c r="AZ187" s="3068"/>
      <c r="BA187" s="3068"/>
      <c r="BB187" s="3068"/>
      <c r="BC187" s="3068"/>
      <c r="BD187" s="3068"/>
      <c r="BE187" s="3068"/>
      <c r="BF187" s="3068"/>
      <c r="BG187" s="3068"/>
      <c r="BH187" s="3068"/>
      <c r="BI187" s="3068"/>
    </row>
    <row r="188" spans="1:256" ht="18.899999999999999" hidden="1" customHeight="1">
      <c r="A188" s="380" t="s">
        <v>841</v>
      </c>
      <c r="B188" s="157" t="s">
        <v>2172</v>
      </c>
      <c r="D188" s="376"/>
      <c r="E188" s="376"/>
      <c r="F188" s="376"/>
      <c r="G188" s="376"/>
      <c r="H188" s="376"/>
      <c r="I188" s="376"/>
      <c r="J188" s="156" t="s">
        <v>1823</v>
      </c>
      <c r="L188" s="381"/>
      <c r="N188" s="380" t="s">
        <v>841</v>
      </c>
      <c r="O188" s="156" t="s">
        <v>2172</v>
      </c>
      <c r="V188" s="3068">
        <f>1.02*D188</f>
        <v>0</v>
      </c>
      <c r="W188" s="3068"/>
      <c r="X188" s="3068"/>
      <c r="Y188" s="3068"/>
      <c r="Z188" s="3068"/>
      <c r="AA188" s="3068"/>
      <c r="AB188" s="3068"/>
      <c r="AC188" s="3068"/>
      <c r="AD188" s="3068"/>
      <c r="AE188" s="3068"/>
      <c r="AF188" s="3068"/>
      <c r="AG188" s="3068"/>
      <c r="AH188" s="3068"/>
      <c r="AI188" s="3068"/>
      <c r="AJ188" s="3068"/>
      <c r="AK188" s="3068"/>
      <c r="AL188" s="3068"/>
      <c r="AM188" s="3068"/>
      <c r="AN188" s="3068"/>
      <c r="AO188" s="3068"/>
      <c r="AP188" s="3068"/>
      <c r="AQ188" s="3068"/>
      <c r="AR188" s="3068"/>
      <c r="AS188" s="3068"/>
      <c r="AT188" s="3068"/>
      <c r="AU188" s="3068"/>
      <c r="AV188" s="3068"/>
      <c r="AW188" s="3068"/>
      <c r="AX188" s="3068"/>
      <c r="AY188" s="3068"/>
      <c r="AZ188" s="3068"/>
      <c r="BA188" s="3068"/>
      <c r="BB188" s="3068"/>
      <c r="BC188" s="3068"/>
      <c r="BD188" s="3068"/>
      <c r="BE188" s="3068"/>
      <c r="BF188" s="3068"/>
      <c r="BG188" s="3068"/>
      <c r="BH188" s="3068"/>
      <c r="BI188" s="3068"/>
    </row>
    <row r="189" spans="1:256" ht="18.899999999999999" hidden="1" customHeight="1">
      <c r="A189" s="380" t="s">
        <v>539</v>
      </c>
      <c r="B189" s="157" t="s">
        <v>2172</v>
      </c>
      <c r="D189" s="376"/>
      <c r="E189" s="376"/>
      <c r="F189" s="376"/>
      <c r="G189" s="376"/>
      <c r="H189" s="376"/>
      <c r="I189" s="376"/>
      <c r="J189" s="156" t="s">
        <v>1823</v>
      </c>
      <c r="L189" s="381"/>
      <c r="N189" s="380" t="s">
        <v>539</v>
      </c>
      <c r="O189" s="156" t="s">
        <v>2172</v>
      </c>
      <c r="V189" s="156">
        <f>1.02*D189</f>
        <v>0</v>
      </c>
      <c r="W189" s="383">
        <f t="shared" ref="W189:W198" si="69">D189*1.03</f>
        <v>0</v>
      </c>
      <c r="X189" s="384"/>
      <c r="Y189" s="384"/>
      <c r="Z189" s="156" t="s">
        <v>1823</v>
      </c>
      <c r="AD189" s="385"/>
      <c r="BJ189" s="381"/>
    </row>
    <row r="190" spans="1:256" ht="18.899999999999999" hidden="1" customHeight="1">
      <c r="A190" s="380" t="s">
        <v>269</v>
      </c>
      <c r="B190" s="157" t="s">
        <v>2172</v>
      </c>
      <c r="D190" s="376"/>
      <c r="E190" s="376"/>
      <c r="F190" s="376"/>
      <c r="G190" s="376"/>
      <c r="H190" s="376"/>
      <c r="I190" s="376"/>
      <c r="J190" s="156" t="s">
        <v>1823</v>
      </c>
      <c r="L190" s="381"/>
      <c r="N190" s="380" t="s">
        <v>269</v>
      </c>
      <c r="O190" s="156" t="s">
        <v>2172</v>
      </c>
      <c r="W190" s="383">
        <f t="shared" si="69"/>
        <v>0</v>
      </c>
      <c r="X190" s="384"/>
      <c r="Y190" s="384"/>
      <c r="Z190" s="156" t="s">
        <v>1823</v>
      </c>
      <c r="AD190" s="385"/>
    </row>
    <row r="191" spans="1:256" ht="18.899999999999999" hidden="1" customHeight="1">
      <c r="A191" s="380" t="s">
        <v>1239</v>
      </c>
      <c r="B191" s="157" t="s">
        <v>2172</v>
      </c>
      <c r="D191" s="376"/>
      <c r="E191" s="376"/>
      <c r="F191" s="376"/>
      <c r="G191" s="376"/>
      <c r="H191" s="376"/>
      <c r="I191" s="376"/>
      <c r="J191" s="156" t="s">
        <v>1823</v>
      </c>
      <c r="L191" s="381"/>
      <c r="N191" s="380" t="s">
        <v>1239</v>
      </c>
      <c r="O191" s="156" t="s">
        <v>2172</v>
      </c>
      <c r="W191" s="383">
        <f>D191*1.03</f>
        <v>0</v>
      </c>
      <c r="X191" s="384"/>
      <c r="Y191" s="384"/>
      <c r="Z191" s="156" t="s">
        <v>1823</v>
      </c>
      <c r="AD191" s="385"/>
    </row>
    <row r="192" spans="1:256" ht="18.899999999999999" hidden="1" customHeight="1">
      <c r="A192" s="380" t="s">
        <v>88</v>
      </c>
      <c r="B192" s="157" t="s">
        <v>2172</v>
      </c>
      <c r="D192" s="376"/>
      <c r="E192" s="376"/>
      <c r="F192" s="376"/>
      <c r="G192" s="376"/>
      <c r="H192" s="376"/>
      <c r="I192" s="376"/>
      <c r="J192" s="156" t="s">
        <v>1823</v>
      </c>
      <c r="L192" s="381"/>
      <c r="N192" s="380" t="s">
        <v>88</v>
      </c>
      <c r="O192" s="156" t="s">
        <v>2172</v>
      </c>
      <c r="W192" s="383">
        <f t="shared" si="69"/>
        <v>0</v>
      </c>
      <c r="X192" s="384"/>
      <c r="Y192" s="384"/>
      <c r="Z192" s="156" t="s">
        <v>1823</v>
      </c>
      <c r="AD192" s="386"/>
    </row>
    <row r="193" spans="1:62" ht="18.899999999999999" hidden="1" customHeight="1">
      <c r="A193" s="386" t="s">
        <v>1058</v>
      </c>
      <c r="B193" s="157" t="s">
        <v>2172</v>
      </c>
      <c r="D193" s="376"/>
      <c r="E193" s="376"/>
      <c r="F193" s="376"/>
      <c r="G193" s="376"/>
      <c r="H193" s="376"/>
      <c r="I193" s="376"/>
      <c r="J193" s="156" t="s">
        <v>1823</v>
      </c>
      <c r="N193" s="386" t="s">
        <v>1058</v>
      </c>
      <c r="O193" s="156" t="s">
        <v>2172</v>
      </c>
      <c r="W193" s="383">
        <f t="shared" si="69"/>
        <v>0</v>
      </c>
      <c r="X193" s="384"/>
      <c r="Y193" s="384"/>
      <c r="Z193" s="156" t="s">
        <v>1823</v>
      </c>
      <c r="AD193" s="385"/>
      <c r="BJ193" s="381"/>
    </row>
    <row r="194" spans="1:62" ht="18.899999999999999" hidden="1" customHeight="1">
      <c r="A194" s="386" t="s">
        <v>1636</v>
      </c>
      <c r="B194" s="157" t="s">
        <v>2172</v>
      </c>
      <c r="D194" s="376"/>
      <c r="E194" s="376"/>
      <c r="F194" s="376"/>
      <c r="G194" s="376"/>
      <c r="H194" s="376"/>
      <c r="I194" s="376"/>
      <c r="J194" s="156" t="s">
        <v>1823</v>
      </c>
      <c r="L194" s="381"/>
      <c r="N194" s="386" t="s">
        <v>1636</v>
      </c>
      <c r="O194" s="156" t="s">
        <v>2172</v>
      </c>
      <c r="W194" s="383">
        <f t="shared" si="69"/>
        <v>0</v>
      </c>
      <c r="X194" s="384"/>
      <c r="Y194" s="384"/>
      <c r="Z194" s="156" t="s">
        <v>1823</v>
      </c>
      <c r="AD194" s="386"/>
      <c r="BJ194" s="381"/>
    </row>
    <row r="195" spans="1:62" ht="18.899999999999999" hidden="1" customHeight="1">
      <c r="A195" s="386" t="s">
        <v>1635</v>
      </c>
      <c r="B195" s="157" t="s">
        <v>2172</v>
      </c>
      <c r="D195" s="376"/>
      <c r="E195" s="376"/>
      <c r="F195" s="376"/>
      <c r="G195" s="376"/>
      <c r="H195" s="376"/>
      <c r="I195" s="376"/>
      <c r="J195" s="156" t="s">
        <v>1823</v>
      </c>
      <c r="L195" s="381"/>
      <c r="N195" s="386" t="s">
        <v>1635</v>
      </c>
      <c r="O195" s="156" t="s">
        <v>2172</v>
      </c>
      <c r="W195" s="383">
        <f t="shared" si="69"/>
        <v>0</v>
      </c>
      <c r="X195" s="384"/>
      <c r="Y195" s="384"/>
      <c r="Z195" s="156" t="s">
        <v>1823</v>
      </c>
      <c r="AD195" s="386"/>
    </row>
    <row r="196" spans="1:62" ht="18.899999999999999" hidden="1" customHeight="1">
      <c r="A196" s="386" t="s">
        <v>1634</v>
      </c>
      <c r="B196" s="157" t="s">
        <v>2172</v>
      </c>
      <c r="D196" s="376"/>
      <c r="E196" s="376"/>
      <c r="F196" s="376"/>
      <c r="G196" s="376"/>
      <c r="H196" s="376"/>
      <c r="I196" s="376"/>
      <c r="J196" s="156" t="s">
        <v>1823</v>
      </c>
      <c r="N196" s="386" t="s">
        <v>1634</v>
      </c>
      <c r="O196" s="156" t="s">
        <v>2172</v>
      </c>
      <c r="W196" s="383">
        <f t="shared" si="69"/>
        <v>0</v>
      </c>
      <c r="X196" s="384"/>
      <c r="Y196" s="384"/>
      <c r="Z196" s="156" t="s">
        <v>1823</v>
      </c>
      <c r="AD196" s="386"/>
      <c r="BJ196" s="381"/>
    </row>
    <row r="197" spans="1:62" ht="18.899999999999999" hidden="1" customHeight="1">
      <c r="A197" s="386" t="s">
        <v>1633</v>
      </c>
      <c r="B197" s="157" t="s">
        <v>2172</v>
      </c>
      <c r="D197" s="376"/>
      <c r="E197" s="376"/>
      <c r="F197" s="376"/>
      <c r="G197" s="376"/>
      <c r="H197" s="376"/>
      <c r="I197" s="376"/>
      <c r="J197" s="156" t="s">
        <v>1823</v>
      </c>
      <c r="L197" s="381"/>
      <c r="N197" s="386" t="s">
        <v>1633</v>
      </c>
      <c r="O197" s="156" t="s">
        <v>2172</v>
      </c>
      <c r="W197" s="383">
        <f t="shared" si="69"/>
        <v>0</v>
      </c>
      <c r="X197" s="384"/>
      <c r="Y197" s="384"/>
      <c r="Z197" s="156" t="s">
        <v>1823</v>
      </c>
      <c r="BJ197" s="381"/>
    </row>
    <row r="198" spans="1:62" ht="18.899999999999999" hidden="1" customHeight="1">
      <c r="A198" s="386" t="s">
        <v>854</v>
      </c>
      <c r="B198" s="157" t="s">
        <v>2172</v>
      </c>
      <c r="D198" s="376"/>
      <c r="E198" s="376"/>
      <c r="F198" s="376"/>
      <c r="G198" s="376"/>
      <c r="H198" s="376"/>
      <c r="I198" s="376"/>
      <c r="J198" s="156" t="s">
        <v>1823</v>
      </c>
      <c r="N198" s="386" t="s">
        <v>854</v>
      </c>
      <c r="O198" s="156" t="s">
        <v>2172</v>
      </c>
      <c r="W198" s="383">
        <f t="shared" si="69"/>
        <v>0</v>
      </c>
      <c r="X198" s="384"/>
      <c r="Y198" s="384"/>
      <c r="Z198" s="156" t="s">
        <v>1823</v>
      </c>
      <c r="BJ198" s="381"/>
    </row>
    <row r="199" spans="1:62" ht="18.899999999999999" hidden="1" customHeight="1">
      <c r="A199" s="386" t="s">
        <v>4326</v>
      </c>
      <c r="B199" s="157" t="s">
        <v>2172</v>
      </c>
      <c r="C199" s="157">
        <f>C184</f>
        <v>0</v>
      </c>
      <c r="D199" s="376"/>
      <c r="E199" s="376"/>
      <c r="F199" s="376"/>
      <c r="G199" s="376"/>
      <c r="H199" s="376"/>
      <c r="I199" s="376"/>
      <c r="N199" s="386" t="s">
        <v>1034</v>
      </c>
      <c r="P199" s="156">
        <f>C199*2</f>
        <v>0</v>
      </c>
      <c r="W199" s="383"/>
      <c r="X199" s="384"/>
      <c r="Y199" s="384"/>
      <c r="BJ199" s="381"/>
    </row>
    <row r="200" spans="1:62" ht="18.899999999999999" hidden="1" customHeight="1">
      <c r="A200" s="386" t="s">
        <v>1788</v>
      </c>
      <c r="B200" s="157" t="s">
        <v>2172</v>
      </c>
      <c r="C200" s="376"/>
      <c r="D200" s="376"/>
      <c r="E200" s="376"/>
      <c r="F200" s="376"/>
      <c r="G200" s="376"/>
      <c r="H200" s="376"/>
      <c r="I200" s="376"/>
      <c r="J200" s="381"/>
      <c r="K200" s="381"/>
      <c r="L200" s="377"/>
      <c r="N200" s="386" t="s">
        <v>1788</v>
      </c>
      <c r="O200" s="379"/>
      <c r="P200" s="157">
        <f>C200</f>
        <v>0</v>
      </c>
      <c r="Q200" s="379"/>
      <c r="R200" s="379"/>
      <c r="S200" s="379"/>
      <c r="T200" s="379"/>
      <c r="U200" s="379"/>
      <c r="V200" s="379"/>
      <c r="W200" s="379"/>
      <c r="X200" s="379"/>
      <c r="Y200" s="379"/>
      <c r="BJ200" s="381"/>
    </row>
    <row r="201" spans="1:62" ht="18.899999999999999" hidden="1" customHeight="1">
      <c r="A201" s="156" t="s">
        <v>1958</v>
      </c>
      <c r="B201" s="157" t="s">
        <v>2172</v>
      </c>
      <c r="L201" s="377"/>
      <c r="N201" s="156" t="s">
        <v>1958</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3875</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3103" t="e">
        <f>#REF!&amp;", "&amp;#REF!</f>
        <v>#REF!</v>
      </c>
      <c r="B4" s="3103"/>
      <c r="C4" s="3103"/>
      <c r="D4" s="3103"/>
      <c r="E4" s="3103"/>
      <c r="F4" s="3103"/>
      <c r="G4" s="3103"/>
      <c r="H4" s="3103"/>
      <c r="I4" s="3103"/>
      <c r="J4" s="3103"/>
      <c r="K4" s="3103"/>
      <c r="L4" s="3103"/>
      <c r="M4" s="3103"/>
      <c r="N4" s="3103"/>
      <c r="O4" s="3103"/>
      <c r="P4" s="3103"/>
      <c r="Q4" s="3103"/>
      <c r="R4" s="3103"/>
      <c r="S4" s="3103"/>
      <c r="T4" s="3103"/>
      <c r="U4" s="3103"/>
      <c r="V4" s="3103"/>
      <c r="W4" s="3103"/>
      <c r="X4" s="3103"/>
      <c r="Y4" s="3103"/>
      <c r="Z4" s="3103"/>
      <c r="AA4" s="3103"/>
      <c r="AB4" s="3103"/>
      <c r="AC4" s="3103"/>
      <c r="AD4" s="3103"/>
      <c r="AE4" s="3103"/>
      <c r="AF4" s="3103"/>
      <c r="AG4" s="3103"/>
      <c r="AH4" s="3103"/>
      <c r="AI4" s="3103"/>
      <c r="AJ4" s="3103"/>
      <c r="AK4" s="3103"/>
      <c r="AL4" s="3103"/>
      <c r="AM4" s="3103"/>
      <c r="AN4" s="3103"/>
      <c r="AO4" s="3103"/>
      <c r="AP4" s="3103"/>
      <c r="AQ4" s="3103"/>
      <c r="AR4" s="3103"/>
      <c r="AS4" s="3103"/>
      <c r="AT4" s="3103"/>
      <c r="AU4" s="3103"/>
      <c r="AV4" s="3103"/>
      <c r="AW4" s="3103"/>
      <c r="AX4" s="3103"/>
      <c r="AY4" s="3103"/>
      <c r="AZ4" s="3103"/>
      <c r="BA4" s="3103"/>
      <c r="BB4" s="3103"/>
      <c r="BC4" s="3103"/>
      <c r="BD4" s="3103"/>
      <c r="BE4" s="3103"/>
      <c r="BF4" s="3103"/>
      <c r="BG4" s="3103"/>
      <c r="BH4" s="3103"/>
      <c r="BI4" s="3103"/>
      <c r="BJ4" s="3103"/>
      <c r="BK4" s="3103"/>
      <c r="BL4" s="3103"/>
      <c r="BM4" s="3103"/>
      <c r="BN4" s="3103"/>
      <c r="BO4" s="3103"/>
      <c r="BP4" s="3103"/>
      <c r="BQ4" s="3103"/>
      <c r="BR4" s="3103"/>
      <c r="BS4" s="3103"/>
      <c r="BT4" s="3103"/>
      <c r="BU4" s="3103"/>
      <c r="BV4" s="3103"/>
      <c r="BW4" s="3103"/>
      <c r="BX4" s="3103"/>
      <c r="BY4" s="3103"/>
      <c r="BZ4" s="3103"/>
      <c r="CA4" s="3103"/>
      <c r="CB4" s="3103"/>
      <c r="CC4" s="3103"/>
      <c r="CD4" s="3103"/>
      <c r="CE4" s="3103"/>
      <c r="CF4" s="3103"/>
      <c r="CG4" s="3103"/>
      <c r="CH4" s="3103"/>
      <c r="CI4" s="3103"/>
      <c r="CJ4" s="3103"/>
      <c r="CK4" s="3103"/>
      <c r="CL4" s="3103"/>
      <c r="CM4" s="3103"/>
      <c r="CN4" s="3103"/>
      <c r="CO4" s="3103"/>
      <c r="CP4" s="3103"/>
      <c r="CQ4" s="3103"/>
      <c r="CR4" s="3103"/>
      <c r="CS4" s="3103"/>
      <c r="CT4" s="3103"/>
      <c r="CU4" s="3103"/>
      <c r="CV4" s="3103"/>
      <c r="CW4" s="3103"/>
      <c r="CX4" s="3103"/>
      <c r="CY4" s="3103"/>
      <c r="CZ4" s="3103"/>
      <c r="DA4" s="3103"/>
      <c r="DB4" s="3103"/>
      <c r="DC4" s="3103"/>
      <c r="DD4" s="3103"/>
      <c r="DE4" s="3103"/>
      <c r="DF4" s="3103"/>
      <c r="DG4" s="3103"/>
      <c r="DH4" s="3103"/>
      <c r="DI4" s="3103"/>
      <c r="DJ4" s="3103"/>
      <c r="DK4" s="3103"/>
      <c r="DL4" s="3103"/>
      <c r="DM4" s="3103"/>
      <c r="DN4" s="3103"/>
      <c r="DO4" s="3103"/>
      <c r="DP4" s="3103"/>
      <c r="DQ4" s="3103"/>
      <c r="DR4" s="3103"/>
      <c r="DS4" s="3103"/>
      <c r="DT4" s="3103"/>
      <c r="DU4" s="3103"/>
      <c r="DV4" s="3103"/>
      <c r="DW4" s="3103"/>
      <c r="DX4" s="3103"/>
      <c r="DY4" s="3103"/>
      <c r="DZ4" s="3103"/>
      <c r="EA4" s="3103"/>
      <c r="EB4" s="3103"/>
      <c r="EC4" s="3103"/>
    </row>
    <row r="5" spans="1:153" ht="34.5" customHeight="1" thickTop="1" thickBot="1">
      <c r="A5" s="3090" t="s">
        <v>3765</v>
      </c>
      <c r="B5" s="3092" t="s">
        <v>3766</v>
      </c>
      <c r="C5" s="3094" t="s">
        <v>3876</v>
      </c>
      <c r="D5" s="3094" t="s">
        <v>3877</v>
      </c>
      <c r="E5" s="3094" t="s">
        <v>3773</v>
      </c>
      <c r="F5" s="3108" t="s">
        <v>3774</v>
      </c>
      <c r="G5" s="3108" t="s">
        <v>3775</v>
      </c>
      <c r="H5" s="3108" t="s">
        <v>3776</v>
      </c>
      <c r="I5" s="3096" t="s">
        <v>2277</v>
      </c>
      <c r="J5" s="3097"/>
      <c r="K5" s="3098"/>
      <c r="L5" s="408"/>
      <c r="M5" s="388" t="s">
        <v>3878</v>
      </c>
      <c r="N5" s="409"/>
      <c r="O5" s="409"/>
      <c r="P5" s="409"/>
      <c r="Q5" s="409"/>
      <c r="R5" s="409"/>
      <c r="S5" s="409"/>
      <c r="T5" s="409"/>
      <c r="U5" s="389" t="s">
        <v>3879</v>
      </c>
      <c r="V5" s="409"/>
      <c r="W5" s="410"/>
      <c r="X5" s="392"/>
      <c r="Y5" s="392"/>
      <c r="Z5" s="392"/>
      <c r="AA5" s="392"/>
      <c r="AB5" s="392"/>
      <c r="AC5" s="392"/>
      <c r="AD5" s="392"/>
      <c r="AE5" s="392"/>
      <c r="AF5" s="392"/>
      <c r="AG5" s="392"/>
      <c r="AH5" s="392"/>
      <c r="AI5" s="392"/>
      <c r="AJ5" s="392"/>
      <c r="AK5" s="392"/>
      <c r="AL5" s="392"/>
      <c r="AM5" s="392"/>
      <c r="AN5" s="392"/>
      <c r="AO5" s="390" t="s">
        <v>3880</v>
      </c>
      <c r="AP5" s="392"/>
      <c r="AQ5" s="392"/>
      <c r="AR5" s="392"/>
      <c r="AS5" s="411"/>
      <c r="AT5" s="391" t="s">
        <v>3778</v>
      </c>
      <c r="AU5" s="412"/>
      <c r="AV5" s="392"/>
      <c r="AW5" s="392"/>
      <c r="AX5" s="392"/>
      <c r="AY5" s="392"/>
      <c r="AZ5" s="392"/>
      <c r="BA5" s="392"/>
      <c r="BB5" s="392" t="s">
        <v>3881</v>
      </c>
      <c r="BC5" s="393" t="s">
        <v>3882</v>
      </c>
      <c r="BD5" s="413"/>
      <c r="BE5" s="413"/>
      <c r="BF5" s="392"/>
      <c r="BG5" s="392"/>
      <c r="BH5" s="392"/>
      <c r="BI5" s="392"/>
      <c r="BJ5" s="392"/>
      <c r="BK5" s="392"/>
      <c r="BL5" s="392"/>
      <c r="BM5" s="392"/>
      <c r="BN5" s="392"/>
      <c r="BO5" s="3101" t="s">
        <v>2391</v>
      </c>
      <c r="BP5" s="3101" t="s">
        <v>2394</v>
      </c>
      <c r="BQ5" s="3101" t="s">
        <v>2394</v>
      </c>
      <c r="BR5" s="3101" t="s">
        <v>2395</v>
      </c>
      <c r="BS5" s="390" t="s">
        <v>3780</v>
      </c>
      <c r="BT5" s="392"/>
      <c r="BU5" s="392"/>
      <c r="BV5" s="392"/>
      <c r="BW5" s="392"/>
      <c r="BX5" s="392"/>
      <c r="BY5" s="392"/>
      <c r="BZ5" s="392"/>
      <c r="CA5" s="392"/>
      <c r="CB5" s="392"/>
      <c r="CC5" s="392"/>
      <c r="CD5" s="392"/>
      <c r="CE5" s="392"/>
      <c r="CF5" s="392"/>
      <c r="CG5" s="392"/>
      <c r="CH5" s="392"/>
      <c r="CI5" s="392"/>
      <c r="CJ5" s="392"/>
      <c r="CK5" s="392"/>
      <c r="CL5" s="392"/>
      <c r="CM5" s="392"/>
      <c r="CN5" s="3099" t="s">
        <v>3883</v>
      </c>
      <c r="CO5" s="3099" t="s">
        <v>3884</v>
      </c>
      <c r="CP5" s="3099" t="s">
        <v>3885</v>
      </c>
      <c r="CQ5" s="3116" t="str">
        <f>"Chuoãi "&amp;EF6&amp;" laép vaøo xaø  CÑX "&amp;EF6 &amp; "-X"</f>
        <v>Chuoãi Polymer laép vaøo xaø  CÑX Polymer-X</v>
      </c>
      <c r="CR5" s="3112" t="s">
        <v>3785</v>
      </c>
      <c r="CS5" s="3105" t="s">
        <v>3886</v>
      </c>
      <c r="CT5" s="3105" t="s">
        <v>3887</v>
      </c>
      <c r="CU5" s="3099" t="s">
        <v>3786</v>
      </c>
      <c r="CV5" s="3099" t="s">
        <v>3787</v>
      </c>
      <c r="CW5" s="3099" t="s">
        <v>3788</v>
      </c>
      <c r="CX5" s="3099" t="s">
        <v>3789</v>
      </c>
      <c r="CY5" s="3110" t="s">
        <v>3888</v>
      </c>
      <c r="CZ5" s="3110" t="s">
        <v>3889</v>
      </c>
      <c r="DA5" s="3110" t="s">
        <v>3890</v>
      </c>
      <c r="DB5" s="3105" t="s">
        <v>3891</v>
      </c>
      <c r="DC5" s="3110" t="s">
        <v>3892</v>
      </c>
      <c r="DD5" s="3105" t="s">
        <v>3796</v>
      </c>
      <c r="DE5" s="3110" t="s">
        <v>3893</v>
      </c>
      <c r="DF5" s="3101" t="s">
        <v>3797</v>
      </c>
      <c r="DG5" s="3101" t="s">
        <v>3798</v>
      </c>
      <c r="DH5" s="3101" t="s">
        <v>3799</v>
      </c>
      <c r="DI5" s="3101" t="s">
        <v>3800</v>
      </c>
      <c r="DJ5" s="3101" t="s">
        <v>3801</v>
      </c>
      <c r="DK5" s="3101" t="s">
        <v>3803</v>
      </c>
      <c r="DL5" s="3101" t="s">
        <v>3803</v>
      </c>
      <c r="DM5" s="3101" t="s">
        <v>788</v>
      </c>
      <c r="DN5" s="3101" t="s">
        <v>675</v>
      </c>
      <c r="DO5" s="3101" t="s">
        <v>1898</v>
      </c>
      <c r="DP5" s="3101" t="s">
        <v>1129</v>
      </c>
      <c r="DQ5" s="3101" t="s">
        <v>1921</v>
      </c>
      <c r="DR5" s="3101" t="s">
        <v>394</v>
      </c>
      <c r="DS5" s="3101" t="s">
        <v>1912</v>
      </c>
      <c r="DT5" s="3101" t="s">
        <v>1193</v>
      </c>
      <c r="DU5" s="3101" t="s">
        <v>1194</v>
      </c>
      <c r="DV5" s="414"/>
      <c r="DW5" s="414"/>
      <c r="DX5" s="414"/>
      <c r="DY5" s="414"/>
      <c r="DZ5" s="414"/>
      <c r="EA5" s="394"/>
      <c r="EB5" s="3105" t="s">
        <v>3894</v>
      </c>
      <c r="EC5" s="3114" t="s">
        <v>2599</v>
      </c>
    </row>
    <row r="6" spans="1:153" s="420" customFormat="1" ht="99.75" customHeight="1" thickTop="1">
      <c r="A6" s="3091"/>
      <c r="B6" s="3093"/>
      <c r="C6" s="3095"/>
      <c r="D6" s="3095"/>
      <c r="E6" s="3095"/>
      <c r="F6" s="3109"/>
      <c r="G6" s="3109"/>
      <c r="H6" s="3109"/>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2263</v>
      </c>
      <c r="W6" s="396" t="s">
        <v>304</v>
      </c>
      <c r="X6" s="396" t="s">
        <v>638</v>
      </c>
      <c r="Y6" s="396" t="s">
        <v>647</v>
      </c>
      <c r="Z6" s="396" t="s">
        <v>646</v>
      </c>
      <c r="AA6" s="396" t="s">
        <v>1901</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3860</v>
      </c>
      <c r="BB6" s="396" t="s">
        <v>1492</v>
      </c>
      <c r="BC6" s="396" t="s">
        <v>1572</v>
      </c>
      <c r="BD6" s="396" t="s">
        <v>1091</v>
      </c>
      <c r="BE6" s="396" t="s">
        <v>2115</v>
      </c>
      <c r="BF6" s="396" t="s">
        <v>2146</v>
      </c>
      <c r="BG6" s="396" t="s">
        <v>2146</v>
      </c>
      <c r="BH6" s="396" t="s">
        <v>1092</v>
      </c>
      <c r="BI6" s="396" t="s">
        <v>2147</v>
      </c>
      <c r="BJ6" s="396" t="s">
        <v>1093</v>
      </c>
      <c r="BK6" s="396" t="s">
        <v>2045</v>
      </c>
      <c r="BL6" s="396" t="s">
        <v>1094</v>
      </c>
      <c r="BM6" s="396" t="s">
        <v>2046</v>
      </c>
      <c r="BN6" s="396" t="s">
        <v>892</v>
      </c>
      <c r="BO6" s="3102"/>
      <c r="BP6" s="3102"/>
      <c r="BQ6" s="3102"/>
      <c r="BR6" s="3102"/>
      <c r="BS6" s="396" t="s">
        <v>2291</v>
      </c>
      <c r="BT6" s="396" t="s">
        <v>909</v>
      </c>
      <c r="BU6" s="396" t="s">
        <v>280</v>
      </c>
      <c r="BV6" s="396" t="s">
        <v>910</v>
      </c>
      <c r="BW6" s="396" t="s">
        <v>3861</v>
      </c>
      <c r="BX6" s="396" t="s">
        <v>2297</v>
      </c>
      <c r="BY6" s="396" t="s">
        <v>344</v>
      </c>
      <c r="BZ6" s="396" t="s">
        <v>3895</v>
      </c>
      <c r="CA6" s="396" t="s">
        <v>911</v>
      </c>
      <c r="CB6" s="396" t="s">
        <v>2293</v>
      </c>
      <c r="CC6" s="396" t="s">
        <v>2119</v>
      </c>
      <c r="CD6" s="396" t="s">
        <v>2298</v>
      </c>
      <c r="CE6" s="396" t="s">
        <v>213</v>
      </c>
      <c r="CF6" s="396" t="s">
        <v>1868</v>
      </c>
      <c r="CG6" s="396" t="s">
        <v>2299</v>
      </c>
      <c r="CH6" s="396" t="s">
        <v>1574</v>
      </c>
      <c r="CI6" s="396" t="s">
        <v>807</v>
      </c>
      <c r="CJ6" s="396" t="s">
        <v>1442</v>
      </c>
      <c r="CK6" s="396" t="s">
        <v>806</v>
      </c>
      <c r="CL6" s="396" t="s">
        <v>3896</v>
      </c>
      <c r="CM6" s="396" t="s">
        <v>1195</v>
      </c>
      <c r="CN6" s="3100"/>
      <c r="CO6" s="3100"/>
      <c r="CP6" s="3100"/>
      <c r="CQ6" s="3100"/>
      <c r="CR6" s="3113"/>
      <c r="CS6" s="3106"/>
      <c r="CT6" s="3106"/>
      <c r="CU6" s="3100"/>
      <c r="CV6" s="3100"/>
      <c r="CW6" s="3100"/>
      <c r="CX6" s="3100"/>
      <c r="CY6" s="3111"/>
      <c r="CZ6" s="3111"/>
      <c r="DA6" s="3111"/>
      <c r="DB6" s="3106"/>
      <c r="DC6" s="3111"/>
      <c r="DD6" s="3106"/>
      <c r="DE6" s="3111"/>
      <c r="DF6" s="3107"/>
      <c r="DG6" s="3107"/>
      <c r="DH6" s="3107"/>
      <c r="DI6" s="3107"/>
      <c r="DJ6" s="3107"/>
      <c r="DK6" s="3107"/>
      <c r="DL6" s="3107"/>
      <c r="DM6" s="3107"/>
      <c r="DN6" s="3107"/>
      <c r="DO6" s="3107"/>
      <c r="DP6" s="3107"/>
      <c r="DQ6" s="3107"/>
      <c r="DR6" s="3107"/>
      <c r="DS6" s="3107"/>
      <c r="DT6" s="3107"/>
      <c r="DU6" s="3107"/>
      <c r="DV6" s="397" t="s">
        <v>3897</v>
      </c>
      <c r="DW6" s="397" t="s">
        <v>3898</v>
      </c>
      <c r="DX6" s="397" t="s">
        <v>3899</v>
      </c>
      <c r="DY6" s="397" t="s">
        <v>3900</v>
      </c>
      <c r="DZ6" s="397" t="s">
        <v>3901</v>
      </c>
      <c r="EA6" s="394" t="s">
        <v>3858</v>
      </c>
      <c r="EB6" s="3106"/>
      <c r="EC6" s="3115"/>
      <c r="ED6" s="418" t="s">
        <v>1038</v>
      </c>
      <c r="EE6" s="419" t="s">
        <v>189</v>
      </c>
      <c r="EF6" s="420" t="str">
        <f>IF(EE6="P","Polymer","treo 2 baùt")</f>
        <v>Polymer</v>
      </c>
    </row>
    <row r="7" spans="1:153" ht="18.899999999999999" customHeight="1">
      <c r="A7" s="398" t="s">
        <v>3902</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2239</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948</v>
      </c>
      <c r="B9" s="424">
        <v>50</v>
      </c>
      <c r="C9" s="425">
        <f>C8+B9</f>
        <v>50</v>
      </c>
      <c r="D9" s="425"/>
      <c r="E9" s="425"/>
      <c r="F9" s="426"/>
      <c r="G9" s="427"/>
      <c r="H9" s="427" t="s">
        <v>2015</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949</v>
      </c>
      <c r="B10" s="424">
        <v>50</v>
      </c>
      <c r="C10" s="425">
        <f t="shared" ref="C10:C30" si="0">C9+B10</f>
        <v>100</v>
      </c>
      <c r="D10" s="425"/>
      <c r="E10" s="425"/>
      <c r="F10" s="426"/>
      <c r="G10" s="427"/>
      <c r="H10" s="427" t="s">
        <v>2015</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950</v>
      </c>
      <c r="B11" s="424">
        <v>50</v>
      </c>
      <c r="C11" s="425">
        <f t="shared" si="0"/>
        <v>150</v>
      </c>
      <c r="D11" s="425"/>
      <c r="E11" s="425"/>
      <c r="F11" s="426"/>
      <c r="G11" s="427"/>
      <c r="H11" s="427" t="s">
        <v>2015</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951</v>
      </c>
      <c r="B12" s="424">
        <v>50</v>
      </c>
      <c r="C12" s="425">
        <f t="shared" si="0"/>
        <v>200</v>
      </c>
      <c r="D12" s="425"/>
      <c r="E12" s="425"/>
      <c r="F12" s="426"/>
      <c r="G12" s="427"/>
      <c r="H12" s="427" t="s">
        <v>2015</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952</v>
      </c>
      <c r="B13" s="424">
        <v>50</v>
      </c>
      <c r="C13" s="425">
        <f t="shared" si="0"/>
        <v>250</v>
      </c>
      <c r="D13" s="425"/>
      <c r="E13" s="425"/>
      <c r="F13" s="426"/>
      <c r="G13" s="427"/>
      <c r="H13" s="427" t="s">
        <v>2015</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2025</v>
      </c>
      <c r="B14" s="424">
        <v>50</v>
      </c>
      <c r="C14" s="425">
        <f t="shared" si="0"/>
        <v>300</v>
      </c>
      <c r="D14" s="425"/>
      <c r="E14" s="425"/>
      <c r="F14" s="426"/>
      <c r="G14" s="427"/>
      <c r="H14" s="427" t="s">
        <v>2015</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2026</v>
      </c>
      <c r="B15" s="424">
        <v>50</v>
      </c>
      <c r="C15" s="425">
        <f t="shared" si="0"/>
        <v>350</v>
      </c>
      <c r="D15" s="425"/>
      <c r="E15" s="425"/>
      <c r="F15" s="426"/>
      <c r="G15" s="427"/>
      <c r="H15" s="427" t="s">
        <v>2015</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2027</v>
      </c>
      <c r="B16" s="424">
        <v>50</v>
      </c>
      <c r="C16" s="425">
        <f t="shared" si="0"/>
        <v>400</v>
      </c>
      <c r="D16" s="425"/>
      <c r="E16" s="425"/>
      <c r="F16" s="426"/>
      <c r="G16" s="427"/>
      <c r="H16" s="427" t="s">
        <v>2015</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2028</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2029</v>
      </c>
      <c r="B18" s="424">
        <v>50</v>
      </c>
      <c r="C18" s="425">
        <f t="shared" si="0"/>
        <v>500</v>
      </c>
      <c r="D18" s="425"/>
      <c r="E18" s="425"/>
      <c r="F18" s="426"/>
      <c r="G18" s="427"/>
      <c r="H18" s="427" t="s">
        <v>2015</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422</v>
      </c>
      <c r="B19" s="424">
        <v>50</v>
      </c>
      <c r="C19" s="425">
        <f t="shared" si="0"/>
        <v>550</v>
      </c>
      <c r="D19" s="425"/>
      <c r="E19" s="425"/>
      <c r="F19" s="426"/>
      <c r="G19" s="427"/>
      <c r="H19" s="427" t="s">
        <v>2015</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423</v>
      </c>
      <c r="B20" s="424">
        <v>50</v>
      </c>
      <c r="C20" s="425">
        <f t="shared" si="0"/>
        <v>600</v>
      </c>
      <c r="D20" s="425"/>
      <c r="E20" s="425"/>
      <c r="F20" s="426"/>
      <c r="G20" s="427"/>
      <c r="H20" s="427" t="s">
        <v>2015</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424</v>
      </c>
      <c r="B21" s="424">
        <v>50</v>
      </c>
      <c r="C21" s="425">
        <f t="shared" si="0"/>
        <v>650</v>
      </c>
      <c r="D21" s="425"/>
      <c r="E21" s="425"/>
      <c r="F21" s="426"/>
      <c r="G21" s="427"/>
      <c r="H21" s="427" t="s">
        <v>2015</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425</v>
      </c>
      <c r="B22" s="424">
        <v>50</v>
      </c>
      <c r="C22" s="425">
        <f t="shared" si="0"/>
        <v>700</v>
      </c>
      <c r="D22" s="425"/>
      <c r="E22" s="425"/>
      <c r="F22" s="426"/>
      <c r="G22" s="427"/>
      <c r="H22" s="427" t="s">
        <v>2015</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426</v>
      </c>
      <c r="B23" s="424">
        <v>50</v>
      </c>
      <c r="C23" s="425">
        <f t="shared" si="0"/>
        <v>750</v>
      </c>
      <c r="D23" s="425"/>
      <c r="E23" s="425"/>
      <c r="F23" s="426"/>
      <c r="G23" s="427"/>
      <c r="H23" s="427" t="s">
        <v>2015</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427</v>
      </c>
      <c r="B24" s="424">
        <v>50</v>
      </c>
      <c r="C24" s="425">
        <f t="shared" si="0"/>
        <v>800</v>
      </c>
      <c r="D24" s="425"/>
      <c r="E24" s="425"/>
      <c r="F24" s="426"/>
      <c r="G24" s="427"/>
      <c r="H24" s="427" t="s">
        <v>2015</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428</v>
      </c>
      <c r="B25" s="424">
        <v>50</v>
      </c>
      <c r="C25" s="425">
        <f t="shared" si="0"/>
        <v>850</v>
      </c>
      <c r="D25" s="425"/>
      <c r="E25" s="425"/>
      <c r="F25" s="426"/>
      <c r="G25" s="427"/>
      <c r="H25" s="427" t="s">
        <v>2015</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430</v>
      </c>
      <c r="B27" s="424">
        <v>50</v>
      </c>
      <c r="C27" s="425">
        <f t="shared" si="0"/>
        <v>950</v>
      </c>
      <c r="D27" s="425"/>
      <c r="E27" s="425"/>
      <c r="F27" s="426"/>
      <c r="G27" s="427"/>
      <c r="H27" s="427" t="s">
        <v>2015</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1679</v>
      </c>
      <c r="B28" s="424">
        <v>50</v>
      </c>
      <c r="C28" s="425">
        <f t="shared" si="0"/>
        <v>1000</v>
      </c>
      <c r="D28" s="425"/>
      <c r="E28" s="425"/>
      <c r="F28" s="426"/>
      <c r="G28" s="427"/>
      <c r="H28" s="427" t="s">
        <v>2015</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1680</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1681</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980</v>
      </c>
      <c r="B33" s="424">
        <v>50</v>
      </c>
      <c r="C33" s="425">
        <f>C30+B34</f>
        <v>1130</v>
      </c>
      <c r="D33" s="425"/>
      <c r="E33" s="425"/>
      <c r="F33" s="426"/>
      <c r="G33" s="427"/>
      <c r="H33" s="427" t="s">
        <v>2015</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981</v>
      </c>
      <c r="B34" s="424">
        <v>50</v>
      </c>
      <c r="C34" s="425">
        <f t="shared" ref="C34:C53" si="1">C33+B34</f>
        <v>1180</v>
      </c>
      <c r="D34" s="425"/>
      <c r="E34" s="425"/>
      <c r="F34" s="426"/>
      <c r="G34" s="427"/>
      <c r="H34" s="427" t="s">
        <v>2015</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982</v>
      </c>
      <c r="B35" s="424">
        <v>50</v>
      </c>
      <c r="C35" s="425">
        <f t="shared" si="1"/>
        <v>1230</v>
      </c>
      <c r="D35" s="425"/>
      <c r="E35" s="425"/>
      <c r="F35" s="426"/>
      <c r="G35" s="427"/>
      <c r="H35" s="427" t="s">
        <v>2015</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983</v>
      </c>
      <c r="B36" s="424">
        <v>50</v>
      </c>
      <c r="C36" s="425">
        <f t="shared" si="1"/>
        <v>1280</v>
      </c>
      <c r="D36" s="425"/>
      <c r="E36" s="425"/>
      <c r="F36" s="426"/>
      <c r="G36" s="427"/>
      <c r="H36" s="427" t="s">
        <v>2015</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1004</v>
      </c>
      <c r="B37" s="424">
        <v>50</v>
      </c>
      <c r="C37" s="425">
        <f t="shared" si="1"/>
        <v>1330</v>
      </c>
      <c r="D37" s="425"/>
      <c r="E37" s="425"/>
      <c r="F37" s="426"/>
      <c r="G37" s="427"/>
      <c r="H37" s="427" t="s">
        <v>2015</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1005</v>
      </c>
      <c r="B38" s="424">
        <v>50</v>
      </c>
      <c r="C38" s="425">
        <f t="shared" si="1"/>
        <v>1380</v>
      </c>
      <c r="D38" s="425"/>
      <c r="E38" s="425"/>
      <c r="F38" s="426"/>
      <c r="G38" s="427"/>
      <c r="H38" s="427" t="s">
        <v>2015</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1006</v>
      </c>
      <c r="B39" s="424">
        <v>50</v>
      </c>
      <c r="C39" s="425">
        <f t="shared" si="1"/>
        <v>1430</v>
      </c>
      <c r="D39" s="425"/>
      <c r="E39" s="425"/>
      <c r="F39" s="426"/>
      <c r="G39" s="427"/>
      <c r="H39" s="427" t="s">
        <v>2015</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1007</v>
      </c>
      <c r="B40" s="424">
        <v>50</v>
      </c>
      <c r="C40" s="425">
        <f t="shared" si="1"/>
        <v>1480</v>
      </c>
      <c r="D40" s="425"/>
      <c r="E40" s="425"/>
      <c r="F40" s="426"/>
      <c r="G40" s="427"/>
      <c r="H40" s="427" t="s">
        <v>2015</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1009</v>
      </c>
      <c r="B42" s="424">
        <v>50</v>
      </c>
      <c r="C42" s="425">
        <f t="shared" si="1"/>
        <v>1580</v>
      </c>
      <c r="D42" s="425"/>
      <c r="E42" s="425"/>
      <c r="F42" s="426"/>
      <c r="G42" s="427"/>
      <c r="H42" s="427" t="s">
        <v>2015</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1010</v>
      </c>
      <c r="B43" s="424">
        <v>50</v>
      </c>
      <c r="C43" s="425">
        <f t="shared" si="1"/>
        <v>1630</v>
      </c>
      <c r="D43" s="425"/>
      <c r="E43" s="425"/>
      <c r="F43" s="426"/>
      <c r="G43" s="427"/>
      <c r="H43" s="427" t="s">
        <v>2015</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2079</v>
      </c>
      <c r="B44" s="424">
        <v>50</v>
      </c>
      <c r="C44" s="425">
        <f t="shared" si="1"/>
        <v>1680</v>
      </c>
      <c r="D44" s="425"/>
      <c r="E44" s="425"/>
      <c r="F44" s="426"/>
      <c r="G44" s="427"/>
      <c r="H44" s="427" t="s">
        <v>2015</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2080</v>
      </c>
      <c r="B45" s="424">
        <v>50</v>
      </c>
      <c r="C45" s="425">
        <f t="shared" si="1"/>
        <v>1730</v>
      </c>
      <c r="D45" s="425"/>
      <c r="E45" s="425"/>
      <c r="F45" s="426"/>
      <c r="G45" s="427"/>
      <c r="H45" s="427" t="s">
        <v>2015</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2081</v>
      </c>
      <c r="B46" s="424">
        <v>50</v>
      </c>
      <c r="C46" s="425">
        <f t="shared" si="1"/>
        <v>1780</v>
      </c>
      <c r="D46" s="425"/>
      <c r="E46" s="425"/>
      <c r="F46" s="426"/>
      <c r="G46" s="427"/>
      <c r="H46" s="427" t="s">
        <v>2015</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2082</v>
      </c>
      <c r="B47" s="424">
        <v>50</v>
      </c>
      <c r="C47" s="425">
        <f t="shared" si="1"/>
        <v>1830</v>
      </c>
      <c r="D47" s="425"/>
      <c r="E47" s="425"/>
      <c r="F47" s="426"/>
      <c r="G47" s="427"/>
      <c r="H47" s="427" t="s">
        <v>2015</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2083</v>
      </c>
      <c r="B48" s="424">
        <v>50</v>
      </c>
      <c r="C48" s="425">
        <f t="shared" si="1"/>
        <v>1880</v>
      </c>
      <c r="D48" s="425"/>
      <c r="E48" s="425"/>
      <c r="F48" s="426"/>
      <c r="G48" s="427"/>
      <c r="H48" s="427" t="s">
        <v>2015</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2084</v>
      </c>
      <c r="B49" s="424">
        <v>50</v>
      </c>
      <c r="C49" s="425">
        <f t="shared" si="1"/>
        <v>1930</v>
      </c>
      <c r="D49" s="425"/>
      <c r="E49" s="425"/>
      <c r="F49" s="426"/>
      <c r="G49" s="427"/>
      <c r="H49" s="427" t="s">
        <v>2015</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2085</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2086</v>
      </c>
      <c r="B51" s="424">
        <v>50</v>
      </c>
      <c r="C51" s="425">
        <f t="shared" si="1"/>
        <v>2030</v>
      </c>
      <c r="D51" s="425"/>
      <c r="E51" s="425"/>
      <c r="F51" s="426"/>
      <c r="G51" s="427"/>
      <c r="H51" s="427" t="s">
        <v>2015</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2087</v>
      </c>
      <c r="B52" s="424">
        <v>50</v>
      </c>
      <c r="C52" s="425">
        <f t="shared" si="1"/>
        <v>2080</v>
      </c>
      <c r="D52" s="425"/>
      <c r="E52" s="425"/>
      <c r="F52" s="426"/>
      <c r="G52" s="427"/>
      <c r="H52" s="427" t="s">
        <v>2015</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2088</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459</v>
      </c>
      <c r="B56" s="424">
        <v>50</v>
      </c>
      <c r="C56" s="425">
        <f>C53+B56</f>
        <v>2170</v>
      </c>
      <c r="D56" s="425"/>
      <c r="E56" s="425"/>
      <c r="F56" s="426"/>
      <c r="G56" s="427"/>
      <c r="H56" s="427" t="s">
        <v>2015</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460</v>
      </c>
      <c r="B57" s="424">
        <v>50</v>
      </c>
      <c r="C57" s="425">
        <f>C56+B57</f>
        <v>2220</v>
      </c>
      <c r="D57" s="425"/>
      <c r="E57" s="425"/>
      <c r="F57" s="426"/>
      <c r="G57" s="427"/>
      <c r="H57" s="427" t="s">
        <v>2015</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461</v>
      </c>
      <c r="B58" s="424">
        <v>50</v>
      </c>
      <c r="C58" s="425">
        <f t="shared" ref="C58:C80" si="2">C57+B58</f>
        <v>2270</v>
      </c>
      <c r="D58" s="425"/>
      <c r="E58" s="425"/>
      <c r="F58" s="426"/>
      <c r="G58" s="427"/>
      <c r="H58" s="427" t="s">
        <v>2015</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462</v>
      </c>
      <c r="B59" s="424">
        <v>50</v>
      </c>
      <c r="C59" s="425">
        <f t="shared" si="2"/>
        <v>2320</v>
      </c>
      <c r="D59" s="425"/>
      <c r="E59" s="425"/>
      <c r="F59" s="426"/>
      <c r="G59" s="427"/>
      <c r="H59" s="427" t="s">
        <v>2015</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463</v>
      </c>
      <c r="B60" s="424">
        <v>50</v>
      </c>
      <c r="C60" s="425">
        <f t="shared" si="2"/>
        <v>2370</v>
      </c>
      <c r="D60" s="425"/>
      <c r="E60" s="425"/>
      <c r="F60" s="426"/>
      <c r="G60" s="427"/>
      <c r="H60" s="427" t="s">
        <v>2015</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465</v>
      </c>
      <c r="B62" s="424">
        <v>45</v>
      </c>
      <c r="C62" s="425">
        <f t="shared" si="2"/>
        <v>2470</v>
      </c>
      <c r="D62" s="425"/>
      <c r="E62" s="425"/>
      <c r="F62" s="426"/>
      <c r="G62" s="427"/>
      <c r="H62" s="427" t="s">
        <v>2015</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1236</v>
      </c>
      <c r="B65" s="424">
        <v>55</v>
      </c>
      <c r="C65" s="425">
        <f t="shared" si="2"/>
        <v>2625</v>
      </c>
      <c r="D65" s="425"/>
      <c r="E65" s="425"/>
      <c r="F65" s="426"/>
      <c r="G65" s="427"/>
      <c r="H65" s="427" t="s">
        <v>2015</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1710</v>
      </c>
      <c r="B67" s="424">
        <v>50</v>
      </c>
      <c r="C67" s="425">
        <f t="shared" si="2"/>
        <v>2730</v>
      </c>
      <c r="D67" s="425"/>
      <c r="E67" s="425"/>
      <c r="F67" s="426"/>
      <c r="G67" s="427"/>
      <c r="H67" s="427" t="s">
        <v>2015</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1711</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1712</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1713</v>
      </c>
      <c r="B70" s="424">
        <v>45</v>
      </c>
      <c r="C70" s="425">
        <f t="shared" si="2"/>
        <v>2870</v>
      </c>
      <c r="D70" s="425"/>
      <c r="E70" s="425"/>
      <c r="F70" s="426"/>
      <c r="G70" s="427"/>
      <c r="H70" s="427" t="s">
        <v>2015</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1714</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1715</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1716</v>
      </c>
      <c r="B73" s="424">
        <v>56</v>
      </c>
      <c r="C73" s="425">
        <f t="shared" si="2"/>
        <v>3007</v>
      </c>
      <c r="D73" s="425"/>
      <c r="E73" s="425"/>
      <c r="F73" s="426"/>
      <c r="G73" s="427"/>
      <c r="H73" s="427" t="s">
        <v>2015</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1717</v>
      </c>
      <c r="B74" s="424">
        <v>56</v>
      </c>
      <c r="C74" s="425">
        <f t="shared" si="2"/>
        <v>3063</v>
      </c>
      <c r="D74" s="425"/>
      <c r="E74" s="425"/>
      <c r="F74" s="426"/>
      <c r="G74" s="427"/>
      <c r="H74" s="427" t="s">
        <v>2015</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1718</v>
      </c>
      <c r="B75" s="424">
        <v>43</v>
      </c>
      <c r="C75" s="425">
        <f t="shared" si="2"/>
        <v>3106</v>
      </c>
      <c r="D75" s="425"/>
      <c r="E75" s="425"/>
      <c r="F75" s="426"/>
      <c r="G75" s="427"/>
      <c r="H75" s="427" t="s">
        <v>2015</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1719</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1720</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1721</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1722</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1723</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899999999999999" customHeight="1" thickBot="1">
      <c r="A82" s="399" t="s">
        <v>2592</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3874</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728</v>
      </c>
      <c r="B84" s="460" t="s">
        <v>2172</v>
      </c>
      <c r="C84" s="469">
        <f>2*3*C82</f>
        <v>0</v>
      </c>
      <c r="D84" s="469"/>
      <c r="E84" s="470" t="s">
        <v>1823</v>
      </c>
      <c r="F84" s="460"/>
      <c r="G84" s="471"/>
      <c r="H84" s="462"/>
      <c r="I84" s="468" t="s">
        <v>728</v>
      </c>
      <c r="J84" s="460" t="s">
        <v>2172</v>
      </c>
      <c r="K84" s="460"/>
      <c r="L84" s="472">
        <f t="shared" ref="L84:L100" si="3">C84*1.03</f>
        <v>0</v>
      </c>
      <c r="M84" s="473"/>
      <c r="N84" s="462" t="s">
        <v>1823</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729</v>
      </c>
      <c r="B85" s="460" t="s">
        <v>2172</v>
      </c>
      <c r="C85" s="469"/>
      <c r="D85" s="469"/>
      <c r="E85" s="470" t="s">
        <v>1823</v>
      </c>
      <c r="F85" s="460"/>
      <c r="G85" s="471"/>
      <c r="H85" s="462"/>
      <c r="I85" s="468" t="s">
        <v>729</v>
      </c>
      <c r="J85" s="460" t="s">
        <v>2172</v>
      </c>
      <c r="K85" s="460"/>
      <c r="L85" s="472">
        <f>C85*1.02</f>
        <v>0</v>
      </c>
      <c r="M85" s="473"/>
      <c r="N85" s="462" t="s">
        <v>1823</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841</v>
      </c>
      <c r="B86" s="460" t="s">
        <v>2172</v>
      </c>
      <c r="C86" s="469">
        <f>C82</f>
        <v>0</v>
      </c>
      <c r="D86" s="469"/>
      <c r="E86" s="470" t="s">
        <v>1823</v>
      </c>
      <c r="F86" s="460"/>
      <c r="G86" s="471"/>
      <c r="H86" s="462"/>
      <c r="I86" s="468" t="s">
        <v>841</v>
      </c>
      <c r="J86" s="460" t="s">
        <v>2172</v>
      </c>
      <c r="K86" s="460"/>
      <c r="L86" s="472">
        <f t="shared" si="3"/>
        <v>0</v>
      </c>
      <c r="M86" s="473"/>
      <c r="N86" s="462" t="s">
        <v>1823</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539</v>
      </c>
      <c r="B87" s="460" t="s">
        <v>2172</v>
      </c>
      <c r="C87" s="469"/>
      <c r="D87" s="469"/>
      <c r="E87" s="470" t="s">
        <v>1823</v>
      </c>
      <c r="F87" s="460"/>
      <c r="G87" s="471"/>
      <c r="H87" s="462"/>
      <c r="I87" s="468" t="s">
        <v>539</v>
      </c>
      <c r="J87" s="460" t="s">
        <v>2172</v>
      </c>
      <c r="K87" s="460"/>
      <c r="L87" s="472">
        <f>C87*1.02</f>
        <v>0</v>
      </c>
      <c r="M87" s="473"/>
      <c r="N87" s="462" t="s">
        <v>1823</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269</v>
      </c>
      <c r="B88" s="460" t="s">
        <v>2172</v>
      </c>
      <c r="C88" s="469"/>
      <c r="D88" s="469"/>
      <c r="E88" s="470" t="s">
        <v>1823</v>
      </c>
      <c r="F88" s="460"/>
      <c r="G88" s="471"/>
      <c r="H88" s="462"/>
      <c r="I88" s="468" t="s">
        <v>269</v>
      </c>
      <c r="J88" s="460" t="s">
        <v>2172</v>
      </c>
      <c r="K88" s="460"/>
      <c r="L88" s="472">
        <f t="shared" si="3"/>
        <v>0</v>
      </c>
      <c r="M88" s="473"/>
      <c r="N88" s="462" t="s">
        <v>1823</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1239</v>
      </c>
      <c r="B89" s="460" t="s">
        <v>2172</v>
      </c>
      <c r="C89" s="469"/>
      <c r="D89" s="469"/>
      <c r="E89" s="470" t="s">
        <v>1823</v>
      </c>
      <c r="F89" s="460"/>
      <c r="G89" s="471"/>
      <c r="H89" s="462"/>
      <c r="I89" s="468" t="s">
        <v>1239</v>
      </c>
      <c r="J89" s="460" t="s">
        <v>2172</v>
      </c>
      <c r="K89" s="460"/>
      <c r="L89" s="474">
        <f t="shared" si="3"/>
        <v>0</v>
      </c>
      <c r="M89" s="475"/>
      <c r="N89" s="462" t="s">
        <v>1823</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88</v>
      </c>
      <c r="B90" s="460" t="s">
        <v>2172</v>
      </c>
      <c r="C90" s="469"/>
      <c r="D90" s="469"/>
      <c r="E90" s="470" t="s">
        <v>1823</v>
      </c>
      <c r="F90" s="460"/>
      <c r="G90" s="471"/>
      <c r="H90" s="462"/>
      <c r="I90" s="468" t="s">
        <v>88</v>
      </c>
      <c r="J90" s="460" t="s">
        <v>2172</v>
      </c>
      <c r="K90" s="460"/>
      <c r="L90" s="474">
        <f t="shared" si="3"/>
        <v>0</v>
      </c>
      <c r="M90" s="475"/>
      <c r="N90" s="462" t="s">
        <v>1823</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1369</v>
      </c>
      <c r="B91" s="460" t="s">
        <v>2172</v>
      </c>
      <c r="C91" s="469"/>
      <c r="D91" s="469"/>
      <c r="E91" s="470" t="s">
        <v>1823</v>
      </c>
      <c r="F91" s="460"/>
      <c r="G91" s="471"/>
      <c r="H91" s="462"/>
      <c r="I91" s="477" t="s">
        <v>1369</v>
      </c>
      <c r="J91" s="460" t="s">
        <v>2172</v>
      </c>
      <c r="K91" s="460"/>
      <c r="L91" s="472">
        <f t="shared" si="3"/>
        <v>0</v>
      </c>
      <c r="M91" s="473"/>
      <c r="N91" s="462" t="s">
        <v>1823</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1370</v>
      </c>
      <c r="B92" s="460" t="s">
        <v>2172</v>
      </c>
      <c r="C92" s="469"/>
      <c r="D92" s="469"/>
      <c r="E92" s="470" t="s">
        <v>1823</v>
      </c>
      <c r="F92" s="460"/>
      <c r="G92" s="471"/>
      <c r="H92" s="462"/>
      <c r="I92" s="477" t="s">
        <v>1370</v>
      </c>
      <c r="J92" s="460" t="s">
        <v>2172</v>
      </c>
      <c r="K92" s="460"/>
      <c r="L92" s="472">
        <f t="shared" si="3"/>
        <v>0</v>
      </c>
      <c r="M92" s="473"/>
      <c r="N92" s="462" t="s">
        <v>1823</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853</v>
      </c>
      <c r="B93" s="460" t="s">
        <v>2172</v>
      </c>
      <c r="C93" s="469"/>
      <c r="D93" s="469"/>
      <c r="E93" s="470" t="s">
        <v>1823</v>
      </c>
      <c r="F93" s="460"/>
      <c r="G93" s="471"/>
      <c r="H93" s="462"/>
      <c r="I93" s="477" t="s">
        <v>853</v>
      </c>
      <c r="J93" s="460" t="s">
        <v>2172</v>
      </c>
      <c r="K93" s="460"/>
      <c r="L93" s="472">
        <f t="shared" si="3"/>
        <v>0</v>
      </c>
      <c r="M93" s="473"/>
      <c r="N93" s="462" t="s">
        <v>1823</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1417</v>
      </c>
      <c r="B94" s="460" t="s">
        <v>2172</v>
      </c>
      <c r="C94" s="469"/>
      <c r="D94" s="469"/>
      <c r="E94" s="470" t="s">
        <v>1823</v>
      </c>
      <c r="F94" s="460"/>
      <c r="G94" s="471"/>
      <c r="H94" s="462"/>
      <c r="I94" s="477" t="s">
        <v>1417</v>
      </c>
      <c r="J94" s="460" t="s">
        <v>2172</v>
      </c>
      <c r="K94" s="460"/>
      <c r="L94" s="472">
        <f t="shared" si="3"/>
        <v>0</v>
      </c>
      <c r="M94" s="473"/>
      <c r="N94" s="462" t="s">
        <v>1823</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196</v>
      </c>
      <c r="B95" s="460" t="s">
        <v>2172</v>
      </c>
      <c r="C95" s="469"/>
      <c r="D95" s="469"/>
      <c r="E95" s="470" t="s">
        <v>1823</v>
      </c>
      <c r="F95" s="460"/>
      <c r="G95" s="471"/>
      <c r="H95" s="462"/>
      <c r="I95" s="477" t="s">
        <v>196</v>
      </c>
      <c r="J95" s="460" t="s">
        <v>2172</v>
      </c>
      <c r="K95" s="460"/>
      <c r="L95" s="472">
        <f t="shared" si="3"/>
        <v>0</v>
      </c>
      <c r="M95" s="473"/>
      <c r="N95" s="462" t="s">
        <v>1823</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268</v>
      </c>
      <c r="B96" s="460" t="s">
        <v>2172</v>
      </c>
      <c r="C96" s="469"/>
      <c r="D96" s="469"/>
      <c r="E96" s="470" t="s">
        <v>1823</v>
      </c>
      <c r="F96" s="460"/>
      <c r="G96" s="471"/>
      <c r="H96" s="462"/>
      <c r="I96" s="477" t="s">
        <v>268</v>
      </c>
      <c r="J96" s="460" t="s">
        <v>2172</v>
      </c>
      <c r="K96" s="460"/>
      <c r="L96" s="472">
        <f t="shared" si="3"/>
        <v>0</v>
      </c>
      <c r="M96" s="473"/>
      <c r="N96" s="462" t="s">
        <v>1823</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267</v>
      </c>
      <c r="B97" s="460" t="s">
        <v>2172</v>
      </c>
      <c r="C97" s="469"/>
      <c r="D97" s="469"/>
      <c r="E97" s="470" t="s">
        <v>1823</v>
      </c>
      <c r="F97" s="460"/>
      <c r="G97" s="471"/>
      <c r="H97" s="462"/>
      <c r="I97" s="477" t="s">
        <v>267</v>
      </c>
      <c r="J97" s="460" t="s">
        <v>2172</v>
      </c>
      <c r="K97" s="460"/>
      <c r="L97" s="472">
        <f t="shared" si="3"/>
        <v>0</v>
      </c>
      <c r="M97" s="473"/>
      <c r="N97" s="462" t="s">
        <v>1823</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1058</v>
      </c>
      <c r="B98" s="460" t="s">
        <v>2172</v>
      </c>
      <c r="C98" s="479"/>
      <c r="D98" s="479"/>
      <c r="E98" s="470" t="s">
        <v>1823</v>
      </c>
      <c r="F98" s="460"/>
      <c r="H98" s="462"/>
      <c r="I98" s="478" t="s">
        <v>1058</v>
      </c>
      <c r="J98" s="460" t="s">
        <v>2172</v>
      </c>
      <c r="K98" s="460"/>
      <c r="L98" s="472">
        <f t="shared" si="3"/>
        <v>0</v>
      </c>
      <c r="M98" s="473"/>
      <c r="N98" s="462" t="s">
        <v>1823</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3104" t="s">
        <v>1636</v>
      </c>
      <c r="B99" s="3104"/>
      <c r="C99" s="3104"/>
      <c r="D99" s="469">
        <f>2*3*D82</f>
        <v>0</v>
      </c>
      <c r="E99" s="470" t="s">
        <v>1823</v>
      </c>
      <c r="F99" s="460"/>
      <c r="G99" s="471"/>
      <c r="H99" s="462"/>
      <c r="I99" s="478" t="s">
        <v>1636</v>
      </c>
      <c r="J99" s="460" t="s">
        <v>2172</v>
      </c>
      <c r="K99" s="460"/>
      <c r="L99" s="472">
        <f>D99*1.02</f>
        <v>0</v>
      </c>
      <c r="M99" s="473"/>
      <c r="N99" s="462" t="s">
        <v>1823</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1635</v>
      </c>
      <c r="B100" s="460" t="s">
        <v>2172</v>
      </c>
      <c r="C100" s="469"/>
      <c r="D100" s="469"/>
      <c r="E100" s="470" t="s">
        <v>1823</v>
      </c>
      <c r="F100" s="460"/>
      <c r="G100" s="471"/>
      <c r="H100" s="462"/>
      <c r="I100" s="478" t="s">
        <v>1635</v>
      </c>
      <c r="J100" s="460" t="s">
        <v>2172</v>
      </c>
      <c r="K100" s="460"/>
      <c r="L100" s="472">
        <f t="shared" si="3"/>
        <v>0</v>
      </c>
      <c r="M100" s="473"/>
      <c r="N100" s="462" t="s">
        <v>1823</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1634</v>
      </c>
      <c r="B101" s="460" t="s">
        <v>2172</v>
      </c>
      <c r="C101" s="479"/>
      <c r="D101" s="479"/>
      <c r="E101" s="470" t="s">
        <v>1823</v>
      </c>
      <c r="F101" s="460"/>
      <c r="H101" s="462"/>
      <c r="I101" s="478" t="s">
        <v>1634</v>
      </c>
      <c r="J101" s="460" t="s">
        <v>2172</v>
      </c>
      <c r="K101" s="460"/>
      <c r="L101" s="472">
        <f>C101*1.03</f>
        <v>0</v>
      </c>
      <c r="M101" s="473"/>
      <c r="N101" s="462" t="s">
        <v>1823</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1633</v>
      </c>
      <c r="B102" s="460" t="s">
        <v>2172</v>
      </c>
      <c r="C102" s="469"/>
      <c r="D102" s="469"/>
      <c r="E102" s="470" t="s">
        <v>1823</v>
      </c>
      <c r="F102" s="460"/>
      <c r="G102" s="471"/>
      <c r="H102" s="462"/>
      <c r="I102" s="478" t="s">
        <v>1633</v>
      </c>
      <c r="J102" s="460" t="s">
        <v>2172</v>
      </c>
      <c r="K102" s="460"/>
      <c r="L102" s="472">
        <f>C102*1.03</f>
        <v>0</v>
      </c>
      <c r="M102" s="473"/>
      <c r="N102" s="462" t="s">
        <v>1823</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854</v>
      </c>
      <c r="B103" s="460" t="s">
        <v>2172</v>
      </c>
      <c r="C103" s="479"/>
      <c r="D103" s="479"/>
      <c r="E103" s="470" t="s">
        <v>1823</v>
      </c>
      <c r="F103" s="460"/>
      <c r="H103" s="462"/>
      <c r="I103" s="478" t="s">
        <v>854</v>
      </c>
      <c r="J103" s="460" t="s">
        <v>2172</v>
      </c>
      <c r="K103" s="460"/>
      <c r="L103" s="472">
        <f>C103*1.03</f>
        <v>0</v>
      </c>
      <c r="M103" s="473"/>
      <c r="N103" s="462" t="s">
        <v>1823</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2015</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1866</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1814</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1867</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2011</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2012</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2013</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2014</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2015</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2016</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2267</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2017</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2018</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2266</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2268</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2269</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ACB19-74AD-4F8E-AEBB-1AEB13C7ABBC}">
  <dimension ref="B1:G213"/>
  <sheetViews>
    <sheetView topLeftCell="A19" workbookViewId="0">
      <selection activeCell="C34" sqref="C34"/>
    </sheetView>
  </sheetViews>
  <sheetFormatPr defaultRowHeight="16.8"/>
  <cols>
    <col min="3" max="3" width="19" customWidth="1"/>
    <col min="4" max="4" width="32.08984375" customWidth="1"/>
    <col min="6" max="6" width="17" style="1328" customWidth="1"/>
  </cols>
  <sheetData>
    <row r="1" spans="2:7" s="1215" customFormat="1" ht="25.8" customHeight="1">
      <c r="B1" s="1215" t="s">
        <v>1708</v>
      </c>
      <c r="C1" s="1215" t="s">
        <v>2603</v>
      </c>
      <c r="D1" s="1215" t="s">
        <v>6480</v>
      </c>
      <c r="E1" s="1215" t="s">
        <v>6492</v>
      </c>
      <c r="F1" s="1328" t="s">
        <v>512</v>
      </c>
      <c r="G1" s="1215" t="s">
        <v>512</v>
      </c>
    </row>
    <row r="2" spans="2:7">
      <c r="B2">
        <v>1</v>
      </c>
      <c r="C2" t="s">
        <v>4394</v>
      </c>
      <c r="D2" s="1215" t="s">
        <v>6478</v>
      </c>
      <c r="E2" t="s">
        <v>512</v>
      </c>
      <c r="F2" s="1328" t="str">
        <f>IF(LEN(C2)&gt;0,VLOOKUP(C2,DG!A:C,3,0),"")</f>
        <v/>
      </c>
    </row>
    <row r="3" spans="2:7">
      <c r="B3">
        <v>2</v>
      </c>
      <c r="C3" s="1215" t="s">
        <v>4394</v>
      </c>
      <c r="D3" s="1215" t="s">
        <v>6479</v>
      </c>
      <c r="E3" s="1215" t="s">
        <v>512</v>
      </c>
      <c r="F3" s="1328" t="str">
        <f>IF(LEN(C3)&gt;0,VLOOKUP(C3,DG!A:C,3,0),"")</f>
        <v/>
      </c>
      <c r="G3" s="1215"/>
    </row>
    <row r="4" spans="2:7" s="1215" customFormat="1">
      <c r="B4" s="1215">
        <v>3</v>
      </c>
      <c r="C4" s="1215" t="s">
        <v>4394</v>
      </c>
      <c r="D4" s="1215" t="s">
        <v>6481</v>
      </c>
      <c r="E4" s="1215" t="s">
        <v>512</v>
      </c>
      <c r="F4" s="1328" t="str">
        <f>IF(LEN(C4)&gt;0,VLOOKUP(C4,DG!A:C,3,0),"")</f>
        <v/>
      </c>
    </row>
    <row r="5" spans="2:7" s="1215" customFormat="1">
      <c r="B5" s="1215">
        <v>4</v>
      </c>
      <c r="C5" s="1215" t="s">
        <v>4394</v>
      </c>
      <c r="D5" s="1215" t="s">
        <v>6482</v>
      </c>
      <c r="E5" s="1215" t="s">
        <v>512</v>
      </c>
      <c r="F5" s="1328" t="str">
        <f>IF(LEN(C5)&gt;0,VLOOKUP(C5,DG!A:C,3,0),"")</f>
        <v/>
      </c>
    </row>
    <row r="6" spans="2:7">
      <c r="B6" s="1215">
        <v>5</v>
      </c>
      <c r="C6" s="1215" t="s">
        <v>6565</v>
      </c>
      <c r="D6" s="1215" t="s">
        <v>6483</v>
      </c>
      <c r="E6" s="1215" t="s">
        <v>512</v>
      </c>
      <c r="F6" s="1328" t="str">
        <f>IF(LEN(C6)&gt;0,VLOOKUP(C6,DG!A:C,3,0),"")</f>
        <v>Cáp 24KV ACXH 95mm2</v>
      </c>
      <c r="G6" s="1215"/>
    </row>
    <row r="7" spans="2:7">
      <c r="B7" s="1215">
        <v>6</v>
      </c>
      <c r="C7" s="1215" t="s">
        <v>6566</v>
      </c>
      <c r="D7" s="1215" t="s">
        <v>6484</v>
      </c>
      <c r="E7" t="s">
        <v>512</v>
      </c>
      <c r="F7" s="1328" t="str">
        <f>IF(LEN(C7)&gt;0,VLOOKUP(C7,DG!A:C,3,0),"")</f>
        <v>Cáp 24KV ACXH 70mm2</v>
      </c>
      <c r="G7" s="1215"/>
    </row>
    <row r="8" spans="2:7">
      <c r="B8" s="1215">
        <v>7</v>
      </c>
      <c r="C8" s="1215" t="s">
        <v>6485</v>
      </c>
      <c r="D8" s="1215" t="s">
        <v>6485</v>
      </c>
      <c r="E8" t="s">
        <v>512</v>
      </c>
      <c r="F8" s="1328" t="str">
        <f>IF(LEN(C8)&gt;0,VLOOKUP(C8,DG!A:C,3,0),"")</f>
        <v>Cáp đồng bọc 24KV-CXV-25</v>
      </c>
      <c r="G8" s="1215"/>
    </row>
    <row r="9" spans="2:7">
      <c r="B9" s="1215">
        <v>8</v>
      </c>
      <c r="C9" s="1215" t="s">
        <v>6486</v>
      </c>
      <c r="D9" s="1215" t="s">
        <v>6486</v>
      </c>
      <c r="E9" t="s">
        <v>512</v>
      </c>
      <c r="F9" s="1328" t="str">
        <f>IF(LEN(C9)&gt;0,VLOOKUP(C9,DG!A:C,3,0),"")</f>
        <v>Cáp đồng bọc 24KV-CXV-95</v>
      </c>
      <c r="G9" s="1215"/>
    </row>
    <row r="10" spans="2:7">
      <c r="B10" s="1215">
        <v>9</v>
      </c>
      <c r="C10" s="1215" t="s">
        <v>4394</v>
      </c>
      <c r="D10" s="1215" t="s">
        <v>6487</v>
      </c>
      <c r="E10" t="s">
        <v>512</v>
      </c>
      <c r="F10" s="1328" t="str">
        <f>IF(LEN(C10)&gt;0,VLOOKUP(C10,DG!A:C,3,0),"")</f>
        <v/>
      </c>
      <c r="G10" s="1215"/>
    </row>
    <row r="11" spans="2:7">
      <c r="B11" s="1215">
        <v>10</v>
      </c>
      <c r="C11" s="1215" t="s">
        <v>4394</v>
      </c>
      <c r="D11" s="1215" t="s">
        <v>6488</v>
      </c>
      <c r="E11" t="s">
        <v>512</v>
      </c>
      <c r="F11" s="1328" t="str">
        <f>IF(LEN(C11)&gt;0,VLOOKUP(C11,DG!A:C,3,0),"")</f>
        <v/>
      </c>
      <c r="G11" s="1215"/>
    </row>
    <row r="12" spans="2:7">
      <c r="B12" s="1215">
        <v>11</v>
      </c>
      <c r="C12" s="1215" t="s">
        <v>4394</v>
      </c>
      <c r="D12" s="1215" t="s">
        <v>4531</v>
      </c>
      <c r="E12" t="s">
        <v>512</v>
      </c>
      <c r="F12" s="1328" t="str">
        <f>IF(LEN(C12)&gt;0,VLOOKUP(C12,DG!A:C,3,0),"")</f>
        <v/>
      </c>
      <c r="G12" s="1215"/>
    </row>
    <row r="13" spans="2:7">
      <c r="B13" s="1215">
        <v>12</v>
      </c>
      <c r="C13" s="1215" t="s">
        <v>301</v>
      </c>
      <c r="D13" s="1215" t="s">
        <v>301</v>
      </c>
      <c r="E13" t="s">
        <v>512</v>
      </c>
      <c r="F13" s="1328" t="str">
        <f>IF(LEN(C13)&gt;0,VLOOKUP(C13,DG!A:C,3,0),"")</f>
        <v>Trụ bê tông ly tâm 12m trồng thủ công+cơ giới</v>
      </c>
      <c r="G13" s="1215"/>
    </row>
    <row r="14" spans="2:7">
      <c r="B14" s="1215">
        <v>13</v>
      </c>
      <c r="C14" s="1215" t="s">
        <v>302</v>
      </c>
      <c r="D14" s="1215" t="s">
        <v>302</v>
      </c>
      <c r="E14" t="s">
        <v>512</v>
      </c>
      <c r="F14" s="1328" t="str">
        <f>IF(LEN(C14)&gt;0,VLOOKUP(C14,DG!A:C,3,0),"")</f>
        <v>Trụ bê tông ly tâm 14m</v>
      </c>
      <c r="G14" s="1215"/>
    </row>
    <row r="15" spans="2:7">
      <c r="B15" s="1215">
        <v>14</v>
      </c>
      <c r="C15" s="1215" t="s">
        <v>219</v>
      </c>
      <c r="D15" s="1215" t="s">
        <v>219</v>
      </c>
      <c r="E15" t="s">
        <v>512</v>
      </c>
      <c r="F15" s="1328" t="str">
        <f>IF(LEN(C15)&gt;0,VLOOKUP(C15,DG!A:C,3,0),"")</f>
        <v>Móng M12</v>
      </c>
      <c r="G15" s="1215"/>
    </row>
    <row r="16" spans="2:7">
      <c r="B16" s="1215">
        <v>15</v>
      </c>
      <c r="C16" s="1215" t="s">
        <v>2306</v>
      </c>
      <c r="D16" s="1215" t="s">
        <v>2306</v>
      </c>
      <c r="E16" t="s">
        <v>512</v>
      </c>
      <c r="F16" s="1328" t="str">
        <f>IF(LEN(C16)&gt;0,VLOOKUP(C16,DG!A:C,3,0),"")</f>
        <v>Móng bê tông trụ đôi 12m</v>
      </c>
      <c r="G16" s="1215"/>
    </row>
    <row r="17" spans="2:7">
      <c r="B17" s="1215">
        <v>16</v>
      </c>
      <c r="C17" s="1215" t="s">
        <v>2307</v>
      </c>
      <c r="D17" s="1215" t="s">
        <v>2307</v>
      </c>
      <c r="E17" t="s">
        <v>512</v>
      </c>
      <c r="F17" s="1328" t="str">
        <f>IF(LEN(C17)&gt;0,VLOOKUP(C17,DG!A:C,3,0),"")</f>
        <v>Móng bê tông trụ đơn 14m</v>
      </c>
      <c r="G17" s="1215"/>
    </row>
    <row r="18" spans="2:7">
      <c r="B18" s="1215">
        <v>17</v>
      </c>
      <c r="C18" s="1215" t="s">
        <v>6489</v>
      </c>
      <c r="D18" s="1215" t="s">
        <v>6489</v>
      </c>
      <c r="E18" t="s">
        <v>512</v>
      </c>
      <c r="F18" s="1328" t="str">
        <f>IF(LEN(C18)&gt;0,VLOOKUP(C18,DG!A:C,3,0),"")</f>
        <v>Móng bê tông trụ đôi 14m</v>
      </c>
      <c r="G18" s="1215"/>
    </row>
    <row r="19" spans="2:7">
      <c r="B19" s="1215">
        <v>18</v>
      </c>
      <c r="C19" s="1215" t="s">
        <v>6532</v>
      </c>
      <c r="D19" s="1215" t="s">
        <v>6490</v>
      </c>
      <c r="E19" t="s">
        <v>512</v>
      </c>
      <c r="F19" s="1328" t="str">
        <f>IF(LEN(C19)&gt;0,VLOOKUP(C19,DG!A:C,3,0),"")</f>
        <v>Tiếp địa trụ Recloser, LBS</v>
      </c>
      <c r="G19" s="1215"/>
    </row>
    <row r="20" spans="2:7">
      <c r="B20" s="1215">
        <v>19</v>
      </c>
      <c r="C20" s="1215" t="s">
        <v>2235</v>
      </c>
      <c r="D20" s="1215" t="s">
        <v>2392</v>
      </c>
      <c r="E20" t="s">
        <v>512</v>
      </c>
      <c r="F20" s="1328" t="str">
        <f>IF(LEN(C20)&gt;0,VLOOKUP(C20,DG!A:C,3,0),"")</f>
        <v>Tiếp địa lặp lại trụ 12m</v>
      </c>
      <c r="G20" s="1215"/>
    </row>
    <row r="21" spans="2:7" s="1215" customFormat="1">
      <c r="B21" s="1215">
        <v>20</v>
      </c>
      <c r="C21" s="1215" t="s">
        <v>4709</v>
      </c>
      <c r="D21" s="1215" t="s">
        <v>4709</v>
      </c>
      <c r="E21" s="1215" t="s">
        <v>512</v>
      </c>
      <c r="F21" s="1328" t="str">
        <f>IF(LEN(C21)&gt;0,VLOOKUP(C21,DG!A:C,3,0),"")</f>
        <v>Bộ đà composite 0,8m</v>
      </c>
    </row>
    <row r="22" spans="2:7">
      <c r="B22" s="1215">
        <v>21</v>
      </c>
      <c r="C22" s="1215" t="s">
        <v>2293</v>
      </c>
      <c r="D22" s="1215" t="s">
        <v>2293</v>
      </c>
      <c r="E22" t="s">
        <v>512</v>
      </c>
      <c r="F22" s="1328" t="str">
        <f>IF(LEN(C22)&gt;0,VLOOKUP(C22,DG!A:C,3,0),"")</f>
        <v>Bộ xà lệch đơn L75x75x8 dài 2m: X-20ĐL2/3</v>
      </c>
      <c r="G22" s="1215"/>
    </row>
    <row r="23" spans="2:7">
      <c r="B23" s="1215">
        <v>22</v>
      </c>
      <c r="C23" s="1215" t="s">
        <v>2119</v>
      </c>
      <c r="D23" s="1215" t="s">
        <v>2119</v>
      </c>
      <c r="E23" t="s">
        <v>512</v>
      </c>
      <c r="F23" s="1328" t="str">
        <f>IF(LEN(C23)&gt;0,VLOOKUP(C23,DG!A:C,3,0),"")</f>
        <v>Bộ xà lệch kép L75x75x8 dài 2m: X-20KL2/3</v>
      </c>
      <c r="G23" s="1215"/>
    </row>
    <row r="24" spans="2:7">
      <c r="B24" s="1215">
        <v>23</v>
      </c>
      <c r="C24" s="1215" t="s">
        <v>2292</v>
      </c>
      <c r="D24" s="1215" t="s">
        <v>2292</v>
      </c>
      <c r="E24" t="s">
        <v>512</v>
      </c>
      <c r="F24" s="1328" t="str">
        <f>IF(LEN(C24)&gt;0,VLOOKUP(C24,DG!A:C,3,0),"")</f>
        <v>Bộ xà lệch đơn L75x75x8 dài 2,1m: X-21ĐL</v>
      </c>
      <c r="G24" s="1215"/>
    </row>
    <row r="25" spans="2:7">
      <c r="B25" s="1215">
        <v>24</v>
      </c>
      <c r="C25" s="1215" t="s">
        <v>893</v>
      </c>
      <c r="D25" s="1215" t="s">
        <v>893</v>
      </c>
      <c r="E25" t="s">
        <v>512</v>
      </c>
      <c r="F25" s="1328" t="str">
        <f>IF(LEN(C25)&gt;0,VLOOKUP(C25,DG!A:C,3,0),"")</f>
        <v>Bộ xà lệch kép L75x75x8 dài 2,1m: X-21KL</v>
      </c>
      <c r="G25" s="1215"/>
    </row>
    <row r="26" spans="2:7" s="1215" customFormat="1">
      <c r="B26" s="1215">
        <v>25</v>
      </c>
      <c r="C26" s="1215" t="s">
        <v>2295</v>
      </c>
      <c r="D26" s="1215" t="s">
        <v>2295</v>
      </c>
      <c r="E26" s="1215" t="s">
        <v>512</v>
      </c>
      <c r="F26" s="1328" t="str">
        <f>IF(LEN(C26)&gt;0,VLOOKUP(C26,DG!A:C,3,0),"")</f>
        <v>Bộ xà kép L75x75x8 dài 2.2m: X-22K-Đ - C810 (lắp trụ đơn)</v>
      </c>
    </row>
    <row r="27" spans="2:7" ht="17.399999999999999" customHeight="1">
      <c r="B27" s="1215">
        <v>26</v>
      </c>
      <c r="C27" s="1215" t="s">
        <v>533</v>
      </c>
      <c r="D27" s="1215" t="s">
        <v>533</v>
      </c>
      <c r="E27" t="s">
        <v>512</v>
      </c>
      <c r="F27" s="1328" t="str">
        <f>IF(LEN(C27)&gt;0,VLOOKUP(C27,DG!A:C,3,0),"")</f>
        <v>Bộ xà kép L75x75x8 dài 2.2m: X-22K-K - C810 (lắp theo hướng trụ ghép)</v>
      </c>
      <c r="G27" s="1215"/>
    </row>
    <row r="28" spans="2:7">
      <c r="B28" s="1215">
        <v>27</v>
      </c>
      <c r="C28" s="1215" t="s">
        <v>2504</v>
      </c>
      <c r="D28" t="s">
        <v>3885</v>
      </c>
      <c r="E28" t="s">
        <v>512</v>
      </c>
      <c r="F28" s="1328" t="str">
        <f>IF(LEN(C28)&gt;0,VLOOKUP(C28,DG!A:C,3,0),"")</f>
        <v>Bộ cách điện đứng+ty sứ : SĐU</v>
      </c>
      <c r="G28" s="1215"/>
    </row>
    <row r="29" spans="2:7">
      <c r="B29" s="1215">
        <v>28</v>
      </c>
      <c r="C29" s="1215" t="s">
        <v>2515</v>
      </c>
      <c r="D29" t="s">
        <v>4073</v>
      </c>
      <c r="E29" t="s">
        <v>512</v>
      </c>
      <c r="F29" s="1328" t="str">
        <f>IF(LEN(C29)&gt;0,VLOOKUP(C29,DG!A:C,3,0),"")</f>
        <v>Chuỗi sứ treo Polymer 25kV lắp vào xà</v>
      </c>
      <c r="G29" s="1215"/>
    </row>
    <row r="30" spans="2:7">
      <c r="B30" s="1215">
        <v>29</v>
      </c>
      <c r="C30" s="1215" t="s">
        <v>6534</v>
      </c>
      <c r="D30" t="s">
        <v>6491</v>
      </c>
      <c r="E30" t="s">
        <v>512</v>
      </c>
      <c r="F30" s="1328" t="str">
        <f>IF(LEN(C30)&gt;0,VLOOKUP(C30,DG!A:C,3,0),"")</f>
        <v>Chuỗi sứ treo Polymer kép 25kV lắp vào xà</v>
      </c>
      <c r="G30" s="1215"/>
    </row>
    <row r="31" spans="2:7">
      <c r="B31" s="1215">
        <v>30</v>
      </c>
      <c r="C31" s="1215" t="s">
        <v>2499</v>
      </c>
      <c r="D31" t="s">
        <v>3786</v>
      </c>
      <c r="E31" t="s">
        <v>512</v>
      </c>
      <c r="F31" s="1328" t="str">
        <f>IF(LEN(C31)&gt;0,VLOOKUP(C31,DG!A:C,3,0),"")</f>
        <v>Bộ Uclevis đỡ dây trung hòa: Đth-U</v>
      </c>
      <c r="G31" s="1215"/>
    </row>
    <row r="32" spans="2:7">
      <c r="B32" s="1215">
        <v>31</v>
      </c>
      <c r="C32" s="1215" t="s">
        <v>2534</v>
      </c>
      <c r="D32" t="s">
        <v>4076</v>
      </c>
      <c r="E32" t="s">
        <v>512</v>
      </c>
      <c r="F32" s="1328" t="str">
        <f>IF(LEN(C32)&gt;0,VLOOKUP(C32,DG!A:C,3,0),"")</f>
        <v>Bộ Uclevis đỡ dây trung hòa trụ ghép: Đth-U-g (trụ ghép)</v>
      </c>
      <c r="G32" s="1215"/>
    </row>
    <row r="33" spans="2:7">
      <c r="B33" s="1215">
        <v>33</v>
      </c>
      <c r="C33" s="1215" t="s">
        <v>534</v>
      </c>
      <c r="D33" s="1215" t="s">
        <v>6494</v>
      </c>
      <c r="E33" t="s">
        <v>512</v>
      </c>
      <c r="F33" s="1328" t="str">
        <f>IF(LEN(C33)&gt;0,VLOOKUP(C33,DG!A:C,3,0),"")</f>
        <v>Bộ khóa néo dây trung hòa vào trụ ghép</v>
      </c>
      <c r="G33" s="1215"/>
    </row>
    <row r="34" spans="2:7">
      <c r="B34" s="1215">
        <v>32</v>
      </c>
      <c r="C34" s="1215" t="s">
        <v>1622</v>
      </c>
      <c r="D34" t="s">
        <v>6493</v>
      </c>
      <c r="E34" t="s">
        <v>512</v>
      </c>
      <c r="F34" s="1328" t="str">
        <f>IF(LEN(C34)&gt;0,VLOOKUP(C34,DG!A:C,3,0),"")</f>
        <v>Bộ khóa néo dây trung hòa vào trụ đơn</v>
      </c>
      <c r="G34" s="1215"/>
    </row>
    <row r="35" spans="2:7">
      <c r="B35" s="1215">
        <v>34</v>
      </c>
      <c r="C35" s="1215" t="s">
        <v>6511</v>
      </c>
      <c r="D35" t="s">
        <v>6517</v>
      </c>
      <c r="E35" t="s">
        <v>512</v>
      </c>
      <c r="F35" s="1328" t="str">
        <f>IF(LEN(C35)&gt;0,VLOOKUP(C35,DG!A:C,3,0),"")</f>
        <v>Dây buộc đầu sứ cỡ dây 95mm2</v>
      </c>
      <c r="G35" s="1215"/>
    </row>
    <row r="36" spans="2:7">
      <c r="B36" s="1215">
        <v>35</v>
      </c>
      <c r="C36" s="1215" t="s">
        <v>6497</v>
      </c>
      <c r="D36" t="s">
        <v>6504</v>
      </c>
      <c r="E36" t="s">
        <v>512</v>
      </c>
      <c r="F36" s="1328" t="str">
        <f>IF(LEN(C36)&gt;0,VLOOKUP(C36,DG!A:C,3,0),"")</f>
        <v>Dây buộc cổ sứ cỡ dây 95mm2</v>
      </c>
      <c r="G36" s="1215"/>
    </row>
    <row r="37" spans="2:7">
      <c r="B37" s="1215">
        <v>36</v>
      </c>
      <c r="C37" s="1215" t="s">
        <v>6514</v>
      </c>
      <c r="D37" t="s">
        <v>6520</v>
      </c>
      <c r="E37" t="s">
        <v>512</v>
      </c>
      <c r="F37" s="1328" t="str">
        <f>IF(LEN(C37)&gt;0,VLOOKUP(C37,DG!A:C,3,0),"")</f>
        <v>Dây buộc đầu sứ cỡ dây 185mm2</v>
      </c>
      <c r="G37" s="1215"/>
    </row>
    <row r="38" spans="2:7">
      <c r="B38" s="1215">
        <v>37</v>
      </c>
      <c r="C38" s="1215" t="s">
        <v>6500</v>
      </c>
      <c r="D38" t="s">
        <v>6507</v>
      </c>
      <c r="E38" t="s">
        <v>512</v>
      </c>
      <c r="F38" s="1328" t="str">
        <f>IF(LEN(C38)&gt;0,VLOOKUP(C38,DG!A:C,3,0),"")</f>
        <v>Dây buộc cổ sứ cỡ dây 185mm2</v>
      </c>
      <c r="G38" s="1215"/>
    </row>
    <row r="39" spans="2:7">
      <c r="B39" s="1215">
        <v>38</v>
      </c>
      <c r="C39" s="1215" t="s">
        <v>236</v>
      </c>
      <c r="D39" t="s">
        <v>6425</v>
      </c>
      <c r="E39" t="s">
        <v>512</v>
      </c>
      <c r="F39" s="1328" t="str">
        <f>IF(LEN(C39)&gt;0,VLOOKUP(C39,DG!A:C,3,0),"")</f>
        <v>Kẹp quai 4/0</v>
      </c>
      <c r="G39" s="1215"/>
    </row>
    <row r="40" spans="2:7">
      <c r="B40" s="1215">
        <v>39</v>
      </c>
      <c r="C40" s="1215" t="s">
        <v>1049</v>
      </c>
      <c r="D40" t="s">
        <v>406</v>
      </c>
      <c r="E40" t="s">
        <v>512</v>
      </c>
      <c r="F40" s="1328" t="str">
        <f>IF(LEN(C40)&gt;0,VLOOKUP(C40,DG!A:C,3,0),"")</f>
        <v>Kẹp hotline 4/0</v>
      </c>
      <c r="G40" s="1215"/>
    </row>
    <row r="41" spans="2:7">
      <c r="B41" s="1215">
        <v>40</v>
      </c>
      <c r="C41" s="1215" t="s">
        <v>1580</v>
      </c>
      <c r="D41" t="s">
        <v>3793</v>
      </c>
      <c r="E41" t="s">
        <v>512</v>
      </c>
      <c r="F41" s="1328" t="str">
        <f>IF(LEN(C41)&gt;0,VLOOKUP(C41,DG!A:C,3,0),"")</f>
        <v>Kẹp ép WR cỡ dây 70mm2</v>
      </c>
      <c r="G41" s="1215"/>
    </row>
    <row r="42" spans="2:7">
      <c r="B42" s="1215">
        <v>41</v>
      </c>
      <c r="C42" s="1215" t="s">
        <v>240</v>
      </c>
      <c r="D42" t="s">
        <v>4087</v>
      </c>
      <c r="E42" t="s">
        <v>512</v>
      </c>
      <c r="F42" s="1328" t="str">
        <f>IF(LEN(C42)&gt;0,VLOOKUP(C42,DG!A:C,3,0),"")</f>
        <v>Kẹp ép WR cỡ dây 95mm2</v>
      </c>
      <c r="G42" s="1215"/>
    </row>
    <row r="43" spans="2:7">
      <c r="B43" s="1215">
        <v>42</v>
      </c>
      <c r="C43" s="1215" t="s">
        <v>708</v>
      </c>
      <c r="D43" t="s">
        <v>4088</v>
      </c>
      <c r="E43" t="s">
        <v>512</v>
      </c>
      <c r="F43" s="1328" t="str">
        <f>IF(LEN(C43)&gt;0,VLOOKUP(C43,DG!A:C,3,0),"")</f>
        <v>Kẹp ép WR cỡ dây 185mm2</v>
      </c>
      <c r="G43" s="1215"/>
    </row>
    <row r="44" spans="2:7">
      <c r="B44" s="1215">
        <v>43</v>
      </c>
      <c r="C44" s="1215" t="s">
        <v>6524</v>
      </c>
      <c r="D44" t="s">
        <v>6525</v>
      </c>
      <c r="E44" t="s">
        <v>512</v>
      </c>
      <c r="F44" s="1328" t="str">
        <f>IF(LEN(C44)&gt;0,VLOOKUP(C44,DG!A:C,3,0),"")</f>
        <v>Ống nối dây AC-185</v>
      </c>
      <c r="G44" s="1215"/>
    </row>
    <row r="45" spans="2:7">
      <c r="B45" s="1215">
        <v>44</v>
      </c>
      <c r="C45" s="1215" t="s">
        <v>4674</v>
      </c>
      <c r="D45" t="s">
        <v>6100</v>
      </c>
      <c r="E45" t="s">
        <v>512</v>
      </c>
      <c r="F45" s="1328" t="str">
        <f>IF(LEN(C45)&gt;0,VLOOKUP(C45,DG!A:C,3,0),"")</f>
        <v>Ong co nhiệt</v>
      </c>
      <c r="G45" s="1215"/>
    </row>
    <row r="46" spans="2:7">
      <c r="B46" s="1215">
        <v>45</v>
      </c>
      <c r="C46" s="1215" t="s">
        <v>5800</v>
      </c>
      <c r="D46" t="s">
        <v>6101</v>
      </c>
      <c r="E46" t="s">
        <v>512</v>
      </c>
      <c r="F46" s="1328" t="str">
        <f>IF(LEN(C46)&gt;0,VLOOKUP(C46,DG!A:C,3,0),"")</f>
        <v>Băng keo cách điện trung thế</v>
      </c>
      <c r="G46" s="1215"/>
    </row>
    <row r="47" spans="2:7">
      <c r="B47" s="1215">
        <v>46</v>
      </c>
      <c r="C47" s="1215" t="s">
        <v>1652</v>
      </c>
      <c r="D47" t="s">
        <v>1898</v>
      </c>
      <c r="E47" t="s">
        <v>512</v>
      </c>
      <c r="F47" s="1328" t="str">
        <f>IF(LEN(C47)&gt;0,VLOOKUP(C47,DG!A:C,3,0),"")</f>
        <v>FCO 24kV - 100A</v>
      </c>
      <c r="G47" s="1215"/>
    </row>
    <row r="48" spans="2:7">
      <c r="B48" s="1215">
        <v>47</v>
      </c>
      <c r="C48" s="1215" t="s">
        <v>2184</v>
      </c>
      <c r="D48" t="s">
        <v>1912</v>
      </c>
      <c r="E48" t="s">
        <v>512</v>
      </c>
      <c r="F48" s="1328" t="str">
        <f>IF(LEN(C48)&gt;0,VLOOKUP(C48,DG!A:C,3,0),"")</f>
        <v>Recloser 24kV 630A - 800A (MBA cấp nguồn + Phụ kiện)</v>
      </c>
      <c r="G48" s="1215"/>
    </row>
    <row r="49" spans="2:7">
      <c r="B49" s="1215">
        <v>48</v>
      </c>
      <c r="C49" s="1215" t="s">
        <v>788</v>
      </c>
      <c r="D49" t="s">
        <v>788</v>
      </c>
      <c r="E49" t="s">
        <v>512</v>
      </c>
      <c r="F49" s="1328" t="str">
        <f>IF(LEN(C49)&gt;0,VLOOKUP(C49,DG!A:C,3,0),"")</f>
        <v>LTD 1P 24KV - 800A</v>
      </c>
      <c r="G49" s="1215"/>
    </row>
    <row r="50" spans="2:7">
      <c r="B50" s="1215">
        <v>49</v>
      </c>
      <c r="C50" s="1215" t="s">
        <v>1373</v>
      </c>
      <c r="D50" t="s">
        <v>1193</v>
      </c>
      <c r="E50" t="s">
        <v>512</v>
      </c>
      <c r="F50" s="1328" t="str">
        <f>IF(LEN(C50)&gt;0,VLOOKUP(C50,DG!A:C,3,0),"")</f>
        <v>Chống sét van LA-18KV-10KA</v>
      </c>
      <c r="G50" s="1215"/>
    </row>
    <row r="51" spans="2:7" s="1215" customFormat="1">
      <c r="D51" s="1215" t="s">
        <v>4170</v>
      </c>
      <c r="E51" s="1215" t="s">
        <v>512</v>
      </c>
      <c r="F51" s="1328" t="str">
        <f>IF(LEN(C51)&gt;0,VLOOKUP(C51,DG!A:C,3,0),"")</f>
        <v/>
      </c>
    </row>
    <row r="52" spans="2:7">
      <c r="B52" s="1215">
        <v>49</v>
      </c>
      <c r="C52" s="1215" t="s">
        <v>4394</v>
      </c>
      <c r="D52" t="s">
        <v>4057</v>
      </c>
      <c r="F52" s="1328" t="str">
        <f>IF(LEN(C52)&gt;0,VLOOKUP(C52,DG!A:C,3,0),"")</f>
        <v/>
      </c>
      <c r="G52" s="1215"/>
    </row>
    <row r="53" spans="2:7">
      <c r="B53" s="1215">
        <v>50</v>
      </c>
      <c r="C53" s="1215" t="s">
        <v>4394</v>
      </c>
      <c r="D53" t="s">
        <v>4058</v>
      </c>
      <c r="F53" s="1328" t="str">
        <f>IF(LEN(C53)&gt;0,VLOOKUP(C53,DG!A:C,3,0),"")</f>
        <v/>
      </c>
      <c r="G53" s="1215"/>
    </row>
    <row r="54" spans="2:7">
      <c r="B54" s="1215">
        <v>51</v>
      </c>
      <c r="C54" s="1215" t="s">
        <v>4394</v>
      </c>
      <c r="D54" t="s">
        <v>4059</v>
      </c>
      <c r="F54" s="1328" t="str">
        <f>IF(LEN(C54)&gt;0,VLOOKUP(C54,DG!A:C,3,0),"")</f>
        <v/>
      </c>
      <c r="G54" s="1215"/>
    </row>
    <row r="55" spans="2:7">
      <c r="B55" s="1215">
        <v>52</v>
      </c>
      <c r="C55" s="1215" t="s">
        <v>4394</v>
      </c>
      <c r="D55" t="s">
        <v>4060</v>
      </c>
      <c r="F55" s="1328" t="str">
        <f>IF(LEN(C55)&gt;0,VLOOKUP(C55,DG!A:C,3,0),"")</f>
        <v/>
      </c>
      <c r="G55" s="1215"/>
    </row>
    <row r="56" spans="2:7" s="1215" customFormat="1">
      <c r="B56" s="1215">
        <v>53</v>
      </c>
      <c r="C56" s="1215" t="s">
        <v>4394</v>
      </c>
      <c r="D56" s="1215" t="s">
        <v>4061</v>
      </c>
      <c r="F56" s="1328" t="str">
        <f>IF(LEN(C56)&gt;0,VLOOKUP(C56,DG!A:C,3,0),"")</f>
        <v/>
      </c>
    </row>
    <row r="57" spans="2:7">
      <c r="B57" s="1215">
        <v>54</v>
      </c>
      <c r="C57" s="1215" t="s">
        <v>4394</v>
      </c>
      <c r="D57" t="s">
        <v>4062</v>
      </c>
      <c r="F57" s="1328" t="str">
        <f>IF(LEN(C57)&gt;0,VLOOKUP(C57,DG!A:C,3,0),"")</f>
        <v/>
      </c>
      <c r="G57" s="1215"/>
    </row>
    <row r="58" spans="2:7">
      <c r="B58" s="1215">
        <v>55</v>
      </c>
      <c r="C58" s="1215" t="s">
        <v>4394</v>
      </c>
      <c r="D58" t="s">
        <v>4063</v>
      </c>
      <c r="F58" s="1328" t="str">
        <f>IF(LEN(C58)&gt;0,VLOOKUP(C58,DG!A:C,3,0),"")</f>
        <v/>
      </c>
      <c r="G58" s="1215"/>
    </row>
    <row r="59" spans="2:7">
      <c r="B59" s="1215">
        <v>56</v>
      </c>
      <c r="C59" s="1215" t="s">
        <v>4394</v>
      </c>
      <c r="D59" t="s">
        <v>4064</v>
      </c>
      <c r="F59" s="1328" t="str">
        <f>IF(LEN(C59)&gt;0,VLOOKUP(C59,DG!A:C,3,0),"")</f>
        <v/>
      </c>
      <c r="G59" s="1215"/>
    </row>
    <row r="60" spans="2:7">
      <c r="B60" s="1215">
        <v>57</v>
      </c>
      <c r="C60" s="1215" t="s">
        <v>4394</v>
      </c>
      <c r="D60" t="s">
        <v>4065</v>
      </c>
      <c r="F60" s="1328" t="str">
        <f>IF(LEN(C60)&gt;0,VLOOKUP(C60,DG!A:C,3,0),"")</f>
        <v/>
      </c>
      <c r="G60" s="1215"/>
    </row>
    <row r="61" spans="2:7">
      <c r="B61" s="1215">
        <v>58</v>
      </c>
      <c r="C61" s="1215" t="s">
        <v>4394</v>
      </c>
      <c r="D61" t="s">
        <v>4066</v>
      </c>
      <c r="F61" s="1328" t="str">
        <f>IF(LEN(C61)&gt;0,VLOOKUP(C61,DG!A:C,3,0),"")</f>
        <v/>
      </c>
      <c r="G61" s="1215"/>
    </row>
    <row r="62" spans="2:7">
      <c r="B62" s="1215">
        <v>59</v>
      </c>
      <c r="C62" s="1215" t="s">
        <v>4394</v>
      </c>
      <c r="D62" t="s">
        <v>4067</v>
      </c>
      <c r="F62" s="1328" t="str">
        <f>IF(LEN(C62)&gt;0,VLOOKUP(C62,DG!A:C,3,0),"")</f>
        <v/>
      </c>
      <c r="G62" s="1215"/>
    </row>
    <row r="63" spans="2:7">
      <c r="B63" s="1215">
        <v>60</v>
      </c>
      <c r="C63" s="1215" t="s">
        <v>4394</v>
      </c>
      <c r="D63" t="s">
        <v>4068</v>
      </c>
      <c r="F63" s="1328" t="str">
        <f>IF(LEN(C63)&gt;0,VLOOKUP(C63,DG!A:C,3,0),"")</f>
        <v/>
      </c>
      <c r="G63" s="1215"/>
    </row>
    <row r="64" spans="2:7">
      <c r="B64" s="1215">
        <v>61</v>
      </c>
      <c r="C64" s="1215" t="s">
        <v>4394</v>
      </c>
      <c r="D64" t="s">
        <v>4069</v>
      </c>
      <c r="F64" s="1328" t="str">
        <f>IF(LEN(C64)&gt;0,VLOOKUP(C64,DG!A:C,3,0),"")</f>
        <v/>
      </c>
      <c r="G64" s="1215"/>
    </row>
    <row r="65" spans="2:7">
      <c r="B65" s="1215">
        <v>62</v>
      </c>
      <c r="C65" s="1215" t="s">
        <v>4394</v>
      </c>
      <c r="D65" t="s">
        <v>4070</v>
      </c>
      <c r="F65" s="1328" t="str">
        <f>IF(LEN(C65)&gt;0,VLOOKUP(C65,DG!A:C,3,0),"")</f>
        <v/>
      </c>
      <c r="G65" s="1215"/>
    </row>
    <row r="66" spans="2:7">
      <c r="B66" s="1215">
        <v>63</v>
      </c>
      <c r="C66" s="1215" t="s">
        <v>4394</v>
      </c>
      <c r="D66" t="s">
        <v>4071</v>
      </c>
      <c r="F66" s="1328" t="str">
        <f>IF(LEN(C66)&gt;0,VLOOKUP(C66,DG!A:C,3,0),"")</f>
        <v/>
      </c>
      <c r="G66" s="1215"/>
    </row>
    <row r="67" spans="2:7">
      <c r="B67" s="1215">
        <v>64</v>
      </c>
      <c r="C67" s="1215" t="s">
        <v>4394</v>
      </c>
      <c r="D67" t="s">
        <v>4072</v>
      </c>
      <c r="F67" s="1328" t="str">
        <f>IF(LEN(C67)&gt;0,VLOOKUP(C67,DG!A:C,3,0),"")</f>
        <v/>
      </c>
      <c r="G67" s="1215"/>
    </row>
    <row r="68" spans="2:7">
      <c r="B68" s="1215">
        <v>65</v>
      </c>
      <c r="C68" s="1215" t="s">
        <v>4394</v>
      </c>
      <c r="D68" t="s">
        <v>2257</v>
      </c>
      <c r="F68" s="1328" t="str">
        <f>IF(LEN(C68)&gt;0,VLOOKUP(C68,DG!A:C,3,0),"")</f>
        <v/>
      </c>
      <c r="G68" s="1215"/>
    </row>
    <row r="69" spans="2:7">
      <c r="B69" s="1215">
        <v>66</v>
      </c>
      <c r="C69" s="1215" t="s">
        <v>300</v>
      </c>
      <c r="D69" t="s">
        <v>300</v>
      </c>
      <c r="F69" s="1328" t="str">
        <f>IF(LEN(C69)&gt;0,VLOOKUP(C69,DG!A:C,3,0),"")</f>
        <v>Trụ bê tông ly tâm 10.5m</v>
      </c>
      <c r="G69" s="1215"/>
    </row>
    <row r="70" spans="2:7">
      <c r="B70" s="1215">
        <v>67</v>
      </c>
      <c r="C70" s="1215" t="s">
        <v>1186</v>
      </c>
      <c r="D70" t="s">
        <v>1186</v>
      </c>
      <c r="F70" s="1328" t="str">
        <f>IF(LEN(C70)&gt;0,VLOOKUP(C70,DG!A:C,3,0),"")</f>
        <v>Trụ bê tông ly tâm 12m trồng thủ công</v>
      </c>
      <c r="G70" s="1215"/>
    </row>
    <row r="71" spans="2:7">
      <c r="B71" s="1215">
        <v>68</v>
      </c>
      <c r="C71" s="1215" t="s">
        <v>759</v>
      </c>
      <c r="D71" t="s">
        <v>759</v>
      </c>
      <c r="F71" s="1328" t="str">
        <f>IF(LEN(C71)&gt;0,VLOOKUP(C71,DG!A:C,3,0),"")</f>
        <v>Trụ bê tông ly tâm 20m</v>
      </c>
      <c r="G71" s="1215"/>
    </row>
    <row r="72" spans="2:7">
      <c r="B72" s="1215">
        <v>69</v>
      </c>
      <c r="C72" s="1215" t="s">
        <v>2176</v>
      </c>
      <c r="D72" t="s">
        <v>2176</v>
      </c>
      <c r="F72" s="1328" t="str">
        <f>IF(LEN(C72)&gt;0,VLOOKUP(C72,DG!A:C,3,0),"")</f>
        <v>Móng M8a</v>
      </c>
      <c r="G72" s="1215"/>
    </row>
    <row r="73" spans="2:7">
      <c r="B73" s="1215">
        <v>70</v>
      </c>
      <c r="C73" s="1215" t="s">
        <v>303</v>
      </c>
      <c r="D73" t="s">
        <v>303</v>
      </c>
      <c r="F73" s="1328" t="str">
        <f>IF(LEN(C73)&gt;0,VLOOKUP(C73,DG!A:C,3,0),"")</f>
        <v>Móng M12a</v>
      </c>
      <c r="G73" s="1215"/>
    </row>
    <row r="74" spans="2:7">
      <c r="B74" s="1215">
        <v>71</v>
      </c>
      <c r="C74" s="1215" t="s">
        <v>2263</v>
      </c>
      <c r="D74" t="s">
        <v>2263</v>
      </c>
      <c r="F74" s="1328" t="str">
        <f>IF(LEN(C74)&gt;0,VLOOKUP(C74,DG!A:C,3,0),"")</f>
        <v>Móng M12b</v>
      </c>
      <c r="G74" s="1215"/>
    </row>
    <row r="75" spans="2:7">
      <c r="B75" s="1215">
        <v>72</v>
      </c>
      <c r="C75" s="1215" t="s">
        <v>304</v>
      </c>
      <c r="D75" t="s">
        <v>304</v>
      </c>
      <c r="F75" s="1328" t="str">
        <f>IF(LEN(C75)&gt;0,VLOOKUP(C75,DG!A:C,3,0),"")</f>
        <v>Móng M12aa</v>
      </c>
      <c r="G75" s="1215"/>
    </row>
    <row r="76" spans="2:7">
      <c r="B76" s="1215">
        <v>73</v>
      </c>
      <c r="C76" s="1215" t="s">
        <v>638</v>
      </c>
      <c r="D76" t="s">
        <v>638</v>
      </c>
      <c r="F76" s="1328" t="str">
        <f>IF(LEN(C76)&gt;0,VLOOKUP(C76,DG!A:C,3,0),"")</f>
        <v>Móng M12ba</v>
      </c>
      <c r="G76" s="1215"/>
    </row>
    <row r="77" spans="2:7">
      <c r="B77" s="1215">
        <v>74</v>
      </c>
      <c r="C77" s="1215" t="s">
        <v>647</v>
      </c>
      <c r="D77" t="s">
        <v>647</v>
      </c>
      <c r="F77" s="1328" t="str">
        <f>IF(LEN(C77)&gt;0,VLOOKUP(C77,DG!A:C,3,0),"")</f>
        <v>Móng M12bb</v>
      </c>
      <c r="G77" s="1215"/>
    </row>
    <row r="78" spans="2:7">
      <c r="B78" s="1215">
        <v>75</v>
      </c>
      <c r="C78" s="1215" t="s">
        <v>646</v>
      </c>
      <c r="D78" t="s">
        <v>646</v>
      </c>
      <c r="F78" s="1328" t="str">
        <f>IF(LEN(C78)&gt;0,VLOOKUP(C78,DG!A:C,3,0),"")</f>
        <v>Móng M12-2a</v>
      </c>
      <c r="G78" s="1215"/>
    </row>
    <row r="79" spans="2:7">
      <c r="B79" s="1215">
        <v>76</v>
      </c>
      <c r="C79" s="1215" t="s">
        <v>1901</v>
      </c>
      <c r="D79" t="s">
        <v>1901</v>
      </c>
      <c r="F79" s="1328" t="str">
        <f>IF(LEN(C79)&gt;0,VLOOKUP(C79,DG!A:C,3,0),"")</f>
        <v>Móng M12-2b</v>
      </c>
      <c r="G79" s="1215"/>
    </row>
    <row r="80" spans="2:7">
      <c r="B80" s="1215">
        <v>77</v>
      </c>
      <c r="C80" s="1215" t="s">
        <v>511</v>
      </c>
      <c r="D80" t="s">
        <v>511</v>
      </c>
      <c r="F80" s="1328" t="str">
        <f>IF(LEN(C80)&gt;0,VLOOKUP(C80,DG!A:C,3,0),"")</f>
        <v>Móng M12-2bn</v>
      </c>
      <c r="G80" s="1215"/>
    </row>
    <row r="81" spans="2:7">
      <c r="B81" s="1215">
        <v>78</v>
      </c>
      <c r="C81" s="1215" t="s">
        <v>2180</v>
      </c>
      <c r="D81" t="s">
        <v>2180</v>
      </c>
      <c r="F81" s="1328" t="str">
        <f>IF(LEN(C81)&gt;0,VLOOKUP(C81,DG!A:C,3,0),"")</f>
        <v>Móng M12b-aa(hh)</v>
      </c>
      <c r="G81" s="1215"/>
    </row>
    <row r="82" spans="2:7">
      <c r="B82" s="1215">
        <v>79</v>
      </c>
      <c r="C82" s="1215" t="s">
        <v>744</v>
      </c>
      <c r="D82" t="s">
        <v>744</v>
      </c>
      <c r="F82" s="1328" t="str">
        <f>IF(LEN(C82)&gt;0,VLOOKUP(C82,DG!A:C,3,0),"")</f>
        <v>Móng chống ngập nước</v>
      </c>
      <c r="G82" s="1215"/>
    </row>
    <row r="83" spans="2:7">
      <c r="B83" s="1215">
        <v>80</v>
      </c>
      <c r="C83" s="1215" t="s">
        <v>2304</v>
      </c>
      <c r="D83" t="s">
        <v>2304</v>
      </c>
      <c r="F83" s="1328" t="str">
        <f>IF(LEN(C83)&gt;0,VLOOKUP(C83,DG!A:C,3,0),"")</f>
        <v>Móng M12 phá đá</v>
      </c>
      <c r="G83" s="1215"/>
    </row>
    <row r="84" spans="2:7">
      <c r="B84" s="1215">
        <v>81</v>
      </c>
      <c r="C84" s="1215" t="s">
        <v>2305</v>
      </c>
      <c r="D84" t="s">
        <v>2305</v>
      </c>
      <c r="F84" s="1328" t="str">
        <f>IF(LEN(C84)&gt;0,VLOOKUP(C84,DG!A:C,3,0),"")</f>
        <v>Móng bê tông trụ đơn 12m</v>
      </c>
      <c r="G84" s="1215"/>
    </row>
    <row r="85" spans="2:7">
      <c r="B85" s="1215">
        <v>82</v>
      </c>
      <c r="C85" s="1215" t="s">
        <v>2264</v>
      </c>
      <c r="D85" t="s">
        <v>2264</v>
      </c>
      <c r="F85" s="1328" t="str">
        <f>IF(LEN(C85)&gt;0,VLOOKUP(C85,DG!A:C,3,0),"")</f>
        <v>Móng bê tông trụ đôi 12m tim 500</v>
      </c>
      <c r="G85" s="1215"/>
    </row>
    <row r="86" spans="2:7">
      <c r="B86" s="1215">
        <v>83</v>
      </c>
      <c r="C86" s="1215" t="s">
        <v>780</v>
      </c>
      <c r="D86" t="s">
        <v>780</v>
      </c>
      <c r="F86" s="1328" t="str">
        <f>IF(LEN(C86)&gt;0,VLOOKUP(C86,DG!A:C,3,0),"")</f>
        <v>Móng M14</v>
      </c>
      <c r="G86" s="1215"/>
    </row>
    <row r="87" spans="2:7">
      <c r="B87" s="1215">
        <v>84</v>
      </c>
      <c r="C87" s="1215" t="s">
        <v>648</v>
      </c>
      <c r="D87" t="s">
        <v>648</v>
      </c>
      <c r="F87" s="1328" t="str">
        <f>IF(LEN(C87)&gt;0,VLOOKUP(C87,DG!A:C,3,0),"")</f>
        <v>Móng M14a</v>
      </c>
      <c r="G87" s="1215"/>
    </row>
    <row r="88" spans="2:7">
      <c r="B88" s="1215">
        <v>85</v>
      </c>
      <c r="C88" s="1215" t="s">
        <v>750</v>
      </c>
      <c r="D88" t="s">
        <v>750</v>
      </c>
      <c r="F88" s="1328" t="str">
        <f>IF(LEN(C88)&gt;0,VLOOKUP(C88,DG!A:C,3,0),"")</f>
        <v>Móng M14b</v>
      </c>
      <c r="G88" s="1215"/>
    </row>
    <row r="89" spans="2:7">
      <c r="B89" s="1215">
        <v>86</v>
      </c>
      <c r="C89" s="1215" t="s">
        <v>649</v>
      </c>
      <c r="D89" t="s">
        <v>649</v>
      </c>
      <c r="F89" s="1328" t="str">
        <f>IF(LEN(C89)&gt;0,VLOOKUP(C89,DG!A:C,3,0),"")</f>
        <v>Móng M14aa</v>
      </c>
      <c r="G89" s="1215"/>
    </row>
    <row r="90" spans="2:7">
      <c r="B90" s="1215">
        <v>87</v>
      </c>
      <c r="C90" s="1215" t="s">
        <v>483</v>
      </c>
      <c r="D90" t="s">
        <v>483</v>
      </c>
      <c r="F90" s="1328" t="str">
        <f>IF(LEN(C90)&gt;0,VLOOKUP(C90,DG!A:C,3,0),"")</f>
        <v>Móng M14ba</v>
      </c>
      <c r="G90" s="1215"/>
    </row>
    <row r="91" spans="2:7">
      <c r="B91" s="1215">
        <v>88</v>
      </c>
      <c r="C91" s="1215" t="s">
        <v>484</v>
      </c>
      <c r="D91" t="s">
        <v>484</v>
      </c>
      <c r="F91" s="1328" t="str">
        <f>IF(LEN(C91)&gt;0,VLOOKUP(C91,DG!A:C,3,0),"")</f>
        <v>Móng M14bb</v>
      </c>
      <c r="G91" s="1215"/>
    </row>
    <row r="92" spans="2:7">
      <c r="B92" s="1215">
        <v>89</v>
      </c>
      <c r="C92" s="1215" t="s">
        <v>650</v>
      </c>
      <c r="D92" s="1215" t="s">
        <v>650</v>
      </c>
      <c r="F92" s="1328" t="str">
        <f>IF(LEN(C92)&gt;0,VLOOKUP(C92,DG!A:C,3,0),"")</f>
        <v>Móng M14-2a</v>
      </c>
      <c r="G92" s="1215"/>
    </row>
    <row r="93" spans="2:7">
      <c r="B93" s="1215">
        <v>90</v>
      </c>
      <c r="C93" s="1215" t="s">
        <v>1642</v>
      </c>
      <c r="D93" s="1215" t="s">
        <v>1642</v>
      </c>
      <c r="F93" s="1328" t="str">
        <f>IF(LEN(C93)&gt;0,VLOOKUP(C93,DG!A:C,3,0),"")</f>
        <v>Móng M14-2b</v>
      </c>
      <c r="G93" s="1215"/>
    </row>
    <row r="94" spans="2:7">
      <c r="B94" s="1215">
        <v>91</v>
      </c>
      <c r="C94" s="1215" t="s">
        <v>285</v>
      </c>
      <c r="D94" s="1215" t="s">
        <v>285</v>
      </c>
      <c r="F94" s="1328" t="str">
        <f>IF(LEN(C94)&gt;0,VLOOKUP(C94,DG!A:C,3,0),"")</f>
        <v>Móng M14-2bn</v>
      </c>
      <c r="G94" s="1215"/>
    </row>
    <row r="95" spans="2:7">
      <c r="B95" s="1215">
        <v>92</v>
      </c>
      <c r="C95" s="1215" t="s">
        <v>987</v>
      </c>
      <c r="D95" s="1215" t="s">
        <v>987</v>
      </c>
      <c r="F95" s="1328" t="str">
        <f>IF(LEN(C95)&gt;0,VLOOKUP(C95,DG!A:C,3,0),"")</f>
        <v>Móng M14-4b</v>
      </c>
      <c r="G95" s="1215"/>
    </row>
    <row r="96" spans="2:7">
      <c r="B96" s="1215">
        <v>93</v>
      </c>
      <c r="C96" s="1215" t="s">
        <v>312</v>
      </c>
      <c r="D96" s="1215" t="s">
        <v>312</v>
      </c>
      <c r="F96" s="1328" t="str">
        <f>IF(LEN(C96)&gt;0,VLOOKUP(C96,DG!A:C,3,0),"")</f>
        <v>Móng BTCL-14-500</v>
      </c>
      <c r="G96" s="1215"/>
    </row>
    <row r="97" spans="2:7">
      <c r="B97" s="1215">
        <v>94</v>
      </c>
      <c r="C97" s="1215" t="s">
        <v>891</v>
      </c>
      <c r="D97" s="1215" t="s">
        <v>891</v>
      </c>
      <c r="F97" s="1328" t="str">
        <f>IF(LEN(C97)&gt;0,VLOOKUP(C97,DG!A:C,3,0),"")</f>
        <v>Móng M20-4b</v>
      </c>
      <c r="G97" s="1215"/>
    </row>
    <row r="98" spans="2:7">
      <c r="B98" s="1215">
        <v>95</v>
      </c>
      <c r="C98" s="1215" t="s">
        <v>835</v>
      </c>
      <c r="D98" s="1215" t="s">
        <v>835</v>
      </c>
      <c r="F98" s="1328" t="str">
        <f>IF(LEN(C98)&gt;0,VLOOKUP(C98,DG!A:C,3,0),"")</f>
        <v>Bộ chằng xuống đơn cho trụ 10,5m: CX10-B</v>
      </c>
      <c r="G98" s="1215"/>
    </row>
    <row r="99" spans="2:7">
      <c r="B99" s="1215">
        <v>96</v>
      </c>
      <c r="C99" s="1215" t="s">
        <v>836</v>
      </c>
      <c r="D99" s="1215" t="s">
        <v>836</v>
      </c>
      <c r="F99" s="1328" t="str">
        <f>IF(LEN(C99)&gt;0,VLOOKUP(C99,DG!A:C,3,0),"")</f>
        <v>Bộ chằng lệch đơn cho trụ 10,5m: CL10-B</v>
      </c>
      <c r="G99" s="1215"/>
    </row>
    <row r="100" spans="2:7" s="1215" customFormat="1">
      <c r="B100" s="1215">
        <v>97</v>
      </c>
      <c r="C100" s="1215" t="s">
        <v>837</v>
      </c>
      <c r="D100" s="1215" t="s">
        <v>837</v>
      </c>
      <c r="F100" s="1328" t="str">
        <f>IF(LEN(C100)&gt;0,VLOOKUP(C100,DG!A:C,3,0),"")</f>
        <v>Bộ chằng xuống kép cho trụ 10,5m: CXX10-B</v>
      </c>
    </row>
    <row r="101" spans="2:7">
      <c r="B101" s="1215">
        <v>98</v>
      </c>
      <c r="C101" s="1215" t="s">
        <v>663</v>
      </c>
      <c r="D101" t="s">
        <v>663</v>
      </c>
      <c r="F101" s="1328" t="str">
        <f>IF(LEN(C101)&gt;0,VLOOKUP(C101,DG!A:C,3,0),"")</f>
        <v>Bộ chằng xuống đơn cho trụ 12m: CX12-B</v>
      </c>
      <c r="G101" s="1215"/>
    </row>
    <row r="102" spans="2:7">
      <c r="B102" s="1215">
        <v>99</v>
      </c>
      <c r="C102" s="1215" t="s">
        <v>664</v>
      </c>
      <c r="D102" t="s">
        <v>664</v>
      </c>
      <c r="F102" s="1328" t="str">
        <f>IF(LEN(C102)&gt;0,VLOOKUP(C102,DG!A:C,3,0),"")</f>
        <v>Bộ chằng lệch đơn cho trụ 12m: CL12-B</v>
      </c>
      <c r="G102" s="1215"/>
    </row>
    <row r="103" spans="2:7">
      <c r="B103" s="1215">
        <v>100</v>
      </c>
      <c r="C103" s="1215" t="s">
        <v>665</v>
      </c>
      <c r="D103" t="s">
        <v>665</v>
      </c>
      <c r="F103" s="1328" t="str">
        <f>IF(LEN(C103)&gt;0,VLOOKUP(C103,DG!A:C,3,0),"")</f>
        <v>Bộ chằng xuống kép cho trụ 12m: CXX12-B</v>
      </c>
      <c r="G103" s="1215"/>
    </row>
    <row r="104" spans="2:7">
      <c r="B104" s="1215">
        <v>101</v>
      </c>
      <c r="C104" s="1215" t="s">
        <v>666</v>
      </c>
      <c r="D104" t="s">
        <v>666</v>
      </c>
      <c r="F104" s="1328" t="str">
        <f>IF(LEN(C104)&gt;0,VLOOKUP(C104,DG!A:C,3,0),"")</f>
        <v>Bộ chằng xuống đơn cho trụ 14m: CX14-B</v>
      </c>
      <c r="G104" s="1215"/>
    </row>
    <row r="105" spans="2:7">
      <c r="B105" s="1215">
        <v>102</v>
      </c>
      <c r="C105" s="1215" t="s">
        <v>912</v>
      </c>
      <c r="D105" t="s">
        <v>912</v>
      </c>
      <c r="F105" s="1328" t="str">
        <f>IF(LEN(C105)&gt;0,VLOOKUP(C105,DG!A:C,3,0),"")</f>
        <v>Bộ chằng lệch đơn cho trụ 14m: CL14-B</v>
      </c>
      <c r="G105" s="1215"/>
    </row>
    <row r="106" spans="2:7">
      <c r="B106" s="1215">
        <v>103</v>
      </c>
      <c r="C106" s="1215" t="s">
        <v>913</v>
      </c>
      <c r="D106" t="s">
        <v>913</v>
      </c>
      <c r="F106" s="1328" t="str">
        <f>IF(LEN(C106)&gt;0,VLOOKUP(C106,DG!A:C,3,0),"")</f>
        <v>Bộ chằng xuống kép cho trụ 14m: CXX14-B</v>
      </c>
      <c r="G106" s="1215"/>
    </row>
    <row r="107" spans="2:7">
      <c r="B107" s="1215">
        <v>104</v>
      </c>
      <c r="C107" s="1215" t="s">
        <v>4394</v>
      </c>
      <c r="D107" t="s">
        <v>1274</v>
      </c>
      <c r="F107" s="1328" t="str">
        <f>IF(LEN(C107)&gt;0,VLOOKUP(C107,DG!A:C,3,0),"")</f>
        <v/>
      </c>
      <c r="G107" s="1215"/>
    </row>
    <row r="108" spans="2:7">
      <c r="B108" s="1215">
        <v>105</v>
      </c>
      <c r="C108" s="1215" t="s">
        <v>749</v>
      </c>
      <c r="D108" t="s">
        <v>749</v>
      </c>
      <c r="F108" s="1328" t="str">
        <f>IF(LEN(C108)&gt;0,VLOOKUP(C108,DG!A:C,3,0),"")</f>
        <v>Bộ chằng vượt đơn: CK-B</v>
      </c>
      <c r="G108" s="1215"/>
    </row>
    <row r="109" spans="2:7">
      <c r="B109" s="1215">
        <v>106</v>
      </c>
      <c r="C109" s="1215" t="s">
        <v>748</v>
      </c>
      <c r="D109" t="s">
        <v>748</v>
      </c>
      <c r="F109" s="1328" t="str">
        <f>IF(LEN(C109)&gt;0,VLOOKUP(C109,DG!A:C,3,0),"")</f>
        <v>Bộ chằng vượt kép: CKK-B</v>
      </c>
      <c r="G109" s="1215"/>
    </row>
    <row r="110" spans="2:7" ht="19.2" customHeight="1">
      <c r="B110" s="1215">
        <v>107</v>
      </c>
      <c r="C110" s="1215" t="s">
        <v>4394</v>
      </c>
      <c r="D110" t="s">
        <v>3860</v>
      </c>
      <c r="F110" s="1328" t="str">
        <f>IF(LEN(C110)&gt;0,VLOOKUP(C110,DG!A:C,3,0),"")</f>
        <v/>
      </c>
      <c r="G110" s="1215"/>
    </row>
    <row r="111" spans="2:7">
      <c r="B111" s="1215">
        <v>108</v>
      </c>
      <c r="C111" s="1215" t="s">
        <v>1492</v>
      </c>
      <c r="D111" t="s">
        <v>1492</v>
      </c>
      <c r="F111" s="1328" t="str">
        <f>IF(LEN(C111)&gt;0,VLOOKUP(C111,DG!A:C,3,0),"")</f>
        <v>Bộ móng neo xòe cho chằng xuống: NXX</v>
      </c>
      <c r="G111" s="1215"/>
    </row>
    <row r="112" spans="2:7">
      <c r="B112" s="1215">
        <v>109</v>
      </c>
      <c r="C112" s="1215" t="s">
        <v>1493</v>
      </c>
      <c r="D112" t="s">
        <v>1493</v>
      </c>
      <c r="F112" s="1328" t="str">
        <f>IF(LEN(C112)&gt;0,VLOOKUP(C112,DG!A:C,3,0),"")</f>
        <v>Bộ móng neo xòe cho chằng lệch: NXL</v>
      </c>
      <c r="G112" s="1215"/>
    </row>
    <row r="113" spans="2:7">
      <c r="B113" s="1215">
        <v>110</v>
      </c>
      <c r="C113" s="1215" t="s">
        <v>1572</v>
      </c>
      <c r="D113" t="s">
        <v>1572</v>
      </c>
      <c r="F113" s="1328" t="str">
        <f>IF(LEN(C113)&gt;0,VLOOKUP(C113,DG!A:C,3,0),"")</f>
        <v>Bộ móng neo 1200x200 cho chằng xuống: MNX12-2</v>
      </c>
      <c r="G113" s="1215"/>
    </row>
    <row r="114" spans="2:7">
      <c r="B114" s="1215">
        <v>111</v>
      </c>
      <c r="C114" s="1215" t="s">
        <v>1091</v>
      </c>
      <c r="D114" t="s">
        <v>1091</v>
      </c>
      <c r="F114" s="1328" t="str">
        <f>IF(LEN(C114)&gt;0,VLOOKUP(C114,DG!A:C,3,0),"")</f>
        <v>Bộ móng neo 1200x200 cho chằng lệch: MNL12-2</v>
      </c>
      <c r="G114" s="1215"/>
    </row>
    <row r="115" spans="2:7">
      <c r="B115" s="1215">
        <v>112</v>
      </c>
      <c r="C115" s="1215" t="s">
        <v>2146</v>
      </c>
      <c r="D115" t="s">
        <v>2146</v>
      </c>
      <c r="F115" s="1328" t="str">
        <f>IF(LEN(C115)&gt;0,VLOOKUP(C115,DG!A:C,3,0),"")</f>
        <v>Bộ móng neo 1200x400 cho chằng xuống: MNX12-4</v>
      </c>
      <c r="G115" s="1215"/>
    </row>
    <row r="116" spans="2:7">
      <c r="B116" s="1215">
        <v>113</v>
      </c>
      <c r="C116" s="1215" t="s">
        <v>1092</v>
      </c>
      <c r="D116" s="1215" t="s">
        <v>1092</v>
      </c>
      <c r="F116" s="1328" t="str">
        <f>IF(LEN(C116)&gt;0,VLOOKUP(C116,DG!A:C,3,0),"")</f>
        <v>Bộ móng neo 1200x400 cho chằng lệch: MNL12-4</v>
      </c>
      <c r="G116" s="1215"/>
    </row>
    <row r="117" spans="2:7">
      <c r="B117" s="1215">
        <v>114</v>
      </c>
      <c r="C117" s="1215" t="s">
        <v>2147</v>
      </c>
      <c r="D117" s="1215" t="s">
        <v>2147</v>
      </c>
      <c r="F117" s="1328" t="str">
        <f>IF(LEN(C117)&gt;0,VLOOKUP(C117,DG!A:C,3,0),"")</f>
        <v>Bộ móng neo 1500x400 cho chằng xuống: MNX15-4</v>
      </c>
      <c r="G117" s="1215"/>
    </row>
    <row r="118" spans="2:7">
      <c r="B118" s="1215">
        <v>115</v>
      </c>
      <c r="C118" s="1215" t="s">
        <v>1093</v>
      </c>
      <c r="D118" s="1215" t="s">
        <v>1093</v>
      </c>
      <c r="F118" s="1328" t="str">
        <f>IF(LEN(C118)&gt;0,VLOOKUP(C118,DG!A:C,3,0),"")</f>
        <v>Bộ móng neo 1500x400 cho chằng lệch: MNL15-4</v>
      </c>
      <c r="G118" s="1215"/>
    </row>
    <row r="119" spans="2:7" s="1215" customFormat="1">
      <c r="B119" s="1215">
        <v>116</v>
      </c>
      <c r="C119" s="1215" t="s">
        <v>2045</v>
      </c>
      <c r="D119" s="1215" t="s">
        <v>2045</v>
      </c>
      <c r="F119" s="1328" t="str">
        <f>IF(LEN(C119)&gt;0,VLOOKUP(C119,DG!A:C,3,0),"")</f>
        <v>Bộ móng neo 1500x600 cho chằng xuống: MNX15-6</v>
      </c>
    </row>
    <row r="120" spans="2:7">
      <c r="B120" s="1215">
        <v>117</v>
      </c>
      <c r="C120" s="1215" t="s">
        <v>1094</v>
      </c>
      <c r="D120" s="1215" t="s">
        <v>1094</v>
      </c>
      <c r="F120" s="1328" t="str">
        <f>IF(LEN(C120)&gt;0,VLOOKUP(C120,DG!A:C,3,0),"")</f>
        <v>Bộ móng neo 1500x600 cho chằng lệch: MNL15-6</v>
      </c>
      <c r="G120" s="1215"/>
    </row>
    <row r="121" spans="2:7">
      <c r="B121" s="1215">
        <v>118</v>
      </c>
      <c r="C121" s="1215" t="s">
        <v>4394</v>
      </c>
      <c r="D121" s="1215" t="s">
        <v>2046</v>
      </c>
      <c r="F121" s="1328" t="str">
        <f>IF(LEN(C121)&gt;0,VLOOKUP(C121,DG!A:C,3,0),"")</f>
        <v/>
      </c>
      <c r="G121" s="1215"/>
    </row>
    <row r="122" spans="2:7">
      <c r="B122" s="1215">
        <v>119</v>
      </c>
      <c r="C122" s="1215" t="s">
        <v>4394</v>
      </c>
      <c r="D122" s="1215" t="s">
        <v>892</v>
      </c>
      <c r="F122" s="1328" t="str">
        <f>IF(LEN(C122)&gt;0,VLOOKUP(C122,DG!A:C,3,0),"")</f>
        <v/>
      </c>
      <c r="G122" s="1215"/>
    </row>
    <row r="123" spans="2:7">
      <c r="B123" s="1215">
        <v>120</v>
      </c>
      <c r="C123" s="1215" t="s">
        <v>2142</v>
      </c>
      <c r="D123" s="1215" t="s">
        <v>2390</v>
      </c>
      <c r="F123" s="1328" t="str">
        <f>IF(LEN(C123)&gt;0,VLOOKUP(C123,DG!A:C,3,0),"")</f>
        <v>Tiếp địa lặp lại (trụ 10.5m)</v>
      </c>
      <c r="G123" s="1215"/>
    </row>
    <row r="124" spans="2:7">
      <c r="B124" s="1215">
        <v>121</v>
      </c>
      <c r="C124" s="1215" t="s">
        <v>1637</v>
      </c>
      <c r="D124" s="1215" t="s">
        <v>2391</v>
      </c>
      <c r="F124" s="1328" t="str">
        <f>IF(LEN(C124)&gt;0,VLOOKUP(C124,DG!A:C,3,0),"")</f>
        <v>Tiếp địa lặp lại (trụ 12m)</v>
      </c>
      <c r="G124" s="1215"/>
    </row>
    <row r="125" spans="2:7">
      <c r="B125" s="1215">
        <v>122</v>
      </c>
      <c r="C125" s="1215" t="s">
        <v>547</v>
      </c>
      <c r="D125" s="1215" t="s">
        <v>2396</v>
      </c>
      <c r="F125" s="1328" t="str">
        <f>IF(LEN(C125)&gt;0,VLOOKUP(C125,DG!A:C,3,0),"")</f>
        <v>Tiếp địa mái tole</v>
      </c>
      <c r="G125" s="1215"/>
    </row>
    <row r="126" spans="2:7">
      <c r="B126" s="1215">
        <v>123</v>
      </c>
      <c r="C126" s="1215" t="s">
        <v>1054</v>
      </c>
      <c r="D126" s="1215" t="s">
        <v>2397</v>
      </c>
      <c r="F126" s="1328" t="str">
        <f>IF(LEN(C126)&gt;0,VLOOKUP(C126,DG!A:C,3,0),"")</f>
        <v>Tiếp địa trụ đo đếm</v>
      </c>
      <c r="G126" s="1215"/>
    </row>
    <row r="127" spans="2:7">
      <c r="B127" s="1215">
        <v>124</v>
      </c>
      <c r="C127" s="1215" t="s">
        <v>1638</v>
      </c>
      <c r="D127" s="1215" t="s">
        <v>2394</v>
      </c>
      <c r="F127" s="1328" t="str">
        <f>IF(LEN(C127)&gt;0,VLOOKUP(C127,DG!A:C,3,0),"")</f>
        <v>Tiếp địa lặp lại (trụ 14m)</v>
      </c>
      <c r="G127" s="1215"/>
    </row>
    <row r="128" spans="2:7">
      <c r="B128" s="1215">
        <v>125</v>
      </c>
      <c r="C128" s="1215" t="s">
        <v>1984</v>
      </c>
      <c r="D128" s="1215" t="s">
        <v>2395</v>
      </c>
      <c r="F128" s="1328" t="str">
        <f>IF(LEN(C128)&gt;0,VLOOKUP(C128,DG!A:C,3,0),"")</f>
        <v>Tiếp địa lặp lại (trụ 20m)</v>
      </c>
      <c r="G128" s="1215"/>
    </row>
    <row r="129" spans="2:7">
      <c r="B129" s="1215">
        <v>126</v>
      </c>
      <c r="C129" s="1215" t="s">
        <v>2291</v>
      </c>
      <c r="D129" s="1215" t="s">
        <v>2291</v>
      </c>
      <c r="F129" s="1328" t="str">
        <f>IF(LEN(C129)&gt;0,VLOOKUP(C129,DG!A:C,3,0),"")</f>
        <v>Bộ xà đơn L75x75x8 dài 2m:  X-20Đ</v>
      </c>
      <c r="G129" s="1215"/>
    </row>
    <row r="130" spans="2:7">
      <c r="B130" s="1215">
        <v>127</v>
      </c>
      <c r="C130" s="1215" t="s">
        <v>2294</v>
      </c>
      <c r="D130" s="1215" t="s">
        <v>2294</v>
      </c>
      <c r="F130" s="1328" t="str">
        <f>IF(LEN(C130)&gt;0,VLOOKUP(C130,DG!A:C,3,0),"")</f>
        <v>Bộ xà đơn L75x75x8 dài 2.2m: X-22Đ - C810</v>
      </c>
      <c r="G130" s="1215"/>
    </row>
    <row r="131" spans="2:7">
      <c r="B131" s="1215">
        <v>128</v>
      </c>
      <c r="C131" s="1215" t="s">
        <v>4811</v>
      </c>
      <c r="D131" s="1215" t="s">
        <v>4811</v>
      </c>
      <c r="F131" s="1328" t="str">
        <f>IF(LEN(C131)&gt;0,VLOOKUP(C131,DG!A:C,3,0),"")</f>
        <v>Bộ xà kép L75x75x8 dài 2.2m: X-22K-Đ-C920 lắp trụ đơn</v>
      </c>
      <c r="G131" s="1215"/>
    </row>
    <row r="132" spans="2:7" s="1215" customFormat="1">
      <c r="B132" s="1215">
        <v>129</v>
      </c>
      <c r="C132" s="1215" t="s">
        <v>4812</v>
      </c>
      <c r="D132" s="1215" t="s">
        <v>4812</v>
      </c>
      <c r="F132" s="1328" t="str">
        <f>IF(LEN(C132)&gt;0,VLOOKUP(C132,DG!A:C,3,0),"")</f>
        <v>Bộ xà kép L75x75x8 dài 2.2m: X-22K-Đ-C920 lắp trụ ghép</v>
      </c>
    </row>
    <row r="133" spans="2:7" s="1215" customFormat="1">
      <c r="B133" s="1215">
        <v>130</v>
      </c>
      <c r="C133" s="1215" t="s">
        <v>1291</v>
      </c>
      <c r="D133" s="1215" t="s">
        <v>1291</v>
      </c>
      <c r="F133" s="1328" t="str">
        <f>IF(LEN(C133)&gt;0,VLOOKUP(C133,DG!A:C,3,0),"")</f>
        <v>Bộ xà kép L75x75x8 dài 1,66m:  X-1,66K</v>
      </c>
    </row>
    <row r="134" spans="2:7" s="1215" customFormat="1">
      <c r="B134" s="1215">
        <v>131</v>
      </c>
      <c r="C134" s="1215" t="s">
        <v>2309</v>
      </c>
      <c r="D134" s="1215" t="s">
        <v>2309</v>
      </c>
      <c r="F134" s="1328" t="str">
        <f>IF(LEN(C134)&gt;0,VLOOKUP(C134,DG!A:C,3,0),"")</f>
        <v>Bộ xà đơn L75x75x8 dài 1,66m:  X-1,66Đ</v>
      </c>
    </row>
    <row r="135" spans="2:7" s="1215" customFormat="1">
      <c r="B135" s="1215">
        <v>132</v>
      </c>
      <c r="C135" s="1215" t="s">
        <v>2296</v>
      </c>
      <c r="D135" s="1215" t="s">
        <v>2296</v>
      </c>
      <c r="F135" s="1328" t="str">
        <f>IF(LEN(C135)&gt;0,VLOOKUP(C135,DG!A:C,3,0),"")</f>
        <v xml:space="preserve">Bộ xà đơn L75x75x8 dài 2.4m: X-24Đ </v>
      </c>
    </row>
    <row r="136" spans="2:7" s="1215" customFormat="1">
      <c r="B136" s="1215">
        <v>133</v>
      </c>
      <c r="C136" s="1215" t="s">
        <v>910</v>
      </c>
      <c r="D136" s="1215" t="s">
        <v>910</v>
      </c>
      <c r="F136" s="1328" t="str">
        <f>IF(LEN(C136)&gt;0,VLOOKUP(C136,DG!A:C,3,0),"")</f>
        <v xml:space="preserve">Bộ xà kép L75x75x8 dài 2.4m: X-24K </v>
      </c>
    </row>
    <row r="137" spans="2:7" s="1215" customFormat="1">
      <c r="B137" s="1215">
        <v>134</v>
      </c>
      <c r="C137" s="1215" t="s">
        <v>4394</v>
      </c>
      <c r="D137" s="1215" t="s">
        <v>894</v>
      </c>
      <c r="F137" s="1328" t="str">
        <f>IF(LEN(C137)&gt;0,VLOOKUP(C137,DG!A:C,3,0),"")</f>
        <v/>
      </c>
    </row>
    <row r="138" spans="2:7" s="1215" customFormat="1">
      <c r="B138" s="1215">
        <v>135</v>
      </c>
      <c r="C138" s="1215" t="s">
        <v>4394</v>
      </c>
      <c r="D138" s="1215" t="s">
        <v>3883</v>
      </c>
      <c r="F138" s="1328" t="str">
        <f>IF(LEN(C138)&gt;0,VLOOKUP(C138,DG!A:C,3,0),"")</f>
        <v/>
      </c>
    </row>
    <row r="139" spans="2:7" s="1215" customFormat="1">
      <c r="B139" s="1215">
        <v>136</v>
      </c>
      <c r="C139" s="1215" t="s">
        <v>4394</v>
      </c>
      <c r="D139" s="1215" t="s">
        <v>3884</v>
      </c>
      <c r="F139" s="1328" t="str">
        <f>IF(LEN(C139)&gt;0,VLOOKUP(C139,DG!A:C,3,0),"")</f>
        <v/>
      </c>
    </row>
    <row r="140" spans="2:7" s="1215" customFormat="1">
      <c r="B140" s="1215">
        <v>137</v>
      </c>
      <c r="C140" s="1215" t="s">
        <v>4394</v>
      </c>
      <c r="D140" s="1215" t="s">
        <v>4074</v>
      </c>
      <c r="F140" s="1328" t="str">
        <f>IF(LEN(C140)&gt;0,VLOOKUP(C140,DG!A:C,3,0),"")</f>
        <v/>
      </c>
    </row>
    <row r="141" spans="2:7" s="1215" customFormat="1">
      <c r="B141" s="1215">
        <v>138</v>
      </c>
      <c r="C141" s="1215" t="s">
        <v>4394</v>
      </c>
      <c r="D141" s="1215" t="s">
        <v>3581</v>
      </c>
      <c r="F141" s="1328" t="str">
        <f>IF(LEN(C141)&gt;0,VLOOKUP(C141,DG!A:C,3,0),"")</f>
        <v/>
      </c>
    </row>
    <row r="142" spans="2:7" s="1215" customFormat="1">
      <c r="B142" s="1215">
        <v>139</v>
      </c>
      <c r="C142" s="1215" t="s">
        <v>4394</v>
      </c>
      <c r="D142" s="1215" t="s">
        <v>4075</v>
      </c>
      <c r="F142" s="1328" t="str">
        <f>IF(LEN(C142)&gt;0,VLOOKUP(C142,DG!A:C,3,0),"")</f>
        <v/>
      </c>
    </row>
    <row r="143" spans="2:7" s="1215" customFormat="1">
      <c r="B143" s="1215">
        <v>140</v>
      </c>
      <c r="C143" s="1215" t="s">
        <v>4394</v>
      </c>
      <c r="D143" s="1215" t="s">
        <v>3787</v>
      </c>
      <c r="F143" s="1328" t="str">
        <f>IF(LEN(C143)&gt;0,VLOOKUP(C143,DG!A:C,3,0),"")</f>
        <v/>
      </c>
    </row>
    <row r="144" spans="2:7" s="1215" customFormat="1">
      <c r="B144" s="1215">
        <v>141</v>
      </c>
      <c r="C144" s="1215" t="s">
        <v>1621</v>
      </c>
      <c r="D144" s="1215" t="s">
        <v>3788</v>
      </c>
      <c r="F144" s="1328" t="str">
        <f>IF(LEN(C144)&gt;0,VLOOKUP(C144,DG!A:C,3,0),"")</f>
        <v>Bộ Uclevis néo dây trung hòa vào trụ: Nth-U</v>
      </c>
    </row>
    <row r="145" spans="2:7" s="1215" customFormat="1">
      <c r="B145" s="1215">
        <v>142</v>
      </c>
      <c r="C145" s="1215" t="s">
        <v>2160</v>
      </c>
      <c r="D145" s="1215" t="s">
        <v>6421</v>
      </c>
      <c r="F145" s="1328" t="str">
        <f>IF(LEN(C145)&gt;0,VLOOKUP(C145,DG!A:C,3,0),"")</f>
        <v>Bộ khóa néo dây trung hòa vào xà</v>
      </c>
    </row>
    <row r="146" spans="2:7">
      <c r="B146" s="1215">
        <v>143</v>
      </c>
      <c r="C146" s="1215" t="s">
        <v>4394</v>
      </c>
      <c r="D146" s="1215" t="s">
        <v>4532</v>
      </c>
      <c r="F146" s="1328" t="str">
        <f>IF(LEN(C146)&gt;0,VLOOKUP(C146,DG!A:C,3,0),"")</f>
        <v/>
      </c>
      <c r="G146" s="1215"/>
    </row>
    <row r="147" spans="2:7">
      <c r="B147" s="1215">
        <v>145</v>
      </c>
      <c r="C147" s="1215" t="s">
        <v>6509</v>
      </c>
      <c r="D147" s="1215" t="s">
        <v>6515</v>
      </c>
      <c r="F147" s="1328" t="str">
        <f>IF(LEN(C147)&gt;0,VLOOKUP(C147,DG!A:C,3,0),"")</f>
        <v>Dây buộc đầu sứ cỡ dây 50mm2</v>
      </c>
      <c r="G147" s="1215"/>
    </row>
    <row r="148" spans="2:7">
      <c r="B148" s="1215">
        <v>146</v>
      </c>
      <c r="C148" s="1215" t="s">
        <v>6510</v>
      </c>
      <c r="D148" s="1215" t="s">
        <v>6516</v>
      </c>
      <c r="F148" s="1328" t="str">
        <f>IF(LEN(C148)&gt;0,VLOOKUP(C148,DG!A:C,3,0),"")</f>
        <v>Dây buộc đầu sứ cỡ dây 70mm2</v>
      </c>
      <c r="G148" s="1215"/>
    </row>
    <row r="149" spans="2:7">
      <c r="B149" s="1215">
        <v>147</v>
      </c>
      <c r="C149" s="1215" t="s">
        <v>6512</v>
      </c>
      <c r="D149" s="1215" t="s">
        <v>6518</v>
      </c>
      <c r="F149" s="1328" t="str">
        <f>IF(LEN(C149)&gt;0,VLOOKUP(C149,DG!A:C,3,0),"")</f>
        <v>Dây buộc đầu sứ cỡ dây 120mm2</v>
      </c>
      <c r="G149" s="1215"/>
    </row>
    <row r="150" spans="2:7">
      <c r="B150" s="1215">
        <v>148</v>
      </c>
      <c r="C150" s="1215" t="s">
        <v>6513</v>
      </c>
      <c r="D150" s="1215" t="s">
        <v>6519</v>
      </c>
      <c r="F150" s="1328" t="str">
        <f>IF(LEN(C150)&gt;0,VLOOKUP(C150,DG!A:C,3,0),"")</f>
        <v>Dây buộc đầu sứ cỡ dây 150mm2</v>
      </c>
      <c r="G150" s="1215"/>
    </row>
    <row r="151" spans="2:7">
      <c r="B151" s="1215">
        <v>149</v>
      </c>
      <c r="C151" s="1215" t="s">
        <v>6521</v>
      </c>
      <c r="D151" s="1215" t="s">
        <v>6522</v>
      </c>
      <c r="F151" s="1328" t="e">
        <f>IF(LEN(C151)&gt;0,VLOOKUP(C151,DG!A:C,3,0),"")</f>
        <v>#N/A</v>
      </c>
      <c r="G151" s="1215"/>
    </row>
    <row r="152" spans="2:7">
      <c r="B152" s="1215">
        <v>150</v>
      </c>
      <c r="C152" s="1215" t="s">
        <v>6495</v>
      </c>
      <c r="D152" s="1215" t="s">
        <v>6502</v>
      </c>
      <c r="F152" s="1328" t="str">
        <f>IF(LEN(C152)&gt;0,VLOOKUP(C152,DG!A:C,3,0),"")</f>
        <v>Dây buộc cổ sứ cỡ dây 50mm2</v>
      </c>
      <c r="G152" s="1215"/>
    </row>
    <row r="153" spans="2:7">
      <c r="B153" s="1215">
        <v>151</v>
      </c>
      <c r="C153" s="1215" t="s">
        <v>6496</v>
      </c>
      <c r="D153" s="1215" t="s">
        <v>6503</v>
      </c>
      <c r="F153" s="1328" t="str">
        <f>IF(LEN(C153)&gt;0,VLOOKUP(C153,DG!A:C,3,0),"")</f>
        <v>Dây buộc cổ sứ cỡ dây 70mm2</v>
      </c>
      <c r="G153" s="1215"/>
    </row>
    <row r="154" spans="2:7">
      <c r="B154" s="1215">
        <v>152</v>
      </c>
      <c r="C154" s="1215" t="s">
        <v>6498</v>
      </c>
      <c r="D154" s="1215" t="s">
        <v>6505</v>
      </c>
      <c r="F154" s="1328" t="str">
        <f>IF(LEN(C154)&gt;0,VLOOKUP(C154,DG!A:C,3,0),"")</f>
        <v>Dây buộc cổ sứ cỡ dây 120mm2</v>
      </c>
      <c r="G154" s="1215"/>
    </row>
    <row r="155" spans="2:7">
      <c r="B155" s="1215">
        <v>153</v>
      </c>
      <c r="C155" s="1215" t="s">
        <v>6499</v>
      </c>
      <c r="D155" s="1215" t="s">
        <v>6506</v>
      </c>
      <c r="F155" s="1328" t="str">
        <f>IF(LEN(C155)&gt;0,VLOOKUP(C155,DG!A:C,3,0),"")</f>
        <v>Dây buộc cổ sứ cỡ dây 150mm2</v>
      </c>
      <c r="G155" s="1215"/>
    </row>
    <row r="156" spans="2:7">
      <c r="B156" s="1215">
        <v>154</v>
      </c>
      <c r="C156" s="1215" t="s">
        <v>6501</v>
      </c>
      <c r="D156" s="1215" t="s">
        <v>6508</v>
      </c>
      <c r="F156" s="1328" t="str">
        <f>IF(LEN(C156)&gt;0,VLOOKUP(C156,DG!A:C,3,0),"")</f>
        <v>Dây buộc cổ sứ cỡ dây 240mm2</v>
      </c>
      <c r="G156" s="1215"/>
    </row>
    <row r="157" spans="2:7">
      <c r="B157" s="1215">
        <v>155</v>
      </c>
      <c r="C157" s="1215" t="s">
        <v>1177</v>
      </c>
      <c r="D157" s="1215" t="s">
        <v>4082</v>
      </c>
      <c r="F157" s="1328" t="str">
        <f>IF(LEN(C157)&gt;0,VLOOKUP(C157,DG!A:C,3,0),"")</f>
        <v>Kẹp 2 rãnh cỡ dây 150mm2</v>
      </c>
      <c r="G157" s="1215"/>
    </row>
    <row r="158" spans="2:7">
      <c r="B158" s="1215">
        <v>156</v>
      </c>
      <c r="C158" s="1215" t="s">
        <v>2072</v>
      </c>
      <c r="D158" s="1215" t="s">
        <v>6423</v>
      </c>
      <c r="F158" s="1328" t="str">
        <f>IF(LEN(C158)&gt;0,VLOOKUP(C158,DG!A:C,3,0),"")</f>
        <v>Kẹp 2 rãnh cỡ dây 185mm2</v>
      </c>
      <c r="G158" s="1215"/>
    </row>
    <row r="159" spans="2:7">
      <c r="B159" s="1215">
        <v>157</v>
      </c>
      <c r="C159" s="1215" t="s">
        <v>2071</v>
      </c>
      <c r="D159" s="1215" t="s">
        <v>6523</v>
      </c>
      <c r="F159" s="1328" t="str">
        <f>IF(LEN(C159)&gt;0,VLOOKUP(C159,DG!A:C,3,0),"")</f>
        <v>Kẹp 2 rãnh cỡ dây 240 mm2</v>
      </c>
      <c r="G159" s="1215"/>
    </row>
    <row r="160" spans="2:7">
      <c r="B160" s="1215">
        <v>158</v>
      </c>
      <c r="C160" s="1215" t="s">
        <v>4394</v>
      </c>
      <c r="D160" s="1215" t="s">
        <v>4083</v>
      </c>
      <c r="F160" s="1328" t="str">
        <f>IF(LEN(C160)&gt;0,VLOOKUP(C160,DG!A:C,3,0),"")</f>
        <v/>
      </c>
      <c r="G160" s="1215"/>
    </row>
    <row r="161" spans="2:7">
      <c r="B161" s="1215">
        <v>159</v>
      </c>
      <c r="C161" s="1215" t="s">
        <v>4394</v>
      </c>
      <c r="D161" s="1215" t="s">
        <v>4084</v>
      </c>
      <c r="F161" s="1328" t="str">
        <f>IF(LEN(C161)&gt;0,VLOOKUP(C161,DG!A:C,3,0),"")</f>
        <v/>
      </c>
      <c r="G161" s="1215"/>
    </row>
    <row r="162" spans="2:7">
      <c r="B162" s="1215">
        <v>160</v>
      </c>
      <c r="C162" s="1215" t="s">
        <v>4394</v>
      </c>
      <c r="D162" s="1215" t="s">
        <v>4085</v>
      </c>
      <c r="F162" s="1328" t="str">
        <f>IF(LEN(C162)&gt;0,VLOOKUP(C162,DG!A:C,3,0),"")</f>
        <v/>
      </c>
      <c r="G162" s="1215"/>
    </row>
    <row r="163" spans="2:7">
      <c r="B163" s="1215">
        <v>161</v>
      </c>
      <c r="C163" s="1215" t="s">
        <v>4394</v>
      </c>
      <c r="D163" s="1215" t="s">
        <v>4598</v>
      </c>
      <c r="F163" s="1328" t="str">
        <f>IF(LEN(C163)&gt;0,VLOOKUP(C163,DG!A:C,3,0),"")</f>
        <v/>
      </c>
      <c r="G163" s="1215"/>
    </row>
    <row r="164" spans="2:7">
      <c r="B164" s="1215">
        <v>162</v>
      </c>
      <c r="C164" s="1215" t="s">
        <v>4394</v>
      </c>
      <c r="D164" s="1215" t="s">
        <v>1733</v>
      </c>
      <c r="F164" s="1328" t="str">
        <f>IF(LEN(C164)&gt;0,VLOOKUP(C164,DG!A:C,3,0),"")</f>
        <v/>
      </c>
      <c r="G164" s="1215"/>
    </row>
    <row r="165" spans="2:7" s="1215" customFormat="1">
      <c r="B165" s="1215">
        <v>163</v>
      </c>
      <c r="C165" s="1215" t="s">
        <v>4394</v>
      </c>
      <c r="D165" s="1215" t="s">
        <v>4086</v>
      </c>
      <c r="F165" s="1328" t="str">
        <f>IF(LEN(C165)&gt;0,VLOOKUP(C165,DG!A:C,3,0),"")</f>
        <v/>
      </c>
    </row>
    <row r="166" spans="2:7">
      <c r="B166" s="1215">
        <v>164</v>
      </c>
      <c r="C166" s="1215" t="s">
        <v>4394</v>
      </c>
      <c r="D166" s="1215" t="s">
        <v>3792</v>
      </c>
      <c r="F166" s="1328" t="str">
        <f>IF(LEN(C166)&gt;0,VLOOKUP(C166,DG!A:C,3,0),"")</f>
        <v/>
      </c>
      <c r="G166" s="1215"/>
    </row>
    <row r="167" spans="2:7">
      <c r="B167" s="1215">
        <v>165</v>
      </c>
      <c r="C167" s="1215" t="s">
        <v>4394</v>
      </c>
      <c r="D167" s="1215" t="s">
        <v>3794</v>
      </c>
      <c r="F167" s="1328" t="str">
        <f>IF(LEN(C167)&gt;0,VLOOKUP(C167,DG!A:C,3,0),"")</f>
        <v/>
      </c>
      <c r="G167" s="1215"/>
    </row>
    <row r="168" spans="2:7">
      <c r="B168" s="1215">
        <v>166</v>
      </c>
      <c r="C168" s="1215" t="s">
        <v>4394</v>
      </c>
      <c r="D168" s="1215" t="s">
        <v>3795</v>
      </c>
      <c r="F168" s="1328" t="str">
        <f>IF(LEN(C168)&gt;0,VLOOKUP(C168,DG!A:C,3,0),"")</f>
        <v/>
      </c>
      <c r="G168" s="1215"/>
    </row>
    <row r="169" spans="2:7">
      <c r="B169" s="1215">
        <v>167</v>
      </c>
      <c r="C169" s="1215" t="s">
        <v>4394</v>
      </c>
      <c r="D169" s="1215" t="s">
        <v>4089</v>
      </c>
      <c r="F169" s="1328" t="str">
        <f>IF(LEN(C169)&gt;0,VLOOKUP(C169,DG!A:C,3,0),"")</f>
        <v/>
      </c>
      <c r="G169" s="1215"/>
    </row>
    <row r="170" spans="2:7">
      <c r="B170" s="1215">
        <v>168</v>
      </c>
      <c r="C170" s="1215" t="s">
        <v>4394</v>
      </c>
      <c r="D170" s="1215" t="s">
        <v>4090</v>
      </c>
      <c r="F170" s="1328" t="str">
        <f>IF(LEN(C170)&gt;0,VLOOKUP(C170,DG!A:C,3,0),"")</f>
        <v/>
      </c>
      <c r="G170" s="1215"/>
    </row>
    <row r="171" spans="2:7">
      <c r="B171" s="1215">
        <v>169</v>
      </c>
      <c r="C171" s="1215" t="s">
        <v>4394</v>
      </c>
      <c r="D171" s="1215" t="s">
        <v>6099</v>
      </c>
      <c r="F171" s="1328" t="str">
        <f>IF(LEN(C171)&gt;0,VLOOKUP(C171,DG!A:C,3,0),"")</f>
        <v/>
      </c>
      <c r="G171" s="1215"/>
    </row>
    <row r="172" spans="2:7">
      <c r="B172" s="1215">
        <v>170</v>
      </c>
      <c r="C172" s="1215" t="s">
        <v>4394</v>
      </c>
      <c r="D172" s="1215" t="s">
        <v>3799</v>
      </c>
      <c r="F172" s="1328" t="str">
        <f>IF(LEN(C172)&gt;0,VLOOKUP(C172,DG!A:C,3,0),"")</f>
        <v/>
      </c>
      <c r="G172" s="1215"/>
    </row>
    <row r="173" spans="2:7">
      <c r="B173" s="1215">
        <v>171</v>
      </c>
      <c r="C173" s="1215" t="s">
        <v>4394</v>
      </c>
      <c r="D173" s="1215" t="s">
        <v>3800</v>
      </c>
      <c r="F173" s="1328" t="str">
        <f>IF(LEN(C173)&gt;0,VLOOKUP(C173,DG!A:C,3,0),"")</f>
        <v/>
      </c>
      <c r="G173" s="1215"/>
    </row>
    <row r="174" spans="2:7">
      <c r="B174" s="1215">
        <v>172</v>
      </c>
      <c r="C174" s="1215" t="s">
        <v>4394</v>
      </c>
      <c r="D174" s="1215" t="s">
        <v>3801</v>
      </c>
      <c r="F174" s="1328" t="str">
        <f>IF(LEN(C174)&gt;0,VLOOKUP(C174,DG!A:C,3,0),"")</f>
        <v/>
      </c>
      <c r="G174" s="1215"/>
    </row>
    <row r="175" spans="2:7">
      <c r="B175" s="1215">
        <v>173</v>
      </c>
      <c r="C175" s="1215" t="s">
        <v>4394</v>
      </c>
      <c r="D175" s="1215" t="s">
        <v>3802</v>
      </c>
      <c r="F175" s="1328" t="str">
        <f>IF(LEN(C175)&gt;0,VLOOKUP(C175,DG!A:C,3,0),"")</f>
        <v/>
      </c>
      <c r="G175" s="1215"/>
    </row>
    <row r="176" spans="2:7">
      <c r="B176" s="1215">
        <v>174</v>
      </c>
      <c r="C176" s="1215" t="s">
        <v>4394</v>
      </c>
      <c r="D176" t="s">
        <v>3803</v>
      </c>
      <c r="F176" s="1328" t="str">
        <f>IF(LEN(C176)&gt;0,VLOOKUP(C176,DG!A:C,3,0),"")</f>
        <v/>
      </c>
      <c r="G176" s="1215"/>
    </row>
    <row r="177" spans="2:7">
      <c r="B177" s="1215">
        <v>175</v>
      </c>
      <c r="C177" s="1215" t="s">
        <v>4394</v>
      </c>
      <c r="D177" s="1215" t="s">
        <v>4630</v>
      </c>
      <c r="F177" s="1328" t="str">
        <f>IF(LEN(C177)&gt;0,VLOOKUP(C177,DG!A:C,3,0),"")</f>
        <v/>
      </c>
      <c r="G177" s="1215"/>
    </row>
    <row r="178" spans="2:7">
      <c r="B178" s="1215">
        <v>176</v>
      </c>
      <c r="C178" s="1215" t="s">
        <v>4394</v>
      </c>
      <c r="D178" s="1215" t="s">
        <v>4631</v>
      </c>
      <c r="F178" s="1328" t="str">
        <f>IF(LEN(C178)&gt;0,VLOOKUP(C178,DG!A:C,3,0),"")</f>
        <v/>
      </c>
      <c r="G178" s="1215"/>
    </row>
    <row r="179" spans="2:7">
      <c r="B179" s="1215">
        <v>177</v>
      </c>
      <c r="C179" s="1215" t="s">
        <v>4394</v>
      </c>
      <c r="D179" s="1215" t="s">
        <v>4759</v>
      </c>
      <c r="F179" s="1328" t="str">
        <f>IF(LEN(C179)&gt;0,VLOOKUP(C179,DG!A:C,3,0),"")</f>
        <v/>
      </c>
      <c r="G179" s="1215"/>
    </row>
    <row r="180" spans="2:7">
      <c r="B180" s="1215">
        <v>178</v>
      </c>
      <c r="C180" s="1215" t="s">
        <v>4394</v>
      </c>
      <c r="D180" s="1215" t="s">
        <v>4760</v>
      </c>
      <c r="F180" s="1328" t="str">
        <f>IF(LEN(C180)&gt;0,VLOOKUP(C180,DG!A:C,3,0),"")</f>
        <v/>
      </c>
      <c r="G180" s="1215"/>
    </row>
    <row r="181" spans="2:7" s="1215" customFormat="1">
      <c r="B181" s="1215">
        <v>179</v>
      </c>
      <c r="C181" s="1215" t="s">
        <v>4394</v>
      </c>
      <c r="D181" s="1215" t="s">
        <v>1730</v>
      </c>
      <c r="F181" s="1328" t="str">
        <f>IF(LEN(C181)&gt;0,VLOOKUP(C181,DG!A:C,3,0),"")</f>
        <v/>
      </c>
    </row>
    <row r="182" spans="2:7">
      <c r="B182" s="1215">
        <v>180</v>
      </c>
      <c r="C182" s="1215" t="s">
        <v>4394</v>
      </c>
      <c r="D182" s="1215" t="s">
        <v>1375</v>
      </c>
      <c r="F182" s="1328" t="str">
        <f>IF(LEN(C182)&gt;0,VLOOKUP(C182,DG!A:C,3,0),"")</f>
        <v/>
      </c>
      <c r="G182" s="1215"/>
    </row>
    <row r="183" spans="2:7">
      <c r="B183" s="1215">
        <v>181</v>
      </c>
      <c r="C183" s="1215" t="s">
        <v>4394</v>
      </c>
      <c r="D183" s="1215" t="s">
        <v>675</v>
      </c>
      <c r="F183" s="1328" t="str">
        <f>IF(LEN(C183)&gt;0,VLOOKUP(C183,DG!A:C,3,0),"")</f>
        <v/>
      </c>
      <c r="G183" s="1215"/>
    </row>
    <row r="184" spans="2:7">
      <c r="B184" s="1215">
        <v>182</v>
      </c>
      <c r="C184" s="1215"/>
      <c r="D184" s="1215" t="s">
        <v>1921</v>
      </c>
      <c r="F184" s="1328" t="str">
        <f>IF(LEN(C184)&gt;0,VLOOKUP(C184,DG!A:C,3,0),"")</f>
        <v/>
      </c>
      <c r="G184" s="1215"/>
    </row>
    <row r="185" spans="2:7">
      <c r="B185" s="1215">
        <v>183</v>
      </c>
      <c r="C185" s="1215"/>
      <c r="D185" s="1215" t="s">
        <v>394</v>
      </c>
      <c r="F185" s="1328" t="str">
        <f>IF(LEN(C185)&gt;0,VLOOKUP(C185,DG!A:C,3,0),"")</f>
        <v/>
      </c>
      <c r="G185" s="1215"/>
    </row>
    <row r="186" spans="2:7">
      <c r="B186" s="1215">
        <v>184</v>
      </c>
      <c r="C186" s="1215"/>
      <c r="D186" s="1215" t="s">
        <v>1194</v>
      </c>
      <c r="F186" s="1328" t="str">
        <f>IF(LEN(C186)&gt;0,VLOOKUP(C186,DG!A:C,3,0),"")</f>
        <v/>
      </c>
      <c r="G186" s="1215"/>
    </row>
    <row r="187" spans="2:7">
      <c r="B187" s="1215">
        <v>185</v>
      </c>
      <c r="C187" s="1215" t="s">
        <v>4394</v>
      </c>
      <c r="D187" s="1215" t="s">
        <v>2546</v>
      </c>
      <c r="F187" s="1328" t="str">
        <f>IF(LEN(C187)&gt;0,VLOOKUP(C187,DG!A:C,3,0),"")</f>
        <v/>
      </c>
      <c r="G187" s="1215"/>
    </row>
    <row r="188" spans="2:7">
      <c r="B188" s="1215">
        <v>186</v>
      </c>
      <c r="C188" s="1215" t="s">
        <v>4394</v>
      </c>
      <c r="D188" s="1215" t="s">
        <v>4091</v>
      </c>
      <c r="F188" s="1328" t="str">
        <f>IF(LEN(C188)&gt;0,VLOOKUP(C188,DG!A:C,3,0),"")</f>
        <v/>
      </c>
      <c r="G188" s="1215"/>
    </row>
    <row r="189" spans="2:7">
      <c r="B189" s="1215">
        <v>187</v>
      </c>
      <c r="C189" s="1215" t="s">
        <v>4394</v>
      </c>
      <c r="D189" s="1215" t="s">
        <v>4092</v>
      </c>
      <c r="F189" s="1328" t="str">
        <f>IF(LEN(C189)&gt;0,VLOOKUP(C189,DG!A:C,3,0),"")</f>
        <v/>
      </c>
      <c r="G189" s="1215"/>
    </row>
    <row r="190" spans="2:7">
      <c r="B190" s="1215">
        <v>188</v>
      </c>
      <c r="C190" s="1215" t="s">
        <v>4394</v>
      </c>
      <c r="D190" s="1215" t="s">
        <v>4093</v>
      </c>
      <c r="F190" s="1328" t="str">
        <f>IF(LEN(C190)&gt;0,VLOOKUP(C190,DG!A:C,3,0),"")</f>
        <v/>
      </c>
      <c r="G190" s="1215"/>
    </row>
    <row r="191" spans="2:7">
      <c r="B191" s="1215">
        <v>189</v>
      </c>
      <c r="C191" s="1215" t="s">
        <v>4394</v>
      </c>
      <c r="D191" s="1215" t="s">
        <v>4094</v>
      </c>
      <c r="F191" s="1328" t="str">
        <f>IF(LEN(C191)&gt;0,VLOOKUP(C191,DG!A:C,3,0),"")</f>
        <v/>
      </c>
      <c r="G191" s="1215"/>
    </row>
    <row r="192" spans="2:7">
      <c r="B192" s="1215">
        <v>190</v>
      </c>
      <c r="C192" s="1215" t="s">
        <v>4394</v>
      </c>
      <c r="D192" s="1215" t="s">
        <v>4095</v>
      </c>
      <c r="F192" s="1328" t="str">
        <f>IF(LEN(C192)&gt;0,VLOOKUP(C192,DG!A:C,3,0),"")</f>
        <v/>
      </c>
      <c r="G192" s="1215"/>
    </row>
    <row r="193" spans="2:7">
      <c r="B193" s="1215">
        <v>191</v>
      </c>
      <c r="C193" s="1215" t="s">
        <v>4394</v>
      </c>
      <c r="D193" s="1215" t="s">
        <v>3899</v>
      </c>
      <c r="F193" s="1328" t="str">
        <f>IF(LEN(C193)&gt;0,VLOOKUP(C193,DG!A:C,3,0),"")</f>
        <v/>
      </c>
      <c r="G193" s="1215"/>
    </row>
    <row r="194" spans="2:7">
      <c r="B194" s="1215">
        <v>192</v>
      </c>
      <c r="C194" s="1215" t="s">
        <v>4394</v>
      </c>
      <c r="D194" s="1215" t="s">
        <v>4096</v>
      </c>
      <c r="F194" s="1328" t="str">
        <f>IF(LEN(C194)&gt;0,VLOOKUP(C194,DG!A:C,3,0),"")</f>
        <v/>
      </c>
      <c r="G194" s="1215"/>
    </row>
    <row r="195" spans="2:7">
      <c r="B195" s="1215">
        <v>193</v>
      </c>
      <c r="C195" s="1215" t="s">
        <v>4394</v>
      </c>
      <c r="D195" s="1215" t="s">
        <v>4097</v>
      </c>
      <c r="F195" s="1328" t="str">
        <f>IF(LEN(C195)&gt;0,VLOOKUP(C195,DG!A:C,3,0),"")</f>
        <v/>
      </c>
      <c r="G195" s="1215"/>
    </row>
    <row r="196" spans="2:7">
      <c r="B196" s="1215">
        <v>194</v>
      </c>
      <c r="C196" s="1215" t="s">
        <v>4394</v>
      </c>
      <c r="D196" s="1215" t="s">
        <v>4098</v>
      </c>
      <c r="F196" s="1328" t="str">
        <f>IF(LEN(C196)&gt;0,VLOOKUP(C196,DG!A:C,3,0),"")</f>
        <v/>
      </c>
      <c r="G196" s="1215"/>
    </row>
    <row r="197" spans="2:7">
      <c r="B197" s="1215">
        <v>195</v>
      </c>
      <c r="C197" s="1215" t="s">
        <v>4394</v>
      </c>
      <c r="D197" s="1215" t="s">
        <v>4099</v>
      </c>
      <c r="F197" s="1328" t="str">
        <f>IF(LEN(C197)&gt;0,VLOOKUP(C197,DG!A:C,3,0),"")</f>
        <v/>
      </c>
      <c r="G197" s="1215"/>
    </row>
    <row r="198" spans="2:7">
      <c r="B198" s="1215">
        <v>196</v>
      </c>
      <c r="C198" s="1215" t="s">
        <v>4394</v>
      </c>
      <c r="D198" s="1215" t="s">
        <v>4100</v>
      </c>
      <c r="F198" s="1328" t="str">
        <f>IF(LEN(C198)&gt;0,VLOOKUP(C198,DG!A:C,3,0),"")</f>
        <v/>
      </c>
      <c r="G198" s="1215"/>
    </row>
    <row r="199" spans="2:7">
      <c r="B199" s="1215">
        <v>197</v>
      </c>
      <c r="C199" s="1215" t="s">
        <v>4394</v>
      </c>
      <c r="D199" s="1215" t="s">
        <v>4101</v>
      </c>
      <c r="F199" s="1328" t="str">
        <f>IF(LEN(C199)&gt;0,VLOOKUP(C199,DG!A:C,3,0),"")</f>
        <v/>
      </c>
      <c r="G199" s="1215"/>
    </row>
    <row r="200" spans="2:7">
      <c r="B200" s="1215">
        <v>198</v>
      </c>
      <c r="C200" s="1215" t="s">
        <v>4394</v>
      </c>
      <c r="D200" s="1215" t="s">
        <v>4102</v>
      </c>
      <c r="F200" s="1328" t="str">
        <f>IF(LEN(C200)&gt;0,VLOOKUP(C200,DG!A:C,3,0),"")</f>
        <v/>
      </c>
      <c r="G200" s="1215"/>
    </row>
    <row r="201" spans="2:7">
      <c r="B201" s="1215">
        <v>199</v>
      </c>
      <c r="C201" s="1215" t="s">
        <v>4394</v>
      </c>
      <c r="D201" s="1215" t="s">
        <v>4103</v>
      </c>
      <c r="F201" s="1328" t="str">
        <f>IF(LEN(C201)&gt;0,VLOOKUP(C201,DG!A:C,3,0),"")</f>
        <v/>
      </c>
      <c r="G201" s="1215"/>
    </row>
    <row r="202" spans="2:7">
      <c r="B202" s="1215">
        <v>200</v>
      </c>
      <c r="C202" s="1215" t="s">
        <v>510</v>
      </c>
      <c r="D202" s="1215" t="s">
        <v>2405</v>
      </c>
      <c r="F202" s="1328" t="str">
        <f>IF(LEN(C202)&gt;0,VLOOKUP(C202,DG!A:C,3,0),"")</f>
        <v>Nhổ và trồng trụ 8,4m</v>
      </c>
      <c r="G202" s="1215"/>
    </row>
    <row r="203" spans="2:7">
      <c r="B203" s="1215">
        <v>201</v>
      </c>
      <c r="C203" s="1215" t="s">
        <v>1630</v>
      </c>
      <c r="D203" s="1215" t="s">
        <v>2402</v>
      </c>
      <c r="F203" s="1328" t="str">
        <f>IF(LEN(C203)&gt;0,VLOOKUP(C203,DG!A:C,3,0),"")</f>
        <v>Nhổ trụ 8,4m</v>
      </c>
      <c r="G203" s="1215"/>
    </row>
    <row r="204" spans="2:7">
      <c r="B204" s="1215">
        <v>202</v>
      </c>
      <c r="C204" s="1215" t="s">
        <v>4394</v>
      </c>
      <c r="D204" s="1215" t="s">
        <v>4104</v>
      </c>
      <c r="F204" s="1328" t="str">
        <f>IF(LEN(C204)&gt;0,VLOOKUP(C204,DG!A:C,3,0),"")</f>
        <v/>
      </c>
      <c r="G204" s="1215"/>
    </row>
    <row r="205" spans="2:7">
      <c r="B205" s="1215">
        <v>203</v>
      </c>
      <c r="C205" s="1215" t="s">
        <v>4394</v>
      </c>
      <c r="D205" s="1215" t="s">
        <v>4105</v>
      </c>
      <c r="F205" s="1328" t="str">
        <f>IF(LEN(C205)&gt;0,VLOOKUP(C205,DG!A:C,3,0),"")</f>
        <v/>
      </c>
      <c r="G205" s="1215"/>
    </row>
    <row r="206" spans="2:7">
      <c r="B206" s="1215">
        <v>204</v>
      </c>
      <c r="C206" s="1215" t="s">
        <v>4394</v>
      </c>
      <c r="D206" s="1215" t="s">
        <v>4106</v>
      </c>
      <c r="F206" s="1328" t="str">
        <f>IF(LEN(C206)&gt;0,VLOOKUP(C206,DG!A:C,3,0),"")</f>
        <v/>
      </c>
      <c r="G206" s="1215"/>
    </row>
    <row r="207" spans="2:7">
      <c r="B207" s="1215">
        <v>205</v>
      </c>
      <c r="C207" s="1215" t="s">
        <v>4394</v>
      </c>
      <c r="D207" s="1215" t="s">
        <v>4107</v>
      </c>
      <c r="F207" s="1328" t="str">
        <f>IF(LEN(C207)&gt;0,VLOOKUP(C207,DG!A:C,3,0),"")</f>
        <v/>
      </c>
      <c r="G207" s="1215"/>
    </row>
    <row r="208" spans="2:7">
      <c r="B208" s="1215">
        <v>206</v>
      </c>
      <c r="C208" s="1215" t="s">
        <v>4394</v>
      </c>
      <c r="D208" s="1215" t="s">
        <v>3829</v>
      </c>
      <c r="F208" s="1328" t="str">
        <f>IF(LEN(C208)&gt;0,VLOOKUP(C208,DG!A:C,3,0),"")</f>
        <v/>
      </c>
      <c r="G208" s="1215"/>
    </row>
    <row r="209" spans="2:7">
      <c r="B209" s="1215">
        <v>207</v>
      </c>
      <c r="C209" s="1215" t="s">
        <v>4394</v>
      </c>
      <c r="D209" s="1215" t="s">
        <v>4108</v>
      </c>
      <c r="F209" s="1328" t="str">
        <f>IF(LEN(C209)&gt;0,VLOOKUP(C209,DG!A:C,3,0),"")</f>
        <v/>
      </c>
      <c r="G209" s="1215"/>
    </row>
    <row r="210" spans="2:7">
      <c r="B210" s="1215">
        <v>208</v>
      </c>
      <c r="C210" s="1215" t="s">
        <v>4394</v>
      </c>
      <c r="D210" s="1215" t="s">
        <v>4109</v>
      </c>
      <c r="F210" s="1328" t="str">
        <f>IF(LEN(C210)&gt;0,VLOOKUP(C210,DG!A:C,3,0),"")</f>
        <v/>
      </c>
      <c r="G210" s="1215"/>
    </row>
    <row r="211" spans="2:7">
      <c r="B211" s="1215">
        <v>209</v>
      </c>
      <c r="C211" s="1215" t="s">
        <v>4394</v>
      </c>
      <c r="D211" s="1215" t="s">
        <v>4110</v>
      </c>
      <c r="F211" s="1328" t="str">
        <f>IF(LEN(C211)&gt;0,VLOOKUP(C211,DG!A:C,3,0),"")</f>
        <v/>
      </c>
      <c r="G211" s="1215"/>
    </row>
    <row r="212" spans="2:7">
      <c r="B212" s="1215">
        <v>210</v>
      </c>
      <c r="C212" s="1215" t="s">
        <v>4394</v>
      </c>
      <c r="D212" s="1215" t="s">
        <v>4111</v>
      </c>
      <c r="F212" s="1328" t="str">
        <f>IF(LEN(C212)&gt;0,VLOOKUP(C212,DG!A:C,3,0),"")</f>
        <v/>
      </c>
      <c r="G212" s="1215"/>
    </row>
    <row r="213" spans="2:7">
      <c r="B213" s="1215">
        <v>211</v>
      </c>
      <c r="C213" s="1215" t="s">
        <v>4394</v>
      </c>
      <c r="D213" s="1215" t="s">
        <v>4112</v>
      </c>
      <c r="F213" s="1328" t="str">
        <f>IF(LEN(C213)&gt;0,VLOOKUP(C213,DG!A:C,3,0),"")</f>
        <v/>
      </c>
      <c r="G213" s="1215"/>
    </row>
  </sheetData>
  <autoFilter ref="B1:G214" xr:uid="{E51123CE-199A-49C8-B941-3A74E2FEAD29}"/>
  <phoneticPr fontId="38"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15" operator="containsText" id="{0F4830E7-3760-4550-AC24-3FCA6F26C2CB}">
            <xm:f>NOT(ISERROR(SEARCH($D$1,D1)))</xm:f>
            <xm:f>$D$1</xm:f>
            <x14:dxf>
              <font>
                <color rgb="FF9C0006"/>
              </font>
              <fill>
                <patternFill>
                  <bgColor rgb="FFFFC7CE"/>
                </patternFill>
              </fill>
            </x14:dxf>
          </x14:cfRule>
          <xm:sqref>D1:D20 D22:D25 D57:D99 D101:D118 D120:D139 D182:D1048576 D141:D180 D27:D55</xm:sqref>
        </x14:conditionalFormatting>
        <x14:conditionalFormatting xmlns:xm="http://schemas.microsoft.com/office/excel/2006/main">
          <x14:cfRule type="containsText" priority="14" operator="containsText" id="{B03AFB45-746E-4356-961D-A9F7BAEBAE30}">
            <xm:f>NOT(ISERROR(SEARCH($D$1,D21)))</xm:f>
            <xm:f>$D$1</xm:f>
            <x14:dxf>
              <font>
                <color rgb="FF9C0006"/>
              </font>
              <fill>
                <patternFill>
                  <bgColor rgb="FFFFC7CE"/>
                </patternFill>
              </fill>
            </x14:dxf>
          </x14:cfRule>
          <xm:sqref>D21</xm:sqref>
        </x14:conditionalFormatting>
        <x14:conditionalFormatting xmlns:xm="http://schemas.microsoft.com/office/excel/2006/main">
          <x14:cfRule type="containsText" priority="13" operator="containsText" id="{11ACBFA4-4585-4AB6-8CCB-A08B1E50E947}">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12" operator="containsText" id="{984EF4B8-1BAD-449D-97AC-CDDD16BC1585}">
            <xm:f>NOT(ISERROR(SEARCH($D$1,D56)))</xm:f>
            <xm:f>$D$1</xm:f>
            <x14:dxf>
              <font>
                <color rgb="FF9C0006"/>
              </font>
              <fill>
                <patternFill>
                  <bgColor rgb="FFFFC7CE"/>
                </patternFill>
              </fill>
            </x14:dxf>
          </x14:cfRule>
          <xm:sqref>D56</xm:sqref>
        </x14:conditionalFormatting>
        <x14:conditionalFormatting xmlns:xm="http://schemas.microsoft.com/office/excel/2006/main">
          <x14:cfRule type="containsText" priority="11" operator="containsText" id="{A108195F-B7F7-4D23-8E5C-078E86DA7F0B}">
            <xm:f>NOT(ISERROR(SEARCH($D$1,D100)))</xm:f>
            <xm:f>$D$1</xm:f>
            <x14:dxf>
              <font>
                <color rgb="FF9C0006"/>
              </font>
              <fill>
                <patternFill>
                  <bgColor rgb="FFFFC7CE"/>
                </patternFill>
              </fill>
            </x14:dxf>
          </x14:cfRule>
          <xm:sqref>D100</xm:sqref>
        </x14:conditionalFormatting>
        <x14:conditionalFormatting xmlns:xm="http://schemas.microsoft.com/office/excel/2006/main">
          <x14:cfRule type="containsText" priority="10" operator="containsText" id="{FE7A54F6-404E-4D20-BE95-17667B5A5B46}">
            <xm:f>NOT(ISERROR(SEARCH($D$1,D119)))</xm:f>
            <xm:f>$D$1</xm:f>
            <x14:dxf>
              <font>
                <color rgb="FF9C0006"/>
              </font>
              <fill>
                <patternFill>
                  <bgColor rgb="FFFFC7CE"/>
                </patternFill>
              </fill>
            </x14:dxf>
          </x14:cfRule>
          <xm:sqref>D119</xm:sqref>
        </x14:conditionalFormatting>
        <x14:conditionalFormatting xmlns:xm="http://schemas.microsoft.com/office/excel/2006/main">
          <x14:cfRule type="containsText" priority="5" operator="containsText" id="{95A4CAEE-F9B4-4C46-BC9B-03532709051B}">
            <xm:f>NOT(ISERROR(SEARCH($D$1,D140)))</xm:f>
            <xm:f>$D$1</xm:f>
            <x14:dxf>
              <font>
                <color rgb="FF9C0006"/>
              </font>
              <fill>
                <patternFill>
                  <bgColor rgb="FFFFC7CE"/>
                </patternFill>
              </fill>
            </x14:dxf>
          </x14:cfRule>
          <xm:sqref>D140</xm:sqref>
        </x14:conditionalFormatting>
        <x14:conditionalFormatting xmlns:xm="http://schemas.microsoft.com/office/excel/2006/main">
          <x14:cfRule type="containsText" priority="4" operator="containsText" id="{5AE38AAC-EF39-4047-9865-6B800DCDBB12}">
            <xm:f>NOT(ISERROR(SEARCH($D$1,D181)))</xm:f>
            <xm:f>$D$1</xm:f>
            <x14:dxf>
              <font>
                <color rgb="FF9C0006"/>
              </font>
              <fill>
                <patternFill>
                  <bgColor rgb="FFFFC7CE"/>
                </patternFill>
              </fill>
            </x14:dxf>
          </x14:cfRule>
          <xm:sqref>D181</xm:sqref>
        </x14:conditionalFormatting>
        <x14:conditionalFormatting xmlns:xm="http://schemas.microsoft.com/office/excel/2006/main">
          <x14:cfRule type="containsText" priority="3" operator="containsText" id="{C34E4814-97DC-486B-A490-656D071807B6}">
            <xm:f>NOT(ISERROR(SEARCH($D$1,C22)))</xm:f>
            <xm:f>$D$1</xm:f>
            <x14:dxf>
              <font>
                <color rgb="FF9C0006"/>
              </font>
              <fill>
                <patternFill>
                  <bgColor rgb="FFFFC7CE"/>
                </patternFill>
              </fill>
            </x14:dxf>
          </x14:cfRule>
          <xm:sqref>C22</xm:sqref>
        </x14:conditionalFormatting>
        <x14:conditionalFormatting xmlns:xm="http://schemas.microsoft.com/office/excel/2006/main">
          <x14:cfRule type="containsText" priority="2" operator="containsText" id="{D3F50D80-E19A-4652-BA6A-C469A001CBE6}">
            <xm:f>NOT(ISERROR(SEARCH($D$1,C57)))</xm:f>
            <xm:f>$D$1</xm:f>
            <x14:dxf>
              <font>
                <color rgb="FF9C0006"/>
              </font>
              <fill>
                <patternFill>
                  <bgColor rgb="FFFFC7CE"/>
                </patternFill>
              </fill>
            </x14:dxf>
          </x14:cfRule>
          <xm:sqref>C57</xm:sqref>
        </x14:conditionalFormatting>
        <x14:conditionalFormatting xmlns:xm="http://schemas.microsoft.com/office/excel/2006/main">
          <x14:cfRule type="containsText" priority="1" operator="containsText" id="{561A072C-EDDB-4004-98B9-2B608E741334}">
            <xm:f>NOT(ISERROR(SEARCH($D$1,C100)))</xm:f>
            <xm:f>$D$1</xm:f>
            <x14:dxf>
              <font>
                <color rgb="FF9C0006"/>
              </font>
              <fill>
                <patternFill>
                  <bgColor rgb="FFFFC7CE"/>
                </patternFill>
              </fill>
            </x14:dxf>
          </x14:cfRule>
          <xm:sqref>C100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BP1" zoomScaleNormal="100" workbookViewId="0">
      <selection activeCell="A2" sqref="A2:CW3"/>
    </sheetView>
  </sheetViews>
  <sheetFormatPr defaultColWidth="8.90625" defaultRowHeight="18.899999999999999" customHeight="1" outlineLevelRow="1"/>
  <cols>
    <col min="1" max="1" width="8" style="1489" customWidth="1"/>
    <col min="2" max="2" width="5.08984375" style="1489" customWidth="1"/>
    <col min="3" max="3" width="6.90625" style="1489" customWidth="1"/>
    <col min="4" max="4" width="6" style="1489" customWidth="1"/>
    <col min="5" max="6" width="3.90625" style="1489" customWidth="1"/>
    <col min="7" max="7" width="4.6328125" style="1490" customWidth="1"/>
    <col min="8" max="8" width="5.6328125" style="1489" customWidth="1"/>
    <col min="9" max="18" width="4.81640625" style="1489" customWidth="1"/>
    <col min="19" max="19" width="5.54296875" style="1489" customWidth="1"/>
    <col min="20" max="20" width="5.1796875" style="1489" customWidth="1"/>
    <col min="21" max="21" width="4.81640625" style="1489" customWidth="1"/>
    <col min="22" max="22" width="6.6328125" style="1489" customWidth="1"/>
    <col min="23" max="41" width="4.81640625" style="1489" customWidth="1"/>
    <col min="42" max="42" width="5.453125" style="1489" customWidth="1"/>
    <col min="43" max="43" width="8.81640625" style="1489" customWidth="1"/>
    <col min="44" max="44" width="5.1796875" style="1489" customWidth="1"/>
    <col min="45" max="47" width="8.81640625" style="1489" customWidth="1"/>
    <col min="48" max="54" width="4.81640625" style="1489" customWidth="1"/>
    <col min="55" max="57" width="4.81640625" style="1491" customWidth="1"/>
    <col min="58" max="65" width="4.81640625" style="1489" customWidth="1"/>
    <col min="66" max="66" width="6.81640625" style="1489" customWidth="1"/>
    <col min="67" max="71" width="4.81640625" style="1489" customWidth="1"/>
    <col min="72" max="72" width="3.90625" style="1489" customWidth="1"/>
    <col min="73" max="81" width="4.81640625" style="1489" customWidth="1"/>
    <col min="82" max="101" width="4.36328125" style="1489" customWidth="1"/>
    <col min="102" max="102" width="7.81640625" style="1492" customWidth="1"/>
    <col min="103" max="16384" width="8.90625" style="1489"/>
  </cols>
  <sheetData>
    <row r="1" spans="1:262" s="1958" customFormat="1" ht="81" customHeight="1" outlineLevel="1">
      <c r="B1" s="1958" t="s">
        <v>4719</v>
      </c>
      <c r="C1" s="1489"/>
      <c r="D1" s="1958" t="str">
        <f>IF(D9&lt;&gt;0,D9,D8)</f>
        <v>Cộng dồn ACXV50+AC50</v>
      </c>
      <c r="E1" s="1489" t="str">
        <f t="shared" ref="E1:BQ1" si="0">IF(E9&lt;&gt;0,E9,E8)</f>
        <v>Khoảng néo</v>
      </c>
      <c r="F1" s="1489" t="str">
        <f t="shared" si="0"/>
        <v>Hướng</v>
      </c>
      <c r="G1" s="1489" t="str">
        <f t="shared" si="0"/>
        <v>Góc</v>
      </c>
      <c r="H1" s="1958" t="str">
        <f t="shared" si="0"/>
        <v>Hình thức trụ</v>
      </c>
      <c r="I1" s="1489" t="str">
        <f t="shared" si="0"/>
        <v>BTLT 10.5</v>
      </c>
      <c r="J1" s="1958" t="str">
        <f t="shared" si="0"/>
        <v>BTLT 12 HH</v>
      </c>
      <c r="K1" s="1489" t="str">
        <f t="shared" si="0"/>
        <v>BTLT 12 TĐ</v>
      </c>
      <c r="L1" s="1958" t="str">
        <f t="shared" si="0"/>
        <v>BTLT 12</v>
      </c>
      <c r="M1" s="1489" t="str">
        <f t="shared" si="0"/>
        <v>BTLT 14</v>
      </c>
      <c r="N1" s="1489" t="str">
        <f t="shared" si="0"/>
        <v>M10a</v>
      </c>
      <c r="O1" s="1489" t="str">
        <f t="shared" si="0"/>
        <v>M10b</v>
      </c>
      <c r="P1" s="1489" t="str">
        <f t="shared" si="0"/>
        <v>M10aa</v>
      </c>
      <c r="Q1" s="1489" t="str">
        <f t="shared" si="0"/>
        <v>M10ba</v>
      </c>
      <c r="R1" s="1489" t="str">
        <f t="shared" si="0"/>
        <v>M10bb</v>
      </c>
      <c r="S1" s="1958" t="str">
        <f t="shared" si="0"/>
        <v>M12</v>
      </c>
      <c r="T1" s="1489" t="str">
        <f t="shared" si="0"/>
        <v>M10-2b</v>
      </c>
      <c r="U1" s="1489" t="str">
        <f t="shared" si="0"/>
        <v>M12a</v>
      </c>
      <c r="V1" s="1489" t="str">
        <f t="shared" si="0"/>
        <v>M12BT ĐƠN</v>
      </c>
      <c r="W1" s="1958" t="str">
        <f t="shared" si="0"/>
        <v>M12BT ĐÔI</v>
      </c>
      <c r="X1" s="1489" t="str">
        <f t="shared" si="0"/>
        <v>M12b</v>
      </c>
      <c r="Y1" s="1489" t="str">
        <f t="shared" si="0"/>
        <v>M12aa</v>
      </c>
      <c r="Z1" s="1489" t="str">
        <f t="shared" si="0"/>
        <v>M12ba</v>
      </c>
      <c r="AA1" s="1489" t="str">
        <f t="shared" si="0"/>
        <v>M12bb</v>
      </c>
      <c r="AB1" s="1489" t="str">
        <f t="shared" si="0"/>
        <v>M12-2a</v>
      </c>
      <c r="AC1" s="1489" t="str">
        <f t="shared" si="0"/>
        <v>M12-2b</v>
      </c>
      <c r="AD1" s="1489" t="str">
        <f t="shared" si="0"/>
        <v>M14a</v>
      </c>
      <c r="AE1" s="1489" t="str">
        <f t="shared" si="0"/>
        <v>M14b</v>
      </c>
      <c r="AF1" s="1489" t="str">
        <f t="shared" si="0"/>
        <v>M14aa</v>
      </c>
      <c r="AG1" s="1489" t="str">
        <f t="shared" si="0"/>
        <v>M14ba</v>
      </c>
      <c r="AH1" s="1489" t="str">
        <f t="shared" si="0"/>
        <v>M14bb</v>
      </c>
      <c r="AI1" s="1489" t="str">
        <f t="shared" si="0"/>
        <v>M14-2a</v>
      </c>
      <c r="AJ1" s="1489" t="str">
        <f t="shared" si="0"/>
        <v>M14-2b</v>
      </c>
      <c r="AK1" s="1489" t="str">
        <f t="shared" si="0"/>
        <v>CX10-B</v>
      </c>
      <c r="AL1" s="1489" t="str">
        <f t="shared" si="0"/>
        <v>CL10-B</v>
      </c>
      <c r="AM1" s="1489" t="str">
        <f t="shared" si="0"/>
        <v>CXX10-B</v>
      </c>
      <c r="AN1" s="1958" t="str">
        <f t="shared" si="0"/>
        <v>CX12-B</v>
      </c>
      <c r="AO1" s="1958" t="str">
        <f t="shared" si="0"/>
        <v>CL12-B</v>
      </c>
      <c r="AP1" s="1489" t="str">
        <f t="shared" si="0"/>
        <v>CXX12-B</v>
      </c>
      <c r="AQ1" s="1489" t="str">
        <f t="shared" si="0"/>
        <v>CX14-B</v>
      </c>
      <c r="AR1" s="1489" t="str">
        <f t="shared" si="0"/>
        <v>CL14-B</v>
      </c>
      <c r="AS1" s="1489" t="str">
        <f t="shared" si="0"/>
        <v>CXX14-B</v>
      </c>
      <c r="AT1" s="1489" t="str">
        <f t="shared" si="0"/>
        <v>CK-B</v>
      </c>
      <c r="AU1" s="1489" t="str">
        <f t="shared" si="0"/>
        <v>CKK-B</v>
      </c>
      <c r="AV1" s="1489" t="str">
        <f t="shared" si="0"/>
        <v>Khoảng cách</v>
      </c>
      <c r="AW1" s="1958" t="str">
        <f t="shared" si="0"/>
        <v>NXX</v>
      </c>
      <c r="AX1" s="1958" t="str">
        <f t="shared" si="0"/>
        <v>NXL</v>
      </c>
      <c r="AY1" s="1489" t="str">
        <f t="shared" si="0"/>
        <v xml:space="preserve">MNX12-2 </v>
      </c>
      <c r="AZ1" s="1489" t="str">
        <f t="shared" si="0"/>
        <v>MNL12-2</v>
      </c>
      <c r="BA1" s="1489" t="str">
        <f t="shared" si="0"/>
        <v xml:space="preserve">MNX12-4 </v>
      </c>
      <c r="BB1" s="1489" t="str">
        <f t="shared" si="0"/>
        <v xml:space="preserve">MNL12-4 </v>
      </c>
      <c r="BC1" s="1489" t="str">
        <f t="shared" si="0"/>
        <v>Tiếp địa lặp lại (trụ 10.5m)</v>
      </c>
      <c r="BD1" s="1958" t="s">
        <v>1637</v>
      </c>
      <c r="BE1" s="1489" t="str">
        <f t="shared" si="0"/>
        <v>Tiếp địa lặp lại (trụ 14m)</v>
      </c>
      <c r="BF1" s="1489" t="str">
        <f t="shared" si="0"/>
        <v>X-20Đ</v>
      </c>
      <c r="BG1" s="1489" t="str">
        <f t="shared" si="0"/>
        <v>X-20K</v>
      </c>
      <c r="BH1" s="1489" t="str">
        <f t="shared" si="0"/>
        <v>X-24Đ</v>
      </c>
      <c r="BI1" s="1489" t="str">
        <f t="shared" si="0"/>
        <v>X-24K</v>
      </c>
      <c r="BJ1" s="1489" t="str">
        <f t="shared" si="0"/>
        <v>X-20ĐL2/3</v>
      </c>
      <c r="BK1" s="1489" t="str">
        <f t="shared" si="0"/>
        <v>X-20KL2/3</v>
      </c>
      <c r="BL1" s="1489" t="str">
        <f t="shared" si="0"/>
        <v>X-8ĐL</v>
      </c>
      <c r="BM1" s="1864" t="s">
        <v>4709</v>
      </c>
      <c r="BN1" s="1489" t="str">
        <f t="shared" si="0"/>
        <v>X-8KL</v>
      </c>
      <c r="BO1" s="1958" t="str">
        <f t="shared" si="0"/>
        <v>Bộ sứ đỉnh đỡ thẳng SĐI</v>
      </c>
      <c r="BP1" s="1958" t="str">
        <f t="shared" si="0"/>
        <v>Bộ sứ đỉnh đỡ góc SĐG</v>
      </c>
      <c r="BQ1" s="1489" t="str">
        <f t="shared" si="0"/>
        <v>Bộ sứ đỉnh đỡ thẳng SĐI sử dụng lại</v>
      </c>
      <c r="BR1" s="1489" t="str">
        <f t="shared" ref="BR1:CX1" si="1">IF(BR9&lt;&gt;0,BR9,BR8)</f>
        <v>Bộ sứ đỉnh đỡ góc SĐG sử dụng lại</v>
      </c>
      <c r="BS1" s="1489" t="str">
        <f t="shared" si="1"/>
        <v>Bộ sứ đứng SĐU</v>
      </c>
      <c r="BT1" s="1489" t="str">
        <f t="shared" si="1"/>
        <v>Chuỗi sứ treo polyme bắt vào xà</v>
      </c>
      <c r="BU1" s="1958" t="str">
        <f t="shared" si="1"/>
        <v>Chuỗi sứ treo polyme bắt vào trụ</v>
      </c>
      <c r="BV1" s="1958" t="str">
        <f t="shared" si="1"/>
        <v xml:space="preserve"> Chuỗi treo 2 bát lắp vào trụ</v>
      </c>
      <c r="BW1" s="1958" t="str">
        <f t="shared" si="1"/>
        <v xml:space="preserve"> Chuỗi đỡ 2 bát lắp vào trụ - CĐT</v>
      </c>
      <c r="BX1" s="1958" t="str">
        <f t="shared" si="1"/>
        <v>Bộ đỡ dây T.H : Đth-U</v>
      </c>
      <c r="BY1" s="1958" t="str">
        <f t="shared" si="1"/>
        <v>Bộ néo dây T.H : Nth-U</v>
      </c>
      <c r="BZ1" s="1958" t="str">
        <f t="shared" si="1"/>
        <v>Bộ khóa néo TH : Nth-T</v>
      </c>
      <c r="CA1" s="1958" t="s">
        <v>1479</v>
      </c>
      <c r="CB1" s="1958" t="s">
        <v>1477</v>
      </c>
      <c r="CC1" s="1958" t="str">
        <f t="shared" si="1"/>
        <v>Kẹp ép WR cỡ dây 50mm2</v>
      </c>
      <c r="CD1" s="1958" t="str">
        <f t="shared" si="1"/>
        <v>Kẹp ép WR cỡ dây 70mm2</v>
      </c>
      <c r="CE1" s="1958" t="str">
        <f t="shared" si="1"/>
        <v>Kẹp ép WR cỡ dây 95mm2</v>
      </c>
      <c r="CF1" s="1958" t="str">
        <f t="shared" si="1"/>
        <v>Kẹp ép WR cỡ dây 120mm2</v>
      </c>
      <c r="CG1" s="1958" t="str">
        <f t="shared" si="1"/>
        <v>Kẹp ép WR cỡ dây 150mm2</v>
      </c>
      <c r="CH1" s="1958" t="str">
        <f t="shared" si="1"/>
        <v>Kẹp ép WR cỡ dây 185mm2</v>
      </c>
      <c r="CI1" s="1958" t="str">
        <f t="shared" si="1"/>
        <v>Kẹp ép WR cỡ dây 240mm2</v>
      </c>
      <c r="CJ1" s="1958" t="str">
        <f t="shared" si="1"/>
        <v>Đầu cốt ép cỡ dây 70mm2</v>
      </c>
      <c r="CK1" s="1958" t="str">
        <f t="shared" si="1"/>
        <v>Đầu cốt ép cỡ dây 95mm2</v>
      </c>
      <c r="CL1" s="1958" t="str">
        <f t="shared" si="1"/>
        <v>Đầu cốt ép cỡ dây 120mm2</v>
      </c>
      <c r="CM1" s="1958" t="str">
        <f t="shared" si="1"/>
        <v>Đầu cốt ép cỡ dây 150mm2</v>
      </c>
      <c r="CN1" s="1958" t="str">
        <f t="shared" si="1"/>
        <v>Đầu cốt ép cỡ dây 185mm2</v>
      </c>
      <c r="CO1" s="1958" t="str">
        <f t="shared" si="1"/>
        <v>Đầu cốt ép cỡ dây 240mm2</v>
      </c>
      <c r="CP1" s="1958" t="str">
        <f t="shared" si="1"/>
        <v>Dây buộc đầu sứ</v>
      </c>
      <c r="CQ1" s="1958" t="str">
        <f t="shared" si="1"/>
        <v>Giá T lắp FCO sử dụng lại</v>
      </c>
      <c r="CR1" s="1958" t="s">
        <v>1652</v>
      </c>
      <c r="CS1" s="1958" t="s">
        <v>382</v>
      </c>
      <c r="CT1" s="1958" t="str">
        <f t="shared" si="1"/>
        <v>chi8K</v>
      </c>
      <c r="CU1" s="1958" t="str">
        <f t="shared" si="1"/>
        <v>chi10K</v>
      </c>
      <c r="CV1" s="1958" t="str">
        <f t="shared" si="1"/>
        <v>chi12K</v>
      </c>
      <c r="CW1" s="1958" t="str">
        <f t="shared" si="1"/>
        <v>Vị trí vượt đường</v>
      </c>
      <c r="CX1" s="1958" t="str">
        <f t="shared" si="1"/>
        <v>GHI CHÚ</v>
      </c>
      <c r="CY1" s="1959" t="s">
        <v>382</v>
      </c>
    </row>
    <row r="2" spans="1:262" ht="18.899999999999999" customHeight="1" outlineLevel="1">
      <c r="A2" s="1489" t="s">
        <v>4378</v>
      </c>
      <c r="C2" s="1803">
        <f>SUM(C11:C93)</f>
        <v>0</v>
      </c>
      <c r="D2" s="1803">
        <f t="shared" ref="D2:BP2" si="2">SUM(D11:D93)</f>
        <v>0</v>
      </c>
      <c r="E2" s="1803">
        <f t="shared" si="2"/>
        <v>0</v>
      </c>
      <c r="F2" s="1803">
        <f t="shared" si="2"/>
        <v>0</v>
      </c>
      <c r="G2" s="1803">
        <f t="shared" si="2"/>
        <v>0</v>
      </c>
      <c r="H2" s="1803">
        <f t="shared" si="2"/>
        <v>0</v>
      </c>
      <c r="I2" s="1803">
        <f t="shared" si="2"/>
        <v>0</v>
      </c>
      <c r="J2" s="1803">
        <f t="shared" si="2"/>
        <v>0</v>
      </c>
      <c r="K2" s="1803">
        <f t="shared" si="2"/>
        <v>0</v>
      </c>
      <c r="L2" s="1803">
        <f t="shared" si="2"/>
        <v>0</v>
      </c>
      <c r="M2" s="1803">
        <f t="shared" si="2"/>
        <v>0</v>
      </c>
      <c r="N2" s="1803">
        <f t="shared" si="2"/>
        <v>0</v>
      </c>
      <c r="O2" s="1803">
        <f t="shared" si="2"/>
        <v>0</v>
      </c>
      <c r="P2" s="1803">
        <f t="shared" si="2"/>
        <v>0</v>
      </c>
      <c r="Q2" s="1803">
        <f t="shared" si="2"/>
        <v>0</v>
      </c>
      <c r="R2" s="1803">
        <f t="shared" si="2"/>
        <v>0</v>
      </c>
      <c r="S2" s="1803">
        <f t="shared" si="2"/>
        <v>0</v>
      </c>
      <c r="T2" s="1803">
        <f t="shared" si="2"/>
        <v>0</v>
      </c>
      <c r="U2" s="1803">
        <f t="shared" si="2"/>
        <v>0</v>
      </c>
      <c r="V2" s="1803">
        <f t="shared" si="2"/>
        <v>0</v>
      </c>
      <c r="W2" s="1803">
        <f t="shared" si="2"/>
        <v>0</v>
      </c>
      <c r="X2" s="1803">
        <f t="shared" si="2"/>
        <v>0</v>
      </c>
      <c r="Y2" s="1803">
        <f t="shared" si="2"/>
        <v>0</v>
      </c>
      <c r="Z2" s="1803">
        <f t="shared" si="2"/>
        <v>0</v>
      </c>
      <c r="AA2" s="1803">
        <f t="shared" si="2"/>
        <v>0</v>
      </c>
      <c r="AB2" s="1803">
        <f t="shared" si="2"/>
        <v>0</v>
      </c>
      <c r="AC2" s="1803">
        <f t="shared" si="2"/>
        <v>0</v>
      </c>
      <c r="AD2" s="1803">
        <f t="shared" si="2"/>
        <v>0</v>
      </c>
      <c r="AE2" s="1803">
        <f t="shared" si="2"/>
        <v>0</v>
      </c>
      <c r="AF2" s="1803">
        <f t="shared" si="2"/>
        <v>0</v>
      </c>
      <c r="AG2" s="1803">
        <f t="shared" si="2"/>
        <v>0</v>
      </c>
      <c r="AH2" s="1803">
        <f t="shared" si="2"/>
        <v>0</v>
      </c>
      <c r="AI2" s="1803">
        <f t="shared" si="2"/>
        <v>0</v>
      </c>
      <c r="AJ2" s="1803">
        <f t="shared" si="2"/>
        <v>0</v>
      </c>
      <c r="AK2" s="1803">
        <f t="shared" si="2"/>
        <v>0</v>
      </c>
      <c r="AL2" s="1803">
        <f t="shared" si="2"/>
        <v>0</v>
      </c>
      <c r="AM2" s="1803">
        <f t="shared" si="2"/>
        <v>0</v>
      </c>
      <c r="AN2" s="1803">
        <f t="shared" si="2"/>
        <v>0</v>
      </c>
      <c r="AO2" s="1803">
        <f t="shared" si="2"/>
        <v>0</v>
      </c>
      <c r="AP2" s="1803">
        <f t="shared" si="2"/>
        <v>0</v>
      </c>
      <c r="AQ2" s="1803">
        <f t="shared" si="2"/>
        <v>0</v>
      </c>
      <c r="AR2" s="1803">
        <f t="shared" si="2"/>
        <v>0</v>
      </c>
      <c r="AS2" s="1803">
        <f t="shared" si="2"/>
        <v>0</v>
      </c>
      <c r="AT2" s="1803">
        <f t="shared" si="2"/>
        <v>0</v>
      </c>
      <c r="AU2" s="1803">
        <f t="shared" si="2"/>
        <v>0</v>
      </c>
      <c r="AV2" s="1803">
        <f t="shared" si="2"/>
        <v>0</v>
      </c>
      <c r="AW2" s="1803">
        <f t="shared" si="2"/>
        <v>0</v>
      </c>
      <c r="AX2" s="1803">
        <f t="shared" si="2"/>
        <v>0</v>
      </c>
      <c r="AY2" s="1803">
        <f t="shared" si="2"/>
        <v>0</v>
      </c>
      <c r="AZ2" s="1803">
        <f t="shared" si="2"/>
        <v>0</v>
      </c>
      <c r="BA2" s="1803">
        <f t="shared" si="2"/>
        <v>0</v>
      </c>
      <c r="BB2" s="1803">
        <f t="shared" si="2"/>
        <v>0</v>
      </c>
      <c r="BC2" s="1803">
        <f t="shared" si="2"/>
        <v>0</v>
      </c>
      <c r="BD2" s="1803">
        <f t="shared" si="2"/>
        <v>0</v>
      </c>
      <c r="BE2" s="1803">
        <f t="shared" si="2"/>
        <v>0</v>
      </c>
      <c r="BF2" s="1803">
        <f t="shared" si="2"/>
        <v>0</v>
      </c>
      <c r="BG2" s="1803">
        <f t="shared" si="2"/>
        <v>0</v>
      </c>
      <c r="BH2" s="1803">
        <f t="shared" si="2"/>
        <v>0</v>
      </c>
      <c r="BI2" s="1803">
        <f t="shared" si="2"/>
        <v>0</v>
      </c>
      <c r="BJ2" s="1803">
        <f t="shared" si="2"/>
        <v>0</v>
      </c>
      <c r="BK2" s="1803">
        <f t="shared" si="2"/>
        <v>0</v>
      </c>
      <c r="BL2" s="1803">
        <f t="shared" si="2"/>
        <v>0</v>
      </c>
      <c r="BM2" s="1803">
        <f t="shared" si="2"/>
        <v>0</v>
      </c>
      <c r="BN2" s="1803">
        <f t="shared" si="2"/>
        <v>0</v>
      </c>
      <c r="BO2" s="1803">
        <f t="shared" si="2"/>
        <v>0</v>
      </c>
      <c r="BP2" s="1803">
        <f t="shared" si="2"/>
        <v>0</v>
      </c>
      <c r="BQ2" s="1803">
        <f t="shared" ref="BQ2:CX2" si="3">SUM(BQ11:BQ93)</f>
        <v>0</v>
      </c>
      <c r="BR2" s="1803">
        <f t="shared" si="3"/>
        <v>0</v>
      </c>
      <c r="BS2" s="1803">
        <f t="shared" si="3"/>
        <v>0</v>
      </c>
      <c r="BT2" s="1803">
        <f t="shared" si="3"/>
        <v>0</v>
      </c>
      <c r="BU2" s="1803">
        <f t="shared" si="3"/>
        <v>0</v>
      </c>
      <c r="BV2" s="1803">
        <f t="shared" si="3"/>
        <v>0</v>
      </c>
      <c r="BW2" s="1803">
        <f t="shared" si="3"/>
        <v>0</v>
      </c>
      <c r="BX2" s="1803">
        <f t="shared" si="3"/>
        <v>0</v>
      </c>
      <c r="BY2" s="1803">
        <f t="shared" si="3"/>
        <v>0</v>
      </c>
      <c r="BZ2" s="1803">
        <f t="shared" si="3"/>
        <v>0</v>
      </c>
      <c r="CA2" s="1803">
        <f t="shared" si="3"/>
        <v>0</v>
      </c>
      <c r="CB2" s="1803">
        <f>SUM(CB11:CB93)</f>
        <v>0</v>
      </c>
      <c r="CC2" s="1803">
        <f>SUM(CC11:CC93)</f>
        <v>0</v>
      </c>
      <c r="CD2" s="1803">
        <f>SUM(CD11:CD93)</f>
        <v>0</v>
      </c>
      <c r="CE2" s="1803">
        <f>SUM(CE11:CE93)</f>
        <v>0</v>
      </c>
      <c r="CF2" s="1803">
        <f>SUM(CF11:CF93)</f>
        <v>0</v>
      </c>
      <c r="CG2" s="1803">
        <f t="shared" si="3"/>
        <v>0</v>
      </c>
      <c r="CH2" s="1803">
        <f t="shared" si="3"/>
        <v>0</v>
      </c>
      <c r="CI2" s="1803">
        <f t="shared" si="3"/>
        <v>0</v>
      </c>
      <c r="CJ2" s="1803">
        <f t="shared" si="3"/>
        <v>0</v>
      </c>
      <c r="CK2" s="1803">
        <f t="shared" si="3"/>
        <v>0</v>
      </c>
      <c r="CL2" s="1803">
        <f t="shared" si="3"/>
        <v>0</v>
      </c>
      <c r="CM2" s="1803">
        <f t="shared" si="3"/>
        <v>0</v>
      </c>
      <c r="CN2" s="1803">
        <f t="shared" si="3"/>
        <v>0</v>
      </c>
      <c r="CO2" s="1803">
        <f t="shared" si="3"/>
        <v>0</v>
      </c>
      <c r="CP2" s="1803">
        <f t="shared" si="3"/>
        <v>0</v>
      </c>
      <c r="CQ2" s="1803">
        <f t="shared" si="3"/>
        <v>0</v>
      </c>
      <c r="CR2" s="1803">
        <f t="shared" si="3"/>
        <v>0</v>
      </c>
      <c r="CS2" s="1803">
        <f t="shared" si="3"/>
        <v>0</v>
      </c>
      <c r="CT2" s="1803">
        <f t="shared" si="3"/>
        <v>0</v>
      </c>
      <c r="CU2" s="1803">
        <f t="shared" si="3"/>
        <v>0</v>
      </c>
      <c r="CV2" s="1803">
        <f t="shared" si="3"/>
        <v>0</v>
      </c>
      <c r="CW2" s="1803">
        <f t="shared" si="3"/>
        <v>0</v>
      </c>
      <c r="CX2" s="1803">
        <f t="shared" si="3"/>
        <v>0</v>
      </c>
    </row>
    <row r="3" spans="1:262" ht="18.899999999999999" customHeight="1" outlineLevel="1">
      <c r="A3" s="1489" t="s">
        <v>4171</v>
      </c>
      <c r="B3" s="1803">
        <f>SUM(B11:B93)</f>
        <v>0</v>
      </c>
      <c r="C3" s="1489">
        <v>0</v>
      </c>
      <c r="D3" s="1803">
        <f>SUM(D11:D93)</f>
        <v>0</v>
      </c>
      <c r="E3" s="1803">
        <f t="shared" ref="E3:BP3" si="4">SUM(E11:E93)</f>
        <v>0</v>
      </c>
      <c r="F3" s="1803">
        <f t="shared" si="4"/>
        <v>0</v>
      </c>
      <c r="G3" s="1803">
        <f t="shared" si="4"/>
        <v>0</v>
      </c>
      <c r="H3" s="1803">
        <f t="shared" si="4"/>
        <v>0</v>
      </c>
      <c r="I3" s="1803">
        <f t="shared" si="4"/>
        <v>0</v>
      </c>
      <c r="J3" s="1803">
        <f t="shared" si="4"/>
        <v>0</v>
      </c>
      <c r="K3" s="1803">
        <f t="shared" si="4"/>
        <v>0</v>
      </c>
      <c r="L3" s="1803">
        <f t="shared" si="4"/>
        <v>0</v>
      </c>
      <c r="M3" s="1803">
        <f t="shared" si="4"/>
        <v>0</v>
      </c>
      <c r="N3" s="1803">
        <f t="shared" si="4"/>
        <v>0</v>
      </c>
      <c r="O3" s="1803">
        <f t="shared" si="4"/>
        <v>0</v>
      </c>
      <c r="P3" s="1803">
        <f t="shared" si="4"/>
        <v>0</v>
      </c>
      <c r="Q3" s="1803">
        <f t="shared" si="4"/>
        <v>0</v>
      </c>
      <c r="R3" s="1803">
        <f t="shared" si="4"/>
        <v>0</v>
      </c>
      <c r="S3" s="1803">
        <f t="shared" si="4"/>
        <v>0</v>
      </c>
      <c r="T3" s="1803">
        <f t="shared" si="4"/>
        <v>0</v>
      </c>
      <c r="U3" s="1803">
        <f t="shared" si="4"/>
        <v>0</v>
      </c>
      <c r="V3" s="1803">
        <f t="shared" si="4"/>
        <v>0</v>
      </c>
      <c r="W3" s="1803">
        <f t="shared" si="4"/>
        <v>0</v>
      </c>
      <c r="X3" s="1803">
        <f t="shared" si="4"/>
        <v>0</v>
      </c>
      <c r="Y3" s="1803">
        <f t="shared" si="4"/>
        <v>0</v>
      </c>
      <c r="Z3" s="1803">
        <f t="shared" si="4"/>
        <v>0</v>
      </c>
      <c r="AA3" s="1803">
        <f t="shared" si="4"/>
        <v>0</v>
      </c>
      <c r="AB3" s="1803">
        <f t="shared" si="4"/>
        <v>0</v>
      </c>
      <c r="AC3" s="1803">
        <f t="shared" si="4"/>
        <v>0</v>
      </c>
      <c r="AD3" s="1803">
        <f t="shared" si="4"/>
        <v>0</v>
      </c>
      <c r="AE3" s="1803">
        <f t="shared" si="4"/>
        <v>0</v>
      </c>
      <c r="AF3" s="1803">
        <f t="shared" si="4"/>
        <v>0</v>
      </c>
      <c r="AG3" s="1803">
        <f t="shared" si="4"/>
        <v>0</v>
      </c>
      <c r="AH3" s="1803">
        <f t="shared" si="4"/>
        <v>0</v>
      </c>
      <c r="AI3" s="1803">
        <f t="shared" si="4"/>
        <v>0</v>
      </c>
      <c r="AJ3" s="1803">
        <f t="shared" si="4"/>
        <v>0</v>
      </c>
      <c r="AK3" s="1803">
        <f t="shared" si="4"/>
        <v>0</v>
      </c>
      <c r="AL3" s="1803">
        <f t="shared" si="4"/>
        <v>0</v>
      </c>
      <c r="AM3" s="1803">
        <f t="shared" si="4"/>
        <v>0</v>
      </c>
      <c r="AN3" s="1803">
        <f t="shared" si="4"/>
        <v>0</v>
      </c>
      <c r="AO3" s="1803">
        <f t="shared" si="4"/>
        <v>0</v>
      </c>
      <c r="AP3" s="1803">
        <f t="shared" si="4"/>
        <v>0</v>
      </c>
      <c r="AQ3" s="1803">
        <f t="shared" si="4"/>
        <v>0</v>
      </c>
      <c r="AR3" s="1803">
        <f t="shared" si="4"/>
        <v>0</v>
      </c>
      <c r="AS3" s="1803">
        <f t="shared" si="4"/>
        <v>0</v>
      </c>
      <c r="AT3" s="1803">
        <f t="shared" si="4"/>
        <v>0</v>
      </c>
      <c r="AU3" s="1803">
        <f t="shared" si="4"/>
        <v>0</v>
      </c>
      <c r="AV3" s="1803">
        <f t="shared" si="4"/>
        <v>0</v>
      </c>
      <c r="AW3" s="1803">
        <f t="shared" si="4"/>
        <v>0</v>
      </c>
      <c r="AX3" s="1803">
        <f t="shared" si="4"/>
        <v>0</v>
      </c>
      <c r="AY3" s="1803">
        <f t="shared" si="4"/>
        <v>0</v>
      </c>
      <c r="AZ3" s="1803">
        <f t="shared" si="4"/>
        <v>0</v>
      </c>
      <c r="BA3" s="1803">
        <f t="shared" si="4"/>
        <v>0</v>
      </c>
      <c r="BB3" s="1803">
        <f t="shared" si="4"/>
        <v>0</v>
      </c>
      <c r="BC3" s="1803">
        <f t="shared" si="4"/>
        <v>0</v>
      </c>
      <c r="BD3" s="1803">
        <f t="shared" si="4"/>
        <v>0</v>
      </c>
      <c r="BE3" s="1803">
        <f t="shared" si="4"/>
        <v>0</v>
      </c>
      <c r="BF3" s="1803">
        <f t="shared" si="4"/>
        <v>0</v>
      </c>
      <c r="BG3" s="1803">
        <f t="shared" si="4"/>
        <v>0</v>
      </c>
      <c r="BH3" s="1803">
        <f t="shared" si="4"/>
        <v>0</v>
      </c>
      <c r="BI3" s="1803">
        <f t="shared" si="4"/>
        <v>0</v>
      </c>
      <c r="BJ3" s="1803">
        <f t="shared" si="4"/>
        <v>0</v>
      </c>
      <c r="BK3" s="1803">
        <f t="shared" si="4"/>
        <v>0</v>
      </c>
      <c r="BL3" s="1803">
        <f t="shared" si="4"/>
        <v>0</v>
      </c>
      <c r="BM3" s="1803">
        <f t="shared" si="4"/>
        <v>0</v>
      </c>
      <c r="BN3" s="1803">
        <f t="shared" si="4"/>
        <v>0</v>
      </c>
      <c r="BO3" s="1803">
        <f t="shared" si="4"/>
        <v>0</v>
      </c>
      <c r="BP3" s="1803">
        <f t="shared" si="4"/>
        <v>0</v>
      </c>
      <c r="BQ3" s="1803">
        <f t="shared" ref="BQ3:CX3" si="5">SUM(BQ11:BQ93)</f>
        <v>0</v>
      </c>
      <c r="BR3" s="1803">
        <f t="shared" si="5"/>
        <v>0</v>
      </c>
      <c r="BS3" s="1803">
        <f t="shared" si="5"/>
        <v>0</v>
      </c>
      <c r="BT3" s="1803">
        <f t="shared" si="5"/>
        <v>0</v>
      </c>
      <c r="BU3" s="1803">
        <f t="shared" si="5"/>
        <v>0</v>
      </c>
      <c r="BV3" s="1803">
        <f t="shared" si="5"/>
        <v>0</v>
      </c>
      <c r="BW3" s="1803">
        <f t="shared" si="5"/>
        <v>0</v>
      </c>
      <c r="BX3" s="1803">
        <f t="shared" si="5"/>
        <v>0</v>
      </c>
      <c r="BY3" s="1803">
        <f t="shared" si="5"/>
        <v>0</v>
      </c>
      <c r="BZ3" s="1803">
        <f t="shared" si="5"/>
        <v>0</v>
      </c>
      <c r="CA3" s="1803">
        <f t="shared" si="5"/>
        <v>0</v>
      </c>
      <c r="CB3" s="1803">
        <f>SUM(CB11:CB93)</f>
        <v>0</v>
      </c>
      <c r="CC3" s="1803">
        <f>SUM(CC11:CC93)</f>
        <v>0</v>
      </c>
      <c r="CD3" s="1803">
        <f>SUM(CD11:CD93)</f>
        <v>0</v>
      </c>
      <c r="CE3" s="1803">
        <f>SUM(CE11:CE93)</f>
        <v>0</v>
      </c>
      <c r="CF3" s="1803">
        <f>SUM(CF11:CF93)</f>
        <v>0</v>
      </c>
      <c r="CG3" s="1803">
        <f t="shared" si="5"/>
        <v>0</v>
      </c>
      <c r="CH3" s="1803">
        <f t="shared" si="5"/>
        <v>0</v>
      </c>
      <c r="CI3" s="1803">
        <f t="shared" si="5"/>
        <v>0</v>
      </c>
      <c r="CJ3" s="1803">
        <f t="shared" si="5"/>
        <v>0</v>
      </c>
      <c r="CK3" s="1803">
        <f t="shared" si="5"/>
        <v>0</v>
      </c>
      <c r="CL3" s="1803">
        <f t="shared" si="5"/>
        <v>0</v>
      </c>
      <c r="CM3" s="1803">
        <f t="shared" si="5"/>
        <v>0</v>
      </c>
      <c r="CN3" s="1803">
        <f t="shared" si="5"/>
        <v>0</v>
      </c>
      <c r="CO3" s="1803">
        <f t="shared" si="5"/>
        <v>0</v>
      </c>
      <c r="CP3" s="1803">
        <f t="shared" si="5"/>
        <v>0</v>
      </c>
      <c r="CQ3" s="1803">
        <f t="shared" si="5"/>
        <v>0</v>
      </c>
      <c r="CR3" s="1803">
        <f t="shared" si="5"/>
        <v>0</v>
      </c>
      <c r="CS3" s="1803">
        <f t="shared" si="5"/>
        <v>0</v>
      </c>
      <c r="CT3" s="1803">
        <f t="shared" si="5"/>
        <v>0</v>
      </c>
      <c r="CU3" s="1803">
        <f t="shared" si="5"/>
        <v>0</v>
      </c>
      <c r="CV3" s="1803">
        <f t="shared" si="5"/>
        <v>0</v>
      </c>
      <c r="CW3" s="1803">
        <f t="shared" si="5"/>
        <v>0</v>
      </c>
      <c r="CX3" s="1803">
        <f t="shared" si="5"/>
        <v>0</v>
      </c>
    </row>
    <row r="4" spans="1:262" s="1529" customFormat="1" ht="13.8" outlineLevel="1">
      <c r="E4" s="1489"/>
      <c r="F4" s="1489"/>
      <c r="G4" s="1489"/>
      <c r="I4" s="1489"/>
      <c r="J4" s="1489"/>
      <c r="K4" s="1489"/>
      <c r="M4" s="1489"/>
      <c r="N4" s="1489"/>
      <c r="O4" s="1489"/>
      <c r="P4" s="1489"/>
      <c r="Q4" s="1489"/>
      <c r="R4" s="1489"/>
      <c r="S4" s="1489"/>
      <c r="T4" s="1489"/>
      <c r="U4" s="1489"/>
      <c r="W4" s="1489"/>
      <c r="X4" s="1489"/>
      <c r="Y4" s="1489"/>
      <c r="Z4" s="1489"/>
      <c r="AA4" s="1489"/>
      <c r="AB4" s="1489"/>
      <c r="AC4" s="1489"/>
      <c r="AD4" s="1489"/>
      <c r="AE4" s="1489"/>
      <c r="AF4" s="1489"/>
      <c r="AG4" s="1489"/>
      <c r="AH4" s="1489"/>
      <c r="AI4" s="1489"/>
      <c r="AJ4" s="1489"/>
      <c r="AK4" s="1489"/>
      <c r="AL4" s="1489"/>
      <c r="AM4" s="1489"/>
      <c r="AP4" s="1489"/>
      <c r="AQ4" s="1489"/>
      <c r="AR4" s="1489"/>
      <c r="AS4" s="1489"/>
      <c r="AT4" s="1489"/>
      <c r="AU4" s="1489"/>
      <c r="AV4" s="1489"/>
      <c r="AY4" s="1489"/>
      <c r="AZ4" s="1489"/>
      <c r="BA4" s="1489"/>
      <c r="BB4" s="1489"/>
      <c r="BC4" s="1489"/>
      <c r="BD4" s="1489"/>
      <c r="BE4" s="1489"/>
      <c r="BF4" s="1489"/>
      <c r="BG4" s="1489"/>
      <c r="BH4" s="1489"/>
      <c r="BI4" s="1489"/>
      <c r="BJ4" s="1489"/>
      <c r="BK4" s="1489"/>
      <c r="BL4" s="1489"/>
      <c r="BM4" s="1489"/>
      <c r="BN4" s="1489"/>
      <c r="BO4" s="1489"/>
      <c r="BP4" s="1489"/>
      <c r="BQ4" s="1489"/>
      <c r="BR4" s="1489"/>
      <c r="BS4" s="1489"/>
      <c r="BT4" s="1489"/>
      <c r="BV4" s="1489"/>
      <c r="BW4" s="1489"/>
      <c r="BX4" s="1489"/>
      <c r="BY4" s="1489"/>
      <c r="CG4" s="1489"/>
      <c r="CH4" s="1489"/>
      <c r="CI4" s="1489"/>
      <c r="CJ4" s="1489"/>
      <c r="CK4" s="1489"/>
      <c r="CL4" s="1489"/>
      <c r="CM4" s="1489"/>
      <c r="CN4" s="1489"/>
      <c r="CO4" s="1489"/>
      <c r="CQ4" s="1489"/>
      <c r="CW4" s="1489"/>
    </row>
    <row r="5" spans="1:262" s="1494" customFormat="1" ht="27" customHeight="1">
      <c r="A5" s="510" t="s">
        <v>3904</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93"/>
    </row>
    <row r="6" spans="1:262" s="1494" customFormat="1" ht="31.2" customHeight="1">
      <c r="A6" s="3151" t="str">
        <f>chitiet!E7</f>
        <v>Công trình: Đường dây 22kV &amp; TBA 3P-1000kVA Công ty TNHH Đầu tư Đồng Tâm Solar</v>
      </c>
      <c r="B6" s="3151"/>
      <c r="C6" s="3151"/>
      <c r="D6" s="3151"/>
      <c r="E6" s="3151"/>
      <c r="F6" s="3151"/>
      <c r="G6" s="3151"/>
      <c r="H6" s="3151"/>
      <c r="I6" s="3151"/>
      <c r="J6" s="3151"/>
      <c r="K6" s="3151"/>
      <c r="L6" s="3151"/>
      <c r="M6" s="3151"/>
      <c r="N6" s="3151"/>
      <c r="O6" s="3151"/>
      <c r="P6" s="3151"/>
      <c r="Q6" s="3151"/>
      <c r="R6" s="3151"/>
      <c r="S6" s="3151"/>
      <c r="T6" s="3151"/>
      <c r="U6" s="3151"/>
      <c r="V6" s="3151"/>
      <c r="W6" s="3151"/>
      <c r="X6" s="3151"/>
      <c r="Y6" s="3151"/>
      <c r="Z6" s="3151"/>
      <c r="AA6" s="3151"/>
      <c r="AB6" s="3151"/>
      <c r="AC6" s="3151"/>
      <c r="AD6" s="3151"/>
      <c r="AE6" s="3151"/>
      <c r="AF6" s="3151"/>
      <c r="AG6" s="3151"/>
      <c r="AH6" s="3151"/>
      <c r="AI6" s="3151"/>
      <c r="AJ6" s="3151"/>
      <c r="AK6" s="3151"/>
      <c r="AL6" s="3151"/>
      <c r="AM6" s="3151"/>
      <c r="AN6" s="3151"/>
      <c r="AO6" s="3151"/>
      <c r="AP6" s="3151"/>
      <c r="AQ6" s="3151"/>
      <c r="AR6" s="3151"/>
      <c r="AS6" s="3151"/>
      <c r="AT6" s="3151"/>
      <c r="AU6" s="3151"/>
      <c r="AV6" s="3151"/>
      <c r="AW6" s="3151"/>
      <c r="AX6" s="3151"/>
      <c r="AY6" s="3151"/>
      <c r="AZ6" s="3151"/>
      <c r="BA6" s="3151"/>
      <c r="BB6" s="3151"/>
      <c r="BC6" s="3151"/>
      <c r="BD6" s="3151"/>
      <c r="BE6" s="3151"/>
      <c r="BF6" s="3151"/>
      <c r="BG6" s="3151"/>
      <c r="BH6" s="3151"/>
      <c r="BI6" s="3151"/>
      <c r="BJ6" s="3151"/>
      <c r="BK6" s="3151"/>
      <c r="BL6" s="3151"/>
      <c r="BM6" s="3151"/>
      <c r="BN6" s="3151"/>
      <c r="BO6" s="3151"/>
      <c r="BP6" s="3151"/>
      <c r="BQ6" s="3151"/>
      <c r="BR6" s="3151"/>
      <c r="BS6" s="3151"/>
      <c r="BT6" s="3151"/>
      <c r="BU6" s="3151"/>
      <c r="BV6" s="3151"/>
      <c r="BW6" s="3151"/>
      <c r="BX6" s="3151"/>
      <c r="BY6" s="3151"/>
      <c r="BZ6" s="3151"/>
      <c r="CA6" s="3151"/>
      <c r="CB6" s="3151"/>
      <c r="CC6" s="3151"/>
      <c r="CD6" s="3151"/>
      <c r="CE6" s="3151"/>
      <c r="CF6" s="3151"/>
      <c r="CG6" s="3151"/>
      <c r="CH6" s="3151"/>
      <c r="CI6" s="3151"/>
      <c r="CJ6" s="3151"/>
      <c r="CK6" s="3151"/>
      <c r="CL6" s="3151"/>
      <c r="CM6" s="3151"/>
      <c r="CN6" s="3151"/>
      <c r="CO6" s="3151"/>
      <c r="CP6" s="3151"/>
      <c r="CQ6" s="3151"/>
      <c r="CR6" s="3151"/>
      <c r="CS6" s="3151"/>
      <c r="CT6" s="3151"/>
      <c r="CU6" s="3151"/>
      <c r="CV6" s="3151"/>
      <c r="CW6" s="3151"/>
      <c r="CX6" s="3151"/>
    </row>
    <row r="7" spans="1:262" s="1494" customFormat="1" ht="31.2" customHeight="1" thickBot="1">
      <c r="A7" s="3151" t="str">
        <f>chitiet!E8</f>
        <v>Địa điểm: Xã Xuân Hưng - Huyện Xuân Lộc - Tỉnh Đồng Nai</v>
      </c>
      <c r="B7" s="3151"/>
      <c r="C7" s="3103"/>
      <c r="D7" s="3151"/>
      <c r="E7" s="3103"/>
      <c r="F7" s="3103"/>
      <c r="G7" s="3103"/>
      <c r="H7" s="3151"/>
      <c r="I7" s="3103"/>
      <c r="J7" s="3151"/>
      <c r="K7" s="3103"/>
      <c r="L7" s="3151"/>
      <c r="M7" s="3151"/>
      <c r="N7" s="3103"/>
      <c r="O7" s="3103"/>
      <c r="P7" s="3103"/>
      <c r="Q7" s="3103"/>
      <c r="R7" s="3103"/>
      <c r="S7" s="3151"/>
      <c r="T7" s="3103"/>
      <c r="U7" s="3103"/>
      <c r="V7" s="3103"/>
      <c r="W7" s="3151"/>
      <c r="X7" s="3103"/>
      <c r="Y7" s="3103"/>
      <c r="Z7" s="3103"/>
      <c r="AA7" s="3103"/>
      <c r="AB7" s="3103"/>
      <c r="AC7" s="3103"/>
      <c r="AD7" s="3103"/>
      <c r="AE7" s="3103"/>
      <c r="AF7" s="3103"/>
      <c r="AG7" s="3103"/>
      <c r="AH7" s="3103"/>
      <c r="AI7" s="3103"/>
      <c r="AJ7" s="3103"/>
      <c r="AK7" s="3103"/>
      <c r="AL7" s="3103"/>
      <c r="AM7" s="3103"/>
      <c r="AN7" s="3151"/>
      <c r="AO7" s="3151"/>
      <c r="AP7" s="3103"/>
      <c r="AQ7" s="3103"/>
      <c r="AR7" s="3103"/>
      <c r="AS7" s="3103"/>
      <c r="AT7" s="3103"/>
      <c r="AU7" s="3103"/>
      <c r="AV7" s="3103"/>
      <c r="AW7" s="3151"/>
      <c r="AX7" s="3151"/>
      <c r="AY7" s="3103"/>
      <c r="AZ7" s="3103"/>
      <c r="BA7" s="3103"/>
      <c r="BB7" s="3103"/>
      <c r="BC7" s="3103"/>
      <c r="BD7" s="3151"/>
      <c r="BE7" s="3103"/>
      <c r="BF7" s="3103"/>
      <c r="BG7" s="3103"/>
      <c r="BH7" s="3103"/>
      <c r="BI7" s="3103"/>
      <c r="BJ7" s="3103"/>
      <c r="BK7" s="3103"/>
      <c r="BL7" s="3103"/>
      <c r="BM7" s="3151"/>
      <c r="BN7" s="3103"/>
      <c r="BO7" s="3151"/>
      <c r="BP7" s="3151"/>
      <c r="BQ7" s="3103"/>
      <c r="BR7" s="3103"/>
      <c r="BS7" s="3103"/>
      <c r="BT7" s="3151"/>
      <c r="BU7" s="3151"/>
      <c r="BV7" s="3151"/>
      <c r="BW7" s="3151"/>
      <c r="BX7" s="3151"/>
      <c r="BY7" s="3103"/>
      <c r="BZ7" s="3151"/>
      <c r="CA7" s="3151"/>
      <c r="CB7" s="3151"/>
      <c r="CC7" s="3151"/>
      <c r="CD7" s="3103"/>
      <c r="CE7" s="3103"/>
      <c r="CF7" s="3103"/>
      <c r="CG7" s="3103"/>
      <c r="CH7" s="3103"/>
      <c r="CI7" s="3103"/>
      <c r="CJ7" s="3103"/>
      <c r="CK7" s="3103"/>
      <c r="CL7" s="3103"/>
      <c r="CM7" s="3103"/>
      <c r="CN7" s="3103"/>
      <c r="CO7" s="3103"/>
      <c r="CP7" s="3103"/>
      <c r="CQ7" s="3103"/>
      <c r="CR7" s="3151"/>
      <c r="CS7" s="3151"/>
      <c r="CT7" s="3151"/>
      <c r="CU7" s="3151"/>
      <c r="CV7" s="3151"/>
      <c r="CW7" s="3151"/>
      <c r="CX7" s="3151"/>
    </row>
    <row r="8" spans="1:262" s="529" customFormat="1" ht="29.4" customHeight="1" thickTop="1">
      <c r="A8" s="3117" t="s">
        <v>3765</v>
      </c>
      <c r="B8" s="3117" t="s">
        <v>3766</v>
      </c>
      <c r="C8" s="3122" t="s">
        <v>3905</v>
      </c>
      <c r="D8" s="3117" t="s">
        <v>3906</v>
      </c>
      <c r="E8" s="3124" t="s">
        <v>3773</v>
      </c>
      <c r="F8" s="3120" t="s">
        <v>3774</v>
      </c>
      <c r="G8" s="3126" t="s">
        <v>3907</v>
      </c>
      <c r="H8" s="3117" t="s">
        <v>3776</v>
      </c>
      <c r="I8" s="3130" t="s">
        <v>2277</v>
      </c>
      <c r="J8" s="3131"/>
      <c r="K8" s="3130"/>
      <c r="L8" s="3131"/>
      <c r="M8" s="3132"/>
      <c r="N8" s="1819"/>
      <c r="O8" s="528"/>
      <c r="P8" s="528"/>
      <c r="Q8" s="528"/>
      <c r="R8" s="562"/>
      <c r="S8" s="1847"/>
      <c r="T8" s="1821"/>
      <c r="U8" s="511" t="s">
        <v>2327</v>
      </c>
      <c r="V8" s="562"/>
      <c r="W8" s="1847"/>
      <c r="X8" s="1821"/>
      <c r="Y8" s="528"/>
      <c r="Z8" s="528"/>
      <c r="AA8" s="528"/>
      <c r="AB8" s="528"/>
      <c r="AC8" s="528"/>
      <c r="AD8" s="528"/>
      <c r="AE8" s="528"/>
      <c r="AF8" s="528"/>
      <c r="AG8" s="528"/>
      <c r="AH8" s="528"/>
      <c r="AI8" s="528"/>
      <c r="AJ8" s="528"/>
      <c r="AK8" s="511"/>
      <c r="AL8" s="511"/>
      <c r="AM8" s="1806"/>
      <c r="AN8" s="1848" t="s">
        <v>3908</v>
      </c>
      <c r="AO8" s="1848"/>
      <c r="AP8" s="1821"/>
      <c r="AQ8" s="528"/>
      <c r="AR8" s="528"/>
      <c r="AS8" s="528"/>
      <c r="AT8" s="528"/>
      <c r="AU8" s="528"/>
      <c r="AV8" s="562"/>
      <c r="AW8" s="1848" t="s">
        <v>3881</v>
      </c>
      <c r="AX8" s="1847"/>
      <c r="AY8" s="1821"/>
      <c r="AZ8" s="528"/>
      <c r="BA8" s="528"/>
      <c r="BB8" s="528"/>
      <c r="BC8" s="3118" t="s">
        <v>2390</v>
      </c>
      <c r="BD8" s="3117" t="s">
        <v>2392</v>
      </c>
      <c r="BE8" s="3145" t="s">
        <v>2394</v>
      </c>
      <c r="BF8" s="511"/>
      <c r="BG8" s="528"/>
      <c r="BH8" s="528"/>
      <c r="BI8" s="528"/>
      <c r="BJ8" s="511" t="s">
        <v>3780</v>
      </c>
      <c r="BK8" s="528"/>
      <c r="BL8" s="562"/>
      <c r="BM8" s="3140" t="s">
        <v>4536</v>
      </c>
      <c r="BN8" s="1939"/>
      <c r="BO8" s="3128" t="s">
        <v>3781</v>
      </c>
      <c r="BP8" s="3128" t="s">
        <v>3782</v>
      </c>
      <c r="BQ8" s="3135" t="s">
        <v>3909</v>
      </c>
      <c r="BR8" s="3149" t="s">
        <v>3910</v>
      </c>
      <c r="BS8" s="3133" t="s">
        <v>3885</v>
      </c>
      <c r="BT8" s="3137" t="s">
        <v>3911</v>
      </c>
      <c r="BU8" s="3117" t="s">
        <v>3912</v>
      </c>
      <c r="BV8" s="3125" t="s">
        <v>3913</v>
      </c>
      <c r="BW8" s="3137" t="s">
        <v>3914</v>
      </c>
      <c r="BX8" s="3117" t="s">
        <v>3786</v>
      </c>
      <c r="BY8" s="3143" t="s">
        <v>3788</v>
      </c>
      <c r="BZ8" s="3117" t="s">
        <v>3915</v>
      </c>
      <c r="CA8" s="3117" t="s">
        <v>4778</v>
      </c>
      <c r="CB8" s="3117" t="s">
        <v>3791</v>
      </c>
      <c r="CC8" s="3117" t="s">
        <v>2873</v>
      </c>
      <c r="CD8" s="3145" t="s">
        <v>2874</v>
      </c>
      <c r="CE8" s="3120" t="s">
        <v>2875</v>
      </c>
      <c r="CF8" s="3120" t="s">
        <v>2876</v>
      </c>
      <c r="CG8" s="3120" t="s">
        <v>2877</v>
      </c>
      <c r="CH8" s="3120" t="s">
        <v>2878</v>
      </c>
      <c r="CI8" s="3120" t="s">
        <v>2879</v>
      </c>
      <c r="CJ8" s="3120" t="s">
        <v>3798</v>
      </c>
      <c r="CK8" s="3120" t="s">
        <v>3799</v>
      </c>
      <c r="CL8" s="3120" t="s">
        <v>3800</v>
      </c>
      <c r="CM8" s="3120" t="s">
        <v>3801</v>
      </c>
      <c r="CN8" s="3120" t="s">
        <v>3802</v>
      </c>
      <c r="CO8" s="3120" t="s">
        <v>3803</v>
      </c>
      <c r="CP8" s="3120" t="s">
        <v>4727</v>
      </c>
      <c r="CQ8" s="3118" t="s">
        <v>3916</v>
      </c>
      <c r="CR8" s="3117" t="s">
        <v>421</v>
      </c>
      <c r="CS8" s="3125" t="s">
        <v>4732</v>
      </c>
      <c r="CT8" s="3117" t="s">
        <v>368</v>
      </c>
      <c r="CU8" s="3117" t="s">
        <v>369</v>
      </c>
      <c r="CV8" s="3137" t="s">
        <v>4730</v>
      </c>
      <c r="CW8" s="3137" t="s">
        <v>3917</v>
      </c>
      <c r="CX8" s="3152" t="s">
        <v>2599</v>
      </c>
    </row>
    <row r="9" spans="1:262" s="529" customFormat="1" ht="117" customHeight="1">
      <c r="A9" s="3117"/>
      <c r="B9" s="3117"/>
      <c r="C9" s="3123"/>
      <c r="D9" s="3117"/>
      <c r="E9" s="3125"/>
      <c r="F9" s="3121"/>
      <c r="G9" s="3127"/>
      <c r="H9" s="3117"/>
      <c r="I9" s="1818" t="s">
        <v>300</v>
      </c>
      <c r="J9" s="1928" t="s">
        <v>318</v>
      </c>
      <c r="K9" s="512" t="s">
        <v>2308</v>
      </c>
      <c r="L9" s="1928" t="s">
        <v>301</v>
      </c>
      <c r="M9" s="1930" t="s">
        <v>302</v>
      </c>
      <c r="N9" s="1820" t="s">
        <v>695</v>
      </c>
      <c r="O9" s="513" t="s">
        <v>994</v>
      </c>
      <c r="P9" s="513" t="s">
        <v>100</v>
      </c>
      <c r="Q9" s="513" t="s">
        <v>833</v>
      </c>
      <c r="R9" s="1805" t="s">
        <v>834</v>
      </c>
      <c r="S9" s="1928" t="s">
        <v>219</v>
      </c>
      <c r="T9" s="1822" t="s">
        <v>760</v>
      </c>
      <c r="U9" s="530" t="s">
        <v>303</v>
      </c>
      <c r="V9" s="1929" t="s">
        <v>2305</v>
      </c>
      <c r="W9" s="1928" t="s">
        <v>2306</v>
      </c>
      <c r="X9" s="1822" t="s">
        <v>2263</v>
      </c>
      <c r="Y9" s="1487" t="s">
        <v>304</v>
      </c>
      <c r="Z9" s="513" t="s">
        <v>638</v>
      </c>
      <c r="AA9" s="513" t="s">
        <v>647</v>
      </c>
      <c r="AB9" s="1487" t="s">
        <v>646</v>
      </c>
      <c r="AC9" s="513" t="s">
        <v>1901</v>
      </c>
      <c r="AD9" s="513" t="s">
        <v>648</v>
      </c>
      <c r="AE9" s="513" t="s">
        <v>750</v>
      </c>
      <c r="AF9" s="513" t="s">
        <v>649</v>
      </c>
      <c r="AG9" s="513" t="s">
        <v>483</v>
      </c>
      <c r="AH9" s="513" t="s">
        <v>484</v>
      </c>
      <c r="AI9" s="513" t="s">
        <v>650</v>
      </c>
      <c r="AJ9" s="513" t="s">
        <v>1642</v>
      </c>
      <c r="AK9" s="530" t="s">
        <v>835</v>
      </c>
      <c r="AL9" s="530" t="s">
        <v>836</v>
      </c>
      <c r="AM9" s="1807" t="s">
        <v>837</v>
      </c>
      <c r="AN9" s="1932" t="s">
        <v>663</v>
      </c>
      <c r="AO9" s="1932" t="s">
        <v>664</v>
      </c>
      <c r="AP9" s="1820" t="s">
        <v>665</v>
      </c>
      <c r="AQ9" s="530" t="s">
        <v>666</v>
      </c>
      <c r="AR9" s="530" t="s">
        <v>912</v>
      </c>
      <c r="AS9" s="530" t="s">
        <v>913</v>
      </c>
      <c r="AT9" s="514" t="s">
        <v>749</v>
      </c>
      <c r="AU9" s="514" t="s">
        <v>748</v>
      </c>
      <c r="AV9" s="1808" t="s">
        <v>3860</v>
      </c>
      <c r="AW9" s="1928" t="s">
        <v>1492</v>
      </c>
      <c r="AX9" s="1928" t="s">
        <v>1493</v>
      </c>
      <c r="AY9" s="1823" t="s">
        <v>1572</v>
      </c>
      <c r="AZ9" s="1487" t="s">
        <v>1091</v>
      </c>
      <c r="BA9" s="1487" t="s">
        <v>2146</v>
      </c>
      <c r="BB9" s="1487" t="s">
        <v>1092</v>
      </c>
      <c r="BC9" s="3119"/>
      <c r="BD9" s="3117"/>
      <c r="BE9" s="3146"/>
      <c r="BF9" s="1487" t="s">
        <v>2291</v>
      </c>
      <c r="BG9" s="1487" t="s">
        <v>909</v>
      </c>
      <c r="BH9" s="1487" t="s">
        <v>2296</v>
      </c>
      <c r="BI9" s="1487" t="s">
        <v>910</v>
      </c>
      <c r="BJ9" s="1487" t="s">
        <v>2293</v>
      </c>
      <c r="BK9" s="1487" t="s">
        <v>2119</v>
      </c>
      <c r="BL9" s="1804" t="s">
        <v>2297</v>
      </c>
      <c r="BM9" s="3141"/>
      <c r="BN9" s="1931" t="s">
        <v>344</v>
      </c>
      <c r="BO9" s="3129"/>
      <c r="BP9" s="3129"/>
      <c r="BQ9" s="3136"/>
      <c r="BR9" s="3150"/>
      <c r="BS9" s="3134"/>
      <c r="BT9" s="3138"/>
      <c r="BU9" s="3129"/>
      <c r="BV9" s="3148"/>
      <c r="BW9" s="3138"/>
      <c r="BX9" s="3129"/>
      <c r="BY9" s="3144"/>
      <c r="BZ9" s="3129"/>
      <c r="CA9" s="3129"/>
      <c r="CB9" s="3129"/>
      <c r="CC9" s="3129"/>
      <c r="CD9" s="3147"/>
      <c r="CE9" s="3139"/>
      <c r="CF9" s="3139"/>
      <c r="CG9" s="3139"/>
      <c r="CH9" s="3139"/>
      <c r="CI9" s="3139"/>
      <c r="CJ9" s="3139"/>
      <c r="CK9" s="3139"/>
      <c r="CL9" s="3139"/>
      <c r="CM9" s="3139"/>
      <c r="CN9" s="3139"/>
      <c r="CO9" s="3139"/>
      <c r="CP9" s="3139"/>
      <c r="CQ9" s="3134"/>
      <c r="CR9" s="3129"/>
      <c r="CS9" s="3148"/>
      <c r="CT9" s="3129"/>
      <c r="CU9" s="3129"/>
      <c r="CV9" s="3138"/>
      <c r="CW9" s="3138"/>
      <c r="CX9" s="3153"/>
    </row>
    <row r="10" spans="1:262" s="1956" customFormat="1" ht="27" hidden="1" customHeight="1">
      <c r="A10" s="1952" t="str">
        <f>IF(A9=0,A8,A9)</f>
        <v>Số trụ</v>
      </c>
      <c r="B10" s="1952" t="str">
        <f t="shared" ref="B10:BN10" si="6">IF(B9=0,B8,B9)</f>
        <v>Kh.cách</v>
      </c>
      <c r="C10" s="1886" t="str">
        <f t="shared" si="6"/>
        <v>Cộng dồn AC50+AC50</v>
      </c>
      <c r="D10" s="1952" t="str">
        <f t="shared" si="6"/>
        <v>Cộng dồn ACXV50+AC50</v>
      </c>
      <c r="E10" s="1887" t="str">
        <f t="shared" si="6"/>
        <v>Khoảng néo</v>
      </c>
      <c r="F10" s="516" t="str">
        <f t="shared" si="6"/>
        <v>Hướng</v>
      </c>
      <c r="G10" s="516" t="str">
        <f t="shared" si="6"/>
        <v>Góc</v>
      </c>
      <c r="H10" s="1952" t="str">
        <f t="shared" si="6"/>
        <v>Hình thức trụ</v>
      </c>
      <c r="I10" s="1887" t="str">
        <f t="shared" si="6"/>
        <v>BTLT 10.5</v>
      </c>
      <c r="J10" s="1953" t="str">
        <f t="shared" si="6"/>
        <v>BTLT 12 HH</v>
      </c>
      <c r="K10" s="1887" t="str">
        <f t="shared" si="6"/>
        <v>BTLT 12 TĐ</v>
      </c>
      <c r="L10" s="1952" t="str">
        <f>IF(L9=0,L8,L9)</f>
        <v>BTLT 12</v>
      </c>
      <c r="M10" s="1918" t="str">
        <f t="shared" si="6"/>
        <v>BTLT 14</v>
      </c>
      <c r="N10" s="1887" t="str">
        <f t="shared" si="6"/>
        <v>M10a</v>
      </c>
      <c r="O10" s="516" t="str">
        <f t="shared" si="6"/>
        <v>M10b</v>
      </c>
      <c r="P10" s="516" t="str">
        <f t="shared" si="6"/>
        <v>M10aa</v>
      </c>
      <c r="Q10" s="516" t="str">
        <f t="shared" si="6"/>
        <v>M10ba</v>
      </c>
      <c r="R10" s="516" t="str">
        <f t="shared" si="6"/>
        <v>M10bb</v>
      </c>
      <c r="S10" s="1953" t="str">
        <f t="shared" si="6"/>
        <v>M12</v>
      </c>
      <c r="T10" s="1887" t="str">
        <f t="shared" si="6"/>
        <v>M10-2b</v>
      </c>
      <c r="U10" s="516" t="str">
        <f t="shared" si="6"/>
        <v>M12a</v>
      </c>
      <c r="V10" s="1531" t="str">
        <f t="shared" si="6"/>
        <v>M12BT ĐƠN</v>
      </c>
      <c r="W10" s="1954"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52" t="str">
        <f t="shared" si="6"/>
        <v>CX12-B</v>
      </c>
      <c r="AO10" s="1952" t="str">
        <f t="shared" si="6"/>
        <v>CL12-B</v>
      </c>
      <c r="AP10" s="1887"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52" t="str">
        <f t="shared" si="6"/>
        <v>NXX</v>
      </c>
      <c r="AX10" s="1952" t="str">
        <f t="shared" si="6"/>
        <v>NXL</v>
      </c>
      <c r="AY10" s="1887"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53" t="str">
        <f t="shared" si="6"/>
        <v>Tiếp địa lặp lại trụ 12m</v>
      </c>
      <c r="BE10" s="1887"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23"/>
      <c r="BN10" s="1887" t="str">
        <f t="shared" si="6"/>
        <v>X-8KL</v>
      </c>
      <c r="BO10" s="1954" t="str">
        <f t="shared" ref="BO10:CX10" si="7">IF(BO9=0,BO8,BO9)</f>
        <v>Bộ sứ đỉnh đỡ thẳng SĐI</v>
      </c>
      <c r="BP10" s="1954"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8" t="str">
        <f t="shared" si="7"/>
        <v>Chuỗi sứ treo polyme bắt vào xà</v>
      </c>
      <c r="BU10" s="1952" t="str">
        <f t="shared" si="7"/>
        <v>Chuỗi sứ treo polyme bắt vào trụ</v>
      </c>
      <c r="BV10" s="1892" t="str">
        <f t="shared" si="7"/>
        <v xml:space="preserve"> Chuỗi treo 2 bát lắp vào trụ</v>
      </c>
      <c r="BW10" s="1844" t="str">
        <f t="shared" si="7"/>
        <v xml:space="preserve"> Chuỗi đỡ 2 bát lắp vào trụ - CĐT</v>
      </c>
      <c r="BX10" s="1953" t="str">
        <f t="shared" si="7"/>
        <v>Bộ đỡ dây T.H : Đth-U</v>
      </c>
      <c r="BY10" s="1887" t="str">
        <f t="shared" si="7"/>
        <v>Bộ néo dây T.H : Nth-U</v>
      </c>
      <c r="BZ10" s="1952" t="str">
        <f t="shared" si="7"/>
        <v>Bộ khóa néo TH : Nth-T</v>
      </c>
      <c r="CA10" s="1952" t="str">
        <f t="shared" si="7"/>
        <v>hotline 2/0</v>
      </c>
      <c r="CB10" s="1952"/>
      <c r="CC10" s="1952" t="str">
        <f t="shared" si="7"/>
        <v>Kẹp ép WR cỡ dây 50mm2</v>
      </c>
      <c r="CD10" s="1887"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31" t="str">
        <f t="shared" si="7"/>
        <v>Dây buộc đầu sứ</v>
      </c>
      <c r="CQ10" s="516" t="str">
        <f t="shared" si="7"/>
        <v>Giá T lắp FCO sử dụng lại</v>
      </c>
      <c r="CR10" s="1916" t="str">
        <f t="shared" si="7"/>
        <v>FCO 24kV 100A</v>
      </c>
      <c r="CS10" s="1896"/>
      <c r="CT10" s="1843"/>
      <c r="CU10" s="1843"/>
      <c r="CV10" s="1843"/>
      <c r="CW10" s="1918" t="str">
        <f t="shared" si="7"/>
        <v>Vị trí vượt đường</v>
      </c>
      <c r="CX10" s="1952" t="str">
        <f t="shared" si="7"/>
        <v>GHI CHÚ</v>
      </c>
      <c r="CY10" s="1955"/>
      <c r="CZ10" s="1955"/>
      <c r="DA10" s="1955"/>
      <c r="DB10" s="1955"/>
      <c r="DC10" s="1955"/>
      <c r="DD10" s="1955"/>
      <c r="DE10" s="1955"/>
      <c r="DF10" s="1955"/>
      <c r="DG10" s="1955"/>
      <c r="DH10" s="1955"/>
      <c r="DI10" s="1955"/>
      <c r="DJ10" s="1955"/>
      <c r="DK10" s="1955"/>
      <c r="DL10" s="1955"/>
      <c r="DM10" s="1955"/>
      <c r="DN10" s="1955"/>
      <c r="DO10" s="1955"/>
      <c r="DP10" s="1955"/>
      <c r="DQ10" s="1955"/>
      <c r="DR10" s="1955"/>
      <c r="DS10" s="1955"/>
      <c r="DT10" s="1955"/>
      <c r="DU10" s="1955"/>
      <c r="DV10" s="1955"/>
      <c r="DW10" s="1955"/>
      <c r="DX10" s="1955"/>
      <c r="DY10" s="1955"/>
      <c r="DZ10" s="1955"/>
      <c r="EA10" s="1955"/>
      <c r="EB10" s="1955"/>
      <c r="EC10" s="1955"/>
      <c r="ED10" s="1955"/>
      <c r="EE10" s="1955"/>
      <c r="EF10" s="1955"/>
      <c r="EG10" s="1955"/>
      <c r="EH10" s="1955"/>
      <c r="EI10" s="1955"/>
      <c r="EJ10" s="1955"/>
      <c r="EK10" s="1955"/>
      <c r="EL10" s="1955"/>
      <c r="EM10" s="1955"/>
      <c r="EN10" s="1955"/>
      <c r="EO10" s="1955"/>
      <c r="EP10" s="1955"/>
      <c r="EQ10" s="1955"/>
      <c r="ER10" s="1955"/>
      <c r="ES10" s="1955"/>
      <c r="ET10" s="1955"/>
      <c r="EU10" s="1955"/>
      <c r="EV10" s="1955"/>
      <c r="EW10" s="1955"/>
      <c r="EX10" s="1955"/>
      <c r="EY10" s="1955"/>
      <c r="EZ10" s="1955"/>
      <c r="FA10" s="1955"/>
      <c r="FB10" s="1955"/>
      <c r="FC10" s="1955"/>
      <c r="FD10" s="1955"/>
      <c r="FE10" s="1955"/>
      <c r="FF10" s="1955"/>
      <c r="FG10" s="1955"/>
      <c r="FH10" s="1955"/>
      <c r="FI10" s="1955"/>
      <c r="FJ10" s="1955"/>
      <c r="FK10" s="1955"/>
      <c r="FL10" s="1955"/>
      <c r="FM10" s="1955"/>
      <c r="FN10" s="1955"/>
      <c r="FO10" s="1955"/>
      <c r="FP10" s="1955"/>
      <c r="FQ10" s="1955"/>
      <c r="FR10" s="1955"/>
      <c r="FS10" s="1955"/>
      <c r="FT10" s="1955"/>
      <c r="FU10" s="1955"/>
      <c r="FV10" s="1955"/>
      <c r="FW10" s="1955"/>
      <c r="FX10" s="1955"/>
      <c r="FY10" s="1955"/>
      <c r="FZ10" s="1955"/>
      <c r="GA10" s="1955"/>
      <c r="GB10" s="1955"/>
      <c r="GC10" s="1955"/>
      <c r="GD10" s="1955"/>
      <c r="GE10" s="1955"/>
      <c r="GF10" s="1955"/>
      <c r="GG10" s="1955"/>
      <c r="GH10" s="1955"/>
      <c r="GI10" s="1955"/>
      <c r="GJ10" s="1955"/>
      <c r="GK10" s="1955"/>
      <c r="GL10" s="1955"/>
      <c r="GM10" s="1955"/>
      <c r="GN10" s="1955"/>
      <c r="GO10" s="1955"/>
      <c r="GP10" s="1955"/>
      <c r="GQ10" s="1955"/>
      <c r="GR10" s="1955"/>
      <c r="GS10" s="1955"/>
      <c r="GT10" s="1955"/>
      <c r="GU10" s="1955"/>
      <c r="GV10" s="1955"/>
      <c r="GW10" s="1955"/>
      <c r="GX10" s="1955"/>
      <c r="GY10" s="1955"/>
      <c r="GZ10" s="1955"/>
      <c r="HA10" s="1955"/>
      <c r="HB10" s="1955"/>
      <c r="HC10" s="1955"/>
      <c r="HD10" s="1955"/>
      <c r="HE10" s="1955"/>
      <c r="HF10" s="1955"/>
      <c r="HG10" s="1955"/>
      <c r="HH10" s="1955"/>
      <c r="HI10" s="1955"/>
      <c r="HJ10" s="1955"/>
      <c r="HK10" s="1955"/>
      <c r="HL10" s="1955"/>
      <c r="HM10" s="1955"/>
      <c r="HN10" s="1955"/>
      <c r="HO10" s="1955"/>
      <c r="HP10" s="1955"/>
      <c r="HQ10" s="1955"/>
      <c r="HR10" s="1955"/>
      <c r="HS10" s="1955"/>
      <c r="HT10" s="1955"/>
      <c r="HU10" s="1955"/>
      <c r="HV10" s="1955"/>
      <c r="HW10" s="1955"/>
      <c r="HX10" s="1955"/>
      <c r="HY10" s="1955"/>
      <c r="HZ10" s="1955"/>
      <c r="IA10" s="1955"/>
      <c r="IB10" s="1955"/>
      <c r="IC10" s="1955"/>
      <c r="ID10" s="1955"/>
      <c r="IE10" s="1955"/>
      <c r="IF10" s="1955"/>
      <c r="IG10" s="1955"/>
      <c r="IH10" s="1955"/>
      <c r="II10" s="1955"/>
      <c r="IJ10" s="1955"/>
      <c r="IK10" s="1955"/>
      <c r="IL10" s="1955"/>
      <c r="IM10" s="1955"/>
      <c r="IN10" s="1955"/>
      <c r="IO10" s="1955"/>
      <c r="IP10" s="1955"/>
      <c r="IQ10" s="1955"/>
      <c r="IR10" s="1955"/>
      <c r="IS10" s="1955"/>
      <c r="IT10" s="1955"/>
      <c r="IU10" s="1955"/>
      <c r="IV10" s="1955"/>
      <c r="IW10" s="1955"/>
      <c r="IX10" s="1955"/>
      <c r="IY10" s="1955"/>
      <c r="IZ10" s="1955"/>
      <c r="JA10" s="1955"/>
      <c r="JB10" s="1955"/>
    </row>
    <row r="11" spans="1:262" ht="25.2" customHeight="1">
      <c r="A11" s="1849" t="s">
        <v>4777</v>
      </c>
      <c r="B11" s="1850"/>
      <c r="C11" s="1824"/>
      <c r="D11" s="1851"/>
      <c r="E11" s="1826"/>
      <c r="F11" s="534"/>
      <c r="G11" s="1809"/>
      <c r="H11" s="1853" t="s">
        <v>658</v>
      </c>
      <c r="I11" s="1827"/>
      <c r="J11" s="1850"/>
      <c r="K11" s="1827"/>
      <c r="L11" s="1850"/>
      <c r="M11" s="1893"/>
      <c r="N11" s="1830"/>
      <c r="O11" s="534"/>
      <c r="P11" s="534"/>
      <c r="Q11" s="534"/>
      <c r="R11" s="1813"/>
      <c r="S11" s="1853"/>
      <c r="T11" s="1830"/>
      <c r="U11" s="534"/>
      <c r="V11" s="1813"/>
      <c r="W11" s="1853"/>
      <c r="X11" s="1830"/>
      <c r="Y11" s="534"/>
      <c r="Z11" s="534"/>
      <c r="AA11" s="534"/>
      <c r="AB11" s="534"/>
      <c r="AC11" s="534"/>
      <c r="AD11" s="534"/>
      <c r="AE11" s="534"/>
      <c r="AF11" s="534"/>
      <c r="AG11" s="534"/>
      <c r="AH11" s="534"/>
      <c r="AI11" s="534"/>
      <c r="AJ11" s="534"/>
      <c r="AK11" s="534"/>
      <c r="AL11" s="534"/>
      <c r="AM11" s="1813"/>
      <c r="AN11" s="1853"/>
      <c r="AO11" s="1853"/>
      <c r="AP11" s="1830"/>
      <c r="AQ11" s="534"/>
      <c r="AR11" s="534"/>
      <c r="AS11" s="534"/>
      <c r="AT11" s="534"/>
      <c r="AU11" s="534"/>
      <c r="AV11" s="1813"/>
      <c r="AW11" s="1853"/>
      <c r="AX11" s="1853"/>
      <c r="AY11" s="1830"/>
      <c r="AZ11" s="534"/>
      <c r="BA11" s="534"/>
      <c r="BB11" s="534"/>
      <c r="BC11" s="1813"/>
      <c r="BD11" s="1853"/>
      <c r="BE11" s="1830"/>
      <c r="BF11" s="534"/>
      <c r="BG11" s="534"/>
      <c r="BH11" s="534"/>
      <c r="BI11" s="534"/>
      <c r="BJ11" s="534"/>
      <c r="BK11" s="534"/>
      <c r="BL11" s="1813"/>
      <c r="BM11" s="1853"/>
      <c r="BN11" s="1940"/>
      <c r="BO11" s="1850"/>
      <c r="BP11" s="1850"/>
      <c r="BQ11" s="1826"/>
      <c r="BR11" s="533"/>
      <c r="BS11" s="1811"/>
      <c r="BT11" s="1912"/>
      <c r="BU11" s="1850"/>
      <c r="BV11" s="1893"/>
      <c r="BW11" s="1912"/>
      <c r="BX11" s="1850"/>
      <c r="BY11" s="1850"/>
      <c r="BZ11" s="1850"/>
      <c r="CA11" s="1850"/>
      <c r="CB11" s="1850"/>
      <c r="CC11" s="1850"/>
      <c r="CD11" s="1826"/>
      <c r="CE11" s="533"/>
      <c r="CF11" s="533"/>
      <c r="CG11" s="533"/>
      <c r="CH11" s="533"/>
      <c r="CI11" s="533"/>
      <c r="CJ11" s="533"/>
      <c r="CK11" s="533"/>
      <c r="CL11" s="533"/>
      <c r="CM11" s="533"/>
      <c r="CN11" s="533"/>
      <c r="CO11" s="533"/>
      <c r="CP11" s="533"/>
      <c r="CQ11" s="1811"/>
      <c r="CR11" s="1850"/>
      <c r="CS11" s="1893"/>
      <c r="CT11" s="1850"/>
      <c r="CU11" s="1850"/>
      <c r="CV11" s="1912"/>
      <c r="CW11" s="1912"/>
      <c r="CX11" s="1853"/>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2" customHeight="1">
      <c r="A12" s="1849" t="s">
        <v>166</v>
      </c>
      <c r="B12" s="1885"/>
      <c r="C12" s="1825"/>
      <c r="D12" s="1855"/>
      <c r="E12" s="654"/>
      <c r="F12" s="426"/>
      <c r="G12" s="1810"/>
      <c r="H12" s="1852" t="s">
        <v>1107</v>
      </c>
      <c r="I12" s="1828"/>
      <c r="J12" s="1854"/>
      <c r="K12" s="1829"/>
      <c r="L12" s="1855"/>
      <c r="M12" s="1894"/>
      <c r="N12" s="1831"/>
      <c r="O12" s="754"/>
      <c r="P12" s="754"/>
      <c r="Q12" s="754"/>
      <c r="R12" s="1812"/>
      <c r="S12" s="1854"/>
      <c r="T12" s="1831"/>
      <c r="U12" s="754"/>
      <c r="V12" s="1812"/>
      <c r="W12" s="1854"/>
      <c r="X12" s="1831"/>
      <c r="Y12" s="754"/>
      <c r="Z12" s="754"/>
      <c r="AA12" s="754"/>
      <c r="AB12" s="754"/>
      <c r="AC12" s="754"/>
      <c r="AD12" s="754"/>
      <c r="AE12" s="754"/>
      <c r="AF12" s="754"/>
      <c r="AG12" s="754"/>
      <c r="AH12" s="754"/>
      <c r="AI12" s="754"/>
      <c r="AJ12" s="754"/>
      <c r="AK12" s="754"/>
      <c r="AL12" s="754"/>
      <c r="AM12" s="1812"/>
      <c r="AN12" s="1854"/>
      <c r="AO12" s="1854"/>
      <c r="AP12" s="1831"/>
      <c r="AQ12" s="754"/>
      <c r="AR12" s="754"/>
      <c r="AS12" s="754"/>
      <c r="AT12" s="754"/>
      <c r="AU12" s="754"/>
      <c r="AV12" s="1812"/>
      <c r="AW12" s="1854"/>
      <c r="AX12" s="1854"/>
      <c r="AY12" s="1831"/>
      <c r="AZ12" s="754"/>
      <c r="BA12" s="754"/>
      <c r="BB12" s="754"/>
      <c r="BC12" s="1812"/>
      <c r="BD12" s="1854"/>
      <c r="BE12" s="1831"/>
      <c r="BF12" s="754"/>
      <c r="BG12" s="754"/>
      <c r="BH12" s="754"/>
      <c r="BI12" s="754"/>
      <c r="BJ12" s="754"/>
      <c r="BK12" s="754"/>
      <c r="BL12" s="1812"/>
      <c r="BM12" s="1854"/>
      <c r="BN12" s="1828"/>
      <c r="BO12" s="1854"/>
      <c r="BP12" s="1854"/>
      <c r="BQ12" s="1831"/>
      <c r="BR12" s="754"/>
      <c r="BS12" s="1812"/>
      <c r="BT12" s="1913"/>
      <c r="BU12" s="1854"/>
      <c r="BV12" s="1894"/>
      <c r="BW12" s="1913"/>
      <c r="BX12" s="1854"/>
      <c r="BY12" s="1854"/>
      <c r="BZ12" s="1854"/>
      <c r="CA12" s="1854"/>
      <c r="CB12" s="1854"/>
      <c r="CC12" s="1854"/>
      <c r="CD12" s="1831"/>
      <c r="CE12" s="754"/>
      <c r="CF12" s="754"/>
      <c r="CG12" s="754"/>
      <c r="CH12" s="754"/>
      <c r="CI12" s="754"/>
      <c r="CJ12" s="754"/>
      <c r="CK12" s="754"/>
      <c r="CL12" s="754"/>
      <c r="CM12" s="754"/>
      <c r="CN12" s="754"/>
      <c r="CO12" s="754"/>
      <c r="CP12" s="754"/>
      <c r="CQ12" s="1812"/>
      <c r="CR12" s="1854"/>
      <c r="CS12" s="1894"/>
      <c r="CT12" s="1854"/>
      <c r="CU12" s="1854"/>
      <c r="CV12" s="1913"/>
      <c r="CW12" s="1913"/>
      <c r="CX12" s="1850"/>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2" hidden="1" customHeight="1">
      <c r="A13" s="1849" t="s">
        <v>167</v>
      </c>
      <c r="B13" s="1885"/>
      <c r="C13" s="1900"/>
      <c r="D13" s="1855"/>
      <c r="E13" s="654"/>
      <c r="F13" s="426"/>
      <c r="G13" s="1810"/>
      <c r="H13" s="1852"/>
      <c r="I13" s="1828"/>
      <c r="J13" s="1854"/>
      <c r="K13" s="1903"/>
      <c r="L13" s="1850"/>
      <c r="M13" s="1894"/>
      <c r="N13" s="1831"/>
      <c r="O13" s="754"/>
      <c r="P13" s="754"/>
      <c r="Q13" s="754"/>
      <c r="R13" s="1812"/>
      <c r="S13" s="1854"/>
      <c r="T13" s="1831"/>
      <c r="U13" s="754"/>
      <c r="V13" s="1812"/>
      <c r="W13" s="1854"/>
      <c r="X13" s="1831"/>
      <c r="Y13" s="754"/>
      <c r="Z13" s="754"/>
      <c r="AA13" s="754"/>
      <c r="AB13" s="754"/>
      <c r="AC13" s="754"/>
      <c r="AD13" s="754"/>
      <c r="AE13" s="754"/>
      <c r="AF13" s="754"/>
      <c r="AG13" s="754"/>
      <c r="AH13" s="754"/>
      <c r="AI13" s="754"/>
      <c r="AJ13" s="754"/>
      <c r="AK13" s="754"/>
      <c r="AL13" s="754"/>
      <c r="AM13" s="1812"/>
      <c r="AN13" s="1854"/>
      <c r="AO13" s="1854"/>
      <c r="AP13" s="1831"/>
      <c r="AQ13" s="754"/>
      <c r="AR13" s="754"/>
      <c r="AS13" s="754"/>
      <c r="AT13" s="754"/>
      <c r="AU13" s="754"/>
      <c r="AV13" s="1812"/>
      <c r="AW13" s="1854"/>
      <c r="AX13" s="1854"/>
      <c r="AY13" s="1831"/>
      <c r="AZ13" s="754"/>
      <c r="BA13" s="754"/>
      <c r="BB13" s="754"/>
      <c r="BC13" s="1812"/>
      <c r="BD13" s="1854"/>
      <c r="BE13" s="1831"/>
      <c r="BF13" s="754"/>
      <c r="BG13" s="754"/>
      <c r="BH13" s="754"/>
      <c r="BI13" s="754"/>
      <c r="BJ13" s="754"/>
      <c r="BK13" s="754"/>
      <c r="BL13" s="1812"/>
      <c r="BM13" s="1854"/>
      <c r="BN13" s="1828"/>
      <c r="BO13" s="1854"/>
      <c r="BP13" s="1854"/>
      <c r="BQ13" s="1831"/>
      <c r="BR13" s="754"/>
      <c r="BS13" s="1812"/>
      <c r="BT13" s="1913"/>
      <c r="BU13" s="1854"/>
      <c r="BV13" s="1895"/>
      <c r="BW13" s="1914"/>
      <c r="BX13" s="1854"/>
      <c r="BY13" s="1828"/>
      <c r="BZ13" s="1854"/>
      <c r="CA13" s="1854"/>
      <c r="CB13" s="1854"/>
      <c r="CC13" s="1854"/>
      <c r="CD13" s="1831"/>
      <c r="CE13" s="754"/>
      <c r="CF13" s="754"/>
      <c r="CG13" s="754"/>
      <c r="CH13" s="754"/>
      <c r="CI13" s="754"/>
      <c r="CJ13" s="754"/>
      <c r="CK13" s="754"/>
      <c r="CL13" s="754"/>
      <c r="CM13" s="754"/>
      <c r="CN13" s="754"/>
      <c r="CO13" s="754"/>
      <c r="CP13" s="754"/>
      <c r="CQ13" s="1812"/>
      <c r="CR13" s="1854"/>
      <c r="CS13" s="1895"/>
      <c r="CT13" s="1846"/>
      <c r="CU13" s="1846"/>
      <c r="CV13" s="1914"/>
      <c r="CW13" s="1913"/>
      <c r="CX13" s="1850"/>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2" hidden="1" customHeight="1">
      <c r="A14" s="1849" t="s">
        <v>168</v>
      </c>
      <c r="B14" s="1885"/>
      <c r="C14" s="1900"/>
      <c r="D14" s="1855"/>
      <c r="E14" s="654"/>
      <c r="F14" s="426"/>
      <c r="G14" s="1810"/>
      <c r="H14" s="1852"/>
      <c r="I14" s="1828"/>
      <c r="J14" s="1854"/>
      <c r="K14" s="1903"/>
      <c r="L14" s="1850"/>
      <c r="M14" s="1894"/>
      <c r="N14" s="1831"/>
      <c r="O14" s="754"/>
      <c r="P14" s="754"/>
      <c r="Q14" s="754"/>
      <c r="R14" s="1812"/>
      <c r="S14" s="1854"/>
      <c r="T14" s="1831"/>
      <c r="U14" s="754"/>
      <c r="V14" s="1812"/>
      <c r="W14" s="1854"/>
      <c r="X14" s="1831"/>
      <c r="Y14" s="754"/>
      <c r="Z14" s="754"/>
      <c r="AA14" s="754"/>
      <c r="AB14" s="754"/>
      <c r="AC14" s="754"/>
      <c r="AD14" s="754"/>
      <c r="AE14" s="754"/>
      <c r="AF14" s="754"/>
      <c r="AG14" s="754"/>
      <c r="AH14" s="754"/>
      <c r="AI14" s="754"/>
      <c r="AJ14" s="754"/>
      <c r="AK14" s="754"/>
      <c r="AL14" s="754"/>
      <c r="AM14" s="1812"/>
      <c r="AN14" s="1854"/>
      <c r="AO14" s="1854"/>
      <c r="AP14" s="1831"/>
      <c r="AQ14" s="754"/>
      <c r="AR14" s="754"/>
      <c r="AS14" s="754"/>
      <c r="AT14" s="754"/>
      <c r="AU14" s="754"/>
      <c r="AV14" s="1812"/>
      <c r="AW14" s="1854"/>
      <c r="AX14" s="1854"/>
      <c r="AY14" s="1831"/>
      <c r="AZ14" s="754"/>
      <c r="BA14" s="754"/>
      <c r="BB14" s="754"/>
      <c r="BC14" s="1812"/>
      <c r="BD14" s="1854"/>
      <c r="BE14" s="1831"/>
      <c r="BF14" s="754"/>
      <c r="BG14" s="754"/>
      <c r="BH14" s="754"/>
      <c r="BI14" s="754"/>
      <c r="BJ14" s="754"/>
      <c r="BK14" s="754"/>
      <c r="BL14" s="1812"/>
      <c r="BM14" s="1854"/>
      <c r="BN14" s="1828"/>
      <c r="BO14" s="1854"/>
      <c r="BP14" s="1854"/>
      <c r="BQ14" s="1831"/>
      <c r="BR14" s="754"/>
      <c r="BS14" s="1812"/>
      <c r="BT14" s="1913"/>
      <c r="BU14" s="1854"/>
      <c r="BV14" s="1831"/>
      <c r="BW14" s="1812"/>
      <c r="BX14" s="1854"/>
      <c r="BY14" s="1828"/>
      <c r="BZ14" s="1854"/>
      <c r="CA14" s="1854"/>
      <c r="CB14" s="1854"/>
      <c r="CC14" s="1854"/>
      <c r="CD14" s="1831"/>
      <c r="CE14" s="754"/>
      <c r="CF14" s="754"/>
      <c r="CG14" s="754"/>
      <c r="CH14" s="754"/>
      <c r="CI14" s="754"/>
      <c r="CJ14" s="754"/>
      <c r="CK14" s="754"/>
      <c r="CL14" s="754"/>
      <c r="CM14" s="754"/>
      <c r="CN14" s="754"/>
      <c r="CO14" s="754"/>
      <c r="CP14" s="754"/>
      <c r="CQ14" s="1812"/>
      <c r="CR14" s="1854"/>
      <c r="CS14" s="1831"/>
      <c r="CT14" s="754"/>
      <c r="CU14" s="754"/>
      <c r="CV14" s="1812"/>
      <c r="CW14" s="1913"/>
      <c r="CX14" s="1850"/>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2" hidden="1" customHeight="1">
      <c r="A15" s="1849" t="s">
        <v>165</v>
      </c>
      <c r="B15" s="1885"/>
      <c r="C15" s="1900"/>
      <c r="D15" s="1855"/>
      <c r="E15" s="654"/>
      <c r="F15" s="426"/>
      <c r="G15" s="1810"/>
      <c r="H15" s="1852"/>
      <c r="I15" s="1828"/>
      <c r="J15" s="1854"/>
      <c r="K15" s="1903"/>
      <c r="L15" s="1850"/>
      <c r="M15" s="1894"/>
      <c r="N15" s="1831"/>
      <c r="O15" s="754"/>
      <c r="P15" s="754"/>
      <c r="Q15" s="754"/>
      <c r="R15" s="1812"/>
      <c r="S15" s="1854"/>
      <c r="T15" s="1831"/>
      <c r="U15" s="754"/>
      <c r="V15" s="1812"/>
      <c r="W15" s="1854"/>
      <c r="X15" s="1831"/>
      <c r="Y15" s="754"/>
      <c r="Z15" s="754"/>
      <c r="AA15" s="754"/>
      <c r="AB15" s="754"/>
      <c r="AC15" s="754"/>
      <c r="AD15" s="754"/>
      <c r="AE15" s="754"/>
      <c r="AF15" s="754"/>
      <c r="AG15" s="754"/>
      <c r="AH15" s="754"/>
      <c r="AI15" s="754"/>
      <c r="AJ15" s="754"/>
      <c r="AK15" s="754"/>
      <c r="AL15" s="754"/>
      <c r="AM15" s="1812"/>
      <c r="AN15" s="1854"/>
      <c r="AO15" s="1854"/>
      <c r="AP15" s="1831"/>
      <c r="AQ15" s="754"/>
      <c r="AR15" s="754"/>
      <c r="AS15" s="754"/>
      <c r="AT15" s="754"/>
      <c r="AU15" s="754"/>
      <c r="AV15" s="1812"/>
      <c r="AW15" s="1854"/>
      <c r="AX15" s="1854"/>
      <c r="AY15" s="1831"/>
      <c r="AZ15" s="754"/>
      <c r="BA15" s="754"/>
      <c r="BB15" s="754"/>
      <c r="BC15" s="1812"/>
      <c r="BD15" s="1854"/>
      <c r="BE15" s="1831"/>
      <c r="BF15" s="754"/>
      <c r="BG15" s="754"/>
      <c r="BH15" s="754"/>
      <c r="BI15" s="754"/>
      <c r="BJ15" s="754"/>
      <c r="BK15" s="754"/>
      <c r="BL15" s="1812"/>
      <c r="BM15" s="1854"/>
      <c r="BN15" s="1828"/>
      <c r="BO15" s="1854"/>
      <c r="BP15" s="1854"/>
      <c r="BQ15" s="1831"/>
      <c r="BR15" s="754"/>
      <c r="BS15" s="1812"/>
      <c r="BT15" s="1913"/>
      <c r="BU15" s="1854"/>
      <c r="BV15" s="1831"/>
      <c r="BW15" s="1812"/>
      <c r="BX15" s="1854"/>
      <c r="BY15" s="1828"/>
      <c r="BZ15" s="1854"/>
      <c r="CA15" s="1854"/>
      <c r="CB15" s="1854"/>
      <c r="CC15" s="1854"/>
      <c r="CD15" s="1831"/>
      <c r="CE15" s="754"/>
      <c r="CF15" s="754"/>
      <c r="CG15" s="754"/>
      <c r="CH15" s="754"/>
      <c r="CI15" s="754"/>
      <c r="CJ15" s="754"/>
      <c r="CK15" s="754"/>
      <c r="CL15" s="754"/>
      <c r="CM15" s="754"/>
      <c r="CN15" s="754"/>
      <c r="CO15" s="754"/>
      <c r="CP15" s="754"/>
      <c r="CQ15" s="1812"/>
      <c r="CR15" s="1854"/>
      <c r="CS15" s="1831"/>
      <c r="CT15" s="754"/>
      <c r="CU15" s="754"/>
      <c r="CV15" s="1812"/>
      <c r="CW15" s="1913"/>
      <c r="CX15" s="1850"/>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2" hidden="1" customHeight="1">
      <c r="A16" s="1849" t="s">
        <v>169</v>
      </c>
      <c r="B16" s="1885"/>
      <c r="C16" s="1900"/>
      <c r="D16" s="1855"/>
      <c r="E16" s="654"/>
      <c r="F16" s="426"/>
      <c r="G16" s="1810"/>
      <c r="H16" s="1852"/>
      <c r="I16" s="1828"/>
      <c r="J16" s="1854"/>
      <c r="K16" s="1903"/>
      <c r="L16" s="1850"/>
      <c r="M16" s="1894"/>
      <c r="N16" s="1831"/>
      <c r="O16" s="754"/>
      <c r="P16" s="754"/>
      <c r="Q16" s="754"/>
      <c r="R16" s="1812"/>
      <c r="S16" s="1854"/>
      <c r="T16" s="1831"/>
      <c r="U16" s="754"/>
      <c r="V16" s="1812"/>
      <c r="W16" s="1854"/>
      <c r="X16" s="1831"/>
      <c r="Y16" s="754"/>
      <c r="Z16" s="754"/>
      <c r="AA16" s="754"/>
      <c r="AB16" s="754"/>
      <c r="AC16" s="754"/>
      <c r="AD16" s="754"/>
      <c r="AE16" s="754"/>
      <c r="AF16" s="754"/>
      <c r="AG16" s="754"/>
      <c r="AH16" s="754"/>
      <c r="AI16" s="754"/>
      <c r="AJ16" s="754"/>
      <c r="AK16" s="754"/>
      <c r="AL16" s="754"/>
      <c r="AM16" s="1812"/>
      <c r="AN16" s="1854"/>
      <c r="AO16" s="1854"/>
      <c r="AP16" s="1831"/>
      <c r="AQ16" s="754"/>
      <c r="AR16" s="754"/>
      <c r="AS16" s="754"/>
      <c r="AT16" s="754"/>
      <c r="AU16" s="754"/>
      <c r="AV16" s="1812"/>
      <c r="AW16" s="1854"/>
      <c r="AX16" s="1854"/>
      <c r="AY16" s="1831"/>
      <c r="AZ16" s="754"/>
      <c r="BA16" s="754"/>
      <c r="BB16" s="754"/>
      <c r="BC16" s="1812"/>
      <c r="BD16" s="1854"/>
      <c r="BE16" s="1831"/>
      <c r="BF16" s="754"/>
      <c r="BG16" s="754"/>
      <c r="BH16" s="754"/>
      <c r="BI16" s="754"/>
      <c r="BJ16" s="754"/>
      <c r="BK16" s="754"/>
      <c r="BL16" s="1812"/>
      <c r="BM16" s="1854"/>
      <c r="BN16" s="1828"/>
      <c r="BO16" s="1854"/>
      <c r="BP16" s="1854"/>
      <c r="BQ16" s="1831"/>
      <c r="BR16" s="754"/>
      <c r="BS16" s="1812"/>
      <c r="BT16" s="1913"/>
      <c r="BU16" s="1854"/>
      <c r="BV16" s="1831"/>
      <c r="BW16" s="1812"/>
      <c r="BX16" s="1854"/>
      <c r="BY16" s="1828"/>
      <c r="BZ16" s="1854"/>
      <c r="CA16" s="1854"/>
      <c r="CB16" s="1854"/>
      <c r="CC16" s="1854"/>
      <c r="CD16" s="1831"/>
      <c r="CE16" s="754"/>
      <c r="CF16" s="754"/>
      <c r="CG16" s="754"/>
      <c r="CH16" s="754"/>
      <c r="CI16" s="754"/>
      <c r="CJ16" s="754"/>
      <c r="CK16" s="754"/>
      <c r="CL16" s="754"/>
      <c r="CM16" s="754"/>
      <c r="CN16" s="754"/>
      <c r="CO16" s="754"/>
      <c r="CP16" s="754"/>
      <c r="CQ16" s="1812"/>
      <c r="CR16" s="1854"/>
      <c r="CS16" s="1831"/>
      <c r="CT16" s="754"/>
      <c r="CU16" s="754"/>
      <c r="CV16" s="1812"/>
      <c r="CW16" s="1913"/>
      <c r="CX16" s="1850"/>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2" hidden="1" customHeight="1">
      <c r="A17" s="1849" t="s">
        <v>170</v>
      </c>
      <c r="B17" s="1885"/>
      <c r="C17" s="1900"/>
      <c r="D17" s="1855"/>
      <c r="E17" s="654"/>
      <c r="F17" s="426"/>
      <c r="G17" s="1810"/>
      <c r="H17" s="1852"/>
      <c r="I17" s="1828"/>
      <c r="J17" s="1854"/>
      <c r="K17" s="1903"/>
      <c r="L17" s="1850"/>
      <c r="M17" s="1894"/>
      <c r="N17" s="1831"/>
      <c r="O17" s="754"/>
      <c r="P17" s="754"/>
      <c r="Q17" s="754"/>
      <c r="R17" s="1812"/>
      <c r="S17" s="1854"/>
      <c r="T17" s="1831"/>
      <c r="U17" s="754"/>
      <c r="V17" s="1812"/>
      <c r="W17" s="1854"/>
      <c r="X17" s="1831"/>
      <c r="Y17" s="754"/>
      <c r="Z17" s="754"/>
      <c r="AA17" s="754"/>
      <c r="AB17" s="754"/>
      <c r="AC17" s="754"/>
      <c r="AD17" s="754"/>
      <c r="AE17" s="754"/>
      <c r="AF17" s="754"/>
      <c r="AG17" s="754"/>
      <c r="AH17" s="754"/>
      <c r="AI17" s="754"/>
      <c r="AJ17" s="754"/>
      <c r="AK17" s="754"/>
      <c r="AL17" s="754"/>
      <c r="AM17" s="1812"/>
      <c r="AN17" s="1854"/>
      <c r="AO17" s="1854"/>
      <c r="AP17" s="1831"/>
      <c r="AQ17" s="754"/>
      <c r="AR17" s="754"/>
      <c r="AS17" s="754"/>
      <c r="AT17" s="754"/>
      <c r="AU17" s="754"/>
      <c r="AV17" s="1812"/>
      <c r="AW17" s="1854"/>
      <c r="AX17" s="1854"/>
      <c r="AY17" s="1831"/>
      <c r="AZ17" s="754"/>
      <c r="BA17" s="754"/>
      <c r="BB17" s="754"/>
      <c r="BC17" s="1812"/>
      <c r="BD17" s="1854"/>
      <c r="BE17" s="1831"/>
      <c r="BF17" s="754"/>
      <c r="BG17" s="754"/>
      <c r="BH17" s="754"/>
      <c r="BI17" s="754"/>
      <c r="BJ17" s="754"/>
      <c r="BK17" s="754"/>
      <c r="BL17" s="1812"/>
      <c r="BM17" s="1854"/>
      <c r="BN17" s="1828"/>
      <c r="BO17" s="1854"/>
      <c r="BP17" s="1854"/>
      <c r="BQ17" s="1831"/>
      <c r="BR17" s="754"/>
      <c r="BS17" s="1812"/>
      <c r="BT17" s="1913"/>
      <c r="BU17" s="1854"/>
      <c r="BV17" s="1831"/>
      <c r="BW17" s="1812"/>
      <c r="BX17" s="1854"/>
      <c r="BY17" s="1828"/>
      <c r="BZ17" s="1854"/>
      <c r="CA17" s="1854"/>
      <c r="CB17" s="1854"/>
      <c r="CC17" s="1854"/>
      <c r="CD17" s="1831"/>
      <c r="CE17" s="754"/>
      <c r="CF17" s="754"/>
      <c r="CG17" s="754"/>
      <c r="CH17" s="754"/>
      <c r="CI17" s="754"/>
      <c r="CJ17" s="754"/>
      <c r="CK17" s="754"/>
      <c r="CL17" s="754"/>
      <c r="CM17" s="754"/>
      <c r="CN17" s="754"/>
      <c r="CO17" s="754"/>
      <c r="CP17" s="754"/>
      <c r="CQ17" s="1812"/>
      <c r="CR17" s="1854"/>
      <c r="CS17" s="1831"/>
      <c r="CT17" s="754"/>
      <c r="CU17" s="754"/>
      <c r="CV17" s="1812"/>
      <c r="CW17" s="1913"/>
      <c r="CX17" s="1850"/>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2" hidden="1" customHeight="1">
      <c r="A18" s="1849" t="s">
        <v>171</v>
      </c>
      <c r="B18" s="1885"/>
      <c r="C18" s="1900"/>
      <c r="D18" s="1855"/>
      <c r="E18" s="654"/>
      <c r="F18" s="426"/>
      <c r="G18" s="1810"/>
      <c r="H18" s="1852"/>
      <c r="I18" s="1828"/>
      <c r="J18" s="1854"/>
      <c r="K18" s="1903"/>
      <c r="L18" s="1850"/>
      <c r="M18" s="1894"/>
      <c r="N18" s="1831"/>
      <c r="O18" s="754"/>
      <c r="P18" s="754"/>
      <c r="Q18" s="754"/>
      <c r="R18" s="1812"/>
      <c r="S18" s="1854"/>
      <c r="T18" s="1831"/>
      <c r="U18" s="754"/>
      <c r="V18" s="1812"/>
      <c r="W18" s="1854"/>
      <c r="X18" s="1831"/>
      <c r="Y18" s="754"/>
      <c r="Z18" s="754"/>
      <c r="AA18" s="754"/>
      <c r="AB18" s="754"/>
      <c r="AC18" s="754"/>
      <c r="AD18" s="754"/>
      <c r="AE18" s="754"/>
      <c r="AF18" s="754"/>
      <c r="AG18" s="754"/>
      <c r="AH18" s="754"/>
      <c r="AI18" s="754"/>
      <c r="AJ18" s="754"/>
      <c r="AK18" s="754"/>
      <c r="AL18" s="754"/>
      <c r="AM18" s="1812"/>
      <c r="AN18" s="1854"/>
      <c r="AO18" s="1854"/>
      <c r="AP18" s="1831"/>
      <c r="AQ18" s="754"/>
      <c r="AR18" s="754"/>
      <c r="AS18" s="754"/>
      <c r="AT18" s="754"/>
      <c r="AU18" s="754"/>
      <c r="AV18" s="1812"/>
      <c r="AW18" s="1854"/>
      <c r="AX18" s="1854"/>
      <c r="AY18" s="1831"/>
      <c r="AZ18" s="754"/>
      <c r="BA18" s="754"/>
      <c r="BB18" s="754"/>
      <c r="BC18" s="1812"/>
      <c r="BD18" s="1854"/>
      <c r="BE18" s="1831"/>
      <c r="BF18" s="754"/>
      <c r="BG18" s="754"/>
      <c r="BH18" s="754"/>
      <c r="BI18" s="754"/>
      <c r="BJ18" s="754"/>
      <c r="BK18" s="754"/>
      <c r="BL18" s="1812"/>
      <c r="BM18" s="1854"/>
      <c r="BN18" s="1828"/>
      <c r="BO18" s="1854"/>
      <c r="BP18" s="1854"/>
      <c r="BQ18" s="1831"/>
      <c r="BR18" s="754"/>
      <c r="BS18" s="1812"/>
      <c r="BT18" s="1913"/>
      <c r="BU18" s="1854"/>
      <c r="BV18" s="1831"/>
      <c r="BW18" s="1812"/>
      <c r="BX18" s="1854"/>
      <c r="BY18" s="1828"/>
      <c r="BZ18" s="1854"/>
      <c r="CA18" s="1854"/>
      <c r="CB18" s="1854"/>
      <c r="CC18" s="1854"/>
      <c r="CD18" s="1831"/>
      <c r="CE18" s="754"/>
      <c r="CF18" s="754"/>
      <c r="CG18" s="754"/>
      <c r="CH18" s="754"/>
      <c r="CI18" s="754"/>
      <c r="CJ18" s="754"/>
      <c r="CK18" s="754"/>
      <c r="CL18" s="754"/>
      <c r="CM18" s="754"/>
      <c r="CN18" s="754"/>
      <c r="CO18" s="754"/>
      <c r="CP18" s="754"/>
      <c r="CQ18" s="1812"/>
      <c r="CR18" s="1854"/>
      <c r="CS18" s="1831"/>
      <c r="CT18" s="754"/>
      <c r="CU18" s="754"/>
      <c r="CV18" s="1812"/>
      <c r="CW18" s="1913"/>
      <c r="CX18" s="1850"/>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2" hidden="1" customHeight="1">
      <c r="A19" s="1849" t="s">
        <v>4748</v>
      </c>
      <c r="B19" s="1885"/>
      <c r="C19" s="1900"/>
      <c r="D19" s="1855"/>
      <c r="E19" s="654"/>
      <c r="F19" s="426"/>
      <c r="G19" s="1810"/>
      <c r="H19" s="1852"/>
      <c r="I19" s="1828"/>
      <c r="J19" s="1854"/>
      <c r="K19" s="1903"/>
      <c r="L19" s="1850"/>
      <c r="M19" s="1894"/>
      <c r="N19" s="1831"/>
      <c r="O19" s="754"/>
      <c r="P19" s="754"/>
      <c r="Q19" s="754"/>
      <c r="R19" s="1812"/>
      <c r="S19" s="1854"/>
      <c r="T19" s="1831"/>
      <c r="U19" s="754"/>
      <c r="V19" s="1812"/>
      <c r="W19" s="1854"/>
      <c r="X19" s="1831"/>
      <c r="Y19" s="754"/>
      <c r="Z19" s="754"/>
      <c r="AA19" s="754"/>
      <c r="AB19" s="754"/>
      <c r="AC19" s="754"/>
      <c r="AD19" s="754"/>
      <c r="AE19" s="754"/>
      <c r="AF19" s="754"/>
      <c r="AG19" s="754"/>
      <c r="AH19" s="754"/>
      <c r="AI19" s="754"/>
      <c r="AJ19" s="754"/>
      <c r="AK19" s="754"/>
      <c r="AL19" s="754"/>
      <c r="AM19" s="1812"/>
      <c r="AN19" s="1854"/>
      <c r="AO19" s="1854"/>
      <c r="AP19" s="1831"/>
      <c r="AQ19" s="754"/>
      <c r="AR19" s="754"/>
      <c r="AS19" s="754"/>
      <c r="AT19" s="754"/>
      <c r="AU19" s="754"/>
      <c r="AV19" s="1812"/>
      <c r="AW19" s="1854"/>
      <c r="AX19" s="1854"/>
      <c r="AY19" s="1831"/>
      <c r="AZ19" s="754"/>
      <c r="BA19" s="754"/>
      <c r="BB19" s="754"/>
      <c r="BC19" s="1812"/>
      <c r="BD19" s="1854"/>
      <c r="BE19" s="1831"/>
      <c r="BF19" s="754"/>
      <c r="BG19" s="754"/>
      <c r="BH19" s="754"/>
      <c r="BI19" s="754"/>
      <c r="BJ19" s="754"/>
      <c r="BK19" s="754"/>
      <c r="BL19" s="1812"/>
      <c r="BM19" s="1854"/>
      <c r="BN19" s="1828"/>
      <c r="BO19" s="1854"/>
      <c r="BP19" s="1854"/>
      <c r="BQ19" s="1831"/>
      <c r="BR19" s="754"/>
      <c r="BS19" s="1812"/>
      <c r="BT19" s="1913"/>
      <c r="BU19" s="1854"/>
      <c r="BV19" s="1831"/>
      <c r="BW19" s="1812"/>
      <c r="BX19" s="1854"/>
      <c r="BY19" s="1828"/>
      <c r="BZ19" s="1854"/>
      <c r="CA19" s="1854"/>
      <c r="CB19" s="1854"/>
      <c r="CC19" s="1854"/>
      <c r="CD19" s="1831"/>
      <c r="CE19" s="754"/>
      <c r="CF19" s="754"/>
      <c r="CG19" s="754"/>
      <c r="CH19" s="754"/>
      <c r="CI19" s="754"/>
      <c r="CJ19" s="754"/>
      <c r="CK19" s="754"/>
      <c r="CL19" s="754"/>
      <c r="CM19" s="754"/>
      <c r="CN19" s="754"/>
      <c r="CO19" s="754"/>
      <c r="CP19" s="754"/>
      <c r="CQ19" s="1812"/>
      <c r="CR19" s="1854"/>
      <c r="CS19" s="1831"/>
      <c r="CT19" s="754"/>
      <c r="CU19" s="754"/>
      <c r="CV19" s="1812"/>
      <c r="CW19" s="1913"/>
      <c r="CX19" s="1850"/>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2" hidden="1" customHeight="1">
      <c r="A20" s="1849" t="s">
        <v>4749</v>
      </c>
      <c r="B20" s="1885"/>
      <c r="C20" s="1900"/>
      <c r="D20" s="1855"/>
      <c r="E20" s="654"/>
      <c r="F20" s="426"/>
      <c r="G20" s="1810"/>
      <c r="H20" s="1852"/>
      <c r="I20" s="1828"/>
      <c r="J20" s="1854"/>
      <c r="K20" s="1903"/>
      <c r="L20" s="1850"/>
      <c r="M20" s="1894"/>
      <c r="N20" s="1831"/>
      <c r="O20" s="754"/>
      <c r="P20" s="754"/>
      <c r="Q20" s="754"/>
      <c r="R20" s="1812"/>
      <c r="S20" s="1854"/>
      <c r="T20" s="1831"/>
      <c r="U20" s="754"/>
      <c r="V20" s="1812"/>
      <c r="W20" s="1854"/>
      <c r="X20" s="1831"/>
      <c r="Y20" s="754"/>
      <c r="Z20" s="754"/>
      <c r="AA20" s="754"/>
      <c r="AB20" s="754"/>
      <c r="AC20" s="754"/>
      <c r="AD20" s="754"/>
      <c r="AE20" s="754"/>
      <c r="AF20" s="754"/>
      <c r="AG20" s="754"/>
      <c r="AH20" s="754"/>
      <c r="AI20" s="754"/>
      <c r="AJ20" s="754"/>
      <c r="AK20" s="754"/>
      <c r="AL20" s="754"/>
      <c r="AM20" s="1812"/>
      <c r="AN20" s="1854"/>
      <c r="AO20" s="1854"/>
      <c r="AP20" s="1831"/>
      <c r="AQ20" s="754"/>
      <c r="AR20" s="754"/>
      <c r="AS20" s="754"/>
      <c r="AT20" s="754"/>
      <c r="AU20" s="754"/>
      <c r="AV20" s="1812"/>
      <c r="AW20" s="1854"/>
      <c r="AX20" s="1854"/>
      <c r="AY20" s="1831"/>
      <c r="AZ20" s="754"/>
      <c r="BA20" s="754"/>
      <c r="BB20" s="754"/>
      <c r="BC20" s="1812"/>
      <c r="BD20" s="1854"/>
      <c r="BE20" s="1831"/>
      <c r="BF20" s="754"/>
      <c r="BG20" s="754"/>
      <c r="BH20" s="754"/>
      <c r="BI20" s="754"/>
      <c r="BJ20" s="754"/>
      <c r="BK20" s="754"/>
      <c r="BL20" s="1812"/>
      <c r="BM20" s="1854"/>
      <c r="BN20" s="1828"/>
      <c r="BO20" s="1854"/>
      <c r="BP20" s="1854"/>
      <c r="BQ20" s="1831"/>
      <c r="BR20" s="754"/>
      <c r="BS20" s="1812"/>
      <c r="BT20" s="1913"/>
      <c r="BU20" s="1854"/>
      <c r="BV20" s="1831"/>
      <c r="BW20" s="1812"/>
      <c r="BX20" s="1854"/>
      <c r="BY20" s="1828"/>
      <c r="BZ20" s="1854"/>
      <c r="CA20" s="1854"/>
      <c r="CB20" s="1854"/>
      <c r="CC20" s="1854"/>
      <c r="CD20" s="1831"/>
      <c r="CE20" s="754"/>
      <c r="CF20" s="754"/>
      <c r="CG20" s="754"/>
      <c r="CH20" s="754"/>
      <c r="CI20" s="754"/>
      <c r="CJ20" s="754"/>
      <c r="CK20" s="754"/>
      <c r="CL20" s="754"/>
      <c r="CM20" s="754"/>
      <c r="CN20" s="754"/>
      <c r="CO20" s="754"/>
      <c r="CP20" s="754"/>
      <c r="CQ20" s="1812"/>
      <c r="CR20" s="1854"/>
      <c r="CS20" s="1831"/>
      <c r="CT20" s="754"/>
      <c r="CU20" s="754"/>
      <c r="CV20" s="1812"/>
      <c r="CW20" s="1913"/>
      <c r="CX20" s="1850"/>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2" hidden="1" customHeight="1">
      <c r="A21" s="1849" t="s">
        <v>4750</v>
      </c>
      <c r="B21" s="1885"/>
      <c r="C21" s="1900"/>
      <c r="D21" s="1855"/>
      <c r="E21" s="654"/>
      <c r="F21" s="426"/>
      <c r="G21" s="1810"/>
      <c r="H21" s="1852"/>
      <c r="I21" s="1828"/>
      <c r="J21" s="1854"/>
      <c r="K21" s="1903"/>
      <c r="L21" s="1850"/>
      <c r="M21" s="1894"/>
      <c r="N21" s="1831"/>
      <c r="O21" s="754"/>
      <c r="P21" s="754"/>
      <c r="Q21" s="754"/>
      <c r="R21" s="1812"/>
      <c r="S21" s="1854"/>
      <c r="T21" s="1831"/>
      <c r="U21" s="754"/>
      <c r="V21" s="1812"/>
      <c r="W21" s="1854"/>
      <c r="X21" s="1831"/>
      <c r="Y21" s="754"/>
      <c r="Z21" s="754"/>
      <c r="AA21" s="754"/>
      <c r="AB21" s="754"/>
      <c r="AC21" s="754"/>
      <c r="AD21" s="754"/>
      <c r="AE21" s="754"/>
      <c r="AF21" s="754"/>
      <c r="AG21" s="754"/>
      <c r="AH21" s="754"/>
      <c r="AI21" s="754"/>
      <c r="AJ21" s="754"/>
      <c r="AK21" s="754"/>
      <c r="AL21" s="754"/>
      <c r="AM21" s="1812"/>
      <c r="AN21" s="1854"/>
      <c r="AO21" s="1854"/>
      <c r="AP21" s="1831"/>
      <c r="AQ21" s="754"/>
      <c r="AR21" s="754"/>
      <c r="AS21" s="754"/>
      <c r="AT21" s="754"/>
      <c r="AU21" s="754"/>
      <c r="AV21" s="1812"/>
      <c r="AW21" s="1854"/>
      <c r="AX21" s="1854"/>
      <c r="AY21" s="1831"/>
      <c r="AZ21" s="754"/>
      <c r="BA21" s="754"/>
      <c r="BB21" s="754"/>
      <c r="BC21" s="1812"/>
      <c r="BD21" s="1854"/>
      <c r="BE21" s="1831"/>
      <c r="BF21" s="754"/>
      <c r="BG21" s="754"/>
      <c r="BH21" s="754"/>
      <c r="BI21" s="754"/>
      <c r="BJ21" s="754"/>
      <c r="BK21" s="754"/>
      <c r="BL21" s="1812"/>
      <c r="BM21" s="1854"/>
      <c r="BN21" s="1828"/>
      <c r="BO21" s="1854"/>
      <c r="BP21" s="1854"/>
      <c r="BQ21" s="1831"/>
      <c r="BR21" s="754"/>
      <c r="BS21" s="1812"/>
      <c r="BT21" s="1913"/>
      <c r="BU21" s="1854"/>
      <c r="BV21" s="1831"/>
      <c r="BW21" s="1812"/>
      <c r="BX21" s="1854"/>
      <c r="BY21" s="1828"/>
      <c r="BZ21" s="1854"/>
      <c r="CA21" s="1854"/>
      <c r="CB21" s="1854"/>
      <c r="CC21" s="1854"/>
      <c r="CD21" s="1831"/>
      <c r="CE21" s="754"/>
      <c r="CF21" s="754"/>
      <c r="CG21" s="754"/>
      <c r="CH21" s="754"/>
      <c r="CI21" s="754"/>
      <c r="CJ21" s="754"/>
      <c r="CK21" s="754"/>
      <c r="CL21" s="754"/>
      <c r="CM21" s="754"/>
      <c r="CN21" s="754"/>
      <c r="CO21" s="754"/>
      <c r="CP21" s="754"/>
      <c r="CQ21" s="1812"/>
      <c r="CR21" s="1854"/>
      <c r="CS21" s="1831"/>
      <c r="CT21" s="754"/>
      <c r="CU21" s="754"/>
      <c r="CV21" s="1812"/>
      <c r="CW21" s="1913"/>
      <c r="CX21" s="1850"/>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2" hidden="1" customHeight="1">
      <c r="A22" s="1849" t="s">
        <v>4751</v>
      </c>
      <c r="B22" s="1885"/>
      <c r="C22" s="1900"/>
      <c r="D22" s="1855"/>
      <c r="E22" s="654"/>
      <c r="F22" s="426"/>
      <c r="G22" s="1810"/>
      <c r="H22" s="1852"/>
      <c r="I22" s="1828"/>
      <c r="J22" s="1854"/>
      <c r="K22" s="1903"/>
      <c r="L22" s="1850"/>
      <c r="M22" s="1894"/>
      <c r="N22" s="1831"/>
      <c r="O22" s="754"/>
      <c r="P22" s="754"/>
      <c r="Q22" s="754"/>
      <c r="R22" s="1812"/>
      <c r="S22" s="1854"/>
      <c r="T22" s="1831"/>
      <c r="U22" s="754"/>
      <c r="V22" s="1812"/>
      <c r="W22" s="1854"/>
      <c r="X22" s="1831"/>
      <c r="Y22" s="754"/>
      <c r="Z22" s="754"/>
      <c r="AA22" s="754"/>
      <c r="AB22" s="754"/>
      <c r="AC22" s="754"/>
      <c r="AD22" s="754"/>
      <c r="AE22" s="754"/>
      <c r="AF22" s="754"/>
      <c r="AG22" s="754"/>
      <c r="AH22" s="754"/>
      <c r="AI22" s="754"/>
      <c r="AJ22" s="754"/>
      <c r="AK22" s="754"/>
      <c r="AL22" s="754"/>
      <c r="AM22" s="1812"/>
      <c r="AN22" s="1854"/>
      <c r="AO22" s="1854"/>
      <c r="AP22" s="1831"/>
      <c r="AQ22" s="754"/>
      <c r="AR22" s="754"/>
      <c r="AS22" s="754"/>
      <c r="AT22" s="754"/>
      <c r="AU22" s="754"/>
      <c r="AV22" s="1812"/>
      <c r="AW22" s="1854"/>
      <c r="AX22" s="1854"/>
      <c r="AY22" s="1831"/>
      <c r="AZ22" s="754"/>
      <c r="BA22" s="754"/>
      <c r="BB22" s="754"/>
      <c r="BC22" s="1812"/>
      <c r="BD22" s="1854"/>
      <c r="BE22" s="1831"/>
      <c r="BF22" s="754"/>
      <c r="BG22" s="754"/>
      <c r="BH22" s="754"/>
      <c r="BI22" s="754"/>
      <c r="BJ22" s="754"/>
      <c r="BK22" s="754"/>
      <c r="BL22" s="1812"/>
      <c r="BM22" s="1854"/>
      <c r="BN22" s="1828"/>
      <c r="BO22" s="1854"/>
      <c r="BP22" s="1854"/>
      <c r="BQ22" s="1831"/>
      <c r="BR22" s="754"/>
      <c r="BS22" s="1812"/>
      <c r="BT22" s="1913"/>
      <c r="BU22" s="1854"/>
      <c r="BV22" s="1831"/>
      <c r="BW22" s="1812"/>
      <c r="BX22" s="1854"/>
      <c r="BY22" s="1828"/>
      <c r="BZ22" s="1854"/>
      <c r="CA22" s="1854"/>
      <c r="CB22" s="1854"/>
      <c r="CC22" s="1854"/>
      <c r="CD22" s="1831"/>
      <c r="CE22" s="754"/>
      <c r="CF22" s="754"/>
      <c r="CG22" s="754"/>
      <c r="CH22" s="754"/>
      <c r="CI22" s="754"/>
      <c r="CJ22" s="754"/>
      <c r="CK22" s="754"/>
      <c r="CL22" s="754"/>
      <c r="CM22" s="754"/>
      <c r="CN22" s="754"/>
      <c r="CO22" s="754"/>
      <c r="CP22" s="754"/>
      <c r="CQ22" s="1812"/>
      <c r="CR22" s="1854"/>
      <c r="CS22" s="1831"/>
      <c r="CT22" s="754"/>
      <c r="CU22" s="754"/>
      <c r="CV22" s="1812"/>
      <c r="CW22" s="1913"/>
      <c r="CX22" s="1850"/>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5" customFormat="1" ht="25.2" hidden="1" customHeight="1">
      <c r="A23" s="1849" t="s">
        <v>4752</v>
      </c>
      <c r="B23" s="1885"/>
      <c r="C23" s="1901"/>
      <c r="D23" s="1855"/>
      <c r="E23" s="1888"/>
      <c r="F23" s="1270"/>
      <c r="G23" s="1904"/>
      <c r="H23" s="1852"/>
      <c r="I23" s="1906"/>
      <c r="J23" s="1919"/>
      <c r="K23" s="1906"/>
      <c r="L23" s="1850"/>
      <c r="M23" s="1944"/>
      <c r="N23" s="1890"/>
      <c r="O23" s="609"/>
      <c r="P23" s="609"/>
      <c r="Q23" s="609"/>
      <c r="R23" s="1909"/>
      <c r="S23" s="1854"/>
      <c r="T23" s="1890"/>
      <c r="U23" s="609"/>
      <c r="V23" s="1909"/>
      <c r="W23" s="1919"/>
      <c r="X23" s="1890"/>
      <c r="Y23" s="609"/>
      <c r="Z23" s="609"/>
      <c r="AA23" s="609"/>
      <c r="AB23" s="609"/>
      <c r="AC23" s="609"/>
      <c r="AD23" s="609"/>
      <c r="AE23" s="609"/>
      <c r="AF23" s="609"/>
      <c r="AG23" s="609"/>
      <c r="AH23" s="609"/>
      <c r="AI23" s="609"/>
      <c r="AJ23" s="609"/>
      <c r="AK23" s="609"/>
      <c r="AL23" s="609"/>
      <c r="AM23" s="1909"/>
      <c r="AN23" s="1919"/>
      <c r="AO23" s="1919"/>
      <c r="AP23" s="1890"/>
      <c r="AQ23" s="609"/>
      <c r="AR23" s="609"/>
      <c r="AS23" s="609"/>
      <c r="AT23" s="609"/>
      <c r="AU23" s="609"/>
      <c r="AV23" s="1909"/>
      <c r="AW23" s="1919"/>
      <c r="AX23" s="1919"/>
      <c r="AY23" s="1890"/>
      <c r="AZ23" s="609"/>
      <c r="BA23" s="609"/>
      <c r="BB23" s="609"/>
      <c r="BC23" s="1909"/>
      <c r="BD23" s="1850"/>
      <c r="BE23" s="1890"/>
      <c r="BF23" s="609"/>
      <c r="BG23" s="609"/>
      <c r="BH23" s="609"/>
      <c r="BI23" s="609"/>
      <c r="BJ23" s="609"/>
      <c r="BK23" s="609"/>
      <c r="BL23" s="1909"/>
      <c r="BM23" s="1919"/>
      <c r="BN23" s="1906"/>
      <c r="BO23" s="1850"/>
      <c r="BP23" s="1850"/>
      <c r="BQ23" s="1890"/>
      <c r="BR23" s="609"/>
      <c r="BS23" s="1909"/>
      <c r="BT23" s="1941"/>
      <c r="BU23" s="1850"/>
      <c r="BV23" s="1890"/>
      <c r="BW23" s="1909"/>
      <c r="BX23" s="1850"/>
      <c r="BY23" s="1903"/>
      <c r="BZ23" s="1850"/>
      <c r="CA23" s="1850"/>
      <c r="CB23" s="1850"/>
      <c r="CC23" s="1850"/>
      <c r="CD23" s="654"/>
      <c r="CE23" s="535"/>
      <c r="CF23" s="535"/>
      <c r="CG23" s="535"/>
      <c r="CH23" s="535"/>
      <c r="CI23" s="535"/>
      <c r="CJ23" s="535"/>
      <c r="CK23" s="535"/>
      <c r="CL23" s="535"/>
      <c r="CM23" s="535"/>
      <c r="CN23" s="609"/>
      <c r="CO23" s="609"/>
      <c r="CP23" s="609"/>
      <c r="CQ23" s="1909"/>
      <c r="CR23" s="1919"/>
      <c r="CS23" s="1890"/>
      <c r="CT23" s="609"/>
      <c r="CU23" s="609"/>
      <c r="CV23" s="1909"/>
      <c r="CW23" s="1941"/>
      <c r="CX23" s="1921"/>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2" hidden="1" customHeight="1">
      <c r="A24" s="1849" t="s">
        <v>4753</v>
      </c>
      <c r="B24" s="1885"/>
      <c r="C24" s="1902"/>
      <c r="D24" s="1855"/>
      <c r="E24" s="1889"/>
      <c r="F24" s="1373"/>
      <c r="G24" s="1905"/>
      <c r="H24" s="1852"/>
      <c r="I24" s="1907"/>
      <c r="J24" s="1917"/>
      <c r="K24" s="1907"/>
      <c r="L24" s="1850"/>
      <c r="M24" s="1945"/>
      <c r="N24" s="1889"/>
      <c r="O24" s="1373"/>
      <c r="P24" s="1373"/>
      <c r="Q24" s="1373"/>
      <c r="R24" s="1910"/>
      <c r="S24" s="1854"/>
      <c r="T24" s="1889"/>
      <c r="U24" s="1373"/>
      <c r="V24" s="1910"/>
      <c r="W24" s="1917"/>
      <c r="X24" s="1889"/>
      <c r="Y24" s="1373"/>
      <c r="Z24" s="1373"/>
      <c r="AA24" s="1373"/>
      <c r="AB24" s="1373"/>
      <c r="AC24" s="1373"/>
      <c r="AD24" s="1373"/>
      <c r="AE24" s="1373"/>
      <c r="AF24" s="1373"/>
      <c r="AG24" s="1373"/>
      <c r="AH24" s="1373"/>
      <c r="AI24" s="1373"/>
      <c r="AJ24" s="1373"/>
      <c r="AK24" s="1373"/>
      <c r="AL24" s="1373"/>
      <c r="AM24" s="1910"/>
      <c r="AN24" s="1854"/>
      <c r="AO24" s="1917"/>
      <c r="AP24" s="1889"/>
      <c r="AQ24" s="1373"/>
      <c r="AR24" s="1373"/>
      <c r="AS24" s="1373"/>
      <c r="AT24" s="1373"/>
      <c r="AU24" s="1373"/>
      <c r="AV24" s="1910"/>
      <c r="AW24" s="1854"/>
      <c r="AX24" s="1917"/>
      <c r="AY24" s="1889"/>
      <c r="AZ24" s="1373"/>
      <c r="BA24" s="1373"/>
      <c r="BB24" s="1373"/>
      <c r="BC24" s="1910"/>
      <c r="BD24" s="1851"/>
      <c r="BE24" s="1889"/>
      <c r="BF24" s="1373"/>
      <c r="BG24" s="1373"/>
      <c r="BH24" s="1373"/>
      <c r="BI24" s="1373"/>
      <c r="BJ24" s="1373"/>
      <c r="BK24" s="1373"/>
      <c r="BL24" s="1910"/>
      <c r="BM24" s="1917"/>
      <c r="BN24" s="1907"/>
      <c r="BO24" s="1851"/>
      <c r="BP24" s="1851"/>
      <c r="BQ24" s="1889"/>
      <c r="BR24" s="1373"/>
      <c r="BS24" s="1910"/>
      <c r="BT24" s="1942"/>
      <c r="BU24" s="1851"/>
      <c r="BV24" s="1889"/>
      <c r="BW24" s="1910"/>
      <c r="BX24" s="1851"/>
      <c r="BY24" s="1825"/>
      <c r="BZ24" s="1851"/>
      <c r="CA24" s="1851"/>
      <c r="CB24" s="1851"/>
      <c r="CC24" s="1851"/>
      <c r="CD24" s="1924"/>
      <c r="CE24" s="1271"/>
      <c r="CF24" s="1271"/>
      <c r="CG24" s="1271"/>
      <c r="CH24" s="1271"/>
      <c r="CI24" s="1271"/>
      <c r="CJ24" s="1271"/>
      <c r="CK24" s="1271"/>
      <c r="CL24" s="1271"/>
      <c r="CM24" s="1271"/>
      <c r="CN24" s="1373"/>
      <c r="CO24" s="1373"/>
      <c r="CP24" s="1373"/>
      <c r="CQ24" s="1910"/>
      <c r="CR24" s="1917"/>
      <c r="CS24" s="1889"/>
      <c r="CT24" s="1373"/>
      <c r="CU24" s="1373"/>
      <c r="CV24" s="1910"/>
      <c r="CW24" s="1942"/>
      <c r="CX24" s="1922"/>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2" hidden="1" customHeight="1">
      <c r="A25" s="1849" t="s">
        <v>4754</v>
      </c>
      <c r="B25" s="1885"/>
      <c r="C25" s="1903"/>
      <c r="D25" s="1855"/>
      <c r="E25" s="654"/>
      <c r="F25" s="426"/>
      <c r="G25" s="1810"/>
      <c r="H25" s="1852"/>
      <c r="I25" s="1908"/>
      <c r="J25" s="1920"/>
      <c r="K25" s="1908"/>
      <c r="L25" s="1850"/>
      <c r="M25" s="1946"/>
      <c r="N25" s="1891"/>
      <c r="O25" s="1272"/>
      <c r="P25" s="1272"/>
      <c r="Q25" s="1272"/>
      <c r="R25" s="1911"/>
      <c r="S25" s="1854"/>
      <c r="T25" s="1891"/>
      <c r="U25" s="1272"/>
      <c r="V25" s="1911"/>
      <c r="W25" s="1920"/>
      <c r="X25" s="1891"/>
      <c r="Y25" s="1272"/>
      <c r="Z25" s="1272"/>
      <c r="AA25" s="1272"/>
      <c r="AB25" s="1272"/>
      <c r="AC25" s="1272"/>
      <c r="AD25" s="1272"/>
      <c r="AE25" s="1272"/>
      <c r="AF25" s="1272"/>
      <c r="AG25" s="1272"/>
      <c r="AH25" s="1272"/>
      <c r="AI25" s="1272"/>
      <c r="AJ25" s="1272"/>
      <c r="AK25" s="1272"/>
      <c r="AL25" s="1272"/>
      <c r="AM25" s="1911"/>
      <c r="AN25" s="1854"/>
      <c r="AO25" s="1920"/>
      <c r="AP25" s="1891"/>
      <c r="AQ25" s="1272"/>
      <c r="AR25" s="1272"/>
      <c r="AS25" s="1272"/>
      <c r="AT25" s="1272"/>
      <c r="AU25" s="1272"/>
      <c r="AV25" s="1911"/>
      <c r="AW25" s="1854"/>
      <c r="AX25" s="1920"/>
      <c r="AY25" s="1891"/>
      <c r="AZ25" s="1272"/>
      <c r="BA25" s="1272"/>
      <c r="BB25" s="1272"/>
      <c r="BC25" s="1911"/>
      <c r="BD25" s="1920"/>
      <c r="BE25" s="1891"/>
      <c r="BF25" s="1272"/>
      <c r="BG25" s="1272"/>
      <c r="BH25" s="1272"/>
      <c r="BI25" s="1272"/>
      <c r="BJ25" s="1272"/>
      <c r="BK25" s="1272"/>
      <c r="BL25" s="1911"/>
      <c r="BM25" s="1920"/>
      <c r="BN25" s="1908"/>
      <c r="BO25" s="1920"/>
      <c r="BP25" s="1920"/>
      <c r="BQ25" s="1891"/>
      <c r="BR25" s="1272"/>
      <c r="BS25" s="1911"/>
      <c r="BT25" s="1943"/>
      <c r="BU25" s="1920"/>
      <c r="BV25" s="1891"/>
      <c r="BW25" s="1911"/>
      <c r="BX25" s="1920"/>
      <c r="BY25" s="1908"/>
      <c r="BZ25" s="1920"/>
      <c r="CA25" s="1920"/>
      <c r="CB25" s="1920"/>
      <c r="CC25" s="1920"/>
      <c r="CD25" s="1891"/>
      <c r="CE25" s="1272"/>
      <c r="CF25" s="1272"/>
      <c r="CG25" s="1272"/>
      <c r="CH25" s="1272"/>
      <c r="CI25" s="1272"/>
      <c r="CJ25" s="1272"/>
      <c r="CK25" s="1272"/>
      <c r="CL25" s="1272"/>
      <c r="CM25" s="1272"/>
      <c r="CN25" s="1272"/>
      <c r="CO25" s="1272"/>
      <c r="CP25" s="1272"/>
      <c r="CQ25" s="1911"/>
      <c r="CR25" s="1920"/>
      <c r="CS25" s="1891"/>
      <c r="CT25" s="1272"/>
      <c r="CU25" s="1272"/>
      <c r="CV25" s="1911"/>
      <c r="CW25" s="1943"/>
      <c r="CX25" s="1850"/>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2" hidden="1" customHeight="1">
      <c r="A26" s="1849" t="s">
        <v>4556</v>
      </c>
      <c r="B26" s="1885"/>
      <c r="C26" s="1903"/>
      <c r="D26" s="1855"/>
      <c r="E26" s="654"/>
      <c r="F26" s="426"/>
      <c r="G26" s="1810"/>
      <c r="H26" s="1852"/>
      <c r="I26" s="1908"/>
      <c r="J26" s="1920"/>
      <c r="K26" s="1908"/>
      <c r="L26" s="1850"/>
      <c r="M26" s="1946"/>
      <c r="N26" s="1891"/>
      <c r="O26" s="1272"/>
      <c r="P26" s="1272"/>
      <c r="Q26" s="1272"/>
      <c r="R26" s="1911"/>
      <c r="S26" s="1854"/>
      <c r="T26" s="1891"/>
      <c r="U26" s="1272"/>
      <c r="V26" s="1911"/>
      <c r="W26" s="1920"/>
      <c r="X26" s="1891"/>
      <c r="Y26" s="1272"/>
      <c r="Z26" s="1272"/>
      <c r="AA26" s="1272"/>
      <c r="AB26" s="1272"/>
      <c r="AC26" s="1272"/>
      <c r="AD26" s="1272"/>
      <c r="AE26" s="1272"/>
      <c r="AF26" s="1272"/>
      <c r="AG26" s="1272"/>
      <c r="AH26" s="1272"/>
      <c r="AI26" s="1272"/>
      <c r="AJ26" s="1272"/>
      <c r="AK26" s="1272"/>
      <c r="AL26" s="1272"/>
      <c r="AM26" s="1911"/>
      <c r="AN26" s="1854"/>
      <c r="AO26" s="1920"/>
      <c r="AP26" s="1891"/>
      <c r="AQ26" s="1272"/>
      <c r="AR26" s="1272"/>
      <c r="AS26" s="1272"/>
      <c r="AT26" s="1272"/>
      <c r="AU26" s="1272"/>
      <c r="AV26" s="1911"/>
      <c r="AW26" s="1854"/>
      <c r="AX26" s="1920"/>
      <c r="AY26" s="1891"/>
      <c r="AZ26" s="1272"/>
      <c r="BA26" s="1272"/>
      <c r="BB26" s="1272"/>
      <c r="BC26" s="1911"/>
      <c r="BD26" s="1920"/>
      <c r="BE26" s="1891"/>
      <c r="BF26" s="1272"/>
      <c r="BG26" s="1272"/>
      <c r="BH26" s="1272"/>
      <c r="BI26" s="1272"/>
      <c r="BJ26" s="1272"/>
      <c r="BK26" s="1272"/>
      <c r="BL26" s="1911"/>
      <c r="BM26" s="1920"/>
      <c r="BN26" s="1908"/>
      <c r="BO26" s="1920"/>
      <c r="BP26" s="1920"/>
      <c r="BQ26" s="1891"/>
      <c r="BR26" s="1272"/>
      <c r="BS26" s="1911"/>
      <c r="BT26" s="1943"/>
      <c r="BU26" s="1920"/>
      <c r="BV26" s="1891"/>
      <c r="BW26" s="1911"/>
      <c r="BX26" s="1920"/>
      <c r="BY26" s="1908"/>
      <c r="BZ26" s="1920"/>
      <c r="CA26" s="1920"/>
      <c r="CB26" s="1920"/>
      <c r="CC26" s="1920"/>
      <c r="CD26" s="1891"/>
      <c r="CE26" s="1272"/>
      <c r="CF26" s="1272"/>
      <c r="CG26" s="1272"/>
      <c r="CH26" s="1272"/>
      <c r="CI26" s="1272"/>
      <c r="CJ26" s="1272"/>
      <c r="CK26" s="1272"/>
      <c r="CL26" s="1272"/>
      <c r="CM26" s="1272"/>
      <c r="CN26" s="1272"/>
      <c r="CO26" s="1272"/>
      <c r="CP26" s="1272"/>
      <c r="CQ26" s="1911"/>
      <c r="CR26" s="1920"/>
      <c r="CS26" s="1891"/>
      <c r="CT26" s="1272"/>
      <c r="CU26" s="1272"/>
      <c r="CV26" s="1911"/>
      <c r="CW26" s="1943"/>
      <c r="CX26" s="1859"/>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2" hidden="1" customHeight="1">
      <c r="A27" s="1849" t="s">
        <v>4755</v>
      </c>
      <c r="B27" s="1885"/>
      <c r="C27" s="1903"/>
      <c r="D27" s="1855"/>
      <c r="E27" s="654"/>
      <c r="F27" s="426"/>
      <c r="G27" s="1810"/>
      <c r="H27" s="1852"/>
      <c r="I27" s="1908"/>
      <c r="J27" s="1920"/>
      <c r="K27" s="1908"/>
      <c r="L27" s="1850"/>
      <c r="M27" s="1946"/>
      <c r="N27" s="1891"/>
      <c r="O27" s="1272"/>
      <c r="P27" s="1272"/>
      <c r="Q27" s="1272"/>
      <c r="R27" s="1911"/>
      <c r="S27" s="1854"/>
      <c r="T27" s="1891"/>
      <c r="U27" s="1272"/>
      <c r="V27" s="1911"/>
      <c r="W27" s="1920"/>
      <c r="X27" s="1891"/>
      <c r="Y27" s="1272"/>
      <c r="Z27" s="1272"/>
      <c r="AA27" s="1272"/>
      <c r="AB27" s="1272"/>
      <c r="AC27" s="1272"/>
      <c r="AD27" s="1272"/>
      <c r="AE27" s="1272"/>
      <c r="AF27" s="1272"/>
      <c r="AG27" s="1272"/>
      <c r="AH27" s="1272"/>
      <c r="AI27" s="1272"/>
      <c r="AJ27" s="1272"/>
      <c r="AK27" s="1272"/>
      <c r="AL27" s="1272"/>
      <c r="AM27" s="1911"/>
      <c r="AN27" s="1854"/>
      <c r="AO27" s="1920"/>
      <c r="AP27" s="1891"/>
      <c r="AQ27" s="1272"/>
      <c r="AR27" s="1272"/>
      <c r="AS27" s="1272"/>
      <c r="AT27" s="1272"/>
      <c r="AU27" s="1272"/>
      <c r="AV27" s="1911"/>
      <c r="AW27" s="1854"/>
      <c r="AX27" s="1920"/>
      <c r="AY27" s="1891"/>
      <c r="AZ27" s="1272"/>
      <c r="BA27" s="1272"/>
      <c r="BB27" s="1272"/>
      <c r="BC27" s="1911"/>
      <c r="BD27" s="1920"/>
      <c r="BE27" s="1891"/>
      <c r="BF27" s="1272"/>
      <c r="BG27" s="1272"/>
      <c r="BH27" s="1272"/>
      <c r="BI27" s="1272"/>
      <c r="BJ27" s="1272"/>
      <c r="BK27" s="1272"/>
      <c r="BL27" s="1911"/>
      <c r="BM27" s="1920"/>
      <c r="BN27" s="1908"/>
      <c r="BO27" s="1920"/>
      <c r="BP27" s="1920"/>
      <c r="BQ27" s="1891"/>
      <c r="BR27" s="1272"/>
      <c r="BS27" s="1911"/>
      <c r="BT27" s="1943"/>
      <c r="BU27" s="1920"/>
      <c r="BV27" s="1891"/>
      <c r="BW27" s="1911"/>
      <c r="BX27" s="1920"/>
      <c r="BY27" s="1908"/>
      <c r="BZ27" s="1920"/>
      <c r="CA27" s="1920"/>
      <c r="CB27" s="1920"/>
      <c r="CC27" s="1920"/>
      <c r="CD27" s="1891"/>
      <c r="CE27" s="1272"/>
      <c r="CF27" s="1272"/>
      <c r="CG27" s="1272"/>
      <c r="CH27" s="1272"/>
      <c r="CI27" s="1272"/>
      <c r="CJ27" s="1272"/>
      <c r="CK27" s="1272"/>
      <c r="CL27" s="1272"/>
      <c r="CM27" s="1272"/>
      <c r="CN27" s="1272"/>
      <c r="CO27" s="1272"/>
      <c r="CP27" s="1272"/>
      <c r="CQ27" s="1911"/>
      <c r="CR27" s="1920"/>
      <c r="CS27" s="1891"/>
      <c r="CT27" s="1272"/>
      <c r="CU27" s="1272"/>
      <c r="CV27" s="1911"/>
      <c r="CW27" s="1943"/>
      <c r="CX27" s="1859"/>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3.8" hidden="1">
      <c r="A28" s="1898"/>
      <c r="B28" s="539"/>
      <c r="C28" s="535"/>
      <c r="D28" s="1845"/>
      <c r="E28" s="535"/>
      <c r="F28" s="426"/>
      <c r="G28" s="427"/>
      <c r="H28" s="540"/>
      <c r="I28" s="1272"/>
      <c r="J28" s="1899"/>
      <c r="K28" s="1272"/>
      <c r="L28" s="1899"/>
      <c r="M28" s="1899"/>
      <c r="N28" s="1272"/>
      <c r="O28" s="1272"/>
      <c r="P28" s="1272"/>
      <c r="Q28" s="1272"/>
      <c r="R28" s="1272"/>
      <c r="S28" s="1899"/>
      <c r="T28" s="1272"/>
      <c r="U28" s="1272"/>
      <c r="V28" s="1272"/>
      <c r="W28" s="1899"/>
      <c r="X28" s="1272"/>
      <c r="Y28" s="1272"/>
      <c r="Z28" s="1272"/>
      <c r="AA28" s="1272"/>
      <c r="AB28" s="1272"/>
      <c r="AC28" s="1272"/>
      <c r="AD28" s="1272"/>
      <c r="AE28" s="1272"/>
      <c r="AF28" s="1272"/>
      <c r="AG28" s="1272"/>
      <c r="AH28" s="1272"/>
      <c r="AI28" s="1272"/>
      <c r="AJ28" s="1272"/>
      <c r="AK28" s="1272"/>
      <c r="AL28" s="1272"/>
      <c r="AM28" s="1272"/>
      <c r="AN28" s="1899"/>
      <c r="AO28" s="1899"/>
      <c r="AP28" s="1272"/>
      <c r="AQ28" s="1272"/>
      <c r="AR28" s="1272"/>
      <c r="AS28" s="1272"/>
      <c r="AT28" s="1272"/>
      <c r="AU28" s="1272"/>
      <c r="AV28" s="1272"/>
      <c r="AW28" s="1899"/>
      <c r="AX28" s="1899"/>
      <c r="AY28" s="1272"/>
      <c r="AZ28" s="1272"/>
      <c r="BA28" s="1272"/>
      <c r="BB28" s="1272"/>
      <c r="BC28" s="1272"/>
      <c r="BD28" s="1899"/>
      <c r="BE28" s="1272"/>
      <c r="BF28" s="1272"/>
      <c r="BG28" s="1272"/>
      <c r="BH28" s="1272"/>
      <c r="BI28" s="1272"/>
      <c r="BJ28" s="1272"/>
      <c r="BK28" s="1272"/>
      <c r="BL28" s="1272"/>
      <c r="BM28" s="1899"/>
      <c r="BN28" s="1272"/>
      <c r="BO28" s="1899"/>
      <c r="BP28" s="1899"/>
      <c r="BQ28" s="1272"/>
      <c r="BR28" s="1272"/>
      <c r="BS28" s="1272"/>
      <c r="BT28" s="1899"/>
      <c r="BU28" s="1899"/>
      <c r="BV28" s="1272"/>
      <c r="BW28" s="1272"/>
      <c r="BX28" s="1899"/>
      <c r="BY28" s="1272"/>
      <c r="BZ28" s="1899"/>
      <c r="CA28" s="1899"/>
      <c r="CB28" s="1899"/>
      <c r="CC28" s="1899"/>
      <c r="CD28" s="1272"/>
      <c r="CE28" s="1272"/>
      <c r="CF28" s="1272"/>
      <c r="CG28" s="1272"/>
      <c r="CH28" s="1272"/>
      <c r="CI28" s="1272"/>
      <c r="CJ28" s="1272"/>
      <c r="CK28" s="1272"/>
      <c r="CL28" s="1272"/>
      <c r="CM28" s="1272"/>
      <c r="CN28" s="1272"/>
      <c r="CO28" s="1272"/>
      <c r="CP28" s="1272"/>
      <c r="CQ28" s="1272"/>
      <c r="CR28" s="1899"/>
      <c r="CS28" s="1272"/>
      <c r="CT28" s="1272"/>
      <c r="CU28" s="1272"/>
      <c r="CV28" s="1272"/>
      <c r="CW28" s="1899"/>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3.8" hidden="1">
      <c r="A29" s="1376"/>
      <c r="B29" s="535"/>
      <c r="C29" s="535"/>
      <c r="D29" s="1235"/>
      <c r="E29" s="535"/>
      <c r="F29" s="426"/>
      <c r="G29" s="427"/>
      <c r="H29" s="426"/>
      <c r="I29" s="1272"/>
      <c r="J29" s="1272"/>
      <c r="K29" s="1272"/>
      <c r="L29" s="1272"/>
      <c r="M29" s="1272"/>
      <c r="N29" s="1272"/>
      <c r="O29" s="1272"/>
      <c r="P29" s="1272"/>
      <c r="Q29" s="1272"/>
      <c r="R29" s="1272"/>
      <c r="S29" s="1272"/>
      <c r="T29" s="1272"/>
      <c r="U29" s="1272"/>
      <c r="V29" s="1272"/>
      <c r="W29" s="1272"/>
      <c r="X29" s="1272"/>
      <c r="Y29" s="1272"/>
      <c r="Z29" s="1272"/>
      <c r="AA29" s="1272"/>
      <c r="AB29" s="1272"/>
      <c r="AC29" s="1272"/>
      <c r="AD29" s="1272"/>
      <c r="AE29" s="1272"/>
      <c r="AF29" s="1272"/>
      <c r="AG29" s="1272"/>
      <c r="AH29" s="1272"/>
      <c r="AI29" s="1272"/>
      <c r="AJ29" s="1272"/>
      <c r="AK29" s="1272"/>
      <c r="AL29" s="1272"/>
      <c r="AM29" s="1272"/>
      <c r="AN29" s="1272"/>
      <c r="AO29" s="1272"/>
      <c r="AP29" s="1272"/>
      <c r="AQ29" s="1272"/>
      <c r="AR29" s="1272"/>
      <c r="AS29" s="1272"/>
      <c r="AT29" s="1272"/>
      <c r="AU29" s="1272"/>
      <c r="AV29" s="1272"/>
      <c r="AW29" s="1272"/>
      <c r="AX29" s="1272"/>
      <c r="AY29" s="1272"/>
      <c r="AZ29" s="1272"/>
      <c r="BA29" s="1272"/>
      <c r="BB29" s="1272"/>
      <c r="BC29" s="1272"/>
      <c r="BD29" s="1272"/>
      <c r="BE29" s="1272"/>
      <c r="BF29" s="1272"/>
      <c r="BG29" s="1272"/>
      <c r="BH29" s="1272"/>
      <c r="BI29" s="1272"/>
      <c r="BJ29" s="1272"/>
      <c r="BK29" s="1272"/>
      <c r="BL29" s="1272"/>
      <c r="BM29" s="1272"/>
      <c r="BN29" s="1272"/>
      <c r="BO29" s="1272"/>
      <c r="BP29" s="1272"/>
      <c r="BQ29" s="1272"/>
      <c r="BR29" s="1272"/>
      <c r="BS29" s="1272"/>
      <c r="BT29" s="1272"/>
      <c r="BU29" s="1272"/>
      <c r="BV29" s="1272"/>
      <c r="BW29" s="1272"/>
      <c r="BX29" s="1272"/>
      <c r="BY29" s="1272"/>
      <c r="BZ29" s="1272"/>
      <c r="CA29" s="1272"/>
      <c r="CB29" s="1272"/>
      <c r="CC29" s="1272"/>
      <c r="CD29" s="1272"/>
      <c r="CE29" s="1272"/>
      <c r="CF29" s="1272"/>
      <c r="CG29" s="1272"/>
      <c r="CH29" s="1272"/>
      <c r="CI29" s="1272"/>
      <c r="CJ29" s="1272"/>
      <c r="CK29" s="1272"/>
      <c r="CL29" s="1272"/>
      <c r="CM29" s="1272"/>
      <c r="CN29" s="1272"/>
      <c r="CO29" s="1272"/>
      <c r="CP29" s="1272"/>
      <c r="CQ29" s="1272"/>
      <c r="CR29" s="1272"/>
      <c r="CS29" s="1272"/>
      <c r="CT29" s="1272"/>
      <c r="CU29" s="1272"/>
      <c r="CV29" s="1272"/>
      <c r="CW29" s="1272"/>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3.8" hidden="1">
      <c r="A30" s="1376"/>
      <c r="B30" s="535"/>
      <c r="C30" s="535"/>
      <c r="D30" s="1235"/>
      <c r="E30" s="535"/>
      <c r="F30" s="426"/>
      <c r="G30" s="427"/>
      <c r="H30" s="426"/>
      <c r="I30" s="1272"/>
      <c r="J30" s="1272"/>
      <c r="K30" s="1272"/>
      <c r="L30" s="1272"/>
      <c r="M30" s="1272"/>
      <c r="N30" s="1272"/>
      <c r="O30" s="1272"/>
      <c r="P30" s="1272"/>
      <c r="Q30" s="1272"/>
      <c r="R30" s="1272"/>
      <c r="S30" s="1272"/>
      <c r="T30" s="1272"/>
      <c r="U30" s="1272"/>
      <c r="V30" s="1272"/>
      <c r="W30" s="1272"/>
      <c r="X30" s="1272"/>
      <c r="Y30" s="1272"/>
      <c r="Z30" s="1272"/>
      <c r="AA30" s="1272"/>
      <c r="AB30" s="1272"/>
      <c r="AC30" s="1272"/>
      <c r="AD30" s="1272"/>
      <c r="AE30" s="1272"/>
      <c r="AF30" s="1272"/>
      <c r="AG30" s="1272"/>
      <c r="AH30" s="1272"/>
      <c r="AI30" s="1272"/>
      <c r="AJ30" s="1272"/>
      <c r="AK30" s="1272"/>
      <c r="AL30" s="1272"/>
      <c r="AM30" s="1272"/>
      <c r="AN30" s="1272"/>
      <c r="AO30" s="1272"/>
      <c r="AP30" s="1272"/>
      <c r="AQ30" s="1272"/>
      <c r="AR30" s="1272"/>
      <c r="AS30" s="1272"/>
      <c r="AT30" s="1272"/>
      <c r="AU30" s="1272"/>
      <c r="AV30" s="1272"/>
      <c r="AW30" s="1272"/>
      <c r="AX30" s="1272"/>
      <c r="AY30" s="1272"/>
      <c r="AZ30" s="1272"/>
      <c r="BA30" s="1272"/>
      <c r="BB30" s="1272"/>
      <c r="BC30" s="1272"/>
      <c r="BD30" s="1272"/>
      <c r="BE30" s="1272"/>
      <c r="BF30" s="1272"/>
      <c r="BG30" s="1272"/>
      <c r="BH30" s="1272"/>
      <c r="BI30" s="1272"/>
      <c r="BJ30" s="1272"/>
      <c r="BK30" s="1272"/>
      <c r="BL30" s="1272"/>
      <c r="BM30" s="1272"/>
      <c r="BN30" s="1272"/>
      <c r="BO30" s="1272"/>
      <c r="BP30" s="1272"/>
      <c r="BQ30" s="1272"/>
      <c r="BR30" s="1272"/>
      <c r="BS30" s="1272"/>
      <c r="BT30" s="1272"/>
      <c r="BU30" s="1272"/>
      <c r="BV30" s="1272"/>
      <c r="BW30" s="1272"/>
      <c r="BX30" s="1272"/>
      <c r="BY30" s="1272"/>
      <c r="BZ30" s="1272"/>
      <c r="CA30" s="1272"/>
      <c r="CB30" s="1272"/>
      <c r="CC30" s="1272"/>
      <c r="CD30" s="1272"/>
      <c r="CE30" s="1272"/>
      <c r="CF30" s="1272"/>
      <c r="CG30" s="1272"/>
      <c r="CH30" s="1272"/>
      <c r="CI30" s="1272"/>
      <c r="CJ30" s="1272"/>
      <c r="CK30" s="1272"/>
      <c r="CL30" s="1272"/>
      <c r="CM30" s="1272"/>
      <c r="CN30" s="1272"/>
      <c r="CO30" s="1272"/>
      <c r="CP30" s="1272"/>
      <c r="CQ30" s="1272"/>
      <c r="CR30" s="1272"/>
      <c r="CS30" s="1272"/>
      <c r="CT30" s="1272"/>
      <c r="CU30" s="1272"/>
      <c r="CV30" s="1272"/>
      <c r="CW30" s="1272"/>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3.8" hidden="1">
      <c r="A31" s="1376"/>
      <c r="B31" s="535"/>
      <c r="C31" s="535"/>
      <c r="D31" s="1235"/>
      <c r="E31" s="535"/>
      <c r="F31" s="426"/>
      <c r="G31" s="427"/>
      <c r="H31" s="426"/>
      <c r="I31" s="1272"/>
      <c r="J31" s="1272"/>
      <c r="K31" s="1272"/>
      <c r="L31" s="1272"/>
      <c r="M31" s="1272"/>
      <c r="N31" s="1272"/>
      <c r="O31" s="1272"/>
      <c r="P31" s="1272"/>
      <c r="Q31" s="1272"/>
      <c r="R31" s="1272"/>
      <c r="S31" s="1272"/>
      <c r="T31" s="1272"/>
      <c r="U31" s="1272"/>
      <c r="V31" s="1272"/>
      <c r="W31" s="1272"/>
      <c r="X31" s="1272"/>
      <c r="Y31" s="1272"/>
      <c r="Z31" s="1272"/>
      <c r="AA31" s="1272"/>
      <c r="AB31" s="1272"/>
      <c r="AC31" s="1272"/>
      <c r="AD31" s="1272"/>
      <c r="AE31" s="1272"/>
      <c r="AF31" s="1272"/>
      <c r="AG31" s="1272"/>
      <c r="AH31" s="1272"/>
      <c r="AI31" s="1272"/>
      <c r="AJ31" s="1272"/>
      <c r="AK31" s="1272"/>
      <c r="AL31" s="1272"/>
      <c r="AM31" s="1272"/>
      <c r="AN31" s="1272"/>
      <c r="AO31" s="1272"/>
      <c r="AP31" s="1272"/>
      <c r="AQ31" s="1272"/>
      <c r="AR31" s="1272"/>
      <c r="AS31" s="1272"/>
      <c r="AT31" s="1272"/>
      <c r="AU31" s="1272"/>
      <c r="AV31" s="1272"/>
      <c r="AW31" s="1272"/>
      <c r="AX31" s="1272"/>
      <c r="AY31" s="1272"/>
      <c r="AZ31" s="1272"/>
      <c r="BA31" s="1272"/>
      <c r="BB31" s="1272"/>
      <c r="BC31" s="1272"/>
      <c r="BD31" s="1272"/>
      <c r="BE31" s="1272"/>
      <c r="BF31" s="1272"/>
      <c r="BG31" s="1272"/>
      <c r="BH31" s="1272"/>
      <c r="BI31" s="1272"/>
      <c r="BJ31" s="1272"/>
      <c r="BK31" s="1272"/>
      <c r="BL31" s="1272"/>
      <c r="BM31" s="1272"/>
      <c r="BN31" s="1272"/>
      <c r="BO31" s="1272"/>
      <c r="BP31" s="1272"/>
      <c r="BQ31" s="1272"/>
      <c r="BR31" s="1272"/>
      <c r="BS31" s="1272"/>
      <c r="BT31" s="1272"/>
      <c r="BU31" s="1272"/>
      <c r="BV31" s="1272"/>
      <c r="BW31" s="1272"/>
      <c r="BX31" s="1272"/>
      <c r="BY31" s="1272"/>
      <c r="BZ31" s="1272"/>
      <c r="CA31" s="1272"/>
      <c r="CB31" s="1272"/>
      <c r="CC31" s="1272"/>
      <c r="CD31" s="1272"/>
      <c r="CE31" s="1272"/>
      <c r="CF31" s="1272"/>
      <c r="CG31" s="1272"/>
      <c r="CH31" s="1272"/>
      <c r="CI31" s="1272"/>
      <c r="CJ31" s="1272"/>
      <c r="CK31" s="1272"/>
      <c r="CL31" s="1272"/>
      <c r="CM31" s="1272"/>
      <c r="CN31" s="1272"/>
      <c r="CO31" s="1272"/>
      <c r="CP31" s="1272"/>
      <c r="CQ31" s="1272"/>
      <c r="CR31" s="1272"/>
      <c r="CS31" s="1272"/>
      <c r="CT31" s="1272"/>
      <c r="CU31" s="1272"/>
      <c r="CV31" s="1272"/>
      <c r="CW31" s="1272"/>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3.8" hidden="1">
      <c r="A32" s="1376"/>
      <c r="B32" s="535"/>
      <c r="C32" s="535"/>
      <c r="D32" s="1235"/>
      <c r="E32" s="535"/>
      <c r="F32" s="426"/>
      <c r="G32" s="427"/>
      <c r="H32" s="426"/>
      <c r="I32" s="1272"/>
      <c r="J32" s="1272"/>
      <c r="K32" s="1272"/>
      <c r="L32" s="1272"/>
      <c r="M32" s="1272"/>
      <c r="N32" s="1272"/>
      <c r="O32" s="1272"/>
      <c r="P32" s="1272"/>
      <c r="Q32" s="1272"/>
      <c r="R32" s="1272"/>
      <c r="S32" s="1272"/>
      <c r="T32" s="1272"/>
      <c r="U32" s="1272"/>
      <c r="V32" s="1272"/>
      <c r="W32" s="1272"/>
      <c r="X32" s="1272"/>
      <c r="Y32" s="1272"/>
      <c r="Z32" s="1272"/>
      <c r="AA32" s="1272"/>
      <c r="AB32" s="1272"/>
      <c r="AC32" s="1272"/>
      <c r="AD32" s="1272"/>
      <c r="AE32" s="1272"/>
      <c r="AF32" s="1272"/>
      <c r="AG32" s="1272"/>
      <c r="AH32" s="1272"/>
      <c r="AI32" s="1272"/>
      <c r="AJ32" s="1272"/>
      <c r="AK32" s="1272"/>
      <c r="AL32" s="1272"/>
      <c r="AM32" s="1272"/>
      <c r="AN32" s="1272"/>
      <c r="AO32" s="1272"/>
      <c r="AP32" s="1272"/>
      <c r="AQ32" s="1272"/>
      <c r="AR32" s="1272"/>
      <c r="AS32" s="1272"/>
      <c r="AT32" s="1272"/>
      <c r="AU32" s="1272"/>
      <c r="AV32" s="1272"/>
      <c r="AW32" s="1272"/>
      <c r="AX32" s="1272"/>
      <c r="AY32" s="1272"/>
      <c r="AZ32" s="1272"/>
      <c r="BA32" s="1272"/>
      <c r="BB32" s="1272"/>
      <c r="BC32" s="1272"/>
      <c r="BD32" s="1272"/>
      <c r="BE32" s="1272"/>
      <c r="BF32" s="1272"/>
      <c r="BG32" s="1272"/>
      <c r="BH32" s="1272"/>
      <c r="BI32" s="1272"/>
      <c r="BJ32" s="1272"/>
      <c r="BK32" s="1272"/>
      <c r="BL32" s="1272"/>
      <c r="BM32" s="1272"/>
      <c r="BN32" s="1272"/>
      <c r="BO32" s="1272"/>
      <c r="BP32" s="1272"/>
      <c r="BQ32" s="1272"/>
      <c r="BR32" s="1272"/>
      <c r="BS32" s="1272"/>
      <c r="BT32" s="1272"/>
      <c r="BU32" s="1272"/>
      <c r="BV32" s="1272"/>
      <c r="BW32" s="1272"/>
      <c r="BX32" s="1272"/>
      <c r="BY32" s="1272"/>
      <c r="BZ32" s="1272"/>
      <c r="CA32" s="1272"/>
      <c r="CB32" s="1272"/>
      <c r="CC32" s="1272"/>
      <c r="CD32" s="1272"/>
      <c r="CE32" s="1272"/>
      <c r="CF32" s="1272"/>
      <c r="CG32" s="1272"/>
      <c r="CH32" s="1272"/>
      <c r="CI32" s="1272"/>
      <c r="CJ32" s="1272"/>
      <c r="CK32" s="1272"/>
      <c r="CL32" s="1272"/>
      <c r="CM32" s="1272"/>
      <c r="CN32" s="1272"/>
      <c r="CO32" s="1272"/>
      <c r="CP32" s="1272"/>
      <c r="CQ32" s="1272"/>
      <c r="CR32" s="1272"/>
      <c r="CS32" s="1272"/>
      <c r="CT32" s="1272"/>
      <c r="CU32" s="1272"/>
      <c r="CV32" s="1272"/>
      <c r="CW32" s="1272"/>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3.8" hidden="1">
      <c r="A33" s="1376"/>
      <c r="B33" s="535"/>
      <c r="C33" s="535"/>
      <c r="D33" s="1235"/>
      <c r="E33" s="535"/>
      <c r="F33" s="426"/>
      <c r="G33" s="427"/>
      <c r="H33" s="426"/>
      <c r="I33" s="1272"/>
      <c r="J33" s="1272"/>
      <c r="K33" s="1272"/>
      <c r="L33" s="1272"/>
      <c r="M33" s="1272"/>
      <c r="N33" s="1272"/>
      <c r="O33" s="1272"/>
      <c r="P33" s="1272"/>
      <c r="Q33" s="1272"/>
      <c r="R33" s="1272"/>
      <c r="S33" s="1272"/>
      <c r="T33" s="1272"/>
      <c r="U33" s="1272"/>
      <c r="V33" s="1272"/>
      <c r="W33" s="1272"/>
      <c r="X33" s="1272"/>
      <c r="Y33" s="1272"/>
      <c r="Z33" s="1272"/>
      <c r="AA33" s="1272"/>
      <c r="AB33" s="1272"/>
      <c r="AC33" s="1272"/>
      <c r="AD33" s="1272"/>
      <c r="AE33" s="1272"/>
      <c r="AF33" s="1272"/>
      <c r="AG33" s="1272"/>
      <c r="AH33" s="1272"/>
      <c r="AI33" s="1272"/>
      <c r="AJ33" s="1272"/>
      <c r="AK33" s="1272"/>
      <c r="AL33" s="1272"/>
      <c r="AM33" s="1272"/>
      <c r="AN33" s="1272"/>
      <c r="AO33" s="1272"/>
      <c r="AP33" s="1272"/>
      <c r="AQ33" s="1272"/>
      <c r="AR33" s="1272"/>
      <c r="AS33" s="1272"/>
      <c r="AT33" s="1272"/>
      <c r="AU33" s="1272"/>
      <c r="AV33" s="1272"/>
      <c r="AW33" s="1272"/>
      <c r="AX33" s="1272"/>
      <c r="AY33" s="1272"/>
      <c r="AZ33" s="1272"/>
      <c r="BA33" s="1272"/>
      <c r="BB33" s="1272"/>
      <c r="BC33" s="1272"/>
      <c r="BD33" s="1272"/>
      <c r="BE33" s="1272"/>
      <c r="BF33" s="1272"/>
      <c r="BG33" s="1272"/>
      <c r="BH33" s="1272"/>
      <c r="BI33" s="1272"/>
      <c r="BJ33" s="1272"/>
      <c r="BK33" s="1272"/>
      <c r="BL33" s="1272"/>
      <c r="BM33" s="1272"/>
      <c r="BN33" s="1272"/>
      <c r="BO33" s="1272"/>
      <c r="BP33" s="1272"/>
      <c r="BQ33" s="1272"/>
      <c r="BR33" s="1272"/>
      <c r="BS33" s="1272"/>
      <c r="BT33" s="1272"/>
      <c r="BU33" s="1272"/>
      <c r="BV33" s="1272"/>
      <c r="BW33" s="1272"/>
      <c r="BX33" s="1272"/>
      <c r="BY33" s="1272"/>
      <c r="BZ33" s="1272"/>
      <c r="CA33" s="1272"/>
      <c r="CB33" s="1272"/>
      <c r="CC33" s="1272"/>
      <c r="CD33" s="1272"/>
      <c r="CE33" s="1272"/>
      <c r="CF33" s="1272"/>
      <c r="CG33" s="1272"/>
      <c r="CH33" s="1272"/>
      <c r="CI33" s="1272"/>
      <c r="CJ33" s="1272"/>
      <c r="CK33" s="1272"/>
      <c r="CL33" s="1272"/>
      <c r="CM33" s="1272"/>
      <c r="CN33" s="1272"/>
      <c r="CO33" s="1272"/>
      <c r="CP33" s="1272"/>
      <c r="CQ33" s="1272"/>
      <c r="CR33" s="1272"/>
      <c r="CS33" s="1272"/>
      <c r="CT33" s="1272"/>
      <c r="CU33" s="1272"/>
      <c r="CV33" s="1272"/>
      <c r="CW33" s="1272"/>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3.8" hidden="1">
      <c r="A34" s="1376"/>
      <c r="B34" s="535"/>
      <c r="C34" s="535"/>
      <c r="D34" s="1235"/>
      <c r="E34" s="535"/>
      <c r="F34" s="426"/>
      <c r="G34" s="427"/>
      <c r="H34" s="426"/>
      <c r="I34" s="1272"/>
      <c r="J34" s="1272"/>
      <c r="K34" s="1272"/>
      <c r="L34" s="1272"/>
      <c r="M34" s="1272"/>
      <c r="N34" s="1272"/>
      <c r="O34" s="1272"/>
      <c r="P34" s="1272"/>
      <c r="Q34" s="1272"/>
      <c r="R34" s="1272"/>
      <c r="S34" s="1272"/>
      <c r="T34" s="1272"/>
      <c r="U34" s="1272"/>
      <c r="V34" s="1272"/>
      <c r="W34" s="1272"/>
      <c r="X34" s="1272"/>
      <c r="Y34" s="1272"/>
      <c r="Z34" s="1272"/>
      <c r="AA34" s="1272"/>
      <c r="AB34" s="1272"/>
      <c r="AC34" s="1272"/>
      <c r="AD34" s="1272"/>
      <c r="AE34" s="1272"/>
      <c r="AF34" s="1272"/>
      <c r="AG34" s="1272"/>
      <c r="AH34" s="1272"/>
      <c r="AI34" s="1272"/>
      <c r="AJ34" s="1272"/>
      <c r="AK34" s="1272"/>
      <c r="AL34" s="1272"/>
      <c r="AM34" s="1272"/>
      <c r="AN34" s="1272"/>
      <c r="AO34" s="1272"/>
      <c r="AP34" s="1272"/>
      <c r="AQ34" s="1272"/>
      <c r="AR34" s="1272"/>
      <c r="AS34" s="1272"/>
      <c r="AT34" s="1272"/>
      <c r="AU34" s="1272"/>
      <c r="AV34" s="1272"/>
      <c r="AW34" s="1272"/>
      <c r="AX34" s="1272"/>
      <c r="AY34" s="1272"/>
      <c r="AZ34" s="1272"/>
      <c r="BA34" s="1272"/>
      <c r="BB34" s="1272"/>
      <c r="BC34" s="1272"/>
      <c r="BD34" s="1272"/>
      <c r="BE34" s="1272"/>
      <c r="BF34" s="1272"/>
      <c r="BG34" s="1272"/>
      <c r="BH34" s="1272"/>
      <c r="BI34" s="1272"/>
      <c r="BJ34" s="1272"/>
      <c r="BK34" s="1272"/>
      <c r="BL34" s="1272"/>
      <c r="BM34" s="1272"/>
      <c r="BN34" s="1272"/>
      <c r="BO34" s="1272"/>
      <c r="BP34" s="1272"/>
      <c r="BQ34" s="1272"/>
      <c r="BR34" s="1272"/>
      <c r="BS34" s="1272"/>
      <c r="BT34" s="1272"/>
      <c r="BU34" s="1272"/>
      <c r="BV34" s="1272"/>
      <c r="BW34" s="1272"/>
      <c r="BX34" s="1272"/>
      <c r="BY34" s="1272"/>
      <c r="BZ34" s="1272"/>
      <c r="CA34" s="1272"/>
      <c r="CB34" s="1272"/>
      <c r="CC34" s="1272"/>
      <c r="CD34" s="1272"/>
      <c r="CE34" s="1272"/>
      <c r="CF34" s="1272"/>
      <c r="CG34" s="1272"/>
      <c r="CH34" s="1272"/>
      <c r="CI34" s="1272"/>
      <c r="CJ34" s="1272"/>
      <c r="CK34" s="1272"/>
      <c r="CL34" s="1272"/>
      <c r="CM34" s="1272"/>
      <c r="CN34" s="1272"/>
      <c r="CO34" s="1272"/>
      <c r="CP34" s="1272"/>
      <c r="CQ34" s="1272"/>
      <c r="CR34" s="1272"/>
      <c r="CS34" s="1272"/>
      <c r="CT34" s="1272"/>
      <c r="CU34" s="1272"/>
      <c r="CV34" s="1272"/>
      <c r="CW34" s="1272"/>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3.8" hidden="1">
      <c r="A35" s="1376"/>
      <c r="B35" s="535"/>
      <c r="C35" s="535"/>
      <c r="D35" s="1235"/>
      <c r="E35" s="535"/>
      <c r="F35" s="426"/>
      <c r="G35" s="427"/>
      <c r="H35" s="426"/>
      <c r="I35" s="1272"/>
      <c r="J35" s="1272"/>
      <c r="K35" s="1272"/>
      <c r="L35" s="1272"/>
      <c r="M35" s="1272"/>
      <c r="N35" s="1272"/>
      <c r="O35" s="1272"/>
      <c r="P35" s="1272"/>
      <c r="Q35" s="1272"/>
      <c r="R35" s="1272"/>
      <c r="S35" s="1272"/>
      <c r="T35" s="1272"/>
      <c r="U35" s="1272"/>
      <c r="V35" s="1272"/>
      <c r="W35" s="1272"/>
      <c r="X35" s="1272"/>
      <c r="Y35" s="1272"/>
      <c r="Z35" s="1272"/>
      <c r="AA35" s="1272"/>
      <c r="AB35" s="1272"/>
      <c r="AC35" s="1272"/>
      <c r="AD35" s="1272"/>
      <c r="AE35" s="1272"/>
      <c r="AF35" s="1272"/>
      <c r="AG35" s="1272"/>
      <c r="AH35" s="1272"/>
      <c r="AI35" s="1272"/>
      <c r="AJ35" s="1272"/>
      <c r="AK35" s="1272"/>
      <c r="AL35" s="1272"/>
      <c r="AM35" s="1272"/>
      <c r="AN35" s="1272"/>
      <c r="AO35" s="1272"/>
      <c r="AP35" s="1272"/>
      <c r="AQ35" s="1272"/>
      <c r="AR35" s="1272"/>
      <c r="AS35" s="1272"/>
      <c r="AT35" s="1272"/>
      <c r="AU35" s="1272"/>
      <c r="AV35" s="1272"/>
      <c r="AW35" s="1272"/>
      <c r="AX35" s="1272"/>
      <c r="AY35" s="1272"/>
      <c r="AZ35" s="1272"/>
      <c r="BA35" s="1272"/>
      <c r="BB35" s="1272"/>
      <c r="BC35" s="1272"/>
      <c r="BD35" s="1272"/>
      <c r="BE35" s="1272"/>
      <c r="BF35" s="1272"/>
      <c r="BG35" s="1272"/>
      <c r="BH35" s="1272"/>
      <c r="BI35" s="1272"/>
      <c r="BJ35" s="1272"/>
      <c r="BK35" s="1272"/>
      <c r="BL35" s="1272"/>
      <c r="BM35" s="1272"/>
      <c r="BN35" s="1272"/>
      <c r="BO35" s="1272"/>
      <c r="BP35" s="1272"/>
      <c r="BQ35" s="1272"/>
      <c r="BR35" s="1272"/>
      <c r="BS35" s="1272"/>
      <c r="BT35" s="1272"/>
      <c r="BU35" s="1272"/>
      <c r="BV35" s="1272"/>
      <c r="BW35" s="1272"/>
      <c r="BX35" s="1272"/>
      <c r="BY35" s="1272"/>
      <c r="BZ35" s="1272"/>
      <c r="CA35" s="1272"/>
      <c r="CB35" s="1272"/>
      <c r="CC35" s="1272"/>
      <c r="CD35" s="1272"/>
      <c r="CE35" s="1272"/>
      <c r="CF35" s="1272"/>
      <c r="CG35" s="1272"/>
      <c r="CH35" s="1272"/>
      <c r="CI35" s="1272"/>
      <c r="CJ35" s="1272"/>
      <c r="CK35" s="1272"/>
      <c r="CL35" s="1272"/>
      <c r="CM35" s="1272"/>
      <c r="CN35" s="1272"/>
      <c r="CO35" s="1272"/>
      <c r="CP35" s="1272"/>
      <c r="CQ35" s="1272"/>
      <c r="CR35" s="1272"/>
      <c r="CS35" s="1272"/>
      <c r="CT35" s="1272"/>
      <c r="CU35" s="1272"/>
      <c r="CV35" s="1272"/>
      <c r="CW35" s="1272"/>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3.8" hidden="1">
      <c r="A36" s="1376"/>
      <c r="B36" s="535"/>
      <c r="C36" s="535"/>
      <c r="D36" s="1235"/>
      <c r="E36" s="535"/>
      <c r="F36" s="426"/>
      <c r="G36" s="427"/>
      <c r="H36" s="426"/>
      <c r="I36" s="1272"/>
      <c r="J36" s="1272"/>
      <c r="K36" s="1272"/>
      <c r="L36" s="1272"/>
      <c r="M36" s="1272"/>
      <c r="N36" s="1272"/>
      <c r="O36" s="1272"/>
      <c r="P36" s="1272"/>
      <c r="Q36" s="1272"/>
      <c r="R36" s="1272"/>
      <c r="S36" s="1272"/>
      <c r="T36" s="1272"/>
      <c r="U36" s="1272"/>
      <c r="V36" s="1272"/>
      <c r="W36" s="1272"/>
      <c r="X36" s="1272"/>
      <c r="Y36" s="1272"/>
      <c r="Z36" s="1272"/>
      <c r="AA36" s="1272"/>
      <c r="AB36" s="1272"/>
      <c r="AC36" s="1272"/>
      <c r="AD36" s="1272"/>
      <c r="AE36" s="1272"/>
      <c r="AF36" s="1272"/>
      <c r="AG36" s="1272"/>
      <c r="AH36" s="1272"/>
      <c r="AI36" s="1272"/>
      <c r="AJ36" s="1272"/>
      <c r="AK36" s="1272"/>
      <c r="AL36" s="1272"/>
      <c r="AM36" s="1272"/>
      <c r="AN36" s="1272"/>
      <c r="AO36" s="1272"/>
      <c r="AP36" s="1272"/>
      <c r="AQ36" s="1272"/>
      <c r="AR36" s="1272"/>
      <c r="AS36" s="1272"/>
      <c r="AT36" s="1272"/>
      <c r="AU36" s="1272"/>
      <c r="AV36" s="1272"/>
      <c r="AW36" s="1272"/>
      <c r="AX36" s="1272"/>
      <c r="AY36" s="1272"/>
      <c r="AZ36" s="1272"/>
      <c r="BA36" s="1272"/>
      <c r="BB36" s="1272"/>
      <c r="BC36" s="1272"/>
      <c r="BD36" s="1272"/>
      <c r="BE36" s="1272"/>
      <c r="BF36" s="1272"/>
      <c r="BG36" s="1272"/>
      <c r="BH36" s="1272"/>
      <c r="BI36" s="1272"/>
      <c r="BJ36" s="1272"/>
      <c r="BK36" s="1272"/>
      <c r="BL36" s="1272"/>
      <c r="BM36" s="1272"/>
      <c r="BN36" s="1272"/>
      <c r="BO36" s="1272"/>
      <c r="BP36" s="1272"/>
      <c r="BQ36" s="1272"/>
      <c r="BR36" s="1272"/>
      <c r="BS36" s="1272"/>
      <c r="BT36" s="1272"/>
      <c r="BU36" s="1272"/>
      <c r="BV36" s="1272"/>
      <c r="BW36" s="1272"/>
      <c r="BX36" s="1272"/>
      <c r="BY36" s="1272"/>
      <c r="BZ36" s="1272"/>
      <c r="CA36" s="1272"/>
      <c r="CB36" s="1272"/>
      <c r="CC36" s="1272"/>
      <c r="CD36" s="1272"/>
      <c r="CE36" s="1272"/>
      <c r="CF36" s="1272"/>
      <c r="CG36" s="1272"/>
      <c r="CH36" s="1272"/>
      <c r="CI36" s="1272"/>
      <c r="CJ36" s="1272"/>
      <c r="CK36" s="1272"/>
      <c r="CL36" s="1272"/>
      <c r="CM36" s="1272"/>
      <c r="CN36" s="1272"/>
      <c r="CO36" s="1272"/>
      <c r="CP36" s="1272"/>
      <c r="CQ36" s="1272"/>
      <c r="CR36" s="1272"/>
      <c r="CS36" s="1272"/>
      <c r="CT36" s="1272"/>
      <c r="CU36" s="1272"/>
      <c r="CV36" s="1272"/>
      <c r="CW36" s="1272"/>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3.8" hidden="1">
      <c r="A37" s="1376"/>
      <c r="B37" s="535"/>
      <c r="C37" s="535"/>
      <c r="D37" s="1235"/>
      <c r="E37" s="535"/>
      <c r="F37" s="426"/>
      <c r="G37" s="427"/>
      <c r="H37" s="426"/>
      <c r="I37" s="1272"/>
      <c r="J37" s="1272"/>
      <c r="K37" s="1272"/>
      <c r="L37" s="1272"/>
      <c r="M37" s="1272"/>
      <c r="N37" s="1272"/>
      <c r="O37" s="1272"/>
      <c r="P37" s="1272"/>
      <c r="Q37" s="1272"/>
      <c r="R37" s="1272"/>
      <c r="S37" s="1272"/>
      <c r="T37" s="1272"/>
      <c r="U37" s="1272"/>
      <c r="V37" s="1272"/>
      <c r="W37" s="1272"/>
      <c r="X37" s="1272"/>
      <c r="Y37" s="1272"/>
      <c r="Z37" s="1272"/>
      <c r="AA37" s="1272"/>
      <c r="AB37" s="1272"/>
      <c r="AC37" s="1272"/>
      <c r="AD37" s="1272"/>
      <c r="AE37" s="1272"/>
      <c r="AF37" s="1272"/>
      <c r="AG37" s="1272"/>
      <c r="AH37" s="1272"/>
      <c r="AI37" s="1272"/>
      <c r="AJ37" s="1272"/>
      <c r="AK37" s="1272"/>
      <c r="AL37" s="1272"/>
      <c r="AM37" s="1272"/>
      <c r="AN37" s="1272"/>
      <c r="AO37" s="1272"/>
      <c r="AP37" s="1272"/>
      <c r="AQ37" s="1272"/>
      <c r="AR37" s="1272"/>
      <c r="AS37" s="1272"/>
      <c r="AT37" s="1272"/>
      <c r="AU37" s="1272"/>
      <c r="AV37" s="1272"/>
      <c r="AW37" s="1272"/>
      <c r="AX37" s="1272"/>
      <c r="AY37" s="1272"/>
      <c r="AZ37" s="1272"/>
      <c r="BA37" s="1272"/>
      <c r="BB37" s="1272"/>
      <c r="BC37" s="1272"/>
      <c r="BD37" s="1272"/>
      <c r="BE37" s="1272"/>
      <c r="BF37" s="1272"/>
      <c r="BG37" s="1272"/>
      <c r="BH37" s="1272"/>
      <c r="BI37" s="1272"/>
      <c r="BJ37" s="1272"/>
      <c r="BK37" s="1272"/>
      <c r="BL37" s="1272"/>
      <c r="BM37" s="1272"/>
      <c r="BN37" s="1272"/>
      <c r="BO37" s="1272"/>
      <c r="BP37" s="1272"/>
      <c r="BQ37" s="1272"/>
      <c r="BR37" s="1272"/>
      <c r="BS37" s="1272"/>
      <c r="BT37" s="1272"/>
      <c r="BU37" s="1272"/>
      <c r="BV37" s="1272"/>
      <c r="BW37" s="1272"/>
      <c r="BX37" s="1272"/>
      <c r="BY37" s="1272"/>
      <c r="BZ37" s="1272"/>
      <c r="CA37" s="1272"/>
      <c r="CB37" s="1272"/>
      <c r="CC37" s="1272"/>
      <c r="CD37" s="1272"/>
      <c r="CE37" s="1272"/>
      <c r="CF37" s="1272"/>
      <c r="CG37" s="1272"/>
      <c r="CH37" s="1272"/>
      <c r="CI37" s="1272"/>
      <c r="CJ37" s="1272"/>
      <c r="CK37" s="1272"/>
      <c r="CL37" s="1272"/>
      <c r="CM37" s="1272"/>
      <c r="CN37" s="1272"/>
      <c r="CO37" s="1272"/>
      <c r="CP37" s="1272"/>
      <c r="CQ37" s="1272"/>
      <c r="CR37" s="1272"/>
      <c r="CS37" s="1272"/>
      <c r="CT37" s="1272"/>
      <c r="CU37" s="1272"/>
      <c r="CV37" s="1272"/>
      <c r="CW37" s="1272"/>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3.8" hidden="1">
      <c r="A38" s="1376"/>
      <c r="B38" s="535"/>
      <c r="C38" s="535"/>
      <c r="D38" s="1235"/>
      <c r="E38" s="535"/>
      <c r="F38" s="426"/>
      <c r="G38" s="427"/>
      <c r="H38" s="426"/>
      <c r="I38" s="1272"/>
      <c r="J38" s="1272"/>
      <c r="K38" s="1272"/>
      <c r="L38" s="1272"/>
      <c r="M38" s="1272"/>
      <c r="N38" s="1272"/>
      <c r="O38" s="1272"/>
      <c r="P38" s="1272"/>
      <c r="Q38" s="1272"/>
      <c r="R38" s="1272"/>
      <c r="S38" s="1272"/>
      <c r="T38" s="1272"/>
      <c r="U38" s="1272"/>
      <c r="V38" s="1272"/>
      <c r="W38" s="1272"/>
      <c r="X38" s="1272"/>
      <c r="Y38" s="1272"/>
      <c r="Z38" s="1272"/>
      <c r="AA38" s="1272"/>
      <c r="AB38" s="1272"/>
      <c r="AC38" s="1272"/>
      <c r="AD38" s="1272"/>
      <c r="AE38" s="1272"/>
      <c r="AF38" s="1272"/>
      <c r="AG38" s="1272"/>
      <c r="AH38" s="1272"/>
      <c r="AI38" s="1272"/>
      <c r="AJ38" s="1272"/>
      <c r="AK38" s="1272"/>
      <c r="AL38" s="1272"/>
      <c r="AM38" s="1272"/>
      <c r="AN38" s="1272"/>
      <c r="AO38" s="1272"/>
      <c r="AP38" s="1272"/>
      <c r="AQ38" s="1272"/>
      <c r="AR38" s="1272"/>
      <c r="AS38" s="1272"/>
      <c r="AT38" s="1272"/>
      <c r="AU38" s="1272"/>
      <c r="AV38" s="1272"/>
      <c r="AW38" s="1272"/>
      <c r="AX38" s="1272"/>
      <c r="AY38" s="1272"/>
      <c r="AZ38" s="1272"/>
      <c r="BA38" s="1272"/>
      <c r="BB38" s="1272"/>
      <c r="BC38" s="1272"/>
      <c r="BD38" s="1272"/>
      <c r="BE38" s="1272"/>
      <c r="BF38" s="1272"/>
      <c r="BG38" s="1272"/>
      <c r="BH38" s="1272"/>
      <c r="BI38" s="1272"/>
      <c r="BJ38" s="1272"/>
      <c r="BK38" s="1272"/>
      <c r="BL38" s="1272"/>
      <c r="BM38" s="1272"/>
      <c r="BN38" s="1272"/>
      <c r="BO38" s="1272"/>
      <c r="BP38" s="1272"/>
      <c r="BQ38" s="1272"/>
      <c r="BR38" s="1272"/>
      <c r="BS38" s="1272"/>
      <c r="BT38" s="1272"/>
      <c r="BU38" s="1272"/>
      <c r="BV38" s="1272"/>
      <c r="BW38" s="1272"/>
      <c r="BX38" s="1272"/>
      <c r="BY38" s="1272"/>
      <c r="BZ38" s="1272"/>
      <c r="CA38" s="1272"/>
      <c r="CB38" s="1272"/>
      <c r="CC38" s="1272"/>
      <c r="CD38" s="1272"/>
      <c r="CE38" s="1272"/>
      <c r="CF38" s="1272"/>
      <c r="CG38" s="1272"/>
      <c r="CH38" s="1272"/>
      <c r="CI38" s="1272"/>
      <c r="CJ38" s="1272"/>
      <c r="CK38" s="1272"/>
      <c r="CL38" s="1272"/>
      <c r="CM38" s="1272"/>
      <c r="CN38" s="1272"/>
      <c r="CO38" s="1272"/>
      <c r="CP38" s="1272"/>
      <c r="CQ38" s="1272"/>
      <c r="CR38" s="1272"/>
      <c r="CS38" s="1272"/>
      <c r="CT38" s="1272"/>
      <c r="CU38" s="1272"/>
      <c r="CV38" s="1272"/>
      <c r="CW38" s="1272"/>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3.8" hidden="1">
      <c r="A39" s="1376"/>
      <c r="B39" s="535"/>
      <c r="C39" s="535"/>
      <c r="D39" s="1235"/>
      <c r="E39" s="535"/>
      <c r="F39" s="426"/>
      <c r="G39" s="427"/>
      <c r="H39" s="426"/>
      <c r="I39" s="1272"/>
      <c r="J39" s="1272"/>
      <c r="K39" s="1272"/>
      <c r="L39" s="1272"/>
      <c r="M39" s="1272"/>
      <c r="N39" s="1272"/>
      <c r="O39" s="1272"/>
      <c r="P39" s="1272"/>
      <c r="Q39" s="1272"/>
      <c r="R39" s="1272"/>
      <c r="S39" s="1272"/>
      <c r="T39" s="1272"/>
      <c r="U39" s="1272"/>
      <c r="V39" s="1272"/>
      <c r="W39" s="1272"/>
      <c r="X39" s="1272"/>
      <c r="Y39" s="1272"/>
      <c r="Z39" s="1272"/>
      <c r="AA39" s="1272"/>
      <c r="AB39" s="1272"/>
      <c r="AC39" s="1272"/>
      <c r="AD39" s="1272"/>
      <c r="AE39" s="1272"/>
      <c r="AF39" s="1272"/>
      <c r="AG39" s="1272"/>
      <c r="AH39" s="1272"/>
      <c r="AI39" s="1272"/>
      <c r="AJ39" s="1272"/>
      <c r="AK39" s="1272"/>
      <c r="AL39" s="1272"/>
      <c r="AM39" s="1272"/>
      <c r="AN39" s="1272"/>
      <c r="AO39" s="1272"/>
      <c r="AP39" s="1272"/>
      <c r="AQ39" s="1272"/>
      <c r="AR39" s="1272"/>
      <c r="AS39" s="1272"/>
      <c r="AT39" s="1272"/>
      <c r="AU39" s="1272"/>
      <c r="AV39" s="1272"/>
      <c r="AW39" s="1272"/>
      <c r="AX39" s="1272"/>
      <c r="AY39" s="1272"/>
      <c r="AZ39" s="1272"/>
      <c r="BA39" s="1272"/>
      <c r="BB39" s="1272"/>
      <c r="BC39" s="1272"/>
      <c r="BD39" s="1272"/>
      <c r="BE39" s="1272"/>
      <c r="BF39" s="1272"/>
      <c r="BG39" s="1272"/>
      <c r="BH39" s="1272"/>
      <c r="BI39" s="1272"/>
      <c r="BJ39" s="1272"/>
      <c r="BK39" s="1272"/>
      <c r="BL39" s="1272"/>
      <c r="BM39" s="1272"/>
      <c r="BN39" s="1272"/>
      <c r="BO39" s="1272"/>
      <c r="BP39" s="1272"/>
      <c r="BQ39" s="1272"/>
      <c r="BR39" s="1272"/>
      <c r="BS39" s="1272"/>
      <c r="BT39" s="1272"/>
      <c r="BU39" s="1272"/>
      <c r="BV39" s="1272"/>
      <c r="BW39" s="1272"/>
      <c r="BX39" s="1272"/>
      <c r="BY39" s="1272"/>
      <c r="BZ39" s="1272"/>
      <c r="CA39" s="1272"/>
      <c r="CB39" s="1272"/>
      <c r="CC39" s="1272"/>
      <c r="CD39" s="1272"/>
      <c r="CE39" s="1272"/>
      <c r="CF39" s="1272"/>
      <c r="CG39" s="1272"/>
      <c r="CH39" s="1272"/>
      <c r="CI39" s="1272"/>
      <c r="CJ39" s="1272"/>
      <c r="CK39" s="1272"/>
      <c r="CL39" s="1272"/>
      <c r="CM39" s="1272"/>
      <c r="CN39" s="1272"/>
      <c r="CO39" s="1272"/>
      <c r="CP39" s="1272"/>
      <c r="CQ39" s="1272"/>
      <c r="CR39" s="1272"/>
      <c r="CS39" s="1272"/>
      <c r="CT39" s="1272"/>
      <c r="CU39" s="1272"/>
      <c r="CV39" s="1272"/>
      <c r="CW39" s="1272"/>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3.8" hidden="1">
      <c r="A40" s="1376"/>
      <c r="B40" s="535"/>
      <c r="C40" s="535"/>
      <c r="D40" s="1235"/>
      <c r="E40" s="535"/>
      <c r="F40" s="426"/>
      <c r="G40" s="427"/>
      <c r="H40" s="426"/>
      <c r="I40" s="1272"/>
      <c r="J40" s="1272"/>
      <c r="K40" s="1272"/>
      <c r="L40" s="1272"/>
      <c r="M40" s="1272"/>
      <c r="N40" s="1272"/>
      <c r="O40" s="1272"/>
      <c r="P40" s="1272"/>
      <c r="Q40" s="1272"/>
      <c r="R40" s="1272"/>
      <c r="S40" s="1272"/>
      <c r="T40" s="1272"/>
      <c r="U40" s="1272"/>
      <c r="V40" s="1272"/>
      <c r="W40" s="1272"/>
      <c r="X40" s="1272"/>
      <c r="Y40" s="1272"/>
      <c r="Z40" s="1272"/>
      <c r="AA40" s="1272"/>
      <c r="AB40" s="1272"/>
      <c r="AC40" s="1272"/>
      <c r="AD40" s="1272"/>
      <c r="AE40" s="1272"/>
      <c r="AF40" s="1272"/>
      <c r="AG40" s="1272"/>
      <c r="AH40" s="1272"/>
      <c r="AI40" s="1272"/>
      <c r="AJ40" s="1272"/>
      <c r="AK40" s="1272"/>
      <c r="AL40" s="1272"/>
      <c r="AM40" s="1272"/>
      <c r="AN40" s="1272"/>
      <c r="AO40" s="1272"/>
      <c r="AP40" s="1272"/>
      <c r="AQ40" s="1272"/>
      <c r="AR40" s="1272"/>
      <c r="AS40" s="1272"/>
      <c r="AT40" s="1272"/>
      <c r="AU40" s="1272"/>
      <c r="AV40" s="1272"/>
      <c r="AW40" s="1272"/>
      <c r="AX40" s="1272"/>
      <c r="AY40" s="1272"/>
      <c r="AZ40" s="1272"/>
      <c r="BA40" s="1272"/>
      <c r="BB40" s="1272"/>
      <c r="BC40" s="1272"/>
      <c r="BD40" s="1272"/>
      <c r="BE40" s="1272"/>
      <c r="BF40" s="1272"/>
      <c r="BG40" s="1272"/>
      <c r="BH40" s="1272"/>
      <c r="BI40" s="1272"/>
      <c r="BJ40" s="1272"/>
      <c r="BK40" s="1272"/>
      <c r="BL40" s="1272"/>
      <c r="BM40" s="1272"/>
      <c r="BN40" s="1272"/>
      <c r="BO40" s="1272"/>
      <c r="BP40" s="1272"/>
      <c r="BQ40" s="1272"/>
      <c r="BR40" s="1272"/>
      <c r="BS40" s="1272"/>
      <c r="BT40" s="1272"/>
      <c r="BU40" s="1272"/>
      <c r="BV40" s="1272"/>
      <c r="BW40" s="1272"/>
      <c r="BX40" s="1272"/>
      <c r="BY40" s="1272"/>
      <c r="BZ40" s="1272"/>
      <c r="CA40" s="1272"/>
      <c r="CB40" s="1272"/>
      <c r="CC40" s="1272"/>
      <c r="CD40" s="1272"/>
      <c r="CE40" s="1272"/>
      <c r="CF40" s="1272"/>
      <c r="CG40" s="1272"/>
      <c r="CH40" s="1272"/>
      <c r="CI40" s="1272"/>
      <c r="CJ40" s="1272"/>
      <c r="CK40" s="1272"/>
      <c r="CL40" s="1272"/>
      <c r="CM40" s="1272"/>
      <c r="CN40" s="1272"/>
      <c r="CO40" s="1272"/>
      <c r="CP40" s="1272"/>
      <c r="CQ40" s="1272"/>
      <c r="CR40" s="1272"/>
      <c r="CS40" s="1272"/>
      <c r="CT40" s="1272"/>
      <c r="CU40" s="1272"/>
      <c r="CV40" s="1272"/>
      <c r="CW40" s="1272"/>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3.8" hidden="1">
      <c r="A41" s="1376"/>
      <c r="B41" s="535"/>
      <c r="C41" s="535"/>
      <c r="D41" s="1235"/>
      <c r="E41" s="535"/>
      <c r="F41" s="426"/>
      <c r="G41" s="427"/>
      <c r="H41" s="426"/>
      <c r="I41" s="1272"/>
      <c r="J41" s="1272"/>
      <c r="K41" s="1272"/>
      <c r="L41" s="1272"/>
      <c r="M41" s="1272"/>
      <c r="N41" s="1272"/>
      <c r="O41" s="1272"/>
      <c r="P41" s="1272"/>
      <c r="Q41" s="1272"/>
      <c r="R41" s="1272"/>
      <c r="S41" s="1272"/>
      <c r="T41" s="1272"/>
      <c r="U41" s="1272"/>
      <c r="V41" s="1272"/>
      <c r="W41" s="1272"/>
      <c r="X41" s="1272"/>
      <c r="Y41" s="1272"/>
      <c r="Z41" s="1272"/>
      <c r="AA41" s="1272"/>
      <c r="AB41" s="1272"/>
      <c r="AC41" s="1272"/>
      <c r="AD41" s="1272"/>
      <c r="AE41" s="1272"/>
      <c r="AF41" s="1272"/>
      <c r="AG41" s="1272"/>
      <c r="AH41" s="1272"/>
      <c r="AI41" s="1272"/>
      <c r="AJ41" s="1272"/>
      <c r="AK41" s="1272"/>
      <c r="AL41" s="1272"/>
      <c r="AM41" s="1272"/>
      <c r="AN41" s="1272"/>
      <c r="AO41" s="1272"/>
      <c r="AP41" s="1272"/>
      <c r="AQ41" s="1272"/>
      <c r="AR41" s="1272"/>
      <c r="AS41" s="1272"/>
      <c r="AT41" s="1272"/>
      <c r="AU41" s="1272"/>
      <c r="AV41" s="1272"/>
      <c r="AW41" s="1272"/>
      <c r="AX41" s="1272"/>
      <c r="AY41" s="1272"/>
      <c r="AZ41" s="1272"/>
      <c r="BA41" s="1272"/>
      <c r="BB41" s="1272"/>
      <c r="BC41" s="1272"/>
      <c r="BD41" s="1272"/>
      <c r="BE41" s="1272"/>
      <c r="BF41" s="1272"/>
      <c r="BG41" s="1272"/>
      <c r="BH41" s="1272"/>
      <c r="BI41" s="1272"/>
      <c r="BJ41" s="1272"/>
      <c r="BK41" s="1272"/>
      <c r="BL41" s="1272"/>
      <c r="BM41" s="1272"/>
      <c r="BN41" s="1272"/>
      <c r="BO41" s="1272"/>
      <c r="BP41" s="1272"/>
      <c r="BQ41" s="1272"/>
      <c r="BR41" s="1272"/>
      <c r="BS41" s="1272"/>
      <c r="BT41" s="1272"/>
      <c r="BU41" s="1272"/>
      <c r="BV41" s="1272"/>
      <c r="BW41" s="1272"/>
      <c r="BX41" s="1272"/>
      <c r="BY41" s="1272"/>
      <c r="BZ41" s="1272"/>
      <c r="CA41" s="1272"/>
      <c r="CB41" s="1272"/>
      <c r="CC41" s="1272"/>
      <c r="CD41" s="1272"/>
      <c r="CE41" s="1272"/>
      <c r="CF41" s="1272"/>
      <c r="CG41" s="1272"/>
      <c r="CH41" s="1272"/>
      <c r="CI41" s="1272"/>
      <c r="CJ41" s="1272"/>
      <c r="CK41" s="1272"/>
      <c r="CL41" s="1272"/>
      <c r="CM41" s="1272"/>
      <c r="CN41" s="1272"/>
      <c r="CO41" s="1272"/>
      <c r="CP41" s="1272"/>
      <c r="CQ41" s="1272"/>
      <c r="CR41" s="1272"/>
      <c r="CS41" s="1272"/>
      <c r="CT41" s="1272"/>
      <c r="CU41" s="1272"/>
      <c r="CV41" s="1272"/>
      <c r="CW41" s="1272"/>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3.8" hidden="1">
      <c r="A42" s="1376"/>
      <c r="B42" s="535"/>
      <c r="C42" s="535"/>
      <c r="D42" s="1235"/>
      <c r="E42" s="535"/>
      <c r="F42" s="426"/>
      <c r="G42" s="427"/>
      <c r="H42" s="426"/>
      <c r="I42" s="1272"/>
      <c r="J42" s="1272"/>
      <c r="K42" s="1272"/>
      <c r="L42" s="1272"/>
      <c r="M42" s="1272"/>
      <c r="N42" s="1272"/>
      <c r="O42" s="1272"/>
      <c r="P42" s="1272"/>
      <c r="Q42" s="1272"/>
      <c r="R42" s="1272"/>
      <c r="S42" s="1272"/>
      <c r="T42" s="1272"/>
      <c r="U42" s="1272"/>
      <c r="V42" s="1272"/>
      <c r="W42" s="1272"/>
      <c r="X42" s="1272"/>
      <c r="Y42" s="1272"/>
      <c r="Z42" s="1272"/>
      <c r="AA42" s="1272"/>
      <c r="AB42" s="1272"/>
      <c r="AC42" s="1272"/>
      <c r="AD42" s="1272"/>
      <c r="AE42" s="1272"/>
      <c r="AF42" s="1272"/>
      <c r="AG42" s="1272"/>
      <c r="AH42" s="1272"/>
      <c r="AI42" s="1272"/>
      <c r="AJ42" s="1272"/>
      <c r="AK42" s="1272"/>
      <c r="AL42" s="1272"/>
      <c r="AM42" s="1272"/>
      <c r="AN42" s="1272"/>
      <c r="AO42" s="1272"/>
      <c r="AP42" s="1272"/>
      <c r="AQ42" s="1272"/>
      <c r="AR42" s="1272"/>
      <c r="AS42" s="1272"/>
      <c r="AT42" s="1272"/>
      <c r="AU42" s="1272"/>
      <c r="AV42" s="1272"/>
      <c r="AW42" s="1272"/>
      <c r="AX42" s="1272"/>
      <c r="AY42" s="1272"/>
      <c r="AZ42" s="1272"/>
      <c r="BA42" s="1272"/>
      <c r="BB42" s="1272"/>
      <c r="BC42" s="1272"/>
      <c r="BD42" s="1272"/>
      <c r="BE42" s="1272"/>
      <c r="BF42" s="1272"/>
      <c r="BG42" s="1272"/>
      <c r="BH42" s="1272"/>
      <c r="BI42" s="1272"/>
      <c r="BJ42" s="1272"/>
      <c r="BK42" s="1272"/>
      <c r="BL42" s="1272"/>
      <c r="BM42" s="1272"/>
      <c r="BN42" s="1272"/>
      <c r="BO42" s="1272"/>
      <c r="BP42" s="1272"/>
      <c r="BQ42" s="1272"/>
      <c r="BR42" s="1272"/>
      <c r="BS42" s="1272"/>
      <c r="BT42" s="1272"/>
      <c r="BU42" s="1272"/>
      <c r="BV42" s="1272"/>
      <c r="BW42" s="1272"/>
      <c r="BX42" s="1272"/>
      <c r="BY42" s="1272"/>
      <c r="BZ42" s="1272"/>
      <c r="CA42" s="1272"/>
      <c r="CB42" s="1272"/>
      <c r="CC42" s="1272"/>
      <c r="CD42" s="1272"/>
      <c r="CE42" s="1272"/>
      <c r="CF42" s="1272"/>
      <c r="CG42" s="1272"/>
      <c r="CH42" s="1272"/>
      <c r="CI42" s="1272"/>
      <c r="CJ42" s="1272"/>
      <c r="CK42" s="1272"/>
      <c r="CL42" s="1272"/>
      <c r="CM42" s="1272"/>
      <c r="CN42" s="1272"/>
      <c r="CO42" s="1272"/>
      <c r="CP42" s="1272"/>
      <c r="CQ42" s="1272"/>
      <c r="CR42" s="1272"/>
      <c r="CS42" s="1272"/>
      <c r="CT42" s="1272"/>
      <c r="CU42" s="1272"/>
      <c r="CV42" s="1272"/>
      <c r="CW42" s="1272"/>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3.8" hidden="1">
      <c r="A43" s="1376"/>
      <c r="B43" s="535"/>
      <c r="C43" s="535"/>
      <c r="D43" s="1235"/>
      <c r="E43" s="535"/>
      <c r="F43" s="426"/>
      <c r="G43" s="427"/>
      <c r="H43" s="426"/>
      <c r="I43" s="1272"/>
      <c r="J43" s="1272"/>
      <c r="K43" s="1272"/>
      <c r="L43" s="1272"/>
      <c r="M43" s="1272"/>
      <c r="N43" s="1272"/>
      <c r="O43" s="1272"/>
      <c r="P43" s="1272"/>
      <c r="Q43" s="1272"/>
      <c r="R43" s="1272"/>
      <c r="S43" s="1272"/>
      <c r="T43" s="1272"/>
      <c r="U43" s="1272"/>
      <c r="V43" s="1272"/>
      <c r="W43" s="1272"/>
      <c r="X43" s="1272"/>
      <c r="Y43" s="1272"/>
      <c r="Z43" s="1272"/>
      <c r="AA43" s="1272"/>
      <c r="AB43" s="1272"/>
      <c r="AC43" s="1272"/>
      <c r="AD43" s="1272"/>
      <c r="AE43" s="1272"/>
      <c r="AF43" s="1272"/>
      <c r="AG43" s="1272"/>
      <c r="AH43" s="1272"/>
      <c r="AI43" s="1272"/>
      <c r="AJ43" s="1272"/>
      <c r="AK43" s="1272"/>
      <c r="AL43" s="1272"/>
      <c r="AM43" s="1272"/>
      <c r="AN43" s="1272"/>
      <c r="AO43" s="1272"/>
      <c r="AP43" s="1272"/>
      <c r="AQ43" s="1272"/>
      <c r="AR43" s="1272"/>
      <c r="AS43" s="1272"/>
      <c r="AT43" s="1272"/>
      <c r="AU43" s="1272"/>
      <c r="AV43" s="1272"/>
      <c r="AW43" s="1272"/>
      <c r="AX43" s="1272"/>
      <c r="AY43" s="1272"/>
      <c r="AZ43" s="1272"/>
      <c r="BA43" s="1272"/>
      <c r="BB43" s="1272"/>
      <c r="BC43" s="1272"/>
      <c r="BD43" s="1272"/>
      <c r="BE43" s="1272"/>
      <c r="BF43" s="1272"/>
      <c r="BG43" s="1272"/>
      <c r="BH43" s="1272"/>
      <c r="BI43" s="1272"/>
      <c r="BJ43" s="1272"/>
      <c r="BK43" s="1272"/>
      <c r="BL43" s="1272"/>
      <c r="BM43" s="1272"/>
      <c r="BN43" s="1272"/>
      <c r="BO43" s="1272"/>
      <c r="BP43" s="1272"/>
      <c r="BQ43" s="1272"/>
      <c r="BR43" s="1272"/>
      <c r="BS43" s="1272"/>
      <c r="BT43" s="1272"/>
      <c r="BU43" s="1272"/>
      <c r="BV43" s="1272"/>
      <c r="BW43" s="1272"/>
      <c r="BX43" s="1272"/>
      <c r="BY43" s="1272"/>
      <c r="BZ43" s="1272"/>
      <c r="CA43" s="1272"/>
      <c r="CB43" s="1272"/>
      <c r="CC43" s="1272"/>
      <c r="CD43" s="1272"/>
      <c r="CE43" s="1272"/>
      <c r="CF43" s="1272"/>
      <c r="CG43" s="1272"/>
      <c r="CH43" s="1272"/>
      <c r="CI43" s="1272"/>
      <c r="CJ43" s="1272"/>
      <c r="CK43" s="1272"/>
      <c r="CL43" s="1272"/>
      <c r="CM43" s="1272"/>
      <c r="CN43" s="1272"/>
      <c r="CO43" s="1272"/>
      <c r="CP43" s="1272"/>
      <c r="CQ43" s="1272"/>
      <c r="CR43" s="1272"/>
      <c r="CS43" s="1272"/>
      <c r="CT43" s="1272"/>
      <c r="CU43" s="1272"/>
      <c r="CV43" s="1272"/>
      <c r="CW43" s="1272"/>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3.8" hidden="1">
      <c r="A44" s="1376"/>
      <c r="B44" s="535"/>
      <c r="C44" s="535"/>
      <c r="D44" s="1235"/>
      <c r="E44" s="535"/>
      <c r="F44" s="426"/>
      <c r="G44" s="427"/>
      <c r="H44" s="426"/>
      <c r="I44" s="1272"/>
      <c r="J44" s="1272"/>
      <c r="K44" s="1272"/>
      <c r="L44" s="1272"/>
      <c r="M44" s="1272"/>
      <c r="N44" s="1272"/>
      <c r="O44" s="1272"/>
      <c r="P44" s="1272"/>
      <c r="Q44" s="1272"/>
      <c r="R44" s="1272"/>
      <c r="S44" s="1272"/>
      <c r="T44" s="1272"/>
      <c r="U44" s="1272"/>
      <c r="V44" s="1272"/>
      <c r="W44" s="1272"/>
      <c r="X44" s="1272"/>
      <c r="Y44" s="1272"/>
      <c r="Z44" s="1272"/>
      <c r="AA44" s="1272"/>
      <c r="AB44" s="1272"/>
      <c r="AC44" s="1272"/>
      <c r="AD44" s="1272"/>
      <c r="AE44" s="1272"/>
      <c r="AF44" s="1272"/>
      <c r="AG44" s="1272"/>
      <c r="AH44" s="1272"/>
      <c r="AI44" s="1272"/>
      <c r="AJ44" s="1272"/>
      <c r="AK44" s="1272"/>
      <c r="AL44" s="1272"/>
      <c r="AM44" s="1272"/>
      <c r="AN44" s="1272"/>
      <c r="AO44" s="1272"/>
      <c r="AP44" s="1272"/>
      <c r="AQ44" s="1272"/>
      <c r="AR44" s="1272"/>
      <c r="AS44" s="1272"/>
      <c r="AT44" s="1272"/>
      <c r="AU44" s="1272"/>
      <c r="AV44" s="1272"/>
      <c r="AW44" s="1272"/>
      <c r="AX44" s="1272"/>
      <c r="AY44" s="1272"/>
      <c r="AZ44" s="1272"/>
      <c r="BA44" s="1272"/>
      <c r="BB44" s="1272"/>
      <c r="BC44" s="1272"/>
      <c r="BD44" s="1272"/>
      <c r="BE44" s="1272"/>
      <c r="BF44" s="1272"/>
      <c r="BG44" s="1272"/>
      <c r="BH44" s="1272"/>
      <c r="BI44" s="1272"/>
      <c r="BJ44" s="1272"/>
      <c r="BK44" s="1272"/>
      <c r="BL44" s="1272"/>
      <c r="BM44" s="1272"/>
      <c r="BN44" s="1272"/>
      <c r="BO44" s="1272"/>
      <c r="BP44" s="1272"/>
      <c r="BQ44" s="1272"/>
      <c r="BR44" s="1272"/>
      <c r="BS44" s="1272"/>
      <c r="BT44" s="1272"/>
      <c r="BU44" s="1272"/>
      <c r="BV44" s="1272"/>
      <c r="BW44" s="1272"/>
      <c r="BX44" s="1272"/>
      <c r="BY44" s="1272"/>
      <c r="BZ44" s="1272"/>
      <c r="CA44" s="1272"/>
      <c r="CB44" s="1272"/>
      <c r="CC44" s="1272"/>
      <c r="CD44" s="1272"/>
      <c r="CE44" s="1272"/>
      <c r="CF44" s="1272"/>
      <c r="CG44" s="1272"/>
      <c r="CH44" s="1272"/>
      <c r="CI44" s="1272"/>
      <c r="CJ44" s="1272"/>
      <c r="CK44" s="1272"/>
      <c r="CL44" s="1272"/>
      <c r="CM44" s="1272"/>
      <c r="CN44" s="1272"/>
      <c r="CO44" s="1272"/>
      <c r="CP44" s="1272"/>
      <c r="CQ44" s="1272"/>
      <c r="CR44" s="1272"/>
      <c r="CS44" s="1272"/>
      <c r="CT44" s="1272"/>
      <c r="CU44" s="1272"/>
      <c r="CV44" s="1272"/>
      <c r="CW44" s="1272"/>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3.8" hidden="1">
      <c r="A45" s="1376"/>
      <c r="B45" s="535"/>
      <c r="C45" s="535"/>
      <c r="D45" s="1235"/>
      <c r="E45" s="535"/>
      <c r="F45" s="426"/>
      <c r="G45" s="427"/>
      <c r="H45" s="426"/>
      <c r="I45" s="1272"/>
      <c r="J45" s="1272"/>
      <c r="K45" s="1272"/>
      <c r="L45" s="1272"/>
      <c r="M45" s="1272"/>
      <c r="N45" s="1272"/>
      <c r="O45" s="1272"/>
      <c r="P45" s="1272"/>
      <c r="Q45" s="1272"/>
      <c r="R45" s="1272"/>
      <c r="S45" s="1272"/>
      <c r="T45" s="1272"/>
      <c r="U45" s="1272"/>
      <c r="V45" s="1272"/>
      <c r="W45" s="1272"/>
      <c r="X45" s="1272"/>
      <c r="Y45" s="1272"/>
      <c r="Z45" s="1272"/>
      <c r="AA45" s="1272"/>
      <c r="AB45" s="1272"/>
      <c r="AC45" s="1272"/>
      <c r="AD45" s="1272"/>
      <c r="AE45" s="1272"/>
      <c r="AF45" s="1272"/>
      <c r="AG45" s="1272"/>
      <c r="AH45" s="1272"/>
      <c r="AI45" s="1272"/>
      <c r="AJ45" s="1272"/>
      <c r="AK45" s="1272"/>
      <c r="AL45" s="1272"/>
      <c r="AM45" s="1272"/>
      <c r="AN45" s="1272"/>
      <c r="AO45" s="1272"/>
      <c r="AP45" s="1272"/>
      <c r="AQ45" s="1272"/>
      <c r="AR45" s="1272"/>
      <c r="AS45" s="1272"/>
      <c r="AT45" s="1272"/>
      <c r="AU45" s="1272"/>
      <c r="AV45" s="1272"/>
      <c r="AW45" s="1272"/>
      <c r="AX45" s="1272"/>
      <c r="AY45" s="1272"/>
      <c r="AZ45" s="1272"/>
      <c r="BA45" s="1272"/>
      <c r="BB45" s="1272"/>
      <c r="BC45" s="1272"/>
      <c r="BD45" s="1272"/>
      <c r="BE45" s="1272"/>
      <c r="BF45" s="1272"/>
      <c r="BG45" s="1272"/>
      <c r="BH45" s="1272"/>
      <c r="BI45" s="1272"/>
      <c r="BJ45" s="1272"/>
      <c r="BK45" s="1272"/>
      <c r="BL45" s="1272"/>
      <c r="BM45" s="1272"/>
      <c r="BN45" s="1272"/>
      <c r="BO45" s="1272"/>
      <c r="BP45" s="1272"/>
      <c r="BQ45" s="1272"/>
      <c r="BR45" s="1272"/>
      <c r="BS45" s="1272"/>
      <c r="BT45" s="1272"/>
      <c r="BU45" s="1272"/>
      <c r="BV45" s="1272"/>
      <c r="BW45" s="1272"/>
      <c r="BX45" s="1272"/>
      <c r="BY45" s="1272"/>
      <c r="BZ45" s="1272"/>
      <c r="CA45" s="1272"/>
      <c r="CB45" s="1272"/>
      <c r="CC45" s="1272"/>
      <c r="CD45" s="1272"/>
      <c r="CE45" s="1272"/>
      <c r="CF45" s="1272"/>
      <c r="CG45" s="1272"/>
      <c r="CH45" s="1272"/>
      <c r="CI45" s="1272"/>
      <c r="CJ45" s="1272"/>
      <c r="CK45" s="1272"/>
      <c r="CL45" s="1272"/>
      <c r="CM45" s="1272"/>
      <c r="CN45" s="1272"/>
      <c r="CO45" s="1272"/>
      <c r="CP45" s="1272"/>
      <c r="CQ45" s="1272"/>
      <c r="CR45" s="1272"/>
      <c r="CS45" s="1272"/>
      <c r="CT45" s="1272"/>
      <c r="CU45" s="1272"/>
      <c r="CV45" s="1272"/>
      <c r="CW45" s="1272"/>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3.8" hidden="1">
      <c r="A46" s="1376"/>
      <c r="B46" s="535"/>
      <c r="C46" s="535"/>
      <c r="D46" s="1235"/>
      <c r="E46" s="535"/>
      <c r="F46" s="426"/>
      <c r="G46" s="427"/>
      <c r="H46" s="426"/>
      <c r="I46" s="1272"/>
      <c r="J46" s="1272"/>
      <c r="K46" s="1272"/>
      <c r="L46" s="1272"/>
      <c r="M46" s="1272"/>
      <c r="N46" s="1272"/>
      <c r="O46" s="1272"/>
      <c r="P46" s="1272"/>
      <c r="Q46" s="1272"/>
      <c r="R46" s="1272"/>
      <c r="S46" s="1272"/>
      <c r="T46" s="1272"/>
      <c r="U46" s="1272"/>
      <c r="V46" s="1272"/>
      <c r="W46" s="1272"/>
      <c r="X46" s="1272"/>
      <c r="Y46" s="1272"/>
      <c r="Z46" s="1272"/>
      <c r="AA46" s="1272"/>
      <c r="AB46" s="1272"/>
      <c r="AC46" s="1272"/>
      <c r="AD46" s="1272"/>
      <c r="AE46" s="1272"/>
      <c r="AF46" s="1272"/>
      <c r="AG46" s="1272"/>
      <c r="AH46" s="1272"/>
      <c r="AI46" s="1272"/>
      <c r="AJ46" s="1272"/>
      <c r="AK46" s="1272"/>
      <c r="AL46" s="1272"/>
      <c r="AM46" s="1272"/>
      <c r="AN46" s="1272"/>
      <c r="AO46" s="1272"/>
      <c r="AP46" s="1272"/>
      <c r="AQ46" s="1272"/>
      <c r="AR46" s="1272"/>
      <c r="AS46" s="1272"/>
      <c r="AT46" s="1272"/>
      <c r="AU46" s="1272"/>
      <c r="AV46" s="1272"/>
      <c r="AW46" s="1272"/>
      <c r="AX46" s="1272"/>
      <c r="AY46" s="1272"/>
      <c r="AZ46" s="1272"/>
      <c r="BA46" s="1272"/>
      <c r="BB46" s="1272"/>
      <c r="BC46" s="1272"/>
      <c r="BD46" s="1272"/>
      <c r="BE46" s="1272"/>
      <c r="BF46" s="1272"/>
      <c r="BG46" s="1272"/>
      <c r="BH46" s="1272"/>
      <c r="BI46" s="1272"/>
      <c r="BJ46" s="1272"/>
      <c r="BK46" s="1272"/>
      <c r="BL46" s="1272"/>
      <c r="BM46" s="1272"/>
      <c r="BN46" s="1272"/>
      <c r="BO46" s="1272"/>
      <c r="BP46" s="1272"/>
      <c r="BQ46" s="1272"/>
      <c r="BR46" s="1272"/>
      <c r="BS46" s="1272"/>
      <c r="BT46" s="1272"/>
      <c r="BU46" s="1272"/>
      <c r="BV46" s="1272"/>
      <c r="BW46" s="1272"/>
      <c r="BX46" s="1272"/>
      <c r="BY46" s="1272"/>
      <c r="BZ46" s="1272"/>
      <c r="CA46" s="1272"/>
      <c r="CB46" s="1272"/>
      <c r="CC46" s="1272"/>
      <c r="CD46" s="1272"/>
      <c r="CE46" s="1272"/>
      <c r="CF46" s="1272"/>
      <c r="CG46" s="1272"/>
      <c r="CH46" s="1272"/>
      <c r="CI46" s="1272"/>
      <c r="CJ46" s="1272"/>
      <c r="CK46" s="1272"/>
      <c r="CL46" s="1272"/>
      <c r="CM46" s="1272"/>
      <c r="CN46" s="1272"/>
      <c r="CO46" s="1272"/>
      <c r="CP46" s="1272"/>
      <c r="CQ46" s="1272"/>
      <c r="CR46" s="1272"/>
      <c r="CS46" s="1272"/>
      <c r="CT46" s="1272"/>
      <c r="CU46" s="1272"/>
      <c r="CV46" s="1272"/>
      <c r="CW46" s="1272"/>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3.8" hidden="1">
      <c r="A47" s="1376"/>
      <c r="B47" s="535"/>
      <c r="C47" s="535"/>
      <c r="D47" s="1235"/>
      <c r="E47" s="535"/>
      <c r="F47" s="426"/>
      <c r="G47" s="427"/>
      <c r="H47" s="426"/>
      <c r="I47" s="1272"/>
      <c r="J47" s="1272"/>
      <c r="K47" s="1272"/>
      <c r="L47" s="1272"/>
      <c r="M47" s="1272"/>
      <c r="N47" s="1272"/>
      <c r="O47" s="1272"/>
      <c r="P47" s="1272"/>
      <c r="Q47" s="1272"/>
      <c r="R47" s="1272"/>
      <c r="S47" s="1272"/>
      <c r="T47" s="1272"/>
      <c r="U47" s="1272"/>
      <c r="V47" s="1272"/>
      <c r="W47" s="1272"/>
      <c r="X47" s="1272"/>
      <c r="Y47" s="1272"/>
      <c r="Z47" s="1272"/>
      <c r="AA47" s="1272"/>
      <c r="AB47" s="1272"/>
      <c r="AC47" s="1272"/>
      <c r="AD47" s="1272"/>
      <c r="AE47" s="1272"/>
      <c r="AF47" s="1272"/>
      <c r="AG47" s="1272"/>
      <c r="AH47" s="1272"/>
      <c r="AI47" s="1272"/>
      <c r="AJ47" s="1272"/>
      <c r="AK47" s="1272"/>
      <c r="AL47" s="1272"/>
      <c r="AM47" s="1272"/>
      <c r="AN47" s="1272"/>
      <c r="AO47" s="1272"/>
      <c r="AP47" s="1272"/>
      <c r="AQ47" s="1272"/>
      <c r="AR47" s="1272"/>
      <c r="AS47" s="1272"/>
      <c r="AT47" s="1272"/>
      <c r="AU47" s="1272"/>
      <c r="AV47" s="1272"/>
      <c r="AW47" s="1272"/>
      <c r="AX47" s="1272"/>
      <c r="AY47" s="1272"/>
      <c r="AZ47" s="1272"/>
      <c r="BA47" s="1272"/>
      <c r="BB47" s="1272"/>
      <c r="BC47" s="1272"/>
      <c r="BD47" s="1272"/>
      <c r="BE47" s="1272"/>
      <c r="BF47" s="1272"/>
      <c r="BG47" s="1272"/>
      <c r="BH47" s="1272"/>
      <c r="BI47" s="1272"/>
      <c r="BJ47" s="1272"/>
      <c r="BK47" s="1272"/>
      <c r="BL47" s="1272"/>
      <c r="BM47" s="1272"/>
      <c r="BN47" s="1272"/>
      <c r="BO47" s="1272"/>
      <c r="BP47" s="1272"/>
      <c r="BQ47" s="1272"/>
      <c r="BR47" s="1272"/>
      <c r="BS47" s="1272"/>
      <c r="BT47" s="1272"/>
      <c r="BU47" s="1272"/>
      <c r="BV47" s="1272"/>
      <c r="BW47" s="1272"/>
      <c r="BX47" s="1272"/>
      <c r="BY47" s="1272"/>
      <c r="BZ47" s="1272"/>
      <c r="CA47" s="1272"/>
      <c r="CB47" s="1272"/>
      <c r="CC47" s="1272"/>
      <c r="CD47" s="1272"/>
      <c r="CE47" s="1272"/>
      <c r="CF47" s="1272"/>
      <c r="CG47" s="1272"/>
      <c r="CH47" s="1272"/>
      <c r="CI47" s="1272"/>
      <c r="CJ47" s="1272"/>
      <c r="CK47" s="1272"/>
      <c r="CL47" s="1272"/>
      <c r="CM47" s="1272"/>
      <c r="CN47" s="1272"/>
      <c r="CO47" s="1272"/>
      <c r="CP47" s="1272"/>
      <c r="CQ47" s="1272"/>
      <c r="CR47" s="1272"/>
      <c r="CS47" s="1272"/>
      <c r="CT47" s="1272"/>
      <c r="CU47" s="1272"/>
      <c r="CV47" s="1272"/>
      <c r="CW47" s="1272"/>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3.8" hidden="1">
      <c r="A48" s="1376"/>
      <c r="B48" s="535"/>
      <c r="C48" s="535"/>
      <c r="D48" s="1235"/>
      <c r="E48" s="535"/>
      <c r="F48" s="426"/>
      <c r="G48" s="427"/>
      <c r="H48" s="426"/>
      <c r="I48" s="1272"/>
      <c r="J48" s="1272"/>
      <c r="K48" s="1272"/>
      <c r="L48" s="1272"/>
      <c r="M48" s="1272"/>
      <c r="N48" s="1272"/>
      <c r="O48" s="1272"/>
      <c r="P48" s="1272"/>
      <c r="Q48" s="1272"/>
      <c r="R48" s="1272"/>
      <c r="S48" s="1272"/>
      <c r="T48" s="1272"/>
      <c r="U48" s="1272"/>
      <c r="V48" s="1272"/>
      <c r="W48" s="1272"/>
      <c r="X48" s="1272"/>
      <c r="Y48" s="1272"/>
      <c r="Z48" s="1272"/>
      <c r="AA48" s="1272"/>
      <c r="AB48" s="1272"/>
      <c r="AC48" s="1272"/>
      <c r="AD48" s="1272"/>
      <c r="AE48" s="1272"/>
      <c r="AF48" s="1272"/>
      <c r="AG48" s="1272"/>
      <c r="AH48" s="1272"/>
      <c r="AI48" s="1272"/>
      <c r="AJ48" s="1272"/>
      <c r="AK48" s="1272"/>
      <c r="AL48" s="1272"/>
      <c r="AM48" s="1272"/>
      <c r="AN48" s="1272"/>
      <c r="AO48" s="1272"/>
      <c r="AP48" s="1272"/>
      <c r="AQ48" s="1272"/>
      <c r="AR48" s="1272"/>
      <c r="AS48" s="1272"/>
      <c r="AT48" s="1272"/>
      <c r="AU48" s="1272"/>
      <c r="AV48" s="1272"/>
      <c r="AW48" s="1272"/>
      <c r="AX48" s="1272"/>
      <c r="AY48" s="1272"/>
      <c r="AZ48" s="1272"/>
      <c r="BA48" s="1272"/>
      <c r="BB48" s="1272"/>
      <c r="BC48" s="1272"/>
      <c r="BD48" s="1272"/>
      <c r="BE48" s="1272"/>
      <c r="BF48" s="1272"/>
      <c r="BG48" s="1272"/>
      <c r="BH48" s="1272"/>
      <c r="BI48" s="1272"/>
      <c r="BJ48" s="1272"/>
      <c r="BK48" s="1272"/>
      <c r="BL48" s="1272"/>
      <c r="BM48" s="1272"/>
      <c r="BN48" s="1272"/>
      <c r="BO48" s="1272"/>
      <c r="BP48" s="1272"/>
      <c r="BQ48" s="1272"/>
      <c r="BR48" s="1272"/>
      <c r="BS48" s="1272"/>
      <c r="BT48" s="1272"/>
      <c r="BU48" s="1272"/>
      <c r="BV48" s="1272"/>
      <c r="BW48" s="1272"/>
      <c r="BX48" s="1272"/>
      <c r="BY48" s="1272"/>
      <c r="BZ48" s="1272"/>
      <c r="CA48" s="1272"/>
      <c r="CB48" s="1272"/>
      <c r="CC48" s="1272"/>
      <c r="CD48" s="1272"/>
      <c r="CE48" s="1272"/>
      <c r="CF48" s="1272"/>
      <c r="CG48" s="1272"/>
      <c r="CH48" s="1272"/>
      <c r="CI48" s="1272"/>
      <c r="CJ48" s="1272"/>
      <c r="CK48" s="1272"/>
      <c r="CL48" s="1272"/>
      <c r="CM48" s="1272"/>
      <c r="CN48" s="1272"/>
      <c r="CO48" s="1272"/>
      <c r="CP48" s="1272"/>
      <c r="CQ48" s="1272"/>
      <c r="CR48" s="1272"/>
      <c r="CS48" s="1272"/>
      <c r="CT48" s="1272"/>
      <c r="CU48" s="1272"/>
      <c r="CV48" s="1272"/>
      <c r="CW48" s="1272"/>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3.8" hidden="1">
      <c r="A49" s="1376"/>
      <c r="B49" s="535"/>
      <c r="C49" s="535"/>
      <c r="D49" s="1235"/>
      <c r="E49" s="535"/>
      <c r="F49" s="426"/>
      <c r="G49" s="427"/>
      <c r="H49" s="426"/>
      <c r="I49" s="1272"/>
      <c r="J49" s="1272"/>
      <c r="K49" s="1272"/>
      <c r="L49" s="1272"/>
      <c r="M49" s="1272"/>
      <c r="N49" s="1272"/>
      <c r="O49" s="1272"/>
      <c r="P49" s="1272"/>
      <c r="Q49" s="1272"/>
      <c r="R49" s="1272"/>
      <c r="S49" s="1272"/>
      <c r="T49" s="1272"/>
      <c r="U49" s="1272"/>
      <c r="V49" s="1272"/>
      <c r="W49" s="1272"/>
      <c r="X49" s="1272"/>
      <c r="Y49" s="1272"/>
      <c r="Z49" s="1272"/>
      <c r="AA49" s="1272"/>
      <c r="AB49" s="1272"/>
      <c r="AC49" s="1272"/>
      <c r="AD49" s="1272"/>
      <c r="AE49" s="1272"/>
      <c r="AF49" s="1272"/>
      <c r="AG49" s="1272"/>
      <c r="AH49" s="1272"/>
      <c r="AI49" s="1272"/>
      <c r="AJ49" s="1272"/>
      <c r="AK49" s="1272"/>
      <c r="AL49" s="1272"/>
      <c r="AM49" s="1272"/>
      <c r="AN49" s="1272"/>
      <c r="AO49" s="1272"/>
      <c r="AP49" s="1272"/>
      <c r="AQ49" s="1272"/>
      <c r="AR49" s="1272"/>
      <c r="AS49" s="1272"/>
      <c r="AT49" s="1272"/>
      <c r="AU49" s="1272"/>
      <c r="AV49" s="1272"/>
      <c r="AW49" s="1272"/>
      <c r="AX49" s="1272"/>
      <c r="AY49" s="1272"/>
      <c r="AZ49" s="1272"/>
      <c r="BA49" s="1272"/>
      <c r="BB49" s="1272"/>
      <c r="BC49" s="1272"/>
      <c r="BD49" s="1272"/>
      <c r="BE49" s="1272"/>
      <c r="BF49" s="1272"/>
      <c r="BG49" s="1272"/>
      <c r="BH49" s="1272"/>
      <c r="BI49" s="1272"/>
      <c r="BJ49" s="1272"/>
      <c r="BK49" s="1272"/>
      <c r="BL49" s="1272"/>
      <c r="BM49" s="1272"/>
      <c r="BN49" s="1272"/>
      <c r="BO49" s="1272"/>
      <c r="BP49" s="1272"/>
      <c r="BQ49" s="1272"/>
      <c r="BR49" s="1272"/>
      <c r="BS49" s="1272"/>
      <c r="BT49" s="1272"/>
      <c r="BU49" s="1272"/>
      <c r="BV49" s="1272"/>
      <c r="BW49" s="1272"/>
      <c r="BX49" s="1272"/>
      <c r="BY49" s="1272"/>
      <c r="BZ49" s="1272"/>
      <c r="CA49" s="1272"/>
      <c r="CB49" s="1272"/>
      <c r="CC49" s="1272"/>
      <c r="CD49" s="1272"/>
      <c r="CE49" s="1272"/>
      <c r="CF49" s="1272"/>
      <c r="CG49" s="1272"/>
      <c r="CH49" s="1272"/>
      <c r="CI49" s="1272"/>
      <c r="CJ49" s="1272"/>
      <c r="CK49" s="1272"/>
      <c r="CL49" s="1272"/>
      <c r="CM49" s="1272"/>
      <c r="CN49" s="1272"/>
      <c r="CO49" s="1272"/>
      <c r="CP49" s="1272"/>
      <c r="CQ49" s="1272"/>
      <c r="CR49" s="1272"/>
      <c r="CS49" s="1272"/>
      <c r="CT49" s="1272"/>
      <c r="CU49" s="1272"/>
      <c r="CV49" s="1272"/>
      <c r="CW49" s="1272"/>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3.8" hidden="1">
      <c r="A50" s="1376"/>
      <c r="B50" s="535"/>
      <c r="C50" s="535"/>
      <c r="D50" s="1235"/>
      <c r="E50" s="535"/>
      <c r="F50" s="426"/>
      <c r="G50" s="427"/>
      <c r="H50" s="426"/>
      <c r="I50" s="1272"/>
      <c r="J50" s="1272"/>
      <c r="K50" s="1272"/>
      <c r="L50" s="1272"/>
      <c r="M50" s="1272"/>
      <c r="N50" s="1272"/>
      <c r="O50" s="1272"/>
      <c r="P50" s="1272"/>
      <c r="Q50" s="1272"/>
      <c r="R50" s="1272"/>
      <c r="S50" s="1272"/>
      <c r="T50" s="1272"/>
      <c r="U50" s="1272"/>
      <c r="V50" s="1272"/>
      <c r="W50" s="1272"/>
      <c r="X50" s="1272"/>
      <c r="Y50" s="1272"/>
      <c r="Z50" s="1272"/>
      <c r="AA50" s="1272"/>
      <c r="AB50" s="1272"/>
      <c r="AC50" s="1272"/>
      <c r="AD50" s="1272"/>
      <c r="AE50" s="1272"/>
      <c r="AF50" s="1272"/>
      <c r="AG50" s="1272"/>
      <c r="AH50" s="1272"/>
      <c r="AI50" s="1272"/>
      <c r="AJ50" s="1272"/>
      <c r="AK50" s="1272"/>
      <c r="AL50" s="1272"/>
      <c r="AM50" s="1272"/>
      <c r="AN50" s="1272"/>
      <c r="AO50" s="1272"/>
      <c r="AP50" s="1272"/>
      <c r="AQ50" s="1272"/>
      <c r="AR50" s="1272"/>
      <c r="AS50" s="1272"/>
      <c r="AT50" s="1272"/>
      <c r="AU50" s="1272"/>
      <c r="AV50" s="1272"/>
      <c r="AW50" s="1272"/>
      <c r="AX50" s="1272"/>
      <c r="AY50" s="1272"/>
      <c r="AZ50" s="1272"/>
      <c r="BA50" s="1272"/>
      <c r="BB50" s="1272"/>
      <c r="BC50" s="1272"/>
      <c r="BD50" s="1272"/>
      <c r="BE50" s="1272"/>
      <c r="BF50" s="1272"/>
      <c r="BG50" s="1272"/>
      <c r="BH50" s="1272"/>
      <c r="BI50" s="1272"/>
      <c r="BJ50" s="1272"/>
      <c r="BK50" s="1272"/>
      <c r="BL50" s="1272"/>
      <c r="BM50" s="1272"/>
      <c r="BN50" s="1272"/>
      <c r="BO50" s="1272"/>
      <c r="BP50" s="1272"/>
      <c r="BQ50" s="1272"/>
      <c r="BR50" s="1272"/>
      <c r="BS50" s="1272"/>
      <c r="BT50" s="1272"/>
      <c r="BU50" s="1272"/>
      <c r="BV50" s="1272"/>
      <c r="BW50" s="1272"/>
      <c r="BX50" s="1272"/>
      <c r="BY50" s="1272"/>
      <c r="BZ50" s="1272"/>
      <c r="CA50" s="1272"/>
      <c r="CB50" s="1272"/>
      <c r="CC50" s="1272"/>
      <c r="CD50" s="1272"/>
      <c r="CE50" s="1272"/>
      <c r="CF50" s="1272"/>
      <c r="CG50" s="1272"/>
      <c r="CH50" s="1272"/>
      <c r="CI50" s="1272"/>
      <c r="CJ50" s="1272"/>
      <c r="CK50" s="1272"/>
      <c r="CL50" s="1272"/>
      <c r="CM50" s="1272"/>
      <c r="CN50" s="1272"/>
      <c r="CO50" s="1272"/>
      <c r="CP50" s="1272"/>
      <c r="CQ50" s="1272"/>
      <c r="CR50" s="1272"/>
      <c r="CS50" s="1272"/>
      <c r="CT50" s="1272"/>
      <c r="CU50" s="1272"/>
      <c r="CV50" s="1272"/>
      <c r="CW50" s="1272"/>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3.8" hidden="1">
      <c r="A51" s="1376"/>
      <c r="B51" s="535"/>
      <c r="C51" s="535"/>
      <c r="D51" s="1235"/>
      <c r="E51" s="535"/>
      <c r="F51" s="426"/>
      <c r="G51" s="427"/>
      <c r="H51" s="426"/>
      <c r="I51" s="1272"/>
      <c r="J51" s="1272"/>
      <c r="K51" s="1272"/>
      <c r="L51" s="1272"/>
      <c r="M51" s="1272"/>
      <c r="N51" s="1272"/>
      <c r="O51" s="1272"/>
      <c r="P51" s="1272"/>
      <c r="Q51" s="1272"/>
      <c r="R51" s="1272"/>
      <c r="S51" s="1272"/>
      <c r="T51" s="1272"/>
      <c r="U51" s="1272"/>
      <c r="V51" s="1272"/>
      <c r="W51" s="1272"/>
      <c r="X51" s="1272"/>
      <c r="Y51" s="1272"/>
      <c r="Z51" s="1272"/>
      <c r="AA51" s="1272"/>
      <c r="AB51" s="1272"/>
      <c r="AC51" s="1272"/>
      <c r="AD51" s="1272"/>
      <c r="AE51" s="1272"/>
      <c r="AF51" s="1272"/>
      <c r="AG51" s="1272"/>
      <c r="AH51" s="1272"/>
      <c r="AI51" s="1272"/>
      <c r="AJ51" s="1272"/>
      <c r="AK51" s="1272"/>
      <c r="AL51" s="1272"/>
      <c r="AM51" s="1272"/>
      <c r="AN51" s="1272"/>
      <c r="AO51" s="1272"/>
      <c r="AP51" s="1272"/>
      <c r="AQ51" s="1272"/>
      <c r="AR51" s="1272"/>
      <c r="AS51" s="1272"/>
      <c r="AT51" s="1272"/>
      <c r="AU51" s="1272"/>
      <c r="AV51" s="1272"/>
      <c r="AW51" s="1272"/>
      <c r="AX51" s="1272"/>
      <c r="AY51" s="1272"/>
      <c r="AZ51" s="1272"/>
      <c r="BA51" s="1272"/>
      <c r="BB51" s="1272"/>
      <c r="BC51" s="1272"/>
      <c r="BD51" s="1272"/>
      <c r="BE51" s="1272"/>
      <c r="BF51" s="1272"/>
      <c r="BG51" s="1272"/>
      <c r="BH51" s="1272"/>
      <c r="BI51" s="1272"/>
      <c r="BJ51" s="1272"/>
      <c r="BK51" s="1272"/>
      <c r="BL51" s="1272"/>
      <c r="BM51" s="1272"/>
      <c r="BN51" s="1272"/>
      <c r="BO51" s="1272"/>
      <c r="BP51" s="1272"/>
      <c r="BQ51" s="1272"/>
      <c r="BR51" s="1272"/>
      <c r="BS51" s="1272"/>
      <c r="BT51" s="1272"/>
      <c r="BU51" s="1272"/>
      <c r="BV51" s="1272"/>
      <c r="BW51" s="1272"/>
      <c r="BX51" s="1272"/>
      <c r="BY51" s="1272"/>
      <c r="BZ51" s="1272"/>
      <c r="CA51" s="1272"/>
      <c r="CB51" s="1272"/>
      <c r="CC51" s="1272"/>
      <c r="CD51" s="1272"/>
      <c r="CE51" s="1272"/>
      <c r="CF51" s="1272"/>
      <c r="CG51" s="1272"/>
      <c r="CH51" s="1272"/>
      <c r="CI51" s="1272"/>
      <c r="CJ51" s="1272"/>
      <c r="CK51" s="1272"/>
      <c r="CL51" s="1272"/>
      <c r="CM51" s="1272"/>
      <c r="CN51" s="1272"/>
      <c r="CO51" s="1272"/>
      <c r="CP51" s="1272"/>
      <c r="CQ51" s="1272"/>
      <c r="CR51" s="1272"/>
      <c r="CS51" s="1272"/>
      <c r="CT51" s="1272"/>
      <c r="CU51" s="1272"/>
      <c r="CV51" s="1272"/>
      <c r="CW51" s="1272"/>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3.8" hidden="1">
      <c r="A52" s="1376"/>
      <c r="B52" s="535"/>
      <c r="C52" s="535"/>
      <c r="D52" s="1235"/>
      <c r="E52" s="535"/>
      <c r="F52" s="426"/>
      <c r="G52" s="427"/>
      <c r="H52" s="426"/>
      <c r="I52" s="1272"/>
      <c r="J52" s="1272"/>
      <c r="K52" s="1272"/>
      <c r="L52" s="1272"/>
      <c r="M52" s="1272"/>
      <c r="N52" s="1272"/>
      <c r="O52" s="1272"/>
      <c r="P52" s="1272"/>
      <c r="Q52" s="1272"/>
      <c r="R52" s="1272"/>
      <c r="S52" s="1272"/>
      <c r="T52" s="1272"/>
      <c r="U52" s="1272"/>
      <c r="V52" s="1272"/>
      <c r="W52" s="1272"/>
      <c r="X52" s="1272"/>
      <c r="Y52" s="1272"/>
      <c r="Z52" s="1272"/>
      <c r="AA52" s="1272"/>
      <c r="AB52" s="1272"/>
      <c r="AC52" s="1272"/>
      <c r="AD52" s="1272"/>
      <c r="AE52" s="1272"/>
      <c r="AF52" s="1272"/>
      <c r="AG52" s="1272"/>
      <c r="AH52" s="1272"/>
      <c r="AI52" s="1272"/>
      <c r="AJ52" s="1272"/>
      <c r="AK52" s="1272"/>
      <c r="AL52" s="1272"/>
      <c r="AM52" s="1272"/>
      <c r="AN52" s="1272"/>
      <c r="AO52" s="1272"/>
      <c r="AP52" s="1272"/>
      <c r="AQ52" s="1272"/>
      <c r="AR52" s="1272"/>
      <c r="AS52" s="1272"/>
      <c r="AT52" s="1272"/>
      <c r="AU52" s="1272"/>
      <c r="AV52" s="1272"/>
      <c r="AW52" s="1272"/>
      <c r="AX52" s="1272"/>
      <c r="AY52" s="1272"/>
      <c r="AZ52" s="1272"/>
      <c r="BA52" s="1272"/>
      <c r="BB52" s="1272"/>
      <c r="BC52" s="1272"/>
      <c r="BD52" s="1272"/>
      <c r="BE52" s="1272"/>
      <c r="BF52" s="1272"/>
      <c r="BG52" s="1272"/>
      <c r="BH52" s="1272"/>
      <c r="BI52" s="1272"/>
      <c r="BJ52" s="1272"/>
      <c r="BK52" s="1272"/>
      <c r="BL52" s="1272"/>
      <c r="BM52" s="1272"/>
      <c r="BN52" s="1272"/>
      <c r="BO52" s="1272"/>
      <c r="BP52" s="1272"/>
      <c r="BQ52" s="1272"/>
      <c r="BR52" s="1272"/>
      <c r="BS52" s="1272"/>
      <c r="BT52" s="1272"/>
      <c r="BU52" s="1272"/>
      <c r="BV52" s="1272"/>
      <c r="BW52" s="1272"/>
      <c r="BX52" s="1272"/>
      <c r="BY52" s="1272"/>
      <c r="BZ52" s="1272"/>
      <c r="CA52" s="1272"/>
      <c r="CB52" s="1272"/>
      <c r="CC52" s="1272"/>
      <c r="CD52" s="1272"/>
      <c r="CE52" s="1272"/>
      <c r="CF52" s="1272"/>
      <c r="CG52" s="1272"/>
      <c r="CH52" s="1272"/>
      <c r="CI52" s="1272"/>
      <c r="CJ52" s="1272"/>
      <c r="CK52" s="1272"/>
      <c r="CL52" s="1272"/>
      <c r="CM52" s="1272"/>
      <c r="CN52" s="1272"/>
      <c r="CO52" s="1272"/>
      <c r="CP52" s="1272"/>
      <c r="CQ52" s="1272"/>
      <c r="CR52" s="1272"/>
      <c r="CS52" s="1272"/>
      <c r="CT52" s="1272"/>
      <c r="CU52" s="1272"/>
      <c r="CV52" s="1272"/>
      <c r="CW52" s="1272"/>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3.8" hidden="1">
      <c r="A53" s="1376"/>
      <c r="B53" s="535"/>
      <c r="C53" s="535"/>
      <c r="D53" s="1235"/>
      <c r="E53" s="535"/>
      <c r="F53" s="426"/>
      <c r="G53" s="427"/>
      <c r="H53" s="426"/>
      <c r="I53" s="1272"/>
      <c r="J53" s="1272"/>
      <c r="K53" s="1272"/>
      <c r="L53" s="1272"/>
      <c r="M53" s="1272"/>
      <c r="N53" s="1272"/>
      <c r="O53" s="1272"/>
      <c r="P53" s="1272"/>
      <c r="Q53" s="1272"/>
      <c r="R53" s="1272"/>
      <c r="S53" s="1272"/>
      <c r="T53" s="1272"/>
      <c r="U53" s="1272"/>
      <c r="V53" s="1272"/>
      <c r="W53" s="1272"/>
      <c r="X53" s="1272"/>
      <c r="Y53" s="1272"/>
      <c r="Z53" s="1272"/>
      <c r="AA53" s="1272"/>
      <c r="AB53" s="1272"/>
      <c r="AC53" s="1272"/>
      <c r="AD53" s="1272"/>
      <c r="AE53" s="1272"/>
      <c r="AF53" s="1272"/>
      <c r="AG53" s="1272"/>
      <c r="AH53" s="1272"/>
      <c r="AI53" s="1272"/>
      <c r="AJ53" s="1272"/>
      <c r="AK53" s="1272"/>
      <c r="AL53" s="1272"/>
      <c r="AM53" s="1272"/>
      <c r="AN53" s="1272"/>
      <c r="AO53" s="1272"/>
      <c r="AP53" s="1272"/>
      <c r="AQ53" s="1272"/>
      <c r="AR53" s="1272"/>
      <c r="AS53" s="1272"/>
      <c r="AT53" s="1272"/>
      <c r="AU53" s="1272"/>
      <c r="AV53" s="1272"/>
      <c r="AW53" s="1272"/>
      <c r="AX53" s="1272"/>
      <c r="AY53" s="1272"/>
      <c r="AZ53" s="1272"/>
      <c r="BA53" s="1272"/>
      <c r="BB53" s="1272"/>
      <c r="BC53" s="1272"/>
      <c r="BD53" s="1272"/>
      <c r="BE53" s="1272"/>
      <c r="BF53" s="1272"/>
      <c r="BG53" s="1272"/>
      <c r="BH53" s="1272"/>
      <c r="BI53" s="1272"/>
      <c r="BJ53" s="1272"/>
      <c r="BK53" s="1272"/>
      <c r="BL53" s="1272"/>
      <c r="BM53" s="1272"/>
      <c r="BN53" s="1272"/>
      <c r="BO53" s="1272"/>
      <c r="BP53" s="1272"/>
      <c r="BQ53" s="1272"/>
      <c r="BR53" s="1272"/>
      <c r="BS53" s="1272"/>
      <c r="BT53" s="1272"/>
      <c r="BU53" s="1272"/>
      <c r="BV53" s="1272"/>
      <c r="BW53" s="1272"/>
      <c r="BX53" s="1272"/>
      <c r="BY53" s="1272"/>
      <c r="BZ53" s="1272"/>
      <c r="CA53" s="1272"/>
      <c r="CB53" s="1272"/>
      <c r="CC53" s="1272"/>
      <c r="CD53" s="1272"/>
      <c r="CE53" s="1272"/>
      <c r="CF53" s="1272"/>
      <c r="CG53" s="1272"/>
      <c r="CH53" s="1272"/>
      <c r="CI53" s="1272"/>
      <c r="CJ53" s="1272"/>
      <c r="CK53" s="1272"/>
      <c r="CL53" s="1272"/>
      <c r="CM53" s="1272"/>
      <c r="CN53" s="1272"/>
      <c r="CO53" s="1272"/>
      <c r="CP53" s="1272"/>
      <c r="CQ53" s="1272"/>
      <c r="CR53" s="1272"/>
      <c r="CS53" s="1272"/>
      <c r="CT53" s="1272"/>
      <c r="CU53" s="1272"/>
      <c r="CV53" s="1272"/>
      <c r="CW53" s="1272"/>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3.8" hidden="1">
      <c r="A54" s="1376"/>
      <c r="B54" s="535"/>
      <c r="C54" s="535"/>
      <c r="D54" s="1235"/>
      <c r="E54" s="535"/>
      <c r="F54" s="426"/>
      <c r="G54" s="427"/>
      <c r="H54" s="426"/>
      <c r="I54" s="1272"/>
      <c r="J54" s="1272"/>
      <c r="K54" s="1272"/>
      <c r="L54" s="1272"/>
      <c r="M54" s="1272"/>
      <c r="N54" s="1272"/>
      <c r="O54" s="1272"/>
      <c r="P54" s="1272"/>
      <c r="Q54" s="1272"/>
      <c r="R54" s="1272"/>
      <c r="S54" s="1272"/>
      <c r="T54" s="1272"/>
      <c r="U54" s="1272"/>
      <c r="V54" s="1272"/>
      <c r="W54" s="1272"/>
      <c r="X54" s="1272"/>
      <c r="Y54" s="1272"/>
      <c r="Z54" s="1272"/>
      <c r="AA54" s="1272"/>
      <c r="AB54" s="1272"/>
      <c r="AC54" s="1272"/>
      <c r="AD54" s="1272"/>
      <c r="AE54" s="1272"/>
      <c r="AF54" s="1272"/>
      <c r="AG54" s="1272"/>
      <c r="AH54" s="1272"/>
      <c r="AI54" s="1272"/>
      <c r="AJ54" s="1272"/>
      <c r="AK54" s="1272"/>
      <c r="AL54" s="1272"/>
      <c r="AM54" s="1272"/>
      <c r="AN54" s="1272"/>
      <c r="AO54" s="1272"/>
      <c r="AP54" s="1272"/>
      <c r="AQ54" s="1272"/>
      <c r="AR54" s="1272"/>
      <c r="AS54" s="1272"/>
      <c r="AT54" s="1272"/>
      <c r="AU54" s="1272"/>
      <c r="AV54" s="1272"/>
      <c r="AW54" s="1272"/>
      <c r="AX54" s="1272"/>
      <c r="AY54" s="1272"/>
      <c r="AZ54" s="1272"/>
      <c r="BA54" s="1272"/>
      <c r="BB54" s="1272"/>
      <c r="BC54" s="1272"/>
      <c r="BD54" s="1272"/>
      <c r="BE54" s="1272"/>
      <c r="BF54" s="1272"/>
      <c r="BG54" s="1272"/>
      <c r="BH54" s="1272"/>
      <c r="BI54" s="1272"/>
      <c r="BJ54" s="1272"/>
      <c r="BK54" s="1272"/>
      <c r="BL54" s="1272"/>
      <c r="BM54" s="1272"/>
      <c r="BN54" s="1272"/>
      <c r="BO54" s="1272"/>
      <c r="BP54" s="1272"/>
      <c r="BQ54" s="1272"/>
      <c r="BR54" s="1272"/>
      <c r="BS54" s="1272"/>
      <c r="BT54" s="1272"/>
      <c r="BU54" s="1272"/>
      <c r="BV54" s="1272"/>
      <c r="BW54" s="1272"/>
      <c r="BX54" s="1272"/>
      <c r="BY54" s="1272"/>
      <c r="BZ54" s="1272"/>
      <c r="CA54" s="1272"/>
      <c r="CB54" s="1272"/>
      <c r="CC54" s="1272"/>
      <c r="CD54" s="1272"/>
      <c r="CE54" s="1272"/>
      <c r="CF54" s="1272"/>
      <c r="CG54" s="1272"/>
      <c r="CH54" s="1272"/>
      <c r="CI54" s="1272"/>
      <c r="CJ54" s="1272"/>
      <c r="CK54" s="1272"/>
      <c r="CL54" s="1272"/>
      <c r="CM54" s="1272"/>
      <c r="CN54" s="1272"/>
      <c r="CO54" s="1272"/>
      <c r="CP54" s="1272"/>
      <c r="CQ54" s="1272"/>
      <c r="CR54" s="1272"/>
      <c r="CS54" s="1272"/>
      <c r="CT54" s="1272"/>
      <c r="CU54" s="1272"/>
      <c r="CV54" s="1272"/>
      <c r="CW54" s="1272"/>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3.8" hidden="1">
      <c r="A55" s="1376"/>
      <c r="B55" s="535"/>
      <c r="C55" s="535"/>
      <c r="D55" s="1235"/>
      <c r="E55" s="535"/>
      <c r="F55" s="426"/>
      <c r="G55" s="427"/>
      <c r="H55" s="426"/>
      <c r="I55" s="1272"/>
      <c r="J55" s="1272"/>
      <c r="K55" s="1272"/>
      <c r="L55" s="1272"/>
      <c r="M55" s="1272"/>
      <c r="N55" s="1272"/>
      <c r="O55" s="1272"/>
      <c r="P55" s="1272"/>
      <c r="Q55" s="1272"/>
      <c r="R55" s="1272"/>
      <c r="S55" s="1272"/>
      <c r="T55" s="1272"/>
      <c r="U55" s="1272"/>
      <c r="V55" s="1272"/>
      <c r="W55" s="1272"/>
      <c r="X55" s="1272"/>
      <c r="Y55" s="1272"/>
      <c r="Z55" s="1272"/>
      <c r="AA55" s="1272"/>
      <c r="AB55" s="1272"/>
      <c r="AC55" s="1272"/>
      <c r="AD55" s="1272"/>
      <c r="AE55" s="1272"/>
      <c r="AF55" s="1272"/>
      <c r="AG55" s="1272"/>
      <c r="AH55" s="1272"/>
      <c r="AI55" s="1272"/>
      <c r="AJ55" s="1272"/>
      <c r="AK55" s="1272"/>
      <c r="AL55" s="1272"/>
      <c r="AM55" s="1272"/>
      <c r="AN55" s="1272"/>
      <c r="AO55" s="1272"/>
      <c r="AP55" s="1272"/>
      <c r="AQ55" s="1272"/>
      <c r="AR55" s="1272"/>
      <c r="AS55" s="1272"/>
      <c r="AT55" s="1272"/>
      <c r="AU55" s="1272"/>
      <c r="AV55" s="1272"/>
      <c r="AW55" s="1272"/>
      <c r="AX55" s="1272"/>
      <c r="AY55" s="1272"/>
      <c r="AZ55" s="1272"/>
      <c r="BA55" s="1272"/>
      <c r="BB55" s="1272"/>
      <c r="BC55" s="1272"/>
      <c r="BD55" s="1272"/>
      <c r="BE55" s="1272"/>
      <c r="BF55" s="1272"/>
      <c r="BG55" s="1272"/>
      <c r="BH55" s="1272"/>
      <c r="BI55" s="1272"/>
      <c r="BJ55" s="1272"/>
      <c r="BK55" s="1272"/>
      <c r="BL55" s="1272"/>
      <c r="BM55" s="1272"/>
      <c r="BN55" s="1272"/>
      <c r="BO55" s="1272"/>
      <c r="BP55" s="1272"/>
      <c r="BQ55" s="1272"/>
      <c r="BR55" s="1272"/>
      <c r="BS55" s="1272"/>
      <c r="BT55" s="1272"/>
      <c r="BU55" s="1272"/>
      <c r="BV55" s="1272"/>
      <c r="BW55" s="1272"/>
      <c r="BX55" s="1272"/>
      <c r="BY55" s="1272"/>
      <c r="BZ55" s="1272"/>
      <c r="CA55" s="1272"/>
      <c r="CB55" s="1272"/>
      <c r="CC55" s="1272"/>
      <c r="CD55" s="1272"/>
      <c r="CE55" s="1272"/>
      <c r="CF55" s="1272"/>
      <c r="CG55" s="1272"/>
      <c r="CH55" s="1272"/>
      <c r="CI55" s="1272"/>
      <c r="CJ55" s="1272"/>
      <c r="CK55" s="1272"/>
      <c r="CL55" s="1272"/>
      <c r="CM55" s="1272"/>
      <c r="CN55" s="1272"/>
      <c r="CO55" s="1272"/>
      <c r="CP55" s="1272"/>
      <c r="CQ55" s="1272"/>
      <c r="CR55" s="1272"/>
      <c r="CS55" s="1272"/>
      <c r="CT55" s="1272"/>
      <c r="CU55" s="1272"/>
      <c r="CV55" s="1272"/>
      <c r="CW55" s="1272"/>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3.8" hidden="1">
      <c r="A56" s="1376"/>
      <c r="B56" s="535"/>
      <c r="C56" s="535"/>
      <c r="D56" s="1235"/>
      <c r="E56" s="535"/>
      <c r="F56" s="426"/>
      <c r="G56" s="427"/>
      <c r="H56" s="426"/>
      <c r="I56" s="1272"/>
      <c r="J56" s="1272"/>
      <c r="K56" s="1272"/>
      <c r="L56" s="1272"/>
      <c r="M56" s="1272"/>
      <c r="N56" s="1272"/>
      <c r="O56" s="1272"/>
      <c r="P56" s="1272"/>
      <c r="Q56" s="1272"/>
      <c r="R56" s="1272"/>
      <c r="S56" s="1272"/>
      <c r="T56" s="1272"/>
      <c r="U56" s="1272"/>
      <c r="V56" s="1272"/>
      <c r="W56" s="1272"/>
      <c r="X56" s="1272"/>
      <c r="Y56" s="1272"/>
      <c r="Z56" s="1272"/>
      <c r="AA56" s="1272"/>
      <c r="AB56" s="1272"/>
      <c r="AC56" s="1272"/>
      <c r="AD56" s="1272"/>
      <c r="AE56" s="1272"/>
      <c r="AF56" s="1272"/>
      <c r="AG56" s="1272"/>
      <c r="AH56" s="1272"/>
      <c r="AI56" s="1272"/>
      <c r="AJ56" s="1272"/>
      <c r="AK56" s="1272"/>
      <c r="AL56" s="1272"/>
      <c r="AM56" s="1272"/>
      <c r="AN56" s="1272"/>
      <c r="AO56" s="1272"/>
      <c r="AP56" s="1272"/>
      <c r="AQ56" s="1272"/>
      <c r="AR56" s="1272"/>
      <c r="AS56" s="1272"/>
      <c r="AT56" s="1272"/>
      <c r="AU56" s="1272"/>
      <c r="AV56" s="1272"/>
      <c r="AW56" s="1272"/>
      <c r="AX56" s="1272"/>
      <c r="AY56" s="1272"/>
      <c r="AZ56" s="1272"/>
      <c r="BA56" s="1272"/>
      <c r="BB56" s="1272"/>
      <c r="BC56" s="1272"/>
      <c r="BD56" s="1272"/>
      <c r="BE56" s="1272"/>
      <c r="BF56" s="1272"/>
      <c r="BG56" s="1272"/>
      <c r="BH56" s="1272"/>
      <c r="BI56" s="1272"/>
      <c r="BJ56" s="1272"/>
      <c r="BK56" s="1272"/>
      <c r="BL56" s="1272"/>
      <c r="BM56" s="1272"/>
      <c r="BN56" s="1272"/>
      <c r="BO56" s="1272"/>
      <c r="BP56" s="1272"/>
      <c r="BQ56" s="1272"/>
      <c r="BR56" s="1272"/>
      <c r="BS56" s="1272"/>
      <c r="BT56" s="1272"/>
      <c r="BU56" s="1272"/>
      <c r="BV56" s="1272"/>
      <c r="BW56" s="1272"/>
      <c r="BX56" s="1272"/>
      <c r="BY56" s="1272"/>
      <c r="BZ56" s="1272"/>
      <c r="CA56" s="1272"/>
      <c r="CB56" s="1272"/>
      <c r="CC56" s="1272"/>
      <c r="CD56" s="1272"/>
      <c r="CE56" s="1272"/>
      <c r="CF56" s="1272"/>
      <c r="CG56" s="1272"/>
      <c r="CH56" s="1272"/>
      <c r="CI56" s="1272"/>
      <c r="CJ56" s="1272"/>
      <c r="CK56" s="1272"/>
      <c r="CL56" s="1272"/>
      <c r="CM56" s="1272"/>
      <c r="CN56" s="1272"/>
      <c r="CO56" s="1272"/>
      <c r="CP56" s="1272"/>
      <c r="CQ56" s="1272"/>
      <c r="CR56" s="1272"/>
      <c r="CS56" s="1272"/>
      <c r="CT56" s="1272"/>
      <c r="CU56" s="1272"/>
      <c r="CV56" s="1272"/>
      <c r="CW56" s="1272"/>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3.8" hidden="1">
      <c r="A57" s="1376"/>
      <c r="B57" s="535"/>
      <c r="C57" s="535"/>
      <c r="D57" s="1235"/>
      <c r="E57" s="535"/>
      <c r="F57" s="426"/>
      <c r="G57" s="427"/>
      <c r="H57" s="426"/>
      <c r="I57" s="1272"/>
      <c r="J57" s="1272"/>
      <c r="K57" s="1272"/>
      <c r="L57" s="1272"/>
      <c r="M57" s="1272"/>
      <c r="N57" s="1272"/>
      <c r="O57" s="1272"/>
      <c r="P57" s="1272"/>
      <c r="Q57" s="1272"/>
      <c r="R57" s="1272"/>
      <c r="S57" s="1272"/>
      <c r="T57" s="1272"/>
      <c r="U57" s="1272"/>
      <c r="V57" s="1272"/>
      <c r="W57" s="1272"/>
      <c r="X57" s="1272"/>
      <c r="Y57" s="1272"/>
      <c r="Z57" s="1272"/>
      <c r="AA57" s="1272"/>
      <c r="AB57" s="1272"/>
      <c r="AC57" s="1272"/>
      <c r="AD57" s="1272"/>
      <c r="AE57" s="1272"/>
      <c r="AF57" s="1272"/>
      <c r="AG57" s="1272"/>
      <c r="AH57" s="1272"/>
      <c r="AI57" s="1272"/>
      <c r="AJ57" s="1272"/>
      <c r="AK57" s="1272"/>
      <c r="AL57" s="1272"/>
      <c r="AM57" s="1272"/>
      <c r="AN57" s="1272"/>
      <c r="AO57" s="1272"/>
      <c r="AP57" s="1272"/>
      <c r="AQ57" s="1272"/>
      <c r="AR57" s="1272"/>
      <c r="AS57" s="1272"/>
      <c r="AT57" s="1272"/>
      <c r="AU57" s="1272"/>
      <c r="AV57" s="1272"/>
      <c r="AW57" s="1272"/>
      <c r="AX57" s="1272"/>
      <c r="AY57" s="1272"/>
      <c r="AZ57" s="1272"/>
      <c r="BA57" s="1272"/>
      <c r="BB57" s="1272"/>
      <c r="BC57" s="1272"/>
      <c r="BD57" s="1272"/>
      <c r="BE57" s="1272"/>
      <c r="BF57" s="1272"/>
      <c r="BG57" s="1272"/>
      <c r="BH57" s="1272"/>
      <c r="BI57" s="1272"/>
      <c r="BJ57" s="1272"/>
      <c r="BK57" s="1272"/>
      <c r="BL57" s="1272"/>
      <c r="BM57" s="1272"/>
      <c r="BN57" s="1272"/>
      <c r="BO57" s="1272"/>
      <c r="BP57" s="1272"/>
      <c r="BQ57" s="1272"/>
      <c r="BR57" s="1272"/>
      <c r="BS57" s="1272"/>
      <c r="BT57" s="1272"/>
      <c r="BU57" s="1272"/>
      <c r="BV57" s="1272"/>
      <c r="BW57" s="1272"/>
      <c r="BX57" s="1272"/>
      <c r="BY57" s="1272"/>
      <c r="BZ57" s="1272"/>
      <c r="CA57" s="1272"/>
      <c r="CB57" s="1272"/>
      <c r="CC57" s="1272"/>
      <c r="CD57" s="1272"/>
      <c r="CE57" s="1272"/>
      <c r="CF57" s="1272"/>
      <c r="CG57" s="1272"/>
      <c r="CH57" s="1272"/>
      <c r="CI57" s="1272"/>
      <c r="CJ57" s="1272"/>
      <c r="CK57" s="1272"/>
      <c r="CL57" s="1272"/>
      <c r="CM57" s="1272"/>
      <c r="CN57" s="1272"/>
      <c r="CO57" s="1272"/>
      <c r="CP57" s="1272"/>
      <c r="CQ57" s="1272"/>
      <c r="CR57" s="1272"/>
      <c r="CS57" s="1272"/>
      <c r="CT57" s="1272"/>
      <c r="CU57" s="1272"/>
      <c r="CV57" s="1272"/>
      <c r="CW57" s="1272"/>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3.8" hidden="1">
      <c r="A58" s="1376"/>
      <c r="B58" s="535"/>
      <c r="C58" s="535"/>
      <c r="D58" s="1235"/>
      <c r="E58" s="535"/>
      <c r="F58" s="426"/>
      <c r="G58" s="427"/>
      <c r="H58" s="426"/>
      <c r="I58" s="1272"/>
      <c r="J58" s="1272"/>
      <c r="K58" s="1272"/>
      <c r="L58" s="1272"/>
      <c r="M58" s="1272"/>
      <c r="N58" s="1272"/>
      <c r="O58" s="1272"/>
      <c r="P58" s="1272"/>
      <c r="Q58" s="1272"/>
      <c r="R58" s="1272"/>
      <c r="S58" s="1272"/>
      <c r="T58" s="1272"/>
      <c r="U58" s="1272"/>
      <c r="V58" s="1272"/>
      <c r="W58" s="1272"/>
      <c r="X58" s="1272"/>
      <c r="Y58" s="1272"/>
      <c r="Z58" s="1272"/>
      <c r="AA58" s="1272"/>
      <c r="AB58" s="1272"/>
      <c r="AC58" s="1272"/>
      <c r="AD58" s="1272"/>
      <c r="AE58" s="1272"/>
      <c r="AF58" s="1272"/>
      <c r="AG58" s="1272"/>
      <c r="AH58" s="1272"/>
      <c r="AI58" s="1272"/>
      <c r="AJ58" s="1272"/>
      <c r="AK58" s="1272"/>
      <c r="AL58" s="1272"/>
      <c r="AM58" s="1272"/>
      <c r="AN58" s="1272"/>
      <c r="AO58" s="1272"/>
      <c r="AP58" s="1272"/>
      <c r="AQ58" s="1272"/>
      <c r="AR58" s="1272"/>
      <c r="AS58" s="1272"/>
      <c r="AT58" s="1272"/>
      <c r="AU58" s="1272"/>
      <c r="AV58" s="1272"/>
      <c r="AW58" s="1272"/>
      <c r="AX58" s="1272"/>
      <c r="AY58" s="1272"/>
      <c r="AZ58" s="1272"/>
      <c r="BA58" s="1272"/>
      <c r="BB58" s="1272"/>
      <c r="BC58" s="1272"/>
      <c r="BD58" s="1272"/>
      <c r="BE58" s="1272"/>
      <c r="BF58" s="1272"/>
      <c r="BG58" s="1272"/>
      <c r="BH58" s="1272"/>
      <c r="BI58" s="1272"/>
      <c r="BJ58" s="1272"/>
      <c r="BK58" s="1272"/>
      <c r="BL58" s="1272"/>
      <c r="BM58" s="1272"/>
      <c r="BN58" s="1272"/>
      <c r="BO58" s="1272"/>
      <c r="BP58" s="1272"/>
      <c r="BQ58" s="1272"/>
      <c r="BR58" s="1272"/>
      <c r="BS58" s="1272"/>
      <c r="BT58" s="1272"/>
      <c r="BU58" s="1272"/>
      <c r="BV58" s="1272"/>
      <c r="BW58" s="1272"/>
      <c r="BX58" s="1272"/>
      <c r="BY58" s="1272"/>
      <c r="BZ58" s="1272"/>
      <c r="CA58" s="1272"/>
      <c r="CB58" s="1272"/>
      <c r="CC58" s="1272"/>
      <c r="CD58" s="1272"/>
      <c r="CE58" s="1272"/>
      <c r="CF58" s="1272"/>
      <c r="CG58" s="1272"/>
      <c r="CH58" s="1272"/>
      <c r="CI58" s="1272"/>
      <c r="CJ58" s="1272"/>
      <c r="CK58" s="1272"/>
      <c r="CL58" s="1272"/>
      <c r="CM58" s="1272"/>
      <c r="CN58" s="1272"/>
      <c r="CO58" s="1272"/>
      <c r="CP58" s="1272"/>
      <c r="CQ58" s="1272"/>
      <c r="CR58" s="1272"/>
      <c r="CS58" s="1272"/>
      <c r="CT58" s="1272"/>
      <c r="CU58" s="1272"/>
      <c r="CV58" s="1272"/>
      <c r="CW58" s="1272"/>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3.8" hidden="1">
      <c r="A59" s="1376"/>
      <c r="B59" s="535"/>
      <c r="C59" s="535"/>
      <c r="D59" s="1235"/>
      <c r="E59" s="535"/>
      <c r="F59" s="426"/>
      <c r="G59" s="427"/>
      <c r="H59" s="426"/>
      <c r="I59" s="1272"/>
      <c r="J59" s="1272"/>
      <c r="K59" s="1272"/>
      <c r="L59" s="1272"/>
      <c r="M59" s="1272"/>
      <c r="N59" s="1272"/>
      <c r="O59" s="1272"/>
      <c r="P59" s="1272"/>
      <c r="Q59" s="1272"/>
      <c r="R59" s="1272"/>
      <c r="S59" s="1272"/>
      <c r="T59" s="1272"/>
      <c r="U59" s="1272"/>
      <c r="V59" s="1272"/>
      <c r="W59" s="1272"/>
      <c r="X59" s="1272"/>
      <c r="Y59" s="1272"/>
      <c r="Z59" s="1272"/>
      <c r="AA59" s="1272"/>
      <c r="AB59" s="1272"/>
      <c r="AC59" s="1272"/>
      <c r="AD59" s="1272"/>
      <c r="AE59" s="1272"/>
      <c r="AF59" s="1272"/>
      <c r="AG59" s="1272"/>
      <c r="AH59" s="1272"/>
      <c r="AI59" s="1272"/>
      <c r="AJ59" s="1272"/>
      <c r="AK59" s="1272"/>
      <c r="AL59" s="1272"/>
      <c r="AM59" s="1272"/>
      <c r="AN59" s="1272"/>
      <c r="AO59" s="1272"/>
      <c r="AP59" s="1272"/>
      <c r="AQ59" s="1272"/>
      <c r="AR59" s="1272"/>
      <c r="AS59" s="1272"/>
      <c r="AT59" s="1272"/>
      <c r="AU59" s="1272"/>
      <c r="AV59" s="1272"/>
      <c r="AW59" s="1272"/>
      <c r="AX59" s="1272"/>
      <c r="AY59" s="1272"/>
      <c r="AZ59" s="1272"/>
      <c r="BA59" s="1272"/>
      <c r="BB59" s="1272"/>
      <c r="BC59" s="1272"/>
      <c r="BD59" s="1272"/>
      <c r="BE59" s="1272"/>
      <c r="BF59" s="1272"/>
      <c r="BG59" s="1272"/>
      <c r="BH59" s="1272"/>
      <c r="BI59" s="1272"/>
      <c r="BJ59" s="1272"/>
      <c r="BK59" s="1272"/>
      <c r="BL59" s="1272"/>
      <c r="BM59" s="1272"/>
      <c r="BN59" s="1272"/>
      <c r="BO59" s="1272"/>
      <c r="BP59" s="1272"/>
      <c r="BQ59" s="1272"/>
      <c r="BR59" s="1272"/>
      <c r="BS59" s="1272"/>
      <c r="BT59" s="1272"/>
      <c r="BU59" s="1272"/>
      <c r="BV59" s="1272"/>
      <c r="BW59" s="1272"/>
      <c r="BX59" s="1272"/>
      <c r="BY59" s="1272"/>
      <c r="BZ59" s="1272"/>
      <c r="CA59" s="1272"/>
      <c r="CB59" s="1272"/>
      <c r="CC59" s="1272"/>
      <c r="CD59" s="1272"/>
      <c r="CE59" s="1272"/>
      <c r="CF59" s="1272"/>
      <c r="CG59" s="1272"/>
      <c r="CH59" s="1272"/>
      <c r="CI59" s="1272"/>
      <c r="CJ59" s="1272"/>
      <c r="CK59" s="1272"/>
      <c r="CL59" s="1272"/>
      <c r="CM59" s="1272"/>
      <c r="CN59" s="1272"/>
      <c r="CO59" s="1272"/>
      <c r="CP59" s="1272"/>
      <c r="CQ59" s="1272"/>
      <c r="CR59" s="1272"/>
      <c r="CS59" s="1272"/>
      <c r="CT59" s="1272"/>
      <c r="CU59" s="1272"/>
      <c r="CV59" s="1272"/>
      <c r="CW59" s="1272"/>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3.8" hidden="1">
      <c r="A60" s="1376"/>
      <c r="B60" s="535"/>
      <c r="C60" s="535"/>
      <c r="D60" s="1235"/>
      <c r="E60" s="535"/>
      <c r="F60" s="426"/>
      <c r="G60" s="427"/>
      <c r="H60" s="426"/>
      <c r="I60" s="1272"/>
      <c r="J60" s="1272"/>
      <c r="K60" s="1272"/>
      <c r="L60" s="1272"/>
      <c r="M60" s="1272"/>
      <c r="N60" s="1272"/>
      <c r="O60" s="1272"/>
      <c r="P60" s="1272"/>
      <c r="Q60" s="1272"/>
      <c r="R60" s="1272"/>
      <c r="S60" s="1272"/>
      <c r="T60" s="1272"/>
      <c r="U60" s="1272"/>
      <c r="V60" s="1272"/>
      <c r="W60" s="1272"/>
      <c r="X60" s="1272"/>
      <c r="Y60" s="1272"/>
      <c r="Z60" s="1272"/>
      <c r="AA60" s="1272"/>
      <c r="AB60" s="1272"/>
      <c r="AC60" s="1272"/>
      <c r="AD60" s="1272"/>
      <c r="AE60" s="1272"/>
      <c r="AF60" s="1272"/>
      <c r="AG60" s="1272"/>
      <c r="AH60" s="1272"/>
      <c r="AI60" s="1272"/>
      <c r="AJ60" s="1272"/>
      <c r="AK60" s="1272"/>
      <c r="AL60" s="1272"/>
      <c r="AM60" s="1272"/>
      <c r="AN60" s="1272"/>
      <c r="AO60" s="1272"/>
      <c r="AP60" s="1272"/>
      <c r="AQ60" s="1272"/>
      <c r="AR60" s="1272"/>
      <c r="AS60" s="1272"/>
      <c r="AT60" s="1272"/>
      <c r="AU60" s="1272"/>
      <c r="AV60" s="1272"/>
      <c r="AW60" s="1272"/>
      <c r="AX60" s="1272"/>
      <c r="AY60" s="1272"/>
      <c r="AZ60" s="1272"/>
      <c r="BA60" s="1272"/>
      <c r="BB60" s="1272"/>
      <c r="BC60" s="1272"/>
      <c r="BD60" s="1272"/>
      <c r="BE60" s="1272"/>
      <c r="BF60" s="1272"/>
      <c r="BG60" s="1272"/>
      <c r="BH60" s="1272"/>
      <c r="BI60" s="1272"/>
      <c r="BJ60" s="1272"/>
      <c r="BK60" s="1272"/>
      <c r="BL60" s="1272"/>
      <c r="BM60" s="1272"/>
      <c r="BN60" s="1272"/>
      <c r="BO60" s="1272"/>
      <c r="BP60" s="1272"/>
      <c r="BQ60" s="1272"/>
      <c r="BR60" s="1272"/>
      <c r="BS60" s="1272"/>
      <c r="BT60" s="1272"/>
      <c r="BU60" s="1272"/>
      <c r="BV60" s="1272"/>
      <c r="BW60" s="1272"/>
      <c r="BX60" s="1272"/>
      <c r="BY60" s="1272"/>
      <c r="BZ60" s="1272"/>
      <c r="CA60" s="1272"/>
      <c r="CB60" s="1272"/>
      <c r="CC60" s="1272"/>
      <c r="CD60" s="1272"/>
      <c r="CE60" s="1272"/>
      <c r="CF60" s="1272"/>
      <c r="CG60" s="1272"/>
      <c r="CH60" s="1272"/>
      <c r="CI60" s="1272"/>
      <c r="CJ60" s="1272"/>
      <c r="CK60" s="1272"/>
      <c r="CL60" s="1272"/>
      <c r="CM60" s="1272"/>
      <c r="CN60" s="1272"/>
      <c r="CO60" s="1272"/>
      <c r="CP60" s="1272"/>
      <c r="CQ60" s="1272"/>
      <c r="CR60" s="1272"/>
      <c r="CS60" s="1272"/>
      <c r="CT60" s="1272"/>
      <c r="CU60" s="1272"/>
      <c r="CV60" s="1272"/>
      <c r="CW60" s="1272"/>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3.8" hidden="1">
      <c r="A61" s="1376"/>
      <c r="B61" s="535"/>
      <c r="C61" s="535"/>
      <c r="D61" s="1235"/>
      <c r="E61" s="535"/>
      <c r="F61" s="426"/>
      <c r="G61" s="427"/>
      <c r="H61" s="426"/>
      <c r="I61" s="1272"/>
      <c r="J61" s="1272"/>
      <c r="K61" s="1272"/>
      <c r="L61" s="1272"/>
      <c r="M61" s="1272"/>
      <c r="N61" s="1272"/>
      <c r="O61" s="1272"/>
      <c r="P61" s="1272"/>
      <c r="Q61" s="1272"/>
      <c r="R61" s="1272"/>
      <c r="S61" s="1272"/>
      <c r="T61" s="1272"/>
      <c r="U61" s="1272"/>
      <c r="V61" s="1272"/>
      <c r="W61" s="1272"/>
      <c r="X61" s="1272"/>
      <c r="Y61" s="1272"/>
      <c r="Z61" s="1272"/>
      <c r="AA61" s="1272"/>
      <c r="AB61" s="1272"/>
      <c r="AC61" s="1272"/>
      <c r="AD61" s="1272"/>
      <c r="AE61" s="1272"/>
      <c r="AF61" s="1272"/>
      <c r="AG61" s="1272"/>
      <c r="AH61" s="1272"/>
      <c r="AI61" s="1272"/>
      <c r="AJ61" s="1272"/>
      <c r="AK61" s="1272"/>
      <c r="AL61" s="1272"/>
      <c r="AM61" s="1272"/>
      <c r="AN61" s="1272"/>
      <c r="AO61" s="1272"/>
      <c r="AP61" s="1272"/>
      <c r="AQ61" s="1272"/>
      <c r="AR61" s="1272"/>
      <c r="AS61" s="1272"/>
      <c r="AT61" s="1272"/>
      <c r="AU61" s="1272"/>
      <c r="AV61" s="1272"/>
      <c r="AW61" s="1272"/>
      <c r="AX61" s="1272"/>
      <c r="AY61" s="1272"/>
      <c r="AZ61" s="1272"/>
      <c r="BA61" s="1272"/>
      <c r="BB61" s="1272"/>
      <c r="BC61" s="1272"/>
      <c r="BD61" s="1272"/>
      <c r="BE61" s="1272"/>
      <c r="BF61" s="1272"/>
      <c r="BG61" s="1272"/>
      <c r="BH61" s="1272"/>
      <c r="BI61" s="1272"/>
      <c r="BJ61" s="1272"/>
      <c r="BK61" s="1272"/>
      <c r="BL61" s="1272"/>
      <c r="BM61" s="1272"/>
      <c r="BN61" s="1272"/>
      <c r="BO61" s="1272"/>
      <c r="BP61" s="1272"/>
      <c r="BQ61" s="1272"/>
      <c r="BR61" s="1272"/>
      <c r="BS61" s="1272"/>
      <c r="BT61" s="1272"/>
      <c r="BU61" s="1272"/>
      <c r="BV61" s="1272"/>
      <c r="BW61" s="1272"/>
      <c r="BX61" s="1272"/>
      <c r="BY61" s="1272"/>
      <c r="BZ61" s="1272"/>
      <c r="CA61" s="1272"/>
      <c r="CB61" s="1272"/>
      <c r="CC61" s="1272"/>
      <c r="CD61" s="1272"/>
      <c r="CE61" s="1272"/>
      <c r="CF61" s="1272"/>
      <c r="CG61" s="1272"/>
      <c r="CH61" s="1272"/>
      <c r="CI61" s="1272"/>
      <c r="CJ61" s="1272"/>
      <c r="CK61" s="1272"/>
      <c r="CL61" s="1272"/>
      <c r="CM61" s="1272"/>
      <c r="CN61" s="1272"/>
      <c r="CO61" s="1272"/>
      <c r="CP61" s="1272"/>
      <c r="CQ61" s="1272"/>
      <c r="CR61" s="1272"/>
      <c r="CS61" s="1272"/>
      <c r="CT61" s="1272"/>
      <c r="CU61" s="1272"/>
      <c r="CV61" s="1272"/>
      <c r="CW61" s="1272"/>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3.8" hidden="1">
      <c r="A62" s="1369"/>
      <c r="B62" s="1370"/>
      <c r="C62" s="535"/>
      <c r="D62" s="1370"/>
      <c r="E62" s="1270"/>
      <c r="F62" s="1270"/>
      <c r="G62" s="976"/>
      <c r="H62" s="1270"/>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71"/>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3.8" hidden="1">
      <c r="A63" s="1372"/>
      <c r="B63" s="1373"/>
      <c r="C63" s="975"/>
      <c r="D63" s="975"/>
      <c r="E63" s="1373"/>
      <c r="F63" s="1373"/>
      <c r="G63" s="1374"/>
      <c r="H63" s="1373"/>
      <c r="I63" s="1373"/>
      <c r="J63" s="1373"/>
      <c r="K63" s="1373"/>
      <c r="L63" s="1373"/>
      <c r="M63" s="1373"/>
      <c r="N63" s="1373"/>
      <c r="O63" s="1373"/>
      <c r="P63" s="1373"/>
      <c r="Q63" s="1373"/>
      <c r="R63" s="1373"/>
      <c r="S63" s="1373"/>
      <c r="T63" s="1373"/>
      <c r="U63" s="1373"/>
      <c r="V63" s="1373"/>
      <c r="W63" s="1373"/>
      <c r="X63" s="1373"/>
      <c r="Y63" s="1373"/>
      <c r="Z63" s="1373"/>
      <c r="AA63" s="1373"/>
      <c r="AB63" s="1373"/>
      <c r="AC63" s="1373"/>
      <c r="AD63" s="1373"/>
      <c r="AE63" s="1373"/>
      <c r="AF63" s="1373"/>
      <c r="AG63" s="1373"/>
      <c r="AH63" s="1373"/>
      <c r="AI63" s="1373"/>
      <c r="AJ63" s="1373"/>
      <c r="AK63" s="1373"/>
      <c r="AL63" s="1373"/>
      <c r="AM63" s="1373"/>
      <c r="AN63" s="1373"/>
      <c r="AO63" s="1373"/>
      <c r="AP63" s="1373"/>
      <c r="AQ63" s="1373"/>
      <c r="AR63" s="1373"/>
      <c r="AS63" s="1373"/>
      <c r="AT63" s="1373"/>
      <c r="AU63" s="1373"/>
      <c r="AV63" s="1373"/>
      <c r="AW63" s="1373"/>
      <c r="AX63" s="1373"/>
      <c r="AY63" s="1373"/>
      <c r="AZ63" s="1373"/>
      <c r="BA63" s="1373"/>
      <c r="BB63" s="1373"/>
      <c r="BC63" s="1373"/>
      <c r="BD63" s="1373"/>
      <c r="BE63" s="1373"/>
      <c r="BF63" s="1373"/>
      <c r="BG63" s="1373"/>
      <c r="BH63" s="1373"/>
      <c r="BI63" s="1373"/>
      <c r="BJ63" s="1373"/>
      <c r="BK63" s="1373"/>
      <c r="BL63" s="1373"/>
      <c r="BM63" s="1373"/>
      <c r="BN63" s="1373"/>
      <c r="BO63" s="1373"/>
      <c r="BP63" s="1373"/>
      <c r="BQ63" s="1373"/>
      <c r="BR63" s="1373"/>
      <c r="BS63" s="1373"/>
      <c r="BT63" s="1373"/>
      <c r="BU63" s="1373"/>
      <c r="BV63" s="1373"/>
      <c r="BW63" s="1373"/>
      <c r="BX63" s="1373"/>
      <c r="BY63" s="1373"/>
      <c r="BZ63" s="1373"/>
      <c r="CA63" s="1373"/>
      <c r="CB63" s="1373"/>
      <c r="CC63" s="1373"/>
      <c r="CD63" s="1373"/>
      <c r="CE63" s="1373"/>
      <c r="CF63" s="1373"/>
      <c r="CG63" s="1373"/>
      <c r="CH63" s="1373"/>
      <c r="CI63" s="1373"/>
      <c r="CJ63" s="1373"/>
      <c r="CK63" s="1373"/>
      <c r="CL63" s="1373"/>
      <c r="CM63" s="1373"/>
      <c r="CN63" s="1373"/>
      <c r="CO63" s="1373"/>
      <c r="CP63" s="1373"/>
      <c r="CQ63" s="1373"/>
      <c r="CR63" s="1373"/>
      <c r="CS63" s="1373"/>
      <c r="CT63" s="1373"/>
      <c r="CU63" s="1373"/>
      <c r="CV63" s="1373"/>
      <c r="CW63" s="1373"/>
      <c r="CX63" s="1375"/>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3.8" hidden="1">
      <c r="A64" s="1376"/>
      <c r="B64" s="1235"/>
      <c r="C64" s="535"/>
      <c r="D64" s="1235"/>
      <c r="E64" s="535"/>
      <c r="F64" s="426"/>
      <c r="G64" s="427"/>
      <c r="H64" s="426"/>
      <c r="I64" s="1272"/>
      <c r="J64" s="1272"/>
      <c r="K64" s="1272"/>
      <c r="L64" s="1272"/>
      <c r="M64" s="1272"/>
      <c r="N64" s="1272"/>
      <c r="O64" s="1272"/>
      <c r="P64" s="1272"/>
      <c r="Q64" s="1272"/>
      <c r="R64" s="1272"/>
      <c r="S64" s="1272"/>
      <c r="T64" s="1272"/>
      <c r="U64" s="1272"/>
      <c r="V64" s="1272"/>
      <c r="W64" s="1272"/>
      <c r="X64" s="1272"/>
      <c r="Y64" s="1272"/>
      <c r="Z64" s="1272"/>
      <c r="AA64" s="1272"/>
      <c r="AB64" s="1272"/>
      <c r="AC64" s="1272"/>
      <c r="AD64" s="1272"/>
      <c r="AE64" s="1272"/>
      <c r="AF64" s="1272"/>
      <c r="AG64" s="1272"/>
      <c r="AH64" s="1272"/>
      <c r="AI64" s="1272"/>
      <c r="AJ64" s="1272"/>
      <c r="AK64" s="1272"/>
      <c r="AL64" s="1272"/>
      <c r="AM64" s="1272"/>
      <c r="AN64" s="1272"/>
      <c r="AO64" s="1272"/>
      <c r="AP64" s="1272"/>
      <c r="AQ64" s="1272"/>
      <c r="AR64" s="1272"/>
      <c r="AS64" s="1272"/>
      <c r="AT64" s="1272"/>
      <c r="AU64" s="1272"/>
      <c r="AV64" s="1272"/>
      <c r="AW64" s="1272"/>
      <c r="AX64" s="1272"/>
      <c r="AY64" s="1272"/>
      <c r="AZ64" s="1272"/>
      <c r="BA64" s="1272"/>
      <c r="BB64" s="1272"/>
      <c r="BC64" s="1272"/>
      <c r="BD64" s="1272"/>
      <c r="BE64" s="1272"/>
      <c r="BF64" s="1272"/>
      <c r="BG64" s="1272"/>
      <c r="BH64" s="1272"/>
      <c r="BI64" s="1272"/>
      <c r="BJ64" s="1272"/>
      <c r="BK64" s="1272"/>
      <c r="BL64" s="1272"/>
      <c r="BM64" s="1272"/>
      <c r="BN64" s="1272"/>
      <c r="BO64" s="1272"/>
      <c r="BP64" s="1272"/>
      <c r="BQ64" s="1272"/>
      <c r="BR64" s="1272"/>
      <c r="BS64" s="1272"/>
      <c r="BT64" s="1272"/>
      <c r="BU64" s="1272"/>
      <c r="BV64" s="1272"/>
      <c r="BW64" s="1272"/>
      <c r="BX64" s="1272"/>
      <c r="BY64" s="1272"/>
      <c r="BZ64" s="1272"/>
      <c r="CA64" s="1272"/>
      <c r="CB64" s="1272"/>
      <c r="CC64" s="1272"/>
      <c r="CD64" s="1272"/>
      <c r="CE64" s="1272"/>
      <c r="CF64" s="1272"/>
      <c r="CG64" s="1272"/>
      <c r="CH64" s="1272"/>
      <c r="CI64" s="1272"/>
      <c r="CJ64" s="1272"/>
      <c r="CK64" s="1272"/>
      <c r="CL64" s="1272"/>
      <c r="CM64" s="1272"/>
      <c r="CN64" s="1272"/>
      <c r="CO64" s="1272"/>
      <c r="CP64" s="1272"/>
      <c r="CQ64" s="1272"/>
      <c r="CR64" s="1272"/>
      <c r="CS64" s="1272"/>
      <c r="CT64" s="1272"/>
      <c r="CU64" s="1272"/>
      <c r="CV64" s="1272"/>
      <c r="CW64" s="1272"/>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3.8" hidden="1">
      <c r="A65" s="1376"/>
      <c r="B65" s="535"/>
      <c r="C65" s="535"/>
      <c r="D65" s="1235"/>
      <c r="E65" s="535"/>
      <c r="F65" s="426"/>
      <c r="G65" s="427"/>
      <c r="H65" s="426"/>
      <c r="I65" s="1272"/>
      <c r="J65" s="1272"/>
      <c r="K65" s="1272"/>
      <c r="L65" s="1272"/>
      <c r="M65" s="1272"/>
      <c r="N65" s="1272"/>
      <c r="O65" s="1272"/>
      <c r="P65" s="1272"/>
      <c r="Q65" s="1272"/>
      <c r="R65" s="1272"/>
      <c r="S65" s="1272"/>
      <c r="T65" s="1272"/>
      <c r="U65" s="1272"/>
      <c r="V65" s="1272"/>
      <c r="W65" s="1272"/>
      <c r="X65" s="1272"/>
      <c r="Y65" s="1272"/>
      <c r="Z65" s="1272"/>
      <c r="AA65" s="1272"/>
      <c r="AB65" s="1272"/>
      <c r="AC65" s="1272"/>
      <c r="AD65" s="1272"/>
      <c r="AE65" s="1272"/>
      <c r="AF65" s="1272"/>
      <c r="AG65" s="1272"/>
      <c r="AH65" s="1272"/>
      <c r="AI65" s="1272"/>
      <c r="AJ65" s="1272"/>
      <c r="AK65" s="1272"/>
      <c r="AL65" s="1272"/>
      <c r="AM65" s="1272"/>
      <c r="AN65" s="1272"/>
      <c r="AO65" s="1272"/>
      <c r="AP65" s="1272"/>
      <c r="AQ65" s="1272"/>
      <c r="AR65" s="1272"/>
      <c r="AS65" s="1272"/>
      <c r="AT65" s="1272"/>
      <c r="AU65" s="1272"/>
      <c r="AV65" s="1272"/>
      <c r="AW65" s="1272"/>
      <c r="AX65" s="1272"/>
      <c r="AY65" s="1272"/>
      <c r="AZ65" s="1272"/>
      <c r="BA65" s="1272"/>
      <c r="BB65" s="1272"/>
      <c r="BC65" s="1272"/>
      <c r="BD65" s="1272"/>
      <c r="BE65" s="1272"/>
      <c r="BF65" s="1272"/>
      <c r="BG65" s="1272"/>
      <c r="BH65" s="1272"/>
      <c r="BI65" s="1272"/>
      <c r="BJ65" s="1272"/>
      <c r="BK65" s="1272"/>
      <c r="BL65" s="1272"/>
      <c r="BM65" s="1272"/>
      <c r="BN65" s="1272"/>
      <c r="BO65" s="1272"/>
      <c r="BP65" s="1272"/>
      <c r="BQ65" s="1272"/>
      <c r="BR65" s="1272"/>
      <c r="BS65" s="1272"/>
      <c r="BT65" s="1272"/>
      <c r="BU65" s="1272"/>
      <c r="BV65" s="1272"/>
      <c r="BW65" s="1272"/>
      <c r="BX65" s="1272"/>
      <c r="BY65" s="1272"/>
      <c r="BZ65" s="1272"/>
      <c r="CA65" s="1272"/>
      <c r="CB65" s="1272"/>
      <c r="CC65" s="1272"/>
      <c r="CD65" s="1272"/>
      <c r="CE65" s="1272"/>
      <c r="CF65" s="1272"/>
      <c r="CG65" s="1272"/>
      <c r="CH65" s="1272"/>
      <c r="CI65" s="1272"/>
      <c r="CJ65" s="1272"/>
      <c r="CK65" s="1272"/>
      <c r="CL65" s="1272"/>
      <c r="CM65" s="1272"/>
      <c r="CN65" s="1272"/>
      <c r="CO65" s="1272"/>
      <c r="CP65" s="1272"/>
      <c r="CQ65" s="1272"/>
      <c r="CR65" s="1272"/>
      <c r="CS65" s="1272"/>
      <c r="CT65" s="1272"/>
      <c r="CU65" s="1272"/>
      <c r="CV65" s="1272"/>
      <c r="CW65" s="1272"/>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3.8" hidden="1">
      <c r="A66" s="1376"/>
      <c r="B66" s="535"/>
      <c r="C66" s="535"/>
      <c r="D66" s="1235"/>
      <c r="E66" s="535"/>
      <c r="F66" s="426"/>
      <c r="G66" s="427"/>
      <c r="H66" s="426"/>
      <c r="I66" s="1272"/>
      <c r="J66" s="1272"/>
      <c r="K66" s="1272"/>
      <c r="L66" s="1272"/>
      <c r="M66" s="1272"/>
      <c r="N66" s="1272"/>
      <c r="O66" s="1272"/>
      <c r="P66" s="1272"/>
      <c r="Q66" s="1272"/>
      <c r="R66" s="1272"/>
      <c r="S66" s="1272"/>
      <c r="T66" s="1272"/>
      <c r="U66" s="1272"/>
      <c r="V66" s="1272"/>
      <c r="W66" s="1272"/>
      <c r="X66" s="1272"/>
      <c r="Y66" s="1272"/>
      <c r="Z66" s="1272"/>
      <c r="AA66" s="1272"/>
      <c r="AB66" s="1272"/>
      <c r="AC66" s="1272"/>
      <c r="AD66" s="1272"/>
      <c r="AE66" s="1272"/>
      <c r="AF66" s="1272"/>
      <c r="AG66" s="1272"/>
      <c r="AH66" s="1272"/>
      <c r="AI66" s="1272"/>
      <c r="AJ66" s="1272"/>
      <c r="AK66" s="1272"/>
      <c r="AL66" s="1272"/>
      <c r="AM66" s="1272"/>
      <c r="AN66" s="1272"/>
      <c r="AO66" s="1272"/>
      <c r="AP66" s="1272"/>
      <c r="AQ66" s="1272"/>
      <c r="AR66" s="1272"/>
      <c r="AS66" s="1272"/>
      <c r="AT66" s="1272"/>
      <c r="AU66" s="1272"/>
      <c r="AV66" s="1272"/>
      <c r="AW66" s="1272"/>
      <c r="AX66" s="1272"/>
      <c r="AY66" s="1272"/>
      <c r="AZ66" s="1272"/>
      <c r="BA66" s="1272"/>
      <c r="BB66" s="1272"/>
      <c r="BC66" s="1272"/>
      <c r="BD66" s="1272"/>
      <c r="BE66" s="1272"/>
      <c r="BF66" s="1272"/>
      <c r="BG66" s="1272"/>
      <c r="BH66" s="1272"/>
      <c r="BI66" s="1272"/>
      <c r="BJ66" s="1272"/>
      <c r="BK66" s="1272"/>
      <c r="BL66" s="1272"/>
      <c r="BM66" s="1272"/>
      <c r="BN66" s="1272"/>
      <c r="BO66" s="1272"/>
      <c r="BP66" s="1272"/>
      <c r="BQ66" s="1272"/>
      <c r="BR66" s="1272"/>
      <c r="BS66" s="1272"/>
      <c r="BT66" s="1272"/>
      <c r="BU66" s="1272"/>
      <c r="BV66" s="1272"/>
      <c r="BW66" s="1272"/>
      <c r="BX66" s="1272"/>
      <c r="BY66" s="1272"/>
      <c r="BZ66" s="1272"/>
      <c r="CA66" s="1272"/>
      <c r="CB66" s="1272"/>
      <c r="CC66" s="1272"/>
      <c r="CD66" s="1272"/>
      <c r="CE66" s="1272"/>
      <c r="CF66" s="1272"/>
      <c r="CG66" s="1272"/>
      <c r="CH66" s="1272"/>
      <c r="CI66" s="1272"/>
      <c r="CJ66" s="1272"/>
      <c r="CK66" s="1272"/>
      <c r="CL66" s="1272"/>
      <c r="CM66" s="1272"/>
      <c r="CN66" s="1272"/>
      <c r="CO66" s="1272"/>
      <c r="CP66" s="1272"/>
      <c r="CQ66" s="1272"/>
      <c r="CR66" s="1272"/>
      <c r="CS66" s="1272"/>
      <c r="CT66" s="1272"/>
      <c r="CU66" s="1272"/>
      <c r="CV66" s="1272"/>
      <c r="CW66" s="1272"/>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3.8" hidden="1">
      <c r="A67" s="1376"/>
      <c r="B67" s="535"/>
      <c r="C67" s="535"/>
      <c r="D67" s="1235"/>
      <c r="E67" s="535"/>
      <c r="F67" s="426"/>
      <c r="G67" s="427"/>
      <c r="H67" s="426"/>
      <c r="I67" s="1272"/>
      <c r="J67" s="1272"/>
      <c r="K67" s="1272"/>
      <c r="L67" s="1272"/>
      <c r="M67" s="1272"/>
      <c r="N67" s="1272"/>
      <c r="O67" s="1272"/>
      <c r="P67" s="1272"/>
      <c r="Q67" s="1272"/>
      <c r="R67" s="1272"/>
      <c r="S67" s="1272"/>
      <c r="T67" s="1272"/>
      <c r="U67" s="1272"/>
      <c r="V67" s="1272"/>
      <c r="W67" s="1272"/>
      <c r="X67" s="1272"/>
      <c r="Y67" s="1272"/>
      <c r="Z67" s="1272"/>
      <c r="AA67" s="1272"/>
      <c r="AB67" s="1272"/>
      <c r="AC67" s="1272"/>
      <c r="AD67" s="1272"/>
      <c r="AE67" s="1272"/>
      <c r="AF67" s="1272"/>
      <c r="AG67" s="1272"/>
      <c r="AH67" s="1272"/>
      <c r="AI67" s="1272"/>
      <c r="AJ67" s="1272"/>
      <c r="AK67" s="1272"/>
      <c r="AL67" s="1272"/>
      <c r="AM67" s="1272"/>
      <c r="AN67" s="1272"/>
      <c r="AO67" s="1272"/>
      <c r="AP67" s="1272"/>
      <c r="AQ67" s="1272"/>
      <c r="AR67" s="1272"/>
      <c r="AS67" s="1272"/>
      <c r="AT67" s="1272"/>
      <c r="AU67" s="1272"/>
      <c r="AV67" s="1272"/>
      <c r="AW67" s="1272"/>
      <c r="AX67" s="1272"/>
      <c r="AY67" s="1272"/>
      <c r="AZ67" s="1272"/>
      <c r="BA67" s="1272"/>
      <c r="BB67" s="1272"/>
      <c r="BC67" s="1272"/>
      <c r="BD67" s="1272"/>
      <c r="BE67" s="1272"/>
      <c r="BF67" s="1272"/>
      <c r="BG67" s="1272"/>
      <c r="BH67" s="1272"/>
      <c r="BI67" s="1272"/>
      <c r="BJ67" s="1272"/>
      <c r="BK67" s="1272"/>
      <c r="BL67" s="1272"/>
      <c r="BM67" s="1272"/>
      <c r="BN67" s="1272"/>
      <c r="BO67" s="1272"/>
      <c r="BP67" s="1272"/>
      <c r="BQ67" s="1272"/>
      <c r="BR67" s="1272"/>
      <c r="BS67" s="1272"/>
      <c r="BT67" s="1272"/>
      <c r="BU67" s="1272"/>
      <c r="BV67" s="1272"/>
      <c r="BW67" s="1272"/>
      <c r="BX67" s="1272"/>
      <c r="BY67" s="1272"/>
      <c r="BZ67" s="1272"/>
      <c r="CA67" s="1272"/>
      <c r="CB67" s="1272"/>
      <c r="CC67" s="1272"/>
      <c r="CD67" s="1272"/>
      <c r="CE67" s="1272"/>
      <c r="CF67" s="1272"/>
      <c r="CG67" s="1272"/>
      <c r="CH67" s="1272"/>
      <c r="CI67" s="1272"/>
      <c r="CJ67" s="1272"/>
      <c r="CK67" s="1272"/>
      <c r="CL67" s="1272"/>
      <c r="CM67" s="1272"/>
      <c r="CN67" s="1272"/>
      <c r="CO67" s="1272"/>
      <c r="CP67" s="1272"/>
      <c r="CQ67" s="1272"/>
      <c r="CR67" s="1272"/>
      <c r="CS67" s="1272"/>
      <c r="CT67" s="1272"/>
      <c r="CU67" s="1272"/>
      <c r="CV67" s="1272"/>
      <c r="CW67" s="1272"/>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3.8" hidden="1">
      <c r="A68" s="1376"/>
      <c r="B68" s="535"/>
      <c r="C68" s="535"/>
      <c r="D68" s="1235"/>
      <c r="E68" s="535"/>
      <c r="F68" s="426"/>
      <c r="G68" s="427"/>
      <c r="H68" s="426"/>
      <c r="I68" s="1272"/>
      <c r="J68" s="1272"/>
      <c r="K68" s="1272"/>
      <c r="L68" s="1272"/>
      <c r="M68" s="1272"/>
      <c r="N68" s="1272"/>
      <c r="O68" s="1272"/>
      <c r="P68" s="1272"/>
      <c r="Q68" s="1272"/>
      <c r="R68" s="1272"/>
      <c r="S68" s="1272"/>
      <c r="T68" s="1272"/>
      <c r="U68" s="1272"/>
      <c r="V68" s="1272"/>
      <c r="W68" s="1272"/>
      <c r="X68" s="1272"/>
      <c r="Y68" s="1272"/>
      <c r="Z68" s="1272"/>
      <c r="AA68" s="1272"/>
      <c r="AB68" s="1272"/>
      <c r="AC68" s="1272"/>
      <c r="AD68" s="1272"/>
      <c r="AE68" s="1272"/>
      <c r="AF68" s="1272"/>
      <c r="AG68" s="1272"/>
      <c r="AH68" s="1272"/>
      <c r="AI68" s="1272"/>
      <c r="AJ68" s="1272"/>
      <c r="AK68" s="1272"/>
      <c r="AL68" s="1272"/>
      <c r="AM68" s="1272"/>
      <c r="AN68" s="1272"/>
      <c r="AO68" s="1272"/>
      <c r="AP68" s="1272"/>
      <c r="AQ68" s="1272"/>
      <c r="AR68" s="1272"/>
      <c r="AS68" s="1272"/>
      <c r="AT68" s="1272"/>
      <c r="AU68" s="1272"/>
      <c r="AV68" s="1272"/>
      <c r="AW68" s="1272"/>
      <c r="AX68" s="1272"/>
      <c r="AY68" s="1272"/>
      <c r="AZ68" s="1272"/>
      <c r="BA68" s="1272"/>
      <c r="BB68" s="1272"/>
      <c r="BC68" s="1272"/>
      <c r="BD68" s="1272"/>
      <c r="BE68" s="1272"/>
      <c r="BF68" s="1272"/>
      <c r="BG68" s="1272"/>
      <c r="BH68" s="1272"/>
      <c r="BI68" s="1272"/>
      <c r="BJ68" s="1272"/>
      <c r="BK68" s="1272"/>
      <c r="BL68" s="1272"/>
      <c r="BM68" s="1272"/>
      <c r="BN68" s="1272"/>
      <c r="BO68" s="1272"/>
      <c r="BP68" s="1272"/>
      <c r="BQ68" s="1272"/>
      <c r="BR68" s="1272"/>
      <c r="BS68" s="1272"/>
      <c r="BT68" s="1272"/>
      <c r="BU68" s="1272"/>
      <c r="BV68" s="1272"/>
      <c r="BW68" s="1272"/>
      <c r="BX68" s="1272"/>
      <c r="BY68" s="1272"/>
      <c r="BZ68" s="1272"/>
      <c r="CA68" s="1272"/>
      <c r="CB68" s="1272"/>
      <c r="CC68" s="1272"/>
      <c r="CD68" s="1272"/>
      <c r="CE68" s="1272"/>
      <c r="CF68" s="1272"/>
      <c r="CG68" s="1272"/>
      <c r="CH68" s="1272"/>
      <c r="CI68" s="1272"/>
      <c r="CJ68" s="1272"/>
      <c r="CK68" s="1272"/>
      <c r="CL68" s="1272"/>
      <c r="CM68" s="1272"/>
      <c r="CN68" s="1272"/>
      <c r="CO68" s="1272"/>
      <c r="CP68" s="1272"/>
      <c r="CQ68" s="1272"/>
      <c r="CR68" s="1272"/>
      <c r="CS68" s="1272"/>
      <c r="CT68" s="1272"/>
      <c r="CU68" s="1272"/>
      <c r="CV68" s="1272"/>
      <c r="CW68" s="1272"/>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3.8" hidden="1">
      <c r="A69" s="1376"/>
      <c r="B69" s="535"/>
      <c r="C69" s="535"/>
      <c r="D69" s="1235"/>
      <c r="E69" s="535"/>
      <c r="F69" s="426"/>
      <c r="G69" s="427"/>
      <c r="H69" s="426"/>
      <c r="I69" s="1272"/>
      <c r="J69" s="1272"/>
      <c r="K69" s="1272"/>
      <c r="L69" s="1272"/>
      <c r="M69" s="1272"/>
      <c r="N69" s="1272"/>
      <c r="O69" s="1272"/>
      <c r="P69" s="1272"/>
      <c r="Q69" s="1272"/>
      <c r="R69" s="1272"/>
      <c r="S69" s="1272"/>
      <c r="T69" s="1272"/>
      <c r="U69" s="1272"/>
      <c r="V69" s="1272"/>
      <c r="W69" s="1272"/>
      <c r="X69" s="1272"/>
      <c r="Y69" s="1272"/>
      <c r="Z69" s="1272"/>
      <c r="AA69" s="1272"/>
      <c r="AB69" s="1272"/>
      <c r="AC69" s="1272"/>
      <c r="AD69" s="1272"/>
      <c r="AE69" s="1272"/>
      <c r="AF69" s="1272"/>
      <c r="AG69" s="1272"/>
      <c r="AH69" s="1272"/>
      <c r="AI69" s="1272"/>
      <c r="AJ69" s="1272"/>
      <c r="AK69" s="1272"/>
      <c r="AL69" s="1272"/>
      <c r="AM69" s="1272"/>
      <c r="AN69" s="1272"/>
      <c r="AO69" s="1272"/>
      <c r="AP69" s="1272"/>
      <c r="AQ69" s="1272"/>
      <c r="AR69" s="1272"/>
      <c r="AS69" s="1272"/>
      <c r="AT69" s="1272"/>
      <c r="AU69" s="1272"/>
      <c r="AV69" s="1272"/>
      <c r="AW69" s="1272"/>
      <c r="AX69" s="1272"/>
      <c r="AY69" s="1272"/>
      <c r="AZ69" s="1272"/>
      <c r="BA69" s="1272"/>
      <c r="BB69" s="1272"/>
      <c r="BC69" s="1272"/>
      <c r="BD69" s="1272"/>
      <c r="BE69" s="1272"/>
      <c r="BF69" s="1272"/>
      <c r="BG69" s="1272"/>
      <c r="BH69" s="1272"/>
      <c r="BI69" s="1272"/>
      <c r="BJ69" s="1272"/>
      <c r="BK69" s="1272"/>
      <c r="BL69" s="1272"/>
      <c r="BM69" s="1272"/>
      <c r="BN69" s="1272"/>
      <c r="BO69" s="1272"/>
      <c r="BP69" s="1272"/>
      <c r="BQ69" s="1272"/>
      <c r="BR69" s="1272"/>
      <c r="BS69" s="1272"/>
      <c r="BT69" s="1272"/>
      <c r="BU69" s="1272"/>
      <c r="BV69" s="1272"/>
      <c r="BW69" s="1272"/>
      <c r="BX69" s="1272"/>
      <c r="BY69" s="1272"/>
      <c r="BZ69" s="1272"/>
      <c r="CA69" s="1272"/>
      <c r="CB69" s="1272"/>
      <c r="CC69" s="1272"/>
      <c r="CD69" s="1272"/>
      <c r="CE69" s="1272"/>
      <c r="CF69" s="1272"/>
      <c r="CG69" s="1272"/>
      <c r="CH69" s="1272"/>
      <c r="CI69" s="1272"/>
      <c r="CJ69" s="1272"/>
      <c r="CK69" s="1272"/>
      <c r="CL69" s="1272"/>
      <c r="CM69" s="1272"/>
      <c r="CN69" s="1272"/>
      <c r="CO69" s="1272"/>
      <c r="CP69" s="1272"/>
      <c r="CQ69" s="1272"/>
      <c r="CR69" s="1272"/>
      <c r="CS69" s="1272"/>
      <c r="CT69" s="1272"/>
      <c r="CU69" s="1272"/>
      <c r="CV69" s="1272"/>
      <c r="CW69" s="1272"/>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3.8" hidden="1">
      <c r="A70" s="1376"/>
      <c r="B70" s="535"/>
      <c r="C70" s="535"/>
      <c r="D70" s="1235"/>
      <c r="E70" s="535"/>
      <c r="F70" s="426"/>
      <c r="G70" s="427"/>
      <c r="H70" s="426"/>
      <c r="I70" s="1272"/>
      <c r="J70" s="1272"/>
      <c r="K70" s="1272"/>
      <c r="L70" s="1272"/>
      <c r="M70" s="1272"/>
      <c r="N70" s="1272"/>
      <c r="O70" s="1272"/>
      <c r="P70" s="1272"/>
      <c r="Q70" s="1272"/>
      <c r="R70" s="1272"/>
      <c r="S70" s="1272"/>
      <c r="T70" s="1272"/>
      <c r="U70" s="1272"/>
      <c r="V70" s="1272"/>
      <c r="W70" s="1272"/>
      <c r="X70" s="1272"/>
      <c r="Y70" s="1272"/>
      <c r="Z70" s="1272"/>
      <c r="AA70" s="1272"/>
      <c r="AB70" s="1272"/>
      <c r="AC70" s="1272"/>
      <c r="AD70" s="1272"/>
      <c r="AE70" s="1272"/>
      <c r="AF70" s="1272"/>
      <c r="AG70" s="1272"/>
      <c r="AH70" s="1272"/>
      <c r="AI70" s="1272"/>
      <c r="AJ70" s="1272"/>
      <c r="AK70" s="1272"/>
      <c r="AL70" s="1272"/>
      <c r="AM70" s="1272"/>
      <c r="AN70" s="1272"/>
      <c r="AO70" s="1272"/>
      <c r="AP70" s="1272"/>
      <c r="AQ70" s="1272"/>
      <c r="AR70" s="1272"/>
      <c r="AS70" s="1272"/>
      <c r="AT70" s="1272"/>
      <c r="AU70" s="1272"/>
      <c r="AV70" s="1272"/>
      <c r="AW70" s="1272"/>
      <c r="AX70" s="1272"/>
      <c r="AY70" s="1272"/>
      <c r="AZ70" s="1272"/>
      <c r="BA70" s="1272"/>
      <c r="BB70" s="1272"/>
      <c r="BC70" s="1272"/>
      <c r="BD70" s="1272"/>
      <c r="BE70" s="1272"/>
      <c r="BF70" s="1272"/>
      <c r="BG70" s="1272"/>
      <c r="BH70" s="1272"/>
      <c r="BI70" s="1272"/>
      <c r="BJ70" s="1272"/>
      <c r="BK70" s="1272"/>
      <c r="BL70" s="1272"/>
      <c r="BM70" s="1272"/>
      <c r="BN70" s="1272"/>
      <c r="BO70" s="1272"/>
      <c r="BP70" s="1272"/>
      <c r="BQ70" s="1272"/>
      <c r="BR70" s="1272"/>
      <c r="BS70" s="1272"/>
      <c r="BT70" s="1272"/>
      <c r="BU70" s="1272"/>
      <c r="BV70" s="1272"/>
      <c r="BW70" s="1272"/>
      <c r="BX70" s="1272"/>
      <c r="BY70" s="1272"/>
      <c r="BZ70" s="1272"/>
      <c r="CA70" s="1272"/>
      <c r="CB70" s="1272"/>
      <c r="CC70" s="1272"/>
      <c r="CD70" s="1272"/>
      <c r="CE70" s="1272"/>
      <c r="CF70" s="1272"/>
      <c r="CG70" s="1272"/>
      <c r="CH70" s="1272"/>
      <c r="CI70" s="1272"/>
      <c r="CJ70" s="1272"/>
      <c r="CK70" s="1272"/>
      <c r="CL70" s="1272"/>
      <c r="CM70" s="1272"/>
      <c r="CN70" s="1272"/>
      <c r="CO70" s="1272"/>
      <c r="CP70" s="1272"/>
      <c r="CQ70" s="1272"/>
      <c r="CR70" s="1272"/>
      <c r="CS70" s="1272"/>
      <c r="CT70" s="1272"/>
      <c r="CU70" s="1272"/>
      <c r="CV70" s="1272"/>
      <c r="CW70" s="1272"/>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3.8" hidden="1">
      <c r="A71" s="1376"/>
      <c r="B71" s="535"/>
      <c r="C71" s="535"/>
      <c r="D71" s="1235"/>
      <c r="E71" s="535"/>
      <c r="F71" s="426"/>
      <c r="G71" s="427"/>
      <c r="H71" s="426"/>
      <c r="I71" s="1272"/>
      <c r="J71" s="1272"/>
      <c r="K71" s="1272"/>
      <c r="L71" s="1272"/>
      <c r="M71" s="1272"/>
      <c r="N71" s="1272"/>
      <c r="O71" s="1272"/>
      <c r="P71" s="1272"/>
      <c r="Q71" s="1272"/>
      <c r="R71" s="1272"/>
      <c r="S71" s="1272"/>
      <c r="T71" s="1272"/>
      <c r="U71" s="1272"/>
      <c r="V71" s="1272"/>
      <c r="W71" s="1272"/>
      <c r="X71" s="1272"/>
      <c r="Y71" s="1272"/>
      <c r="Z71" s="1272"/>
      <c r="AA71" s="1272"/>
      <c r="AB71" s="1272"/>
      <c r="AC71" s="1272"/>
      <c r="AD71" s="1272"/>
      <c r="AE71" s="1272"/>
      <c r="AF71" s="1272"/>
      <c r="AG71" s="1272"/>
      <c r="AH71" s="1272"/>
      <c r="AI71" s="1272"/>
      <c r="AJ71" s="1272"/>
      <c r="AK71" s="1272"/>
      <c r="AL71" s="1272"/>
      <c r="AM71" s="1272"/>
      <c r="AN71" s="1272"/>
      <c r="AO71" s="1272"/>
      <c r="AP71" s="1272"/>
      <c r="AQ71" s="1272"/>
      <c r="AR71" s="1272"/>
      <c r="AS71" s="1272"/>
      <c r="AT71" s="1272"/>
      <c r="AU71" s="1272"/>
      <c r="AV71" s="1272"/>
      <c r="AW71" s="1272"/>
      <c r="AX71" s="1272"/>
      <c r="AY71" s="1272"/>
      <c r="AZ71" s="1272"/>
      <c r="BA71" s="1272"/>
      <c r="BB71" s="1272"/>
      <c r="BC71" s="1272"/>
      <c r="BD71" s="1272"/>
      <c r="BE71" s="1272"/>
      <c r="BF71" s="1272"/>
      <c r="BG71" s="1272"/>
      <c r="BH71" s="1272"/>
      <c r="BI71" s="1272"/>
      <c r="BJ71" s="1272"/>
      <c r="BK71" s="1272"/>
      <c r="BL71" s="1272"/>
      <c r="BM71" s="1272"/>
      <c r="BN71" s="1272"/>
      <c r="BO71" s="1272"/>
      <c r="BP71" s="1272"/>
      <c r="BQ71" s="1272"/>
      <c r="BR71" s="1272"/>
      <c r="BS71" s="1272"/>
      <c r="BT71" s="1272"/>
      <c r="BU71" s="1272"/>
      <c r="BV71" s="1272"/>
      <c r="BW71" s="1272"/>
      <c r="BX71" s="1272"/>
      <c r="BY71" s="1272"/>
      <c r="BZ71" s="1272"/>
      <c r="CA71" s="1272"/>
      <c r="CB71" s="1272"/>
      <c r="CC71" s="1272"/>
      <c r="CD71" s="1272"/>
      <c r="CE71" s="1272"/>
      <c r="CF71" s="1272"/>
      <c r="CG71" s="1272"/>
      <c r="CH71" s="1272"/>
      <c r="CI71" s="1272"/>
      <c r="CJ71" s="1272"/>
      <c r="CK71" s="1272"/>
      <c r="CL71" s="1272"/>
      <c r="CM71" s="1272"/>
      <c r="CN71" s="1272"/>
      <c r="CO71" s="1272"/>
      <c r="CP71" s="1272"/>
      <c r="CQ71" s="1272"/>
      <c r="CR71" s="1272"/>
      <c r="CS71" s="1272"/>
      <c r="CT71" s="1272"/>
      <c r="CU71" s="1272"/>
      <c r="CV71" s="1272"/>
      <c r="CW71" s="1272"/>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3.8" hidden="1">
      <c r="A72" s="1376"/>
      <c r="B72" s="535"/>
      <c r="C72" s="535"/>
      <c r="D72" s="1235"/>
      <c r="E72" s="535"/>
      <c r="F72" s="426"/>
      <c r="G72" s="427"/>
      <c r="H72" s="426"/>
      <c r="I72" s="1272"/>
      <c r="J72" s="1272"/>
      <c r="K72" s="1272"/>
      <c r="L72" s="1272"/>
      <c r="M72" s="1272"/>
      <c r="N72" s="1272"/>
      <c r="O72" s="1272"/>
      <c r="P72" s="1272"/>
      <c r="Q72" s="1272"/>
      <c r="R72" s="1272"/>
      <c r="S72" s="1272"/>
      <c r="T72" s="1272"/>
      <c r="U72" s="1272"/>
      <c r="V72" s="1272"/>
      <c r="W72" s="1272"/>
      <c r="X72" s="1272"/>
      <c r="Y72" s="1272"/>
      <c r="Z72" s="1272"/>
      <c r="AA72" s="1272"/>
      <c r="AB72" s="1272"/>
      <c r="AC72" s="1272"/>
      <c r="AD72" s="1272"/>
      <c r="AE72" s="1272"/>
      <c r="AF72" s="1272"/>
      <c r="AG72" s="1272"/>
      <c r="AH72" s="1272"/>
      <c r="AI72" s="1272"/>
      <c r="AJ72" s="1272"/>
      <c r="AK72" s="1272"/>
      <c r="AL72" s="1272"/>
      <c r="AM72" s="1272"/>
      <c r="AN72" s="1272"/>
      <c r="AO72" s="1272"/>
      <c r="AP72" s="1272"/>
      <c r="AQ72" s="1272"/>
      <c r="AR72" s="1272"/>
      <c r="AS72" s="1272"/>
      <c r="AT72" s="1272"/>
      <c r="AU72" s="1272"/>
      <c r="AV72" s="1272"/>
      <c r="AW72" s="1272"/>
      <c r="AX72" s="1272"/>
      <c r="AY72" s="1272"/>
      <c r="AZ72" s="1272"/>
      <c r="BA72" s="1272"/>
      <c r="BB72" s="1272"/>
      <c r="BC72" s="1272"/>
      <c r="BD72" s="1272"/>
      <c r="BE72" s="1272"/>
      <c r="BF72" s="1272"/>
      <c r="BG72" s="1272"/>
      <c r="BH72" s="1272"/>
      <c r="BI72" s="1272"/>
      <c r="BJ72" s="1272"/>
      <c r="BK72" s="1272"/>
      <c r="BL72" s="1272"/>
      <c r="BM72" s="1272"/>
      <c r="BN72" s="1272"/>
      <c r="BO72" s="1272"/>
      <c r="BP72" s="1272"/>
      <c r="BQ72" s="1272"/>
      <c r="BR72" s="1272"/>
      <c r="BS72" s="1272"/>
      <c r="BT72" s="1272"/>
      <c r="BU72" s="1272"/>
      <c r="BV72" s="1272"/>
      <c r="BW72" s="1272"/>
      <c r="BX72" s="1272"/>
      <c r="BY72" s="1272"/>
      <c r="BZ72" s="1272"/>
      <c r="CA72" s="1272"/>
      <c r="CB72" s="1272"/>
      <c r="CC72" s="1272"/>
      <c r="CD72" s="1272"/>
      <c r="CE72" s="1272"/>
      <c r="CF72" s="1272"/>
      <c r="CG72" s="1272"/>
      <c r="CH72" s="1272"/>
      <c r="CI72" s="1272"/>
      <c r="CJ72" s="1272"/>
      <c r="CK72" s="1272"/>
      <c r="CL72" s="1272"/>
      <c r="CM72" s="1272"/>
      <c r="CN72" s="1272"/>
      <c r="CO72" s="1272"/>
      <c r="CP72" s="1272"/>
      <c r="CQ72" s="1272"/>
      <c r="CR72" s="1272"/>
      <c r="CS72" s="1272"/>
      <c r="CT72" s="1272"/>
      <c r="CU72" s="1272"/>
      <c r="CV72" s="1272"/>
      <c r="CW72" s="1272"/>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3.8" hidden="1">
      <c r="A73" s="1376"/>
      <c r="B73" s="535"/>
      <c r="C73" s="535"/>
      <c r="D73" s="1235"/>
      <c r="E73" s="535"/>
      <c r="F73" s="426"/>
      <c r="G73" s="427"/>
      <c r="H73" s="426"/>
      <c r="I73" s="1272"/>
      <c r="J73" s="1272"/>
      <c r="K73" s="1272"/>
      <c r="L73" s="1272"/>
      <c r="M73" s="1272"/>
      <c r="N73" s="1272"/>
      <c r="O73" s="1272"/>
      <c r="P73" s="1272"/>
      <c r="Q73" s="1272"/>
      <c r="R73" s="1272"/>
      <c r="S73" s="1272"/>
      <c r="T73" s="1272"/>
      <c r="U73" s="1272"/>
      <c r="V73" s="1272"/>
      <c r="W73" s="1272"/>
      <c r="X73" s="1272"/>
      <c r="Y73" s="1272"/>
      <c r="Z73" s="1272"/>
      <c r="AA73" s="1272"/>
      <c r="AB73" s="1272"/>
      <c r="AC73" s="1272"/>
      <c r="AD73" s="1272"/>
      <c r="AE73" s="1272"/>
      <c r="AF73" s="1272"/>
      <c r="AG73" s="1272"/>
      <c r="AH73" s="1272"/>
      <c r="AI73" s="1272"/>
      <c r="AJ73" s="1272"/>
      <c r="AK73" s="1272"/>
      <c r="AL73" s="1272"/>
      <c r="AM73" s="1272"/>
      <c r="AN73" s="1272"/>
      <c r="AO73" s="1272"/>
      <c r="AP73" s="1272"/>
      <c r="AQ73" s="1272"/>
      <c r="AR73" s="1272"/>
      <c r="AS73" s="1272"/>
      <c r="AT73" s="1272"/>
      <c r="AU73" s="1272"/>
      <c r="AV73" s="1272"/>
      <c r="AW73" s="1272"/>
      <c r="AX73" s="1272"/>
      <c r="AY73" s="1272"/>
      <c r="AZ73" s="1272"/>
      <c r="BA73" s="1272"/>
      <c r="BB73" s="1272"/>
      <c r="BC73" s="1272"/>
      <c r="BD73" s="1272"/>
      <c r="BE73" s="1272"/>
      <c r="BF73" s="1272"/>
      <c r="BG73" s="1272"/>
      <c r="BH73" s="1272"/>
      <c r="BI73" s="1272"/>
      <c r="BJ73" s="1272"/>
      <c r="BK73" s="1272"/>
      <c r="BL73" s="1272"/>
      <c r="BM73" s="1272"/>
      <c r="BN73" s="1272"/>
      <c r="BO73" s="1272"/>
      <c r="BP73" s="1272"/>
      <c r="BQ73" s="1272"/>
      <c r="BR73" s="1272"/>
      <c r="BS73" s="1272"/>
      <c r="BT73" s="1272"/>
      <c r="BU73" s="1272"/>
      <c r="BV73" s="1272"/>
      <c r="BW73" s="1272"/>
      <c r="BX73" s="1272"/>
      <c r="BY73" s="1272"/>
      <c r="BZ73" s="1272"/>
      <c r="CA73" s="1272"/>
      <c r="CB73" s="1272"/>
      <c r="CC73" s="1272"/>
      <c r="CD73" s="1272"/>
      <c r="CE73" s="1272"/>
      <c r="CF73" s="1272"/>
      <c r="CG73" s="1272"/>
      <c r="CH73" s="1272"/>
      <c r="CI73" s="1272"/>
      <c r="CJ73" s="1272"/>
      <c r="CK73" s="1272"/>
      <c r="CL73" s="1272"/>
      <c r="CM73" s="1272"/>
      <c r="CN73" s="1272"/>
      <c r="CO73" s="1272"/>
      <c r="CP73" s="1272"/>
      <c r="CQ73" s="1272"/>
      <c r="CR73" s="1272"/>
      <c r="CS73" s="1272"/>
      <c r="CT73" s="1272"/>
      <c r="CU73" s="1272"/>
      <c r="CV73" s="1272"/>
      <c r="CW73" s="1272"/>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3.8" hidden="1">
      <c r="A74" s="1376"/>
      <c r="B74" s="535"/>
      <c r="C74" s="535"/>
      <c r="D74" s="1235"/>
      <c r="E74" s="535"/>
      <c r="F74" s="426"/>
      <c r="G74" s="427"/>
      <c r="H74" s="426"/>
      <c r="I74" s="1272"/>
      <c r="J74" s="1272"/>
      <c r="K74" s="1272"/>
      <c r="L74" s="1272"/>
      <c r="M74" s="1272"/>
      <c r="N74" s="1272"/>
      <c r="O74" s="1272"/>
      <c r="P74" s="1272"/>
      <c r="Q74" s="1272"/>
      <c r="R74" s="1272"/>
      <c r="S74" s="1272"/>
      <c r="T74" s="1272"/>
      <c r="U74" s="1272"/>
      <c r="V74" s="1272"/>
      <c r="W74" s="1272"/>
      <c r="X74" s="1272"/>
      <c r="Y74" s="1272"/>
      <c r="Z74" s="1272"/>
      <c r="AA74" s="1272"/>
      <c r="AB74" s="1272"/>
      <c r="AC74" s="1272"/>
      <c r="AD74" s="1272"/>
      <c r="AE74" s="1272"/>
      <c r="AF74" s="1272"/>
      <c r="AG74" s="1272"/>
      <c r="AH74" s="1272"/>
      <c r="AI74" s="1272"/>
      <c r="AJ74" s="1272"/>
      <c r="AK74" s="1272"/>
      <c r="AL74" s="1272"/>
      <c r="AM74" s="1272"/>
      <c r="AN74" s="1272"/>
      <c r="AO74" s="1272"/>
      <c r="AP74" s="1272"/>
      <c r="AQ74" s="1272"/>
      <c r="AR74" s="1272"/>
      <c r="AS74" s="1272"/>
      <c r="AT74" s="1272"/>
      <c r="AU74" s="1272"/>
      <c r="AV74" s="1272"/>
      <c r="AW74" s="1272"/>
      <c r="AX74" s="1272"/>
      <c r="AY74" s="1272"/>
      <c r="AZ74" s="1272"/>
      <c r="BA74" s="1272"/>
      <c r="BB74" s="1272"/>
      <c r="BC74" s="1272"/>
      <c r="BD74" s="1272"/>
      <c r="BE74" s="1272"/>
      <c r="BF74" s="1272"/>
      <c r="BG74" s="1272"/>
      <c r="BH74" s="1272"/>
      <c r="BI74" s="1272"/>
      <c r="BJ74" s="1272"/>
      <c r="BK74" s="1272"/>
      <c r="BL74" s="1272"/>
      <c r="BM74" s="1272"/>
      <c r="BN74" s="1272"/>
      <c r="BO74" s="1272"/>
      <c r="BP74" s="1272"/>
      <c r="BQ74" s="1272"/>
      <c r="BR74" s="1272"/>
      <c r="BS74" s="1272"/>
      <c r="BT74" s="1272"/>
      <c r="BU74" s="1272"/>
      <c r="BV74" s="1272"/>
      <c r="BW74" s="1272"/>
      <c r="BX74" s="1272"/>
      <c r="BY74" s="1272"/>
      <c r="BZ74" s="1272"/>
      <c r="CA74" s="1272"/>
      <c r="CB74" s="1272"/>
      <c r="CC74" s="1272"/>
      <c r="CD74" s="1272"/>
      <c r="CE74" s="1272"/>
      <c r="CF74" s="1272"/>
      <c r="CG74" s="1272"/>
      <c r="CH74" s="1272"/>
      <c r="CI74" s="1272"/>
      <c r="CJ74" s="1272"/>
      <c r="CK74" s="1272"/>
      <c r="CL74" s="1272"/>
      <c r="CM74" s="1272"/>
      <c r="CN74" s="1272"/>
      <c r="CO74" s="1272"/>
      <c r="CP74" s="1272"/>
      <c r="CQ74" s="1272"/>
      <c r="CR74" s="1272"/>
      <c r="CS74" s="1272"/>
      <c r="CT74" s="1272"/>
      <c r="CU74" s="1272"/>
      <c r="CV74" s="1272"/>
      <c r="CW74" s="1272"/>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3.8" hidden="1">
      <c r="A75" s="1376"/>
      <c r="B75" s="535"/>
      <c r="C75" s="535"/>
      <c r="D75" s="1235"/>
      <c r="E75" s="535"/>
      <c r="F75" s="426"/>
      <c r="G75" s="427"/>
      <c r="H75" s="426"/>
      <c r="I75" s="1272"/>
      <c r="J75" s="1272"/>
      <c r="K75" s="1272"/>
      <c r="L75" s="1272"/>
      <c r="M75" s="1272"/>
      <c r="N75" s="1272"/>
      <c r="O75" s="1272"/>
      <c r="P75" s="1272"/>
      <c r="Q75" s="1272"/>
      <c r="R75" s="1272"/>
      <c r="S75" s="1272"/>
      <c r="T75" s="1272"/>
      <c r="U75" s="1272"/>
      <c r="V75" s="1272"/>
      <c r="W75" s="1272"/>
      <c r="X75" s="1272"/>
      <c r="Y75" s="1272"/>
      <c r="Z75" s="1272"/>
      <c r="AA75" s="1272"/>
      <c r="AB75" s="1272"/>
      <c r="AC75" s="1272"/>
      <c r="AD75" s="1272"/>
      <c r="AE75" s="1272"/>
      <c r="AF75" s="1272"/>
      <c r="AG75" s="1272"/>
      <c r="AH75" s="1272"/>
      <c r="AI75" s="1272"/>
      <c r="AJ75" s="1272"/>
      <c r="AK75" s="1272"/>
      <c r="AL75" s="1272"/>
      <c r="AM75" s="1272"/>
      <c r="AN75" s="1272"/>
      <c r="AO75" s="1272"/>
      <c r="AP75" s="1272"/>
      <c r="AQ75" s="1272"/>
      <c r="AR75" s="1272"/>
      <c r="AS75" s="1272"/>
      <c r="AT75" s="1272"/>
      <c r="AU75" s="1272"/>
      <c r="AV75" s="1272"/>
      <c r="AW75" s="1272"/>
      <c r="AX75" s="1272"/>
      <c r="AY75" s="1272"/>
      <c r="AZ75" s="1272"/>
      <c r="BA75" s="1272"/>
      <c r="BB75" s="1272"/>
      <c r="BC75" s="1272"/>
      <c r="BD75" s="1272"/>
      <c r="BE75" s="1272"/>
      <c r="BF75" s="1272"/>
      <c r="BG75" s="1272"/>
      <c r="BH75" s="1272"/>
      <c r="BI75" s="1272"/>
      <c r="BJ75" s="1272"/>
      <c r="BK75" s="1272"/>
      <c r="BL75" s="1272"/>
      <c r="BM75" s="1272"/>
      <c r="BN75" s="1272"/>
      <c r="BO75" s="1272"/>
      <c r="BP75" s="1272"/>
      <c r="BQ75" s="1272"/>
      <c r="BR75" s="1272"/>
      <c r="BS75" s="1272"/>
      <c r="BT75" s="1272"/>
      <c r="BU75" s="1272"/>
      <c r="BV75" s="1272"/>
      <c r="BW75" s="1272"/>
      <c r="BX75" s="1272"/>
      <c r="BY75" s="1272"/>
      <c r="BZ75" s="1272"/>
      <c r="CA75" s="1272"/>
      <c r="CB75" s="1272"/>
      <c r="CC75" s="1272"/>
      <c r="CD75" s="1272"/>
      <c r="CE75" s="1272"/>
      <c r="CF75" s="1272"/>
      <c r="CG75" s="1272"/>
      <c r="CH75" s="1272"/>
      <c r="CI75" s="1272"/>
      <c r="CJ75" s="1272"/>
      <c r="CK75" s="1272"/>
      <c r="CL75" s="1272"/>
      <c r="CM75" s="1272"/>
      <c r="CN75" s="1272"/>
      <c r="CO75" s="1272"/>
      <c r="CP75" s="1272"/>
      <c r="CQ75" s="1272"/>
      <c r="CR75" s="1272"/>
      <c r="CS75" s="1272"/>
      <c r="CT75" s="1272"/>
      <c r="CU75" s="1272"/>
      <c r="CV75" s="1272"/>
      <c r="CW75" s="1272"/>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3.8" hidden="1">
      <c r="A76" s="1376"/>
      <c r="B76" s="535"/>
      <c r="C76" s="535"/>
      <c r="D76" s="1235"/>
      <c r="E76" s="535"/>
      <c r="F76" s="426"/>
      <c r="G76" s="427"/>
      <c r="H76" s="426"/>
      <c r="I76" s="1272"/>
      <c r="J76" s="1272"/>
      <c r="K76" s="1272"/>
      <c r="L76" s="1272"/>
      <c r="M76" s="1272"/>
      <c r="N76" s="1272"/>
      <c r="O76" s="1272"/>
      <c r="P76" s="1272"/>
      <c r="Q76" s="1272"/>
      <c r="R76" s="1272"/>
      <c r="S76" s="1272"/>
      <c r="T76" s="1272"/>
      <c r="U76" s="1272"/>
      <c r="V76" s="1272"/>
      <c r="W76" s="1272"/>
      <c r="X76" s="1272"/>
      <c r="Y76" s="1272"/>
      <c r="Z76" s="1272"/>
      <c r="AA76" s="1272"/>
      <c r="AB76" s="1272"/>
      <c r="AC76" s="1272"/>
      <c r="AD76" s="1272"/>
      <c r="AE76" s="1272"/>
      <c r="AF76" s="1272"/>
      <c r="AG76" s="1272"/>
      <c r="AH76" s="1272"/>
      <c r="AI76" s="1272"/>
      <c r="AJ76" s="1272"/>
      <c r="AK76" s="1272"/>
      <c r="AL76" s="1272"/>
      <c r="AM76" s="1272"/>
      <c r="AN76" s="1272"/>
      <c r="AO76" s="1272"/>
      <c r="AP76" s="1272"/>
      <c r="AQ76" s="1272"/>
      <c r="AR76" s="1272"/>
      <c r="AS76" s="1272"/>
      <c r="AT76" s="1272"/>
      <c r="AU76" s="1272"/>
      <c r="AV76" s="1272"/>
      <c r="AW76" s="1272"/>
      <c r="AX76" s="1272"/>
      <c r="AY76" s="1272"/>
      <c r="AZ76" s="1272"/>
      <c r="BA76" s="1272"/>
      <c r="BB76" s="1272"/>
      <c r="BC76" s="1272"/>
      <c r="BD76" s="1272"/>
      <c r="BE76" s="1272"/>
      <c r="BF76" s="1272"/>
      <c r="BG76" s="1272"/>
      <c r="BH76" s="1272"/>
      <c r="BI76" s="1272"/>
      <c r="BJ76" s="1272"/>
      <c r="BK76" s="1272"/>
      <c r="BL76" s="1272"/>
      <c r="BM76" s="1272"/>
      <c r="BN76" s="1272"/>
      <c r="BO76" s="1272"/>
      <c r="BP76" s="1272"/>
      <c r="BQ76" s="1272"/>
      <c r="BR76" s="1272"/>
      <c r="BS76" s="1272"/>
      <c r="BT76" s="1272"/>
      <c r="BU76" s="1272"/>
      <c r="BV76" s="1272"/>
      <c r="BW76" s="1272"/>
      <c r="BX76" s="1272"/>
      <c r="BY76" s="1272"/>
      <c r="BZ76" s="1272"/>
      <c r="CA76" s="1272"/>
      <c r="CB76" s="1272"/>
      <c r="CC76" s="1272"/>
      <c r="CD76" s="1272"/>
      <c r="CE76" s="1272"/>
      <c r="CF76" s="1272"/>
      <c r="CG76" s="1272"/>
      <c r="CH76" s="1272"/>
      <c r="CI76" s="1272"/>
      <c r="CJ76" s="1272"/>
      <c r="CK76" s="1272"/>
      <c r="CL76" s="1272"/>
      <c r="CM76" s="1272"/>
      <c r="CN76" s="1272"/>
      <c r="CO76" s="1272"/>
      <c r="CP76" s="1272"/>
      <c r="CQ76" s="1272"/>
      <c r="CR76" s="1272"/>
      <c r="CS76" s="1272"/>
      <c r="CT76" s="1272"/>
      <c r="CU76" s="1272"/>
      <c r="CV76" s="1272"/>
      <c r="CW76" s="1272"/>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3.8" hidden="1">
      <c r="A77" s="1376"/>
      <c r="B77" s="535"/>
      <c r="C77" s="535"/>
      <c r="D77" s="1235"/>
      <c r="E77" s="535"/>
      <c r="F77" s="426"/>
      <c r="G77" s="427"/>
      <c r="H77" s="426"/>
      <c r="I77" s="1272"/>
      <c r="J77" s="1272"/>
      <c r="K77" s="1272"/>
      <c r="L77" s="1272"/>
      <c r="M77" s="1272"/>
      <c r="N77" s="1272"/>
      <c r="O77" s="1272"/>
      <c r="P77" s="1272"/>
      <c r="Q77" s="1272"/>
      <c r="R77" s="1272"/>
      <c r="S77" s="1272"/>
      <c r="T77" s="1272"/>
      <c r="U77" s="1272"/>
      <c r="V77" s="1272"/>
      <c r="W77" s="1272"/>
      <c r="X77" s="1272"/>
      <c r="Y77" s="1272"/>
      <c r="Z77" s="1272"/>
      <c r="AA77" s="1272"/>
      <c r="AB77" s="1272"/>
      <c r="AC77" s="1272"/>
      <c r="AD77" s="1272"/>
      <c r="AE77" s="1272"/>
      <c r="AF77" s="1272"/>
      <c r="AG77" s="1272"/>
      <c r="AH77" s="1272"/>
      <c r="AI77" s="1272"/>
      <c r="AJ77" s="1272"/>
      <c r="AK77" s="1272"/>
      <c r="AL77" s="1272"/>
      <c r="AM77" s="1272"/>
      <c r="AN77" s="1272"/>
      <c r="AO77" s="1272"/>
      <c r="AP77" s="1272"/>
      <c r="AQ77" s="1272"/>
      <c r="AR77" s="1272"/>
      <c r="AS77" s="1272"/>
      <c r="AT77" s="1272"/>
      <c r="AU77" s="1272"/>
      <c r="AV77" s="1272"/>
      <c r="AW77" s="1272"/>
      <c r="AX77" s="1272"/>
      <c r="AY77" s="1272"/>
      <c r="AZ77" s="1272"/>
      <c r="BA77" s="1272"/>
      <c r="BB77" s="1272"/>
      <c r="BC77" s="1272"/>
      <c r="BD77" s="1272"/>
      <c r="BE77" s="1272"/>
      <c r="BF77" s="1272"/>
      <c r="BG77" s="1272"/>
      <c r="BH77" s="1272"/>
      <c r="BI77" s="1272"/>
      <c r="BJ77" s="1272"/>
      <c r="BK77" s="1272"/>
      <c r="BL77" s="1272"/>
      <c r="BM77" s="1272"/>
      <c r="BN77" s="1272"/>
      <c r="BO77" s="1272"/>
      <c r="BP77" s="1272"/>
      <c r="BQ77" s="1272"/>
      <c r="BR77" s="1272"/>
      <c r="BS77" s="1272"/>
      <c r="BT77" s="1272"/>
      <c r="BU77" s="1272"/>
      <c r="BV77" s="1272"/>
      <c r="BW77" s="1272"/>
      <c r="BX77" s="1272"/>
      <c r="BY77" s="1272"/>
      <c r="BZ77" s="1272"/>
      <c r="CA77" s="1272"/>
      <c r="CB77" s="1272"/>
      <c r="CC77" s="1272"/>
      <c r="CD77" s="1272"/>
      <c r="CE77" s="1272"/>
      <c r="CF77" s="1272"/>
      <c r="CG77" s="1272"/>
      <c r="CH77" s="1272"/>
      <c r="CI77" s="1272"/>
      <c r="CJ77" s="1272"/>
      <c r="CK77" s="1272"/>
      <c r="CL77" s="1272"/>
      <c r="CM77" s="1272"/>
      <c r="CN77" s="1272"/>
      <c r="CO77" s="1272"/>
      <c r="CP77" s="1272"/>
      <c r="CQ77" s="1272"/>
      <c r="CR77" s="1272"/>
      <c r="CS77" s="1272"/>
      <c r="CT77" s="1272"/>
      <c r="CU77" s="1272"/>
      <c r="CV77" s="1272"/>
      <c r="CW77" s="1272"/>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3.8" hidden="1">
      <c r="A78" s="1376"/>
      <c r="B78" s="535"/>
      <c r="C78" s="535"/>
      <c r="D78" s="1235"/>
      <c r="E78" s="535"/>
      <c r="F78" s="426"/>
      <c r="G78" s="427"/>
      <c r="H78" s="426"/>
      <c r="I78" s="1272"/>
      <c r="J78" s="1272"/>
      <c r="K78" s="1272"/>
      <c r="L78" s="1272"/>
      <c r="M78" s="1272"/>
      <c r="N78" s="1272"/>
      <c r="O78" s="1272"/>
      <c r="P78" s="1272"/>
      <c r="Q78" s="1272"/>
      <c r="R78" s="1272"/>
      <c r="S78" s="1272"/>
      <c r="T78" s="1272"/>
      <c r="U78" s="1272"/>
      <c r="V78" s="1272"/>
      <c r="W78" s="1272"/>
      <c r="X78" s="1272"/>
      <c r="Y78" s="1272"/>
      <c r="Z78" s="1272"/>
      <c r="AA78" s="1272"/>
      <c r="AB78" s="1272"/>
      <c r="AC78" s="1272"/>
      <c r="AD78" s="1272"/>
      <c r="AE78" s="1272"/>
      <c r="AF78" s="1272"/>
      <c r="AG78" s="1272"/>
      <c r="AH78" s="1272"/>
      <c r="AI78" s="1272"/>
      <c r="AJ78" s="1272"/>
      <c r="AK78" s="1272"/>
      <c r="AL78" s="1272"/>
      <c r="AM78" s="1272"/>
      <c r="AN78" s="1272"/>
      <c r="AO78" s="1272"/>
      <c r="AP78" s="1272"/>
      <c r="AQ78" s="1272"/>
      <c r="AR78" s="1272"/>
      <c r="AS78" s="1272"/>
      <c r="AT78" s="1272"/>
      <c r="AU78" s="1272"/>
      <c r="AV78" s="1272"/>
      <c r="AW78" s="1272"/>
      <c r="AX78" s="1272"/>
      <c r="AY78" s="1272"/>
      <c r="AZ78" s="1272"/>
      <c r="BA78" s="1272"/>
      <c r="BB78" s="1272"/>
      <c r="BC78" s="1272"/>
      <c r="BD78" s="1272"/>
      <c r="BE78" s="1272"/>
      <c r="BF78" s="1272"/>
      <c r="BG78" s="1272"/>
      <c r="BH78" s="1272"/>
      <c r="BI78" s="1272"/>
      <c r="BJ78" s="1272"/>
      <c r="BK78" s="1272"/>
      <c r="BL78" s="1272"/>
      <c r="BM78" s="1272"/>
      <c r="BN78" s="1272"/>
      <c r="BO78" s="1272"/>
      <c r="BP78" s="1272"/>
      <c r="BQ78" s="1272"/>
      <c r="BR78" s="1272"/>
      <c r="BS78" s="1272"/>
      <c r="BT78" s="1272"/>
      <c r="BU78" s="1272"/>
      <c r="BV78" s="1272"/>
      <c r="BW78" s="1272"/>
      <c r="BX78" s="1272"/>
      <c r="BY78" s="1272"/>
      <c r="BZ78" s="1272"/>
      <c r="CA78" s="1272"/>
      <c r="CB78" s="1272"/>
      <c r="CC78" s="1272"/>
      <c r="CD78" s="1272"/>
      <c r="CE78" s="1272"/>
      <c r="CF78" s="1272"/>
      <c r="CG78" s="1272"/>
      <c r="CH78" s="1272"/>
      <c r="CI78" s="1272"/>
      <c r="CJ78" s="1272"/>
      <c r="CK78" s="1272"/>
      <c r="CL78" s="1272"/>
      <c r="CM78" s="1272"/>
      <c r="CN78" s="1272"/>
      <c r="CO78" s="1272"/>
      <c r="CP78" s="1272"/>
      <c r="CQ78" s="1272"/>
      <c r="CR78" s="1272"/>
      <c r="CS78" s="1272"/>
      <c r="CT78" s="1272"/>
      <c r="CU78" s="1272"/>
      <c r="CV78" s="1272"/>
      <c r="CW78" s="1272"/>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3.8" hidden="1">
      <c r="A79" s="1376"/>
      <c r="B79" s="535"/>
      <c r="C79" s="535"/>
      <c r="D79" s="1235"/>
      <c r="E79" s="535"/>
      <c r="F79" s="426"/>
      <c r="G79" s="427"/>
      <c r="H79" s="426"/>
      <c r="I79" s="1272"/>
      <c r="J79" s="1272"/>
      <c r="K79" s="1272"/>
      <c r="L79" s="1272"/>
      <c r="M79" s="1272"/>
      <c r="N79" s="1272"/>
      <c r="O79" s="1272"/>
      <c r="P79" s="1272"/>
      <c r="Q79" s="1272"/>
      <c r="R79" s="1272"/>
      <c r="S79" s="1272"/>
      <c r="T79" s="1272"/>
      <c r="U79" s="1272"/>
      <c r="V79" s="1272"/>
      <c r="W79" s="1272"/>
      <c r="X79" s="1272"/>
      <c r="Y79" s="1272"/>
      <c r="Z79" s="1272"/>
      <c r="AA79" s="1272"/>
      <c r="AB79" s="1272"/>
      <c r="AC79" s="1272"/>
      <c r="AD79" s="1272"/>
      <c r="AE79" s="1272"/>
      <c r="AF79" s="1272"/>
      <c r="AG79" s="1272"/>
      <c r="AH79" s="1272"/>
      <c r="AI79" s="1272"/>
      <c r="AJ79" s="1272"/>
      <c r="AK79" s="1272"/>
      <c r="AL79" s="1272"/>
      <c r="AM79" s="1272"/>
      <c r="AN79" s="1272"/>
      <c r="AO79" s="1272"/>
      <c r="AP79" s="1272"/>
      <c r="AQ79" s="1272"/>
      <c r="AR79" s="1272"/>
      <c r="AS79" s="1272"/>
      <c r="AT79" s="1272"/>
      <c r="AU79" s="1272"/>
      <c r="AV79" s="1272"/>
      <c r="AW79" s="1272"/>
      <c r="AX79" s="1272"/>
      <c r="AY79" s="1272"/>
      <c r="AZ79" s="1272"/>
      <c r="BA79" s="1272"/>
      <c r="BB79" s="1272"/>
      <c r="BC79" s="1272"/>
      <c r="BD79" s="1272"/>
      <c r="BE79" s="1272"/>
      <c r="BF79" s="1272"/>
      <c r="BG79" s="1272"/>
      <c r="BH79" s="1272"/>
      <c r="BI79" s="1272"/>
      <c r="BJ79" s="1272"/>
      <c r="BK79" s="1272"/>
      <c r="BL79" s="1272"/>
      <c r="BM79" s="1272"/>
      <c r="BN79" s="1272"/>
      <c r="BO79" s="1272"/>
      <c r="BP79" s="1272"/>
      <c r="BQ79" s="1272"/>
      <c r="BR79" s="1272"/>
      <c r="BS79" s="1272"/>
      <c r="BT79" s="1272"/>
      <c r="BU79" s="1272"/>
      <c r="BV79" s="1272"/>
      <c r="BW79" s="1272"/>
      <c r="BX79" s="1272"/>
      <c r="BY79" s="1272"/>
      <c r="BZ79" s="1272"/>
      <c r="CA79" s="1272"/>
      <c r="CB79" s="1272"/>
      <c r="CC79" s="1272"/>
      <c r="CD79" s="1272"/>
      <c r="CE79" s="1272"/>
      <c r="CF79" s="1272"/>
      <c r="CG79" s="1272"/>
      <c r="CH79" s="1272"/>
      <c r="CI79" s="1272"/>
      <c r="CJ79" s="1272"/>
      <c r="CK79" s="1272"/>
      <c r="CL79" s="1272"/>
      <c r="CM79" s="1272"/>
      <c r="CN79" s="1272"/>
      <c r="CO79" s="1272"/>
      <c r="CP79" s="1272"/>
      <c r="CQ79" s="1272"/>
      <c r="CR79" s="1272"/>
      <c r="CS79" s="1272"/>
      <c r="CT79" s="1272"/>
      <c r="CU79" s="1272"/>
      <c r="CV79" s="1272"/>
      <c r="CW79" s="1272"/>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3.8" hidden="1">
      <c r="A80" s="1376"/>
      <c r="B80" s="535"/>
      <c r="C80" s="535"/>
      <c r="D80" s="1235"/>
      <c r="E80" s="535"/>
      <c r="F80" s="426"/>
      <c r="G80" s="427"/>
      <c r="H80" s="426"/>
      <c r="I80" s="1272"/>
      <c r="J80" s="1272"/>
      <c r="K80" s="1272"/>
      <c r="L80" s="1272"/>
      <c r="M80" s="1272"/>
      <c r="N80" s="1272"/>
      <c r="O80" s="1272"/>
      <c r="P80" s="1272"/>
      <c r="Q80" s="1272"/>
      <c r="R80" s="1272"/>
      <c r="S80" s="1272"/>
      <c r="T80" s="1272"/>
      <c r="U80" s="1272"/>
      <c r="V80" s="1272"/>
      <c r="W80" s="1272"/>
      <c r="X80" s="1272"/>
      <c r="Y80" s="1272"/>
      <c r="Z80" s="1272"/>
      <c r="AA80" s="1272"/>
      <c r="AB80" s="1272"/>
      <c r="AC80" s="1272"/>
      <c r="AD80" s="1272"/>
      <c r="AE80" s="1272"/>
      <c r="AF80" s="1272"/>
      <c r="AG80" s="1272"/>
      <c r="AH80" s="1272"/>
      <c r="AI80" s="1272"/>
      <c r="AJ80" s="1272"/>
      <c r="AK80" s="1272"/>
      <c r="AL80" s="1272"/>
      <c r="AM80" s="1272"/>
      <c r="AN80" s="1272"/>
      <c r="AO80" s="1272"/>
      <c r="AP80" s="1272"/>
      <c r="AQ80" s="1272"/>
      <c r="AR80" s="1272"/>
      <c r="AS80" s="1272"/>
      <c r="AT80" s="1272"/>
      <c r="AU80" s="1272"/>
      <c r="AV80" s="1272"/>
      <c r="AW80" s="1272"/>
      <c r="AX80" s="1272"/>
      <c r="AY80" s="1272"/>
      <c r="AZ80" s="1272"/>
      <c r="BA80" s="1272"/>
      <c r="BB80" s="1272"/>
      <c r="BC80" s="1272"/>
      <c r="BD80" s="1272"/>
      <c r="BE80" s="1272"/>
      <c r="BF80" s="1272"/>
      <c r="BG80" s="1272"/>
      <c r="BH80" s="1272"/>
      <c r="BI80" s="1272"/>
      <c r="BJ80" s="1272"/>
      <c r="BK80" s="1272"/>
      <c r="BL80" s="1272"/>
      <c r="BM80" s="1272"/>
      <c r="BN80" s="1272"/>
      <c r="BO80" s="1272"/>
      <c r="BP80" s="1272"/>
      <c r="BQ80" s="1272"/>
      <c r="BR80" s="1272"/>
      <c r="BS80" s="1272"/>
      <c r="BT80" s="1272"/>
      <c r="BU80" s="1272"/>
      <c r="BV80" s="1272"/>
      <c r="BW80" s="1272"/>
      <c r="BX80" s="1272"/>
      <c r="BY80" s="1272"/>
      <c r="BZ80" s="1272"/>
      <c r="CA80" s="1272"/>
      <c r="CB80" s="1272"/>
      <c r="CC80" s="1272"/>
      <c r="CD80" s="1272"/>
      <c r="CE80" s="1272"/>
      <c r="CF80" s="1272"/>
      <c r="CG80" s="1272"/>
      <c r="CH80" s="1272"/>
      <c r="CI80" s="1272"/>
      <c r="CJ80" s="1272"/>
      <c r="CK80" s="1272"/>
      <c r="CL80" s="1272"/>
      <c r="CM80" s="1272"/>
      <c r="CN80" s="1272"/>
      <c r="CO80" s="1272"/>
      <c r="CP80" s="1272"/>
      <c r="CQ80" s="1272"/>
      <c r="CR80" s="1272"/>
      <c r="CS80" s="1272"/>
      <c r="CT80" s="1272"/>
      <c r="CU80" s="1272"/>
      <c r="CV80" s="1272"/>
      <c r="CW80" s="1272"/>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3.8" hidden="1">
      <c r="A81" s="1376"/>
      <c r="B81" s="535"/>
      <c r="C81" s="535"/>
      <c r="D81" s="1235"/>
      <c r="E81" s="535"/>
      <c r="F81" s="426"/>
      <c r="G81" s="427"/>
      <c r="H81" s="426"/>
      <c r="I81" s="1272"/>
      <c r="J81" s="1272"/>
      <c r="K81" s="1272"/>
      <c r="L81" s="1272"/>
      <c r="M81" s="1272"/>
      <c r="N81" s="1272"/>
      <c r="O81" s="1272"/>
      <c r="P81" s="1272"/>
      <c r="Q81" s="1272"/>
      <c r="R81" s="1272"/>
      <c r="S81" s="1272"/>
      <c r="T81" s="1272"/>
      <c r="U81" s="1272"/>
      <c r="V81" s="1272"/>
      <c r="W81" s="1272"/>
      <c r="X81" s="1272"/>
      <c r="Y81" s="1272"/>
      <c r="Z81" s="1272"/>
      <c r="AA81" s="1272"/>
      <c r="AB81" s="1272"/>
      <c r="AC81" s="1272"/>
      <c r="AD81" s="1272"/>
      <c r="AE81" s="1272"/>
      <c r="AF81" s="1272"/>
      <c r="AG81" s="1272"/>
      <c r="AH81" s="1272"/>
      <c r="AI81" s="1272"/>
      <c r="AJ81" s="1272"/>
      <c r="AK81" s="1272"/>
      <c r="AL81" s="1272"/>
      <c r="AM81" s="1272"/>
      <c r="AN81" s="1272"/>
      <c r="AO81" s="1272"/>
      <c r="AP81" s="1272"/>
      <c r="AQ81" s="1272"/>
      <c r="AR81" s="1272"/>
      <c r="AS81" s="1272"/>
      <c r="AT81" s="1272"/>
      <c r="AU81" s="1272"/>
      <c r="AV81" s="1272"/>
      <c r="AW81" s="1272"/>
      <c r="AX81" s="1272"/>
      <c r="AY81" s="1272"/>
      <c r="AZ81" s="1272"/>
      <c r="BA81" s="1272"/>
      <c r="BB81" s="1272"/>
      <c r="BC81" s="1272"/>
      <c r="BD81" s="1272"/>
      <c r="BE81" s="1272"/>
      <c r="BF81" s="1272"/>
      <c r="BG81" s="1272"/>
      <c r="BH81" s="1272"/>
      <c r="BI81" s="1272"/>
      <c r="BJ81" s="1272"/>
      <c r="BK81" s="1272"/>
      <c r="BL81" s="1272"/>
      <c r="BM81" s="1272"/>
      <c r="BN81" s="1272"/>
      <c r="BO81" s="1272"/>
      <c r="BP81" s="1272"/>
      <c r="BQ81" s="1272"/>
      <c r="BR81" s="1272"/>
      <c r="BS81" s="1272"/>
      <c r="BT81" s="1272"/>
      <c r="BU81" s="1272"/>
      <c r="BV81" s="1272"/>
      <c r="BW81" s="1272"/>
      <c r="BX81" s="1272"/>
      <c r="BY81" s="1272"/>
      <c r="BZ81" s="1272"/>
      <c r="CA81" s="1272"/>
      <c r="CB81" s="1272"/>
      <c r="CC81" s="1272"/>
      <c r="CD81" s="1272"/>
      <c r="CE81" s="1272"/>
      <c r="CF81" s="1272"/>
      <c r="CG81" s="1272"/>
      <c r="CH81" s="1272"/>
      <c r="CI81" s="1272"/>
      <c r="CJ81" s="1272"/>
      <c r="CK81" s="1272"/>
      <c r="CL81" s="1272"/>
      <c r="CM81" s="1272"/>
      <c r="CN81" s="1272"/>
      <c r="CO81" s="1272"/>
      <c r="CP81" s="1272"/>
      <c r="CQ81" s="1272"/>
      <c r="CR81" s="1272"/>
      <c r="CS81" s="1272"/>
      <c r="CT81" s="1272"/>
      <c r="CU81" s="1272"/>
      <c r="CV81" s="1272"/>
      <c r="CW81" s="1272"/>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3.8" hidden="1">
      <c r="A82" s="1376"/>
      <c r="B82" s="535"/>
      <c r="C82" s="535"/>
      <c r="D82" s="1235"/>
      <c r="E82" s="535"/>
      <c r="F82" s="426"/>
      <c r="G82" s="427"/>
      <c r="H82" s="426"/>
      <c r="I82" s="1272"/>
      <c r="J82" s="1272"/>
      <c r="K82" s="1272"/>
      <c r="L82" s="1272"/>
      <c r="M82" s="1272"/>
      <c r="N82" s="1272"/>
      <c r="O82" s="1272"/>
      <c r="P82" s="1272"/>
      <c r="Q82" s="1272"/>
      <c r="R82" s="1272"/>
      <c r="S82" s="1272"/>
      <c r="T82" s="1272"/>
      <c r="U82" s="1272"/>
      <c r="V82" s="1272"/>
      <c r="W82" s="1272"/>
      <c r="X82" s="1272"/>
      <c r="Y82" s="1272"/>
      <c r="Z82" s="1272"/>
      <c r="AA82" s="1272"/>
      <c r="AB82" s="1272"/>
      <c r="AC82" s="1272"/>
      <c r="AD82" s="1272"/>
      <c r="AE82" s="1272"/>
      <c r="AF82" s="1272"/>
      <c r="AG82" s="1272"/>
      <c r="AH82" s="1272"/>
      <c r="AI82" s="1272"/>
      <c r="AJ82" s="1272"/>
      <c r="AK82" s="1272"/>
      <c r="AL82" s="1272"/>
      <c r="AM82" s="1272"/>
      <c r="AN82" s="1272"/>
      <c r="AO82" s="1272"/>
      <c r="AP82" s="1272"/>
      <c r="AQ82" s="1272"/>
      <c r="AR82" s="1272"/>
      <c r="AS82" s="1272"/>
      <c r="AT82" s="1272"/>
      <c r="AU82" s="1272"/>
      <c r="AV82" s="1272"/>
      <c r="AW82" s="1272"/>
      <c r="AX82" s="1272"/>
      <c r="AY82" s="1272"/>
      <c r="AZ82" s="1272"/>
      <c r="BA82" s="1272"/>
      <c r="BB82" s="1272"/>
      <c r="BC82" s="1272"/>
      <c r="BD82" s="1272"/>
      <c r="BE82" s="1272"/>
      <c r="BF82" s="1272"/>
      <c r="BG82" s="1272"/>
      <c r="BH82" s="1272"/>
      <c r="BI82" s="1272"/>
      <c r="BJ82" s="1272"/>
      <c r="BK82" s="1272"/>
      <c r="BL82" s="1272"/>
      <c r="BM82" s="1272"/>
      <c r="BN82" s="1272"/>
      <c r="BO82" s="1272"/>
      <c r="BP82" s="1272"/>
      <c r="BQ82" s="1272"/>
      <c r="BR82" s="1272"/>
      <c r="BS82" s="1272"/>
      <c r="BT82" s="1272"/>
      <c r="BU82" s="1272"/>
      <c r="BV82" s="1272"/>
      <c r="BW82" s="1272"/>
      <c r="BX82" s="1272"/>
      <c r="BY82" s="1272"/>
      <c r="BZ82" s="1272"/>
      <c r="CA82" s="1272"/>
      <c r="CB82" s="1272"/>
      <c r="CC82" s="1272"/>
      <c r="CD82" s="1272"/>
      <c r="CE82" s="1272"/>
      <c r="CF82" s="1272"/>
      <c r="CG82" s="1272"/>
      <c r="CH82" s="1272"/>
      <c r="CI82" s="1272"/>
      <c r="CJ82" s="1272"/>
      <c r="CK82" s="1272"/>
      <c r="CL82" s="1272"/>
      <c r="CM82" s="1272"/>
      <c r="CN82" s="1272"/>
      <c r="CO82" s="1272"/>
      <c r="CP82" s="1272"/>
      <c r="CQ82" s="1272"/>
      <c r="CR82" s="1272"/>
      <c r="CS82" s="1272"/>
      <c r="CT82" s="1272"/>
      <c r="CU82" s="1272"/>
      <c r="CV82" s="1272"/>
      <c r="CW82" s="1272"/>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3.8" hidden="1">
      <c r="A83" s="1376"/>
      <c r="B83" s="535"/>
      <c r="C83" s="535"/>
      <c r="D83" s="1235"/>
      <c r="E83" s="535"/>
      <c r="F83" s="426"/>
      <c r="G83" s="427"/>
      <c r="H83" s="426"/>
      <c r="I83" s="1272"/>
      <c r="J83" s="1272"/>
      <c r="K83" s="1272"/>
      <c r="L83" s="1272"/>
      <c r="M83" s="1272"/>
      <c r="N83" s="1272"/>
      <c r="O83" s="1272"/>
      <c r="P83" s="1272"/>
      <c r="Q83" s="1272"/>
      <c r="R83" s="1272"/>
      <c r="S83" s="1272"/>
      <c r="T83" s="1272"/>
      <c r="U83" s="1272"/>
      <c r="V83" s="1272"/>
      <c r="W83" s="1272"/>
      <c r="X83" s="1272"/>
      <c r="Y83" s="1272"/>
      <c r="Z83" s="1272"/>
      <c r="AA83" s="1272"/>
      <c r="AB83" s="1272"/>
      <c r="AC83" s="1272"/>
      <c r="AD83" s="1272"/>
      <c r="AE83" s="1272"/>
      <c r="AF83" s="1272"/>
      <c r="AG83" s="1272"/>
      <c r="AH83" s="1272"/>
      <c r="AI83" s="1272"/>
      <c r="AJ83" s="1272"/>
      <c r="AK83" s="1272"/>
      <c r="AL83" s="1272"/>
      <c r="AM83" s="1272"/>
      <c r="AN83" s="1272"/>
      <c r="AO83" s="1272"/>
      <c r="AP83" s="1272"/>
      <c r="AQ83" s="1272"/>
      <c r="AR83" s="1272"/>
      <c r="AS83" s="1272"/>
      <c r="AT83" s="1272"/>
      <c r="AU83" s="1272"/>
      <c r="AV83" s="1272"/>
      <c r="AW83" s="1272"/>
      <c r="AX83" s="1272"/>
      <c r="AY83" s="1272"/>
      <c r="AZ83" s="1272"/>
      <c r="BA83" s="1272"/>
      <c r="BB83" s="1272"/>
      <c r="BC83" s="1272"/>
      <c r="BD83" s="1272"/>
      <c r="BE83" s="1272"/>
      <c r="BF83" s="1272"/>
      <c r="BG83" s="1272"/>
      <c r="BH83" s="1272"/>
      <c r="BI83" s="1272"/>
      <c r="BJ83" s="1272"/>
      <c r="BK83" s="1272"/>
      <c r="BL83" s="1272"/>
      <c r="BM83" s="1272"/>
      <c r="BN83" s="1272"/>
      <c r="BO83" s="1272"/>
      <c r="BP83" s="1272"/>
      <c r="BQ83" s="1272"/>
      <c r="BR83" s="1272"/>
      <c r="BS83" s="1272"/>
      <c r="BT83" s="1272"/>
      <c r="BU83" s="1272"/>
      <c r="BV83" s="1272"/>
      <c r="BW83" s="1272"/>
      <c r="BX83" s="1272"/>
      <c r="BY83" s="1272"/>
      <c r="BZ83" s="1272"/>
      <c r="CA83" s="1272"/>
      <c r="CB83" s="1272"/>
      <c r="CC83" s="1272"/>
      <c r="CD83" s="1272"/>
      <c r="CE83" s="1272"/>
      <c r="CF83" s="1272"/>
      <c r="CG83" s="1272"/>
      <c r="CH83" s="1272"/>
      <c r="CI83" s="1272"/>
      <c r="CJ83" s="1272"/>
      <c r="CK83" s="1272"/>
      <c r="CL83" s="1272"/>
      <c r="CM83" s="1272"/>
      <c r="CN83" s="1272"/>
      <c r="CO83" s="1272"/>
      <c r="CP83" s="1272"/>
      <c r="CQ83" s="1272"/>
      <c r="CR83" s="1272"/>
      <c r="CS83" s="1272"/>
      <c r="CT83" s="1272"/>
      <c r="CU83" s="1272"/>
      <c r="CV83" s="1272"/>
      <c r="CW83" s="1272"/>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3.8" hidden="1">
      <c r="A84" s="1376"/>
      <c r="B84" s="535"/>
      <c r="C84" s="535"/>
      <c r="D84" s="1235"/>
      <c r="E84" s="535"/>
      <c r="F84" s="426"/>
      <c r="G84" s="427"/>
      <c r="H84" s="426"/>
      <c r="I84" s="1272"/>
      <c r="J84" s="1272"/>
      <c r="K84" s="1272"/>
      <c r="L84" s="1272"/>
      <c r="M84" s="1272"/>
      <c r="N84" s="1272"/>
      <c r="O84" s="1272"/>
      <c r="P84" s="1272"/>
      <c r="Q84" s="1272"/>
      <c r="R84" s="1272"/>
      <c r="S84" s="1272"/>
      <c r="T84" s="1272"/>
      <c r="U84" s="1272"/>
      <c r="V84" s="1272"/>
      <c r="W84" s="1272"/>
      <c r="X84" s="1272"/>
      <c r="Y84" s="1272"/>
      <c r="Z84" s="1272"/>
      <c r="AA84" s="1272"/>
      <c r="AB84" s="1272"/>
      <c r="AC84" s="1272"/>
      <c r="AD84" s="1272"/>
      <c r="AE84" s="1272"/>
      <c r="AF84" s="1272"/>
      <c r="AG84" s="1272"/>
      <c r="AH84" s="1272"/>
      <c r="AI84" s="1272"/>
      <c r="AJ84" s="1272"/>
      <c r="AK84" s="1272"/>
      <c r="AL84" s="1272"/>
      <c r="AM84" s="1272"/>
      <c r="AN84" s="1272"/>
      <c r="AO84" s="1272"/>
      <c r="AP84" s="1272"/>
      <c r="AQ84" s="1272"/>
      <c r="AR84" s="1272"/>
      <c r="AS84" s="1272"/>
      <c r="AT84" s="1272"/>
      <c r="AU84" s="1272"/>
      <c r="AV84" s="1272"/>
      <c r="AW84" s="1272"/>
      <c r="AX84" s="1272"/>
      <c r="AY84" s="1272"/>
      <c r="AZ84" s="1272"/>
      <c r="BA84" s="1272"/>
      <c r="BB84" s="1272"/>
      <c r="BC84" s="1272"/>
      <c r="BD84" s="1272"/>
      <c r="BE84" s="1272"/>
      <c r="BF84" s="1272"/>
      <c r="BG84" s="1272"/>
      <c r="BH84" s="1272"/>
      <c r="BI84" s="1272"/>
      <c r="BJ84" s="1272"/>
      <c r="BK84" s="1272"/>
      <c r="BL84" s="1272"/>
      <c r="BM84" s="1272"/>
      <c r="BN84" s="1272"/>
      <c r="BO84" s="1272"/>
      <c r="BP84" s="1272"/>
      <c r="BQ84" s="1272"/>
      <c r="BR84" s="1272"/>
      <c r="BS84" s="1272"/>
      <c r="BT84" s="1272"/>
      <c r="BU84" s="1272"/>
      <c r="BV84" s="1272"/>
      <c r="BW84" s="1272"/>
      <c r="BX84" s="1272"/>
      <c r="BY84" s="1272"/>
      <c r="BZ84" s="1272"/>
      <c r="CA84" s="1272"/>
      <c r="CB84" s="1272"/>
      <c r="CC84" s="1272"/>
      <c r="CD84" s="1272"/>
      <c r="CE84" s="1272"/>
      <c r="CF84" s="1272"/>
      <c r="CG84" s="1272"/>
      <c r="CH84" s="1272"/>
      <c r="CI84" s="1272"/>
      <c r="CJ84" s="1272"/>
      <c r="CK84" s="1272"/>
      <c r="CL84" s="1272"/>
      <c r="CM84" s="1272"/>
      <c r="CN84" s="1272"/>
      <c r="CO84" s="1272"/>
      <c r="CP84" s="1272"/>
      <c r="CQ84" s="1272"/>
      <c r="CR84" s="1272"/>
      <c r="CS84" s="1272"/>
      <c r="CT84" s="1272"/>
      <c r="CU84" s="1272"/>
      <c r="CV84" s="1272"/>
      <c r="CW84" s="1272"/>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3.8" hidden="1">
      <c r="A85" s="1376"/>
      <c r="B85" s="535"/>
      <c r="C85" s="535"/>
      <c r="D85" s="1235"/>
      <c r="E85" s="535"/>
      <c r="F85" s="426"/>
      <c r="G85" s="427"/>
      <c r="H85" s="426"/>
      <c r="I85" s="1272"/>
      <c r="J85" s="1272"/>
      <c r="K85" s="1272"/>
      <c r="L85" s="1272"/>
      <c r="M85" s="1272"/>
      <c r="N85" s="1272"/>
      <c r="O85" s="1272"/>
      <c r="P85" s="1272"/>
      <c r="Q85" s="1272"/>
      <c r="R85" s="1272"/>
      <c r="S85" s="1272"/>
      <c r="T85" s="1272"/>
      <c r="U85" s="1272"/>
      <c r="V85" s="1272"/>
      <c r="W85" s="1272"/>
      <c r="X85" s="1272"/>
      <c r="Y85" s="1272"/>
      <c r="Z85" s="1272"/>
      <c r="AA85" s="1272"/>
      <c r="AB85" s="1272"/>
      <c r="AC85" s="1272"/>
      <c r="AD85" s="1272"/>
      <c r="AE85" s="1272"/>
      <c r="AF85" s="1272"/>
      <c r="AG85" s="1272"/>
      <c r="AH85" s="1272"/>
      <c r="AI85" s="1272"/>
      <c r="AJ85" s="1272"/>
      <c r="AK85" s="1272"/>
      <c r="AL85" s="1272"/>
      <c r="AM85" s="1272"/>
      <c r="AN85" s="1272"/>
      <c r="AO85" s="1272"/>
      <c r="AP85" s="1272"/>
      <c r="AQ85" s="1272"/>
      <c r="AR85" s="1272"/>
      <c r="AS85" s="1272"/>
      <c r="AT85" s="1272"/>
      <c r="AU85" s="1272"/>
      <c r="AV85" s="1272"/>
      <c r="AW85" s="1272"/>
      <c r="AX85" s="1272"/>
      <c r="AY85" s="1272"/>
      <c r="AZ85" s="1272"/>
      <c r="BA85" s="1272"/>
      <c r="BB85" s="1272"/>
      <c r="BC85" s="1272"/>
      <c r="BD85" s="1272"/>
      <c r="BE85" s="1272"/>
      <c r="BF85" s="1272"/>
      <c r="BG85" s="1272"/>
      <c r="BH85" s="1272"/>
      <c r="BI85" s="1272"/>
      <c r="BJ85" s="1272"/>
      <c r="BK85" s="1272"/>
      <c r="BL85" s="1272"/>
      <c r="BM85" s="1272"/>
      <c r="BN85" s="1272"/>
      <c r="BO85" s="1272"/>
      <c r="BP85" s="1272"/>
      <c r="BQ85" s="1272"/>
      <c r="BR85" s="1272"/>
      <c r="BS85" s="1272"/>
      <c r="BT85" s="1272"/>
      <c r="BU85" s="1272"/>
      <c r="BV85" s="1272"/>
      <c r="BW85" s="1272"/>
      <c r="BX85" s="1272"/>
      <c r="BY85" s="1272"/>
      <c r="BZ85" s="1272"/>
      <c r="CA85" s="1272"/>
      <c r="CB85" s="1272"/>
      <c r="CC85" s="1272"/>
      <c r="CD85" s="1272"/>
      <c r="CE85" s="1272"/>
      <c r="CF85" s="1272"/>
      <c r="CG85" s="1272"/>
      <c r="CH85" s="1272"/>
      <c r="CI85" s="1272"/>
      <c r="CJ85" s="1272"/>
      <c r="CK85" s="1272"/>
      <c r="CL85" s="1272"/>
      <c r="CM85" s="1272"/>
      <c r="CN85" s="1272"/>
      <c r="CO85" s="1272"/>
      <c r="CP85" s="1272"/>
      <c r="CQ85" s="1272"/>
      <c r="CR85" s="1272"/>
      <c r="CS85" s="1272"/>
      <c r="CT85" s="1272"/>
      <c r="CU85" s="1272"/>
      <c r="CV85" s="1272"/>
      <c r="CW85" s="1272"/>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3.8" hidden="1">
      <c r="A86" s="1376"/>
      <c r="B86" s="535"/>
      <c r="C86" s="535"/>
      <c r="D86" s="1235"/>
      <c r="E86" s="535"/>
      <c r="F86" s="426"/>
      <c r="G86" s="427"/>
      <c r="H86" s="426"/>
      <c r="I86" s="1272"/>
      <c r="J86" s="1272"/>
      <c r="K86" s="1272"/>
      <c r="L86" s="1272"/>
      <c r="M86" s="1272"/>
      <c r="N86" s="1272"/>
      <c r="O86" s="1272"/>
      <c r="P86" s="1272"/>
      <c r="Q86" s="1272"/>
      <c r="R86" s="1272"/>
      <c r="S86" s="1272"/>
      <c r="T86" s="1272"/>
      <c r="U86" s="1272"/>
      <c r="V86" s="1272"/>
      <c r="W86" s="1272"/>
      <c r="X86" s="1272"/>
      <c r="Y86" s="1272"/>
      <c r="Z86" s="1272"/>
      <c r="AA86" s="1272"/>
      <c r="AB86" s="1272"/>
      <c r="AC86" s="1272"/>
      <c r="AD86" s="1272"/>
      <c r="AE86" s="1272"/>
      <c r="AF86" s="1272"/>
      <c r="AG86" s="1272"/>
      <c r="AH86" s="1272"/>
      <c r="AI86" s="1272"/>
      <c r="AJ86" s="1272"/>
      <c r="AK86" s="1272"/>
      <c r="AL86" s="1272"/>
      <c r="AM86" s="1272"/>
      <c r="AN86" s="1272"/>
      <c r="AO86" s="1272"/>
      <c r="AP86" s="1272"/>
      <c r="AQ86" s="1272"/>
      <c r="AR86" s="1272"/>
      <c r="AS86" s="1272"/>
      <c r="AT86" s="1272"/>
      <c r="AU86" s="1272"/>
      <c r="AV86" s="1272"/>
      <c r="AW86" s="1272"/>
      <c r="AX86" s="1272"/>
      <c r="AY86" s="1272"/>
      <c r="AZ86" s="1272"/>
      <c r="BA86" s="1272"/>
      <c r="BB86" s="1272"/>
      <c r="BC86" s="1272"/>
      <c r="BD86" s="1272"/>
      <c r="BE86" s="1272"/>
      <c r="BF86" s="1272"/>
      <c r="BG86" s="1272"/>
      <c r="BH86" s="1272"/>
      <c r="BI86" s="1272"/>
      <c r="BJ86" s="1272"/>
      <c r="BK86" s="1272"/>
      <c r="BL86" s="1272"/>
      <c r="BM86" s="1272"/>
      <c r="BN86" s="1272"/>
      <c r="BO86" s="1272"/>
      <c r="BP86" s="1272"/>
      <c r="BQ86" s="1272"/>
      <c r="BR86" s="1272"/>
      <c r="BS86" s="1272"/>
      <c r="BT86" s="1272"/>
      <c r="BU86" s="1272"/>
      <c r="BV86" s="1272"/>
      <c r="BW86" s="1272"/>
      <c r="BX86" s="1272"/>
      <c r="BY86" s="1272"/>
      <c r="BZ86" s="1272"/>
      <c r="CA86" s="1272"/>
      <c r="CB86" s="1272"/>
      <c r="CC86" s="1272"/>
      <c r="CD86" s="1272"/>
      <c r="CE86" s="1272"/>
      <c r="CF86" s="1272"/>
      <c r="CG86" s="1272"/>
      <c r="CH86" s="1272"/>
      <c r="CI86" s="1272"/>
      <c r="CJ86" s="1272"/>
      <c r="CK86" s="1272"/>
      <c r="CL86" s="1272"/>
      <c r="CM86" s="1272"/>
      <c r="CN86" s="1272"/>
      <c r="CO86" s="1272"/>
      <c r="CP86" s="1272"/>
      <c r="CQ86" s="1272"/>
      <c r="CR86" s="1272"/>
      <c r="CS86" s="1272"/>
      <c r="CT86" s="1272"/>
      <c r="CU86" s="1272"/>
      <c r="CV86" s="1272"/>
      <c r="CW86" s="1272"/>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3.8" hidden="1">
      <c r="A87" s="1376"/>
      <c r="B87" s="535"/>
      <c r="C87" s="535"/>
      <c r="D87" s="1235"/>
      <c r="E87" s="535"/>
      <c r="F87" s="426"/>
      <c r="G87" s="427"/>
      <c r="H87" s="426"/>
      <c r="I87" s="1272"/>
      <c r="J87" s="1272"/>
      <c r="K87" s="1272"/>
      <c r="L87" s="1272"/>
      <c r="M87" s="1272"/>
      <c r="N87" s="1272"/>
      <c r="O87" s="1272"/>
      <c r="P87" s="1272"/>
      <c r="Q87" s="1272"/>
      <c r="R87" s="1272"/>
      <c r="S87" s="1272"/>
      <c r="T87" s="1272"/>
      <c r="U87" s="1272"/>
      <c r="V87" s="1272"/>
      <c r="W87" s="1272"/>
      <c r="X87" s="1272"/>
      <c r="Y87" s="1272"/>
      <c r="Z87" s="1272"/>
      <c r="AA87" s="1272"/>
      <c r="AB87" s="1272"/>
      <c r="AC87" s="1272"/>
      <c r="AD87" s="1272"/>
      <c r="AE87" s="1272"/>
      <c r="AF87" s="1272"/>
      <c r="AG87" s="1272"/>
      <c r="AH87" s="1272"/>
      <c r="AI87" s="1272"/>
      <c r="AJ87" s="1272"/>
      <c r="AK87" s="1272"/>
      <c r="AL87" s="1272"/>
      <c r="AM87" s="1272"/>
      <c r="AN87" s="1272"/>
      <c r="AO87" s="1272"/>
      <c r="AP87" s="1272"/>
      <c r="AQ87" s="1272"/>
      <c r="AR87" s="1272"/>
      <c r="AS87" s="1272"/>
      <c r="AT87" s="1272"/>
      <c r="AU87" s="1272"/>
      <c r="AV87" s="1272"/>
      <c r="AW87" s="1272"/>
      <c r="AX87" s="1272"/>
      <c r="AY87" s="1272"/>
      <c r="AZ87" s="1272"/>
      <c r="BA87" s="1272"/>
      <c r="BB87" s="1272"/>
      <c r="BC87" s="1272"/>
      <c r="BD87" s="1272"/>
      <c r="BE87" s="1272"/>
      <c r="BF87" s="1272"/>
      <c r="BG87" s="1272"/>
      <c r="BH87" s="1272"/>
      <c r="BI87" s="1272"/>
      <c r="BJ87" s="1272"/>
      <c r="BK87" s="1272"/>
      <c r="BL87" s="1272"/>
      <c r="BM87" s="1272"/>
      <c r="BN87" s="1272"/>
      <c r="BO87" s="1272"/>
      <c r="BP87" s="1272"/>
      <c r="BQ87" s="1272"/>
      <c r="BR87" s="1272"/>
      <c r="BS87" s="1272"/>
      <c r="BT87" s="1272"/>
      <c r="BU87" s="1272"/>
      <c r="BV87" s="1272"/>
      <c r="BW87" s="1272"/>
      <c r="BX87" s="1272"/>
      <c r="BY87" s="1272"/>
      <c r="BZ87" s="1272"/>
      <c r="CA87" s="1272"/>
      <c r="CB87" s="1272"/>
      <c r="CC87" s="1272"/>
      <c r="CD87" s="1272"/>
      <c r="CE87" s="1272"/>
      <c r="CF87" s="1272"/>
      <c r="CG87" s="1272"/>
      <c r="CH87" s="1272"/>
      <c r="CI87" s="1272"/>
      <c r="CJ87" s="1272"/>
      <c r="CK87" s="1272"/>
      <c r="CL87" s="1272"/>
      <c r="CM87" s="1272"/>
      <c r="CN87" s="1272"/>
      <c r="CO87" s="1272"/>
      <c r="CP87" s="1272"/>
      <c r="CQ87" s="1272"/>
      <c r="CR87" s="1272"/>
      <c r="CS87" s="1272"/>
      <c r="CT87" s="1272"/>
      <c r="CU87" s="1272"/>
      <c r="CV87" s="1272"/>
      <c r="CW87" s="1272"/>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3.8" hidden="1">
      <c r="A88" s="1376"/>
      <c r="B88" s="535"/>
      <c r="C88" s="535"/>
      <c r="D88" s="1235"/>
      <c r="E88" s="535"/>
      <c r="F88" s="426"/>
      <c r="G88" s="427"/>
      <c r="H88" s="426"/>
      <c r="I88" s="1272"/>
      <c r="J88" s="1272"/>
      <c r="K88" s="1272"/>
      <c r="L88" s="1272"/>
      <c r="M88" s="1272"/>
      <c r="N88" s="1272"/>
      <c r="O88" s="1272"/>
      <c r="P88" s="1272"/>
      <c r="Q88" s="1272"/>
      <c r="R88" s="1272"/>
      <c r="S88" s="1272"/>
      <c r="T88" s="1272"/>
      <c r="U88" s="1272"/>
      <c r="V88" s="1272"/>
      <c r="W88" s="1272"/>
      <c r="X88" s="1272"/>
      <c r="Y88" s="1272"/>
      <c r="Z88" s="1272"/>
      <c r="AA88" s="1272"/>
      <c r="AB88" s="1272"/>
      <c r="AC88" s="1272"/>
      <c r="AD88" s="1272"/>
      <c r="AE88" s="1272"/>
      <c r="AF88" s="1272"/>
      <c r="AG88" s="1272"/>
      <c r="AH88" s="1272"/>
      <c r="AI88" s="1272"/>
      <c r="AJ88" s="1272"/>
      <c r="AK88" s="1272"/>
      <c r="AL88" s="1272"/>
      <c r="AM88" s="1272"/>
      <c r="AN88" s="1272"/>
      <c r="AO88" s="1272"/>
      <c r="AP88" s="1272"/>
      <c r="AQ88" s="1272"/>
      <c r="AR88" s="1272"/>
      <c r="AS88" s="1272"/>
      <c r="AT88" s="1272"/>
      <c r="AU88" s="1272"/>
      <c r="AV88" s="1272"/>
      <c r="AW88" s="1272"/>
      <c r="AX88" s="1272"/>
      <c r="AY88" s="1272"/>
      <c r="AZ88" s="1272"/>
      <c r="BA88" s="1272"/>
      <c r="BB88" s="1272"/>
      <c r="BC88" s="1272"/>
      <c r="BD88" s="1272"/>
      <c r="BE88" s="1272"/>
      <c r="BF88" s="1272"/>
      <c r="BG88" s="1272"/>
      <c r="BH88" s="1272"/>
      <c r="BI88" s="1272"/>
      <c r="BJ88" s="1272"/>
      <c r="BK88" s="1272"/>
      <c r="BL88" s="1272"/>
      <c r="BM88" s="1272"/>
      <c r="BN88" s="1272"/>
      <c r="BO88" s="1272"/>
      <c r="BP88" s="1272"/>
      <c r="BQ88" s="1272"/>
      <c r="BR88" s="1272"/>
      <c r="BS88" s="1272"/>
      <c r="BT88" s="1272"/>
      <c r="BU88" s="1272"/>
      <c r="BV88" s="1272"/>
      <c r="BW88" s="1272"/>
      <c r="BX88" s="1272"/>
      <c r="BY88" s="1272"/>
      <c r="BZ88" s="1272"/>
      <c r="CA88" s="1272"/>
      <c r="CB88" s="1272"/>
      <c r="CC88" s="1272"/>
      <c r="CD88" s="1272"/>
      <c r="CE88" s="1272"/>
      <c r="CF88" s="1272"/>
      <c r="CG88" s="1272"/>
      <c r="CH88" s="1272"/>
      <c r="CI88" s="1272"/>
      <c r="CJ88" s="1272"/>
      <c r="CK88" s="1272"/>
      <c r="CL88" s="1272"/>
      <c r="CM88" s="1272"/>
      <c r="CN88" s="1272"/>
      <c r="CO88" s="1272"/>
      <c r="CP88" s="1272"/>
      <c r="CQ88" s="1272"/>
      <c r="CR88" s="1272"/>
      <c r="CS88" s="1272"/>
      <c r="CT88" s="1272"/>
      <c r="CU88" s="1272"/>
      <c r="CV88" s="1272"/>
      <c r="CW88" s="1272"/>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3.8" hidden="1">
      <c r="A89" s="1376"/>
      <c r="B89" s="535"/>
      <c r="C89" s="535"/>
      <c r="D89" s="1235"/>
      <c r="E89" s="535"/>
      <c r="F89" s="426"/>
      <c r="G89" s="427"/>
      <c r="H89" s="426"/>
      <c r="I89" s="1272"/>
      <c r="J89" s="1272"/>
      <c r="K89" s="1272"/>
      <c r="L89" s="1272"/>
      <c r="M89" s="1272"/>
      <c r="N89" s="1272"/>
      <c r="O89" s="1272"/>
      <c r="P89" s="1272"/>
      <c r="Q89" s="1272"/>
      <c r="R89" s="1272"/>
      <c r="S89" s="1272"/>
      <c r="T89" s="1272"/>
      <c r="U89" s="1272"/>
      <c r="V89" s="1272"/>
      <c r="W89" s="1272"/>
      <c r="X89" s="1272"/>
      <c r="Y89" s="1272"/>
      <c r="Z89" s="1272"/>
      <c r="AA89" s="1272"/>
      <c r="AB89" s="1272"/>
      <c r="AC89" s="1272"/>
      <c r="AD89" s="1272"/>
      <c r="AE89" s="1272"/>
      <c r="AF89" s="1272"/>
      <c r="AG89" s="1272"/>
      <c r="AH89" s="1272"/>
      <c r="AI89" s="1272"/>
      <c r="AJ89" s="1272"/>
      <c r="AK89" s="1272"/>
      <c r="AL89" s="1272"/>
      <c r="AM89" s="1272"/>
      <c r="AN89" s="1272"/>
      <c r="AO89" s="1272"/>
      <c r="AP89" s="1272"/>
      <c r="AQ89" s="1272"/>
      <c r="AR89" s="1272"/>
      <c r="AS89" s="1272"/>
      <c r="AT89" s="1272"/>
      <c r="AU89" s="1272"/>
      <c r="AV89" s="1272"/>
      <c r="AW89" s="1272"/>
      <c r="AX89" s="1272"/>
      <c r="AY89" s="1272"/>
      <c r="AZ89" s="1272"/>
      <c r="BA89" s="1272"/>
      <c r="BB89" s="1272"/>
      <c r="BC89" s="1272"/>
      <c r="BD89" s="1272"/>
      <c r="BE89" s="1272"/>
      <c r="BF89" s="1272"/>
      <c r="BG89" s="1272"/>
      <c r="BH89" s="1272"/>
      <c r="BI89" s="1272"/>
      <c r="BJ89" s="1272"/>
      <c r="BK89" s="1272"/>
      <c r="BL89" s="1272"/>
      <c r="BM89" s="1272"/>
      <c r="BN89" s="1272"/>
      <c r="BO89" s="1272"/>
      <c r="BP89" s="1272"/>
      <c r="BQ89" s="1272"/>
      <c r="BR89" s="1272"/>
      <c r="BS89" s="1272"/>
      <c r="BT89" s="1272"/>
      <c r="BU89" s="1272"/>
      <c r="BV89" s="1272"/>
      <c r="BW89" s="1272"/>
      <c r="BX89" s="1272"/>
      <c r="BY89" s="1272"/>
      <c r="BZ89" s="1272"/>
      <c r="CA89" s="1272"/>
      <c r="CB89" s="1272"/>
      <c r="CC89" s="1272"/>
      <c r="CD89" s="1272"/>
      <c r="CE89" s="1272"/>
      <c r="CF89" s="1272"/>
      <c r="CG89" s="1272"/>
      <c r="CH89" s="1272"/>
      <c r="CI89" s="1272"/>
      <c r="CJ89" s="1272"/>
      <c r="CK89" s="1272"/>
      <c r="CL89" s="1272"/>
      <c r="CM89" s="1272"/>
      <c r="CN89" s="1272"/>
      <c r="CO89" s="1272"/>
      <c r="CP89" s="1272"/>
      <c r="CQ89" s="1272"/>
      <c r="CR89" s="1272"/>
      <c r="CS89" s="1272"/>
      <c r="CT89" s="1272"/>
      <c r="CU89" s="1272"/>
      <c r="CV89" s="1272"/>
      <c r="CW89" s="1272"/>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3.8" hidden="1">
      <c r="A90" s="1376"/>
      <c r="B90" s="535"/>
      <c r="C90" s="535"/>
      <c r="D90" s="1235"/>
      <c r="E90" s="535"/>
      <c r="F90" s="426"/>
      <c r="G90" s="427"/>
      <c r="H90" s="426"/>
      <c r="I90" s="1272"/>
      <c r="J90" s="1272"/>
      <c r="K90" s="1272"/>
      <c r="L90" s="1272"/>
      <c r="M90" s="1272"/>
      <c r="N90" s="1272"/>
      <c r="O90" s="1272"/>
      <c r="P90" s="1272"/>
      <c r="Q90" s="1272"/>
      <c r="R90" s="1272"/>
      <c r="S90" s="1272"/>
      <c r="T90" s="1272"/>
      <c r="U90" s="1272"/>
      <c r="V90" s="1272"/>
      <c r="W90" s="1272"/>
      <c r="X90" s="1272"/>
      <c r="Y90" s="1272"/>
      <c r="Z90" s="1272"/>
      <c r="AA90" s="1272"/>
      <c r="AB90" s="1272"/>
      <c r="AC90" s="1272"/>
      <c r="AD90" s="1272"/>
      <c r="AE90" s="1272"/>
      <c r="AF90" s="1272"/>
      <c r="AG90" s="1272"/>
      <c r="AH90" s="1272"/>
      <c r="AI90" s="1272"/>
      <c r="AJ90" s="1272"/>
      <c r="AK90" s="1272"/>
      <c r="AL90" s="1272"/>
      <c r="AM90" s="1272"/>
      <c r="AN90" s="1272"/>
      <c r="AO90" s="1272"/>
      <c r="AP90" s="1272"/>
      <c r="AQ90" s="1272"/>
      <c r="AR90" s="1272"/>
      <c r="AS90" s="1272"/>
      <c r="AT90" s="1272"/>
      <c r="AU90" s="1272"/>
      <c r="AV90" s="1272"/>
      <c r="AW90" s="1272"/>
      <c r="AX90" s="1272"/>
      <c r="AY90" s="1272"/>
      <c r="AZ90" s="1272"/>
      <c r="BA90" s="1272"/>
      <c r="BB90" s="1272"/>
      <c r="BC90" s="1272"/>
      <c r="BD90" s="1272"/>
      <c r="BE90" s="1272"/>
      <c r="BF90" s="1272"/>
      <c r="BG90" s="1272"/>
      <c r="BH90" s="1272"/>
      <c r="BI90" s="1272"/>
      <c r="BJ90" s="1272"/>
      <c r="BK90" s="1272"/>
      <c r="BL90" s="1272"/>
      <c r="BM90" s="1272"/>
      <c r="BN90" s="1272"/>
      <c r="BO90" s="1272"/>
      <c r="BP90" s="1272"/>
      <c r="BQ90" s="1272"/>
      <c r="BR90" s="1272"/>
      <c r="BS90" s="1272"/>
      <c r="BT90" s="1272"/>
      <c r="BU90" s="1272"/>
      <c r="BV90" s="1272"/>
      <c r="BW90" s="1272"/>
      <c r="BX90" s="1272"/>
      <c r="BY90" s="1272"/>
      <c r="BZ90" s="1272"/>
      <c r="CA90" s="1272"/>
      <c r="CB90" s="1272"/>
      <c r="CC90" s="1272"/>
      <c r="CD90" s="1272"/>
      <c r="CE90" s="1272"/>
      <c r="CF90" s="1272"/>
      <c r="CG90" s="1272"/>
      <c r="CH90" s="1272"/>
      <c r="CI90" s="1272"/>
      <c r="CJ90" s="1272"/>
      <c r="CK90" s="1272"/>
      <c r="CL90" s="1272"/>
      <c r="CM90" s="1272"/>
      <c r="CN90" s="1272"/>
      <c r="CO90" s="1272"/>
      <c r="CP90" s="1272"/>
      <c r="CQ90" s="1272"/>
      <c r="CR90" s="1272"/>
      <c r="CS90" s="1272"/>
      <c r="CT90" s="1272"/>
      <c r="CU90" s="1272"/>
      <c r="CV90" s="1272"/>
      <c r="CW90" s="1272"/>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3.8" hidden="1">
      <c r="A91" s="1376"/>
      <c r="B91" s="535"/>
      <c r="C91" s="535"/>
      <c r="D91" s="1235"/>
      <c r="E91" s="535"/>
      <c r="F91" s="426"/>
      <c r="G91" s="427"/>
      <c r="H91" s="426"/>
      <c r="I91" s="1272"/>
      <c r="J91" s="1272"/>
      <c r="K91" s="1272"/>
      <c r="L91" s="1272"/>
      <c r="M91" s="1272"/>
      <c r="N91" s="1272"/>
      <c r="O91" s="1272"/>
      <c r="P91" s="1272"/>
      <c r="Q91" s="1272"/>
      <c r="R91" s="1272"/>
      <c r="S91" s="1272"/>
      <c r="T91" s="1272"/>
      <c r="U91" s="1272"/>
      <c r="V91" s="1272"/>
      <c r="W91" s="1272"/>
      <c r="X91" s="1272"/>
      <c r="Y91" s="1272"/>
      <c r="Z91" s="1272"/>
      <c r="AA91" s="1272"/>
      <c r="AB91" s="1272"/>
      <c r="AC91" s="1272"/>
      <c r="AD91" s="1272"/>
      <c r="AE91" s="1272"/>
      <c r="AF91" s="1272"/>
      <c r="AG91" s="1272"/>
      <c r="AH91" s="1272"/>
      <c r="AI91" s="1272"/>
      <c r="AJ91" s="1272"/>
      <c r="AK91" s="1272"/>
      <c r="AL91" s="1272"/>
      <c r="AM91" s="1272"/>
      <c r="AN91" s="1272"/>
      <c r="AO91" s="1272"/>
      <c r="AP91" s="1272"/>
      <c r="AQ91" s="1272"/>
      <c r="AR91" s="1272"/>
      <c r="AS91" s="1272"/>
      <c r="AT91" s="1272"/>
      <c r="AU91" s="1272"/>
      <c r="AV91" s="1272"/>
      <c r="AW91" s="1272"/>
      <c r="AX91" s="1272"/>
      <c r="AY91" s="1272"/>
      <c r="AZ91" s="1272"/>
      <c r="BA91" s="1272"/>
      <c r="BB91" s="1272"/>
      <c r="BC91" s="1272"/>
      <c r="BD91" s="1272"/>
      <c r="BE91" s="1272"/>
      <c r="BF91" s="1272"/>
      <c r="BG91" s="1272"/>
      <c r="BH91" s="1272"/>
      <c r="BI91" s="1272"/>
      <c r="BJ91" s="1272"/>
      <c r="BK91" s="1272"/>
      <c r="BL91" s="1272"/>
      <c r="BM91" s="1272"/>
      <c r="BN91" s="1272"/>
      <c r="BO91" s="1272"/>
      <c r="BP91" s="1272"/>
      <c r="BQ91" s="1272"/>
      <c r="BR91" s="1272"/>
      <c r="BS91" s="1272"/>
      <c r="BT91" s="1272"/>
      <c r="BU91" s="1272"/>
      <c r="BV91" s="1272"/>
      <c r="BW91" s="1272"/>
      <c r="BX91" s="1272"/>
      <c r="BY91" s="1272"/>
      <c r="BZ91" s="1272"/>
      <c r="CA91" s="1272"/>
      <c r="CB91" s="1272"/>
      <c r="CC91" s="1272"/>
      <c r="CD91" s="1272"/>
      <c r="CE91" s="1272"/>
      <c r="CF91" s="1272"/>
      <c r="CG91" s="1272"/>
      <c r="CH91" s="1272"/>
      <c r="CI91" s="1272"/>
      <c r="CJ91" s="1272"/>
      <c r="CK91" s="1272"/>
      <c r="CL91" s="1272"/>
      <c r="CM91" s="1272"/>
      <c r="CN91" s="1272"/>
      <c r="CO91" s="1272"/>
      <c r="CP91" s="1272"/>
      <c r="CQ91" s="1272"/>
      <c r="CR91" s="1272"/>
      <c r="CS91" s="1272"/>
      <c r="CT91" s="1272"/>
      <c r="CU91" s="1272"/>
      <c r="CV91" s="1272"/>
      <c r="CW91" s="1272"/>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3.8" hidden="1">
      <c r="A92" s="1838"/>
      <c r="B92" s="1839"/>
      <c r="C92" s="535"/>
      <c r="D92" s="1839"/>
      <c r="E92" s="1270"/>
      <c r="F92" s="1270"/>
      <c r="G92" s="976"/>
      <c r="H92" s="1840"/>
      <c r="I92" s="609"/>
      <c r="J92" s="1841"/>
      <c r="K92" s="609"/>
      <c r="L92" s="1841"/>
      <c r="M92" s="1841"/>
      <c r="N92" s="609"/>
      <c r="O92" s="609"/>
      <c r="P92" s="609"/>
      <c r="Q92" s="609"/>
      <c r="R92" s="609"/>
      <c r="S92" s="1841"/>
      <c r="T92" s="609"/>
      <c r="U92" s="609"/>
      <c r="V92" s="609"/>
      <c r="W92" s="1841"/>
      <c r="X92" s="609"/>
      <c r="Y92" s="609"/>
      <c r="Z92" s="609"/>
      <c r="AA92" s="609"/>
      <c r="AB92" s="609"/>
      <c r="AC92" s="609"/>
      <c r="AD92" s="609"/>
      <c r="AE92" s="609"/>
      <c r="AF92" s="609"/>
      <c r="AG92" s="609"/>
      <c r="AH92" s="609"/>
      <c r="AI92" s="609"/>
      <c r="AJ92" s="609"/>
      <c r="AK92" s="609"/>
      <c r="AL92" s="609"/>
      <c r="AM92" s="609"/>
      <c r="AN92" s="1841"/>
      <c r="AO92" s="1841"/>
      <c r="AP92" s="609"/>
      <c r="AQ92" s="609"/>
      <c r="AR92" s="609"/>
      <c r="AS92" s="609"/>
      <c r="AT92" s="609"/>
      <c r="AU92" s="609"/>
      <c r="AV92" s="609"/>
      <c r="AW92" s="1841"/>
      <c r="AX92" s="1841"/>
      <c r="AY92" s="609"/>
      <c r="AZ92" s="609"/>
      <c r="BA92" s="609"/>
      <c r="BB92" s="609"/>
      <c r="BC92" s="609"/>
      <c r="BD92" s="1841"/>
      <c r="BE92" s="609"/>
      <c r="BF92" s="609"/>
      <c r="BG92" s="609"/>
      <c r="BH92" s="609"/>
      <c r="BI92" s="609"/>
      <c r="BJ92" s="609"/>
      <c r="BK92" s="609"/>
      <c r="BL92" s="609"/>
      <c r="BM92" s="1841"/>
      <c r="BN92" s="609"/>
      <c r="BO92" s="1841"/>
      <c r="BP92" s="1841"/>
      <c r="BQ92" s="609"/>
      <c r="BR92" s="609"/>
      <c r="BS92" s="609"/>
      <c r="BT92" s="1841"/>
      <c r="BU92" s="1841"/>
      <c r="BV92" s="1841"/>
      <c r="BW92" s="1841"/>
      <c r="BX92" s="1841"/>
      <c r="BY92" s="609"/>
      <c r="BZ92" s="1841"/>
      <c r="CA92" s="1841"/>
      <c r="CB92" s="1841"/>
      <c r="CC92" s="1841"/>
      <c r="CD92" s="609"/>
      <c r="CE92" s="609"/>
      <c r="CF92" s="609"/>
      <c r="CG92" s="609"/>
      <c r="CH92" s="609"/>
      <c r="CI92" s="609"/>
      <c r="CJ92" s="609"/>
      <c r="CK92" s="609"/>
      <c r="CL92" s="609"/>
      <c r="CM92" s="609"/>
      <c r="CN92" s="609"/>
      <c r="CO92" s="609"/>
      <c r="CP92" s="609"/>
      <c r="CQ92" s="609"/>
      <c r="CR92" s="1841"/>
      <c r="CS92" s="1841"/>
      <c r="CT92" s="1841"/>
      <c r="CU92" s="1841"/>
      <c r="CV92" s="1841"/>
      <c r="CW92" s="1841"/>
      <c r="CX92" s="1842"/>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5" customHeight="1">
      <c r="A93" s="1850"/>
      <c r="B93" s="1850"/>
      <c r="C93" s="1832"/>
      <c r="D93" s="1850"/>
      <c r="E93" s="1834"/>
      <c r="F93" s="598"/>
      <c r="G93" s="1816"/>
      <c r="H93" s="1853"/>
      <c r="I93" s="1832"/>
      <c r="J93" s="1850"/>
      <c r="K93" s="1832"/>
      <c r="L93" s="1850"/>
      <c r="M93" s="1893"/>
      <c r="N93" s="1834"/>
      <c r="O93" s="597"/>
      <c r="P93" s="597"/>
      <c r="Q93" s="597"/>
      <c r="R93" s="1814"/>
      <c r="S93" s="1850"/>
      <c r="T93" s="1834"/>
      <c r="U93" s="597"/>
      <c r="V93" s="1814"/>
      <c r="W93" s="1850"/>
      <c r="X93" s="1834"/>
      <c r="Y93" s="597"/>
      <c r="Z93" s="597"/>
      <c r="AA93" s="597"/>
      <c r="AB93" s="597"/>
      <c r="AC93" s="597"/>
      <c r="AD93" s="597"/>
      <c r="AE93" s="597"/>
      <c r="AF93" s="597"/>
      <c r="AG93" s="597"/>
      <c r="AH93" s="597"/>
      <c r="AI93" s="597"/>
      <c r="AJ93" s="597"/>
      <c r="AK93" s="597"/>
      <c r="AL93" s="597"/>
      <c r="AM93" s="1814"/>
      <c r="AN93" s="1850"/>
      <c r="AO93" s="1850"/>
      <c r="AP93" s="1834"/>
      <c r="AQ93" s="597"/>
      <c r="AR93" s="597"/>
      <c r="AS93" s="597"/>
      <c r="AT93" s="597"/>
      <c r="AU93" s="597"/>
      <c r="AV93" s="1814"/>
      <c r="AW93" s="1850"/>
      <c r="AX93" s="1850"/>
      <c r="AY93" s="1834"/>
      <c r="AZ93" s="597"/>
      <c r="BA93" s="597"/>
      <c r="BB93" s="597"/>
      <c r="BC93" s="1814"/>
      <c r="BD93" s="1850"/>
      <c r="BE93" s="1834"/>
      <c r="BF93" s="597"/>
      <c r="BG93" s="597"/>
      <c r="BH93" s="597"/>
      <c r="BI93" s="597"/>
      <c r="BJ93" s="597"/>
      <c r="BK93" s="597"/>
      <c r="BL93" s="1814"/>
      <c r="BM93" s="1850"/>
      <c r="BN93" s="1832"/>
      <c r="BO93" s="1850"/>
      <c r="BP93" s="1850"/>
      <c r="BQ93" s="1834"/>
      <c r="BR93" s="597"/>
      <c r="BS93" s="1814"/>
      <c r="BT93" s="1912"/>
      <c r="BU93" s="1850"/>
      <c r="BV93" s="1893"/>
      <c r="BW93" s="1912"/>
      <c r="BX93" s="1850"/>
      <c r="BY93" s="1832"/>
      <c r="BZ93" s="1850"/>
      <c r="CA93" s="1850"/>
      <c r="CB93" s="1850"/>
      <c r="CC93" s="1850"/>
      <c r="CD93" s="1834"/>
      <c r="CE93" s="597"/>
      <c r="CF93" s="597"/>
      <c r="CG93" s="597"/>
      <c r="CH93" s="597"/>
      <c r="CI93" s="597"/>
      <c r="CJ93" s="597"/>
      <c r="CK93" s="597"/>
      <c r="CL93" s="597"/>
      <c r="CM93" s="597"/>
      <c r="CN93" s="597"/>
      <c r="CO93" s="597"/>
      <c r="CP93" s="597"/>
      <c r="CQ93" s="1814"/>
      <c r="CR93" s="1850"/>
      <c r="CS93" s="1893"/>
      <c r="CT93" s="1850"/>
      <c r="CU93" s="1850"/>
      <c r="CV93" s="1912"/>
      <c r="CW93" s="1912"/>
      <c r="CX93" s="1859"/>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6" t="s">
        <v>3903</v>
      </c>
      <c r="B94" s="1857">
        <f>SUM(B11:B93)</f>
        <v>0</v>
      </c>
      <c r="C94" s="1833"/>
      <c r="D94" s="1858">
        <f>B94</f>
        <v>0</v>
      </c>
      <c r="E94" s="1835"/>
      <c r="F94" s="545"/>
      <c r="G94" s="1815"/>
      <c r="H94" s="1858"/>
      <c r="I94" s="1833"/>
      <c r="J94" s="1857">
        <f>SUM(J11:J93)</f>
        <v>0</v>
      </c>
      <c r="K94" s="1836">
        <f t="shared" ref="K94:BW94" si="8">SUM(K11:K93)</f>
        <v>0</v>
      </c>
      <c r="L94" s="1857">
        <f t="shared" si="8"/>
        <v>0</v>
      </c>
      <c r="M94" s="1897">
        <f t="shared" si="8"/>
        <v>0</v>
      </c>
      <c r="N94" s="1837">
        <f t="shared" si="8"/>
        <v>0</v>
      </c>
      <c r="O94" s="544">
        <f t="shared" si="8"/>
        <v>0</v>
      </c>
      <c r="P94" s="544">
        <f t="shared" si="8"/>
        <v>0</v>
      </c>
      <c r="Q94" s="544">
        <f t="shared" si="8"/>
        <v>0</v>
      </c>
      <c r="R94" s="1817">
        <f t="shared" si="8"/>
        <v>0</v>
      </c>
      <c r="S94" s="1857">
        <f t="shared" si="8"/>
        <v>0</v>
      </c>
      <c r="T94" s="1837">
        <f t="shared" si="8"/>
        <v>0</v>
      </c>
      <c r="U94" s="544">
        <f t="shared" si="8"/>
        <v>0</v>
      </c>
      <c r="V94" s="1817">
        <f t="shared" si="8"/>
        <v>0</v>
      </c>
      <c r="W94" s="1857">
        <f t="shared" si="8"/>
        <v>0</v>
      </c>
      <c r="X94" s="1837">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7">
        <f t="shared" si="8"/>
        <v>0</v>
      </c>
      <c r="AN94" s="1857">
        <f t="shared" si="8"/>
        <v>0</v>
      </c>
      <c r="AO94" s="1857">
        <f t="shared" si="8"/>
        <v>0</v>
      </c>
      <c r="AP94" s="1837">
        <f t="shared" si="8"/>
        <v>0</v>
      </c>
      <c r="AQ94" s="544">
        <f t="shared" si="8"/>
        <v>0</v>
      </c>
      <c r="AR94" s="544">
        <f t="shared" si="8"/>
        <v>0</v>
      </c>
      <c r="AS94" s="544">
        <f t="shared" si="8"/>
        <v>0</v>
      </c>
      <c r="AT94" s="544">
        <f t="shared" si="8"/>
        <v>0</v>
      </c>
      <c r="AU94" s="544">
        <f t="shared" si="8"/>
        <v>0</v>
      </c>
      <c r="AV94" s="1817">
        <f t="shared" si="8"/>
        <v>0</v>
      </c>
      <c r="AW94" s="1857">
        <f t="shared" si="8"/>
        <v>0</v>
      </c>
      <c r="AX94" s="1857">
        <f t="shared" si="8"/>
        <v>0</v>
      </c>
      <c r="AY94" s="1837">
        <f t="shared" si="8"/>
        <v>0</v>
      </c>
      <c r="AZ94" s="544">
        <f t="shared" si="8"/>
        <v>0</v>
      </c>
      <c r="BA94" s="544">
        <f t="shared" si="8"/>
        <v>0</v>
      </c>
      <c r="BB94" s="544">
        <f t="shared" si="8"/>
        <v>0</v>
      </c>
      <c r="BC94" s="1817">
        <f t="shared" si="8"/>
        <v>0</v>
      </c>
      <c r="BD94" s="1857">
        <f t="shared" si="8"/>
        <v>0</v>
      </c>
      <c r="BE94" s="1837">
        <f t="shared" si="8"/>
        <v>0</v>
      </c>
      <c r="BF94" s="544">
        <f t="shared" si="8"/>
        <v>0</v>
      </c>
      <c r="BG94" s="544">
        <f t="shared" si="8"/>
        <v>0</v>
      </c>
      <c r="BH94" s="544">
        <f t="shared" si="8"/>
        <v>0</v>
      </c>
      <c r="BI94" s="544">
        <f t="shared" si="8"/>
        <v>0</v>
      </c>
      <c r="BJ94" s="544">
        <f t="shared" si="8"/>
        <v>0</v>
      </c>
      <c r="BK94" s="544">
        <f t="shared" si="8"/>
        <v>0</v>
      </c>
      <c r="BL94" s="1817">
        <f t="shared" si="8"/>
        <v>0</v>
      </c>
      <c r="BM94" s="1857">
        <f t="shared" si="8"/>
        <v>0</v>
      </c>
      <c r="BN94" s="1836">
        <f t="shared" si="8"/>
        <v>0</v>
      </c>
      <c r="BO94" s="1857">
        <f t="shared" si="8"/>
        <v>0</v>
      </c>
      <c r="BP94" s="1857">
        <f t="shared" si="8"/>
        <v>0</v>
      </c>
      <c r="BQ94" s="1837">
        <f t="shared" si="8"/>
        <v>0</v>
      </c>
      <c r="BR94" s="544">
        <f t="shared" si="8"/>
        <v>0</v>
      </c>
      <c r="BS94" s="1817">
        <f t="shared" si="8"/>
        <v>0</v>
      </c>
      <c r="BT94" s="1915">
        <f t="shared" si="8"/>
        <v>0</v>
      </c>
      <c r="BU94" s="1857">
        <f t="shared" si="8"/>
        <v>0</v>
      </c>
      <c r="BV94" s="1897">
        <f t="shared" si="8"/>
        <v>0</v>
      </c>
      <c r="BW94" s="1915">
        <f t="shared" si="8"/>
        <v>0</v>
      </c>
      <c r="BX94" s="1857">
        <f t="shared" ref="BX94:CW94" si="9">SUM(BX11:BX93)</f>
        <v>0</v>
      </c>
      <c r="BY94" s="1836">
        <f t="shared" si="9"/>
        <v>0</v>
      </c>
      <c r="BZ94" s="1857">
        <f t="shared" si="9"/>
        <v>0</v>
      </c>
      <c r="CA94" s="1857">
        <f t="shared" si="9"/>
        <v>0</v>
      </c>
      <c r="CB94" s="1857"/>
      <c r="CC94" s="1857">
        <f t="shared" si="9"/>
        <v>0</v>
      </c>
      <c r="CD94" s="1837">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7">
        <f t="shared" si="9"/>
        <v>0</v>
      </c>
      <c r="CR94" s="1857">
        <f t="shared" si="9"/>
        <v>0</v>
      </c>
      <c r="CS94" s="1897">
        <f t="shared" si="9"/>
        <v>0</v>
      </c>
      <c r="CT94" s="1857">
        <f t="shared" si="9"/>
        <v>0</v>
      </c>
      <c r="CU94" s="1857">
        <f t="shared" si="9"/>
        <v>0</v>
      </c>
      <c r="CV94" s="1915">
        <f t="shared" si="9"/>
        <v>0</v>
      </c>
      <c r="CW94" s="1915">
        <f t="shared" si="9"/>
        <v>0</v>
      </c>
      <c r="CX94" s="1860"/>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899999999999999" hidden="1" customHeight="1" thickTop="1">
      <c r="BC95" s="1489"/>
      <c r="BD95" s="1489"/>
      <c r="BE95" s="1489"/>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4.4" hidden="1" thickTop="1">
      <c r="G96" s="1496" t="s">
        <v>3918</v>
      </c>
      <c r="BC96" s="1489"/>
      <c r="BD96" s="1489"/>
      <c r="BE96" s="1489"/>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2" hidden="1" thickTop="1">
      <c r="A97" s="1497" t="s">
        <v>1239</v>
      </c>
      <c r="B97" s="1498"/>
      <c r="C97" s="1499"/>
      <c r="D97" s="1499"/>
      <c r="E97" s="1500" t="s">
        <v>1823</v>
      </c>
      <c r="F97" s="1498"/>
      <c r="G97" s="1501"/>
      <c r="H97" s="1502"/>
      <c r="I97" s="1498"/>
      <c r="J97" s="1503">
        <f>B97*1.03</f>
        <v>0</v>
      </c>
      <c r="K97" s="1503">
        <f>B97*1.03</f>
        <v>0</v>
      </c>
      <c r="L97" s="1503">
        <f>C97*1.03</f>
        <v>0</v>
      </c>
      <c r="M97" s="1504"/>
      <c r="N97" s="1489" t="s">
        <v>1823</v>
      </c>
      <c r="BC97" s="1489"/>
      <c r="BD97" s="1489"/>
      <c r="BE97" s="1489"/>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7" t="s">
        <v>88</v>
      </c>
      <c r="B98" s="1498"/>
      <c r="C98" s="1505">
        <f>2*C94+D94</f>
        <v>0</v>
      </c>
      <c r="D98" s="1499">
        <f>D94</f>
        <v>0</v>
      </c>
      <c r="E98" s="1500" t="s">
        <v>1823</v>
      </c>
      <c r="F98" s="1498"/>
      <c r="G98" s="1501"/>
      <c r="H98" s="1502"/>
      <c r="I98" s="1498"/>
      <c r="J98" s="1506">
        <f>B98*1.03</f>
        <v>0</v>
      </c>
      <c r="K98" s="1506"/>
      <c r="L98" s="3142">
        <f>D94</f>
        <v>0</v>
      </c>
      <c r="M98" s="3142"/>
      <c r="N98" s="3142"/>
      <c r="O98" s="3142"/>
      <c r="P98" s="3142"/>
      <c r="Q98" s="3142"/>
      <c r="R98" s="3142"/>
      <c r="S98" s="3142"/>
      <c r="T98" s="3142"/>
      <c r="U98" s="3142"/>
      <c r="BC98" s="1489"/>
      <c r="BD98" s="1489"/>
      <c r="BE98" s="1489"/>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899999999999999" hidden="1" customHeight="1">
      <c r="A99" s="1507" t="s">
        <v>268</v>
      </c>
      <c r="B99" s="1498"/>
      <c r="C99" s="1508"/>
      <c r="D99" s="1508"/>
      <c r="E99" s="1500" t="s">
        <v>1823</v>
      </c>
      <c r="F99" s="1498"/>
      <c r="G99" s="1509"/>
      <c r="H99" s="1502"/>
      <c r="I99" s="1498"/>
      <c r="J99" s="1503">
        <f>B99*1.03</f>
        <v>0</v>
      </c>
      <c r="K99" s="1503">
        <f>B99*1.03</f>
        <v>0</v>
      </c>
      <c r="L99" s="1503">
        <f>C99*1.03</f>
        <v>0</v>
      </c>
      <c r="M99" s="1504"/>
      <c r="N99" s="1489" t="s">
        <v>1823</v>
      </c>
      <c r="BC99" s="1489"/>
      <c r="BD99" s="1489"/>
      <c r="BE99" s="1489"/>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899999999999999" hidden="1" customHeight="1">
      <c r="A100" s="1507" t="s">
        <v>267</v>
      </c>
      <c r="B100" s="1498"/>
      <c r="C100" s="1499"/>
      <c r="D100" s="1499"/>
      <c r="E100" s="1500" t="s">
        <v>1823</v>
      </c>
      <c r="F100" s="1498"/>
      <c r="G100" s="1501"/>
      <c r="H100" s="1502"/>
      <c r="I100" s="1498"/>
      <c r="J100" s="1503">
        <f>B100*1.03</f>
        <v>0</v>
      </c>
      <c r="K100" s="1503">
        <f>B100*1.03</f>
        <v>0</v>
      </c>
      <c r="L100" s="1503">
        <f>C100*1.03</f>
        <v>0</v>
      </c>
      <c r="M100" s="1504"/>
      <c r="N100" s="1489" t="s">
        <v>1823</v>
      </c>
      <c r="BC100" s="1489"/>
      <c r="BD100" s="1489"/>
      <c r="BE100" s="1489"/>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899999999999999" hidden="1" customHeight="1">
      <c r="A101" s="1497" t="s">
        <v>360</v>
      </c>
      <c r="B101" s="1498"/>
      <c r="C101" s="1508">
        <f>D94</f>
        <v>0</v>
      </c>
      <c r="D101" s="1508">
        <f>D94</f>
        <v>0</v>
      </c>
      <c r="E101" s="1500" t="s">
        <v>1823</v>
      </c>
      <c r="F101" s="1498"/>
      <c r="G101" s="1509"/>
      <c r="H101" s="1502"/>
      <c r="I101" s="1498"/>
      <c r="J101" s="1503">
        <f>B101*1.03</f>
        <v>0</v>
      </c>
      <c r="K101" s="1503"/>
      <c r="L101" s="3142">
        <f>D94</f>
        <v>0</v>
      </c>
      <c r="M101" s="3142"/>
      <c r="N101" s="3142"/>
      <c r="O101" s="3142"/>
      <c r="P101" s="3142"/>
      <c r="Q101" s="3142"/>
      <c r="R101" s="3142"/>
      <c r="S101" s="3142"/>
      <c r="T101" s="3142"/>
      <c r="U101" s="3142"/>
      <c r="BC101" s="1489"/>
      <c r="BD101" s="1489"/>
      <c r="BE101" s="1489"/>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899999999999999" customHeight="1" thickTop="1">
      <c r="BC102" s="1489"/>
      <c r="BD102" s="1489"/>
      <c r="BE102" s="1489"/>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899999999999999" customHeight="1">
      <c r="BC103" s="1489"/>
      <c r="BD103" s="1489"/>
      <c r="BE103" s="1489"/>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899999999999999" customHeight="1">
      <c r="BC104" s="1489"/>
      <c r="BD104" s="1489"/>
      <c r="BE104" s="1489"/>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899999999999999" customHeight="1">
      <c r="BC105" s="1489"/>
      <c r="BD105" s="1489"/>
      <c r="BE105" s="1489"/>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899999999999999" customHeight="1">
      <c r="BC106" s="1489"/>
      <c r="BD106" s="1489"/>
      <c r="BE106" s="1489"/>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899999999999999" customHeight="1">
      <c r="BC107" s="1489"/>
      <c r="BD107" s="1489"/>
      <c r="BE107" s="1489"/>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899999999999999" customHeight="1">
      <c r="BC108" s="1489"/>
      <c r="BD108" s="1489"/>
      <c r="BE108" s="1489"/>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899999999999999" customHeight="1">
      <c r="BC109" s="1489"/>
      <c r="BD109" s="1489"/>
      <c r="BE109" s="1489"/>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899999999999999" customHeight="1">
      <c r="BC110" s="1489"/>
      <c r="BD110" s="1489"/>
      <c r="BE110" s="1489"/>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899999999999999" hidden="1" customHeight="1" thickBot="1">
      <c r="BC111" s="1489"/>
      <c r="BD111" s="1489"/>
      <c r="BE111" s="1489"/>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899999999999999" hidden="1" customHeight="1">
      <c r="H112" s="1510" t="s">
        <v>1251</v>
      </c>
      <c r="I112" s="1272"/>
      <c r="J112" s="1272"/>
      <c r="K112" s="1272"/>
      <c r="L112" s="1272"/>
      <c r="M112" s="1272"/>
      <c r="N112" s="1272" t="e">
        <f>VLOOKUP($H112,pp_1XDM,N$125,0)</f>
        <v>#NAME?</v>
      </c>
      <c r="O112" s="1272" t="e">
        <f t="shared" ref="O112:CW112" si="10">VLOOKUP($H112,pp_1XDM,O$125,0)</f>
        <v>#NAME?</v>
      </c>
      <c r="P112" s="1272" t="e">
        <f t="shared" si="10"/>
        <v>#NAME?</v>
      </c>
      <c r="Q112" s="1272" t="e">
        <f t="shared" si="10"/>
        <v>#NAME?</v>
      </c>
      <c r="R112" s="1272" t="e">
        <f t="shared" si="10"/>
        <v>#NAME?</v>
      </c>
      <c r="S112" s="1272" t="e">
        <f t="shared" si="10"/>
        <v>#NAME?</v>
      </c>
      <c r="T112" s="1272" t="e">
        <f t="shared" si="10"/>
        <v>#NAME?</v>
      </c>
      <c r="U112" s="1272" t="e">
        <f t="shared" si="10"/>
        <v>#NAME?</v>
      </c>
      <c r="V112" s="1272" t="e">
        <f t="shared" si="10"/>
        <v>#NAME?</v>
      </c>
      <c r="W112" s="1272" t="e">
        <f t="shared" si="10"/>
        <v>#NAME?</v>
      </c>
      <c r="X112" s="1272" t="e">
        <f t="shared" si="10"/>
        <v>#NAME?</v>
      </c>
      <c r="Y112" s="1272" t="e">
        <f t="shared" si="10"/>
        <v>#NAME?</v>
      </c>
      <c r="Z112" s="1272" t="e">
        <f t="shared" si="10"/>
        <v>#NAME?</v>
      </c>
      <c r="AA112" s="1272" t="e">
        <f t="shared" si="10"/>
        <v>#NAME?</v>
      </c>
      <c r="AB112" s="1272" t="e">
        <f t="shared" si="10"/>
        <v>#NAME?</v>
      </c>
      <c r="AC112" s="1272" t="e">
        <f t="shared" si="10"/>
        <v>#NAME?</v>
      </c>
      <c r="AD112" s="1272" t="e">
        <f t="shared" si="10"/>
        <v>#NAME?</v>
      </c>
      <c r="AE112" s="1272" t="e">
        <f t="shared" si="10"/>
        <v>#NAME?</v>
      </c>
      <c r="AF112" s="1272" t="e">
        <f t="shared" si="10"/>
        <v>#NAME?</v>
      </c>
      <c r="AG112" s="1272" t="e">
        <f t="shared" si="10"/>
        <v>#NAME?</v>
      </c>
      <c r="AH112" s="1272" t="e">
        <f t="shared" si="10"/>
        <v>#NAME?</v>
      </c>
      <c r="AI112" s="1272" t="e">
        <f t="shared" si="10"/>
        <v>#NAME?</v>
      </c>
      <c r="AJ112" s="1272" t="e">
        <f t="shared" si="10"/>
        <v>#NAME?</v>
      </c>
      <c r="AK112" s="1272" t="e">
        <f t="shared" si="10"/>
        <v>#NAME?</v>
      </c>
      <c r="AL112" s="1272" t="e">
        <f t="shared" si="10"/>
        <v>#NAME?</v>
      </c>
      <c r="AM112" s="1272" t="e">
        <f t="shared" si="10"/>
        <v>#NAME?</v>
      </c>
      <c r="AN112" s="1272" t="e">
        <f t="shared" si="10"/>
        <v>#NAME?</v>
      </c>
      <c r="AO112" s="1272" t="e">
        <f t="shared" si="10"/>
        <v>#NAME?</v>
      </c>
      <c r="AP112" s="1272" t="e">
        <f t="shared" si="10"/>
        <v>#NAME?</v>
      </c>
      <c r="AQ112" s="1272" t="e">
        <f t="shared" si="10"/>
        <v>#NAME?</v>
      </c>
      <c r="AR112" s="1272" t="e">
        <f t="shared" si="10"/>
        <v>#NAME?</v>
      </c>
      <c r="AS112" s="1272" t="e">
        <f t="shared" si="10"/>
        <v>#NAME?</v>
      </c>
      <c r="AT112" s="1272" t="e">
        <f t="shared" si="10"/>
        <v>#NAME?</v>
      </c>
      <c r="AU112" s="1272" t="e">
        <f t="shared" si="10"/>
        <v>#NAME?</v>
      </c>
      <c r="AV112" s="1272" t="e">
        <f t="shared" si="10"/>
        <v>#NAME?</v>
      </c>
      <c r="AW112" s="1272" t="e">
        <f t="shared" si="10"/>
        <v>#NAME?</v>
      </c>
      <c r="AX112" s="1272" t="e">
        <f t="shared" si="10"/>
        <v>#NAME?</v>
      </c>
      <c r="AY112" s="1272" t="e">
        <f t="shared" si="10"/>
        <v>#NAME?</v>
      </c>
      <c r="AZ112" s="1272" t="e">
        <f t="shared" si="10"/>
        <v>#NAME?</v>
      </c>
      <c r="BA112" s="1272" t="e">
        <f t="shared" si="10"/>
        <v>#NAME?</v>
      </c>
      <c r="BB112" s="1272" t="e">
        <f t="shared" si="10"/>
        <v>#NAME?</v>
      </c>
      <c r="BC112" s="1272" t="e">
        <f t="shared" si="10"/>
        <v>#NAME?</v>
      </c>
      <c r="BD112" s="1272" t="e">
        <f t="shared" si="10"/>
        <v>#NAME?</v>
      </c>
      <c r="BE112" s="1272" t="e">
        <f t="shared" si="10"/>
        <v>#NAME?</v>
      </c>
      <c r="BF112" s="1272" t="e">
        <f t="shared" si="10"/>
        <v>#NAME?</v>
      </c>
      <c r="BG112" s="1272" t="e">
        <f t="shared" si="10"/>
        <v>#NAME?</v>
      </c>
      <c r="BH112" s="1272" t="e">
        <f t="shared" si="10"/>
        <v>#NAME?</v>
      </c>
      <c r="BI112" s="1272" t="e">
        <f t="shared" si="10"/>
        <v>#NAME?</v>
      </c>
      <c r="BJ112" s="1272" t="e">
        <f t="shared" si="10"/>
        <v>#NAME?</v>
      </c>
      <c r="BK112" s="1272" t="e">
        <f t="shared" si="10"/>
        <v>#NAME?</v>
      </c>
      <c r="BL112" s="1272" t="e">
        <f t="shared" si="10"/>
        <v>#NAME?</v>
      </c>
      <c r="BM112" s="1272"/>
      <c r="BN112" s="1272" t="e">
        <f t="shared" si="10"/>
        <v>#NAME?</v>
      </c>
      <c r="BO112" s="1272" t="e">
        <f t="shared" si="10"/>
        <v>#NAME?</v>
      </c>
      <c r="BP112" s="1272" t="e">
        <f t="shared" si="10"/>
        <v>#NAME?</v>
      </c>
      <c r="BQ112" s="1272"/>
      <c r="BR112" s="1272"/>
      <c r="BS112" s="1272" t="e">
        <f t="shared" si="10"/>
        <v>#NAME?</v>
      </c>
      <c r="BT112" s="1272"/>
      <c r="BU112" s="1272"/>
      <c r="BV112" s="1272" t="e">
        <f t="shared" si="10"/>
        <v>#NAME?</v>
      </c>
      <c r="BW112" s="1272" t="e">
        <f t="shared" si="10"/>
        <v>#NAME?</v>
      </c>
      <c r="BX112" s="1272" t="e">
        <f t="shared" si="10"/>
        <v>#NAME?</v>
      </c>
      <c r="BY112" s="1272" t="e">
        <f t="shared" si="10"/>
        <v>#NAME?</v>
      </c>
      <c r="BZ112" s="1272" t="e">
        <f t="shared" si="10"/>
        <v>#NAME?</v>
      </c>
      <c r="CA112" s="1272"/>
      <c r="CB112" s="1272"/>
      <c r="CC112" s="1272" t="e">
        <f t="shared" si="10"/>
        <v>#NAME?</v>
      </c>
      <c r="CD112" s="1272" t="e">
        <f t="shared" si="10"/>
        <v>#NAME?</v>
      </c>
      <c r="CE112" s="1272" t="e">
        <f t="shared" si="10"/>
        <v>#NAME?</v>
      </c>
      <c r="CF112" s="1272" t="e">
        <f t="shared" si="10"/>
        <v>#NAME?</v>
      </c>
      <c r="CG112" s="1272" t="e">
        <f t="shared" si="10"/>
        <v>#NAME?</v>
      </c>
      <c r="CH112" s="1272" t="e">
        <f t="shared" si="10"/>
        <v>#NAME?</v>
      </c>
      <c r="CI112" s="1272" t="e">
        <f t="shared" si="10"/>
        <v>#NAME?</v>
      </c>
      <c r="CJ112" s="1272" t="e">
        <f t="shared" si="10"/>
        <v>#NAME?</v>
      </c>
      <c r="CK112" s="1272" t="e">
        <f t="shared" si="10"/>
        <v>#NAME?</v>
      </c>
      <c r="CL112" s="1272" t="e">
        <f t="shared" si="10"/>
        <v>#NAME?</v>
      </c>
      <c r="CM112" s="1272" t="e">
        <f t="shared" si="10"/>
        <v>#NAME?</v>
      </c>
      <c r="CN112" s="1272" t="e">
        <f t="shared" si="10"/>
        <v>#NAME?</v>
      </c>
      <c r="CO112" s="1272" t="e">
        <f t="shared" si="10"/>
        <v>#NAME?</v>
      </c>
      <c r="CP112" s="1272" t="e">
        <f t="shared" si="10"/>
        <v>#NAME?</v>
      </c>
      <c r="CQ112" s="1272" t="e">
        <f t="shared" si="10"/>
        <v>#NAME?</v>
      </c>
      <c r="CR112" s="1272" t="e">
        <f t="shared" si="10"/>
        <v>#NAME?</v>
      </c>
      <c r="CS112" s="1272"/>
      <c r="CT112" s="1272"/>
      <c r="CU112" s="1272"/>
      <c r="CV112" s="1272"/>
      <c r="CW112" s="1272" t="e">
        <f t="shared" si="10"/>
        <v>#NAME?</v>
      </c>
      <c r="CX112" s="1511"/>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899999999999999" hidden="1" customHeight="1">
      <c r="H113" s="546" t="s">
        <v>1773</v>
      </c>
      <c r="I113" s="1512"/>
      <c r="J113" s="1512"/>
      <c r="K113" s="1512"/>
      <c r="L113" s="1512"/>
      <c r="M113" s="1512"/>
      <c r="N113" s="1512"/>
      <c r="O113" s="1513"/>
      <c r="P113" s="1513"/>
      <c r="Q113" s="1513"/>
      <c r="R113" s="1513"/>
      <c r="S113" s="1513"/>
      <c r="T113" s="1513">
        <v>1</v>
      </c>
      <c r="U113" s="1512"/>
      <c r="V113" s="1513"/>
      <c r="W113" s="1513"/>
      <c r="X113" s="1513"/>
      <c r="Y113" s="1513"/>
      <c r="Z113" s="1513"/>
      <c r="AA113" s="1513">
        <v>1</v>
      </c>
      <c r="AB113" s="1513"/>
      <c r="AC113" s="1513"/>
      <c r="AD113" s="1513"/>
      <c r="AE113" s="1513"/>
      <c r="AF113" s="1513"/>
      <c r="AG113" s="1513"/>
      <c r="AH113" s="1513"/>
      <c r="AI113" s="1513"/>
      <c r="AJ113" s="1513"/>
      <c r="AK113" s="1512"/>
      <c r="AL113" s="1512"/>
      <c r="AM113" s="1512"/>
      <c r="AN113" s="1512"/>
      <c r="AO113" s="1512"/>
      <c r="AP113" s="1512"/>
      <c r="AQ113" s="1512"/>
      <c r="AR113" s="1512"/>
      <c r="AS113" s="1512"/>
      <c r="AT113" s="1512"/>
      <c r="AU113" s="1512"/>
      <c r="AV113" s="1512"/>
      <c r="AW113" s="1513"/>
      <c r="AX113" s="1513"/>
      <c r="AY113" s="1513"/>
      <c r="AZ113" s="1513"/>
      <c r="BA113" s="1513"/>
      <c r="BB113" s="1513"/>
      <c r="BC113" s="1512"/>
      <c r="BD113" s="1512"/>
      <c r="BE113" s="1512"/>
      <c r="BF113" s="1513"/>
      <c r="BG113" s="1513"/>
      <c r="BH113" s="1513"/>
      <c r="BI113" s="1513"/>
      <c r="BJ113" s="1513"/>
      <c r="BK113" s="1513"/>
      <c r="BL113" s="1513"/>
      <c r="BM113" s="1513"/>
      <c r="BN113" s="1513"/>
      <c r="BO113" s="1512">
        <v>1</v>
      </c>
      <c r="BP113" s="1512"/>
      <c r="BQ113" s="1512"/>
      <c r="BR113" s="1512"/>
      <c r="BS113" s="1512"/>
      <c r="BT113" s="1512"/>
      <c r="BU113" s="1512"/>
      <c r="BV113" s="1512"/>
      <c r="BW113" s="1512"/>
      <c r="BX113" s="1512">
        <v>1</v>
      </c>
      <c r="BY113" s="1512"/>
      <c r="BZ113" s="1514"/>
      <c r="CA113" s="1514"/>
      <c r="CB113" s="1514"/>
      <c r="CC113" s="1512"/>
      <c r="CD113" s="1512"/>
      <c r="CE113" s="1512"/>
      <c r="CF113" s="1512"/>
      <c r="CG113" s="1512"/>
      <c r="CH113" s="1512"/>
      <c r="CI113" s="1512"/>
      <c r="CJ113" s="1512"/>
      <c r="CK113" s="1512"/>
      <c r="CL113" s="1512"/>
      <c r="CM113" s="1512"/>
      <c r="CN113" s="1512"/>
      <c r="CO113" s="1512"/>
      <c r="CP113" s="1512"/>
      <c r="CQ113" s="1512"/>
      <c r="CR113" s="1512"/>
      <c r="CS113" s="1512"/>
      <c r="CT113" s="1512"/>
      <c r="CU113" s="1512"/>
      <c r="CV113" s="1512"/>
      <c r="CW113" s="1512"/>
      <c r="CX113" s="1515"/>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899999999999999" hidden="1" customHeight="1">
      <c r="H114" s="547" t="s">
        <v>2194</v>
      </c>
      <c r="I114" s="1516"/>
      <c r="J114" s="1516"/>
      <c r="K114" s="1516"/>
      <c r="L114" s="1516"/>
      <c r="M114" s="1516"/>
      <c r="N114" s="1516"/>
      <c r="O114" s="1517"/>
      <c r="P114" s="1517"/>
      <c r="Q114" s="1517"/>
      <c r="R114" s="1517"/>
      <c r="S114" s="1517"/>
      <c r="T114" s="1517"/>
      <c r="U114" s="1516">
        <v>1</v>
      </c>
      <c r="V114" s="1517">
        <v>1</v>
      </c>
      <c r="W114" s="1517">
        <v>1</v>
      </c>
      <c r="X114" s="1517"/>
      <c r="Y114" s="1517"/>
      <c r="Z114" s="1517"/>
      <c r="AA114" s="1517"/>
      <c r="AB114" s="1517">
        <v>1</v>
      </c>
      <c r="AC114" s="1517"/>
      <c r="AD114" s="1517"/>
      <c r="AE114" s="1517"/>
      <c r="AF114" s="1517"/>
      <c r="AG114" s="1517"/>
      <c r="AH114" s="1517"/>
      <c r="AI114" s="1517"/>
      <c r="AJ114" s="1517"/>
      <c r="AK114" s="1516"/>
      <c r="AL114" s="1516"/>
      <c r="AM114" s="1516"/>
      <c r="AN114" s="1516">
        <v>1</v>
      </c>
      <c r="AO114" s="1516"/>
      <c r="AP114" s="1516"/>
      <c r="AQ114" s="1516"/>
      <c r="AR114" s="1516"/>
      <c r="AS114" s="1516"/>
      <c r="AT114" s="1516"/>
      <c r="AU114" s="1516"/>
      <c r="AV114" s="1516"/>
      <c r="AW114" s="1517"/>
      <c r="AX114" s="1517"/>
      <c r="AY114" s="1517">
        <v>1</v>
      </c>
      <c r="AZ114" s="1517"/>
      <c r="BA114" s="1517">
        <v>1</v>
      </c>
      <c r="BB114" s="1517"/>
      <c r="BC114" s="1516"/>
      <c r="BD114" s="1516"/>
      <c r="BE114" s="1516"/>
      <c r="BF114" s="1517"/>
      <c r="BG114" s="1517"/>
      <c r="BH114" s="1517">
        <v>1</v>
      </c>
      <c r="BI114" s="1517"/>
      <c r="BJ114" s="1517">
        <v>1</v>
      </c>
      <c r="BK114" s="1517"/>
      <c r="BL114" s="1517">
        <v>1</v>
      </c>
      <c r="BM114" s="1517"/>
      <c r="BN114" s="1517"/>
      <c r="BO114" s="1516"/>
      <c r="BP114" s="1516">
        <v>1</v>
      </c>
      <c r="BQ114" s="1516"/>
      <c r="BR114" s="1516"/>
      <c r="BS114" s="1516">
        <v>1</v>
      </c>
      <c r="BT114" s="1516"/>
      <c r="BU114" s="1516"/>
      <c r="BV114" s="1516"/>
      <c r="BW114" s="1516"/>
      <c r="BX114" s="1516">
        <v>1</v>
      </c>
      <c r="BY114" s="1516"/>
      <c r="BZ114" s="1518"/>
      <c r="CA114" s="1518"/>
      <c r="CB114" s="1518"/>
      <c r="CC114" s="1516"/>
      <c r="CD114" s="1516"/>
      <c r="CE114" s="1516"/>
      <c r="CF114" s="1516"/>
      <c r="CG114" s="1516"/>
      <c r="CH114" s="1516"/>
      <c r="CI114" s="1516"/>
      <c r="CJ114" s="1516"/>
      <c r="CK114" s="1516"/>
      <c r="CL114" s="1516"/>
      <c r="CM114" s="1516"/>
      <c r="CN114" s="1516"/>
      <c r="CO114" s="1516"/>
      <c r="CP114" s="1516"/>
      <c r="CQ114" s="1516"/>
      <c r="CR114" s="1516"/>
      <c r="CS114" s="1516"/>
      <c r="CT114" s="1516"/>
      <c r="CU114" s="1516"/>
      <c r="CV114" s="1516"/>
      <c r="CW114" s="1516"/>
      <c r="CX114" s="1519"/>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899999999999999" hidden="1" customHeight="1">
      <c r="H115" s="546" t="s">
        <v>1869</v>
      </c>
      <c r="I115" s="1516"/>
      <c r="J115" s="1516"/>
      <c r="K115" s="1516"/>
      <c r="L115" s="1516"/>
      <c r="M115" s="1516"/>
      <c r="N115" s="1516"/>
      <c r="O115" s="1517"/>
      <c r="P115" s="1517"/>
      <c r="Q115" s="1517"/>
      <c r="R115" s="1517"/>
      <c r="S115" s="1517"/>
      <c r="T115" s="1517"/>
      <c r="U115" s="1516"/>
      <c r="V115" s="1517"/>
      <c r="W115" s="1517"/>
      <c r="X115" s="1517"/>
      <c r="Y115" s="1517"/>
      <c r="Z115" s="1517"/>
      <c r="AA115" s="1517"/>
      <c r="AB115" s="1517"/>
      <c r="AC115" s="1517"/>
      <c r="AD115" s="1517"/>
      <c r="AE115" s="1517"/>
      <c r="AF115" s="1517"/>
      <c r="AG115" s="1517"/>
      <c r="AH115" s="1517"/>
      <c r="AI115" s="1517"/>
      <c r="AJ115" s="1517"/>
      <c r="AK115" s="1516"/>
      <c r="AL115" s="1516"/>
      <c r="AM115" s="1516"/>
      <c r="AN115" s="1516"/>
      <c r="AO115" s="1516"/>
      <c r="AP115" s="1516"/>
      <c r="AQ115" s="1516"/>
      <c r="AR115" s="1516"/>
      <c r="AS115" s="1516"/>
      <c r="AT115" s="1516"/>
      <c r="AU115" s="1516"/>
      <c r="AV115" s="1516"/>
      <c r="AW115" s="1517"/>
      <c r="AX115" s="1517"/>
      <c r="AY115" s="1517"/>
      <c r="AZ115" s="1517"/>
      <c r="BA115" s="1517"/>
      <c r="BB115" s="1517"/>
      <c r="BC115" s="1516"/>
      <c r="BD115" s="1516"/>
      <c r="BE115" s="1516"/>
      <c r="BF115" s="1517"/>
      <c r="BG115" s="1517"/>
      <c r="BH115" s="1517"/>
      <c r="BI115" s="1517"/>
      <c r="BJ115" s="1517"/>
      <c r="BK115" s="1517"/>
      <c r="BL115" s="1517"/>
      <c r="BM115" s="1517"/>
      <c r="BN115" s="1517"/>
      <c r="BO115" s="1516"/>
      <c r="BP115" s="1516"/>
      <c r="BQ115" s="1516"/>
      <c r="BR115" s="1516"/>
      <c r="BS115" s="1516"/>
      <c r="BT115" s="1516"/>
      <c r="BU115" s="1516"/>
      <c r="BV115" s="1516"/>
      <c r="BW115" s="1516"/>
      <c r="BX115" s="1516"/>
      <c r="BY115" s="1516"/>
      <c r="BZ115" s="1518"/>
      <c r="CA115" s="1518"/>
      <c r="CB115" s="1518"/>
      <c r="CC115" s="1516"/>
      <c r="CD115" s="1516"/>
      <c r="CE115" s="1516"/>
      <c r="CF115" s="1516"/>
      <c r="CG115" s="1516"/>
      <c r="CH115" s="1516"/>
      <c r="CI115" s="1516"/>
      <c r="CJ115" s="1516"/>
      <c r="CK115" s="1516"/>
      <c r="CL115" s="1516"/>
      <c r="CM115" s="1516"/>
      <c r="CN115" s="1516"/>
      <c r="CO115" s="1516"/>
      <c r="CP115" s="1516"/>
      <c r="CQ115" s="1516"/>
      <c r="CR115" s="1516"/>
      <c r="CS115" s="1516"/>
      <c r="CT115" s="1516"/>
      <c r="CU115" s="1516"/>
      <c r="CV115" s="1516"/>
      <c r="CW115" s="1516"/>
      <c r="CX115" s="1519"/>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899999999999999" hidden="1" customHeight="1">
      <c r="H116" s="546" t="s">
        <v>1870</v>
      </c>
      <c r="I116" s="1516"/>
      <c r="J116" s="1516"/>
      <c r="K116" s="1516"/>
      <c r="L116" s="1516"/>
      <c r="M116" s="1516"/>
      <c r="N116" s="1516"/>
      <c r="O116" s="1517"/>
      <c r="P116" s="1517"/>
      <c r="Q116" s="1517"/>
      <c r="R116" s="1517"/>
      <c r="S116" s="1517"/>
      <c r="T116" s="1517"/>
      <c r="U116" s="1516"/>
      <c r="V116" s="1517"/>
      <c r="W116" s="1517"/>
      <c r="X116" s="1517"/>
      <c r="Y116" s="1517"/>
      <c r="Z116" s="1517"/>
      <c r="AA116" s="1517"/>
      <c r="AB116" s="1517"/>
      <c r="AC116" s="1517"/>
      <c r="AD116" s="1517"/>
      <c r="AE116" s="1517"/>
      <c r="AF116" s="1517"/>
      <c r="AG116" s="1517"/>
      <c r="AH116" s="1517"/>
      <c r="AI116" s="1517"/>
      <c r="AJ116" s="1517"/>
      <c r="AK116" s="1516"/>
      <c r="AL116" s="1516"/>
      <c r="AM116" s="1516"/>
      <c r="AN116" s="1516"/>
      <c r="AO116" s="1516"/>
      <c r="AP116" s="1516"/>
      <c r="AQ116" s="1516"/>
      <c r="AR116" s="1516"/>
      <c r="AS116" s="1516"/>
      <c r="AT116" s="1516"/>
      <c r="AU116" s="1516"/>
      <c r="AV116" s="1516"/>
      <c r="AW116" s="1517"/>
      <c r="AX116" s="1517"/>
      <c r="AY116" s="1517"/>
      <c r="AZ116" s="1517"/>
      <c r="BA116" s="1517"/>
      <c r="BB116" s="1517"/>
      <c r="BC116" s="1516"/>
      <c r="BD116" s="1516"/>
      <c r="BE116" s="1516"/>
      <c r="BF116" s="1517"/>
      <c r="BG116" s="1517"/>
      <c r="BH116" s="1517"/>
      <c r="BI116" s="1517"/>
      <c r="BJ116" s="1517"/>
      <c r="BK116" s="1517"/>
      <c r="BL116" s="1517"/>
      <c r="BM116" s="1517"/>
      <c r="BN116" s="1517"/>
      <c r="BO116" s="1516"/>
      <c r="BP116" s="1516"/>
      <c r="BQ116" s="1516"/>
      <c r="BR116" s="1516"/>
      <c r="BS116" s="1516"/>
      <c r="BT116" s="1516"/>
      <c r="BU116" s="1516"/>
      <c r="BV116" s="1516"/>
      <c r="BW116" s="1516"/>
      <c r="BX116" s="1516"/>
      <c r="BY116" s="1516"/>
      <c r="BZ116" s="1518"/>
      <c r="CA116" s="1518"/>
      <c r="CB116" s="1518"/>
      <c r="CC116" s="1516"/>
      <c r="CD116" s="1516"/>
      <c r="CE116" s="1516"/>
      <c r="CF116" s="1516"/>
      <c r="CG116" s="1516"/>
      <c r="CH116" s="1516"/>
      <c r="CI116" s="1516"/>
      <c r="CJ116" s="1516"/>
      <c r="CK116" s="1516"/>
      <c r="CL116" s="1516"/>
      <c r="CM116" s="1516"/>
      <c r="CN116" s="1516"/>
      <c r="CO116" s="1516"/>
      <c r="CP116" s="1516"/>
      <c r="CQ116" s="1516"/>
      <c r="CR116" s="1516"/>
      <c r="CS116" s="1516"/>
      <c r="CT116" s="1516"/>
      <c r="CU116" s="1516"/>
      <c r="CV116" s="1516"/>
      <c r="CW116" s="1516"/>
      <c r="CX116" s="1519"/>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899999999999999" hidden="1" customHeight="1">
      <c r="H117" s="546" t="s">
        <v>1871</v>
      </c>
      <c r="I117" s="1516"/>
      <c r="J117" s="1516"/>
      <c r="K117" s="1516"/>
      <c r="L117" s="1516"/>
      <c r="M117" s="1516"/>
      <c r="N117" s="1516"/>
      <c r="O117" s="1517"/>
      <c r="P117" s="1517"/>
      <c r="Q117" s="1517"/>
      <c r="R117" s="1517"/>
      <c r="S117" s="1517"/>
      <c r="T117" s="1517"/>
      <c r="U117" s="1516"/>
      <c r="V117" s="1517"/>
      <c r="W117" s="1517"/>
      <c r="X117" s="1517"/>
      <c r="Y117" s="1517"/>
      <c r="Z117" s="1517"/>
      <c r="AA117" s="1517"/>
      <c r="AB117" s="1517"/>
      <c r="AC117" s="1517"/>
      <c r="AD117" s="1517"/>
      <c r="AE117" s="1517"/>
      <c r="AF117" s="1517"/>
      <c r="AG117" s="1517"/>
      <c r="AH117" s="1517"/>
      <c r="AI117" s="1517"/>
      <c r="AJ117" s="1517"/>
      <c r="AK117" s="1516"/>
      <c r="AL117" s="1516"/>
      <c r="AM117" s="1516"/>
      <c r="AN117" s="1516"/>
      <c r="AO117" s="1516"/>
      <c r="AP117" s="1516"/>
      <c r="AQ117" s="1516"/>
      <c r="AR117" s="1516"/>
      <c r="AS117" s="1516"/>
      <c r="AT117" s="1516"/>
      <c r="AU117" s="1516"/>
      <c r="AV117" s="1516"/>
      <c r="AW117" s="1517"/>
      <c r="AX117" s="1517"/>
      <c r="AY117" s="1517"/>
      <c r="AZ117" s="1517"/>
      <c r="BA117" s="1517"/>
      <c r="BB117" s="1517"/>
      <c r="BC117" s="1516"/>
      <c r="BD117" s="1516"/>
      <c r="BE117" s="1516"/>
      <c r="BF117" s="1517"/>
      <c r="BG117" s="1517"/>
      <c r="BH117" s="1517"/>
      <c r="BI117" s="1517"/>
      <c r="BJ117" s="1517"/>
      <c r="BK117" s="1517"/>
      <c r="BL117" s="1517"/>
      <c r="BM117" s="1517"/>
      <c r="BN117" s="1517"/>
      <c r="BO117" s="1516"/>
      <c r="BP117" s="1516"/>
      <c r="BQ117" s="1516"/>
      <c r="BR117" s="1516"/>
      <c r="BS117" s="1516"/>
      <c r="BT117" s="1516"/>
      <c r="BU117" s="1516"/>
      <c r="BV117" s="1516"/>
      <c r="BW117" s="1516"/>
      <c r="BX117" s="1516"/>
      <c r="BY117" s="1516"/>
      <c r="BZ117" s="1518"/>
      <c r="CA117" s="1518"/>
      <c r="CB117" s="1518"/>
      <c r="CC117" s="1516"/>
      <c r="CD117" s="1516"/>
      <c r="CE117" s="1516"/>
      <c r="CF117" s="1516"/>
      <c r="CG117" s="1516"/>
      <c r="CH117" s="1516"/>
      <c r="CI117" s="1516"/>
      <c r="CJ117" s="1516"/>
      <c r="CK117" s="1516"/>
      <c r="CL117" s="1516"/>
      <c r="CM117" s="1516"/>
      <c r="CN117" s="1516"/>
      <c r="CO117" s="1516"/>
      <c r="CP117" s="1516"/>
      <c r="CQ117" s="1516"/>
      <c r="CR117" s="1516"/>
      <c r="CS117" s="1516"/>
      <c r="CT117" s="1516"/>
      <c r="CU117" s="1516"/>
      <c r="CV117" s="1516"/>
      <c r="CW117" s="1516"/>
      <c r="CX117" s="1519"/>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899999999999999" hidden="1" customHeight="1">
      <c r="H118" s="546" t="s">
        <v>1367</v>
      </c>
      <c r="I118" s="1516"/>
      <c r="J118" s="1516"/>
      <c r="K118" s="1516"/>
      <c r="L118" s="1516"/>
      <c r="M118" s="1516"/>
      <c r="N118" s="1516"/>
      <c r="O118" s="1517"/>
      <c r="P118" s="1517"/>
      <c r="Q118" s="1517"/>
      <c r="R118" s="1517"/>
      <c r="S118" s="1517"/>
      <c r="T118" s="1517"/>
      <c r="U118" s="1516">
        <v>1</v>
      </c>
      <c r="V118" s="1517">
        <v>1</v>
      </c>
      <c r="W118" s="1517">
        <v>1</v>
      </c>
      <c r="X118" s="1517"/>
      <c r="Y118" s="1517"/>
      <c r="Z118" s="1517"/>
      <c r="AA118" s="1517"/>
      <c r="AB118" s="1517">
        <v>1</v>
      </c>
      <c r="AC118" s="1517"/>
      <c r="AD118" s="1517"/>
      <c r="AE118" s="1517"/>
      <c r="AF118" s="1517"/>
      <c r="AG118" s="1517"/>
      <c r="AH118" s="1517"/>
      <c r="AI118" s="1517"/>
      <c r="AJ118" s="1517"/>
      <c r="AK118" s="1516"/>
      <c r="AL118" s="1516"/>
      <c r="AM118" s="1516"/>
      <c r="AN118" s="1516">
        <v>2</v>
      </c>
      <c r="AO118" s="1516"/>
      <c r="AP118" s="1516"/>
      <c r="AQ118" s="1516"/>
      <c r="AR118" s="1516"/>
      <c r="AS118" s="1516"/>
      <c r="AT118" s="1516"/>
      <c r="AU118" s="1516"/>
      <c r="AV118" s="1516"/>
      <c r="AW118" s="1517"/>
      <c r="AX118" s="1517"/>
      <c r="AY118" s="1517">
        <v>2</v>
      </c>
      <c r="AZ118" s="1517"/>
      <c r="BA118" s="1517">
        <v>2</v>
      </c>
      <c r="BB118" s="1517"/>
      <c r="BC118" s="1516"/>
      <c r="BD118" s="1516"/>
      <c r="BE118" s="1516"/>
      <c r="BF118" s="1517"/>
      <c r="BG118" s="1517"/>
      <c r="BH118" s="1517">
        <v>2</v>
      </c>
      <c r="BI118" s="1517"/>
      <c r="BJ118" s="1517">
        <v>2</v>
      </c>
      <c r="BK118" s="1517"/>
      <c r="BL118" s="1517">
        <v>2</v>
      </c>
      <c r="BM118" s="1517"/>
      <c r="BN118" s="1517"/>
      <c r="BO118" s="1516">
        <v>1</v>
      </c>
      <c r="BP118" s="1516"/>
      <c r="BQ118" s="1516"/>
      <c r="BR118" s="1516"/>
      <c r="BS118" s="1516"/>
      <c r="BT118" s="1516"/>
      <c r="BU118" s="1516"/>
      <c r="BV118" s="1516">
        <v>2</v>
      </c>
      <c r="BW118" s="1516">
        <v>2</v>
      </c>
      <c r="BX118" s="1516"/>
      <c r="BY118" s="1516">
        <v>2</v>
      </c>
      <c r="BZ118" s="1518"/>
      <c r="CA118" s="1518"/>
      <c r="CB118" s="1518"/>
      <c r="CC118" s="1516">
        <v>2</v>
      </c>
      <c r="CD118" s="1516">
        <v>2</v>
      </c>
      <c r="CE118" s="1516">
        <v>2</v>
      </c>
      <c r="CF118" s="1516">
        <v>2</v>
      </c>
      <c r="CG118" s="1516">
        <v>2</v>
      </c>
      <c r="CH118" s="1516">
        <v>2</v>
      </c>
      <c r="CI118" s="1516">
        <v>2</v>
      </c>
      <c r="CJ118" s="1516">
        <v>2</v>
      </c>
      <c r="CK118" s="1516">
        <v>2</v>
      </c>
      <c r="CL118" s="1516">
        <v>2</v>
      </c>
      <c r="CM118" s="1516">
        <v>2</v>
      </c>
      <c r="CN118" s="1516">
        <v>2</v>
      </c>
      <c r="CO118" s="1516">
        <v>2</v>
      </c>
      <c r="CP118" s="1516">
        <v>1</v>
      </c>
      <c r="CQ118" s="1516">
        <v>2</v>
      </c>
      <c r="CR118" s="1516">
        <v>2</v>
      </c>
      <c r="CS118" s="1516"/>
      <c r="CT118" s="1516"/>
      <c r="CU118" s="1516"/>
      <c r="CV118" s="1516"/>
      <c r="CW118" s="1516">
        <v>2</v>
      </c>
      <c r="CX118" s="1519"/>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899999999999999" hidden="1" customHeight="1">
      <c r="H119" s="546" t="s">
        <v>1444</v>
      </c>
      <c r="I119" s="1516"/>
      <c r="J119" s="1516"/>
      <c r="K119" s="1516"/>
      <c r="L119" s="1516"/>
      <c r="M119" s="1516"/>
      <c r="N119" s="1516"/>
      <c r="O119" s="1517"/>
      <c r="P119" s="1517"/>
      <c r="Q119" s="1517"/>
      <c r="R119" s="1517"/>
      <c r="S119" s="1517"/>
      <c r="T119" s="1517"/>
      <c r="U119" s="1516">
        <v>1</v>
      </c>
      <c r="V119" s="1517">
        <v>1</v>
      </c>
      <c r="W119" s="1517">
        <v>1</v>
      </c>
      <c r="X119" s="1517"/>
      <c r="Y119" s="1517"/>
      <c r="Z119" s="1517"/>
      <c r="AA119" s="1517"/>
      <c r="AB119" s="1517">
        <v>1</v>
      </c>
      <c r="AC119" s="1517"/>
      <c r="AD119" s="1517"/>
      <c r="AE119" s="1517"/>
      <c r="AF119" s="1517"/>
      <c r="AG119" s="1517"/>
      <c r="AH119" s="1517"/>
      <c r="AI119" s="1517"/>
      <c r="AJ119" s="1517"/>
      <c r="AK119" s="1516"/>
      <c r="AL119" s="1516"/>
      <c r="AM119" s="1516"/>
      <c r="AN119" s="1516">
        <v>2</v>
      </c>
      <c r="AO119" s="1516"/>
      <c r="AP119" s="1516"/>
      <c r="AQ119" s="1516"/>
      <c r="AR119" s="1516"/>
      <c r="AS119" s="1516"/>
      <c r="AT119" s="1516"/>
      <c r="AU119" s="1516"/>
      <c r="AV119" s="1516"/>
      <c r="AW119" s="1517"/>
      <c r="AX119" s="1517"/>
      <c r="AY119" s="1517">
        <v>2</v>
      </c>
      <c r="AZ119" s="1517"/>
      <c r="BA119" s="1517">
        <v>2</v>
      </c>
      <c r="BB119" s="1517"/>
      <c r="BC119" s="1516"/>
      <c r="BD119" s="1516"/>
      <c r="BE119" s="1516"/>
      <c r="BF119" s="1517"/>
      <c r="BG119" s="1517"/>
      <c r="BH119" s="1517">
        <v>2</v>
      </c>
      <c r="BI119" s="1517"/>
      <c r="BJ119" s="1517">
        <v>2</v>
      </c>
      <c r="BK119" s="1517"/>
      <c r="BL119" s="1517">
        <v>2</v>
      </c>
      <c r="BM119" s="1517"/>
      <c r="BN119" s="1517"/>
      <c r="BO119" s="1516"/>
      <c r="BP119" s="1516"/>
      <c r="BQ119" s="1516"/>
      <c r="BR119" s="1516"/>
      <c r="BS119" s="1516"/>
      <c r="BT119" s="1516"/>
      <c r="BU119" s="1516"/>
      <c r="BV119" s="1516">
        <v>2</v>
      </c>
      <c r="BW119" s="1516">
        <v>2</v>
      </c>
      <c r="BX119" s="1516"/>
      <c r="BY119" s="1516">
        <v>2</v>
      </c>
      <c r="BZ119" s="1518"/>
      <c r="CA119" s="1518"/>
      <c r="CB119" s="1518"/>
      <c r="CC119" s="1516">
        <v>2</v>
      </c>
      <c r="CD119" s="1516">
        <v>2</v>
      </c>
      <c r="CE119" s="1516">
        <v>2</v>
      </c>
      <c r="CF119" s="1516">
        <v>2</v>
      </c>
      <c r="CG119" s="1516">
        <v>2</v>
      </c>
      <c r="CH119" s="1516">
        <v>2</v>
      </c>
      <c r="CI119" s="1516">
        <v>2</v>
      </c>
      <c r="CJ119" s="1516">
        <v>2</v>
      </c>
      <c r="CK119" s="1516">
        <v>2</v>
      </c>
      <c r="CL119" s="1516">
        <v>2</v>
      </c>
      <c r="CM119" s="1516">
        <v>2</v>
      </c>
      <c r="CN119" s="1516">
        <v>2</v>
      </c>
      <c r="CO119" s="1516">
        <v>2</v>
      </c>
      <c r="CP119" s="1516">
        <v>1</v>
      </c>
      <c r="CQ119" s="1516">
        <v>2</v>
      </c>
      <c r="CR119" s="1516">
        <v>2</v>
      </c>
      <c r="CS119" s="1516"/>
      <c r="CT119" s="1516"/>
      <c r="CU119" s="1516"/>
      <c r="CV119" s="1516"/>
      <c r="CW119" s="1516">
        <v>2</v>
      </c>
      <c r="CX119" s="1519"/>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899999999999999" hidden="1" customHeight="1">
      <c r="H120" s="546" t="s">
        <v>1443</v>
      </c>
      <c r="I120" s="1516"/>
      <c r="J120" s="1516"/>
      <c r="K120" s="1516"/>
      <c r="L120" s="1516"/>
      <c r="M120" s="1516"/>
      <c r="N120" s="1516"/>
      <c r="O120" s="1517"/>
      <c r="P120" s="1517"/>
      <c r="Q120" s="1517"/>
      <c r="R120" s="1517"/>
      <c r="S120" s="1517"/>
      <c r="T120" s="1517"/>
      <c r="U120" s="1516">
        <v>1</v>
      </c>
      <c r="V120" s="1517">
        <v>1</v>
      </c>
      <c r="W120" s="1517">
        <v>1</v>
      </c>
      <c r="X120" s="1517"/>
      <c r="Y120" s="1517"/>
      <c r="Z120" s="1517"/>
      <c r="AA120" s="1517"/>
      <c r="AB120" s="1517">
        <v>1</v>
      </c>
      <c r="AC120" s="1517"/>
      <c r="AD120" s="1517"/>
      <c r="AE120" s="1517"/>
      <c r="AF120" s="1517"/>
      <c r="AG120" s="1517"/>
      <c r="AH120" s="1517"/>
      <c r="AI120" s="1517"/>
      <c r="AJ120" s="1517"/>
      <c r="AK120" s="1516"/>
      <c r="AL120" s="1516"/>
      <c r="AM120" s="1516"/>
      <c r="AN120" s="1516"/>
      <c r="AO120" s="1516"/>
      <c r="AP120" s="1516">
        <v>2</v>
      </c>
      <c r="AQ120" s="1516"/>
      <c r="AR120" s="1516"/>
      <c r="AS120" s="1516"/>
      <c r="AT120" s="1516"/>
      <c r="AU120" s="1516"/>
      <c r="AV120" s="1516"/>
      <c r="AW120" s="1517"/>
      <c r="AX120" s="1517"/>
      <c r="AY120" s="1517">
        <v>2</v>
      </c>
      <c r="AZ120" s="1517"/>
      <c r="BA120" s="1517">
        <v>2</v>
      </c>
      <c r="BB120" s="1517"/>
      <c r="BC120" s="1516"/>
      <c r="BD120" s="1516"/>
      <c r="BE120" s="1516"/>
      <c r="BF120" s="1517"/>
      <c r="BG120" s="1517"/>
      <c r="BH120" s="1517">
        <v>2</v>
      </c>
      <c r="BI120" s="1517"/>
      <c r="BJ120" s="1517">
        <v>2</v>
      </c>
      <c r="BK120" s="1517"/>
      <c r="BL120" s="1517">
        <v>2</v>
      </c>
      <c r="BM120" s="1517"/>
      <c r="BN120" s="1517"/>
      <c r="BO120" s="1516"/>
      <c r="BP120" s="1516"/>
      <c r="BQ120" s="1516"/>
      <c r="BR120" s="1516"/>
      <c r="BS120" s="1516"/>
      <c r="BT120" s="1516"/>
      <c r="BU120" s="1516"/>
      <c r="BV120" s="1516">
        <v>2</v>
      </c>
      <c r="BW120" s="1516">
        <v>2</v>
      </c>
      <c r="BX120" s="1516"/>
      <c r="BY120" s="1516">
        <v>2</v>
      </c>
      <c r="BZ120" s="1518"/>
      <c r="CA120" s="1518"/>
      <c r="CB120" s="1518"/>
      <c r="CC120" s="1516">
        <v>2</v>
      </c>
      <c r="CD120" s="1516">
        <v>2</v>
      </c>
      <c r="CE120" s="1516">
        <v>2</v>
      </c>
      <c r="CF120" s="1516">
        <v>2</v>
      </c>
      <c r="CG120" s="1516">
        <v>2</v>
      </c>
      <c r="CH120" s="1516">
        <v>2</v>
      </c>
      <c r="CI120" s="1516">
        <v>2</v>
      </c>
      <c r="CJ120" s="1516">
        <v>2</v>
      </c>
      <c r="CK120" s="1516">
        <v>2</v>
      </c>
      <c r="CL120" s="1516">
        <v>2</v>
      </c>
      <c r="CM120" s="1516">
        <v>2</v>
      </c>
      <c r="CN120" s="1516">
        <v>2</v>
      </c>
      <c r="CO120" s="1516">
        <v>2</v>
      </c>
      <c r="CP120" s="1516">
        <v>1</v>
      </c>
      <c r="CQ120" s="1516">
        <v>2</v>
      </c>
      <c r="CR120" s="1516">
        <v>2</v>
      </c>
      <c r="CS120" s="1516"/>
      <c r="CT120" s="1516"/>
      <c r="CU120" s="1516"/>
      <c r="CV120" s="1516"/>
      <c r="CW120" s="1516">
        <v>2</v>
      </c>
      <c r="CX120" s="1519"/>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899999999999999" hidden="1" customHeight="1">
      <c r="H121" s="546" t="s">
        <v>1251</v>
      </c>
      <c r="I121" s="1516"/>
      <c r="J121" s="1516"/>
      <c r="K121" s="1516"/>
      <c r="L121" s="1516"/>
      <c r="M121" s="1516"/>
      <c r="N121" s="1516"/>
      <c r="O121" s="1517"/>
      <c r="P121" s="1517"/>
      <c r="Q121" s="1517"/>
      <c r="R121" s="1517"/>
      <c r="S121" s="1517"/>
      <c r="T121" s="1517"/>
      <c r="U121" s="1516">
        <v>1</v>
      </c>
      <c r="V121" s="1517">
        <v>1</v>
      </c>
      <c r="W121" s="1517">
        <v>1</v>
      </c>
      <c r="X121" s="1517"/>
      <c r="Y121" s="1517"/>
      <c r="Z121" s="1517"/>
      <c r="AA121" s="1517"/>
      <c r="AB121" s="1517">
        <v>1</v>
      </c>
      <c r="AC121" s="1517"/>
      <c r="AD121" s="1517"/>
      <c r="AE121" s="1517"/>
      <c r="AF121" s="1517"/>
      <c r="AG121" s="1517"/>
      <c r="AH121" s="1517"/>
      <c r="AI121" s="1517"/>
      <c r="AJ121" s="1517"/>
      <c r="AK121" s="1516"/>
      <c r="AL121" s="1516"/>
      <c r="AM121" s="1516"/>
      <c r="AN121" s="1516">
        <v>2</v>
      </c>
      <c r="AO121" s="1516"/>
      <c r="AP121" s="1516"/>
      <c r="AQ121" s="1516"/>
      <c r="AR121" s="1516"/>
      <c r="AS121" s="1516"/>
      <c r="AT121" s="1516"/>
      <c r="AU121" s="1516"/>
      <c r="AV121" s="1516"/>
      <c r="AW121" s="1517"/>
      <c r="AX121" s="1517"/>
      <c r="AY121" s="1517">
        <v>2</v>
      </c>
      <c r="AZ121" s="1517"/>
      <c r="BA121" s="1517">
        <v>2</v>
      </c>
      <c r="BB121" s="1517"/>
      <c r="BC121" s="1516"/>
      <c r="BD121" s="1516"/>
      <c r="BE121" s="1516"/>
      <c r="BF121" s="1517"/>
      <c r="BG121" s="1517"/>
      <c r="BH121" s="1517">
        <v>2</v>
      </c>
      <c r="BI121" s="1517"/>
      <c r="BJ121" s="1517">
        <v>2</v>
      </c>
      <c r="BK121" s="1517"/>
      <c r="BL121" s="1517">
        <v>2</v>
      </c>
      <c r="BM121" s="1517"/>
      <c r="BN121" s="1517"/>
      <c r="BO121" s="1516"/>
      <c r="BP121" s="1516"/>
      <c r="BQ121" s="1516"/>
      <c r="BR121" s="1516"/>
      <c r="BS121" s="1516"/>
      <c r="BT121" s="1516"/>
      <c r="BU121" s="1516"/>
      <c r="BV121" s="1516">
        <v>2</v>
      </c>
      <c r="BW121" s="1516">
        <v>2</v>
      </c>
      <c r="BX121" s="1516"/>
      <c r="BY121" s="1516">
        <v>2</v>
      </c>
      <c r="BZ121" s="1518"/>
      <c r="CA121" s="1518"/>
      <c r="CB121" s="1518"/>
      <c r="CC121" s="1516"/>
      <c r="CD121" s="1516"/>
      <c r="CE121" s="1516"/>
      <c r="CF121" s="1516"/>
      <c r="CG121" s="1516"/>
      <c r="CH121" s="1516"/>
      <c r="CI121" s="1516"/>
      <c r="CJ121" s="1516"/>
      <c r="CK121" s="1516"/>
      <c r="CL121" s="1516"/>
      <c r="CM121" s="1516"/>
      <c r="CN121" s="1516"/>
      <c r="CO121" s="1516"/>
      <c r="CP121" s="1516"/>
      <c r="CQ121" s="1516"/>
      <c r="CR121" s="1516"/>
      <c r="CS121" s="1516"/>
      <c r="CT121" s="1516"/>
      <c r="CU121" s="1516"/>
      <c r="CV121" s="1516"/>
      <c r="CW121" s="1516"/>
      <c r="CX121" s="1519"/>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899999999999999" hidden="1" customHeight="1">
      <c r="H122" s="546" t="s">
        <v>1445</v>
      </c>
      <c r="I122" s="1516"/>
      <c r="J122" s="1516"/>
      <c r="K122" s="1516"/>
      <c r="L122" s="1516"/>
      <c r="M122" s="1516"/>
      <c r="N122" s="1516"/>
      <c r="O122" s="1517"/>
      <c r="P122" s="1517"/>
      <c r="Q122" s="1517"/>
      <c r="R122" s="1517"/>
      <c r="S122" s="1517"/>
      <c r="T122" s="1517"/>
      <c r="U122" s="1516">
        <v>1</v>
      </c>
      <c r="V122" s="1517">
        <v>1</v>
      </c>
      <c r="W122" s="1517">
        <v>1</v>
      </c>
      <c r="X122" s="1517"/>
      <c r="Y122" s="1517"/>
      <c r="Z122" s="1517"/>
      <c r="AA122" s="1517"/>
      <c r="AB122" s="1517">
        <v>1</v>
      </c>
      <c r="AC122" s="1517"/>
      <c r="AD122" s="1517"/>
      <c r="AE122" s="1517"/>
      <c r="AF122" s="1517"/>
      <c r="AG122" s="1517"/>
      <c r="AH122" s="1517"/>
      <c r="AI122" s="1517"/>
      <c r="AJ122" s="1517"/>
      <c r="AK122" s="1516"/>
      <c r="AL122" s="1516"/>
      <c r="AM122" s="1516"/>
      <c r="AN122" s="1516"/>
      <c r="AO122" s="1516"/>
      <c r="AP122" s="1516">
        <v>1</v>
      </c>
      <c r="AQ122" s="1516"/>
      <c r="AR122" s="1516"/>
      <c r="AS122" s="1516"/>
      <c r="AT122" s="1516"/>
      <c r="AU122" s="1516"/>
      <c r="AV122" s="1516"/>
      <c r="AW122" s="1517"/>
      <c r="AX122" s="1517"/>
      <c r="AY122" s="1517">
        <v>1</v>
      </c>
      <c r="AZ122" s="1517"/>
      <c r="BA122" s="1517">
        <v>1</v>
      </c>
      <c r="BB122" s="1517"/>
      <c r="BC122" s="1516"/>
      <c r="BD122" s="1516"/>
      <c r="BE122" s="1516"/>
      <c r="BF122" s="1517"/>
      <c r="BG122" s="1517"/>
      <c r="BH122" s="1517">
        <v>1</v>
      </c>
      <c r="BI122" s="1517"/>
      <c r="BJ122" s="1517">
        <v>1</v>
      </c>
      <c r="BK122" s="1517"/>
      <c r="BL122" s="1517">
        <v>1</v>
      </c>
      <c r="BM122" s="1517"/>
      <c r="BN122" s="1517"/>
      <c r="BO122" s="1516"/>
      <c r="BP122" s="1516"/>
      <c r="BQ122" s="1516"/>
      <c r="BR122" s="1516"/>
      <c r="BS122" s="1516"/>
      <c r="BT122" s="1516"/>
      <c r="BU122" s="1516"/>
      <c r="BV122" s="1516">
        <v>1</v>
      </c>
      <c r="BW122" s="1516">
        <v>1</v>
      </c>
      <c r="BX122" s="1516"/>
      <c r="BY122" s="1516">
        <v>1</v>
      </c>
      <c r="BZ122" s="1518"/>
      <c r="CA122" s="1518"/>
      <c r="CB122" s="1518"/>
      <c r="CC122" s="1516">
        <v>1</v>
      </c>
      <c r="CD122" s="1516">
        <v>1</v>
      </c>
      <c r="CE122" s="1516">
        <v>1</v>
      </c>
      <c r="CF122" s="1516">
        <v>1</v>
      </c>
      <c r="CG122" s="1516">
        <v>1</v>
      </c>
      <c r="CH122" s="1516">
        <v>1</v>
      </c>
      <c r="CI122" s="1516">
        <v>1</v>
      </c>
      <c r="CJ122" s="1516">
        <v>1</v>
      </c>
      <c r="CK122" s="1516">
        <v>1</v>
      </c>
      <c r="CL122" s="1516">
        <v>1</v>
      </c>
      <c r="CM122" s="1516">
        <v>1</v>
      </c>
      <c r="CN122" s="1516">
        <v>1</v>
      </c>
      <c r="CO122" s="1516">
        <v>1</v>
      </c>
      <c r="CP122" s="1516">
        <v>0</v>
      </c>
      <c r="CQ122" s="1516">
        <v>1</v>
      </c>
      <c r="CR122" s="1516">
        <v>1</v>
      </c>
      <c r="CS122" s="1516"/>
      <c r="CT122" s="1516"/>
      <c r="CU122" s="1516"/>
      <c r="CV122" s="1516"/>
      <c r="CW122" s="1516">
        <v>1</v>
      </c>
      <c r="CX122" s="1519"/>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899999999999999" hidden="1" customHeight="1">
      <c r="H123" s="546" t="s">
        <v>1772</v>
      </c>
      <c r="I123" s="1516"/>
      <c r="J123" s="1516"/>
      <c r="K123" s="1516"/>
      <c r="L123" s="1516"/>
      <c r="M123" s="1516"/>
      <c r="N123" s="1516"/>
      <c r="O123" s="1517"/>
      <c r="P123" s="1517"/>
      <c r="Q123" s="1517"/>
      <c r="R123" s="1517"/>
      <c r="S123" s="1517"/>
      <c r="T123" s="1517"/>
      <c r="U123" s="1516"/>
      <c r="V123" s="1517"/>
      <c r="W123" s="1517"/>
      <c r="X123" s="1517"/>
      <c r="Y123" s="1517"/>
      <c r="Z123" s="1517"/>
      <c r="AA123" s="1517"/>
      <c r="AB123" s="1517"/>
      <c r="AC123" s="1517"/>
      <c r="AD123" s="1517"/>
      <c r="AE123" s="1517"/>
      <c r="AF123" s="1517"/>
      <c r="AG123" s="1517"/>
      <c r="AH123" s="1517"/>
      <c r="AI123" s="1517"/>
      <c r="AJ123" s="1517"/>
      <c r="AK123" s="1516"/>
      <c r="AL123" s="1516"/>
      <c r="AM123" s="1516"/>
      <c r="AN123" s="1516"/>
      <c r="AO123" s="1516"/>
      <c r="AP123" s="1516"/>
      <c r="AQ123" s="1516"/>
      <c r="AR123" s="1516"/>
      <c r="AS123" s="1516"/>
      <c r="AT123" s="1516"/>
      <c r="AU123" s="1516"/>
      <c r="AV123" s="1516"/>
      <c r="AW123" s="1517"/>
      <c r="AX123" s="1517"/>
      <c r="AY123" s="1517"/>
      <c r="AZ123" s="1517"/>
      <c r="BA123" s="1517"/>
      <c r="BB123" s="1517"/>
      <c r="BC123" s="1516"/>
      <c r="BD123" s="1516"/>
      <c r="BE123" s="1516"/>
      <c r="BF123" s="1517"/>
      <c r="BG123" s="1517"/>
      <c r="BH123" s="1517"/>
      <c r="BI123" s="1517"/>
      <c r="BJ123" s="1517"/>
      <c r="BK123" s="1517"/>
      <c r="BL123" s="1517"/>
      <c r="BM123" s="1517"/>
      <c r="BN123" s="1517"/>
      <c r="BO123" s="1516"/>
      <c r="BP123" s="1516"/>
      <c r="BQ123" s="1516"/>
      <c r="BR123" s="1516"/>
      <c r="BS123" s="1516"/>
      <c r="BT123" s="1516"/>
      <c r="BU123" s="1516"/>
      <c r="BV123" s="1516"/>
      <c r="BW123" s="1516"/>
      <c r="BX123" s="1516"/>
      <c r="BY123" s="1516"/>
      <c r="BZ123" s="1518"/>
      <c r="CA123" s="1518"/>
      <c r="CB123" s="1518"/>
      <c r="CC123" s="1516"/>
      <c r="CD123" s="1516"/>
      <c r="CE123" s="1516"/>
      <c r="CF123" s="1516"/>
      <c r="CG123" s="1516"/>
      <c r="CH123" s="1516"/>
      <c r="CI123" s="1516"/>
      <c r="CJ123" s="1516"/>
      <c r="CK123" s="1516"/>
      <c r="CL123" s="1516"/>
      <c r="CM123" s="1516"/>
      <c r="CN123" s="1516"/>
      <c r="CO123" s="1516"/>
      <c r="CP123" s="1516"/>
      <c r="CQ123" s="1516"/>
      <c r="CR123" s="1516"/>
      <c r="CS123" s="1516"/>
      <c r="CT123" s="1516"/>
      <c r="CU123" s="1516"/>
      <c r="CV123" s="1516"/>
      <c r="CW123" s="1516"/>
      <c r="CX123" s="1519"/>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899999999999999" hidden="1" customHeight="1">
      <c r="H124" s="1520"/>
      <c r="I124" s="1521"/>
      <c r="J124" s="1521"/>
      <c r="K124" s="1521"/>
      <c r="L124" s="1521"/>
      <c r="M124" s="1521"/>
      <c r="N124" s="1521"/>
      <c r="O124" s="1522"/>
      <c r="P124" s="1522"/>
      <c r="Q124" s="1522"/>
      <c r="R124" s="1522"/>
      <c r="S124" s="1522"/>
      <c r="T124" s="1522"/>
      <c r="U124" s="1521"/>
      <c r="V124" s="1522"/>
      <c r="W124" s="1522"/>
      <c r="X124" s="1522"/>
      <c r="Y124" s="1522"/>
      <c r="Z124" s="1522"/>
      <c r="AA124" s="1522"/>
      <c r="AB124" s="1522"/>
      <c r="AC124" s="1522"/>
      <c r="AD124" s="1522"/>
      <c r="AE124" s="1522"/>
      <c r="AF124" s="1522"/>
      <c r="AG124" s="1522"/>
      <c r="AH124" s="1522"/>
      <c r="AI124" s="1522"/>
      <c r="AJ124" s="1522"/>
      <c r="AK124" s="1521"/>
      <c r="AL124" s="1521"/>
      <c r="AM124" s="1521"/>
      <c r="AN124" s="1521"/>
      <c r="AO124" s="1521"/>
      <c r="AP124" s="1521"/>
      <c r="AQ124" s="1521"/>
      <c r="AR124" s="1521"/>
      <c r="AS124" s="1521"/>
      <c r="AT124" s="1521"/>
      <c r="AU124" s="1521"/>
      <c r="AV124" s="1521"/>
      <c r="AW124" s="1522"/>
      <c r="AX124" s="1522"/>
      <c r="AY124" s="1522"/>
      <c r="AZ124" s="1522"/>
      <c r="BA124" s="1522"/>
      <c r="BB124" s="1522"/>
      <c r="BC124" s="1521"/>
      <c r="BD124" s="1521"/>
      <c r="BE124" s="1521"/>
      <c r="BF124" s="1522"/>
      <c r="BG124" s="1522"/>
      <c r="BH124" s="1522"/>
      <c r="BI124" s="1522"/>
      <c r="BJ124" s="1522"/>
      <c r="BK124" s="1522"/>
      <c r="BL124" s="1522"/>
      <c r="BM124" s="1522"/>
      <c r="BN124" s="1522"/>
      <c r="BO124" s="1521"/>
      <c r="BP124" s="1521"/>
      <c r="BQ124" s="1521"/>
      <c r="BR124" s="1521"/>
      <c r="BS124" s="1521"/>
      <c r="BT124" s="1521"/>
      <c r="BU124" s="1521"/>
      <c r="BV124" s="1521"/>
      <c r="BW124" s="1521"/>
      <c r="BX124" s="1521"/>
      <c r="BY124" s="1521"/>
      <c r="BZ124" s="1523"/>
      <c r="CA124" s="1523"/>
      <c r="CB124" s="1523"/>
      <c r="CC124" s="1521"/>
      <c r="CD124" s="1521"/>
      <c r="CE124" s="1521"/>
      <c r="CF124" s="1521"/>
      <c r="CG124" s="1521"/>
      <c r="CH124" s="1521"/>
      <c r="CI124" s="1521"/>
      <c r="CJ124" s="1521"/>
      <c r="CK124" s="1521"/>
      <c r="CL124" s="1521"/>
      <c r="CM124" s="1521"/>
      <c r="CN124" s="1521"/>
      <c r="CO124" s="1521"/>
      <c r="CP124" s="1521"/>
      <c r="CQ124" s="1521"/>
      <c r="CR124" s="1521"/>
      <c r="CS124" s="1521"/>
      <c r="CT124" s="1521"/>
      <c r="CU124" s="1521"/>
      <c r="CV124" s="1521"/>
      <c r="CW124" s="1521"/>
      <c r="CX124" s="1524"/>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899999999999999" hidden="1" customHeight="1" thickBot="1">
      <c r="H125" s="1525">
        <v>1</v>
      </c>
      <c r="I125" s="1526">
        <v>4</v>
      </c>
      <c r="J125" s="1526">
        <v>4</v>
      </c>
      <c r="K125" s="1526">
        <v>4</v>
      </c>
      <c r="L125" s="1526">
        <v>4</v>
      </c>
      <c r="M125" s="1526">
        <v>5</v>
      </c>
      <c r="N125" s="1526">
        <v>6</v>
      </c>
      <c r="O125" s="1527">
        <v>7</v>
      </c>
      <c r="P125" s="1527">
        <v>8</v>
      </c>
      <c r="Q125" s="1527">
        <v>9</v>
      </c>
      <c r="R125" s="1527">
        <v>10</v>
      </c>
      <c r="S125" s="1527">
        <v>11</v>
      </c>
      <c r="T125" s="1527">
        <v>12</v>
      </c>
      <c r="U125" s="1526">
        <v>13</v>
      </c>
      <c r="V125" s="1527">
        <v>13</v>
      </c>
      <c r="W125" s="1527">
        <v>13</v>
      </c>
      <c r="X125" s="1527">
        <v>14</v>
      </c>
      <c r="Y125" s="1527">
        <v>15</v>
      </c>
      <c r="Z125" s="1527">
        <v>16</v>
      </c>
      <c r="AA125" s="1527">
        <v>12</v>
      </c>
      <c r="AB125" s="1527">
        <v>13</v>
      </c>
      <c r="AC125" s="1527">
        <v>14</v>
      </c>
      <c r="AD125" s="1527">
        <v>15</v>
      </c>
      <c r="AE125" s="1527">
        <v>16</v>
      </c>
      <c r="AF125" s="1527">
        <v>17</v>
      </c>
      <c r="AG125" s="1527">
        <v>18</v>
      </c>
      <c r="AH125" s="1527">
        <v>19</v>
      </c>
      <c r="AI125" s="1527">
        <v>20</v>
      </c>
      <c r="AJ125" s="1527">
        <v>19</v>
      </c>
      <c r="AK125" s="1526">
        <v>22</v>
      </c>
      <c r="AL125" s="1526">
        <v>23</v>
      </c>
      <c r="AM125" s="1526">
        <v>24</v>
      </c>
      <c r="AN125" s="1526">
        <v>25</v>
      </c>
      <c r="AO125" s="1526">
        <v>26</v>
      </c>
      <c r="AP125" s="1526">
        <v>27</v>
      </c>
      <c r="AQ125" s="1526">
        <v>28</v>
      </c>
      <c r="AR125" s="1526">
        <v>29</v>
      </c>
      <c r="AS125" s="1526">
        <v>30</v>
      </c>
      <c r="AT125" s="1526">
        <v>31</v>
      </c>
      <c r="AU125" s="1526">
        <v>32</v>
      </c>
      <c r="AV125" s="1526">
        <v>33</v>
      </c>
      <c r="AW125" s="1527">
        <v>34</v>
      </c>
      <c r="AX125" s="1527">
        <v>35</v>
      </c>
      <c r="AY125" s="1527">
        <v>36</v>
      </c>
      <c r="AZ125" s="1527">
        <v>37</v>
      </c>
      <c r="BA125" s="1527">
        <v>36</v>
      </c>
      <c r="BB125" s="1527">
        <v>37</v>
      </c>
      <c r="BC125" s="1526">
        <v>40</v>
      </c>
      <c r="BD125" s="1526">
        <v>41</v>
      </c>
      <c r="BE125" s="1526">
        <v>41</v>
      </c>
      <c r="BF125" s="1527">
        <v>34</v>
      </c>
      <c r="BG125" s="1527">
        <v>35</v>
      </c>
      <c r="BH125" s="1527">
        <v>36</v>
      </c>
      <c r="BI125" s="1527">
        <v>37</v>
      </c>
      <c r="BJ125" s="1527">
        <v>36</v>
      </c>
      <c r="BK125" s="1527">
        <v>37</v>
      </c>
      <c r="BL125" s="1527">
        <v>36</v>
      </c>
      <c r="BM125" s="1527"/>
      <c r="BN125" s="1527">
        <v>37</v>
      </c>
      <c r="BO125" s="1526">
        <v>42</v>
      </c>
      <c r="BP125" s="1526">
        <v>43</v>
      </c>
      <c r="BQ125" s="1526"/>
      <c r="BR125" s="1526"/>
      <c r="BS125" s="1526">
        <v>43</v>
      </c>
      <c r="BT125" s="1526"/>
      <c r="BU125" s="1526"/>
      <c r="BV125" s="1526">
        <v>44</v>
      </c>
      <c r="BW125" s="1526">
        <v>44</v>
      </c>
      <c r="BX125" s="1526">
        <v>45</v>
      </c>
      <c r="BY125" s="1526">
        <v>46</v>
      </c>
      <c r="BZ125" s="1526">
        <v>47</v>
      </c>
      <c r="CA125" s="1526"/>
      <c r="CB125" s="1526"/>
      <c r="CC125" s="1526">
        <v>48</v>
      </c>
      <c r="CD125" s="1526">
        <v>48</v>
      </c>
      <c r="CE125" s="1526">
        <v>48</v>
      </c>
      <c r="CF125" s="1526">
        <v>48</v>
      </c>
      <c r="CG125" s="1526">
        <v>48</v>
      </c>
      <c r="CH125" s="1526">
        <v>48</v>
      </c>
      <c r="CI125" s="1526">
        <v>48</v>
      </c>
      <c r="CJ125" s="1526">
        <v>48</v>
      </c>
      <c r="CK125" s="1526">
        <v>48</v>
      </c>
      <c r="CL125" s="1526">
        <v>48</v>
      </c>
      <c r="CM125" s="1526">
        <v>48</v>
      </c>
      <c r="CN125" s="1526">
        <v>48</v>
      </c>
      <c r="CO125" s="1526">
        <v>48</v>
      </c>
      <c r="CP125" s="1526">
        <v>48</v>
      </c>
      <c r="CQ125" s="1526">
        <v>49</v>
      </c>
      <c r="CR125" s="1526">
        <v>49</v>
      </c>
      <c r="CS125" s="1526"/>
      <c r="CT125" s="1526"/>
      <c r="CU125" s="1526"/>
      <c r="CV125" s="1526"/>
      <c r="CW125" s="1526">
        <v>49</v>
      </c>
      <c r="CX125" s="1528">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899999999999999" hidden="1" customHeight="1">
      <c r="BC126" s="1489"/>
      <c r="BD126" s="1489"/>
      <c r="BE126" s="1489"/>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899999999999999" customHeight="1">
      <c r="BC127" s="1489"/>
      <c r="BD127" s="1489"/>
      <c r="BE127" s="1489"/>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899999999999999" customHeight="1">
      <c r="BC128" s="1489"/>
      <c r="BD128" s="1489"/>
      <c r="BE128" s="1489"/>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899999999999999" customHeight="1">
      <c r="BC129" s="1489"/>
      <c r="BD129" s="1489"/>
      <c r="BE129" s="1489"/>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899999999999999" customHeight="1">
      <c r="BC130" s="1489"/>
      <c r="BD130" s="1489"/>
      <c r="BE130" s="1489"/>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899999999999999" customHeight="1">
      <c r="BC131" s="1489"/>
      <c r="BD131" s="1489"/>
      <c r="BE131" s="1489"/>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899999999999999" customHeight="1">
      <c r="BC132" s="1489"/>
      <c r="BD132" s="1489"/>
      <c r="BE132" s="1489"/>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899999999999999" customHeight="1">
      <c r="BC133" s="1489"/>
      <c r="BD133" s="1489"/>
      <c r="BE133" s="1489"/>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899999999999999" customHeight="1">
      <c r="BC134" s="1489"/>
      <c r="BD134" s="1489"/>
      <c r="BE134" s="1489"/>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899999999999999" customHeight="1">
      <c r="BC135" s="1489"/>
      <c r="BD135" s="1489"/>
      <c r="BE135" s="1489"/>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899999999999999" customHeight="1">
      <c r="BC136" s="1489"/>
      <c r="BD136" s="1489"/>
      <c r="BE136" s="1489"/>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899999999999999" customHeight="1">
      <c r="BC137" s="1489"/>
      <c r="BD137" s="1489"/>
      <c r="BE137" s="1489"/>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899999999999999" customHeight="1">
      <c r="BC138" s="1489"/>
      <c r="BD138" s="1489"/>
      <c r="BE138" s="1489"/>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899999999999999" customHeight="1">
      <c r="BC139" s="1489"/>
      <c r="BD139" s="1489"/>
      <c r="BE139" s="1489"/>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899999999999999" customHeight="1">
      <c r="BC140" s="1489"/>
      <c r="BD140" s="1489"/>
      <c r="BE140" s="1489"/>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899999999999999" customHeight="1">
      <c r="BC141" s="1489"/>
      <c r="BD141" s="1489"/>
      <c r="BE141" s="1489"/>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899999999999999" customHeight="1">
      <c r="BC142" s="1489"/>
      <c r="BD142" s="1489"/>
      <c r="BE142" s="1489"/>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899999999999999" customHeight="1">
      <c r="BC143" s="1489"/>
      <c r="BD143" s="1489"/>
      <c r="BE143" s="1489"/>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899999999999999" customHeight="1">
      <c r="BC144" s="1489"/>
      <c r="BD144" s="1489"/>
      <c r="BE144" s="1489"/>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899999999999999" customHeight="1">
      <c r="BC145" s="1489"/>
      <c r="BD145" s="1489"/>
      <c r="BE145" s="1489"/>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899999999999999" customHeight="1">
      <c r="BC146" s="1489"/>
      <c r="BD146" s="1489"/>
      <c r="BE146" s="1489"/>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899999999999999" customHeight="1">
      <c r="BC147" s="1489"/>
      <c r="BD147" s="1489"/>
      <c r="BE147" s="1489"/>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899999999999999" customHeight="1">
      <c r="BC148" s="1489"/>
      <c r="BD148" s="1489"/>
      <c r="BE148" s="1489"/>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899999999999999" customHeight="1">
      <c r="BC149" s="1489"/>
      <c r="BD149" s="1489"/>
      <c r="BE149" s="1489"/>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899999999999999" customHeight="1">
      <c r="BC150" s="1489"/>
      <c r="BD150" s="1489"/>
      <c r="BE150" s="1489"/>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899999999999999" customHeight="1">
      <c r="BC151" s="1489"/>
      <c r="BD151" s="1489"/>
      <c r="BE151" s="1489"/>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899999999999999" customHeight="1">
      <c r="BC152" s="1489"/>
      <c r="BD152" s="1489"/>
      <c r="BE152" s="1489"/>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899999999999999" customHeight="1">
      <c r="BC153" s="1489"/>
      <c r="BD153" s="1489"/>
      <c r="BE153" s="1489"/>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899999999999999" customHeight="1">
      <c r="BC154" s="1489"/>
      <c r="BD154" s="1489"/>
      <c r="BE154" s="1489"/>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899999999999999" customHeight="1">
      <c r="BC155" s="1489"/>
      <c r="BD155" s="1489"/>
      <c r="BE155" s="1489"/>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899999999999999" customHeight="1">
      <c r="BC156" s="1489"/>
      <c r="BD156" s="1489"/>
      <c r="BE156" s="1489"/>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899999999999999" customHeight="1">
      <c r="BC157" s="1489"/>
      <c r="BD157" s="1489"/>
      <c r="BE157" s="1489"/>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899999999999999" customHeight="1">
      <c r="BC158" s="1489"/>
      <c r="BD158" s="1489"/>
      <c r="BE158" s="1489"/>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899999999999999" customHeight="1">
      <c r="BC159" s="1489"/>
      <c r="BD159" s="1489"/>
      <c r="BE159" s="1489"/>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899999999999999" customHeight="1">
      <c r="BC160" s="1489"/>
      <c r="BD160" s="1489"/>
      <c r="BE160" s="1489"/>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899999999999999" customHeight="1">
      <c r="BC161" s="1489"/>
      <c r="BD161" s="1489"/>
      <c r="BE161" s="1489"/>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899999999999999" customHeight="1">
      <c r="BC162" s="1489"/>
      <c r="BD162" s="1489"/>
      <c r="BE162" s="1489"/>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899999999999999" customHeight="1">
      <c r="BC163" s="1489"/>
      <c r="BD163" s="1489"/>
      <c r="BE163" s="1489"/>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899999999999999" customHeight="1">
      <c r="BC164" s="1489"/>
      <c r="BD164" s="1489"/>
      <c r="BE164" s="1489"/>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899999999999999" customHeight="1">
      <c r="BC165" s="1489"/>
      <c r="BD165" s="1489"/>
      <c r="BE165" s="1489"/>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899999999999999" customHeight="1">
      <c r="BC166" s="1489"/>
      <c r="BD166" s="1489"/>
      <c r="BE166" s="1489"/>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899999999999999" customHeight="1">
      <c r="BC167" s="1489"/>
      <c r="BD167" s="1489"/>
      <c r="BE167" s="1489"/>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899999999999999" customHeight="1">
      <c r="BC168" s="1489"/>
      <c r="BD168" s="1489"/>
      <c r="BE168" s="1489"/>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899999999999999" customHeight="1">
      <c r="BC169" s="1489"/>
      <c r="BD169" s="1489"/>
      <c r="BE169" s="1489"/>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899999999999999" customHeight="1">
      <c r="BC170" s="1489"/>
      <c r="BD170" s="1489"/>
      <c r="BE170" s="1489"/>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899999999999999" customHeight="1">
      <c r="BC171" s="1489"/>
      <c r="BD171" s="1489"/>
      <c r="BE171" s="1489"/>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899999999999999" customHeight="1">
      <c r="BC172" s="1489"/>
      <c r="BD172" s="1489"/>
      <c r="BE172" s="1489"/>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899999999999999" customHeight="1">
      <c r="BC173" s="1489"/>
      <c r="BD173" s="1489"/>
      <c r="BE173" s="1489"/>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899999999999999" customHeight="1">
      <c r="BC174" s="1489"/>
      <c r="BD174" s="1489"/>
      <c r="BE174" s="1489"/>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899999999999999" customHeight="1">
      <c r="BC175" s="1489"/>
      <c r="BD175" s="1489"/>
      <c r="BE175" s="1489"/>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899999999999999" customHeight="1">
      <c r="BC176" s="1489"/>
      <c r="BD176" s="1489"/>
      <c r="BE176" s="1489"/>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899999999999999" customHeight="1">
      <c r="BC177" s="1489"/>
      <c r="BD177" s="1489"/>
      <c r="BE177" s="1489"/>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899999999999999" customHeight="1">
      <c r="BC178" s="1489"/>
      <c r="BD178" s="1489"/>
      <c r="BE178" s="1489"/>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899999999999999" customHeight="1">
      <c r="BC179" s="1489"/>
      <c r="BD179" s="1489"/>
      <c r="BE179" s="1489"/>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899999999999999" customHeight="1">
      <c r="BC180" s="1489"/>
      <c r="BD180" s="1489"/>
      <c r="BE180" s="1489"/>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899999999999999" customHeight="1">
      <c r="BC181" s="1489"/>
      <c r="BD181" s="1489"/>
      <c r="BE181" s="1489"/>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899999999999999" customHeight="1">
      <c r="BC182" s="1489"/>
      <c r="BD182" s="1489"/>
      <c r="BE182" s="1489"/>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899999999999999" customHeight="1">
      <c r="BC183" s="1489"/>
      <c r="BD183" s="1489"/>
      <c r="BE183" s="1489"/>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899999999999999" customHeight="1">
      <c r="BC184" s="1489"/>
      <c r="BD184" s="1489"/>
      <c r="BE184" s="1489"/>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899999999999999" customHeight="1">
      <c r="BC185" s="1489"/>
      <c r="BD185" s="1489"/>
      <c r="BE185" s="1489"/>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899999999999999" customHeight="1">
      <c r="BC186" s="1489"/>
      <c r="BD186" s="1489"/>
      <c r="BE186" s="1489"/>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899999999999999" customHeight="1">
      <c r="BC187" s="1489"/>
      <c r="BD187" s="1489"/>
      <c r="BE187" s="1489"/>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899999999999999" customHeight="1">
      <c r="BC188" s="1489"/>
      <c r="BD188" s="1489"/>
      <c r="BE188" s="1489"/>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899999999999999" customHeight="1">
      <c r="BC189" s="1489"/>
      <c r="BD189" s="1489"/>
      <c r="BE189" s="1489"/>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899999999999999" customHeight="1">
      <c r="BC190" s="1489"/>
      <c r="BD190" s="1489"/>
      <c r="BE190" s="1489"/>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899999999999999" customHeight="1">
      <c r="BC191" s="1489"/>
      <c r="BD191" s="1489"/>
      <c r="BE191" s="1489"/>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899999999999999" customHeight="1">
      <c r="BC192" s="1489"/>
      <c r="BD192" s="1489"/>
      <c r="BE192" s="1489"/>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899999999999999" customHeight="1">
      <c r="BC193" s="1489"/>
      <c r="BD193" s="1489"/>
      <c r="BE193" s="1489"/>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899999999999999" customHeight="1">
      <c r="BC194" s="1489"/>
      <c r="BD194" s="1489"/>
      <c r="BE194" s="1489"/>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899999999999999" customHeight="1">
      <c r="BC195" s="1489"/>
      <c r="BD195" s="1489"/>
      <c r="BE195" s="1489"/>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899999999999999" customHeight="1">
      <c r="BC196" s="1489"/>
      <c r="BD196" s="1489"/>
      <c r="BE196" s="1489"/>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899999999999999" customHeight="1">
      <c r="BC197" s="1489"/>
      <c r="BD197" s="1489"/>
      <c r="BE197" s="1489"/>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899999999999999" customHeight="1">
      <c r="BC198" s="1489"/>
      <c r="BD198" s="1489"/>
      <c r="BE198" s="1489"/>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899999999999999" customHeight="1">
      <c r="BC199" s="1489"/>
      <c r="BD199" s="1489"/>
      <c r="BE199" s="1489"/>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899999999999999" customHeight="1">
      <c r="BC200" s="1489"/>
      <c r="BD200" s="1489"/>
      <c r="BE200" s="1489"/>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899999999999999" customHeight="1">
      <c r="BC201" s="1489"/>
      <c r="BD201" s="1489"/>
      <c r="BE201" s="1489"/>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899999999999999" customHeight="1">
      <c r="BC202" s="1489"/>
      <c r="BD202" s="1489"/>
      <c r="BE202" s="1489"/>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899999999999999" customHeight="1">
      <c r="BC203" s="1489"/>
      <c r="BD203" s="1489"/>
      <c r="BE203" s="1489"/>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899999999999999" customHeight="1">
      <c r="BC204" s="1489"/>
      <c r="BD204" s="1489"/>
      <c r="BE204" s="1489"/>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899999999999999" customHeight="1">
      <c r="BC205" s="1489"/>
      <c r="BD205" s="1489"/>
      <c r="BE205" s="1489"/>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899999999999999" customHeight="1">
      <c r="BC206" s="1489"/>
      <c r="BD206" s="1489"/>
      <c r="BE206" s="1489"/>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899999999999999" customHeight="1">
      <c r="BC207" s="1489"/>
      <c r="BD207" s="1489"/>
      <c r="BE207" s="1489"/>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899999999999999" customHeight="1">
      <c r="BC208" s="1489"/>
      <c r="BD208" s="1489"/>
      <c r="BE208" s="1489"/>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899999999999999" customHeight="1">
      <c r="BC209" s="1489"/>
      <c r="BD209" s="1489"/>
      <c r="BE209" s="1489"/>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899999999999999" customHeight="1">
      <c r="BC210" s="1489"/>
      <c r="BD210" s="1489"/>
      <c r="BE210" s="1489"/>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899999999999999" customHeight="1">
      <c r="BC211" s="1489"/>
      <c r="BD211" s="1489"/>
      <c r="BE211" s="1489"/>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899999999999999" customHeight="1">
      <c r="BC212" s="1489"/>
      <c r="BD212" s="1489"/>
      <c r="BE212" s="1489"/>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899999999999999" customHeight="1">
      <c r="BC213" s="1489"/>
      <c r="BD213" s="1489"/>
      <c r="BE213" s="1489"/>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899999999999999" customHeight="1">
      <c r="BC214" s="1489"/>
      <c r="BD214" s="1489"/>
      <c r="BE214" s="1489"/>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899999999999999" customHeight="1">
      <c r="BC215" s="1489"/>
      <c r="BD215" s="1489"/>
      <c r="BE215" s="1489"/>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899999999999999" customHeight="1">
      <c r="BC216" s="1489"/>
      <c r="BD216" s="1489"/>
      <c r="BE216" s="1489"/>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899999999999999" customHeight="1">
      <c r="BC217" s="1489"/>
      <c r="BD217" s="1489"/>
      <c r="BE217" s="1489"/>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899999999999999" customHeight="1">
      <c r="BC218" s="1489"/>
      <c r="BD218" s="1489"/>
      <c r="BE218" s="1489"/>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899999999999999" customHeight="1">
      <c r="BC219" s="1489"/>
      <c r="BD219" s="1489"/>
      <c r="BE219" s="1489"/>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899999999999999" customHeight="1">
      <c r="BC220" s="1489"/>
      <c r="BD220" s="1489"/>
      <c r="BE220" s="1489"/>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899999999999999" customHeight="1">
      <c r="BC221" s="1489"/>
      <c r="BD221" s="1489"/>
      <c r="BE221" s="1489"/>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899999999999999" customHeight="1">
      <c r="BC222" s="1489"/>
      <c r="BD222" s="1489"/>
      <c r="BE222" s="1489"/>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899999999999999" customHeight="1">
      <c r="BC223" s="1489"/>
      <c r="BD223" s="1489"/>
      <c r="BE223" s="1489"/>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899999999999999"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899999999999999"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899999999999999"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899999999999999"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899999999999999"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899999999999999"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899999999999999"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899999999999999"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899999999999999"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899999999999999"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899999999999999"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899999999999999"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899999999999999"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899999999999999"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899999999999999"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899999999999999"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899999999999999"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899999999999999"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899999999999999"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899999999999999"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899999999999999"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899999999999999"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899999999999999"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899999999999999"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899999999999999"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899999999999999"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899999999999999"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899999999999999"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899999999999999"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899999999999999"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899999999999999"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899999999999999"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899999999999999"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899999999999999"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899999999999999"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899999999999999"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899999999999999"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899999999999999"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899999999999999"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899999999999999"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899999999999999"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899999999999999"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899999999999999"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899999999999999"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899999999999999"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899999999999999"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899999999999999"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899999999999999"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899999999999999"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899999999999999"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899999999999999"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899999999999999"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899999999999999"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899999999999999"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899999999999999"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899999999999999"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899999999999999"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899999999999999"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899999999999999"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899999999999999"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899999999999999"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899999999999999"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899999999999999"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899999999999999"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899999999999999"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899999999999999"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899999999999999"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899999999999999"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899999999999999"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899999999999999"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899999999999999"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899999999999999"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899999999999999"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899999999999999"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899999999999999"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899999999999999"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899999999999999"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899999999999999"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899999999999999"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899999999999999"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899999999999999"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899999999999999"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899999999999999"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899999999999999"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899999999999999"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899999999999999"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899999999999999"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899999999999999"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899999999999999"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899999999999999"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899999999999999"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899999999999999"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899999999999999"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899999999999999"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899999999999999"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899999999999999"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899999999999999"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899999999999999"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899999999999999"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899999999999999"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899999999999999"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899999999999999"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899999999999999"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899999999999999"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899999999999999"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899999999999999"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899999999999999"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899999999999999"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899999999999999"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899999999999999"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899999999999999"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899999999999999"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899999999999999"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899999999999999"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899999999999999"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899999999999999"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899999999999999"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899999999999999"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899999999999999"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899999999999999"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899999999999999"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899999999999999"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899999999999999"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899999999999999"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899999999999999"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899999999999999"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899999999999999"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899999999999999"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899999999999999"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899999999999999"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899999999999999"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899999999999999"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899999999999999"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899999999999999"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899999999999999"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899999999999999"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899999999999999"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899999999999999"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899999999999999"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899999999999999"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899999999999999"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899999999999999"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899999999999999"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899999999999999"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899999999999999"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899999999999999"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899999999999999"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899999999999999"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899999999999999"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899999999999999"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899999999999999"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899999999999999"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899999999999999"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899999999999999"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899999999999999"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899999999999999"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899999999999999"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899999999999999"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899999999999999"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899999999999999"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899999999999999"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899999999999999"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899999999999999"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899999999999999"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899999999999999"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899999999999999"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899999999999999"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899999999999999"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899999999999999"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899999999999999"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899999999999999"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899999999999999"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899999999999999"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899999999999999"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899999999999999"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899999999999999"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899999999999999"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899999999999999"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899999999999999"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899999999999999"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899999999999999"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899999999999999"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899999999999999"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899999999999999"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899999999999999"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899999999999999"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899999999999999"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899999999999999"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899999999999999"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899999999999999"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899999999999999"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899999999999999"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899999999999999"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899999999999999"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899999999999999"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899999999999999"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899999999999999"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899999999999999"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899999999999999"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899999999999999"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899999999999999"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899999999999999"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899999999999999"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899999999999999"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899999999999999"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899999999999999"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899999999999999"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899999999999999"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899999999999999"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899999999999999"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899999999999999"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899999999999999"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899999999999999"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899999999999999"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899999999999999"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899999999999999"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899999999999999"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899999999999999"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899999999999999"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899999999999999"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899999999999999"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899999999999999"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899999999999999"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899999999999999"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899999999999999"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899999999999999"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899999999999999"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899999999999999"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899999999999999"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899999999999999"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899999999999999"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899999999999999"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899999999999999"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899999999999999"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899999999999999"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899999999999999"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899999999999999"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899999999999999"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899999999999999"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899999999999999"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899999999999999"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899999999999999"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899999999999999"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899999999999999"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899999999999999"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899999999999999"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899999999999999"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899999999999999"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899999999999999"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899999999999999"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899999999999999"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899999999999999"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899999999999999"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899999999999999"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899999999999999"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899999999999999"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899999999999999"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899999999999999"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899999999999999"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899999999999999"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899999999999999"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899999999999999"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899999999999999"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899999999999999"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899999999999999"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899999999999999"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899999999999999"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899999999999999"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899999999999999"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899999999999999"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899999999999999"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899999999999999"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899999999999999"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899999999999999"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899999999999999"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899999999999999"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899999999999999"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899999999999999"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899999999999999"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899999999999999"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899999999999999"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899999999999999"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899999999999999"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899999999999999"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899999999999999"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899999999999999"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899999999999999"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899999999999999"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899999999999999"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899999999999999"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899999999999999"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899999999999999"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899999999999999"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899999999999999"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899999999999999"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899999999999999"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899999999999999"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899999999999999"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899999999999999"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899999999999999"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xr:uid="{00000000-0009-0000-0000-000006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6" customWidth="1"/>
    <col min="2" max="2" width="3.453125" style="517" hidden="1" customWidth="1"/>
    <col min="3" max="3" width="8.81640625" style="517" customWidth="1"/>
    <col min="4" max="5" width="4.453125" style="517" hidden="1" customWidth="1"/>
    <col min="6" max="6" width="8.453125" style="517" hidden="1" customWidth="1"/>
    <col min="7" max="7" width="6.36328125" style="517" customWidth="1"/>
    <col min="8" max="10" width="4.453125" style="517" hidden="1" customWidth="1"/>
    <col min="11" max="11" width="5.08984375" style="517" hidden="1" customWidth="1"/>
    <col min="12" max="12" width="7.453125" style="517" customWidth="1"/>
    <col min="13" max="25" width="4.453125" style="517" hidden="1" customWidth="1"/>
    <col min="26" max="27" width="4.453125" style="517" customWidth="1"/>
    <col min="28" max="29" width="4.453125" style="517" hidden="1" customWidth="1"/>
    <col min="30" max="30" width="4.453125" style="517" customWidth="1"/>
    <col min="31" max="34" width="4.453125" style="518" hidden="1" customWidth="1"/>
    <col min="35" max="37" width="4.453125" style="517" hidden="1" customWidth="1"/>
    <col min="38" max="40" width="4.08984375" style="517" hidden="1" customWidth="1"/>
    <col min="41" max="41" width="4.08984375" style="517" customWidth="1"/>
    <col min="42" max="53" width="4.08984375" style="517" hidden="1" customWidth="1"/>
    <col min="54" max="54" width="4.36328125" style="517" customWidth="1"/>
    <col min="55" max="55" width="5.08984375" style="517" customWidth="1"/>
    <col min="56" max="56" width="4.36328125" style="517" customWidth="1"/>
    <col min="57" max="57" width="5.08984375" style="517" customWidth="1"/>
    <col min="58" max="58" width="4.90625" style="517" customWidth="1"/>
    <col min="59" max="59" width="5.1796875" style="517" customWidth="1"/>
    <col min="60" max="62" width="4.1796875" style="517" customWidth="1"/>
    <col min="63" max="63" width="3.90625" style="517" customWidth="1"/>
    <col min="64" max="65" width="4.453125" style="517" hidden="1" customWidth="1"/>
    <col min="66" max="66" width="12.36328125" style="519" customWidth="1"/>
    <col min="67" max="16384" width="8.90625" style="517"/>
  </cols>
  <sheetData>
    <row r="1" spans="1:209" ht="13.8"/>
    <row r="2" spans="1:209" s="525" customFormat="1" ht="17.399999999999999">
      <c r="A2" s="548" t="s">
        <v>3919</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00x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75" t="s">
        <v>3920</v>
      </c>
      <c r="B4" s="3169" t="s">
        <v>3921</v>
      </c>
      <c r="C4" s="3169" t="s">
        <v>3766</v>
      </c>
      <c r="D4" s="3120" t="s">
        <v>2021</v>
      </c>
      <c r="E4" s="3120" t="s">
        <v>507</v>
      </c>
      <c r="F4" s="3120" t="s">
        <v>505</v>
      </c>
      <c r="G4" s="3120" t="s">
        <v>830</v>
      </c>
      <c r="H4" s="3120" t="s">
        <v>506</v>
      </c>
      <c r="I4" s="3120" t="s">
        <v>1149</v>
      </c>
      <c r="J4" s="3120" t="s">
        <v>3774</v>
      </c>
      <c r="K4" s="3120" t="s">
        <v>3907</v>
      </c>
      <c r="L4" s="3156" t="s">
        <v>3922</v>
      </c>
      <c r="M4" s="3158" t="s">
        <v>2277</v>
      </c>
      <c r="N4" s="3130"/>
      <c r="O4" s="3130"/>
      <c r="P4" s="3130"/>
      <c r="Q4" s="3130"/>
      <c r="R4" s="3159" t="s">
        <v>3878</v>
      </c>
      <c r="S4" s="3160"/>
      <c r="T4" s="3160"/>
      <c r="U4" s="3160"/>
      <c r="V4" s="3160"/>
      <c r="W4" s="3160"/>
      <c r="X4" s="3160"/>
      <c r="Y4" s="3160"/>
      <c r="Z4" s="549" t="s">
        <v>2595</v>
      </c>
      <c r="AA4" s="560"/>
      <c r="AB4" s="560"/>
      <c r="AC4" s="561"/>
      <c r="AD4" s="3120" t="s">
        <v>3923</v>
      </c>
      <c r="AE4" s="3120" t="s">
        <v>2384</v>
      </c>
      <c r="AF4" s="3120" t="s">
        <v>2387</v>
      </c>
      <c r="AG4" s="3120" t="s">
        <v>2390</v>
      </c>
      <c r="AH4" s="3120" t="s">
        <v>2391</v>
      </c>
      <c r="AI4" s="3161" t="s">
        <v>3924</v>
      </c>
      <c r="AJ4" s="562" t="s">
        <v>2175</v>
      </c>
      <c r="AK4" s="563"/>
      <c r="AL4" s="3154" t="s">
        <v>3925</v>
      </c>
      <c r="AM4" s="3154" t="s">
        <v>3926</v>
      </c>
      <c r="AN4" s="3154" t="s">
        <v>3927</v>
      </c>
      <c r="AO4" s="3154" t="s">
        <v>3928</v>
      </c>
      <c r="AP4" s="3154" t="s">
        <v>3929</v>
      </c>
      <c r="AQ4" s="3154" t="s">
        <v>3930</v>
      </c>
      <c r="AR4" s="3163" t="s">
        <v>3931</v>
      </c>
      <c r="AS4" s="3164"/>
      <c r="AT4" s="3164"/>
      <c r="AU4" s="3164"/>
      <c r="AV4" s="3164"/>
      <c r="AW4" s="3165"/>
      <c r="AX4" s="3166" t="s">
        <v>3932</v>
      </c>
      <c r="AY4" s="3166"/>
      <c r="AZ4" s="3166"/>
      <c r="BA4" s="3166"/>
      <c r="BB4" s="550" t="s">
        <v>3933</v>
      </c>
      <c r="BC4" s="564"/>
      <c r="BD4" s="550"/>
      <c r="BE4" s="551" t="s">
        <v>2594</v>
      </c>
      <c r="BF4" s="564"/>
      <c r="BG4" s="550"/>
      <c r="BH4" s="3154" t="s">
        <v>3934</v>
      </c>
      <c r="BI4" s="3154" t="s">
        <v>3935</v>
      </c>
      <c r="BJ4" s="3154" t="s">
        <v>3936</v>
      </c>
      <c r="BK4" s="3154" t="s">
        <v>2843</v>
      </c>
      <c r="BL4" s="3169" t="s">
        <v>3937</v>
      </c>
      <c r="BM4" s="3169" t="s">
        <v>3938</v>
      </c>
      <c r="BN4" s="3167" t="s">
        <v>2599</v>
      </c>
    </row>
    <row r="5" spans="1:209" s="529" customFormat="1" ht="142.5" customHeight="1">
      <c r="A5" s="3176"/>
      <c r="B5" s="3117"/>
      <c r="C5" s="3117"/>
      <c r="D5" s="3121"/>
      <c r="E5" s="3121"/>
      <c r="F5" s="3121"/>
      <c r="G5" s="3121"/>
      <c r="H5" s="3121"/>
      <c r="I5" s="3121"/>
      <c r="J5" s="3121"/>
      <c r="K5" s="3121"/>
      <c r="L5" s="3157"/>
      <c r="M5" s="515" t="s">
        <v>318</v>
      </c>
      <c r="N5" s="515" t="s">
        <v>504</v>
      </c>
      <c r="O5" s="515" t="s">
        <v>233</v>
      </c>
      <c r="P5" s="515" t="s">
        <v>519</v>
      </c>
      <c r="Q5" s="515" t="s">
        <v>300</v>
      </c>
      <c r="R5" s="565" t="s">
        <v>87</v>
      </c>
      <c r="S5" s="565" t="s">
        <v>958</v>
      </c>
      <c r="T5" s="565" t="s">
        <v>2176</v>
      </c>
      <c r="U5" s="565" t="s">
        <v>234</v>
      </c>
      <c r="V5" s="552" t="s">
        <v>2315</v>
      </c>
      <c r="W5" s="552" t="s">
        <v>2313</v>
      </c>
      <c r="X5" s="565" t="s">
        <v>695</v>
      </c>
      <c r="Y5" s="566" t="s">
        <v>994</v>
      </c>
      <c r="Z5" s="552" t="s">
        <v>3939</v>
      </c>
      <c r="AA5" s="552" t="s">
        <v>3940</v>
      </c>
      <c r="AB5" s="552" t="s">
        <v>3941</v>
      </c>
      <c r="AC5" s="552" t="s">
        <v>3942</v>
      </c>
      <c r="AD5" s="3121"/>
      <c r="AE5" s="3121"/>
      <c r="AF5" s="3121"/>
      <c r="AG5" s="3121"/>
      <c r="AH5" s="3121"/>
      <c r="AI5" s="3162"/>
      <c r="AJ5" s="553" t="s">
        <v>3943</v>
      </c>
      <c r="AK5" s="553" t="s">
        <v>3944</v>
      </c>
      <c r="AL5" s="3141"/>
      <c r="AM5" s="3141"/>
      <c r="AN5" s="3141"/>
      <c r="AO5" s="3141"/>
      <c r="AP5" s="3141"/>
      <c r="AQ5" s="3141"/>
      <c r="AR5" s="554" t="s">
        <v>3945</v>
      </c>
      <c r="AS5" s="554" t="s">
        <v>3946</v>
      </c>
      <c r="AT5" s="554" t="s">
        <v>3947</v>
      </c>
      <c r="AU5" s="554" t="s">
        <v>3948</v>
      </c>
      <c r="AV5" s="554" t="s">
        <v>3949</v>
      </c>
      <c r="AW5" s="554" t="s">
        <v>3950</v>
      </c>
      <c r="AX5" s="554" t="s">
        <v>3951</v>
      </c>
      <c r="AY5" s="554" t="s">
        <v>3952</v>
      </c>
      <c r="AZ5" s="554" t="s">
        <v>3953</v>
      </c>
      <c r="BA5" s="554" t="s">
        <v>3954</v>
      </c>
      <c r="BB5" s="554" t="s">
        <v>3955</v>
      </c>
      <c r="BC5" s="554" t="s">
        <v>3956</v>
      </c>
      <c r="BD5" s="554" t="s">
        <v>3957</v>
      </c>
      <c r="BE5" s="554" t="s">
        <v>3958</v>
      </c>
      <c r="BF5" s="554" t="s">
        <v>3959</v>
      </c>
      <c r="BG5" s="554" t="s">
        <v>3960</v>
      </c>
      <c r="BH5" s="3141"/>
      <c r="BI5" s="3141"/>
      <c r="BJ5" s="3141"/>
      <c r="BK5" s="3141"/>
      <c r="BL5" s="3170"/>
      <c r="BM5" s="3170"/>
      <c r="BN5" s="3168"/>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899999999999999" customHeight="1">
      <c r="A7" s="555" t="s">
        <v>2596</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8">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899999999999999"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8">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899999999999999"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899999999999999"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899999999999999"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8">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899999999999999"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899999999999999"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899999999999999"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8">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899999999999999"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899999999999999"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899999999999999"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899999999999999"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899999999999999"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899999999999999"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899999999999999"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899999999999999"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899999999999999"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899999999999999" hidden="1" customHeight="1">
      <c r="A28" s="575"/>
      <c r="B28" s="535"/>
      <c r="C28" s="582"/>
      <c r="D28" s="576"/>
      <c r="E28" s="576"/>
      <c r="F28" s="576">
        <f t="shared" si="2"/>
        <v>0</v>
      </c>
      <c r="G28" s="576">
        <f t="shared" si="3"/>
        <v>0</v>
      </c>
      <c r="H28" s="535"/>
      <c r="I28" s="535"/>
      <c r="J28" s="426"/>
      <c r="K28" s="426"/>
      <c r="L28" s="595" t="s">
        <v>1814</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899999999999999"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899999999999999"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899999999999999"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899999999999999"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899999999999999"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899999999999999"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3.8">
      <c r="A35" s="3171" t="s">
        <v>3961</v>
      </c>
      <c r="B35" s="3172"/>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3.8"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3.8"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3.8"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3.8"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3.8"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3.8"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3.8"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3.8"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3.8"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3.8"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3.8"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3.8"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3.8"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3.8"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3.8"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3.8"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3.8"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3.8"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3.8"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3.8"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3.8"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3.8"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3.8"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3.8"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3.8"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3.8"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3.8"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3.8"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3.8"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3.8"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3.8"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3.8" hidden="1">
      <c r="A67" s="3171" t="s">
        <v>3961</v>
      </c>
      <c r="B67" s="3172"/>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3.8">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899999999999999" customHeight="1" thickBot="1">
      <c r="A69" s="3173" t="s">
        <v>3903</v>
      </c>
      <c r="B69" s="3174"/>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899999999999999"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899999999999999" customHeight="1">
      <c r="A71" s="3155" t="s">
        <v>3962</v>
      </c>
      <c r="B71" s="3155"/>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899999999999999" customHeight="1">
      <c r="A72" s="3155" t="s">
        <v>3963</v>
      </c>
      <c r="B72" s="3155"/>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899999999999999" customHeight="1">
      <c r="A73" s="3155" t="s">
        <v>3964</v>
      </c>
      <c r="B73" s="3155"/>
      <c r="C73" s="628">
        <f>E69</f>
        <v>0</v>
      </c>
      <c r="D73" s="629"/>
      <c r="E73" s="629"/>
      <c r="F73" s="629"/>
      <c r="G73" s="629"/>
      <c r="H73" s="629"/>
      <c r="R73" s="630"/>
      <c r="U73" s="624"/>
      <c r="W73" s="624"/>
      <c r="AE73" s="517"/>
      <c r="AF73" s="517"/>
      <c r="AG73" s="517"/>
      <c r="AH73" s="517"/>
    </row>
    <row r="74" spans="1:209" ht="18.899999999999999" customHeight="1">
      <c r="A74" s="3155" t="s">
        <v>3965</v>
      </c>
      <c r="B74" s="3155"/>
      <c r="C74" s="628">
        <f>F69</f>
        <v>0</v>
      </c>
      <c r="D74" s="629"/>
      <c r="E74" s="629"/>
      <c r="F74" s="629"/>
      <c r="G74" s="629"/>
      <c r="H74" s="629"/>
      <c r="R74" s="630"/>
      <c r="U74" s="624"/>
      <c r="W74" s="624"/>
      <c r="AE74" s="517"/>
      <c r="AF74" s="517"/>
      <c r="AG74" s="517"/>
      <c r="AH74" s="517"/>
    </row>
    <row r="75" spans="1:209" ht="18.899999999999999" customHeight="1">
      <c r="A75" s="3155" t="s">
        <v>3966</v>
      </c>
      <c r="B75" s="3155"/>
      <c r="C75" s="628">
        <f>G69</f>
        <v>0</v>
      </c>
      <c r="D75" s="629"/>
      <c r="E75" s="629"/>
      <c r="F75" s="629"/>
      <c r="G75" s="629"/>
      <c r="H75" s="629"/>
      <c r="R75" s="630"/>
      <c r="U75" s="624"/>
      <c r="W75" s="624"/>
      <c r="AE75" s="517"/>
      <c r="AF75" s="517"/>
      <c r="AG75" s="517"/>
      <c r="AH75" s="517"/>
    </row>
    <row r="76" spans="1:209" ht="18.899999999999999" customHeight="1">
      <c r="A76" s="3155" t="s">
        <v>3967</v>
      </c>
      <c r="B76" s="3155"/>
      <c r="C76" s="626">
        <f>H69</f>
        <v>0</v>
      </c>
      <c r="D76" s="623"/>
      <c r="E76" s="623"/>
      <c r="F76" s="623"/>
      <c r="G76" s="623"/>
      <c r="H76" s="623"/>
      <c r="K76" s="631"/>
      <c r="M76" s="537"/>
      <c r="N76" s="537"/>
      <c r="O76" s="537"/>
      <c r="R76" s="632"/>
      <c r="U76" s="624"/>
      <c r="W76" s="624"/>
      <c r="AE76" s="517"/>
      <c r="AF76" s="517"/>
      <c r="AG76" s="517"/>
      <c r="AH76" s="517"/>
    </row>
    <row r="77" spans="1:209" ht="18.899999999999999" customHeight="1">
      <c r="A77" s="3155" t="s">
        <v>3968</v>
      </c>
      <c r="B77" s="3155"/>
      <c r="C77" s="628">
        <f>I69</f>
        <v>0</v>
      </c>
      <c r="D77" s="629"/>
      <c r="E77" s="629"/>
      <c r="F77" s="629"/>
      <c r="G77" s="629"/>
      <c r="H77" s="629"/>
      <c r="M77" s="537"/>
      <c r="N77" s="537"/>
      <c r="O77" s="537"/>
      <c r="R77" s="630"/>
      <c r="U77" s="624"/>
      <c r="W77" s="624"/>
      <c r="AE77" s="517"/>
      <c r="AF77" s="517"/>
      <c r="AG77" s="517"/>
      <c r="AH77" s="517"/>
    </row>
    <row r="78" spans="1:209" ht="18.899999999999999" customHeight="1">
      <c r="B78" s="624"/>
      <c r="C78" s="633"/>
      <c r="D78" s="633"/>
      <c r="E78" s="633"/>
      <c r="F78" s="633"/>
      <c r="G78" s="633"/>
      <c r="H78" s="633"/>
      <c r="U78" s="624"/>
      <c r="W78" s="624"/>
      <c r="AE78" s="517"/>
      <c r="AF78" s="517"/>
      <c r="AG78" s="517"/>
      <c r="AH78" s="517"/>
    </row>
    <row r="79" spans="1:209" ht="18.899999999999999"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899999999999999" customHeight="1">
      <c r="AE80" s="517"/>
      <c r="AF80" s="517"/>
      <c r="AG80" s="517"/>
      <c r="AH80" s="517"/>
    </row>
    <row r="81" spans="31:209" ht="18.899999999999999" customHeight="1">
      <c r="AE81" s="517"/>
      <c r="AF81" s="517"/>
      <c r="AG81" s="517"/>
      <c r="AH81" s="517"/>
    </row>
    <row r="82" spans="31:209" ht="18.899999999999999" customHeight="1">
      <c r="AE82" s="517"/>
      <c r="AF82" s="517"/>
      <c r="AG82" s="517"/>
      <c r="AH82" s="517"/>
    </row>
    <row r="83" spans="31:209" ht="18.899999999999999" customHeight="1">
      <c r="AE83" s="517"/>
      <c r="AF83" s="517"/>
      <c r="AG83" s="517"/>
      <c r="AH83" s="517"/>
    </row>
    <row r="84" spans="31:209" ht="18.899999999999999" customHeight="1">
      <c r="AE84" s="517"/>
      <c r="AF84" s="517"/>
      <c r="AG84" s="517"/>
      <c r="AH84" s="517"/>
    </row>
    <row r="85" spans="31:209" ht="18.899999999999999" customHeight="1">
      <c r="AE85" s="517"/>
      <c r="AF85" s="517"/>
      <c r="AG85" s="517"/>
      <c r="AH85" s="517"/>
    </row>
    <row r="86" spans="31:209" ht="18.899999999999999"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899999999999999" customHeight="1">
      <c r="AE87" s="517"/>
      <c r="AF87" s="517"/>
      <c r="AG87" s="517"/>
      <c r="AH87" s="517"/>
    </row>
    <row r="88" spans="31:209" ht="18.899999999999999" customHeight="1">
      <c r="AE88" s="517"/>
      <c r="AF88" s="517"/>
      <c r="AG88" s="517"/>
      <c r="AH88" s="517"/>
    </row>
    <row r="89" spans="31:209" ht="18.899999999999999" customHeight="1">
      <c r="AE89" s="517"/>
      <c r="AF89" s="517"/>
      <c r="AG89" s="517"/>
      <c r="AH89" s="517"/>
    </row>
    <row r="90" spans="31:209" ht="18.899999999999999" customHeight="1">
      <c r="AE90" s="517"/>
      <c r="AF90" s="517"/>
      <c r="AG90" s="517"/>
      <c r="AH90" s="517"/>
    </row>
    <row r="91" spans="31:209" ht="18.899999999999999" customHeight="1">
      <c r="AE91" s="517"/>
      <c r="AF91" s="517"/>
      <c r="AG91" s="517"/>
      <c r="AH91" s="517"/>
    </row>
    <row r="92" spans="31:209" ht="18.899999999999999" customHeight="1">
      <c r="AE92" s="517"/>
      <c r="AF92" s="517"/>
      <c r="AG92" s="517"/>
      <c r="AH92" s="517"/>
    </row>
    <row r="93" spans="31:209" ht="18.899999999999999"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899999999999999" customHeight="1">
      <c r="AE94" s="517"/>
      <c r="AF94" s="517"/>
      <c r="AG94" s="517"/>
      <c r="AH94" s="517"/>
    </row>
    <row r="95" spans="31:209" ht="18.899999999999999" customHeight="1">
      <c r="AE95" s="517"/>
      <c r="AF95" s="517"/>
      <c r="AG95" s="517"/>
      <c r="AH95" s="517"/>
    </row>
    <row r="96" spans="31:209" ht="18.899999999999999" customHeight="1">
      <c r="AE96" s="517"/>
      <c r="AF96" s="517"/>
      <c r="AG96" s="517"/>
      <c r="AH96" s="517"/>
    </row>
    <row r="97" spans="31:209" ht="18.899999999999999" customHeight="1">
      <c r="AE97" s="517"/>
      <c r="AF97" s="517"/>
      <c r="AG97" s="517"/>
      <c r="AH97" s="517"/>
    </row>
    <row r="98" spans="31:209" ht="18.899999999999999" customHeight="1">
      <c r="AE98" s="517"/>
      <c r="AF98" s="517"/>
      <c r="AG98" s="517"/>
      <c r="AH98" s="517"/>
    </row>
    <row r="99" spans="31:209" ht="18.899999999999999" customHeight="1">
      <c r="AE99" s="517"/>
      <c r="AF99" s="517"/>
      <c r="AG99" s="517"/>
      <c r="AH99" s="517"/>
    </row>
    <row r="100" spans="31:209" ht="18.899999999999999"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899999999999999" customHeight="1">
      <c r="AE101" s="517"/>
      <c r="AF101" s="517"/>
      <c r="AG101" s="517"/>
      <c r="AH101" s="517"/>
    </row>
    <row r="102" spans="31:209" ht="18.899999999999999" customHeight="1">
      <c r="AE102" s="517"/>
      <c r="AF102" s="517"/>
      <c r="AG102" s="517"/>
      <c r="AH102" s="517"/>
    </row>
    <row r="103" spans="31:209" ht="18.899999999999999" customHeight="1">
      <c r="AE103" s="517"/>
      <c r="AF103" s="517"/>
      <c r="AG103" s="517"/>
      <c r="AH103" s="517"/>
    </row>
    <row r="104" spans="31:209" ht="18.899999999999999" customHeight="1">
      <c r="AE104" s="517"/>
      <c r="AF104" s="517"/>
      <c r="AG104" s="517"/>
      <c r="AH104" s="517"/>
    </row>
    <row r="105" spans="31:209" ht="18.899999999999999" customHeight="1">
      <c r="AE105" s="517"/>
      <c r="AF105" s="517"/>
      <c r="AG105" s="517"/>
      <c r="AH105" s="517"/>
    </row>
    <row r="106" spans="31:209" ht="18.899999999999999" customHeight="1">
      <c r="AE106" s="517"/>
      <c r="AF106" s="517"/>
      <c r="AG106" s="517"/>
      <c r="AH106" s="517"/>
    </row>
    <row r="107" spans="31:209" ht="18.899999999999999" customHeight="1">
      <c r="AE107" s="517"/>
      <c r="AF107" s="517"/>
      <c r="AG107" s="517"/>
      <c r="AH107" s="517"/>
    </row>
    <row r="108" spans="31:209" ht="18.899999999999999" customHeight="1">
      <c r="AE108" s="517"/>
      <c r="AF108" s="517"/>
      <c r="AG108" s="517"/>
      <c r="AH108" s="517"/>
    </row>
    <row r="109" spans="31:209" ht="18.899999999999999" customHeight="1">
      <c r="AE109" s="517"/>
      <c r="AF109" s="517"/>
      <c r="AG109" s="517"/>
      <c r="AH109" s="517"/>
    </row>
    <row r="110" spans="31:209" ht="18.899999999999999" customHeight="1">
      <c r="AE110" s="517"/>
      <c r="AF110" s="517"/>
      <c r="AG110" s="517"/>
      <c r="AH110" s="517"/>
    </row>
    <row r="111" spans="31:209" ht="18.899999999999999" customHeight="1">
      <c r="AE111" s="517"/>
      <c r="AF111" s="517"/>
      <c r="AG111" s="517"/>
      <c r="AH111" s="517"/>
    </row>
    <row r="112" spans="31:209" ht="18.899999999999999" customHeight="1">
      <c r="AE112" s="517"/>
      <c r="AF112" s="517"/>
      <c r="AG112" s="517"/>
      <c r="AH112" s="517"/>
    </row>
    <row r="113" spans="31:34" ht="18.899999999999999" customHeight="1">
      <c r="AE113" s="517"/>
      <c r="AF113" s="517"/>
      <c r="AG113" s="517"/>
      <c r="AH113" s="517"/>
    </row>
    <row r="114" spans="31:34" ht="18.899999999999999" customHeight="1">
      <c r="AE114" s="517"/>
      <c r="AF114" s="517"/>
      <c r="AG114" s="517"/>
      <c r="AH114" s="517"/>
    </row>
    <row r="115" spans="31:34" ht="18.899999999999999" customHeight="1">
      <c r="AE115" s="517"/>
      <c r="AF115" s="517"/>
      <c r="AG115" s="517"/>
      <c r="AH115" s="517"/>
    </row>
    <row r="116" spans="31:34" ht="18.899999999999999" customHeight="1">
      <c r="AE116" s="517"/>
      <c r="AF116" s="517"/>
      <c r="AG116" s="517"/>
      <c r="AH116" s="517"/>
    </row>
    <row r="117" spans="31:34" ht="18.899999999999999" customHeight="1">
      <c r="AE117" s="517"/>
      <c r="AF117" s="517"/>
      <c r="AG117" s="517"/>
      <c r="AH117" s="517"/>
    </row>
    <row r="118" spans="31:34" ht="18.899999999999999" customHeight="1">
      <c r="AE118" s="517"/>
      <c r="AF118" s="517"/>
      <c r="AG118" s="517"/>
      <c r="AH118" s="517"/>
    </row>
    <row r="119" spans="31:34" ht="18.899999999999999" customHeight="1">
      <c r="AE119" s="517"/>
      <c r="AF119" s="517"/>
      <c r="AG119" s="517"/>
      <c r="AH119" s="517"/>
    </row>
    <row r="120" spans="31:34" ht="18.899999999999999" customHeight="1">
      <c r="AE120" s="517"/>
      <c r="AF120" s="517"/>
      <c r="AG120" s="517"/>
      <c r="AH120" s="517"/>
    </row>
    <row r="121" spans="31:34" ht="18.899999999999999" customHeight="1">
      <c r="AE121" s="517"/>
      <c r="AF121" s="517"/>
      <c r="AG121" s="517"/>
      <c r="AH121" s="517"/>
    </row>
    <row r="122" spans="31:34" ht="18.899999999999999" customHeight="1">
      <c r="AE122" s="517"/>
      <c r="AF122" s="517"/>
      <c r="AG122" s="517"/>
      <c r="AH122" s="517"/>
    </row>
    <row r="123" spans="31:34" ht="18.899999999999999" customHeight="1">
      <c r="AE123" s="517"/>
      <c r="AF123" s="517"/>
      <c r="AG123" s="517"/>
      <c r="AH123" s="517"/>
    </row>
    <row r="124" spans="31:34" ht="18.899999999999999" customHeight="1">
      <c r="AE124" s="517"/>
      <c r="AF124" s="517"/>
      <c r="AG124" s="517"/>
      <c r="AH124" s="517"/>
    </row>
    <row r="125" spans="31:34" ht="18.899999999999999" customHeight="1">
      <c r="AE125" s="517"/>
      <c r="AF125" s="517"/>
      <c r="AG125" s="517"/>
      <c r="AH125" s="517"/>
    </row>
    <row r="126" spans="31:34" ht="18.899999999999999" customHeight="1">
      <c r="AE126" s="517"/>
      <c r="AF126" s="517"/>
      <c r="AG126" s="517"/>
      <c r="AH126" s="517"/>
    </row>
    <row r="127" spans="31:34" ht="18.899999999999999" customHeight="1">
      <c r="AE127" s="517"/>
      <c r="AF127" s="517"/>
      <c r="AG127" s="517"/>
      <c r="AH127" s="517"/>
    </row>
    <row r="128" spans="31:34" ht="18.899999999999999" customHeight="1">
      <c r="AE128" s="517"/>
      <c r="AF128" s="517"/>
      <c r="AG128" s="517"/>
      <c r="AH128" s="517"/>
    </row>
    <row r="129" spans="31:34" ht="18.899999999999999" customHeight="1">
      <c r="AE129" s="517"/>
      <c r="AF129" s="517"/>
      <c r="AG129" s="517"/>
      <c r="AH129" s="517"/>
    </row>
    <row r="130" spans="31:34" ht="18.899999999999999" customHeight="1">
      <c r="AE130" s="517"/>
      <c r="AF130" s="517"/>
      <c r="AG130" s="517"/>
      <c r="AH130" s="517"/>
    </row>
    <row r="131" spans="31:34" ht="18.899999999999999" customHeight="1">
      <c r="AE131" s="517"/>
      <c r="AF131" s="517"/>
      <c r="AG131" s="517"/>
      <c r="AH131" s="517"/>
    </row>
    <row r="132" spans="31:34" ht="18.899999999999999" customHeight="1">
      <c r="AE132" s="517"/>
      <c r="AF132" s="517"/>
      <c r="AG132" s="517"/>
      <c r="AH132" s="517"/>
    </row>
    <row r="133" spans="31:34" ht="18.899999999999999" customHeight="1">
      <c r="AE133" s="517"/>
      <c r="AF133" s="517"/>
      <c r="AG133" s="517"/>
      <c r="AH133" s="517"/>
    </row>
    <row r="134" spans="31:34" ht="18.899999999999999" customHeight="1">
      <c r="AE134" s="517"/>
      <c r="AF134" s="517"/>
      <c r="AG134" s="517"/>
      <c r="AH134" s="517"/>
    </row>
    <row r="135" spans="31:34" ht="18.899999999999999" customHeight="1">
      <c r="AE135" s="517"/>
      <c r="AF135" s="517"/>
      <c r="AG135" s="517"/>
      <c r="AH135" s="517"/>
    </row>
    <row r="136" spans="31:34" ht="18.899999999999999" customHeight="1">
      <c r="AE136" s="517"/>
      <c r="AF136" s="517"/>
      <c r="AG136" s="517"/>
      <c r="AH136" s="517"/>
    </row>
    <row r="137" spans="31:34" ht="18.899999999999999" customHeight="1">
      <c r="AE137" s="517"/>
      <c r="AF137" s="517"/>
      <c r="AG137" s="517"/>
      <c r="AH137" s="517"/>
    </row>
    <row r="138" spans="31:34" ht="18.899999999999999" customHeight="1">
      <c r="AE138" s="517"/>
      <c r="AF138" s="517"/>
      <c r="AG138" s="517"/>
      <c r="AH138" s="517"/>
    </row>
    <row r="139" spans="31:34" ht="18.899999999999999" customHeight="1">
      <c r="AE139" s="517"/>
      <c r="AF139" s="517"/>
      <c r="AG139" s="517"/>
      <c r="AH139" s="517"/>
    </row>
    <row r="140" spans="31:34" ht="18.899999999999999" customHeight="1">
      <c r="AE140" s="517"/>
      <c r="AF140" s="517"/>
      <c r="AG140" s="517"/>
      <c r="AH140" s="517"/>
    </row>
    <row r="141" spans="31:34" ht="18.899999999999999" customHeight="1">
      <c r="AE141" s="517"/>
      <c r="AF141" s="517"/>
      <c r="AG141" s="517"/>
      <c r="AH141" s="517"/>
    </row>
    <row r="142" spans="31:34" ht="18.899999999999999" customHeight="1">
      <c r="AE142" s="517"/>
      <c r="AF142" s="517"/>
      <c r="AG142" s="517"/>
      <c r="AH142" s="517"/>
    </row>
    <row r="143" spans="31:34" ht="18.899999999999999" customHeight="1">
      <c r="AE143" s="517"/>
      <c r="AF143" s="517"/>
      <c r="AG143" s="517"/>
      <c r="AH143" s="517"/>
    </row>
    <row r="144" spans="31:34" ht="18.899999999999999" customHeight="1">
      <c r="AE144" s="517"/>
      <c r="AF144" s="517"/>
      <c r="AG144" s="517"/>
      <c r="AH144" s="517"/>
    </row>
    <row r="145" spans="31:34" ht="18.899999999999999" customHeight="1">
      <c r="AE145" s="517"/>
      <c r="AF145" s="517"/>
      <c r="AG145" s="517"/>
      <c r="AH145" s="517"/>
    </row>
    <row r="146" spans="31:34" ht="18.899999999999999" customHeight="1">
      <c r="AE146" s="517"/>
      <c r="AF146" s="517"/>
      <c r="AG146" s="517"/>
      <c r="AH146" s="517"/>
    </row>
    <row r="147" spans="31:34" ht="18.899999999999999" customHeight="1">
      <c r="AE147" s="517"/>
      <c r="AF147" s="517"/>
      <c r="AG147" s="517"/>
      <c r="AH147" s="517"/>
    </row>
    <row r="148" spans="31:34" ht="18.899999999999999" customHeight="1">
      <c r="AE148" s="517"/>
      <c r="AF148" s="517"/>
      <c r="AG148" s="517"/>
      <c r="AH148" s="517"/>
    </row>
    <row r="149" spans="31:34" ht="18.899999999999999" customHeight="1">
      <c r="AE149" s="517"/>
      <c r="AF149" s="517"/>
      <c r="AG149" s="517"/>
      <c r="AH149" s="517"/>
    </row>
    <row r="150" spans="31:34" ht="18.899999999999999" customHeight="1">
      <c r="AE150" s="517"/>
      <c r="AF150" s="517"/>
      <c r="AG150" s="517"/>
      <c r="AH150" s="517"/>
    </row>
    <row r="151" spans="31:34" ht="18.899999999999999" customHeight="1">
      <c r="AE151" s="517"/>
      <c r="AF151" s="517"/>
      <c r="AG151" s="517"/>
      <c r="AH151" s="517"/>
    </row>
    <row r="152" spans="31:34" ht="18.899999999999999" customHeight="1">
      <c r="AE152" s="517"/>
      <c r="AF152" s="517"/>
      <c r="AG152" s="517"/>
      <c r="AH152" s="517"/>
    </row>
    <row r="153" spans="31:34" ht="18.899999999999999" customHeight="1">
      <c r="AE153" s="517"/>
      <c r="AF153" s="517"/>
      <c r="AG153" s="517"/>
      <c r="AH153" s="517"/>
    </row>
    <row r="154" spans="31:34" ht="18.899999999999999" customHeight="1">
      <c r="AE154" s="517"/>
      <c r="AF154" s="517"/>
      <c r="AG154" s="517"/>
      <c r="AH154" s="517"/>
    </row>
    <row r="155" spans="31:34" ht="18.899999999999999" customHeight="1">
      <c r="AE155" s="517"/>
      <c r="AF155" s="517"/>
      <c r="AG155" s="517"/>
      <c r="AH155" s="517"/>
    </row>
    <row r="156" spans="31:34" ht="18.899999999999999" customHeight="1">
      <c r="AE156" s="517"/>
      <c r="AF156" s="517"/>
      <c r="AG156" s="517"/>
      <c r="AH156" s="517"/>
    </row>
    <row r="157" spans="31:34" ht="18.899999999999999" customHeight="1">
      <c r="AE157" s="517"/>
      <c r="AF157" s="517"/>
      <c r="AG157" s="517"/>
      <c r="AH157" s="517"/>
    </row>
    <row r="158" spans="31:34" ht="18.899999999999999" customHeight="1">
      <c r="AE158" s="517"/>
      <c r="AF158" s="517"/>
      <c r="AG158" s="517"/>
      <c r="AH158" s="517"/>
    </row>
    <row r="159" spans="31:34" ht="18.899999999999999" customHeight="1">
      <c r="AE159" s="517"/>
      <c r="AF159" s="517"/>
      <c r="AG159" s="517"/>
      <c r="AH159" s="517"/>
    </row>
    <row r="160" spans="31:34" ht="18.899999999999999" customHeight="1">
      <c r="AE160" s="517"/>
      <c r="AF160" s="517"/>
      <c r="AG160" s="517"/>
      <c r="AH160" s="517"/>
    </row>
    <row r="161" spans="31:34" ht="18.899999999999999" customHeight="1">
      <c r="AE161" s="517"/>
      <c r="AF161" s="517"/>
      <c r="AG161" s="517"/>
      <c r="AH161" s="517"/>
    </row>
    <row r="162" spans="31:34" ht="18.899999999999999" customHeight="1">
      <c r="AE162" s="517"/>
      <c r="AF162" s="517"/>
      <c r="AG162" s="517"/>
      <c r="AH162" s="517"/>
    </row>
    <row r="163" spans="31:34" ht="18.899999999999999" customHeight="1">
      <c r="AE163" s="517"/>
      <c r="AF163" s="517"/>
      <c r="AG163" s="517"/>
      <c r="AH163" s="517"/>
    </row>
    <row r="164" spans="31:34" ht="18.899999999999999" customHeight="1">
      <c r="AE164" s="517"/>
      <c r="AF164" s="517"/>
      <c r="AG164" s="517"/>
      <c r="AH164" s="517"/>
    </row>
    <row r="165" spans="31:34" ht="18.899999999999999" customHeight="1">
      <c r="AE165" s="517"/>
      <c r="AF165" s="517"/>
      <c r="AG165" s="517"/>
      <c r="AH165" s="517"/>
    </row>
    <row r="166" spans="31:34" ht="18.899999999999999" customHeight="1">
      <c r="AE166" s="517"/>
      <c r="AF166" s="517"/>
      <c r="AG166" s="517"/>
      <c r="AH166" s="517"/>
    </row>
    <row r="167" spans="31:34" ht="18.899999999999999" customHeight="1">
      <c r="AE167" s="517"/>
      <c r="AF167" s="517"/>
      <c r="AG167" s="517"/>
      <c r="AH167" s="517"/>
    </row>
    <row r="168" spans="31:34" ht="18.899999999999999" customHeight="1">
      <c r="AE168" s="517"/>
      <c r="AF168" s="517"/>
      <c r="AG168" s="517"/>
      <c r="AH168" s="517"/>
    </row>
    <row r="169" spans="31:34" ht="18.899999999999999" customHeight="1">
      <c r="AE169" s="517"/>
      <c r="AF169" s="517"/>
      <c r="AG169" s="517"/>
      <c r="AH169" s="517"/>
    </row>
    <row r="170" spans="31:34" ht="18.899999999999999" customHeight="1">
      <c r="AE170" s="517"/>
      <c r="AF170" s="517"/>
      <c r="AG170" s="517"/>
      <c r="AH170" s="517"/>
    </row>
    <row r="171" spans="31:34" ht="18.899999999999999" customHeight="1">
      <c r="AE171" s="517"/>
      <c r="AF171" s="517"/>
      <c r="AG171" s="517"/>
      <c r="AH171" s="517"/>
    </row>
    <row r="172" spans="31:34" ht="18.899999999999999" customHeight="1">
      <c r="AE172" s="517"/>
      <c r="AF172" s="517"/>
      <c r="AG172" s="517"/>
      <c r="AH172" s="517"/>
    </row>
    <row r="173" spans="31:34" ht="18.899999999999999" customHeight="1">
      <c r="AE173" s="517"/>
      <c r="AF173" s="517"/>
      <c r="AG173" s="517"/>
      <c r="AH173" s="517"/>
    </row>
    <row r="174" spans="31:34" ht="18.899999999999999" customHeight="1">
      <c r="AE174" s="517"/>
      <c r="AF174" s="517"/>
      <c r="AG174" s="517"/>
      <c r="AH174" s="517"/>
    </row>
    <row r="175" spans="31:34" ht="18.899999999999999" customHeight="1">
      <c r="AE175" s="517"/>
      <c r="AF175" s="517"/>
      <c r="AG175" s="517"/>
      <c r="AH175" s="517"/>
    </row>
    <row r="176" spans="31:34" ht="18.899999999999999" customHeight="1">
      <c r="AE176" s="517"/>
      <c r="AF176" s="517"/>
      <c r="AG176" s="517"/>
      <c r="AH176" s="517"/>
    </row>
    <row r="177" spans="31:34" ht="18.899999999999999" customHeight="1">
      <c r="AE177" s="517"/>
      <c r="AF177" s="517"/>
      <c r="AG177" s="517"/>
      <c r="AH177" s="517"/>
    </row>
    <row r="178" spans="31:34" ht="18.899999999999999" customHeight="1">
      <c r="AE178" s="517"/>
      <c r="AF178" s="517"/>
      <c r="AG178" s="517"/>
      <c r="AH178" s="517"/>
    </row>
    <row r="179" spans="31:34" ht="18.899999999999999" customHeight="1">
      <c r="AE179" s="517"/>
      <c r="AF179" s="517"/>
      <c r="AG179" s="517"/>
      <c r="AH179" s="517"/>
    </row>
    <row r="180" spans="31:34" ht="18.899999999999999" customHeight="1">
      <c r="AE180" s="517"/>
      <c r="AF180" s="517"/>
      <c r="AG180" s="517"/>
      <c r="AH180" s="517"/>
    </row>
    <row r="181" spans="31:34" ht="18.899999999999999" customHeight="1">
      <c r="AE181" s="517"/>
      <c r="AF181" s="517"/>
      <c r="AG181" s="517"/>
      <c r="AH181" s="517"/>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3969</v>
      </c>
      <c r="C3" s="76"/>
      <c r="D3" s="76"/>
      <c r="E3" s="76"/>
    </row>
    <row r="4" spans="1:13">
      <c r="F4" s="90"/>
      <c r="G4" s="89"/>
      <c r="H4" s="90"/>
      <c r="I4" s="90"/>
    </row>
    <row r="5" spans="1:13" ht="13.8">
      <c r="A5" s="91"/>
      <c r="B5" s="78" t="s">
        <v>1708</v>
      </c>
      <c r="C5" s="78" t="s">
        <v>2281</v>
      </c>
      <c r="D5" s="78" t="s">
        <v>2282</v>
      </c>
      <c r="E5" s="78" t="s">
        <v>2283</v>
      </c>
      <c r="F5" s="92">
        <f>pp_NC!GV5</f>
        <v>0</v>
      </c>
      <c r="G5" s="92" t="str">
        <f>'pp3p2m '!ED6</f>
        <v>B</v>
      </c>
      <c r="H5" s="92" t="s">
        <v>1038</v>
      </c>
      <c r="I5" s="92" t="s">
        <v>1038</v>
      </c>
      <c r="J5" s="93"/>
      <c r="K5" s="89"/>
      <c r="L5" s="89"/>
      <c r="M5" s="89"/>
    </row>
    <row r="6" spans="1:13" ht="13.8">
      <c r="A6" s="79" t="s">
        <v>2284</v>
      </c>
      <c r="B6" s="80"/>
      <c r="C6" s="123"/>
      <c r="D6" s="80" t="s">
        <v>2285</v>
      </c>
      <c r="E6" s="80" t="s">
        <v>2286</v>
      </c>
      <c r="F6" s="81" t="s">
        <v>2287</v>
      </c>
      <c r="G6" s="94"/>
      <c r="H6" s="91"/>
      <c r="I6" s="91"/>
      <c r="J6" s="91"/>
    </row>
    <row r="7" spans="1:13" ht="13.8">
      <c r="A7" s="95"/>
      <c r="B7" s="124">
        <v>1</v>
      </c>
      <c r="C7" s="124">
        <v>2</v>
      </c>
      <c r="D7" s="124">
        <v>3</v>
      </c>
      <c r="E7" s="124">
        <v>4</v>
      </c>
      <c r="F7" s="91"/>
      <c r="G7" s="94"/>
      <c r="H7" s="91"/>
      <c r="I7" s="91"/>
      <c r="J7" s="91"/>
    </row>
    <row r="8" spans="1:13" ht="13.8">
      <c r="A8" s="95"/>
      <c r="B8" s="125" t="s">
        <v>501</v>
      </c>
      <c r="C8" s="122" t="s">
        <v>2288</v>
      </c>
      <c r="D8" s="126"/>
      <c r="E8" s="634"/>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939</v>
      </c>
      <c r="C44" s="83" t="s">
        <v>2314</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1355</v>
      </c>
      <c r="B67" s="104" t="s">
        <v>1615</v>
      </c>
      <c r="C67" s="83" t="s">
        <v>2300</v>
      </c>
      <c r="D67" s="84" t="s">
        <v>2301</v>
      </c>
      <c r="E67" s="105"/>
      <c r="F67" s="91"/>
      <c r="G67" s="99">
        <v>1</v>
      </c>
      <c r="H67" s="91"/>
      <c r="I67" s="91"/>
      <c r="J67" s="91"/>
    </row>
    <row r="68" spans="1:10" s="1" customFormat="1" ht="13.8" hidden="1">
      <c r="A68" s="9" t="str">
        <f>chitiet!B2106</f>
        <v>AV95</v>
      </c>
      <c r="B68" s="25"/>
      <c r="C68" s="16" t="s">
        <v>2770</v>
      </c>
      <c r="D68" s="19" t="s">
        <v>2532</v>
      </c>
      <c r="E68" s="24">
        <v>0</v>
      </c>
      <c r="F68" s="10">
        <f>chitiet!E2106</f>
        <v>0</v>
      </c>
      <c r="G68" s="7">
        <f>IF(E68&lt;&gt;0,1,0)</f>
        <v>0</v>
      </c>
      <c r="H68" s="4"/>
      <c r="I68" s="4"/>
      <c r="J68" s="4"/>
    </row>
    <row r="69" spans="1:10" s="1" customFormat="1" ht="13.8" hidden="1">
      <c r="A69" s="9" t="str">
        <f>chitiet!B2107</f>
        <v>AV50</v>
      </c>
      <c r="B69" s="28" t="str">
        <f>IF(E69=0,"",COUNTIF($E$68:$E69,"&gt;0"))</f>
        <v/>
      </c>
      <c r="C69" s="16" t="s">
        <v>5013</v>
      </c>
      <c r="D69" s="19" t="s">
        <v>2532</v>
      </c>
      <c r="E69" s="24">
        <v>0</v>
      </c>
      <c r="F69" s="10">
        <f>chitiet!E2108</f>
        <v>0</v>
      </c>
      <c r="G69" s="7">
        <f t="shared" ref="G69:G137" si="3">IF(E69&lt;&gt;0,1,0)</f>
        <v>0</v>
      </c>
      <c r="H69" s="4"/>
      <c r="I69" s="4"/>
      <c r="J69" s="4"/>
    </row>
    <row r="70" spans="1:10" s="1" customFormat="1" ht="13.8" hidden="1">
      <c r="A70" s="9" t="str">
        <f>chitiet!B2108</f>
        <v>AC50</v>
      </c>
      <c r="B70" s="28" t="str">
        <f>IF(E70=0,"",COUNTIF($E$68:$E70,"&gt;0"))</f>
        <v/>
      </c>
      <c r="C70" s="16" t="s">
        <v>2760</v>
      </c>
      <c r="D70" s="19" t="s">
        <v>2248</v>
      </c>
      <c r="E70" s="24">
        <v>0</v>
      </c>
      <c r="F70" s="4"/>
      <c r="G70" s="7">
        <f t="shared" si="3"/>
        <v>0</v>
      </c>
      <c r="H70" s="4"/>
      <c r="I70" s="4"/>
      <c r="J70" s="4"/>
    </row>
    <row r="71" spans="1:10" s="1" customFormat="1" ht="13.8" hidden="1">
      <c r="A71" s="9" t="str">
        <f>chitiet!B2109</f>
        <v>ABC3x50</v>
      </c>
      <c r="B71" s="28" t="e">
        <f>IF(E71=0,"",COUNTIF($E$68:$E71,"&gt;0"))</f>
        <v>#N/A</v>
      </c>
      <c r="C71" s="16" t="e">
        <v>#N/A</v>
      </c>
      <c r="D71" s="19" t="e">
        <v>#N/A</v>
      </c>
      <c r="E71" s="24" t="e">
        <v>#N/A</v>
      </c>
      <c r="F71" s="4"/>
      <c r="G71" s="7" t="e">
        <f>IF(E71&lt;&gt;0,1,0)</f>
        <v>#N/A</v>
      </c>
      <c r="H71" s="4"/>
      <c r="I71" s="4"/>
      <c r="J71" s="4"/>
    </row>
    <row r="72" spans="1:10" ht="13.8" hidden="1">
      <c r="A72" s="106" t="str">
        <f>chitiet!B2110</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chitiet!B2111</f>
        <v>ABC4x50</v>
      </c>
      <c r="B73" s="28" t="str">
        <f>IF(E73=0,"",COUNTIF($E$68:$E73,"&gt;0"))</f>
        <v/>
      </c>
      <c r="C73" s="16" t="s">
        <v>2778</v>
      </c>
      <c r="D73" s="19" t="s">
        <v>2532</v>
      </c>
      <c r="E73" s="24">
        <v>0</v>
      </c>
      <c r="F73" s="4"/>
      <c r="G73" s="7">
        <f t="shared" si="3"/>
        <v>0</v>
      </c>
      <c r="H73" s="4"/>
      <c r="I73" s="4"/>
      <c r="J73" s="4"/>
    </row>
    <row r="74" spans="1:10" ht="13.8">
      <c r="A74" s="106" t="str">
        <f>chitiet!B2112</f>
        <v>ABC4x70</v>
      </c>
      <c r="B74" s="128" t="str">
        <f>IF(E74=0,"",COUNTIF($E$68:$E74,"&gt;0"))</f>
        <v/>
      </c>
      <c r="C74" s="101" t="s">
        <v>2779</v>
      </c>
      <c r="D74" s="84" t="s">
        <v>2532</v>
      </c>
      <c r="E74" s="132">
        <v>0</v>
      </c>
      <c r="F74" s="91"/>
      <c r="G74" s="99">
        <f t="shared" si="3"/>
        <v>0</v>
      </c>
      <c r="H74" s="91"/>
      <c r="I74" s="91"/>
      <c r="J74" s="91"/>
    </row>
    <row r="75" spans="1:10" s="1" customFormat="1" ht="13.8" hidden="1">
      <c r="A75" s="9" t="str">
        <f>chitiet!B2113</f>
        <v>ABC4x95</v>
      </c>
      <c r="B75" s="28" t="str">
        <f>IF(E75=0,"",COUNTIF($E$68:$E75,"&gt;0"))</f>
        <v/>
      </c>
      <c r="C75" s="16" t="s">
        <v>4482</v>
      </c>
      <c r="D75" s="19" t="s">
        <v>2532</v>
      </c>
      <c r="E75" s="24">
        <v>0</v>
      </c>
      <c r="F75" s="4"/>
      <c r="G75" s="7">
        <f t="shared" si="3"/>
        <v>0</v>
      </c>
      <c r="H75" s="4"/>
      <c r="I75" s="4"/>
      <c r="J75" s="4"/>
    </row>
    <row r="76" spans="1:10" s="1" customFormat="1" ht="13.8" hidden="1">
      <c r="A76" s="9" t="str">
        <f>chitiet!B2114</f>
        <v>ABC4x150</v>
      </c>
      <c r="B76" s="28" t="str">
        <f>IF(E76=0,"",COUNTIF($E$68:$E76,"&gt;0"))</f>
        <v/>
      </c>
      <c r="C76" s="16" t="s">
        <v>2781</v>
      </c>
      <c r="D76" s="19" t="s">
        <v>2532</v>
      </c>
      <c r="E76" s="24">
        <v>0</v>
      </c>
      <c r="F76" s="4"/>
      <c r="G76" s="7">
        <f t="shared" si="3"/>
        <v>0</v>
      </c>
      <c r="H76" s="4"/>
      <c r="I76" s="4"/>
      <c r="J76" s="4"/>
    </row>
    <row r="77" spans="1:10" s="1" customFormat="1" ht="13.8" hidden="1">
      <c r="A77" s="9" t="str">
        <f>chitiet!B2115</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chitiet!B2117</f>
        <v>ON95</v>
      </c>
      <c r="B78" s="28" t="str">
        <f>IF(E78=0,"",COUNTIF($E$68:$E78,"&gt;0"))</f>
        <v/>
      </c>
      <c r="C78" s="16" t="s">
        <v>2926</v>
      </c>
      <c r="D78" s="19" t="s">
        <v>2555</v>
      </c>
      <c r="E78" s="24">
        <v>0</v>
      </c>
      <c r="F78" s="4"/>
      <c r="G78" s="7">
        <f t="shared" si="4"/>
        <v>0</v>
      </c>
      <c r="H78" s="4"/>
      <c r="I78" s="4"/>
      <c r="J78" s="4"/>
    </row>
    <row r="79" spans="1:10" s="1" customFormat="1" ht="13.8" hidden="1">
      <c r="A79" s="9" t="str">
        <f>chitiet!B2118</f>
        <v>COSE50</v>
      </c>
      <c r="B79" s="28" t="e">
        <f>IF(E79=0,"",COUNTIF($E$68:$E79,"&gt;0"))</f>
        <v>#N/A</v>
      </c>
      <c r="C79" s="16" t="e">
        <v>#N/A</v>
      </c>
      <c r="D79" s="19" t="e">
        <v>#N/A</v>
      </c>
      <c r="E79" s="24" t="e">
        <v>#N/A</v>
      </c>
      <c r="F79" s="4"/>
      <c r="G79" s="7" t="e">
        <f t="shared" si="4"/>
        <v>#N/A</v>
      </c>
      <c r="H79" s="4"/>
      <c r="I79" s="4"/>
      <c r="J79" s="4"/>
    </row>
    <row r="80" spans="1:10" s="1" customFormat="1" ht="13.8" hidden="1">
      <c r="A80" s="9" t="str">
        <f>chitiet!B2119</f>
        <v>COSE70</v>
      </c>
      <c r="B80" s="28" t="str">
        <f>IF(E80=0,"",COUNTIF($E$68:$E80,"&gt;0"))</f>
        <v/>
      </c>
      <c r="C80" s="16" t="s">
        <v>5014</v>
      </c>
      <c r="D80" s="19" t="s">
        <v>2555</v>
      </c>
      <c r="E80" s="24">
        <v>0</v>
      </c>
      <c r="F80" s="4"/>
      <c r="G80" s="7">
        <f t="shared" si="4"/>
        <v>0</v>
      </c>
      <c r="H80" s="4"/>
      <c r="I80" s="4"/>
      <c r="J80" s="4"/>
    </row>
    <row r="81" spans="1:10" s="1" customFormat="1" ht="13.8" hidden="1">
      <c r="A81" s="9" t="str">
        <f>chitiet!B2120</f>
        <v>B1250TH</v>
      </c>
      <c r="B81" s="28" t="e">
        <f>IF(E81=0,"",COUNTIF($E$68:$E81,"&gt;0"))</f>
        <v>#N/A</v>
      </c>
      <c r="C81" s="16" t="e">
        <v>#N/A</v>
      </c>
      <c r="D81" s="19" t="e">
        <v>#N/A</v>
      </c>
      <c r="E81" s="24" t="e">
        <v>#N/A</v>
      </c>
      <c r="F81" s="4"/>
      <c r="G81" s="7" t="e">
        <f t="shared" si="4"/>
        <v>#N/A</v>
      </c>
      <c r="H81" s="4"/>
      <c r="I81" s="4"/>
      <c r="J81" s="4"/>
    </row>
    <row r="82" spans="1:10" s="1" customFormat="1" ht="13.8" hidden="1">
      <c r="A82" s="9" t="str">
        <f>chitiet!B2121</f>
        <v>CTD+K</v>
      </c>
      <c r="B82" s="28" t="e">
        <f>IF(E82=0,"",COUNTIF($E$68:$E82,"&gt;0"))</f>
        <v>#N/A</v>
      </c>
      <c r="C82" s="16" t="e">
        <v>#N/A</v>
      </c>
      <c r="D82" s="19" t="e">
        <v>#N/A</v>
      </c>
      <c r="E82" s="24" t="e">
        <v>#N/A</v>
      </c>
      <c r="F82" s="4"/>
      <c r="G82" s="7" t="e">
        <f t="shared" si="4"/>
        <v>#N/A</v>
      </c>
      <c r="H82" s="4"/>
      <c r="I82" s="4"/>
      <c r="J82" s="4"/>
    </row>
    <row r="83" spans="1:10" s="1" customFormat="1" ht="13.8" hidden="1">
      <c r="A83" s="9" t="str">
        <f>chitiet!B2122</f>
        <v>M25</v>
      </c>
      <c r="B83" s="28" t="e">
        <f>IF(E83=0,"",COUNTIF($E$68:$E83,"&gt;0"))</f>
        <v>#N/A</v>
      </c>
      <c r="C83" s="16" t="e">
        <v>#N/A</v>
      </c>
      <c r="D83" s="19" t="e">
        <v>#N/A</v>
      </c>
      <c r="E83" s="24" t="e">
        <v>#N/A</v>
      </c>
      <c r="F83" s="4"/>
      <c r="G83" s="7" t="e">
        <f t="shared" si="4"/>
        <v>#N/A</v>
      </c>
      <c r="H83" s="4"/>
      <c r="I83" s="4"/>
      <c r="J83" s="4"/>
    </row>
    <row r="84" spans="1:10" ht="13.8">
      <c r="A84" s="106" t="str">
        <f>chitiet!B2125</f>
        <v>GIP70-35</v>
      </c>
      <c r="B84" s="128" t="str">
        <f>IF(E84=0,"",COUNTIF($E$68:$E84,"&gt;0"))</f>
        <v/>
      </c>
      <c r="C84" s="101" t="s">
        <v>5015</v>
      </c>
      <c r="D84" s="84" t="s">
        <v>2555</v>
      </c>
      <c r="E84" s="132">
        <v>0</v>
      </c>
      <c r="F84" s="91"/>
      <c r="G84" s="99">
        <f t="shared" si="3"/>
        <v>0</v>
      </c>
      <c r="H84" s="91"/>
      <c r="I84" s="91"/>
      <c r="J84" s="91"/>
    </row>
    <row r="85" spans="1:10" ht="13.8">
      <c r="A85" s="106" t="str">
        <f>chitiet!B2126</f>
        <v>GIP70-70</v>
      </c>
      <c r="B85" s="128" t="str">
        <f>IF(E85=0,"",COUNTIF($E$68:$E85,"&gt;0"))</f>
        <v/>
      </c>
      <c r="C85" s="101" t="s">
        <v>5016</v>
      </c>
      <c r="D85" s="84" t="s">
        <v>2555</v>
      </c>
      <c r="E85" s="132">
        <v>0</v>
      </c>
      <c r="F85" s="91"/>
      <c r="G85" s="99">
        <f>IF(E85&lt;&gt;0,1,0)</f>
        <v>0</v>
      </c>
      <c r="H85" s="91"/>
      <c r="I85" s="91"/>
      <c r="J85" s="91"/>
    </row>
    <row r="86" spans="1:10" s="1" customFormat="1" ht="13.8" hidden="1">
      <c r="A86" s="9" t="str">
        <f>chitiet!B2127</f>
        <v>GIP95-70</v>
      </c>
      <c r="B86" s="28" t="str">
        <f>IF(E86=0,"",COUNTIF($E$68:$E86,"&gt;0"))</f>
        <v/>
      </c>
      <c r="C86" s="16" t="s">
        <v>5017</v>
      </c>
      <c r="D86" s="19" t="s">
        <v>2555</v>
      </c>
      <c r="E86" s="24">
        <v>0</v>
      </c>
      <c r="F86" s="4"/>
      <c r="G86" s="7">
        <f t="shared" si="3"/>
        <v>0</v>
      </c>
      <c r="H86" s="4"/>
      <c r="I86" s="4"/>
      <c r="J86" s="4"/>
    </row>
    <row r="87" spans="1:10" s="1" customFormat="1" ht="13.8" hidden="1">
      <c r="A87" s="9" t="str">
        <f>chitiet!B2128</f>
        <v>GIP150-70</v>
      </c>
      <c r="B87" s="28" t="str">
        <f>IF(E87=0,"",COUNTIF($E$68:$E87,"&gt;0"))</f>
        <v/>
      </c>
      <c r="C87" s="16" t="s">
        <v>5018</v>
      </c>
      <c r="D87" s="19" t="s">
        <v>2555</v>
      </c>
      <c r="E87" s="24">
        <v>0</v>
      </c>
      <c r="F87" s="4"/>
      <c r="G87" s="7">
        <f>IF(E87&lt;&gt;0,1,0)</f>
        <v>0</v>
      </c>
      <c r="H87" s="4"/>
      <c r="I87" s="4"/>
      <c r="J87" s="4"/>
    </row>
    <row r="88" spans="1:10" s="1" customFormat="1" ht="13.8" hidden="1">
      <c r="A88" s="9" t="str">
        <f>chitiet!B2129</f>
        <v>GIP95-150</v>
      </c>
      <c r="B88" s="28" t="str">
        <f>IF(E88=0,"",COUNTIF($E$68:$E88,"&gt;0"))</f>
        <v/>
      </c>
      <c r="C88" s="16" t="s">
        <v>5019</v>
      </c>
      <c r="D88" s="19" t="s">
        <v>2555</v>
      </c>
      <c r="E88" s="24">
        <v>0</v>
      </c>
      <c r="F88" s="4"/>
      <c r="G88" s="7">
        <f t="shared" si="3"/>
        <v>0</v>
      </c>
      <c r="H88" s="4"/>
      <c r="I88" s="4"/>
      <c r="J88" s="4"/>
    </row>
    <row r="89" spans="1:10" s="1" customFormat="1" ht="13.8" hidden="1">
      <c r="A89" s="9" t="str">
        <f>chitiet!B2132</f>
        <v>GIP95-50</v>
      </c>
      <c r="B89" s="28" t="str">
        <f>IF(E89=0,"",COUNTIF($E$68:$E89,"&gt;0"))</f>
        <v/>
      </c>
      <c r="C89" s="16" t="s">
        <v>5020</v>
      </c>
      <c r="D89" s="19" t="s">
        <v>2555</v>
      </c>
      <c r="E89" s="24">
        <v>0</v>
      </c>
      <c r="F89" s="4"/>
      <c r="G89" s="7">
        <f t="shared" si="3"/>
        <v>0</v>
      </c>
      <c r="H89" s="4"/>
      <c r="I89" s="4"/>
      <c r="J89" s="4"/>
    </row>
    <row r="90" spans="1:10" ht="13.8">
      <c r="A90" s="106" t="str">
        <f>chitiet!B2133</f>
        <v>ke95</v>
      </c>
      <c r="B90" s="128" t="str">
        <f>IF(E90=0,"",COUNTIF($E$68:$E90,"&gt;0"))</f>
        <v/>
      </c>
      <c r="C90" s="101" t="s">
        <v>2875</v>
      </c>
      <c r="D90" s="84" t="s">
        <v>2555</v>
      </c>
      <c r="E90" s="132">
        <v>0</v>
      </c>
      <c r="F90" s="91"/>
      <c r="G90" s="99">
        <f t="shared" si="3"/>
        <v>0</v>
      </c>
      <c r="H90" s="91"/>
      <c r="I90" s="91"/>
      <c r="J90" s="91"/>
    </row>
    <row r="91" spans="1:10" s="1" customFormat="1" ht="13.8" hidden="1">
      <c r="A91" s="9" t="str">
        <f>chitiet!B2130</f>
        <v>GIP95-25</v>
      </c>
      <c r="B91" s="28" t="e">
        <f>IF(E91=0,"",COUNTIF($E$68:$E91,"&gt;0"))</f>
        <v>#N/A</v>
      </c>
      <c r="C91" s="16" t="e">
        <v>#N/A</v>
      </c>
      <c r="D91" s="19" t="e">
        <v>#N/A</v>
      </c>
      <c r="E91" s="24" t="e">
        <v>#N/A</v>
      </c>
      <c r="F91" s="4"/>
      <c r="G91" s="7" t="e">
        <f t="shared" si="3"/>
        <v>#N/A</v>
      </c>
      <c r="H91" s="4"/>
      <c r="I91" s="4"/>
      <c r="J91" s="4"/>
    </row>
    <row r="92" spans="1:10" s="1" customFormat="1" ht="13.8" hidden="1">
      <c r="A92" s="9" t="str">
        <f>chitiet!B2134</f>
        <v>GIP50-35</v>
      </c>
      <c r="B92" s="28" t="str">
        <f>IF(E92=0,"",COUNTIF($E$68:$E92,"&gt;0"))</f>
        <v/>
      </c>
      <c r="C92" s="16" t="s">
        <v>5021</v>
      </c>
      <c r="D92" s="19" t="s">
        <v>2555</v>
      </c>
      <c r="E92" s="24">
        <v>0</v>
      </c>
      <c r="F92" s="4"/>
      <c r="G92" s="7">
        <f t="shared" si="3"/>
        <v>0</v>
      </c>
      <c r="H92" s="4"/>
      <c r="I92" s="4"/>
      <c r="J92" s="4"/>
    </row>
    <row r="93" spans="1:10" ht="13.8">
      <c r="A93" s="106" t="str">
        <f>chitiet!B2139</f>
        <v>HOP9C</v>
      </c>
      <c r="B93" s="128" t="str">
        <f>IF(E93=0,"",COUNTIF($E$68:$E93,"&gt;0"))</f>
        <v/>
      </c>
      <c r="C93" s="101" t="s">
        <v>5022</v>
      </c>
      <c r="D93" s="84" t="s">
        <v>2555</v>
      </c>
      <c r="E93" s="132">
        <v>0</v>
      </c>
      <c r="F93" s="91"/>
      <c r="G93" s="99">
        <f t="shared" si="3"/>
        <v>0</v>
      </c>
      <c r="H93" s="91"/>
      <c r="I93" s="91"/>
      <c r="J93" s="91"/>
    </row>
    <row r="94" spans="1:10" s="1" customFormat="1" ht="13.8" hidden="1">
      <c r="A94" s="9" t="str">
        <f>chitiet!B2137</f>
        <v>HOP6C</v>
      </c>
      <c r="B94" s="28" t="str">
        <f>IF(E94=0,"",COUNTIF($E$68:$E94,"&gt;0"))</f>
        <v/>
      </c>
      <c r="C94" s="16" t="s">
        <v>5023</v>
      </c>
      <c r="D94" s="19" t="s">
        <v>2555</v>
      </c>
      <c r="E94" s="24">
        <v>0</v>
      </c>
      <c r="F94" s="4"/>
      <c r="G94" s="7">
        <f t="shared" si="3"/>
        <v>0</v>
      </c>
      <c r="H94" s="4"/>
      <c r="I94" s="4"/>
      <c r="J94" s="4"/>
    </row>
    <row r="95" spans="1:10" ht="13.8">
      <c r="A95" s="106" t="str">
        <f>chitiet!B2138</f>
        <v>CV25</v>
      </c>
      <c r="B95" s="128" t="str">
        <f>IF(E95=0,"",COUNTIF($E$68:$E95,"&gt;0"))</f>
        <v/>
      </c>
      <c r="C95" s="101" t="s">
        <v>2790</v>
      </c>
      <c r="D95" s="84" t="s">
        <v>2532</v>
      </c>
      <c r="E95" s="132">
        <v>0</v>
      </c>
      <c r="F95" s="91"/>
      <c r="G95" s="99">
        <f t="shared" si="3"/>
        <v>0</v>
      </c>
      <c r="H95" s="91"/>
      <c r="I95" s="91"/>
      <c r="J95" s="91"/>
    </row>
    <row r="96" spans="1:10" s="1" customFormat="1" ht="13.8" hidden="1">
      <c r="A96" s="9" t="str">
        <f>chitiet!B2140</f>
        <v>KTREO120</v>
      </c>
      <c r="B96" s="28" t="str">
        <f>IF(E96=0,"",COUNTIF($E$68:$E96,"&gt;0"))</f>
        <v/>
      </c>
      <c r="C96" s="16" t="s">
        <v>2841</v>
      </c>
      <c r="D96" s="19" t="s">
        <v>2555</v>
      </c>
      <c r="E96" s="24">
        <v>0</v>
      </c>
      <c r="F96" s="4"/>
      <c r="G96" s="7">
        <f t="shared" si="3"/>
        <v>0</v>
      </c>
      <c r="H96" s="4"/>
      <c r="I96" s="4"/>
      <c r="J96" s="4"/>
    </row>
    <row r="97" spans="1:10" s="1" customFormat="1" ht="13.8" hidden="1">
      <c r="A97" s="9" t="str">
        <f>chitiet!B2141</f>
        <v>KTREO95</v>
      </c>
      <c r="B97" s="28" t="str">
        <f>IF(E97=0,"",COUNTIF($E$68:$E97,"&gt;0"))</f>
        <v/>
      </c>
      <c r="C97" s="16" t="s">
        <v>4875</v>
      </c>
      <c r="D97" s="19" t="s">
        <v>2555</v>
      </c>
      <c r="E97" s="24">
        <v>0</v>
      </c>
      <c r="F97" s="4"/>
      <c r="G97" s="7">
        <f t="shared" si="3"/>
        <v>0</v>
      </c>
      <c r="H97" s="4"/>
      <c r="I97" s="4"/>
      <c r="J97" s="4"/>
    </row>
    <row r="98" spans="1:10" ht="13.8">
      <c r="A98" s="106" t="str">
        <f>chitiet!B2142</f>
        <v>KTREO70</v>
      </c>
      <c r="B98" s="128" t="str">
        <f>IF(E98=0,"",COUNTIF($E$68:$E98,"&gt;0"))</f>
        <v/>
      </c>
      <c r="C98" s="101" t="s">
        <v>2840</v>
      </c>
      <c r="D98" s="84" t="s">
        <v>2555</v>
      </c>
      <c r="E98" s="132">
        <v>0</v>
      </c>
      <c r="F98" s="91"/>
      <c r="G98" s="99">
        <f t="shared" si="3"/>
        <v>0</v>
      </c>
      <c r="H98" s="91"/>
      <c r="I98" s="91"/>
      <c r="J98" s="91"/>
    </row>
    <row r="99" spans="1:10" s="1" customFormat="1" ht="13.8" hidden="1">
      <c r="A99" s="9" t="str">
        <f>chitiet!B2143</f>
        <v>KTREO50</v>
      </c>
      <c r="B99" s="28" t="str">
        <f>IF(E99=0,"",COUNTIF($E$68:$E99,"&gt;0"))</f>
        <v/>
      </c>
      <c r="C99" s="16" t="s">
        <v>2839</v>
      </c>
      <c r="D99" s="19" t="s">
        <v>2555</v>
      </c>
      <c r="E99" s="24">
        <v>0</v>
      </c>
      <c r="F99" s="4"/>
      <c r="G99" s="7">
        <f t="shared" si="3"/>
        <v>0</v>
      </c>
      <c r="H99" s="4"/>
      <c r="I99" s="4"/>
      <c r="J99" s="4"/>
    </row>
    <row r="100" spans="1:10" ht="13.8" hidden="1">
      <c r="A100" s="106" t="str">
        <f>chitiet!B2144</f>
        <v>MTREO A</v>
      </c>
      <c r="B100" s="128" t="str">
        <f>IF(E100=0,"",COUNTIF($E$68:$E100,"&gt;0"))</f>
        <v/>
      </c>
      <c r="C100" s="101" t="s">
        <v>2843</v>
      </c>
      <c r="D100" s="84" t="s">
        <v>2555</v>
      </c>
      <c r="E100" s="132">
        <v>0</v>
      </c>
      <c r="F100" s="91"/>
      <c r="G100" s="99">
        <f t="shared" si="3"/>
        <v>0</v>
      </c>
      <c r="H100" s="91"/>
      <c r="I100" s="91"/>
      <c r="J100" s="91"/>
    </row>
    <row r="101" spans="1:10" s="1" customFormat="1" ht="13.8" hidden="1">
      <c r="A101" s="9" t="str">
        <f>chitiet!B2145</f>
        <v>KNGUNG150</v>
      </c>
      <c r="B101" s="28" t="str">
        <f>IF(E101=0,"",COUNTIF($E$68:$E101,"&gt;0"))</f>
        <v/>
      </c>
      <c r="C101" s="16" t="s">
        <v>2853</v>
      </c>
      <c r="D101" s="19" t="s">
        <v>2555</v>
      </c>
      <c r="E101" s="24">
        <v>0</v>
      </c>
      <c r="F101" s="4"/>
      <c r="G101" s="7">
        <f t="shared" si="3"/>
        <v>0</v>
      </c>
      <c r="H101" s="4"/>
      <c r="I101" s="4"/>
      <c r="J101" s="4"/>
    </row>
    <row r="102" spans="1:10" s="1" customFormat="1" ht="13.8" hidden="1">
      <c r="A102" s="9" t="str">
        <f>chitiet!B2146</f>
        <v>KNGUNG95</v>
      </c>
      <c r="B102" s="28" t="str">
        <f>IF(E102=0,"",COUNTIF($E$68:$E102,"&gt;0"))</f>
        <v/>
      </c>
      <c r="C102" s="16" t="s">
        <v>4761</v>
      </c>
      <c r="D102" s="19" t="s">
        <v>2555</v>
      </c>
      <c r="E102" s="24">
        <v>0</v>
      </c>
      <c r="F102" s="4"/>
      <c r="G102" s="7">
        <f t="shared" si="3"/>
        <v>0</v>
      </c>
      <c r="H102" s="4"/>
      <c r="I102" s="4"/>
      <c r="J102" s="4"/>
    </row>
    <row r="103" spans="1:10" ht="13.8">
      <c r="A103" s="106" t="str">
        <f>chitiet!B2147</f>
        <v>KNGUNG70</v>
      </c>
      <c r="B103" s="128" t="str">
        <f>IF(E103=0,"",COUNTIF($E$68:$E103,"&gt;0"))</f>
        <v/>
      </c>
      <c r="C103" s="101" t="s">
        <v>2851</v>
      </c>
      <c r="D103" s="84" t="s">
        <v>2555</v>
      </c>
      <c r="E103" s="132">
        <v>0</v>
      </c>
      <c r="F103" s="91"/>
      <c r="G103" s="99">
        <f t="shared" si="3"/>
        <v>0</v>
      </c>
      <c r="H103" s="91"/>
      <c r="I103" s="91"/>
      <c r="J103" s="91"/>
    </row>
    <row r="104" spans="1:10" s="1" customFormat="1" ht="13.8" hidden="1">
      <c r="A104" s="9" t="str">
        <f>chitiet!B2148</f>
        <v>KNGUNG50</v>
      </c>
      <c r="B104" s="28" t="str">
        <f>IF(E104=0,"",COUNTIF($E$68:$E104,"&gt;0"))</f>
        <v/>
      </c>
      <c r="C104" s="16" t="s">
        <v>2850</v>
      </c>
      <c r="D104" s="19" t="s">
        <v>2555</v>
      </c>
      <c r="E104" s="24">
        <v>0</v>
      </c>
      <c r="F104" s="4"/>
      <c r="G104" s="7">
        <f t="shared" si="3"/>
        <v>0</v>
      </c>
      <c r="H104" s="4"/>
      <c r="I104" s="4"/>
      <c r="J104" s="4"/>
    </row>
    <row r="105" spans="1:10" s="1" customFormat="1" ht="13.8" hidden="1">
      <c r="A105" s="9" t="str">
        <f>chitiet!B2149</f>
        <v>BIT150</v>
      </c>
      <c r="B105" s="28" t="str">
        <f>IF(E105=0,"",COUNTIF($E$68:$E105,"&gt;0"))</f>
        <v/>
      </c>
      <c r="C105" s="16" t="s">
        <v>2866</v>
      </c>
      <c r="D105" s="19" t="s">
        <v>2555</v>
      </c>
      <c r="E105" s="24">
        <v>0</v>
      </c>
      <c r="F105" s="4"/>
      <c r="G105" s="7">
        <f t="shared" si="3"/>
        <v>0</v>
      </c>
      <c r="H105" s="4"/>
      <c r="I105" s="4"/>
      <c r="J105" s="4"/>
    </row>
    <row r="106" spans="1:10" s="1" customFormat="1" ht="13.8" hidden="1">
      <c r="A106" s="9" t="str">
        <f>chitiet!B2150</f>
        <v>BIT95</v>
      </c>
      <c r="B106" s="28" t="str">
        <f>IF(E106=0,"",COUNTIF($E$68:$E106,"&gt;0"))</f>
        <v/>
      </c>
      <c r="C106" s="16" t="s">
        <v>2868</v>
      </c>
      <c r="D106" s="19" t="s">
        <v>2555</v>
      </c>
      <c r="E106" s="24">
        <v>0</v>
      </c>
      <c r="F106" s="4"/>
      <c r="G106" s="7">
        <f t="shared" si="3"/>
        <v>0</v>
      </c>
      <c r="H106" s="4"/>
      <c r="I106" s="4"/>
      <c r="J106" s="4"/>
    </row>
    <row r="107" spans="1:10" ht="13.8" hidden="1">
      <c r="A107" s="106" t="str">
        <f>chitiet!B2151</f>
        <v>BIT70</v>
      </c>
      <c r="B107" s="128" t="str">
        <f>IF(E107=0,"",COUNTIF($E$68:$E107,"&gt;0"))</f>
        <v/>
      </c>
      <c r="C107" s="101" t="s">
        <v>2869</v>
      </c>
      <c r="D107" s="84" t="s">
        <v>2555</v>
      </c>
      <c r="E107" s="132">
        <v>0</v>
      </c>
      <c r="F107" s="91"/>
      <c r="G107" s="99">
        <f t="shared" si="3"/>
        <v>0</v>
      </c>
      <c r="H107" s="91"/>
      <c r="I107" s="91"/>
      <c r="J107" s="91"/>
    </row>
    <row r="108" spans="1:10" ht="13.8">
      <c r="A108" s="106" t="str">
        <f>chitiet!B2153</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chitiet!B2161</f>
        <v>r2</v>
      </c>
      <c r="B109" s="28" t="str">
        <f>IF(E109=0,"",COUNTIF($E$68:$E109,"&gt;0"))</f>
        <v/>
      </c>
      <c r="C109" s="16" t="s">
        <v>3987</v>
      </c>
      <c r="D109" s="19" t="s">
        <v>2439</v>
      </c>
      <c r="E109" s="24">
        <v>0</v>
      </c>
      <c r="F109" s="4"/>
      <c r="G109" s="7">
        <f t="shared" si="3"/>
        <v>0</v>
      </c>
      <c r="H109" s="4"/>
      <c r="I109" s="4"/>
      <c r="J109" s="4"/>
    </row>
    <row r="110" spans="1:10" s="1" customFormat="1" ht="13.8" hidden="1">
      <c r="A110" s="9" t="str">
        <f>chitiet!B2162</f>
        <v>r3</v>
      </c>
      <c r="B110" s="28" t="str">
        <f>IF(E110=0,"",COUNTIF($E$68:$E110,"&gt;0"))</f>
        <v/>
      </c>
      <c r="C110" s="16" t="s">
        <v>3943</v>
      </c>
      <c r="D110" s="19" t="s">
        <v>2439</v>
      </c>
      <c r="E110" s="24">
        <v>0</v>
      </c>
      <c r="F110" s="4"/>
      <c r="G110" s="7">
        <f t="shared" si="3"/>
        <v>0</v>
      </c>
      <c r="H110" s="4"/>
      <c r="I110" s="4"/>
      <c r="J110" s="4"/>
    </row>
    <row r="111" spans="1:10" s="1" customFormat="1" ht="13.8" hidden="1">
      <c r="A111" s="9" t="str">
        <f>chitiet!B2163</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chitiet!B2164</f>
        <v>TUPP</v>
      </c>
      <c r="B112" s="28" t="str">
        <f>IF(E112=0,"",COUNTIF($E$68:$E112,"&gt;0"))</f>
        <v/>
      </c>
      <c r="C112" s="16" t="s">
        <v>3398</v>
      </c>
      <c r="D112" s="19" t="s">
        <v>2555</v>
      </c>
      <c r="E112" s="24">
        <v>0</v>
      </c>
      <c r="F112" s="4"/>
      <c r="G112" s="7">
        <f t="shared" ref="G112:G120" si="5">IF(E112&lt;&gt;0,1,0)</f>
        <v>0</v>
      </c>
      <c r="H112" s="4"/>
      <c r="I112" s="4"/>
      <c r="J112" s="4"/>
    </row>
    <row r="113" spans="1:10" s="1" customFormat="1" ht="13.8" hidden="1">
      <c r="A113" s="9" t="str">
        <f>chitiet!B2165</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chitiet!B2166</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chitiet!B2167</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chitiet!B2168</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chitiet!B2169</f>
        <v>abc4x150</v>
      </c>
      <c r="B117" s="28" t="str">
        <f>IF(E117=0,"",COUNTIF($E$68:$E117,"&gt;0"))</f>
        <v/>
      </c>
      <c r="C117" s="16" t="s">
        <v>2781</v>
      </c>
      <c r="D117" s="19" t="s">
        <v>2532</v>
      </c>
      <c r="E117" s="24">
        <v>0</v>
      </c>
      <c r="F117" s="4"/>
      <c r="G117" s="7">
        <f t="shared" si="5"/>
        <v>0</v>
      </c>
      <c r="H117" s="4"/>
      <c r="I117" s="4"/>
      <c r="J117" s="4"/>
    </row>
    <row r="118" spans="1:10" s="1" customFormat="1" ht="13.8" hidden="1">
      <c r="A118" s="9" t="str">
        <f>chitiet!B2170</f>
        <v>pvc114</v>
      </c>
      <c r="B118" s="28" t="str">
        <f>IF(E118=0,"",COUNTIF($E$68:$E118,"&gt;0"))</f>
        <v/>
      </c>
      <c r="C118" s="16" t="s">
        <v>5004</v>
      </c>
      <c r="D118" s="19" t="s">
        <v>1823</v>
      </c>
      <c r="E118" s="24">
        <v>0</v>
      </c>
      <c r="F118" s="4"/>
      <c r="G118" s="7">
        <f t="shared" si="5"/>
        <v>0</v>
      </c>
      <c r="H118" s="4"/>
      <c r="I118" s="4"/>
      <c r="J118" s="4"/>
    </row>
    <row r="119" spans="1:10" s="1" customFormat="1" ht="13.8" hidden="1">
      <c r="A119" s="9" t="str">
        <f>chitiet!B2171</f>
        <v>cut114t</v>
      </c>
      <c r="B119" s="28" t="str">
        <f>IF(E119=0,"",COUNTIF($E$68:$E119,"&gt;0"))</f>
        <v/>
      </c>
      <c r="C119" s="16" t="s">
        <v>5005</v>
      </c>
      <c r="D119" s="19" t="s">
        <v>2555</v>
      </c>
      <c r="E119" s="24">
        <v>0</v>
      </c>
      <c r="F119" s="4"/>
      <c r="G119" s="7">
        <f t="shared" si="5"/>
        <v>0</v>
      </c>
      <c r="H119" s="4"/>
      <c r="I119" s="4"/>
      <c r="J119" s="4"/>
    </row>
    <row r="120" spans="1:10" s="1" customFormat="1" ht="13.8" hidden="1">
      <c r="A120" s="9" t="str">
        <f>chitiet!B2172</f>
        <v>CD114</v>
      </c>
      <c r="B120" s="28" t="str">
        <f>IF(E120=0,"",COUNTIF($E$68:$E120,"&gt;0"))</f>
        <v/>
      </c>
      <c r="C120" s="16" t="s">
        <v>5024</v>
      </c>
      <c r="D120" s="19" t="s">
        <v>2439</v>
      </c>
      <c r="E120" s="24">
        <v>0</v>
      </c>
      <c r="F120" s="4"/>
      <c r="G120" s="7">
        <f t="shared" si="5"/>
        <v>0</v>
      </c>
      <c r="H120" s="4"/>
      <c r="I120" s="4"/>
      <c r="J120" s="4"/>
    </row>
    <row r="121" spans="1:10" s="1" customFormat="1" ht="13.8" hidden="1">
      <c r="A121" s="9" t="str">
        <f>chitiet!B2173</f>
        <v>B1650</v>
      </c>
      <c r="B121" s="28" t="e">
        <f>IF(E121=0,"",COUNTIF($E$68:$E121,"&gt;0"))</f>
        <v>#N/A</v>
      </c>
      <c r="C121" s="16" t="e">
        <v>#N/A</v>
      </c>
      <c r="D121" s="19" t="e">
        <v>#N/A</v>
      </c>
      <c r="E121" s="24" t="e">
        <v>#N/A</v>
      </c>
      <c r="F121" s="4"/>
      <c r="G121" s="7" t="e">
        <f t="shared" si="3"/>
        <v>#N/A</v>
      </c>
      <c r="H121" s="4"/>
      <c r="I121" s="4"/>
      <c r="J121" s="4"/>
    </row>
    <row r="122" spans="1:10" ht="13.8">
      <c r="A122" s="106" t="str">
        <f>chitiet!B2174</f>
        <v>B16250</v>
      </c>
      <c r="B122" s="128" t="str">
        <f>IF(E122=0,"",COUNTIF($E$68:$E122,"&gt;0"))</f>
        <v/>
      </c>
      <c r="C122" s="101" t="s">
        <v>2645</v>
      </c>
      <c r="D122" s="84" t="s">
        <v>2439</v>
      </c>
      <c r="E122" s="132">
        <v>0</v>
      </c>
      <c r="F122" s="91"/>
      <c r="G122" s="99">
        <f>IF(E122&lt;&gt;0,1,0)</f>
        <v>0</v>
      </c>
      <c r="H122" s="91"/>
      <c r="I122" s="91"/>
      <c r="J122" s="91"/>
    </row>
    <row r="123" spans="1:10" ht="13.8" hidden="1">
      <c r="A123" s="106" t="str">
        <f>chitiet!B2175</f>
        <v>B16300</v>
      </c>
      <c r="B123" s="128" t="str">
        <f>IF(E123=0,"",COUNTIF($E$68:$E123,"&gt;0"))</f>
        <v/>
      </c>
      <c r="C123" s="101" t="s">
        <v>2649</v>
      </c>
      <c r="D123" s="84" t="s">
        <v>2439</v>
      </c>
      <c r="E123" s="132">
        <v>0</v>
      </c>
      <c r="F123" s="91"/>
      <c r="G123" s="99">
        <f t="shared" si="3"/>
        <v>0</v>
      </c>
      <c r="H123" s="91"/>
      <c r="I123" s="91"/>
      <c r="J123" s="91"/>
    </row>
    <row r="124" spans="1:10" s="1" customFormat="1" ht="13.8" hidden="1">
      <c r="A124" s="9" t="str">
        <f>chitiet!B2176</f>
        <v>B16350</v>
      </c>
      <c r="B124" s="28" t="str">
        <f>IF(E124=0,"",COUNTIF($E$68:$E124,"&gt;0"))</f>
        <v/>
      </c>
      <c r="C124" s="16" t="s">
        <v>2651</v>
      </c>
      <c r="D124" s="19" t="s">
        <v>2439</v>
      </c>
      <c r="E124" s="24">
        <v>0</v>
      </c>
      <c r="F124" s="4"/>
      <c r="G124" s="7">
        <f t="shared" si="3"/>
        <v>0</v>
      </c>
      <c r="H124" s="4"/>
      <c r="I124" s="4"/>
      <c r="J124" s="4"/>
    </row>
    <row r="125" spans="1:10" ht="13.8">
      <c r="A125" s="106" t="str">
        <f>chitiet!B2179</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chitiet!B2178</f>
        <v>BMoc16300</v>
      </c>
      <c r="B126" s="128" t="str">
        <f>IF(E126=0,"",COUNTIF($E$68:$E126,"&gt;0"))</f>
        <v/>
      </c>
      <c r="C126" s="101" t="s">
        <v>4981</v>
      </c>
      <c r="D126" s="84" t="s">
        <v>2439</v>
      </c>
      <c r="E126" s="132">
        <v>0</v>
      </c>
      <c r="F126" s="91"/>
      <c r="G126" s="99">
        <f t="shared" si="3"/>
        <v>0</v>
      </c>
      <c r="H126" s="91"/>
      <c r="I126" s="91"/>
      <c r="J126" s="91"/>
    </row>
    <row r="127" spans="1:10" ht="13.8">
      <c r="A127" s="106" t="str">
        <f>chitiet!B2177</f>
        <v>BMoc16250</v>
      </c>
      <c r="B127" s="128" t="str">
        <f>IF(E127=0,"",COUNTIF($E$68:$E127,"&gt;0"))</f>
        <v/>
      </c>
      <c r="C127" s="101" t="s">
        <v>4980</v>
      </c>
      <c r="D127" s="84" t="s">
        <v>2439</v>
      </c>
      <c r="E127" s="132">
        <v>0</v>
      </c>
      <c r="F127" s="91"/>
      <c r="G127" s="99">
        <f t="shared" si="3"/>
        <v>0</v>
      </c>
      <c r="H127" s="91"/>
      <c r="I127" s="91"/>
      <c r="J127" s="91"/>
    </row>
    <row r="128" spans="1:10" ht="13.8" hidden="1">
      <c r="A128" s="106" t="str">
        <f>chitiet!B2178</f>
        <v>BMoc16300</v>
      </c>
      <c r="B128" s="128" t="str">
        <f>IF(E128=0,"",COUNTIF($E$68:$E128,"&gt;0"))</f>
        <v/>
      </c>
      <c r="C128" s="101" t="s">
        <v>4981</v>
      </c>
      <c r="D128" s="84" t="s">
        <v>2439</v>
      </c>
      <c r="E128" s="132">
        <v>0</v>
      </c>
      <c r="F128" s="91"/>
      <c r="G128" s="99">
        <f>IF(E128&lt;&gt;0,1,0)</f>
        <v>0</v>
      </c>
      <c r="H128" s="91"/>
      <c r="I128" s="91"/>
      <c r="J128" s="91"/>
    </row>
    <row r="129" spans="1:10" s="1" customFormat="1" ht="13.8" hidden="1">
      <c r="A129" s="9" t="str">
        <f>chitiet!B2180</f>
        <v>cdtrudoiHT</v>
      </c>
      <c r="B129" s="28" t="str">
        <f>IF(E129=0,"",COUNTIF($E$68:$E129,"&gt;0"))</f>
        <v/>
      </c>
      <c r="C129" s="16" t="s">
        <v>5036</v>
      </c>
      <c r="D129" s="19" t="s">
        <v>2439</v>
      </c>
      <c r="E129" s="24">
        <v>0</v>
      </c>
      <c r="F129" s="4"/>
      <c r="G129" s="7">
        <f>IF(E129&lt;&gt;0,1,0)</f>
        <v>0</v>
      </c>
      <c r="H129" s="4"/>
      <c r="I129" s="4"/>
      <c r="J129" s="4"/>
    </row>
    <row r="130" spans="1:10" s="1" customFormat="1" ht="13.8" hidden="1">
      <c r="A130" s="9" t="str">
        <f>chitiet!B2159</f>
        <v>mocdung</v>
      </c>
      <c r="B130" s="28" t="str">
        <f>IF(E130=0,"",COUNTIF($E$68:$E130,"&gt;0"))</f>
        <v/>
      </c>
      <c r="C130" s="16" t="s">
        <v>3935</v>
      </c>
      <c r="D130" s="19" t="s">
        <v>2555</v>
      </c>
      <c r="E130" s="24">
        <v>0</v>
      </c>
      <c r="F130" s="4"/>
      <c r="G130" s="7">
        <f>IF(E130&lt;&gt;0,1,0)</f>
        <v>0</v>
      </c>
      <c r="H130" s="4"/>
      <c r="I130" s="4"/>
      <c r="J130" s="4"/>
    </row>
    <row r="131" spans="1:10" s="1" customFormat="1" ht="13.8" hidden="1">
      <c r="A131" s="9" t="str">
        <f>chitiet!B2160</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chitiet!B2181</f>
        <v>c3/8</v>
      </c>
      <c r="B132" s="28" t="str">
        <f>IF(E132=0,"",COUNTIF($E$68:$E132,"&gt;0"))</f>
        <v/>
      </c>
      <c r="C132" s="16" t="s">
        <v>2819</v>
      </c>
      <c r="D132" s="19" t="s">
        <v>2532</v>
      </c>
      <c r="E132" s="24">
        <v>0</v>
      </c>
      <c r="F132" s="4"/>
      <c r="G132" s="7">
        <f t="shared" si="3"/>
        <v>0</v>
      </c>
      <c r="H132" s="4"/>
      <c r="I132" s="4"/>
      <c r="J132" s="4"/>
    </row>
    <row r="133" spans="1:10" s="1" customFormat="1" ht="13.8" hidden="1">
      <c r="A133" s="9" t="str">
        <f>chitiet!B2182</f>
        <v>ON50</v>
      </c>
      <c r="B133" s="28" t="str">
        <f>IF(E133=0,"",COUNTIF($E$68:$E133,"&gt;0"))</f>
        <v/>
      </c>
      <c r="C133" s="16" t="s">
        <v>2924</v>
      </c>
      <c r="D133" s="19" t="s">
        <v>2555</v>
      </c>
      <c r="E133" s="24">
        <v>0</v>
      </c>
      <c r="F133" s="4"/>
      <c r="G133" s="7">
        <f t="shared" si="3"/>
        <v>0</v>
      </c>
      <c r="H133" s="4"/>
      <c r="I133" s="4"/>
      <c r="J133" s="4"/>
    </row>
    <row r="134" spans="1:10" s="1" customFormat="1" ht="13.8" hidden="1">
      <c r="A134" s="9" t="str">
        <f>chitiet!B2183</f>
        <v>ON70</v>
      </c>
      <c r="B134" s="28" t="str">
        <f>IF(E134=0,"",COUNTIF($E$68:$E134,"&gt;0"))</f>
        <v/>
      </c>
      <c r="C134" s="16" t="s">
        <v>2925</v>
      </c>
      <c r="D134" s="19" t="s">
        <v>2555</v>
      </c>
      <c r="E134" s="24">
        <v>0</v>
      </c>
      <c r="F134" s="4"/>
      <c r="G134" s="7">
        <f t="shared" si="3"/>
        <v>0</v>
      </c>
      <c r="H134" s="4"/>
      <c r="I134" s="4"/>
      <c r="J134" s="4"/>
    </row>
    <row r="135" spans="1:10" s="1" customFormat="1" ht="13.8" hidden="1">
      <c r="A135" s="9" t="str">
        <f>chitiet!B2184</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chitiet!B2185</f>
        <v>DAYA</v>
      </c>
      <c r="B136" s="28" t="str">
        <f>IF(E136=0,"",COUNTIF($E$68:$E136,"&gt;0"))</f>
        <v/>
      </c>
      <c r="C136" s="16" t="s">
        <v>5003</v>
      </c>
      <c r="D136" s="19" t="s">
        <v>2248</v>
      </c>
      <c r="E136" s="24">
        <v>0</v>
      </c>
      <c r="F136" s="4"/>
      <c r="G136" s="7">
        <f t="shared" si="3"/>
        <v>0</v>
      </c>
      <c r="H136" s="4"/>
      <c r="I136" s="4"/>
      <c r="J136" s="4"/>
    </row>
    <row r="137" spans="1:10" s="1" customFormat="1" ht="13.8" hidden="1">
      <c r="A137" s="9" t="str">
        <f>chitiet!B2187</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6" customWidth="1"/>
    <col min="2" max="3" width="9.08984375" style="517" customWidth="1"/>
    <col min="4" max="4" width="6.453125" style="517" customWidth="1"/>
    <col min="5" max="5" width="6.36328125" style="517" customWidth="1"/>
    <col min="6" max="9" width="3.90625" style="517" customWidth="1"/>
    <col min="10" max="10" width="6.36328125" style="517" customWidth="1"/>
    <col min="11" max="11" width="4.453125" style="517" customWidth="1"/>
    <col min="12" max="12" width="3.90625" style="517" customWidth="1"/>
    <col min="13" max="13" width="6.453125" style="517" customWidth="1"/>
    <col min="14" max="14" width="9.08984375" style="517" customWidth="1"/>
    <col min="15" max="16" width="3.90625" style="517" customWidth="1"/>
    <col min="17" max="17" width="8.08984375" style="517" customWidth="1"/>
    <col min="18" max="19" width="4.453125" style="517" customWidth="1"/>
    <col min="20" max="22" width="3.90625" style="517" customWidth="1"/>
    <col min="23" max="23" width="4.453125" style="517" customWidth="1"/>
    <col min="24" max="25" width="3.90625" style="517" customWidth="1"/>
    <col min="26" max="26" width="4.453125" style="517" customWidth="1"/>
    <col min="27" max="33" width="3.90625" style="517" customWidth="1"/>
    <col min="34" max="48" width="4.36328125" style="517" customWidth="1"/>
    <col min="49" max="67" width="3.90625" style="517" customWidth="1"/>
    <col min="68" max="70" width="3.90625" style="518" customWidth="1"/>
    <col min="71" max="71" width="4.453125" style="518" customWidth="1"/>
    <col min="72" max="72" width="5.453125" style="518" customWidth="1"/>
    <col min="73" max="73" width="4.453125" style="518" customWidth="1"/>
    <col min="74" max="78" width="3.90625" style="517" customWidth="1"/>
    <col min="79" max="79" width="4.453125" style="517" customWidth="1"/>
    <col min="80" max="80" width="5.453125" style="517" customWidth="1"/>
    <col min="81" max="89" width="4.08984375" style="517" customWidth="1"/>
    <col min="90" max="90" width="6.08984375" style="517" customWidth="1"/>
    <col min="91" max="91" width="4.453125" style="517" customWidth="1"/>
    <col min="92" max="92" width="8.90625" style="517" customWidth="1"/>
    <col min="93" max="93" width="33.90625" style="517" customWidth="1"/>
    <col min="94" max="94" width="12.90625" style="517" customWidth="1"/>
    <col min="95" max="95" width="24.90625" style="517" customWidth="1"/>
    <col min="96" max="96" width="4.1796875" style="517" customWidth="1"/>
    <col min="97" max="97" width="3.90625" style="517" customWidth="1"/>
    <col min="98" max="98" width="4.453125" style="517" customWidth="1"/>
    <col min="99" max="99" width="6.453125" style="517" customWidth="1"/>
    <col min="100" max="100" width="4.453125" style="517" customWidth="1"/>
    <col min="101" max="101" width="4.36328125" style="517" customWidth="1"/>
    <col min="102" max="102" width="7.08984375" style="517" customWidth="1"/>
    <col min="103" max="103" width="7.81640625" style="519" customWidth="1"/>
    <col min="104" max="16384" width="8.90625" style="517"/>
  </cols>
  <sheetData>
    <row r="2" spans="1:234" s="525" customFormat="1" ht="17.399999999999999">
      <c r="A2" s="635" t="s">
        <v>3970</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75" t="s">
        <v>3920</v>
      </c>
      <c r="B4" s="3169" t="s">
        <v>3971</v>
      </c>
      <c r="C4" s="3169" t="s">
        <v>3766</v>
      </c>
      <c r="D4" s="3120" t="s">
        <v>3972</v>
      </c>
      <c r="E4" s="3120" t="s">
        <v>3973</v>
      </c>
      <c r="F4" s="3120" t="s">
        <v>2021</v>
      </c>
      <c r="G4" s="3120" t="s">
        <v>2202</v>
      </c>
      <c r="H4" s="3120" t="s">
        <v>116</v>
      </c>
      <c r="I4" s="3120" t="s">
        <v>1151</v>
      </c>
      <c r="J4" s="3120" t="s">
        <v>1150</v>
      </c>
      <c r="K4" s="3120" t="s">
        <v>1149</v>
      </c>
      <c r="L4" s="3120" t="s">
        <v>2262</v>
      </c>
      <c r="M4" s="3120" t="s">
        <v>2261</v>
      </c>
      <c r="N4" s="3120" t="s">
        <v>2260</v>
      </c>
      <c r="O4" s="3120" t="s">
        <v>3774</v>
      </c>
      <c r="P4" s="3120" t="s">
        <v>3907</v>
      </c>
      <c r="Q4" s="3156" t="s">
        <v>3776</v>
      </c>
      <c r="R4" s="3158" t="s">
        <v>3974</v>
      </c>
      <c r="S4" s="3130"/>
      <c r="T4" s="3130"/>
      <c r="U4" s="3182"/>
      <c r="V4" s="3159" t="s">
        <v>3878</v>
      </c>
      <c r="W4" s="3160"/>
      <c r="X4" s="3160"/>
      <c r="Y4" s="3160"/>
      <c r="Z4" s="3160"/>
      <c r="AA4" s="3160"/>
      <c r="AB4" s="3160"/>
      <c r="AC4" s="3160"/>
      <c r="AD4" s="3160"/>
      <c r="AE4" s="3160"/>
      <c r="AF4" s="3160"/>
      <c r="AG4" s="3160"/>
      <c r="AH4" s="3160"/>
      <c r="AI4" s="3160"/>
      <c r="AJ4" s="3160"/>
      <c r="AK4" s="3160"/>
      <c r="AL4" s="3160"/>
      <c r="AM4" s="3160"/>
      <c r="AN4" s="3160"/>
      <c r="AO4" s="3160"/>
      <c r="AP4" s="3160"/>
      <c r="AQ4" s="3160"/>
      <c r="AR4" s="3160"/>
      <c r="AS4" s="3160"/>
      <c r="AT4" s="3160"/>
      <c r="AU4" s="3183"/>
      <c r="AV4" s="648"/>
      <c r="AW4" s="511" t="s">
        <v>3975</v>
      </c>
      <c r="AX4" s="648"/>
      <c r="AY4" s="648"/>
      <c r="AZ4" s="648"/>
      <c r="BA4" s="528"/>
      <c r="BB4" s="648"/>
      <c r="BC4" s="528"/>
      <c r="BD4" s="648"/>
      <c r="BE4" s="648"/>
      <c r="BF4" s="636" t="s">
        <v>3881</v>
      </c>
      <c r="BG4" s="648"/>
      <c r="BH4" s="648"/>
      <c r="BI4" s="648"/>
      <c r="BJ4" s="648"/>
      <c r="BK4" s="648"/>
      <c r="BL4" s="648"/>
      <c r="BM4" s="648"/>
      <c r="BN4" s="648"/>
      <c r="BO4" s="648"/>
      <c r="BP4" s="3120" t="s">
        <v>2384</v>
      </c>
      <c r="BQ4" s="3120" t="s">
        <v>2389</v>
      </c>
      <c r="BR4" s="3120" t="s">
        <v>2388</v>
      </c>
      <c r="BS4" s="3120" t="s">
        <v>2387</v>
      </c>
      <c r="BT4" s="3120" t="s">
        <v>3976</v>
      </c>
      <c r="BU4" s="3120" t="s">
        <v>3977</v>
      </c>
      <c r="BV4" s="3161" t="s">
        <v>3924</v>
      </c>
      <c r="BW4" s="562" t="s">
        <v>3978</v>
      </c>
      <c r="BX4" s="649"/>
      <c r="BY4" s="649"/>
      <c r="BZ4" s="563"/>
      <c r="CA4" s="3177" t="s">
        <v>3979</v>
      </c>
      <c r="CB4" s="3177" t="s">
        <v>3926</v>
      </c>
      <c r="CC4" s="3180" t="s">
        <v>3931</v>
      </c>
      <c r="CD4" s="3181"/>
      <c r="CE4" s="3181"/>
      <c r="CF4" s="3181"/>
      <c r="CG4" s="3181"/>
      <c r="CH4" s="3181"/>
      <c r="CI4" s="3181"/>
      <c r="CJ4" s="3181"/>
      <c r="CK4" s="3181"/>
      <c r="CL4" s="650" t="s">
        <v>475</v>
      </c>
      <c r="CM4" s="651"/>
      <c r="CN4" s="3154" t="s">
        <v>3980</v>
      </c>
      <c r="CO4" s="3154" t="s">
        <v>3934</v>
      </c>
      <c r="CP4" s="3154" t="s">
        <v>3935</v>
      </c>
      <c r="CQ4" s="3154" t="s">
        <v>3936</v>
      </c>
      <c r="CR4" s="3154" t="s">
        <v>2843</v>
      </c>
      <c r="CS4" s="3169" t="s">
        <v>3937</v>
      </c>
      <c r="CT4" s="3169" t="s">
        <v>3981</v>
      </c>
      <c r="CU4" s="3169" t="s">
        <v>3398</v>
      </c>
      <c r="CV4" s="3169" t="s">
        <v>3982</v>
      </c>
      <c r="CW4" s="3169" t="s">
        <v>3983</v>
      </c>
      <c r="CX4" s="3179" t="s">
        <v>3984</v>
      </c>
      <c r="CY4" s="3167" t="s">
        <v>2599</v>
      </c>
    </row>
    <row r="5" spans="1:234" s="529" customFormat="1" ht="142.5" customHeight="1">
      <c r="A5" s="3176"/>
      <c r="B5" s="3117"/>
      <c r="C5" s="3117"/>
      <c r="D5" s="3121"/>
      <c r="E5" s="3121"/>
      <c r="F5" s="3121"/>
      <c r="G5" s="3121"/>
      <c r="H5" s="3121"/>
      <c r="I5" s="3121"/>
      <c r="J5" s="3121"/>
      <c r="K5" s="3121"/>
      <c r="L5" s="3121"/>
      <c r="M5" s="3121"/>
      <c r="N5" s="3121"/>
      <c r="O5" s="3121"/>
      <c r="P5" s="3121"/>
      <c r="Q5" s="3157"/>
      <c r="R5" s="515" t="s">
        <v>233</v>
      </c>
      <c r="S5" s="515" t="s">
        <v>519</v>
      </c>
      <c r="T5" s="515" t="s">
        <v>300</v>
      </c>
      <c r="U5" s="515" t="s">
        <v>301</v>
      </c>
      <c r="V5" s="565" t="s">
        <v>87</v>
      </c>
      <c r="W5" s="565" t="s">
        <v>958</v>
      </c>
      <c r="X5" s="565" t="s">
        <v>762</v>
      </c>
      <c r="Y5" s="565" t="s">
        <v>761</v>
      </c>
      <c r="Z5" s="565" t="s">
        <v>2176</v>
      </c>
      <c r="AA5" s="565" t="s">
        <v>234</v>
      </c>
      <c r="AB5" s="552" t="s">
        <v>2315</v>
      </c>
      <c r="AC5" s="552" t="s">
        <v>2313</v>
      </c>
      <c r="AD5" s="565" t="s">
        <v>2177</v>
      </c>
      <c r="AE5" s="565" t="s">
        <v>932</v>
      </c>
      <c r="AF5" s="565" t="s">
        <v>933</v>
      </c>
      <c r="AG5" s="565" t="s">
        <v>2178</v>
      </c>
      <c r="AH5" s="565" t="s">
        <v>695</v>
      </c>
      <c r="AI5" s="565" t="s">
        <v>994</v>
      </c>
      <c r="AJ5" s="565" t="s">
        <v>100</v>
      </c>
      <c r="AK5" s="565" t="s">
        <v>833</v>
      </c>
      <c r="AL5" s="565" t="s">
        <v>834</v>
      </c>
      <c r="AM5" s="565" t="s">
        <v>832</v>
      </c>
      <c r="AN5" s="565" t="s">
        <v>760</v>
      </c>
      <c r="AO5" s="565" t="s">
        <v>286</v>
      </c>
      <c r="AP5" s="565" t="s">
        <v>303</v>
      </c>
      <c r="AQ5" s="565" t="s">
        <v>2263</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3985</v>
      </c>
      <c r="BF5" s="652" t="s">
        <v>1492</v>
      </c>
      <c r="BG5" s="652" t="s">
        <v>1493</v>
      </c>
      <c r="BH5" s="652" t="s">
        <v>1572</v>
      </c>
      <c r="BI5" s="652" t="s">
        <v>1091</v>
      </c>
      <c r="BJ5" s="652" t="s">
        <v>2146</v>
      </c>
      <c r="BK5" s="652" t="s">
        <v>1092</v>
      </c>
      <c r="BL5" s="652" t="s">
        <v>2147</v>
      </c>
      <c r="BM5" s="652" t="s">
        <v>1093</v>
      </c>
      <c r="BN5" s="652" t="s">
        <v>2045</v>
      </c>
      <c r="BO5" s="652" t="s">
        <v>1094</v>
      </c>
      <c r="BP5" s="3121"/>
      <c r="BQ5" s="3121"/>
      <c r="BR5" s="3121"/>
      <c r="BS5" s="3121"/>
      <c r="BT5" s="3121"/>
      <c r="BU5" s="3121"/>
      <c r="BV5" s="3162"/>
      <c r="BW5" s="553" t="s">
        <v>3986</v>
      </c>
      <c r="BX5" s="553" t="s">
        <v>3987</v>
      </c>
      <c r="BY5" s="553" t="s">
        <v>2034</v>
      </c>
      <c r="BZ5" s="553" t="s">
        <v>1447</v>
      </c>
      <c r="CA5" s="3178"/>
      <c r="CB5" s="3178"/>
      <c r="CC5" s="554" t="s">
        <v>3945</v>
      </c>
      <c r="CD5" s="554" t="s">
        <v>3988</v>
      </c>
      <c r="CE5" s="554" t="s">
        <v>3946</v>
      </c>
      <c r="CF5" s="554" t="s">
        <v>3989</v>
      </c>
      <c r="CG5" s="554" t="s">
        <v>3990</v>
      </c>
      <c r="CH5" s="554" t="s">
        <v>3947</v>
      </c>
      <c r="CI5" s="554" t="s">
        <v>3948</v>
      </c>
      <c r="CJ5" s="554" t="s">
        <v>3991</v>
      </c>
      <c r="CK5" s="554" t="s">
        <v>3992</v>
      </c>
      <c r="CL5" s="554" t="s">
        <v>3993</v>
      </c>
      <c r="CM5" s="554" t="s">
        <v>3994</v>
      </c>
      <c r="CN5" s="3141"/>
      <c r="CO5" s="3141"/>
      <c r="CP5" s="3141"/>
      <c r="CQ5" s="3141"/>
      <c r="CR5" s="3141"/>
      <c r="CS5" s="3170"/>
      <c r="CT5" s="3170"/>
      <c r="CU5" s="3170"/>
      <c r="CV5" s="3170"/>
      <c r="CW5" s="3170"/>
      <c r="CX5" s="3153"/>
      <c r="CY5" s="3168"/>
    </row>
    <row r="6" spans="1:234" s="532" customFormat="1" ht="18" customHeight="1">
      <c r="A6" s="638" t="s">
        <v>3995</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3996</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3.8">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3.8">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3.8">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3.8">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3.8">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3.8">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3.8">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3.8">
      <c r="A15" s="575" t="s">
        <v>1679</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3.8">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3.8">
      <c r="A17" s="575" t="s">
        <v>1680</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3.8">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3.8">
      <c r="A19" s="575" t="s">
        <v>1681</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3.8">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3.8">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3.8">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3.8">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3.8">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3.8">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3.8">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3.8">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3.8">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3.8">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3.8">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3.8">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3.8">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3.8">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3.8">
      <c r="A34" s="575" t="s">
        <v>2239</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3.8">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3.8">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3.8">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3.8">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3.8">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3.8">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3.8">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3.8">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3.8">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3.8">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3.8">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3.8">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3.8">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3.8">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3.8">
      <c r="A49" s="575" t="s">
        <v>2025</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3.8">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3.8">
      <c r="A51" s="575" t="s">
        <v>2026</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3.8">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3.8">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3.8">
      <c r="A54" s="575" t="s">
        <v>2027</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3.8">
      <c r="A55" s="640" t="s">
        <v>3997</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3998</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3999</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3.8">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3.8">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3.8">
      <c r="A60" s="575" t="s">
        <v>2239</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3.8">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3.8">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3.8">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3.8">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3.8">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3.8">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3.8">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3.8">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3.8">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3.8">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3.8">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3.8">
      <c r="A72" s="640" t="s">
        <v>4000</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4001</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3.8">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3.8">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3.8">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3.8">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3.8">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3.8">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3.8">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3.8">
      <c r="A81" s="575" t="s">
        <v>1306</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3.8">
      <c r="A82" s="575" t="s">
        <v>1307</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3.8">
      <c r="A83" s="575" t="s">
        <v>1308</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3.8">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3.8">
      <c r="A85" s="575" t="s">
        <v>1309</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3.8">
      <c r="A86" s="575" t="s">
        <v>1310</v>
      </c>
      <c r="B86" s="659"/>
      <c r="C86" s="535">
        <v>40</v>
      </c>
      <c r="D86" s="535">
        <f t="shared" si="14"/>
        <v>392</v>
      </c>
      <c r="E86" s="535"/>
      <c r="F86" s="535"/>
      <c r="G86" s="535"/>
      <c r="H86" s="535"/>
      <c r="I86" s="535"/>
      <c r="J86" s="535"/>
      <c r="K86" s="535"/>
      <c r="L86" s="535"/>
      <c r="M86" s="535"/>
      <c r="N86" s="535"/>
      <c r="O86" s="535"/>
      <c r="P86" s="535"/>
      <c r="Q86" s="535" t="s">
        <v>1814</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3.8">
      <c r="A87" s="575" t="s">
        <v>1311</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3.8">
      <c r="A88" s="674" t="s">
        <v>1306</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3.8">
      <c r="A89" s="575" t="s">
        <v>1312</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3.8">
      <c r="A90" s="575" t="s">
        <v>1313</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3.8">
      <c r="A91" s="640" t="s">
        <v>3997</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4002</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3.8">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3.8">
      <c r="A94" s="575" t="s">
        <v>1314</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3.8">
      <c r="A95" s="575" t="s">
        <v>1315</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3.8">
      <c r="A96" s="575" t="s">
        <v>1316</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3.8">
      <c r="A97" s="575" t="s">
        <v>1317</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3.8">
      <c r="A98" s="575" t="s">
        <v>1318</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3.8">
      <c r="A99" s="575" t="s">
        <v>1319</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3.8">
      <c r="A100" s="575" t="s">
        <v>1320</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3.8">
      <c r="A101" s="575" t="s">
        <v>1321</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3.8">
      <c r="A102" s="575" t="s">
        <v>1322</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3.8">
      <c r="A103" s="575" t="s">
        <v>1323</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3.8">
      <c r="A104" s="575" t="s">
        <v>1324</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3.8">
      <c r="A105" s="575" t="s">
        <v>1325</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3.8">
      <c r="A106" s="575" t="s">
        <v>1326</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3.8">
      <c r="A107" s="575" t="s">
        <v>1327</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3.8">
      <c r="A108" s="575" t="s">
        <v>1328</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3.8">
      <c r="A109" s="575" t="s">
        <v>1329</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3.8">
      <c r="A110" s="674" t="s">
        <v>1322</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3.8">
      <c r="A111" s="575" t="s">
        <v>1330</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3.8">
      <c r="A112" s="575" t="s">
        <v>1331</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3.8">
      <c r="A113" s="575" t="s">
        <v>1332</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3.8">
      <c r="A114" s="674" t="s">
        <v>1327</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3.8">
      <c r="A115" s="575" t="s">
        <v>1333</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3.8">
      <c r="A116" s="575" t="s">
        <v>1334</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3.8">
      <c r="A117" s="575" t="s">
        <v>1327</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3.8">
      <c r="A118" s="575" t="s">
        <v>1335</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3.8">
      <c r="A119" s="575" t="s">
        <v>1336</v>
      </c>
      <c r="B119" s="659"/>
      <c r="C119" s="535">
        <v>40</v>
      </c>
      <c r="D119" s="535">
        <f t="shared" si="22"/>
        <v>870</v>
      </c>
      <c r="E119" s="535"/>
      <c r="F119" s="535"/>
      <c r="G119" s="535"/>
      <c r="H119" s="535"/>
      <c r="I119" s="535"/>
      <c r="J119" s="535"/>
      <c r="K119" s="535"/>
      <c r="L119" s="535"/>
      <c r="M119" s="535"/>
      <c r="N119" s="535"/>
      <c r="O119" s="535"/>
      <c r="P119" s="535"/>
      <c r="Q119" s="535" t="s">
        <v>1814</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3.8">
      <c r="A120" s="575" t="s">
        <v>1337</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3.8">
      <c r="A121" s="575" t="s">
        <v>1338</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3.8">
      <c r="A122" s="575" t="s">
        <v>1339</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3.8">
      <c r="A123" s="640" t="s">
        <v>4003</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4004</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3.8">
      <c r="A125" s="575" t="s">
        <v>1340</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3.8">
      <c r="A126" s="575" t="s">
        <v>2203</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3.8">
      <c r="A127" s="575" t="s">
        <v>2204</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3.8">
      <c r="A128" s="575" t="s">
        <v>2205</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3.8">
      <c r="A129" s="575" t="s">
        <v>1341</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3.8">
      <c r="A130" s="575" t="s">
        <v>2206</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3.8">
      <c r="A131" s="575" t="s">
        <v>2207</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3.8">
      <c r="A132" s="575" t="s">
        <v>1342</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3.8">
      <c r="A133" s="640" t="s">
        <v>4005</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3.8">
      <c r="A134" s="641" t="s">
        <v>4006</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3.8">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3.8">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3.8">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4007</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4008</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4009</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3.8" hidden="1">
      <c r="A141" s="575" t="s">
        <v>4010</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3.8"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1814</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3.8"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1814</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3.8"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3.8"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1814</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3.8"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3.8"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4011</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3.8" hidden="1">
      <c r="A148" s="690" t="s">
        <v>2203</v>
      </c>
      <c r="B148" s="691"/>
      <c r="C148" s="542">
        <v>29</v>
      </c>
      <c r="D148" s="535">
        <f t="shared" si="43"/>
        <v>184</v>
      </c>
      <c r="E148" s="542"/>
      <c r="F148" s="542"/>
      <c r="G148" s="542"/>
      <c r="H148" s="542"/>
      <c r="I148" s="542"/>
      <c r="J148" s="542"/>
      <c r="K148" s="542"/>
      <c r="L148" s="542"/>
      <c r="M148" s="542"/>
      <c r="N148" s="535">
        <f t="shared" si="44"/>
        <v>184</v>
      </c>
      <c r="O148" s="692"/>
      <c r="P148" s="692"/>
      <c r="Q148" s="642" t="s">
        <v>1814</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3.8" hidden="1">
      <c r="A149" s="696" t="s">
        <v>2204</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3.8" hidden="1">
      <c r="A150" s="643" t="s">
        <v>4012</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4013</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3.8" hidden="1">
      <c r="A152" s="575"/>
      <c r="B152" s="686" t="s">
        <v>1923</v>
      </c>
      <c r="C152" s="539"/>
      <c r="D152" s="539"/>
      <c r="E152" s="539"/>
      <c r="F152" s="539"/>
      <c r="G152" s="539"/>
      <c r="H152" s="539"/>
      <c r="I152" s="539"/>
      <c r="J152" s="539"/>
      <c r="K152" s="539"/>
      <c r="L152" s="539"/>
      <c r="M152" s="539"/>
      <c r="N152" s="539">
        <f>C152</f>
        <v>0</v>
      </c>
      <c r="O152" s="540"/>
      <c r="P152" s="540"/>
      <c r="Q152" s="687" t="s">
        <v>1618</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3.8" hidden="1">
      <c r="A153" s="575" t="s">
        <v>2110</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3.8" hidden="1">
      <c r="A154" s="575" t="s">
        <v>2111</v>
      </c>
      <c r="B154" s="654"/>
      <c r="C154" s="535">
        <v>31</v>
      </c>
      <c r="D154" s="535">
        <f t="shared" si="52"/>
        <v>54</v>
      </c>
      <c r="E154" s="535"/>
      <c r="F154" s="535"/>
      <c r="G154" s="535"/>
      <c r="H154" s="535"/>
      <c r="I154" s="535"/>
      <c r="J154" s="535"/>
      <c r="K154" s="535"/>
      <c r="L154" s="535"/>
      <c r="M154" s="535"/>
      <c r="N154" s="535">
        <f t="shared" si="53"/>
        <v>54</v>
      </c>
      <c r="O154" s="426"/>
      <c r="P154" s="426"/>
      <c r="Q154" s="658" t="s">
        <v>1814</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3.8" hidden="1">
      <c r="A155" s="575" t="s">
        <v>2112</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3.8"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3.8"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3.8"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4011</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3.8" hidden="1">
      <c r="A159" s="696" t="s">
        <v>1924</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3.8" hidden="1">
      <c r="A160" s="643" t="s">
        <v>4014</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4015</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3.8" hidden="1">
      <c r="A162" s="575"/>
      <c r="B162" s="686" t="s">
        <v>1925</v>
      </c>
      <c r="C162" s="539"/>
      <c r="D162" s="539"/>
      <c r="E162" s="539"/>
      <c r="F162" s="539"/>
      <c r="G162" s="539"/>
      <c r="H162" s="539"/>
      <c r="I162" s="539"/>
      <c r="J162" s="539"/>
      <c r="K162" s="539"/>
      <c r="L162" s="539"/>
      <c r="M162" s="539"/>
      <c r="N162" s="539">
        <f>C162</f>
        <v>0</v>
      </c>
      <c r="O162" s="540"/>
      <c r="P162" s="540"/>
      <c r="Q162" s="687" t="s">
        <v>1619</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3.8" hidden="1">
      <c r="A163" s="575" t="s">
        <v>2113</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3.8" hidden="1">
      <c r="A164" s="575" t="s">
        <v>2114</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3.8"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3.8"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3.8" hidden="1">
      <c r="A167" s="690" t="s">
        <v>2114</v>
      </c>
      <c r="B167" s="691"/>
      <c r="C167" s="542"/>
      <c r="D167" s="535">
        <f t="shared" si="61"/>
        <v>103</v>
      </c>
      <c r="E167" s="542"/>
      <c r="F167" s="542"/>
      <c r="G167" s="542"/>
      <c r="H167" s="542"/>
      <c r="I167" s="542"/>
      <c r="J167" s="542"/>
      <c r="K167" s="542"/>
      <c r="L167" s="542"/>
      <c r="M167" s="542"/>
      <c r="N167" s="535">
        <f t="shared" si="62"/>
        <v>103</v>
      </c>
      <c r="O167" s="692"/>
      <c r="P167" s="692"/>
      <c r="Q167" s="642" t="s">
        <v>4011</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3.8" hidden="1">
      <c r="A168" s="696" t="s">
        <v>1926</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3.8" hidden="1">
      <c r="A169" s="643" t="s">
        <v>4000</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4016</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3.8" hidden="1">
      <c r="A171" s="575"/>
      <c r="B171" s="686" t="s">
        <v>1925</v>
      </c>
      <c r="C171" s="539"/>
      <c r="D171" s="539"/>
      <c r="E171" s="539"/>
      <c r="F171" s="539"/>
      <c r="G171" s="539"/>
      <c r="H171" s="539"/>
      <c r="I171" s="539"/>
      <c r="J171" s="539"/>
      <c r="K171" s="539"/>
      <c r="L171" s="539"/>
      <c r="M171" s="539"/>
      <c r="N171" s="539">
        <f>C171</f>
        <v>0</v>
      </c>
      <c r="O171" s="540"/>
      <c r="P171" s="540"/>
      <c r="Q171" s="687" t="s">
        <v>1619</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3.8"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1814</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3.8"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1814</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3.8"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1814</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3.8"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1814</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3.8"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1814</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3.8" hidden="1">
      <c r="A177" s="690" t="s">
        <v>1927</v>
      </c>
      <c r="B177" s="691"/>
      <c r="C177" s="542">
        <v>28</v>
      </c>
      <c r="D177" s="535">
        <f t="shared" si="71"/>
        <v>202</v>
      </c>
      <c r="E177" s="542"/>
      <c r="F177" s="542"/>
      <c r="G177" s="542"/>
      <c r="H177" s="542"/>
      <c r="I177" s="542"/>
      <c r="J177" s="542"/>
      <c r="K177" s="542"/>
      <c r="L177" s="542"/>
      <c r="M177" s="542"/>
      <c r="N177" s="535">
        <f t="shared" si="72"/>
        <v>202</v>
      </c>
      <c r="O177" s="692"/>
      <c r="P177" s="692"/>
      <c r="Q177" s="642" t="s">
        <v>1814</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3.8" hidden="1">
      <c r="A178" s="690" t="s">
        <v>1928</v>
      </c>
      <c r="B178" s="691"/>
      <c r="C178" s="542">
        <v>26</v>
      </c>
      <c r="D178" s="535">
        <f t="shared" si="71"/>
        <v>228</v>
      </c>
      <c r="E178" s="542"/>
      <c r="F178" s="542"/>
      <c r="G178" s="542"/>
      <c r="H178" s="542"/>
      <c r="I178" s="542"/>
      <c r="J178" s="542"/>
      <c r="K178" s="542"/>
      <c r="L178" s="542"/>
      <c r="M178" s="542"/>
      <c r="N178" s="535">
        <f t="shared" si="72"/>
        <v>228</v>
      </c>
      <c r="O178" s="692"/>
      <c r="P178" s="692"/>
      <c r="Q178" s="642" t="s">
        <v>1814</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3.8" hidden="1">
      <c r="A179" s="690" t="s">
        <v>1929</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3.8" hidden="1">
      <c r="A180" s="690" t="s">
        <v>1930</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3.8" hidden="1">
      <c r="A181" s="696" t="s">
        <v>1931</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3.8" hidden="1">
      <c r="A182" s="643" t="s">
        <v>3997</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4017</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3.8" hidden="1">
      <c r="A184" s="575"/>
      <c r="B184" s="686" t="s">
        <v>1932</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3.8" hidden="1">
      <c r="A185" s="575" t="s">
        <v>1933</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3.8" hidden="1">
      <c r="A186" s="575" t="s">
        <v>1934</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3.8" hidden="1">
      <c r="A187" s="690" t="s">
        <v>1935</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3.8" hidden="1">
      <c r="A188" s="696" t="s">
        <v>1936</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3.8" hidden="1">
      <c r="A189" s="643" t="s">
        <v>4003</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4018</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3.8"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3.8"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3.8"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3.8"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1814</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3.8"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3.8" hidden="1">
      <c r="A196" s="643" t="s">
        <v>4005</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4019</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3.8" hidden="1">
      <c r="A198" s="575" t="s">
        <v>4020</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3.8" hidden="1">
      <c r="A199" s="575" t="s">
        <v>2110</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3.8" hidden="1">
      <c r="A200" s="575" t="s">
        <v>2111</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3.8" hidden="1">
      <c r="A201" s="575" t="s">
        <v>2112</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3.8"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3.8"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3.8" hidden="1">
      <c r="A204" s="690" t="s">
        <v>2111</v>
      </c>
      <c r="B204" s="691"/>
      <c r="C204" s="542"/>
      <c r="D204" s="535">
        <f t="shared" si="93"/>
        <v>144</v>
      </c>
      <c r="E204" s="542"/>
      <c r="F204" s="542"/>
      <c r="G204" s="542"/>
      <c r="H204" s="542"/>
      <c r="I204" s="542"/>
      <c r="J204" s="542"/>
      <c r="K204" s="542"/>
      <c r="L204" s="542"/>
      <c r="M204" s="542"/>
      <c r="N204" s="535">
        <f t="shared" si="94"/>
        <v>144</v>
      </c>
      <c r="O204" s="692"/>
      <c r="P204" s="692"/>
      <c r="Q204" s="642" t="s">
        <v>4011</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3.8" hidden="1">
      <c r="A205" s="690" t="s">
        <v>1937</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3.8" hidden="1">
      <c r="A206" s="690" t="s">
        <v>1938</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3.8"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4011</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3.8" hidden="1">
      <c r="A208" s="696" t="s">
        <v>1924</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3.8" hidden="1">
      <c r="A209" s="643" t="s">
        <v>4021</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4022</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3.8" hidden="1">
      <c r="A211" s="575" t="s">
        <v>4023</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3.8" hidden="1">
      <c r="A212" s="575" t="s">
        <v>2113</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3.8" hidden="1">
      <c r="A213" s="575" t="s">
        <v>2114</v>
      </c>
      <c r="B213" s="654"/>
      <c r="C213" s="535">
        <v>40</v>
      </c>
      <c r="D213" s="535">
        <f t="shared" si="103"/>
        <v>50</v>
      </c>
      <c r="E213" s="535"/>
      <c r="F213" s="535"/>
      <c r="G213" s="535"/>
      <c r="H213" s="535"/>
      <c r="I213" s="535"/>
      <c r="J213" s="535"/>
      <c r="K213" s="535"/>
      <c r="L213" s="535"/>
      <c r="M213" s="535"/>
      <c r="N213" s="535">
        <f t="shared" si="104"/>
        <v>50</v>
      </c>
      <c r="O213" s="426"/>
      <c r="P213" s="426"/>
      <c r="Q213" s="658" t="s">
        <v>1814</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3.8"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3.8"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3.8"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3.8"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3.8"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3.8"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3.8"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3.8"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3.8"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4011</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3.8" hidden="1">
      <c r="A223" s="690" t="s">
        <v>1939</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3.8" hidden="1">
      <c r="A224" s="690" t="s">
        <v>1940</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3.8" hidden="1">
      <c r="A225" s="690" t="s">
        <v>1941</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3.8" hidden="1">
      <c r="A226" s="690" t="s">
        <v>1942</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3.8" hidden="1">
      <c r="A227" s="696" t="s">
        <v>1943</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3.8" hidden="1">
      <c r="A228" s="643" t="s">
        <v>4024</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3.8" hidden="1">
      <c r="A229" s="644" t="s">
        <v>4025</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4026</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4027</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3.8" hidden="1">
      <c r="A232" s="575" t="s">
        <v>4028</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3.8"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3.8"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3.8"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3.8"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3.8"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3.8" hidden="1">
      <c r="A238" s="575" t="s">
        <v>1927</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3.8" hidden="1">
      <c r="A239" s="575" t="s">
        <v>1928</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3.8" hidden="1">
      <c r="A240" s="575" t="s">
        <v>1929</v>
      </c>
      <c r="B240" s="654"/>
      <c r="C240" s="535">
        <v>33</v>
      </c>
      <c r="D240" s="535">
        <f t="shared" si="117"/>
        <v>226</v>
      </c>
      <c r="E240" s="535"/>
      <c r="F240" s="535"/>
      <c r="G240" s="535"/>
      <c r="H240" s="535"/>
      <c r="I240" s="535"/>
      <c r="J240" s="535"/>
      <c r="K240" s="535"/>
      <c r="L240" s="535"/>
      <c r="M240" s="535"/>
      <c r="N240" s="535">
        <f t="shared" si="118"/>
        <v>226</v>
      </c>
      <c r="O240" s="426"/>
      <c r="P240" s="426"/>
      <c r="Q240" s="658" t="s">
        <v>1814</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3.8" hidden="1">
      <c r="A241" s="575" t="s">
        <v>1930</v>
      </c>
      <c r="B241" s="654"/>
      <c r="C241" s="535">
        <v>21</v>
      </c>
      <c r="D241" s="535">
        <f t="shared" si="117"/>
        <v>247</v>
      </c>
      <c r="E241" s="535"/>
      <c r="F241" s="535"/>
      <c r="G241" s="535"/>
      <c r="H241" s="535"/>
      <c r="I241" s="535"/>
      <c r="J241" s="535"/>
      <c r="K241" s="535"/>
      <c r="L241" s="535"/>
      <c r="M241" s="535"/>
      <c r="N241" s="535">
        <f t="shared" si="118"/>
        <v>247</v>
      </c>
      <c r="O241" s="426"/>
      <c r="P241" s="426"/>
      <c r="Q241" s="658" t="s">
        <v>1814</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3.8" hidden="1">
      <c r="A242" s="690" t="s">
        <v>1931</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3.8" hidden="1">
      <c r="A243" s="690" t="s">
        <v>1944</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3.8" hidden="1">
      <c r="A244" s="690" t="s">
        <v>1945</v>
      </c>
      <c r="B244" s="691"/>
      <c r="C244" s="542">
        <v>35</v>
      </c>
      <c r="D244" s="535">
        <f t="shared" si="117"/>
        <v>366</v>
      </c>
      <c r="E244" s="542"/>
      <c r="F244" s="542"/>
      <c r="G244" s="542"/>
      <c r="H244" s="542"/>
      <c r="I244" s="542"/>
      <c r="J244" s="542"/>
      <c r="K244" s="542"/>
      <c r="L244" s="542"/>
      <c r="M244" s="542"/>
      <c r="N244" s="535">
        <f t="shared" si="118"/>
        <v>366</v>
      </c>
      <c r="O244" s="692"/>
      <c r="P244" s="692"/>
      <c r="Q244" s="642" t="s">
        <v>1814</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3.8" hidden="1">
      <c r="A245" s="690" t="s">
        <v>1946</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3.8" hidden="1">
      <c r="A246" s="690" t="s">
        <v>1947</v>
      </c>
      <c r="B246" s="691"/>
      <c r="C246" s="542">
        <v>40</v>
      </c>
      <c r="D246" s="535">
        <f t="shared" si="117"/>
        <v>444</v>
      </c>
      <c r="E246" s="542"/>
      <c r="F246" s="542"/>
      <c r="G246" s="542"/>
      <c r="H246" s="542"/>
      <c r="I246" s="542"/>
      <c r="J246" s="542"/>
      <c r="K246" s="542"/>
      <c r="L246" s="542"/>
      <c r="M246" s="542"/>
      <c r="N246" s="535">
        <f t="shared" si="118"/>
        <v>444</v>
      </c>
      <c r="O246" s="692"/>
      <c r="P246" s="692"/>
      <c r="Q246" s="642" t="s">
        <v>1814</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3.8" hidden="1">
      <c r="A247" s="696" t="s">
        <v>1948</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3.8" hidden="1">
      <c r="A248" s="643" t="s">
        <v>4012</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4029</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3.8" hidden="1">
      <c r="A250" s="575" t="s">
        <v>2110</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3.8" hidden="1">
      <c r="A251" s="575" t="s">
        <v>2111</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3.8" hidden="1">
      <c r="A252" s="575" t="s">
        <v>2112</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3.8"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3.8"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3.8" hidden="1">
      <c r="A255" s="643" t="s">
        <v>4014</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4030</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3.8" hidden="1">
      <c r="A257" s="575" t="s">
        <v>4031</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3.8" hidden="1">
      <c r="A258" s="575" t="s">
        <v>2113</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1814</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3.8" hidden="1">
      <c r="A259" s="575" t="s">
        <v>2114</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3.8"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1814</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3.8"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1814</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3.8"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1814</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3.8"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3.8"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1814</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3.8"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3.8"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1814</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3.8"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1814</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3.8"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1814</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3.8"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3.8"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4011</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3.8" hidden="1">
      <c r="A271" s="690" t="s">
        <v>1949</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3.8" hidden="1">
      <c r="A272" s="690" t="s">
        <v>1950</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3.8" hidden="1">
      <c r="A273" s="696" t="s">
        <v>1951</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3.8" hidden="1">
      <c r="A274" s="643" t="s">
        <v>4000</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4032</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3.8" hidden="1">
      <c r="A276" s="575" t="s">
        <v>4031</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3.8"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3.8"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3.8"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3.8"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3.8"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1814</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3.8" hidden="1">
      <c r="A282" s="575" t="s">
        <v>1927</v>
      </c>
      <c r="B282" s="654"/>
      <c r="C282" s="535">
        <v>40</v>
      </c>
      <c r="D282" s="535">
        <f t="shared" si="143"/>
        <v>240</v>
      </c>
      <c r="E282" s="535"/>
      <c r="F282" s="535"/>
      <c r="G282" s="535"/>
      <c r="H282" s="535"/>
      <c r="I282" s="535"/>
      <c r="J282" s="535"/>
      <c r="K282" s="535"/>
      <c r="L282" s="535"/>
      <c r="M282" s="535"/>
      <c r="N282" s="535">
        <f t="shared" si="144"/>
        <v>240</v>
      </c>
      <c r="O282" s="426"/>
      <c r="P282" s="426"/>
      <c r="Q282" s="658" t="s">
        <v>1814</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3.8" hidden="1">
      <c r="A283" s="575" t="s">
        <v>1928</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3.8" hidden="1">
      <c r="A284" s="575" t="s">
        <v>1929</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3.8" hidden="1">
      <c r="A285" s="696" t="s">
        <v>1930</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3.8" hidden="1">
      <c r="A286" s="643" t="s">
        <v>3997</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4033</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3.8" hidden="1">
      <c r="A288" s="575" t="s">
        <v>4034</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3.8" hidden="1">
      <c r="A289" s="575" t="s">
        <v>1933</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3.8" hidden="1">
      <c r="A290" s="575" t="s">
        <v>1934</v>
      </c>
      <c r="B290" s="654"/>
      <c r="C290" s="535">
        <v>22</v>
      </c>
      <c r="D290" s="535">
        <f>D289+C290</f>
        <v>41</v>
      </c>
      <c r="E290" s="535"/>
      <c r="F290" s="535"/>
      <c r="G290" s="535"/>
      <c r="H290" s="535"/>
      <c r="I290" s="535"/>
      <c r="J290" s="535"/>
      <c r="K290" s="535"/>
      <c r="L290" s="535"/>
      <c r="M290" s="535"/>
      <c r="N290" s="535">
        <f>+N289+C290</f>
        <v>41</v>
      </c>
      <c r="O290" s="426"/>
      <c r="P290" s="426"/>
      <c r="Q290" s="658" t="s">
        <v>1814</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3.8" hidden="1">
      <c r="A291" s="575" t="s">
        <v>1935</v>
      </c>
      <c r="B291" s="654"/>
      <c r="C291" s="535">
        <v>17</v>
      </c>
      <c r="D291" s="535">
        <f>D290+C291</f>
        <v>58</v>
      </c>
      <c r="E291" s="535"/>
      <c r="F291" s="535"/>
      <c r="G291" s="535"/>
      <c r="H291" s="535"/>
      <c r="I291" s="535"/>
      <c r="J291" s="535"/>
      <c r="K291" s="535"/>
      <c r="L291" s="535"/>
      <c r="M291" s="535"/>
      <c r="N291" s="535">
        <f>+N290+C291</f>
        <v>58</v>
      </c>
      <c r="O291" s="426"/>
      <c r="P291" s="426"/>
      <c r="Q291" s="658" t="s">
        <v>1814</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3.8" hidden="1">
      <c r="A292" s="696" t="s">
        <v>1936</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3.8" hidden="1">
      <c r="A293" s="643" t="s">
        <v>4003</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4035</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3.8" hidden="1">
      <c r="A295" s="575" t="s">
        <v>4036</v>
      </c>
      <c r="B295" s="686"/>
      <c r="C295" s="539"/>
      <c r="D295" s="539"/>
      <c r="E295" s="539"/>
      <c r="F295" s="539"/>
      <c r="G295" s="539"/>
      <c r="H295" s="539"/>
      <c r="I295" s="539"/>
      <c r="J295" s="539"/>
      <c r="K295" s="539"/>
      <c r="L295" s="539"/>
      <c r="M295" s="539"/>
      <c r="N295" s="539">
        <f>C295</f>
        <v>0</v>
      </c>
      <c r="O295" s="540"/>
      <c r="P295" s="540"/>
      <c r="Q295" s="687" t="s">
        <v>1618</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3.8"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3.8"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3.8" hidden="1">
      <c r="A298" s="643" t="s">
        <v>4005</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4037</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3.8" hidden="1">
      <c r="A300" s="575" t="s">
        <v>4036</v>
      </c>
      <c r="B300" s="686"/>
      <c r="C300" s="539"/>
      <c r="D300" s="539"/>
      <c r="E300" s="539"/>
      <c r="F300" s="539"/>
      <c r="G300" s="539"/>
      <c r="H300" s="539"/>
      <c r="I300" s="539"/>
      <c r="J300" s="539"/>
      <c r="K300" s="539"/>
      <c r="L300" s="539"/>
      <c r="M300" s="539"/>
      <c r="N300" s="539">
        <f>C300</f>
        <v>0</v>
      </c>
      <c r="O300" s="540"/>
      <c r="P300" s="540"/>
      <c r="Q300" s="687" t="s">
        <v>1618</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3.8"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3.8"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3.8"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3.8"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3.8"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3.8" hidden="1">
      <c r="A306" s="643" t="s">
        <v>4021</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3.8" hidden="1">
      <c r="A307" s="645" t="s">
        <v>4038</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3.8"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3.8">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3.8">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3.8">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4039</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899999999999999"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899999999999999"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899999999999999" customHeight="1">
      <c r="A316" s="3155" t="s">
        <v>3962</v>
      </c>
      <c r="B316" s="3155"/>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899999999999999" customHeight="1">
      <c r="A317" s="3155" t="s">
        <v>4040</v>
      </c>
      <c r="B317" s="3155"/>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899999999999999" customHeight="1">
      <c r="A318" s="3155" t="s">
        <v>3964</v>
      </c>
      <c r="B318" s="3155"/>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899999999999999" customHeight="1">
      <c r="A319" s="3155" t="s">
        <v>4041</v>
      </c>
      <c r="B319" s="3155"/>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899999999999999" customHeight="1">
      <c r="A320" s="3155" t="s">
        <v>4042</v>
      </c>
      <c r="B320" s="3155"/>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899999999999999" customHeight="1">
      <c r="A321" s="3155" t="s">
        <v>3968</v>
      </c>
      <c r="B321" s="3155"/>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899999999999999" customHeight="1">
      <c r="A322" s="556" t="s">
        <v>4043</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899999999999999" customHeight="1">
      <c r="A323" s="556" t="s">
        <v>4044</v>
      </c>
      <c r="C323" s="628">
        <f>+N314</f>
        <v>0</v>
      </c>
      <c r="BP323" s="517"/>
      <c r="BQ323" s="517"/>
      <c r="BR323" s="517"/>
      <c r="BS323" s="517"/>
      <c r="BT323" s="517"/>
      <c r="BU323" s="517"/>
      <c r="HU323" s="529"/>
      <c r="HV323" s="529"/>
      <c r="HW323" s="529"/>
      <c r="HX323" s="529"/>
      <c r="HY323" s="529"/>
      <c r="HZ323" s="529"/>
    </row>
    <row r="324" spans="1:234" ht="18.899999999999999" customHeight="1">
      <c r="BP324" s="517"/>
      <c r="BQ324" s="517"/>
      <c r="BR324" s="517"/>
      <c r="BS324" s="517"/>
      <c r="BT324" s="517"/>
      <c r="BU324" s="517"/>
    </row>
    <row r="325" spans="1:234" ht="18.899999999999999" customHeight="1">
      <c r="BP325" s="517"/>
      <c r="BQ325" s="517"/>
      <c r="BR325" s="517"/>
      <c r="BS325" s="517"/>
      <c r="BT325" s="517"/>
      <c r="BU325" s="517"/>
    </row>
    <row r="326" spans="1:234" ht="18.899999999999999" customHeight="1">
      <c r="BP326" s="517"/>
      <c r="BQ326" s="517"/>
      <c r="BR326" s="517"/>
      <c r="BS326" s="517"/>
      <c r="BT326" s="517"/>
      <c r="BU326" s="517"/>
    </row>
    <row r="327" spans="1:234" ht="18.899999999999999" customHeight="1">
      <c r="BP327" s="517"/>
      <c r="BQ327" s="517"/>
      <c r="BR327" s="517"/>
      <c r="BS327" s="517"/>
      <c r="BT327" s="517"/>
      <c r="BU327" s="517"/>
    </row>
    <row r="328" spans="1:234" ht="18.899999999999999" customHeight="1">
      <c r="BP328" s="517"/>
      <c r="BQ328" s="517"/>
      <c r="BR328" s="517"/>
      <c r="BS328" s="517"/>
      <c r="BT328" s="517"/>
      <c r="BU328" s="517"/>
    </row>
    <row r="329" spans="1:234" ht="18.899999999999999" customHeight="1">
      <c r="BP329" s="517"/>
      <c r="BQ329" s="517"/>
      <c r="BR329" s="517"/>
      <c r="BS329" s="517"/>
      <c r="BT329" s="517"/>
      <c r="BU329" s="517"/>
    </row>
    <row r="330" spans="1:234" ht="18.899999999999999" customHeight="1">
      <c r="BP330" s="517"/>
      <c r="BQ330" s="517"/>
      <c r="BR330" s="517"/>
      <c r="BS330" s="517"/>
      <c r="BT330" s="517"/>
      <c r="BU330" s="517"/>
      <c r="HU330" s="529"/>
      <c r="HV330" s="529"/>
      <c r="HW330" s="529"/>
      <c r="HX330" s="529"/>
      <c r="HY330" s="529"/>
      <c r="HZ330" s="529"/>
    </row>
    <row r="331" spans="1:234" ht="18.899999999999999" customHeight="1">
      <c r="BP331" s="517"/>
      <c r="BQ331" s="517"/>
      <c r="BR331" s="517"/>
      <c r="BS331" s="517"/>
      <c r="BT331" s="517"/>
      <c r="BU331" s="517"/>
    </row>
    <row r="332" spans="1:234" ht="18.899999999999999" customHeight="1">
      <c r="BP332" s="517"/>
      <c r="BQ332" s="517"/>
      <c r="BR332" s="517"/>
      <c r="BS332" s="517"/>
      <c r="BT332" s="517"/>
      <c r="BU332" s="517"/>
    </row>
    <row r="333" spans="1:234" ht="18.899999999999999" customHeight="1">
      <c r="BP333" s="517"/>
      <c r="BQ333" s="517"/>
      <c r="BR333" s="517"/>
      <c r="BS333" s="517"/>
      <c r="BT333" s="517"/>
      <c r="BU333" s="517"/>
    </row>
    <row r="334" spans="1:234" ht="18.899999999999999" customHeight="1">
      <c r="BP334" s="517"/>
      <c r="BQ334" s="517"/>
      <c r="BR334" s="517"/>
      <c r="BS334" s="517"/>
      <c r="BT334" s="517"/>
      <c r="BU334" s="517"/>
    </row>
    <row r="335" spans="1:234" ht="18.899999999999999" customHeight="1">
      <c r="BP335" s="517"/>
      <c r="BQ335" s="517"/>
      <c r="BR335" s="517"/>
      <c r="BS335" s="517"/>
      <c r="BT335" s="517"/>
      <c r="BU335" s="517"/>
    </row>
    <row r="336" spans="1:234" ht="18.899999999999999" customHeight="1">
      <c r="BP336" s="517"/>
      <c r="BQ336" s="517"/>
      <c r="BR336" s="517"/>
      <c r="BS336" s="517"/>
      <c r="BT336" s="517"/>
      <c r="BU336" s="517"/>
    </row>
    <row r="337" spans="68:234" ht="18.899999999999999" customHeight="1">
      <c r="BP337" s="517"/>
      <c r="BQ337" s="517"/>
      <c r="BR337" s="517"/>
      <c r="BS337" s="517"/>
      <c r="BT337" s="517"/>
      <c r="BU337" s="517"/>
      <c r="HU337" s="529"/>
      <c r="HV337" s="529"/>
      <c r="HW337" s="529"/>
      <c r="HX337" s="529"/>
      <c r="HY337" s="529"/>
      <c r="HZ337" s="529"/>
    </row>
    <row r="338" spans="68:234" ht="18.899999999999999" customHeight="1">
      <c r="BP338" s="517"/>
      <c r="BQ338" s="517"/>
      <c r="BR338" s="517"/>
      <c r="BS338" s="517"/>
      <c r="BT338" s="517"/>
      <c r="BU338" s="517"/>
    </row>
    <row r="339" spans="68:234" ht="18.899999999999999" customHeight="1">
      <c r="BP339" s="517"/>
      <c r="BQ339" s="517"/>
      <c r="BR339" s="517"/>
      <c r="BS339" s="517"/>
      <c r="BT339" s="517"/>
      <c r="BU339" s="517"/>
    </row>
    <row r="340" spans="68:234" ht="18.899999999999999" customHeight="1">
      <c r="BP340" s="517"/>
      <c r="BQ340" s="517"/>
      <c r="BR340" s="517"/>
      <c r="BS340" s="517"/>
      <c r="BT340" s="517"/>
      <c r="BU340" s="517"/>
    </row>
    <row r="341" spans="68:234" ht="18.899999999999999" customHeight="1">
      <c r="BP341" s="517"/>
      <c r="BQ341" s="517"/>
      <c r="BR341" s="517"/>
      <c r="BS341" s="517"/>
      <c r="BT341" s="517"/>
      <c r="BU341" s="517"/>
    </row>
    <row r="342" spans="68:234" ht="18.899999999999999" customHeight="1">
      <c r="BP342" s="517"/>
      <c r="BQ342" s="517"/>
      <c r="BR342" s="517"/>
      <c r="BS342" s="517"/>
      <c r="BT342" s="517"/>
      <c r="BU342" s="517"/>
    </row>
    <row r="343" spans="68:234" ht="18.899999999999999" customHeight="1">
      <c r="BP343" s="517"/>
      <c r="BQ343" s="517"/>
      <c r="BR343" s="517"/>
      <c r="BS343" s="517"/>
      <c r="BT343" s="517"/>
      <c r="BU343" s="517"/>
    </row>
    <row r="344" spans="68:234" ht="18.899999999999999" customHeight="1">
      <c r="BP344" s="517"/>
      <c r="BQ344" s="517"/>
      <c r="BR344" s="517"/>
      <c r="BS344" s="517"/>
      <c r="BT344" s="517"/>
      <c r="BU344" s="517"/>
      <c r="HU344" s="529"/>
      <c r="HV344" s="529"/>
      <c r="HW344" s="529"/>
      <c r="HX344" s="529"/>
      <c r="HY344" s="529"/>
      <c r="HZ344" s="529"/>
    </row>
    <row r="345" spans="68:234" ht="18.899999999999999" customHeight="1">
      <c r="BP345" s="517"/>
      <c r="BQ345" s="517"/>
      <c r="BR345" s="517"/>
      <c r="BS345" s="517"/>
      <c r="BT345" s="517"/>
      <c r="BU345" s="517"/>
    </row>
    <row r="346" spans="68:234" ht="18.899999999999999" customHeight="1">
      <c r="BP346" s="517"/>
      <c r="BQ346" s="517"/>
      <c r="BR346" s="517"/>
      <c r="BS346" s="517"/>
      <c r="BT346" s="517"/>
      <c r="BU346" s="517"/>
    </row>
    <row r="347" spans="68:234" ht="18.899999999999999" customHeight="1">
      <c r="BP347" s="517"/>
      <c r="BQ347" s="517"/>
      <c r="BR347" s="517"/>
      <c r="BS347" s="517"/>
      <c r="BT347" s="517"/>
      <c r="BU347" s="517"/>
    </row>
    <row r="348" spans="68:234" ht="18.899999999999999" customHeight="1">
      <c r="BP348" s="517"/>
      <c r="BQ348" s="517"/>
      <c r="BR348" s="517"/>
      <c r="BS348" s="517"/>
      <c r="BT348" s="517"/>
      <c r="BU348" s="517"/>
    </row>
    <row r="349" spans="68:234" ht="18.899999999999999" customHeight="1">
      <c r="BP349" s="517"/>
      <c r="BQ349" s="517"/>
      <c r="BR349" s="517"/>
      <c r="BS349" s="517"/>
      <c r="BT349" s="517"/>
      <c r="BU349" s="517"/>
    </row>
    <row r="350" spans="68:234" ht="18.899999999999999" customHeight="1">
      <c r="BP350" s="517"/>
      <c r="BQ350" s="517"/>
      <c r="BR350" s="517"/>
      <c r="BS350" s="517"/>
      <c r="BT350" s="517"/>
      <c r="BU350" s="517"/>
    </row>
    <row r="351" spans="68:234" ht="18.899999999999999" customHeight="1">
      <c r="BP351" s="517"/>
      <c r="BQ351" s="517"/>
      <c r="BR351" s="517"/>
      <c r="BS351" s="517"/>
      <c r="BT351" s="517"/>
      <c r="BU351" s="517"/>
    </row>
    <row r="352" spans="68:234" ht="18.899999999999999" customHeight="1">
      <c r="BP352" s="517"/>
      <c r="BQ352" s="517"/>
      <c r="BR352" s="517"/>
      <c r="BS352" s="517"/>
      <c r="BT352" s="517"/>
      <c r="BU352" s="517"/>
    </row>
    <row r="353" spans="68:73" ht="18.899999999999999" customHeight="1">
      <c r="BP353" s="517"/>
      <c r="BQ353" s="517"/>
      <c r="BR353" s="517"/>
      <c r="BS353" s="517"/>
      <c r="BT353" s="517"/>
      <c r="BU353" s="517"/>
    </row>
    <row r="354" spans="68:73" ht="18.899999999999999" customHeight="1">
      <c r="BP354" s="517"/>
      <c r="BQ354" s="517"/>
      <c r="BR354" s="517"/>
      <c r="BS354" s="517"/>
      <c r="BT354" s="517"/>
      <c r="BU354" s="517"/>
    </row>
    <row r="355" spans="68:73" ht="18.899999999999999" customHeight="1">
      <c r="BP355" s="517"/>
      <c r="BQ355" s="517"/>
      <c r="BR355" s="517"/>
      <c r="BS355" s="517"/>
      <c r="BT355" s="517"/>
      <c r="BU355" s="517"/>
    </row>
    <row r="356" spans="68:73" ht="18.899999999999999" customHeight="1">
      <c r="BP356" s="517"/>
      <c r="BQ356" s="517"/>
      <c r="BR356" s="517"/>
      <c r="BS356" s="517"/>
      <c r="BT356" s="517"/>
      <c r="BU356" s="517"/>
    </row>
    <row r="357" spans="68:73" ht="18.899999999999999" customHeight="1">
      <c r="BP357" s="517"/>
      <c r="BQ357" s="517"/>
      <c r="BR357" s="517"/>
      <c r="BS357" s="517"/>
      <c r="BT357" s="517"/>
      <c r="BU357" s="517"/>
    </row>
    <row r="358" spans="68:73" ht="18.899999999999999" customHeight="1">
      <c r="BP358" s="517"/>
      <c r="BQ358" s="517"/>
      <c r="BR358" s="517"/>
      <c r="BS358" s="517"/>
      <c r="BT358" s="517"/>
      <c r="BU358" s="517"/>
    </row>
    <row r="359" spans="68:73" ht="18.899999999999999" customHeight="1">
      <c r="BP359" s="517"/>
      <c r="BQ359" s="517"/>
      <c r="BR359" s="517"/>
      <c r="BS359" s="517"/>
      <c r="BT359" s="517"/>
      <c r="BU359" s="517"/>
    </row>
    <row r="360" spans="68:73" ht="18.899999999999999" customHeight="1">
      <c r="BP360" s="517"/>
      <c r="BQ360" s="517"/>
      <c r="BR360" s="517"/>
      <c r="BS360" s="517"/>
      <c r="BT360" s="517"/>
      <c r="BU360" s="517"/>
    </row>
    <row r="361" spans="68:73" ht="18.899999999999999" customHeight="1">
      <c r="BP361" s="517"/>
      <c r="BQ361" s="517"/>
      <c r="BR361" s="517"/>
      <c r="BS361" s="517"/>
      <c r="BT361" s="517"/>
      <c r="BU361" s="517"/>
    </row>
    <row r="362" spans="68:73" ht="18.899999999999999" customHeight="1">
      <c r="BP362" s="517"/>
      <c r="BQ362" s="517"/>
      <c r="BR362" s="517"/>
      <c r="BS362" s="517"/>
      <c r="BT362" s="517"/>
      <c r="BU362" s="517"/>
    </row>
    <row r="363" spans="68:73" ht="18.899999999999999" customHeight="1">
      <c r="BP363" s="517"/>
      <c r="BQ363" s="517"/>
      <c r="BR363" s="517"/>
      <c r="BS363" s="517"/>
      <c r="BT363" s="517"/>
      <c r="BU363" s="517"/>
    </row>
    <row r="364" spans="68:73" ht="18.899999999999999" customHeight="1">
      <c r="BP364" s="517"/>
      <c r="BQ364" s="517"/>
      <c r="BR364" s="517"/>
      <c r="BS364" s="517"/>
      <c r="BT364" s="517"/>
      <c r="BU364" s="517"/>
    </row>
    <row r="365" spans="68:73" ht="18.899999999999999" customHeight="1">
      <c r="BP365" s="517"/>
      <c r="BQ365" s="517"/>
      <c r="BR365" s="517"/>
      <c r="BS365" s="517"/>
      <c r="BT365" s="517"/>
      <c r="BU365" s="517"/>
    </row>
    <row r="366" spans="68:73" ht="18.899999999999999" customHeight="1">
      <c r="BP366" s="517"/>
      <c r="BQ366" s="517"/>
      <c r="BR366" s="517"/>
      <c r="BS366" s="517"/>
      <c r="BT366" s="517"/>
      <c r="BU366" s="517"/>
    </row>
    <row r="367" spans="68:73" ht="18.899999999999999" customHeight="1">
      <c r="BP367" s="517"/>
      <c r="BQ367" s="517"/>
      <c r="BR367" s="517"/>
      <c r="BS367" s="517"/>
      <c r="BT367" s="517"/>
      <c r="BU367" s="517"/>
    </row>
    <row r="368" spans="68:73" ht="18.899999999999999" customHeight="1">
      <c r="BP368" s="517"/>
      <c r="BQ368" s="517"/>
      <c r="BR368" s="517"/>
      <c r="BS368" s="517"/>
      <c r="BT368" s="517"/>
      <c r="BU368" s="517"/>
    </row>
    <row r="369" spans="68:73" ht="18.899999999999999" customHeight="1">
      <c r="BP369" s="517"/>
      <c r="BQ369" s="517"/>
      <c r="BR369" s="517"/>
      <c r="BS369" s="517"/>
      <c r="BT369" s="517"/>
      <c r="BU369" s="517"/>
    </row>
    <row r="370" spans="68:73" ht="18.899999999999999" customHeight="1">
      <c r="BP370" s="517"/>
      <c r="BQ370" s="517"/>
      <c r="BR370" s="517"/>
      <c r="BS370" s="517"/>
      <c r="BT370" s="517"/>
      <c r="BU370" s="517"/>
    </row>
    <row r="371" spans="68:73" ht="18.899999999999999" customHeight="1">
      <c r="BP371" s="517"/>
      <c r="BQ371" s="517"/>
      <c r="BR371" s="517"/>
      <c r="BS371" s="517"/>
      <c r="BT371" s="517"/>
      <c r="BU371" s="517"/>
    </row>
    <row r="372" spans="68:73" ht="18.899999999999999" customHeight="1">
      <c r="BP372" s="517"/>
      <c r="BQ372" s="517"/>
      <c r="BR372" s="517"/>
      <c r="BS372" s="517"/>
      <c r="BT372" s="517"/>
      <c r="BU372" s="517"/>
    </row>
    <row r="373" spans="68:73" ht="18.899999999999999" customHeight="1">
      <c r="BP373" s="517"/>
      <c r="BQ373" s="517"/>
      <c r="BR373" s="517"/>
      <c r="BS373" s="517"/>
      <c r="BT373" s="517"/>
      <c r="BU373" s="517"/>
    </row>
    <row r="374" spans="68:73" ht="18.899999999999999" customHeight="1">
      <c r="BP374" s="517"/>
      <c r="BQ374" s="517"/>
      <c r="BR374" s="517"/>
      <c r="BS374" s="517"/>
      <c r="BT374" s="517"/>
      <c r="BU374" s="517"/>
    </row>
    <row r="375" spans="68:73" ht="18.899999999999999" customHeight="1">
      <c r="BP375" s="517"/>
      <c r="BQ375" s="517"/>
      <c r="BR375" s="517"/>
      <c r="BS375" s="517"/>
      <c r="BT375" s="517"/>
      <c r="BU375" s="517"/>
    </row>
    <row r="376" spans="68:73" ht="18.899999999999999" customHeight="1">
      <c r="BP376" s="517"/>
      <c r="BQ376" s="517"/>
      <c r="BR376" s="517"/>
      <c r="BS376" s="517"/>
      <c r="BT376" s="517"/>
      <c r="BU376" s="517"/>
    </row>
    <row r="377" spans="68:73" ht="18.899999999999999" customHeight="1">
      <c r="BP377" s="517"/>
      <c r="BQ377" s="517"/>
      <c r="BR377" s="517"/>
      <c r="BS377" s="517"/>
      <c r="BT377" s="517"/>
      <c r="BU377" s="517"/>
    </row>
    <row r="378" spans="68:73" ht="18.899999999999999" customHeight="1">
      <c r="BP378" s="517"/>
      <c r="BQ378" s="517"/>
      <c r="BR378" s="517"/>
      <c r="BS378" s="517"/>
      <c r="BT378" s="517"/>
      <c r="BU378" s="517"/>
    </row>
    <row r="379" spans="68:73" ht="18.899999999999999" customHeight="1">
      <c r="BP379" s="517"/>
      <c r="BQ379" s="517"/>
      <c r="BR379" s="517"/>
      <c r="BS379" s="517"/>
      <c r="BT379" s="517"/>
      <c r="BU379" s="517"/>
    </row>
    <row r="380" spans="68:73" ht="18.899999999999999" customHeight="1">
      <c r="BP380" s="517"/>
      <c r="BQ380" s="517"/>
      <c r="BR380" s="517"/>
      <c r="BS380" s="517"/>
      <c r="BT380" s="517"/>
      <c r="BU380" s="517"/>
    </row>
    <row r="381" spans="68:73" ht="18.899999999999999" customHeight="1">
      <c r="BP381" s="517"/>
      <c r="BQ381" s="517"/>
      <c r="BR381" s="517"/>
      <c r="BS381" s="517"/>
      <c r="BT381" s="517"/>
      <c r="BU381" s="517"/>
    </row>
    <row r="382" spans="68:73" ht="18.899999999999999" customHeight="1">
      <c r="BP382" s="517"/>
      <c r="BQ382" s="517"/>
      <c r="BR382" s="517"/>
      <c r="BS382" s="517"/>
      <c r="BT382" s="517"/>
      <c r="BU382" s="517"/>
    </row>
    <row r="383" spans="68:73" ht="18.899999999999999" customHeight="1">
      <c r="BP383" s="517"/>
      <c r="BQ383" s="517"/>
      <c r="BR383" s="517"/>
      <c r="BS383" s="517"/>
      <c r="BT383" s="517"/>
      <c r="BU383" s="517"/>
    </row>
    <row r="384" spans="68:73" ht="18.899999999999999" customHeight="1">
      <c r="BP384" s="517"/>
      <c r="BQ384" s="517"/>
      <c r="BR384" s="517"/>
      <c r="BS384" s="517"/>
      <c r="BT384" s="517"/>
      <c r="BU384" s="517"/>
    </row>
    <row r="385" spans="68:73" ht="18.899999999999999" customHeight="1">
      <c r="BP385" s="517"/>
      <c r="BQ385" s="517"/>
      <c r="BR385" s="517"/>
      <c r="BS385" s="517"/>
      <c r="BT385" s="517"/>
      <c r="BU385" s="517"/>
    </row>
    <row r="386" spans="68:73" ht="18.899999999999999" customHeight="1">
      <c r="BP386" s="517"/>
      <c r="BQ386" s="517"/>
      <c r="BR386" s="517"/>
      <c r="BS386" s="517"/>
      <c r="BT386" s="517"/>
      <c r="BU386" s="517"/>
    </row>
    <row r="387" spans="68:73" ht="18.899999999999999" customHeight="1">
      <c r="BP387" s="517"/>
      <c r="BQ387" s="517"/>
      <c r="BR387" s="517"/>
      <c r="BS387" s="517"/>
      <c r="BT387" s="517"/>
      <c r="BU387" s="517"/>
    </row>
    <row r="388" spans="68:73" ht="18.899999999999999" customHeight="1">
      <c r="BP388" s="517"/>
      <c r="BQ388" s="517"/>
      <c r="BR388" s="517"/>
      <c r="BS388" s="517"/>
      <c r="BT388" s="517"/>
      <c r="BU388" s="517"/>
    </row>
    <row r="389" spans="68:73" ht="18.899999999999999" customHeight="1">
      <c r="BP389" s="517"/>
      <c r="BQ389" s="517"/>
      <c r="BR389" s="517"/>
      <c r="BS389" s="517"/>
      <c r="BT389" s="517"/>
      <c r="BU389" s="517"/>
    </row>
    <row r="390" spans="68:73" ht="18.899999999999999" customHeight="1">
      <c r="BP390" s="517"/>
      <c r="BQ390" s="517"/>
      <c r="BR390" s="517"/>
      <c r="BS390" s="517"/>
      <c r="BT390" s="517"/>
      <c r="BU390" s="517"/>
    </row>
    <row r="391" spans="68:73" ht="18.899999999999999" customHeight="1">
      <c r="BP391" s="517"/>
      <c r="BQ391" s="517"/>
      <c r="BR391" s="517"/>
      <c r="BS391" s="517"/>
      <c r="BT391" s="517"/>
      <c r="BU391" s="517"/>
    </row>
    <row r="392" spans="68:73" ht="18.899999999999999" customHeight="1">
      <c r="BP392" s="517"/>
      <c r="BQ392" s="517"/>
      <c r="BR392" s="517"/>
      <c r="BS392" s="517"/>
      <c r="BT392" s="517"/>
      <c r="BU392" s="517"/>
    </row>
    <row r="393" spans="68:73" ht="18.899999999999999" customHeight="1">
      <c r="BP393" s="517"/>
      <c r="BQ393" s="517"/>
      <c r="BR393" s="517"/>
      <c r="BS393" s="517"/>
      <c r="BT393" s="517"/>
      <c r="BU393" s="517"/>
    </row>
    <row r="394" spans="68:73" ht="18.899999999999999" customHeight="1">
      <c r="BP394" s="517"/>
      <c r="BQ394" s="517"/>
      <c r="BR394" s="517"/>
      <c r="BS394" s="517"/>
      <c r="BT394" s="517"/>
      <c r="BU394" s="517"/>
    </row>
    <row r="395" spans="68:73" ht="18.899999999999999" customHeight="1">
      <c r="BP395" s="517"/>
      <c r="BQ395" s="517"/>
      <c r="BR395" s="517"/>
      <c r="BS395" s="517"/>
      <c r="BT395" s="517"/>
      <c r="BU395" s="517"/>
    </row>
    <row r="396" spans="68:73" ht="18.899999999999999" customHeight="1">
      <c r="BP396" s="517"/>
      <c r="BQ396" s="517"/>
      <c r="BR396" s="517"/>
      <c r="BS396" s="517"/>
      <c r="BT396" s="517"/>
      <c r="BU396" s="517"/>
    </row>
    <row r="397" spans="68:73" ht="18.899999999999999" customHeight="1">
      <c r="BP397" s="517"/>
      <c r="BQ397" s="517"/>
      <c r="BR397" s="517"/>
      <c r="BS397" s="517"/>
      <c r="BT397" s="517"/>
      <c r="BU397" s="517"/>
    </row>
    <row r="398" spans="68:73" ht="18.899999999999999" customHeight="1">
      <c r="BP398" s="517"/>
      <c r="BQ398" s="517"/>
      <c r="BR398" s="517"/>
      <c r="BS398" s="517"/>
      <c r="BT398" s="517"/>
      <c r="BU398" s="517"/>
    </row>
    <row r="399" spans="68:73" ht="18.899999999999999" customHeight="1">
      <c r="BP399" s="517"/>
      <c r="BQ399" s="517"/>
      <c r="BR399" s="517"/>
      <c r="BS399" s="517"/>
      <c r="BT399" s="517"/>
      <c r="BU399" s="517"/>
    </row>
    <row r="400" spans="68:73" ht="18.899999999999999" customHeight="1">
      <c r="BP400" s="517"/>
      <c r="BQ400" s="517"/>
      <c r="BR400" s="517"/>
      <c r="BS400" s="517"/>
      <c r="BT400" s="517"/>
      <c r="BU400" s="517"/>
    </row>
    <row r="401" spans="68:73" ht="18.899999999999999" customHeight="1">
      <c r="BP401" s="517"/>
      <c r="BQ401" s="517"/>
      <c r="BR401" s="517"/>
      <c r="BS401" s="517"/>
      <c r="BT401" s="517"/>
      <c r="BU401" s="517"/>
    </row>
    <row r="402" spans="68:73" ht="18.899999999999999" customHeight="1">
      <c r="BP402" s="517"/>
      <c r="BQ402" s="517"/>
      <c r="BR402" s="517"/>
      <c r="BS402" s="517"/>
      <c r="BT402" s="517"/>
      <c r="BU402" s="517"/>
    </row>
    <row r="403" spans="68:73" ht="18.899999999999999" customHeight="1">
      <c r="BP403" s="517"/>
      <c r="BQ403" s="517"/>
      <c r="BR403" s="517"/>
      <c r="BS403" s="517"/>
      <c r="BT403" s="517"/>
      <c r="BU403" s="517"/>
    </row>
    <row r="404" spans="68:73" ht="18.899999999999999" customHeight="1">
      <c r="BP404" s="517"/>
      <c r="BQ404" s="517"/>
      <c r="BR404" s="517"/>
      <c r="BS404" s="517"/>
      <c r="BT404" s="517"/>
      <c r="BU404" s="517"/>
    </row>
    <row r="405" spans="68:73" ht="18.899999999999999" customHeight="1">
      <c r="BP405" s="517"/>
      <c r="BQ405" s="517"/>
      <c r="BR405" s="517"/>
      <c r="BS405" s="517"/>
      <c r="BT405" s="517"/>
      <c r="BU405" s="517"/>
    </row>
    <row r="406" spans="68:73" ht="18.899999999999999" customHeight="1">
      <c r="BP406" s="517"/>
      <c r="BQ406" s="517"/>
      <c r="BR406" s="517"/>
      <c r="BS406" s="517"/>
      <c r="BT406" s="517"/>
      <c r="BU406" s="517"/>
    </row>
    <row r="407" spans="68:73" ht="18.899999999999999" customHeight="1">
      <c r="BP407" s="517"/>
      <c r="BQ407" s="517"/>
      <c r="BR407" s="517"/>
      <c r="BS407" s="517"/>
      <c r="BT407" s="517"/>
      <c r="BU407" s="517"/>
    </row>
    <row r="408" spans="68:73" ht="18.899999999999999" customHeight="1">
      <c r="BP408" s="517"/>
      <c r="BQ408" s="517"/>
      <c r="BR408" s="517"/>
      <c r="BS408" s="517"/>
      <c r="BT408" s="517"/>
      <c r="BU408" s="517"/>
    </row>
    <row r="409" spans="68:73" ht="18.899999999999999" customHeight="1">
      <c r="BP409" s="517"/>
      <c r="BQ409" s="517"/>
      <c r="BR409" s="517"/>
      <c r="BS409" s="517"/>
      <c r="BT409" s="517"/>
      <c r="BU409" s="517"/>
    </row>
    <row r="410" spans="68:73" ht="18.899999999999999" customHeight="1">
      <c r="BP410" s="517"/>
      <c r="BQ410" s="517"/>
      <c r="BR410" s="517"/>
      <c r="BS410" s="517"/>
      <c r="BT410" s="517"/>
      <c r="BU410" s="517"/>
    </row>
    <row r="411" spans="68:73" ht="18.899999999999999" customHeight="1">
      <c r="BP411" s="517"/>
      <c r="BQ411" s="517"/>
      <c r="BR411" s="517"/>
      <c r="BS411" s="517"/>
      <c r="BT411" s="517"/>
      <c r="BU411" s="517"/>
    </row>
    <row r="412" spans="68:73" ht="18.899999999999999" customHeight="1">
      <c r="BP412" s="517"/>
      <c r="BQ412" s="517"/>
      <c r="BR412" s="517"/>
      <c r="BS412" s="517"/>
      <c r="BT412" s="517"/>
      <c r="BU412" s="517"/>
    </row>
    <row r="413" spans="68:73" ht="18.899999999999999" customHeight="1">
      <c r="BP413" s="517"/>
      <c r="BQ413" s="517"/>
      <c r="BR413" s="517"/>
      <c r="BS413" s="517"/>
      <c r="BT413" s="517"/>
      <c r="BU413" s="517"/>
    </row>
    <row r="414" spans="68:73" ht="18.899999999999999" customHeight="1">
      <c r="BP414" s="517"/>
      <c r="BQ414" s="517"/>
      <c r="BR414" s="517"/>
      <c r="BS414" s="517"/>
      <c r="BT414" s="517"/>
      <c r="BU414" s="517"/>
    </row>
    <row r="415" spans="68:73" ht="18.899999999999999" customHeight="1">
      <c r="BP415" s="517"/>
      <c r="BQ415" s="517"/>
      <c r="BR415" s="517"/>
      <c r="BS415" s="517"/>
      <c r="BT415" s="517"/>
      <c r="BU415" s="517"/>
    </row>
    <row r="416" spans="68:73" ht="18.899999999999999" customHeight="1">
      <c r="BP416" s="517"/>
      <c r="BQ416" s="517"/>
      <c r="BR416" s="517"/>
      <c r="BS416" s="517"/>
      <c r="BT416" s="517"/>
      <c r="BU416" s="517"/>
    </row>
    <row r="417" spans="68:73" ht="18.899999999999999" customHeight="1">
      <c r="BP417" s="517"/>
      <c r="BQ417" s="517"/>
      <c r="BR417" s="517"/>
      <c r="BS417" s="517"/>
      <c r="BT417" s="517"/>
      <c r="BU417" s="517"/>
    </row>
    <row r="418" spans="68:73" ht="18.899999999999999" customHeight="1">
      <c r="BP418" s="517"/>
      <c r="BQ418" s="517"/>
      <c r="BR418" s="517"/>
      <c r="BS418" s="517"/>
      <c r="BT418" s="517"/>
      <c r="BU418" s="517"/>
    </row>
    <row r="419" spans="68:73" ht="18.899999999999999" customHeight="1">
      <c r="BP419" s="517"/>
      <c r="BQ419" s="517"/>
      <c r="BR419" s="517"/>
      <c r="BS419" s="517"/>
      <c r="BT419" s="517"/>
      <c r="BU419" s="517"/>
    </row>
    <row r="420" spans="68:73" ht="18.899999999999999" customHeight="1">
      <c r="BP420" s="517"/>
      <c r="BQ420" s="517"/>
      <c r="BR420" s="517"/>
      <c r="BS420" s="517"/>
      <c r="BT420" s="517"/>
      <c r="BU420" s="517"/>
    </row>
    <row r="421" spans="68:73" ht="18.899999999999999" customHeight="1">
      <c r="BP421" s="517"/>
      <c r="BQ421" s="517"/>
      <c r="BR421" s="517"/>
      <c r="BS421" s="517"/>
      <c r="BT421" s="517"/>
      <c r="BU421" s="517"/>
    </row>
    <row r="422" spans="68:73" ht="18.899999999999999" customHeight="1">
      <c r="BP422" s="517"/>
      <c r="BQ422" s="517"/>
      <c r="BR422" s="517"/>
      <c r="BS422" s="517"/>
      <c r="BT422" s="517"/>
      <c r="BU422" s="517"/>
    </row>
    <row r="423" spans="68:73" ht="18.899999999999999" customHeight="1">
      <c r="BP423" s="517"/>
      <c r="BQ423" s="517"/>
      <c r="BR423" s="517"/>
      <c r="BS423" s="517"/>
      <c r="BT423" s="517"/>
      <c r="BU423" s="517"/>
    </row>
    <row r="424" spans="68:73" ht="18.899999999999999" customHeight="1">
      <c r="BP424" s="517"/>
      <c r="BQ424" s="517"/>
      <c r="BR424" s="517"/>
      <c r="BS424" s="517"/>
      <c r="BT424" s="517"/>
      <c r="BU424" s="517"/>
    </row>
    <row r="425" spans="68:73" ht="18.899999999999999" customHeight="1">
      <c r="BP425" s="517"/>
      <c r="BQ425" s="517"/>
      <c r="BR425" s="517"/>
      <c r="BS425" s="517"/>
      <c r="BT425" s="517"/>
      <c r="BU425" s="517"/>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56" customWidth="1"/>
    <col min="2" max="2" width="13.08984375" style="517" customWidth="1"/>
    <col min="3" max="3" width="5" style="517" customWidth="1"/>
    <col min="4" max="9" width="6.453125" style="517" customWidth="1"/>
    <col min="10" max="10" width="4.90625" style="517" customWidth="1"/>
    <col min="11" max="13" width="6.453125" style="517" customWidth="1"/>
    <col min="14" max="14" width="6.36328125" style="517" customWidth="1"/>
    <col min="15" max="15" width="3.90625" style="517" customWidth="1"/>
    <col min="16" max="16" width="6.453125" style="517" customWidth="1"/>
    <col min="17" max="18" width="4.81640625" style="517" customWidth="1"/>
    <col min="19" max="20" width="4.453125" style="517" customWidth="1"/>
    <col min="21" max="22" width="3.90625" style="517" customWidth="1"/>
    <col min="23" max="23" width="6.6328125" style="517" customWidth="1"/>
    <col min="24" max="24" width="4.453125" style="517" customWidth="1"/>
    <col min="25" max="28" width="4.36328125" style="517" customWidth="1"/>
    <col min="29" max="29" width="3.90625" style="517" customWidth="1"/>
    <col min="30" max="30" width="4.6328125" style="517" customWidth="1"/>
    <col min="31" max="49" width="4.36328125" style="517" customWidth="1"/>
    <col min="50" max="50" width="5.08984375" style="517" customWidth="1"/>
    <col min="51" max="58" width="3.90625" style="517" customWidth="1"/>
    <col min="59" max="59" width="5.1796875" style="517" customWidth="1"/>
    <col min="60" max="68" width="3.90625" style="517" customWidth="1"/>
    <col min="69" max="69" width="3.90625" style="518" customWidth="1"/>
    <col min="70" max="70" width="6.453125" style="518" customWidth="1"/>
    <col min="71" max="71" width="3.81640625" style="518" customWidth="1"/>
    <col min="72" max="74" width="4.36328125" style="518" customWidth="1"/>
    <col min="75" max="75" width="4.36328125" style="517" customWidth="1"/>
    <col min="76" max="76" width="4.81640625" style="517" customWidth="1"/>
    <col min="77" max="77" width="4.36328125" style="517" customWidth="1"/>
    <col min="78" max="78" width="4.453125" style="517" customWidth="1"/>
    <col min="79" max="79" width="4.36328125" style="517" customWidth="1"/>
    <col min="80" max="80" width="4.81640625" style="517" customWidth="1"/>
    <col min="81" max="82" width="4.36328125" style="517" customWidth="1"/>
    <col min="83" max="83" width="4.81640625" style="517" customWidth="1"/>
    <col min="84" max="84" width="4.08984375" style="517" customWidth="1"/>
    <col min="85" max="85" width="4.90625" style="517" customWidth="1"/>
    <col min="86" max="86" width="3.90625" style="517" customWidth="1"/>
    <col min="87" max="87" width="5.453125" style="517" customWidth="1"/>
    <col min="88" max="88" width="3.90625" style="517" customWidth="1"/>
    <col min="89" max="94" width="4.08984375" style="517" customWidth="1"/>
    <col min="95" max="95" width="6.6328125" style="517" customWidth="1"/>
    <col min="96" max="97" width="4.453125" style="517" customWidth="1"/>
    <col min="98" max="98" width="4.08984375" style="517" customWidth="1"/>
    <col min="99" max="99" width="4.453125" style="517" customWidth="1"/>
    <col min="100" max="100" width="4.08984375" style="517" customWidth="1"/>
    <col min="101" max="101" width="6.453125" style="517" customWidth="1"/>
    <col min="102" max="102" width="4.1796875" style="517" customWidth="1"/>
    <col min="103" max="103" width="6.1796875" style="790" customWidth="1"/>
    <col min="104" max="104" width="4.453125" style="517" customWidth="1"/>
    <col min="105" max="105" width="3.90625" style="517" customWidth="1"/>
    <col min="106" max="106" width="4.81640625" style="517" customWidth="1"/>
    <col min="107" max="107" width="6.6328125" style="517" customWidth="1"/>
    <col min="108" max="108" width="4.453125" style="517" customWidth="1"/>
    <col min="109" max="109" width="4.08984375" style="517" customWidth="1"/>
    <col min="110" max="110" width="5.90625" style="517" customWidth="1"/>
    <col min="111" max="111" width="4.81640625" style="517" customWidth="1"/>
    <col min="112" max="112" width="4.08984375" style="517" customWidth="1"/>
    <col min="113" max="113" width="6.36328125" style="517" customWidth="1"/>
    <col min="114" max="114" width="4.08984375" style="517" customWidth="1"/>
    <col min="115" max="115" width="4.81640625" style="517" customWidth="1"/>
    <col min="116" max="116" width="5.81640625" style="517" customWidth="1"/>
    <col min="117" max="117" width="3.36328125" style="517" customWidth="1"/>
    <col min="118" max="118" width="5.81640625" style="517" customWidth="1"/>
    <col min="119" max="119" width="4.1796875" style="517" customWidth="1"/>
    <col min="120" max="124" width="4.36328125" style="517" customWidth="1"/>
    <col min="125" max="125" width="5.453125" style="517" customWidth="1"/>
    <col min="126" max="126" width="6" style="519" customWidth="1"/>
    <col min="127" max="16384" width="8.90625" style="517"/>
  </cols>
  <sheetData>
    <row r="2" spans="1:256" s="525" customFormat="1" ht="17.399999999999999">
      <c r="A2" s="548" t="s">
        <v>4045</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82"/>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83"/>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87" t="s">
        <v>3920</v>
      </c>
      <c r="B4" s="3189" t="s">
        <v>3971</v>
      </c>
      <c r="C4" s="3189" t="s">
        <v>3766</v>
      </c>
      <c r="D4" s="3185" t="s">
        <v>1034</v>
      </c>
      <c r="E4" s="3185" t="s">
        <v>187</v>
      </c>
      <c r="F4" s="3185" t="s">
        <v>2021</v>
      </c>
      <c r="G4" s="3185" t="s">
        <v>2202</v>
      </c>
      <c r="H4" s="3185" t="s">
        <v>116</v>
      </c>
      <c r="I4" s="3185" t="s">
        <v>1151</v>
      </c>
      <c r="J4" s="3185" t="s">
        <v>1150</v>
      </c>
      <c r="K4" s="3185" t="s">
        <v>1149</v>
      </c>
      <c r="L4" s="3185" t="s">
        <v>2262</v>
      </c>
      <c r="M4" s="3185" t="s">
        <v>2261</v>
      </c>
      <c r="N4" s="3185" t="s">
        <v>2260</v>
      </c>
      <c r="O4" s="3185" t="s">
        <v>3774</v>
      </c>
      <c r="P4" s="3185" t="s">
        <v>3907</v>
      </c>
      <c r="Q4" s="3185" t="s">
        <v>3776</v>
      </c>
      <c r="R4" s="3199" t="s">
        <v>3974</v>
      </c>
      <c r="S4" s="3200"/>
      <c r="T4" s="3200"/>
      <c r="U4" s="3200"/>
      <c r="V4" s="3201"/>
      <c r="W4" s="3199" t="s">
        <v>3878</v>
      </c>
      <c r="X4" s="3200"/>
      <c r="Y4" s="3200"/>
      <c r="Z4" s="3200"/>
      <c r="AA4" s="3200"/>
      <c r="AB4" s="3200"/>
      <c r="AC4" s="3200"/>
      <c r="AD4" s="3200"/>
      <c r="AE4" s="3200"/>
      <c r="AF4" s="3200"/>
      <c r="AG4" s="3200"/>
      <c r="AH4" s="3200"/>
      <c r="AI4" s="3200"/>
      <c r="AJ4" s="3200"/>
      <c r="AK4" s="3200"/>
      <c r="AL4" s="3200"/>
      <c r="AM4" s="3200"/>
      <c r="AN4" s="3200"/>
      <c r="AO4" s="3200"/>
      <c r="AP4" s="3200"/>
      <c r="AQ4" s="3200"/>
      <c r="AR4" s="3200"/>
      <c r="AS4" s="3200"/>
      <c r="AT4" s="3200"/>
      <c r="AU4" s="3200"/>
      <c r="AV4" s="3201"/>
      <c r="AW4" s="909"/>
      <c r="AX4" s="912" t="s">
        <v>3778</v>
      </c>
      <c r="AY4" s="909"/>
      <c r="AZ4" s="909"/>
      <c r="BA4" s="909"/>
      <c r="BB4" s="909"/>
      <c r="BC4" s="909"/>
      <c r="BD4" s="909"/>
      <c r="BE4" s="909"/>
      <c r="BF4" s="909"/>
      <c r="BG4" s="909" t="s">
        <v>3881</v>
      </c>
      <c r="BH4" s="636"/>
      <c r="BI4" s="636"/>
      <c r="BJ4" s="636"/>
      <c r="BK4" s="636"/>
      <c r="BL4" s="636"/>
      <c r="BM4" s="636"/>
      <c r="BN4" s="636"/>
      <c r="BO4" s="636"/>
      <c r="BP4" s="636"/>
      <c r="BQ4" s="3185" t="s">
        <v>2384</v>
      </c>
      <c r="BR4" s="3185" t="s">
        <v>2389</v>
      </c>
      <c r="BS4" s="3185" t="s">
        <v>4551</v>
      </c>
      <c r="BT4" s="3185" t="s">
        <v>2384</v>
      </c>
      <c r="BU4" s="3185" t="s">
        <v>2390</v>
      </c>
      <c r="BV4" s="3185" t="s">
        <v>2391</v>
      </c>
      <c r="BW4" s="3189" t="s">
        <v>3924</v>
      </c>
      <c r="BX4" s="549" t="s">
        <v>2175</v>
      </c>
      <c r="BY4" s="560"/>
      <c r="BZ4" s="560"/>
      <c r="CA4" s="561"/>
      <c r="CB4" s="3191" t="s">
        <v>3979</v>
      </c>
      <c r="CC4" s="3191" t="s">
        <v>3926</v>
      </c>
      <c r="CD4" s="3191" t="s">
        <v>3927</v>
      </c>
      <c r="CE4" s="3191" t="s">
        <v>3928</v>
      </c>
      <c r="CF4" s="3191" t="s">
        <v>3929</v>
      </c>
      <c r="CG4" s="3191" t="s">
        <v>4046</v>
      </c>
      <c r="CH4" s="3194" t="s">
        <v>3931</v>
      </c>
      <c r="CI4" s="3195"/>
      <c r="CJ4" s="3195"/>
      <c r="CK4" s="3195"/>
      <c r="CL4" s="3195"/>
      <c r="CM4" s="3195"/>
      <c r="CN4" s="3195"/>
      <c r="CO4" s="3195"/>
      <c r="CP4" s="3195"/>
      <c r="CQ4" s="3195"/>
      <c r="CR4" s="3195"/>
      <c r="CS4" s="3195"/>
      <c r="CT4" s="3195"/>
      <c r="CU4" s="3196"/>
      <c r="CV4" s="3194" t="s">
        <v>3932</v>
      </c>
      <c r="CW4" s="3195"/>
      <c r="CX4" s="3195"/>
      <c r="CY4" s="3195"/>
      <c r="CZ4" s="3196"/>
      <c r="DA4" s="3194" t="s">
        <v>3933</v>
      </c>
      <c r="DB4" s="3195"/>
      <c r="DC4" s="3195"/>
      <c r="DD4" s="3196"/>
      <c r="DE4" s="3194" t="s">
        <v>2594</v>
      </c>
      <c r="DF4" s="3195"/>
      <c r="DG4" s="3195"/>
      <c r="DH4" s="3196"/>
      <c r="DI4" s="3194" t="s">
        <v>475</v>
      </c>
      <c r="DJ4" s="3196"/>
      <c r="DK4" s="3191" t="s">
        <v>3980</v>
      </c>
      <c r="DL4" s="3191" t="s">
        <v>3934</v>
      </c>
      <c r="DM4" s="3191" t="s">
        <v>3935</v>
      </c>
      <c r="DN4" s="3191" t="s">
        <v>3936</v>
      </c>
      <c r="DO4" s="3191" t="s">
        <v>2843</v>
      </c>
      <c r="DP4" s="3189" t="s">
        <v>4047</v>
      </c>
      <c r="DQ4" s="3189" t="s">
        <v>4547</v>
      </c>
      <c r="DR4" s="3189" t="s">
        <v>4548</v>
      </c>
      <c r="DS4" s="3189" t="s">
        <v>4549</v>
      </c>
      <c r="DT4" s="3189" t="s">
        <v>3983</v>
      </c>
      <c r="DU4" s="3189" t="s">
        <v>4129</v>
      </c>
      <c r="DV4" s="3197" t="s">
        <v>2599</v>
      </c>
    </row>
    <row r="5" spans="1:256" s="529" customFormat="1" ht="100.2">
      <c r="A5" s="3188"/>
      <c r="B5" s="3190"/>
      <c r="C5" s="3190"/>
      <c r="D5" s="3186"/>
      <c r="E5" s="3186"/>
      <c r="F5" s="3186"/>
      <c r="G5" s="3186"/>
      <c r="H5" s="3186"/>
      <c r="I5" s="3186"/>
      <c r="J5" s="3186"/>
      <c r="K5" s="3186"/>
      <c r="L5" s="3186"/>
      <c r="M5" s="3186"/>
      <c r="N5" s="3186"/>
      <c r="O5" s="3186"/>
      <c r="P5" s="3186"/>
      <c r="Q5" s="3186"/>
      <c r="R5" s="792" t="s">
        <v>301</v>
      </c>
      <c r="S5" s="792" t="s">
        <v>232</v>
      </c>
      <c r="T5" s="792" t="s">
        <v>185</v>
      </c>
      <c r="U5" s="792" t="s">
        <v>300</v>
      </c>
      <c r="V5" s="910" t="s">
        <v>4319</v>
      </c>
      <c r="W5" s="780" t="s">
        <v>87</v>
      </c>
      <c r="X5" s="780" t="s">
        <v>958</v>
      </c>
      <c r="Y5" s="780" t="s">
        <v>762</v>
      </c>
      <c r="Z5" s="780" t="s">
        <v>102</v>
      </c>
      <c r="AA5" s="780" t="s">
        <v>2176</v>
      </c>
      <c r="AB5" s="780" t="s">
        <v>234</v>
      </c>
      <c r="AC5" s="792" t="s">
        <v>2315</v>
      </c>
      <c r="AD5" s="792" t="s">
        <v>4128</v>
      </c>
      <c r="AE5" s="780" t="s">
        <v>2177</v>
      </c>
      <c r="AF5" s="780" t="s">
        <v>932</v>
      </c>
      <c r="AG5" s="780" t="s">
        <v>933</v>
      </c>
      <c r="AH5" s="780" t="s">
        <v>2178</v>
      </c>
      <c r="AI5" s="780" t="s">
        <v>695</v>
      </c>
      <c r="AJ5" s="780" t="s">
        <v>994</v>
      </c>
      <c r="AK5" s="780" t="s">
        <v>100</v>
      </c>
      <c r="AL5" s="780" t="s">
        <v>833</v>
      </c>
      <c r="AM5" s="780" t="s">
        <v>834</v>
      </c>
      <c r="AN5" s="780" t="s">
        <v>832</v>
      </c>
      <c r="AO5" s="780" t="s">
        <v>760</v>
      </c>
      <c r="AP5" s="780" t="s">
        <v>286</v>
      </c>
      <c r="AQ5" s="780" t="s">
        <v>303</v>
      </c>
      <c r="AR5" s="780" t="s">
        <v>2263</v>
      </c>
      <c r="AS5" s="780" t="s">
        <v>304</v>
      </c>
      <c r="AT5" s="780" t="s">
        <v>638</v>
      </c>
      <c r="AU5" s="780" t="s">
        <v>647</v>
      </c>
      <c r="AV5" s="792" t="s">
        <v>903</v>
      </c>
      <c r="AW5" s="780" t="s">
        <v>511</v>
      </c>
      <c r="AX5" s="779" t="s">
        <v>633</v>
      </c>
      <c r="AY5" s="779" t="s">
        <v>632</v>
      </c>
      <c r="AZ5" s="779" t="s">
        <v>835</v>
      </c>
      <c r="BA5" s="779" t="s">
        <v>836</v>
      </c>
      <c r="BB5" s="779" t="s">
        <v>663</v>
      </c>
      <c r="BC5" s="779" t="s">
        <v>664</v>
      </c>
      <c r="BD5" s="779" t="s">
        <v>749</v>
      </c>
      <c r="BE5" s="779" t="s">
        <v>748</v>
      </c>
      <c r="BF5" s="779" t="s">
        <v>3985</v>
      </c>
      <c r="BG5" s="792" t="s">
        <v>1492</v>
      </c>
      <c r="BH5" s="792" t="s">
        <v>1493</v>
      </c>
      <c r="BI5" s="792" t="s">
        <v>1572</v>
      </c>
      <c r="BJ5" s="792" t="s">
        <v>1091</v>
      </c>
      <c r="BK5" s="792" t="s">
        <v>2146</v>
      </c>
      <c r="BL5" s="792" t="s">
        <v>1092</v>
      </c>
      <c r="BM5" s="792" t="s">
        <v>2147</v>
      </c>
      <c r="BN5" s="792" t="s">
        <v>1093</v>
      </c>
      <c r="BO5" s="792" t="s">
        <v>2045</v>
      </c>
      <c r="BP5" s="792" t="s">
        <v>1094</v>
      </c>
      <c r="BQ5" s="3186"/>
      <c r="BR5" s="3186"/>
      <c r="BS5" s="3186"/>
      <c r="BT5" s="3186"/>
      <c r="BU5" s="3186"/>
      <c r="BV5" s="3186"/>
      <c r="BW5" s="3193"/>
      <c r="BX5" s="792" t="s">
        <v>3986</v>
      </c>
      <c r="BY5" s="792" t="s">
        <v>3987</v>
      </c>
      <c r="BZ5" s="792" t="s">
        <v>3943</v>
      </c>
      <c r="CA5" s="792" t="s">
        <v>4545</v>
      </c>
      <c r="CB5" s="3192"/>
      <c r="CC5" s="3192"/>
      <c r="CD5" s="3192"/>
      <c r="CE5" s="3192"/>
      <c r="CF5" s="3192"/>
      <c r="CG5" s="3192"/>
      <c r="CH5" s="781" t="s">
        <v>3945</v>
      </c>
      <c r="CI5" s="781" t="s">
        <v>3950</v>
      </c>
      <c r="CJ5" s="781" t="s">
        <v>3946</v>
      </c>
      <c r="CK5" s="781" t="s">
        <v>3989</v>
      </c>
      <c r="CL5" s="781" t="s">
        <v>3990</v>
      </c>
      <c r="CM5" s="781" t="s">
        <v>4320</v>
      </c>
      <c r="CN5" s="781" t="s">
        <v>3948</v>
      </c>
      <c r="CO5" s="781" t="s">
        <v>3991</v>
      </c>
      <c r="CP5" s="781" t="s">
        <v>3992</v>
      </c>
      <c r="CQ5" s="781" t="s">
        <v>4048</v>
      </c>
      <c r="CR5" s="781" t="s">
        <v>4049</v>
      </c>
      <c r="CS5" s="781" t="s">
        <v>4050</v>
      </c>
      <c r="CT5" s="781" t="s">
        <v>3949</v>
      </c>
      <c r="CU5" s="781" t="s">
        <v>3950</v>
      </c>
      <c r="CV5" s="781" t="s">
        <v>3951</v>
      </c>
      <c r="CW5" s="781" t="s">
        <v>3952</v>
      </c>
      <c r="CX5" s="781" t="s">
        <v>3953</v>
      </c>
      <c r="CY5" s="781" t="s">
        <v>4292</v>
      </c>
      <c r="CZ5" s="781" t="s">
        <v>3954</v>
      </c>
      <c r="DA5" s="781" t="s">
        <v>4051</v>
      </c>
      <c r="DB5" s="781" t="s">
        <v>4052</v>
      </c>
      <c r="DC5" s="781" t="s">
        <v>3957</v>
      </c>
      <c r="DD5" s="781" t="s">
        <v>3956</v>
      </c>
      <c r="DE5" s="781" t="s">
        <v>4053</v>
      </c>
      <c r="DF5" s="781" t="s">
        <v>4054</v>
      </c>
      <c r="DG5" s="781" t="s">
        <v>3960</v>
      </c>
      <c r="DH5" s="781" t="s">
        <v>3959</v>
      </c>
      <c r="DI5" s="781" t="s">
        <v>4130</v>
      </c>
      <c r="DJ5" s="781" t="s">
        <v>4546</v>
      </c>
      <c r="DK5" s="3192"/>
      <c r="DL5" s="3192"/>
      <c r="DM5" s="3192"/>
      <c r="DN5" s="3192"/>
      <c r="DO5" s="3192"/>
      <c r="DP5" s="3193"/>
      <c r="DQ5" s="3193"/>
      <c r="DR5" s="3193"/>
      <c r="DS5" s="3193"/>
      <c r="DT5" s="3193"/>
      <c r="DU5" s="3193"/>
      <c r="DV5" s="3198"/>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4"/>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3.8" hidden="1">
      <c r="A7" s="904"/>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4"/>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3.8">
      <c r="A8" s="907" t="s">
        <v>4751</v>
      </c>
      <c r="B8" s="1537"/>
      <c r="C8" s="1537"/>
      <c r="D8" s="1538"/>
      <c r="E8" s="1537"/>
      <c r="F8" s="1537"/>
      <c r="G8" s="1537"/>
      <c r="H8" s="1538"/>
      <c r="I8" s="1537"/>
      <c r="J8" s="1537"/>
      <c r="K8" s="1537"/>
      <c r="L8" s="1538"/>
      <c r="M8" s="1539"/>
      <c r="N8" s="1539"/>
      <c r="O8" s="1537"/>
      <c r="P8" s="1537"/>
      <c r="Q8" s="1537"/>
      <c r="R8" s="1538"/>
      <c r="S8" s="1538"/>
      <c r="T8" s="1538"/>
      <c r="U8" s="1538"/>
      <c r="V8" s="1538"/>
      <c r="W8" s="1538"/>
      <c r="X8" s="1538"/>
      <c r="Y8" s="1538"/>
      <c r="Z8" s="1538"/>
      <c r="AA8" s="1538"/>
      <c r="AB8" s="1538"/>
      <c r="AC8" s="1538"/>
      <c r="AD8" s="1538"/>
      <c r="AE8" s="1538"/>
      <c r="AF8" s="1538"/>
      <c r="AG8" s="1538"/>
      <c r="AH8" s="1538"/>
      <c r="AI8" s="1538"/>
      <c r="AJ8" s="1538"/>
      <c r="AK8" s="1538"/>
      <c r="AL8" s="1538"/>
      <c r="AM8" s="1538"/>
      <c r="AN8" s="1538"/>
      <c r="AO8" s="1538"/>
      <c r="AP8" s="1538"/>
      <c r="AQ8" s="1538"/>
      <c r="AR8" s="1538"/>
      <c r="AS8" s="1538"/>
      <c r="AT8" s="1538"/>
      <c r="AU8" s="1538"/>
      <c r="AV8" s="1538"/>
      <c r="AW8" s="1538"/>
      <c r="AX8" s="1538"/>
      <c r="AY8" s="1538"/>
      <c r="AZ8" s="1538"/>
      <c r="BA8" s="1538"/>
      <c r="BB8" s="1538"/>
      <c r="BC8" s="1538"/>
      <c r="BD8" s="1538"/>
      <c r="BE8" s="1538"/>
      <c r="BF8" s="1538"/>
      <c r="BG8" s="1538"/>
      <c r="BH8" s="1538"/>
      <c r="BI8" s="1538"/>
      <c r="BJ8" s="1538"/>
      <c r="BK8" s="1538"/>
      <c r="BL8" s="1538"/>
      <c r="BM8" s="1538"/>
      <c r="BN8" s="1538"/>
      <c r="BO8" s="1538"/>
      <c r="BP8" s="1538"/>
      <c r="BQ8" s="1538"/>
      <c r="BR8" s="1538"/>
      <c r="BS8" s="1538"/>
      <c r="BT8" s="1538"/>
      <c r="BU8" s="1538"/>
      <c r="BV8" s="1538"/>
      <c r="BW8" s="1538"/>
      <c r="BX8" s="1538"/>
      <c r="BY8" s="1538"/>
      <c r="BZ8" s="1538"/>
      <c r="CA8" s="1538"/>
      <c r="CB8" s="1538"/>
      <c r="CC8" s="1538"/>
      <c r="CD8" s="1538"/>
      <c r="CE8" s="1544"/>
      <c r="CF8" s="1538"/>
      <c r="CG8" s="1538"/>
      <c r="CH8" s="1538"/>
      <c r="CI8" s="1538"/>
      <c r="CJ8" s="1538"/>
      <c r="CK8" s="1538"/>
      <c r="CL8" s="1538"/>
      <c r="CM8" s="1538"/>
      <c r="CN8" s="1538"/>
      <c r="CO8" s="1538"/>
      <c r="CP8" s="1538"/>
      <c r="CQ8" s="1538"/>
      <c r="CR8" s="1538"/>
      <c r="CS8" s="1538"/>
      <c r="CT8" s="1538"/>
      <c r="CU8" s="1538"/>
      <c r="CV8" s="1538"/>
      <c r="CW8" s="1538"/>
      <c r="CX8" s="1538"/>
      <c r="CY8" s="1540"/>
      <c r="CZ8" s="1538"/>
      <c r="DA8" s="1538"/>
      <c r="DB8" s="1538"/>
      <c r="DC8" s="1538"/>
      <c r="DD8" s="1538"/>
      <c r="DE8" s="1538"/>
      <c r="DF8" s="1538"/>
      <c r="DG8" s="1538"/>
      <c r="DH8" s="1538"/>
      <c r="DI8" s="1538"/>
      <c r="DJ8" s="1538"/>
      <c r="DK8" s="1538"/>
      <c r="DL8" s="1538"/>
      <c r="DM8" s="1538"/>
      <c r="DN8" s="1538"/>
      <c r="DO8" s="1538"/>
      <c r="DP8" s="1538"/>
      <c r="DQ8" s="1538"/>
      <c r="DR8" s="1538"/>
      <c r="DS8" s="1538"/>
      <c r="DT8" s="1538"/>
      <c r="DU8" s="1538"/>
      <c r="DV8" s="1541"/>
      <c r="IR8" s="739"/>
      <c r="IS8" s="739"/>
      <c r="IT8" s="739"/>
      <c r="IU8" s="739"/>
      <c r="IV8" s="739"/>
    </row>
    <row r="9" spans="1:256" s="738" customFormat="1" ht="13.8">
      <c r="A9" s="1542" t="s">
        <v>4884</v>
      </c>
      <c r="B9" s="1543"/>
      <c r="C9" s="1543"/>
      <c r="D9" s="1544"/>
      <c r="E9" s="1543"/>
      <c r="F9" s="1543"/>
      <c r="G9" s="1543"/>
      <c r="H9" s="1544"/>
      <c r="I9" s="1543"/>
      <c r="J9" s="1543"/>
      <c r="K9" s="1543"/>
      <c r="L9" s="1544"/>
      <c r="M9" s="1545"/>
      <c r="N9" s="1545"/>
      <c r="O9" s="1543"/>
      <c r="P9" s="1543"/>
      <c r="Q9" s="1543"/>
      <c r="R9" s="1544"/>
      <c r="S9" s="1544"/>
      <c r="T9" s="1544"/>
      <c r="U9" s="1544"/>
      <c r="V9" s="1544"/>
      <c r="W9" s="1544"/>
      <c r="X9" s="1544"/>
      <c r="Y9" s="1544"/>
      <c r="Z9" s="1544"/>
      <c r="AA9" s="1544"/>
      <c r="AB9" s="1544"/>
      <c r="AC9" s="1544"/>
      <c r="AD9" s="1544"/>
      <c r="AE9" s="1544"/>
      <c r="AF9" s="1544"/>
      <c r="AG9" s="1544"/>
      <c r="AH9" s="1544"/>
      <c r="AI9" s="1544"/>
      <c r="AJ9" s="1544"/>
      <c r="AK9" s="1544"/>
      <c r="AL9" s="1544"/>
      <c r="AM9" s="1544"/>
      <c r="AN9" s="1544"/>
      <c r="AO9" s="1544"/>
      <c r="AP9" s="1544"/>
      <c r="AQ9" s="1544"/>
      <c r="AR9" s="1544"/>
      <c r="AS9" s="1544"/>
      <c r="AT9" s="1544"/>
      <c r="AU9" s="1544"/>
      <c r="AV9" s="1544"/>
      <c r="AW9" s="1544"/>
      <c r="AX9" s="1544"/>
      <c r="AY9" s="1544"/>
      <c r="AZ9" s="1544"/>
      <c r="BA9" s="1544"/>
      <c r="BB9" s="1544"/>
      <c r="BC9" s="1544"/>
      <c r="BD9" s="1544"/>
      <c r="BE9" s="1544"/>
      <c r="BF9" s="1544"/>
      <c r="BG9" s="1544"/>
      <c r="BH9" s="1544"/>
      <c r="BI9" s="1544"/>
      <c r="BJ9" s="1544"/>
      <c r="BK9" s="1544"/>
      <c r="BL9" s="1544"/>
      <c r="BM9" s="1544"/>
      <c r="BN9" s="1544"/>
      <c r="BO9" s="1544"/>
      <c r="BP9" s="1544"/>
      <c r="BQ9" s="1544"/>
      <c r="BR9" s="1544"/>
      <c r="BS9" s="1544"/>
      <c r="BT9" s="1544"/>
      <c r="BU9" s="1544"/>
      <c r="BV9" s="1544"/>
      <c r="BW9" s="1544"/>
      <c r="BX9" s="1544"/>
      <c r="BY9" s="1544"/>
      <c r="BZ9" s="1544"/>
      <c r="CA9" s="1544"/>
      <c r="CB9" s="1544"/>
      <c r="CC9" s="1544"/>
      <c r="CD9" s="1544"/>
      <c r="CE9" s="1544"/>
      <c r="CF9" s="1544"/>
      <c r="CG9" s="1544"/>
      <c r="CH9" s="1544"/>
      <c r="CI9" s="1544"/>
      <c r="CJ9" s="1544"/>
      <c r="CK9" s="1544"/>
      <c r="CL9" s="1544"/>
      <c r="CM9" s="1544"/>
      <c r="CN9" s="1544"/>
      <c r="CO9" s="1544"/>
      <c r="CP9" s="1544"/>
      <c r="CQ9" s="1544"/>
      <c r="CR9" s="1544"/>
      <c r="CS9" s="1544"/>
      <c r="CT9" s="1544"/>
      <c r="CU9" s="1544"/>
      <c r="CV9" s="1544"/>
      <c r="CW9" s="1544"/>
      <c r="CX9" s="1544"/>
      <c r="CY9" s="785"/>
      <c r="CZ9" s="1544"/>
      <c r="DA9" s="1544"/>
      <c r="DB9" s="1544"/>
      <c r="DC9" s="1544"/>
      <c r="DD9" s="1544"/>
      <c r="DE9" s="1544"/>
      <c r="DF9" s="1544"/>
      <c r="DG9" s="1544"/>
      <c r="DH9" s="1544"/>
      <c r="DI9" s="1544"/>
      <c r="DJ9" s="1544"/>
      <c r="DK9" s="1544"/>
      <c r="DL9" s="1544"/>
      <c r="DM9" s="1544"/>
      <c r="DN9" s="1544"/>
      <c r="DO9" s="751"/>
      <c r="DP9" s="1544"/>
      <c r="DQ9" s="1544"/>
      <c r="DR9" s="1544"/>
      <c r="DS9" s="1544"/>
      <c r="DT9" s="1544"/>
      <c r="DU9" s="1544"/>
      <c r="DV9" s="1546"/>
      <c r="IR9" s="739"/>
      <c r="IS9" s="739"/>
      <c r="IT9" s="739"/>
      <c r="IU9" s="739"/>
      <c r="IV9" s="739"/>
    </row>
    <row r="10" spans="1:256" s="738" customFormat="1" ht="13.8">
      <c r="A10" s="1542" t="s">
        <v>4885</v>
      </c>
      <c r="B10" s="1543"/>
      <c r="C10" s="1543"/>
      <c r="D10" s="1544"/>
      <c r="E10" s="1543"/>
      <c r="F10" s="1543"/>
      <c r="G10" s="1543"/>
      <c r="H10" s="1544"/>
      <c r="I10" s="1543"/>
      <c r="J10" s="1543"/>
      <c r="K10" s="1543"/>
      <c r="L10" s="1544"/>
      <c r="M10" s="1545"/>
      <c r="N10" s="1545"/>
      <c r="O10" s="1543"/>
      <c r="P10" s="1543"/>
      <c r="Q10" s="1543"/>
      <c r="R10" s="1544"/>
      <c r="S10" s="1544"/>
      <c r="T10" s="1544"/>
      <c r="U10" s="1544"/>
      <c r="V10" s="1544"/>
      <c r="W10" s="1544"/>
      <c r="X10" s="1544"/>
      <c r="Y10" s="1544"/>
      <c r="Z10" s="1544"/>
      <c r="AA10" s="1544"/>
      <c r="AB10" s="1544"/>
      <c r="AC10" s="1544"/>
      <c r="AD10" s="1544"/>
      <c r="AE10" s="1544"/>
      <c r="AF10" s="1544"/>
      <c r="AG10" s="1544"/>
      <c r="AH10" s="1544"/>
      <c r="AI10" s="1544"/>
      <c r="AJ10" s="1544"/>
      <c r="AK10" s="1544"/>
      <c r="AL10" s="1544"/>
      <c r="AM10" s="1544"/>
      <c r="AN10" s="1544"/>
      <c r="AO10" s="1544"/>
      <c r="AP10" s="1544"/>
      <c r="AQ10" s="1544"/>
      <c r="AR10" s="1544"/>
      <c r="AS10" s="1544"/>
      <c r="AT10" s="1544"/>
      <c r="AU10" s="1544"/>
      <c r="AV10" s="1544"/>
      <c r="AW10" s="1544"/>
      <c r="AX10" s="1544"/>
      <c r="AY10" s="1544"/>
      <c r="AZ10" s="1544"/>
      <c r="BA10" s="1544"/>
      <c r="BB10" s="1544"/>
      <c r="BC10" s="1544"/>
      <c r="BD10" s="1544"/>
      <c r="BE10" s="1544"/>
      <c r="BF10" s="1544"/>
      <c r="BG10" s="1544"/>
      <c r="BH10" s="1544"/>
      <c r="BI10" s="1544"/>
      <c r="BJ10" s="1544"/>
      <c r="BK10" s="1544"/>
      <c r="BL10" s="1544"/>
      <c r="BM10" s="1544"/>
      <c r="BN10" s="1544"/>
      <c r="BO10" s="1544"/>
      <c r="BP10" s="1544"/>
      <c r="BQ10" s="1544"/>
      <c r="BR10" s="1544"/>
      <c r="BS10" s="1544"/>
      <c r="BT10" s="1544"/>
      <c r="BU10" s="1544"/>
      <c r="BV10" s="1544"/>
      <c r="BW10" s="1544"/>
      <c r="BX10" s="1544"/>
      <c r="BY10" s="1544"/>
      <c r="BZ10" s="1544"/>
      <c r="CA10" s="1544"/>
      <c r="CB10" s="1544"/>
      <c r="CC10" s="1544"/>
      <c r="CD10" s="1544"/>
      <c r="CE10" s="1544"/>
      <c r="CF10" s="1544"/>
      <c r="CG10" s="1544"/>
      <c r="CH10" s="1544"/>
      <c r="CI10" s="1544"/>
      <c r="CJ10" s="1544"/>
      <c r="CK10" s="1544"/>
      <c r="CL10" s="1544"/>
      <c r="CM10" s="1544"/>
      <c r="CN10" s="1544"/>
      <c r="CO10" s="1544"/>
      <c r="CP10" s="1544"/>
      <c r="CQ10" s="1544"/>
      <c r="CR10" s="1544"/>
      <c r="CS10" s="1544"/>
      <c r="CT10" s="1544"/>
      <c r="CU10" s="1544"/>
      <c r="CV10" s="1544"/>
      <c r="CW10" s="1544"/>
      <c r="CX10" s="1544"/>
      <c r="CY10" s="785"/>
      <c r="CZ10" s="1544"/>
      <c r="DA10" s="1544"/>
      <c r="DB10" s="1544"/>
      <c r="DC10" s="1544"/>
      <c r="DD10" s="1544"/>
      <c r="DE10" s="1544"/>
      <c r="DF10" s="1544"/>
      <c r="DG10" s="1544"/>
      <c r="DH10" s="1544"/>
      <c r="DI10" s="1544"/>
      <c r="DJ10" s="1544"/>
      <c r="DK10" s="1544"/>
      <c r="DL10" s="1544"/>
      <c r="DM10" s="1544"/>
      <c r="DN10" s="1544"/>
      <c r="DO10" s="751"/>
      <c r="DP10" s="1544"/>
      <c r="DQ10" s="1544"/>
      <c r="DR10" s="1544"/>
      <c r="DS10" s="1544"/>
      <c r="DT10" s="1544"/>
      <c r="DU10" s="1544"/>
      <c r="DV10" s="1546"/>
      <c r="IR10" s="739"/>
      <c r="IS10" s="739"/>
      <c r="IT10" s="739"/>
      <c r="IU10" s="739"/>
      <c r="IV10" s="739"/>
    </row>
    <row r="11" spans="1:256" s="738" customFormat="1" ht="13.8">
      <c r="A11" s="1542" t="s">
        <v>4886</v>
      </c>
      <c r="B11" s="1547"/>
      <c r="C11" s="1545"/>
      <c r="D11" s="1545"/>
      <c r="E11" s="1545"/>
      <c r="F11" s="1545"/>
      <c r="G11" s="1545"/>
      <c r="H11" s="1545"/>
      <c r="I11" s="1545"/>
      <c r="J11" s="1543"/>
      <c r="K11" s="1543"/>
      <c r="L11" s="1545"/>
      <c r="M11" s="1545"/>
      <c r="N11" s="1545"/>
      <c r="O11" s="1543"/>
      <c r="P11" s="1543"/>
      <c r="Q11" s="1543"/>
      <c r="R11" s="1544"/>
      <c r="S11" s="1544"/>
      <c r="T11" s="1544"/>
      <c r="U11" s="1544"/>
      <c r="V11" s="1544"/>
      <c r="W11" s="1544"/>
      <c r="X11" s="1544"/>
      <c r="Y11" s="1544"/>
      <c r="Z11" s="1544"/>
      <c r="AA11" s="1544"/>
      <c r="AB11" s="1544"/>
      <c r="AC11" s="1544"/>
      <c r="AD11" s="1544"/>
      <c r="AE11" s="1544"/>
      <c r="AF11" s="1544"/>
      <c r="AG11" s="1544"/>
      <c r="AH11" s="1544"/>
      <c r="AI11" s="1544"/>
      <c r="AJ11" s="1544"/>
      <c r="AK11" s="1544"/>
      <c r="AL11" s="1544"/>
      <c r="AM11" s="1544"/>
      <c r="AN11" s="1544"/>
      <c r="AO11" s="1544"/>
      <c r="AP11" s="1544"/>
      <c r="AQ11" s="1544"/>
      <c r="AR11" s="1544"/>
      <c r="AS11" s="1544"/>
      <c r="AT11" s="1544"/>
      <c r="AU11" s="1544"/>
      <c r="AV11" s="1544"/>
      <c r="AW11" s="1544"/>
      <c r="AX11" s="1544"/>
      <c r="AY11" s="1544"/>
      <c r="AZ11" s="1544"/>
      <c r="BA11" s="1544"/>
      <c r="BB11" s="1544"/>
      <c r="BC11" s="1544"/>
      <c r="BD11" s="1544"/>
      <c r="BE11" s="1544"/>
      <c r="BF11" s="1544"/>
      <c r="BG11" s="1544"/>
      <c r="BH11" s="1544"/>
      <c r="BI11" s="1544"/>
      <c r="BJ11" s="1544"/>
      <c r="BK11" s="1544"/>
      <c r="BL11" s="1544"/>
      <c r="BM11" s="1544"/>
      <c r="BN11" s="1544"/>
      <c r="BO11" s="1544"/>
      <c r="BP11" s="1544"/>
      <c r="BQ11" s="1544"/>
      <c r="BR11" s="1544"/>
      <c r="BS11" s="1544"/>
      <c r="BT11" s="1544"/>
      <c r="BU11" s="1544"/>
      <c r="BV11" s="1544"/>
      <c r="BW11" s="1544"/>
      <c r="BX11" s="1544"/>
      <c r="BY11" s="1544"/>
      <c r="BZ11" s="1544"/>
      <c r="CA11" s="1544"/>
      <c r="CB11" s="1544"/>
      <c r="CC11" s="1544"/>
      <c r="CD11" s="1544"/>
      <c r="CE11" s="1544"/>
      <c r="CF11" s="1544"/>
      <c r="CG11" s="1544"/>
      <c r="CH11" s="1544"/>
      <c r="CI11" s="1544"/>
      <c r="CJ11" s="1544"/>
      <c r="CK11" s="1544"/>
      <c r="CL11" s="1544"/>
      <c r="CM11" s="1544"/>
      <c r="CN11" s="1544"/>
      <c r="CO11" s="1544"/>
      <c r="CP11" s="1544"/>
      <c r="CQ11" s="1544"/>
      <c r="CR11" s="1544"/>
      <c r="CS11" s="1544"/>
      <c r="CT11" s="1544"/>
      <c r="CU11" s="1544"/>
      <c r="CV11" s="1544"/>
      <c r="CW11" s="1544"/>
      <c r="CX11" s="1544"/>
      <c r="CY11" s="785"/>
      <c r="CZ11" s="1544"/>
      <c r="DA11" s="1544"/>
      <c r="DB11" s="1544"/>
      <c r="DC11" s="1544"/>
      <c r="DD11" s="1544"/>
      <c r="DE11" s="1544"/>
      <c r="DF11" s="1544"/>
      <c r="DG11" s="1544"/>
      <c r="DH11" s="1544"/>
      <c r="DI11" s="1544"/>
      <c r="DJ11" s="1544"/>
      <c r="DK11" s="1544"/>
      <c r="DL11" s="1544"/>
      <c r="DM11" s="1544"/>
      <c r="DN11" s="1544"/>
      <c r="DO11" s="751"/>
      <c r="DP11" s="1544"/>
      <c r="DQ11" s="1544"/>
      <c r="DR11" s="1544"/>
      <c r="DS11" s="1544"/>
      <c r="DT11" s="1544"/>
      <c r="DU11" s="1544"/>
      <c r="DV11" s="1546"/>
      <c r="IR11" s="739"/>
      <c r="IS11" s="739"/>
      <c r="IT11" s="739"/>
      <c r="IU11" s="739"/>
      <c r="IV11" s="739"/>
    </row>
    <row r="12" spans="1:256" s="738" customFormat="1" ht="13.8">
      <c r="A12" s="1542" t="s">
        <v>4887</v>
      </c>
      <c r="B12" s="1545"/>
      <c r="C12" s="1545"/>
      <c r="D12" s="1545"/>
      <c r="E12" s="1545"/>
      <c r="F12" s="1545"/>
      <c r="G12" s="1545"/>
      <c r="H12" s="1545"/>
      <c r="I12" s="1545"/>
      <c r="J12" s="1543"/>
      <c r="K12" s="1543"/>
      <c r="L12" s="1545"/>
      <c r="M12" s="1545"/>
      <c r="N12" s="1545"/>
      <c r="O12" s="1543"/>
      <c r="P12" s="1543"/>
      <c r="Q12" s="1543"/>
      <c r="R12" s="1544"/>
      <c r="S12" s="1544"/>
      <c r="T12" s="1544"/>
      <c r="U12" s="1544"/>
      <c r="V12" s="1544"/>
      <c r="W12" s="1544"/>
      <c r="X12" s="1544"/>
      <c r="Y12" s="1544"/>
      <c r="Z12" s="1544"/>
      <c r="AA12" s="1544"/>
      <c r="AB12" s="1544"/>
      <c r="AC12" s="1544"/>
      <c r="AD12" s="1544"/>
      <c r="AE12" s="1544"/>
      <c r="AF12" s="1544"/>
      <c r="AG12" s="1544"/>
      <c r="AH12" s="1544"/>
      <c r="AI12" s="1544"/>
      <c r="AJ12" s="1544"/>
      <c r="AK12" s="1544"/>
      <c r="AL12" s="1544"/>
      <c r="AM12" s="1544"/>
      <c r="AN12" s="1544"/>
      <c r="AO12" s="1544"/>
      <c r="AP12" s="1544"/>
      <c r="AQ12" s="1544"/>
      <c r="AR12" s="1544"/>
      <c r="AS12" s="1544"/>
      <c r="AT12" s="1544"/>
      <c r="AU12" s="1544"/>
      <c r="AV12" s="1544"/>
      <c r="AW12" s="1544"/>
      <c r="AX12" s="1544"/>
      <c r="AY12" s="1544"/>
      <c r="AZ12" s="1544"/>
      <c r="BA12" s="1544"/>
      <c r="BB12" s="1544"/>
      <c r="BC12" s="1544"/>
      <c r="BD12" s="1544"/>
      <c r="BE12" s="1544"/>
      <c r="BF12" s="1544"/>
      <c r="BG12" s="1544"/>
      <c r="BH12" s="1544"/>
      <c r="BI12" s="1544"/>
      <c r="BJ12" s="1544"/>
      <c r="BK12" s="1544"/>
      <c r="BL12" s="1544"/>
      <c r="BM12" s="1544"/>
      <c r="BN12" s="1544"/>
      <c r="BO12" s="1544"/>
      <c r="BP12" s="1544"/>
      <c r="BQ12" s="1544"/>
      <c r="BR12" s="1544"/>
      <c r="BS12" s="1544"/>
      <c r="BT12" s="1544"/>
      <c r="BU12" s="1544"/>
      <c r="BV12" s="1544"/>
      <c r="BW12" s="1544"/>
      <c r="BX12" s="1544"/>
      <c r="BY12" s="1544"/>
      <c r="BZ12" s="1544"/>
      <c r="CA12" s="1544"/>
      <c r="CB12" s="1544"/>
      <c r="CC12" s="1544"/>
      <c r="CD12" s="1544"/>
      <c r="CE12" s="1544"/>
      <c r="CF12" s="1544"/>
      <c r="CG12" s="1544"/>
      <c r="CH12" s="1544"/>
      <c r="CI12" s="1544"/>
      <c r="CJ12" s="1544"/>
      <c r="CK12" s="1544"/>
      <c r="CL12" s="1544"/>
      <c r="CM12" s="1544"/>
      <c r="CN12" s="1544"/>
      <c r="CO12" s="1544"/>
      <c r="CP12" s="1544"/>
      <c r="CQ12" s="1544"/>
      <c r="CR12" s="1544"/>
      <c r="CS12" s="1544"/>
      <c r="CT12" s="1544"/>
      <c r="CU12" s="1544"/>
      <c r="CV12" s="1544"/>
      <c r="CW12" s="1544"/>
      <c r="CX12" s="1544"/>
      <c r="CY12" s="785"/>
      <c r="CZ12" s="1544"/>
      <c r="DA12" s="1544"/>
      <c r="DB12" s="1544"/>
      <c r="DC12" s="1544"/>
      <c r="DD12" s="1544"/>
      <c r="DE12" s="1544"/>
      <c r="DF12" s="1544"/>
      <c r="DG12" s="1544"/>
      <c r="DH12" s="1544"/>
      <c r="DI12" s="1544"/>
      <c r="DJ12" s="1544"/>
      <c r="DK12" s="1544"/>
      <c r="DL12" s="1544"/>
      <c r="DM12" s="1544"/>
      <c r="DN12" s="1544"/>
      <c r="DO12" s="751"/>
      <c r="DP12" s="1544"/>
      <c r="DQ12" s="1544"/>
      <c r="DR12" s="1544"/>
      <c r="DS12" s="1544"/>
      <c r="DT12" s="1544"/>
      <c r="DU12" s="1544"/>
      <c r="DV12" s="1546"/>
      <c r="IR12" s="739"/>
      <c r="IS12" s="739"/>
      <c r="IT12" s="739"/>
      <c r="IU12" s="739"/>
      <c r="IV12" s="739"/>
    </row>
    <row r="13" spans="1:256" s="738" customFormat="1" ht="13.8">
      <c r="A13" s="1542" t="s">
        <v>4888</v>
      </c>
      <c r="B13" s="1547"/>
      <c r="C13" s="1545"/>
      <c r="D13" s="1545"/>
      <c r="E13" s="1545"/>
      <c r="F13" s="1545"/>
      <c r="G13" s="1545"/>
      <c r="H13" s="1545"/>
      <c r="I13" s="1545"/>
      <c r="J13" s="1543"/>
      <c r="K13" s="1545"/>
      <c r="L13" s="1545"/>
      <c r="M13" s="1545"/>
      <c r="N13" s="1545"/>
      <c r="O13" s="1543"/>
      <c r="P13" s="1543"/>
      <c r="Q13" s="1543"/>
      <c r="R13" s="1544"/>
      <c r="S13" s="1544"/>
      <c r="T13" s="1544"/>
      <c r="U13" s="1544"/>
      <c r="V13" s="1544"/>
      <c r="W13" s="1544"/>
      <c r="X13" s="1544"/>
      <c r="Y13" s="1544"/>
      <c r="Z13" s="1544"/>
      <c r="AA13" s="1544"/>
      <c r="AB13" s="1544"/>
      <c r="AC13" s="1544"/>
      <c r="AD13" s="1544"/>
      <c r="AE13" s="1544"/>
      <c r="AF13" s="1544"/>
      <c r="AG13" s="1544"/>
      <c r="AH13" s="1544"/>
      <c r="AI13" s="1544"/>
      <c r="AJ13" s="1544"/>
      <c r="AK13" s="1544"/>
      <c r="AL13" s="1544"/>
      <c r="AM13" s="1544"/>
      <c r="AN13" s="1544"/>
      <c r="AO13" s="1544"/>
      <c r="AP13" s="1544"/>
      <c r="AQ13" s="1544"/>
      <c r="AR13" s="1544"/>
      <c r="AS13" s="1544"/>
      <c r="AT13" s="1544"/>
      <c r="AU13" s="1544"/>
      <c r="AV13" s="1544"/>
      <c r="AW13" s="1544"/>
      <c r="AX13" s="1544"/>
      <c r="AY13" s="1544"/>
      <c r="AZ13" s="1544"/>
      <c r="BA13" s="1544"/>
      <c r="BB13" s="1544"/>
      <c r="BC13" s="1544"/>
      <c r="BD13" s="1544"/>
      <c r="BE13" s="1544"/>
      <c r="BF13" s="1544"/>
      <c r="BG13" s="1544"/>
      <c r="BH13" s="1544"/>
      <c r="BI13" s="1544"/>
      <c r="BJ13" s="1544"/>
      <c r="BK13" s="1544"/>
      <c r="BL13" s="1544"/>
      <c r="BM13" s="1544"/>
      <c r="BN13" s="1544"/>
      <c r="BO13" s="1544"/>
      <c r="BP13" s="1544"/>
      <c r="BQ13" s="1544"/>
      <c r="BR13" s="1544"/>
      <c r="BS13" s="1544"/>
      <c r="BT13" s="1544"/>
      <c r="BU13" s="1544"/>
      <c r="BV13" s="1544"/>
      <c r="BW13" s="1544"/>
      <c r="BX13" s="1544"/>
      <c r="BY13" s="1544"/>
      <c r="BZ13" s="1544"/>
      <c r="CA13" s="1544"/>
      <c r="CB13" s="1544"/>
      <c r="CC13" s="1544"/>
      <c r="CD13" s="1544"/>
      <c r="CE13" s="1544"/>
      <c r="CF13" s="1544"/>
      <c r="CG13" s="1544"/>
      <c r="CH13" s="1544"/>
      <c r="CI13" s="1544"/>
      <c r="CJ13" s="1544"/>
      <c r="CK13" s="1544"/>
      <c r="CL13" s="1544"/>
      <c r="CM13" s="1544"/>
      <c r="CN13" s="1544"/>
      <c r="CO13" s="1544"/>
      <c r="CP13" s="1544"/>
      <c r="CQ13" s="1544"/>
      <c r="CR13" s="1544"/>
      <c r="CS13" s="1544"/>
      <c r="CT13" s="1544"/>
      <c r="CU13" s="1544"/>
      <c r="CV13" s="1544"/>
      <c r="CW13" s="1544"/>
      <c r="CX13" s="1544"/>
      <c r="CY13" s="785"/>
      <c r="CZ13" s="1544"/>
      <c r="DA13" s="1544"/>
      <c r="DB13" s="1544"/>
      <c r="DC13" s="1544"/>
      <c r="DD13" s="1544"/>
      <c r="DE13" s="1544"/>
      <c r="DF13" s="1544"/>
      <c r="DG13" s="1544"/>
      <c r="DH13" s="1544"/>
      <c r="DI13" s="1544"/>
      <c r="DJ13" s="1544"/>
      <c r="DK13" s="1544"/>
      <c r="DL13" s="1544"/>
      <c r="DM13" s="1544"/>
      <c r="DN13" s="1544"/>
      <c r="DO13" s="751"/>
      <c r="DP13" s="1544"/>
      <c r="DQ13" s="1544"/>
      <c r="DR13" s="1544"/>
      <c r="DS13" s="1544"/>
      <c r="DT13" s="1544"/>
      <c r="DU13" s="1544"/>
      <c r="DV13" s="1546"/>
      <c r="IR13" s="739"/>
      <c r="IS13" s="739"/>
      <c r="IT13" s="739"/>
      <c r="IU13" s="739"/>
      <c r="IV13" s="739"/>
    </row>
    <row r="14" spans="1:256" s="738" customFormat="1" ht="13.8">
      <c r="A14" s="1542" t="s">
        <v>4889</v>
      </c>
      <c r="B14" s="1545"/>
      <c r="C14" s="1545"/>
      <c r="D14" s="1545"/>
      <c r="E14" s="1545"/>
      <c r="F14" s="1545"/>
      <c r="G14" s="1545"/>
      <c r="H14" s="1545"/>
      <c r="I14" s="1545"/>
      <c r="J14" s="1543"/>
      <c r="K14" s="1545"/>
      <c r="L14" s="1545"/>
      <c r="M14" s="1545"/>
      <c r="N14" s="1545"/>
      <c r="O14" s="1543"/>
      <c r="P14" s="1543"/>
      <c r="Q14" s="1543"/>
      <c r="R14" s="1544"/>
      <c r="S14" s="1544"/>
      <c r="T14" s="1544"/>
      <c r="U14" s="1544"/>
      <c r="V14" s="1544"/>
      <c r="W14" s="1544"/>
      <c r="X14" s="1544"/>
      <c r="Y14" s="1544"/>
      <c r="Z14" s="1544"/>
      <c r="AA14" s="1544"/>
      <c r="AB14" s="1544"/>
      <c r="AC14" s="1544"/>
      <c r="AD14" s="1544"/>
      <c r="AE14" s="1544"/>
      <c r="AF14" s="1544"/>
      <c r="AG14" s="1544"/>
      <c r="AH14" s="1544"/>
      <c r="AI14" s="1544"/>
      <c r="AJ14" s="1544"/>
      <c r="AK14" s="1544"/>
      <c r="AL14" s="1544"/>
      <c r="AM14" s="1544"/>
      <c r="AN14" s="1544"/>
      <c r="AO14" s="1544"/>
      <c r="AP14" s="1544"/>
      <c r="AQ14" s="1544"/>
      <c r="AR14" s="1544"/>
      <c r="AS14" s="1544"/>
      <c r="AT14" s="1544"/>
      <c r="AU14" s="1544"/>
      <c r="AV14" s="1544"/>
      <c r="AW14" s="1544"/>
      <c r="AX14" s="1544"/>
      <c r="AY14" s="1544"/>
      <c r="AZ14" s="1544"/>
      <c r="BA14" s="1544"/>
      <c r="BB14" s="1544"/>
      <c r="BC14" s="1544"/>
      <c r="BD14" s="1544"/>
      <c r="BE14" s="1544"/>
      <c r="BF14" s="1544"/>
      <c r="BG14" s="1544"/>
      <c r="BH14" s="1544"/>
      <c r="BI14" s="1544"/>
      <c r="BJ14" s="1544"/>
      <c r="BK14" s="1544"/>
      <c r="BL14" s="1544"/>
      <c r="BM14" s="1544"/>
      <c r="BN14" s="1544"/>
      <c r="BO14" s="1544"/>
      <c r="BP14" s="1544"/>
      <c r="BQ14" s="1544"/>
      <c r="BR14" s="1544"/>
      <c r="BS14" s="1544"/>
      <c r="BT14" s="1544"/>
      <c r="BU14" s="1544"/>
      <c r="BV14" s="1544"/>
      <c r="BW14" s="1544"/>
      <c r="BX14" s="1544"/>
      <c r="BY14" s="1544"/>
      <c r="BZ14" s="1544"/>
      <c r="CA14" s="1544"/>
      <c r="CB14" s="1544"/>
      <c r="CC14" s="1544"/>
      <c r="CD14" s="1544"/>
      <c r="CE14" s="1544"/>
      <c r="CF14" s="1544"/>
      <c r="CG14" s="1544"/>
      <c r="CH14" s="1544"/>
      <c r="CI14" s="1544"/>
      <c r="CJ14" s="1544"/>
      <c r="CK14" s="1544"/>
      <c r="CL14" s="1544"/>
      <c r="CM14" s="1544"/>
      <c r="CN14" s="1544"/>
      <c r="CO14" s="1544"/>
      <c r="CP14" s="1544"/>
      <c r="CQ14" s="1544"/>
      <c r="CR14" s="1544"/>
      <c r="CS14" s="1544"/>
      <c r="CT14" s="1544"/>
      <c r="CU14" s="1544"/>
      <c r="CV14" s="1544"/>
      <c r="CW14" s="1544"/>
      <c r="CX14" s="1544"/>
      <c r="CY14" s="785"/>
      <c r="CZ14" s="1544"/>
      <c r="DA14" s="1544"/>
      <c r="DB14" s="1544"/>
      <c r="DC14" s="1544"/>
      <c r="DD14" s="1544"/>
      <c r="DE14" s="1544"/>
      <c r="DF14" s="1544"/>
      <c r="DG14" s="1544"/>
      <c r="DH14" s="1544"/>
      <c r="DI14" s="1544"/>
      <c r="DJ14" s="1544"/>
      <c r="DK14" s="1544"/>
      <c r="DL14" s="1544"/>
      <c r="DM14" s="1544"/>
      <c r="DN14" s="1544"/>
      <c r="DO14" s="751"/>
      <c r="DP14" s="1544"/>
      <c r="DQ14" s="1544"/>
      <c r="DR14" s="1544"/>
      <c r="DS14" s="1544"/>
      <c r="DT14" s="1544"/>
      <c r="DU14" s="1544"/>
      <c r="DV14" s="1546"/>
      <c r="IR14" s="739"/>
      <c r="IS14" s="739"/>
      <c r="IT14" s="739"/>
      <c r="IU14" s="739"/>
      <c r="IV14" s="739"/>
    </row>
    <row r="15" spans="1:256" s="738" customFormat="1" ht="13.8">
      <c r="A15" s="1542" t="s">
        <v>4890</v>
      </c>
      <c r="B15" s="1547"/>
      <c r="C15" s="1545"/>
      <c r="D15" s="1545"/>
      <c r="E15" s="1545"/>
      <c r="F15" s="1545"/>
      <c r="G15" s="1545"/>
      <c r="H15" s="1545"/>
      <c r="I15" s="1545"/>
      <c r="J15" s="1543"/>
      <c r="K15" s="1545"/>
      <c r="L15" s="1545"/>
      <c r="M15" s="1545"/>
      <c r="N15" s="1545"/>
      <c r="O15" s="1543"/>
      <c r="P15" s="1543"/>
      <c r="Q15" s="1543"/>
      <c r="R15" s="1544"/>
      <c r="S15" s="1544"/>
      <c r="T15" s="1544"/>
      <c r="U15" s="1544"/>
      <c r="V15" s="1544"/>
      <c r="W15" s="1544"/>
      <c r="X15" s="1544"/>
      <c r="Y15" s="1544"/>
      <c r="Z15" s="1544"/>
      <c r="AA15" s="1544"/>
      <c r="AB15" s="1544"/>
      <c r="AC15" s="1544"/>
      <c r="AD15" s="1544"/>
      <c r="AE15" s="1544"/>
      <c r="AF15" s="1544"/>
      <c r="AG15" s="1544"/>
      <c r="AH15" s="1544"/>
      <c r="AI15" s="1544"/>
      <c r="AJ15" s="1544"/>
      <c r="AK15" s="1544"/>
      <c r="AL15" s="1544"/>
      <c r="AM15" s="1544"/>
      <c r="AN15" s="1544"/>
      <c r="AO15" s="1544"/>
      <c r="AP15" s="1544"/>
      <c r="AQ15" s="1544"/>
      <c r="AR15" s="1544"/>
      <c r="AS15" s="1544"/>
      <c r="AT15" s="1544"/>
      <c r="AU15" s="1544"/>
      <c r="AV15" s="1544"/>
      <c r="AW15" s="1544"/>
      <c r="AX15" s="1544"/>
      <c r="AY15" s="1544"/>
      <c r="AZ15" s="1544"/>
      <c r="BA15" s="1544"/>
      <c r="BB15" s="1544"/>
      <c r="BC15" s="1544"/>
      <c r="BD15" s="1544"/>
      <c r="BE15" s="1544"/>
      <c r="BF15" s="1544"/>
      <c r="BG15" s="1544"/>
      <c r="BH15" s="1544"/>
      <c r="BI15" s="1544"/>
      <c r="BJ15" s="1544"/>
      <c r="BK15" s="1544"/>
      <c r="BL15" s="1544"/>
      <c r="BM15" s="1544"/>
      <c r="BN15" s="1544"/>
      <c r="BO15" s="1544"/>
      <c r="BP15" s="1544"/>
      <c r="BQ15" s="1544"/>
      <c r="BR15" s="1544"/>
      <c r="BS15" s="1544"/>
      <c r="BT15" s="1544"/>
      <c r="BU15" s="1544"/>
      <c r="BV15" s="1544"/>
      <c r="BW15" s="1544"/>
      <c r="BX15" s="1544"/>
      <c r="BY15" s="1544"/>
      <c r="BZ15" s="1544"/>
      <c r="CA15" s="1544"/>
      <c r="CB15" s="1544"/>
      <c r="CC15" s="1544"/>
      <c r="CD15" s="1544"/>
      <c r="CE15" s="1544"/>
      <c r="CF15" s="1544"/>
      <c r="CG15" s="1544"/>
      <c r="CH15" s="1544"/>
      <c r="CI15" s="1544"/>
      <c r="CJ15" s="1544"/>
      <c r="CK15" s="1544"/>
      <c r="CL15" s="1544"/>
      <c r="CM15" s="1544"/>
      <c r="CN15" s="1544"/>
      <c r="CO15" s="1544"/>
      <c r="CP15" s="1544"/>
      <c r="CQ15" s="1544"/>
      <c r="CR15" s="1544"/>
      <c r="CS15" s="1544"/>
      <c r="CT15" s="1544"/>
      <c r="CU15" s="1544"/>
      <c r="CV15" s="1544"/>
      <c r="CW15" s="1544"/>
      <c r="CX15" s="1544"/>
      <c r="CY15" s="785"/>
      <c r="CZ15" s="1544"/>
      <c r="DA15" s="1544"/>
      <c r="DB15" s="1544"/>
      <c r="DC15" s="1544"/>
      <c r="DD15" s="1544"/>
      <c r="DE15" s="1544"/>
      <c r="DF15" s="1544"/>
      <c r="DG15" s="1544"/>
      <c r="DH15" s="1544"/>
      <c r="DI15" s="1544"/>
      <c r="DJ15" s="1544"/>
      <c r="DK15" s="1544"/>
      <c r="DL15" s="1544"/>
      <c r="DM15" s="1544"/>
      <c r="DN15" s="1544"/>
      <c r="DO15" s="751"/>
      <c r="DP15" s="1544"/>
      <c r="DQ15" s="1544"/>
      <c r="DR15" s="1544"/>
      <c r="DS15" s="1544"/>
      <c r="DT15" s="1544"/>
      <c r="DU15" s="1544"/>
      <c r="DV15" s="1546"/>
      <c r="IR15" s="739"/>
      <c r="IS15" s="739"/>
      <c r="IT15" s="739"/>
      <c r="IU15" s="739"/>
      <c r="IV15" s="739"/>
    </row>
    <row r="16" spans="1:256" s="738" customFormat="1" ht="13.8">
      <c r="A16" s="1542" t="s">
        <v>4891</v>
      </c>
      <c r="B16" s="1545"/>
      <c r="C16" s="1545"/>
      <c r="D16" s="1545"/>
      <c r="E16" s="1545"/>
      <c r="F16" s="1545"/>
      <c r="G16" s="1545"/>
      <c r="H16" s="1545"/>
      <c r="I16" s="1545"/>
      <c r="J16" s="1543"/>
      <c r="K16" s="1545"/>
      <c r="L16" s="1545"/>
      <c r="M16" s="1545"/>
      <c r="N16" s="1545"/>
      <c r="O16" s="1543"/>
      <c r="P16" s="1543"/>
      <c r="Q16" s="1543"/>
      <c r="R16" s="1544"/>
      <c r="S16" s="1544"/>
      <c r="T16" s="1544"/>
      <c r="U16" s="1544"/>
      <c r="V16" s="1544"/>
      <c r="W16" s="1544"/>
      <c r="X16" s="1544"/>
      <c r="Y16" s="1544"/>
      <c r="Z16" s="1544"/>
      <c r="AA16" s="1544"/>
      <c r="AB16" s="1544"/>
      <c r="AC16" s="1544"/>
      <c r="AD16" s="1544"/>
      <c r="AE16" s="1544"/>
      <c r="AF16" s="1544"/>
      <c r="AG16" s="1544"/>
      <c r="AH16" s="1544"/>
      <c r="AI16" s="1544"/>
      <c r="AJ16" s="1544"/>
      <c r="AK16" s="1544"/>
      <c r="AL16" s="1544"/>
      <c r="AM16" s="1544"/>
      <c r="AN16" s="1544"/>
      <c r="AO16" s="1544"/>
      <c r="AP16" s="1544"/>
      <c r="AQ16" s="1544"/>
      <c r="AR16" s="1544"/>
      <c r="AS16" s="1544"/>
      <c r="AT16" s="1544"/>
      <c r="AU16" s="1544"/>
      <c r="AV16" s="1544"/>
      <c r="AW16" s="1544"/>
      <c r="AX16" s="1544"/>
      <c r="AY16" s="1544"/>
      <c r="AZ16" s="1544"/>
      <c r="BA16" s="1544"/>
      <c r="BB16" s="1544"/>
      <c r="BC16" s="1544"/>
      <c r="BD16" s="1544"/>
      <c r="BE16" s="1544"/>
      <c r="BF16" s="1544"/>
      <c r="BG16" s="1544"/>
      <c r="BH16" s="1544"/>
      <c r="BI16" s="1544"/>
      <c r="BJ16" s="1544"/>
      <c r="BK16" s="1544"/>
      <c r="BL16" s="1544"/>
      <c r="BM16" s="1544"/>
      <c r="BN16" s="1544"/>
      <c r="BO16" s="1544"/>
      <c r="BP16" s="1544"/>
      <c r="BQ16" s="1544"/>
      <c r="BR16" s="1544"/>
      <c r="BS16" s="1544"/>
      <c r="BT16" s="1544"/>
      <c r="BU16" s="1544"/>
      <c r="BV16" s="1544"/>
      <c r="BW16" s="1544"/>
      <c r="BX16" s="1544"/>
      <c r="BY16" s="1544"/>
      <c r="BZ16" s="1544"/>
      <c r="CA16" s="1544"/>
      <c r="CB16" s="1544"/>
      <c r="CC16" s="1544"/>
      <c r="CD16" s="1544"/>
      <c r="CE16" s="1544"/>
      <c r="CF16" s="1544"/>
      <c r="CG16" s="1544"/>
      <c r="CH16" s="1544"/>
      <c r="CI16" s="1544"/>
      <c r="CJ16" s="1544"/>
      <c r="CK16" s="1544"/>
      <c r="CL16" s="1544"/>
      <c r="CM16" s="1544"/>
      <c r="CN16" s="1544"/>
      <c r="CO16" s="1544"/>
      <c r="CP16" s="1544"/>
      <c r="CQ16" s="1544"/>
      <c r="CR16" s="1544"/>
      <c r="CS16" s="1544"/>
      <c r="CT16" s="1544"/>
      <c r="CU16" s="1544"/>
      <c r="CV16" s="1544"/>
      <c r="CW16" s="1544"/>
      <c r="CX16" s="1544"/>
      <c r="CY16" s="785"/>
      <c r="CZ16" s="1544"/>
      <c r="DA16" s="1544"/>
      <c r="DB16" s="1544"/>
      <c r="DC16" s="1544"/>
      <c r="DD16" s="1544"/>
      <c r="DE16" s="1544"/>
      <c r="DF16" s="1544"/>
      <c r="DG16" s="1544"/>
      <c r="DH16" s="1544"/>
      <c r="DI16" s="1544"/>
      <c r="DJ16" s="1544"/>
      <c r="DK16" s="1544"/>
      <c r="DL16" s="1544"/>
      <c r="DM16" s="1544"/>
      <c r="DN16" s="1544"/>
      <c r="DO16" s="751"/>
      <c r="DP16" s="1544"/>
      <c r="DQ16" s="1544"/>
      <c r="DR16" s="1544"/>
      <c r="DS16" s="1544"/>
      <c r="DT16" s="1544"/>
      <c r="DU16" s="1544"/>
      <c r="DV16" s="1546"/>
      <c r="IR16" s="739"/>
      <c r="IS16" s="739"/>
      <c r="IT16" s="739"/>
      <c r="IU16" s="739"/>
      <c r="IV16" s="739"/>
    </row>
    <row r="17" spans="1:256" s="738" customFormat="1" ht="13.8">
      <c r="A17" s="1542" t="s">
        <v>4892</v>
      </c>
      <c r="B17" s="1547"/>
      <c r="C17" s="1545"/>
      <c r="D17" s="1545"/>
      <c r="E17" s="1545"/>
      <c r="F17" s="1545"/>
      <c r="G17" s="1545"/>
      <c r="H17" s="1545"/>
      <c r="I17" s="1545"/>
      <c r="J17" s="1543"/>
      <c r="K17" s="1545"/>
      <c r="L17" s="1545"/>
      <c r="M17" s="1545"/>
      <c r="N17" s="1545"/>
      <c r="O17" s="1543"/>
      <c r="P17" s="1543"/>
      <c r="Q17" s="1543"/>
      <c r="R17" s="1544"/>
      <c r="S17" s="1544"/>
      <c r="T17" s="1544"/>
      <c r="U17" s="1544"/>
      <c r="V17" s="1544"/>
      <c r="W17" s="1544"/>
      <c r="X17" s="1544"/>
      <c r="Y17" s="1544"/>
      <c r="Z17" s="1544"/>
      <c r="AA17" s="1544"/>
      <c r="AB17" s="1544"/>
      <c r="AC17" s="1544"/>
      <c r="AD17" s="1544"/>
      <c r="AE17" s="1544"/>
      <c r="AF17" s="1544"/>
      <c r="AG17" s="1544"/>
      <c r="AH17" s="1544"/>
      <c r="AI17" s="1544"/>
      <c r="AJ17" s="1544"/>
      <c r="AK17" s="1544"/>
      <c r="AL17" s="1544"/>
      <c r="AM17" s="1544"/>
      <c r="AN17" s="1544"/>
      <c r="AO17" s="1544"/>
      <c r="AP17" s="1544"/>
      <c r="AQ17" s="1544"/>
      <c r="AR17" s="1544"/>
      <c r="AS17" s="1544"/>
      <c r="AT17" s="1544"/>
      <c r="AU17" s="1544"/>
      <c r="AV17" s="1544"/>
      <c r="AW17" s="1544"/>
      <c r="AX17" s="1544"/>
      <c r="AY17" s="1544"/>
      <c r="AZ17" s="1544"/>
      <c r="BA17" s="1544"/>
      <c r="BB17" s="1544"/>
      <c r="BC17" s="1544"/>
      <c r="BD17" s="1544"/>
      <c r="BE17" s="1544"/>
      <c r="BF17" s="1544"/>
      <c r="BG17" s="1544"/>
      <c r="BH17" s="1544"/>
      <c r="BI17" s="1544"/>
      <c r="BJ17" s="1544"/>
      <c r="BK17" s="1544"/>
      <c r="BL17" s="1544"/>
      <c r="BM17" s="1544"/>
      <c r="BN17" s="1544"/>
      <c r="BO17" s="1544"/>
      <c r="BP17" s="1544"/>
      <c r="BQ17" s="1544"/>
      <c r="BR17" s="1544"/>
      <c r="BS17" s="1544"/>
      <c r="BT17" s="1544"/>
      <c r="BU17" s="1544"/>
      <c r="BV17" s="1544"/>
      <c r="BW17" s="1544"/>
      <c r="BX17" s="1544"/>
      <c r="BY17" s="1544"/>
      <c r="BZ17" s="1544"/>
      <c r="CA17" s="1544"/>
      <c r="CB17" s="1544"/>
      <c r="CC17" s="1544"/>
      <c r="CD17" s="1544"/>
      <c r="CE17" s="1544"/>
      <c r="CF17" s="1544"/>
      <c r="CG17" s="1544"/>
      <c r="CH17" s="1544"/>
      <c r="CI17" s="1544"/>
      <c r="CJ17" s="1544"/>
      <c r="CK17" s="1544"/>
      <c r="CL17" s="1544"/>
      <c r="CM17" s="1544"/>
      <c r="CN17" s="1544"/>
      <c r="CO17" s="1544"/>
      <c r="CP17" s="1544"/>
      <c r="CQ17" s="1544"/>
      <c r="CR17" s="1544"/>
      <c r="CS17" s="1544"/>
      <c r="CT17" s="1544"/>
      <c r="CU17" s="1544"/>
      <c r="CV17" s="1544"/>
      <c r="CW17" s="1544"/>
      <c r="CX17" s="1544"/>
      <c r="CY17" s="785"/>
      <c r="CZ17" s="1544"/>
      <c r="DA17" s="1544"/>
      <c r="DB17" s="1544"/>
      <c r="DC17" s="1544"/>
      <c r="DD17" s="1544"/>
      <c r="DE17" s="1544"/>
      <c r="DF17" s="1544"/>
      <c r="DG17" s="1544"/>
      <c r="DH17" s="1544"/>
      <c r="DI17" s="1544"/>
      <c r="DJ17" s="1544"/>
      <c r="DK17" s="1544"/>
      <c r="DL17" s="1544"/>
      <c r="DM17" s="1544"/>
      <c r="DN17" s="1544"/>
      <c r="DO17" s="751"/>
      <c r="DP17" s="1544"/>
      <c r="DQ17" s="1544"/>
      <c r="DR17" s="1544"/>
      <c r="DS17" s="1544"/>
      <c r="DT17" s="1544"/>
      <c r="DU17" s="1544"/>
      <c r="DV17" s="1546"/>
      <c r="IR17" s="739"/>
      <c r="IS17" s="739"/>
      <c r="IT17" s="739"/>
      <c r="IU17" s="739"/>
      <c r="IV17" s="739"/>
    </row>
    <row r="18" spans="1:256" s="738" customFormat="1" ht="13.8">
      <c r="A18" s="1542" t="s">
        <v>4893</v>
      </c>
      <c r="B18" s="1545"/>
      <c r="C18" s="1545"/>
      <c r="D18" s="1545"/>
      <c r="E18" s="1545"/>
      <c r="F18" s="1545"/>
      <c r="G18" s="1545"/>
      <c r="H18" s="1545"/>
      <c r="I18" s="1545"/>
      <c r="J18" s="1543"/>
      <c r="K18" s="1545"/>
      <c r="L18" s="1545"/>
      <c r="M18" s="1545"/>
      <c r="N18" s="1545"/>
      <c r="O18" s="1543"/>
      <c r="P18" s="1543"/>
      <c r="Q18" s="1543"/>
      <c r="R18" s="1544"/>
      <c r="S18" s="1544"/>
      <c r="T18" s="1544"/>
      <c r="U18" s="1544"/>
      <c r="V18" s="1544"/>
      <c r="W18" s="1544"/>
      <c r="X18" s="1544"/>
      <c r="Y18" s="1544"/>
      <c r="Z18" s="1544"/>
      <c r="AA18" s="1544"/>
      <c r="AB18" s="1544"/>
      <c r="AC18" s="1544"/>
      <c r="AD18" s="1544"/>
      <c r="AE18" s="1544"/>
      <c r="AF18" s="1544"/>
      <c r="AG18" s="1544"/>
      <c r="AH18" s="1544"/>
      <c r="AI18" s="1544"/>
      <c r="AJ18" s="1544"/>
      <c r="AK18" s="1544"/>
      <c r="AL18" s="1544"/>
      <c r="AM18" s="1544"/>
      <c r="AN18" s="1544"/>
      <c r="AO18" s="1544"/>
      <c r="AP18" s="1544"/>
      <c r="AQ18" s="1544"/>
      <c r="AR18" s="1544"/>
      <c r="AS18" s="1544"/>
      <c r="AT18" s="1544"/>
      <c r="AU18" s="1544"/>
      <c r="AV18" s="1544"/>
      <c r="AW18" s="1544"/>
      <c r="AX18" s="1544"/>
      <c r="AY18" s="1544"/>
      <c r="AZ18" s="1544"/>
      <c r="BA18" s="1544"/>
      <c r="BB18" s="1544"/>
      <c r="BC18" s="1544"/>
      <c r="BD18" s="1544"/>
      <c r="BE18" s="1544"/>
      <c r="BF18" s="1544"/>
      <c r="BG18" s="1544"/>
      <c r="BH18" s="1544"/>
      <c r="BI18" s="1544"/>
      <c r="BJ18" s="1544"/>
      <c r="BK18" s="1544"/>
      <c r="BL18" s="1544"/>
      <c r="BM18" s="1544"/>
      <c r="BN18" s="1544"/>
      <c r="BO18" s="1544"/>
      <c r="BP18" s="1544"/>
      <c r="BQ18" s="1544"/>
      <c r="BR18" s="1544"/>
      <c r="BS18" s="1544"/>
      <c r="BT18" s="1544"/>
      <c r="BU18" s="1544"/>
      <c r="BV18" s="1544"/>
      <c r="BW18" s="1544"/>
      <c r="BX18" s="1544"/>
      <c r="BY18" s="1544"/>
      <c r="BZ18" s="1544"/>
      <c r="CA18" s="1544"/>
      <c r="CB18" s="1544"/>
      <c r="CC18" s="1544"/>
      <c r="CD18" s="1544"/>
      <c r="CE18" s="1544"/>
      <c r="CF18" s="1544"/>
      <c r="CG18" s="1544"/>
      <c r="CH18" s="1544"/>
      <c r="CI18" s="1544"/>
      <c r="CJ18" s="1544"/>
      <c r="CK18" s="1544"/>
      <c r="CL18" s="1544"/>
      <c r="CM18" s="1544"/>
      <c r="CN18" s="1544"/>
      <c r="CO18" s="1544"/>
      <c r="CP18" s="1544"/>
      <c r="CQ18" s="1544"/>
      <c r="CR18" s="1544"/>
      <c r="CS18" s="1544"/>
      <c r="CT18" s="1544"/>
      <c r="CU18" s="1544"/>
      <c r="CV18" s="1544"/>
      <c r="CW18" s="1544"/>
      <c r="CX18" s="1544"/>
      <c r="CY18" s="785"/>
      <c r="CZ18" s="1544"/>
      <c r="DA18" s="1544"/>
      <c r="DB18" s="1544"/>
      <c r="DC18" s="1544"/>
      <c r="DD18" s="1544"/>
      <c r="DE18" s="1544"/>
      <c r="DF18" s="1544"/>
      <c r="DG18" s="1544"/>
      <c r="DH18" s="1544"/>
      <c r="DI18" s="1544"/>
      <c r="DJ18" s="1544"/>
      <c r="DK18" s="1544"/>
      <c r="DL18" s="1544"/>
      <c r="DM18" s="1544"/>
      <c r="DN18" s="1544"/>
      <c r="DO18" s="751"/>
      <c r="DP18" s="1544"/>
      <c r="DQ18" s="1544"/>
      <c r="DR18" s="1544"/>
      <c r="DS18" s="1544"/>
      <c r="DT18" s="1544"/>
      <c r="DU18" s="1544"/>
      <c r="DV18" s="1546"/>
      <c r="IR18" s="739"/>
      <c r="IS18" s="739"/>
      <c r="IT18" s="739"/>
      <c r="IU18" s="739"/>
      <c r="IV18" s="739"/>
    </row>
    <row r="19" spans="1:256" s="738" customFormat="1" ht="13.8">
      <c r="A19" s="1542" t="s">
        <v>4894</v>
      </c>
      <c r="B19" s="1547"/>
      <c r="C19" s="1545"/>
      <c r="D19" s="1545"/>
      <c r="E19" s="1545"/>
      <c r="F19" s="1545"/>
      <c r="G19" s="1545"/>
      <c r="H19" s="1545"/>
      <c r="I19" s="1545"/>
      <c r="J19" s="1543"/>
      <c r="K19" s="1545"/>
      <c r="L19" s="1545"/>
      <c r="M19" s="1545"/>
      <c r="N19" s="1545"/>
      <c r="O19" s="1543"/>
      <c r="P19" s="1543"/>
      <c r="Q19" s="1543"/>
      <c r="R19" s="1544"/>
      <c r="S19" s="1544"/>
      <c r="T19" s="1544"/>
      <c r="U19" s="1544"/>
      <c r="V19" s="1544"/>
      <c r="W19" s="1544"/>
      <c r="X19" s="1544"/>
      <c r="Y19" s="1544"/>
      <c r="Z19" s="1544"/>
      <c r="AA19" s="1544"/>
      <c r="AB19" s="1544"/>
      <c r="AC19" s="1544"/>
      <c r="AD19" s="1544"/>
      <c r="AE19" s="1544"/>
      <c r="AF19" s="1544"/>
      <c r="AG19" s="1544"/>
      <c r="AH19" s="1544"/>
      <c r="AI19" s="1544"/>
      <c r="AJ19" s="1544"/>
      <c r="AK19" s="1544"/>
      <c r="AL19" s="1544"/>
      <c r="AM19" s="1544"/>
      <c r="AN19" s="1544"/>
      <c r="AO19" s="1544"/>
      <c r="AP19" s="1544"/>
      <c r="AQ19" s="1544"/>
      <c r="AR19" s="1544"/>
      <c r="AS19" s="1544"/>
      <c r="AT19" s="1544"/>
      <c r="AU19" s="1544"/>
      <c r="AV19" s="1544"/>
      <c r="AW19" s="1544"/>
      <c r="AX19" s="1544"/>
      <c r="AY19" s="1544"/>
      <c r="AZ19" s="1544"/>
      <c r="BA19" s="1544"/>
      <c r="BB19" s="1544"/>
      <c r="BC19" s="1544"/>
      <c r="BD19" s="1544"/>
      <c r="BE19" s="1544"/>
      <c r="BF19" s="1544"/>
      <c r="BG19" s="1544"/>
      <c r="BH19" s="1544"/>
      <c r="BI19" s="1544"/>
      <c r="BJ19" s="1544"/>
      <c r="BK19" s="1544"/>
      <c r="BL19" s="1544"/>
      <c r="BM19" s="1544"/>
      <c r="BN19" s="1544"/>
      <c r="BO19" s="1544"/>
      <c r="BP19" s="1544"/>
      <c r="BQ19" s="1544"/>
      <c r="BR19" s="1544"/>
      <c r="BS19" s="1544"/>
      <c r="BT19" s="1544"/>
      <c r="BU19" s="1544"/>
      <c r="BV19" s="1544"/>
      <c r="BW19" s="1544"/>
      <c r="BX19" s="1544"/>
      <c r="BY19" s="1544"/>
      <c r="BZ19" s="1544"/>
      <c r="CA19" s="1544"/>
      <c r="CB19" s="1544"/>
      <c r="CC19" s="1544"/>
      <c r="CD19" s="1544"/>
      <c r="CE19" s="1544"/>
      <c r="CF19" s="1544"/>
      <c r="CG19" s="1544"/>
      <c r="CH19" s="1544"/>
      <c r="CI19" s="1544"/>
      <c r="CJ19" s="1544"/>
      <c r="CK19" s="1544"/>
      <c r="CL19" s="1544"/>
      <c r="CM19" s="1544"/>
      <c r="CN19" s="1544"/>
      <c r="CO19" s="1544"/>
      <c r="CP19" s="1544"/>
      <c r="CQ19" s="1544"/>
      <c r="CR19" s="1544"/>
      <c r="CS19" s="1544"/>
      <c r="CT19" s="1544"/>
      <c r="CU19" s="1544"/>
      <c r="CV19" s="1544"/>
      <c r="CW19" s="1544"/>
      <c r="CX19" s="1544"/>
      <c r="CY19" s="1544"/>
      <c r="CZ19" s="1544"/>
      <c r="DA19" s="1544"/>
      <c r="DB19" s="1544"/>
      <c r="DC19" s="1544"/>
      <c r="DD19" s="1544"/>
      <c r="DE19" s="1544"/>
      <c r="DF19" s="1544"/>
      <c r="DG19" s="1544"/>
      <c r="DH19" s="1544"/>
      <c r="DI19" s="1544"/>
      <c r="DJ19" s="1544"/>
      <c r="DK19" s="1544"/>
      <c r="DL19" s="1544"/>
      <c r="DM19" s="1544"/>
      <c r="DN19" s="1544"/>
      <c r="DO19" s="1544"/>
      <c r="DP19" s="1544"/>
      <c r="DQ19" s="1544"/>
      <c r="DR19" s="1544"/>
      <c r="DS19" s="1544"/>
      <c r="DT19" s="1544"/>
      <c r="DU19" s="1544"/>
      <c r="DV19" s="1546"/>
      <c r="IR19" s="739"/>
      <c r="IS19" s="739"/>
      <c r="IT19" s="739"/>
      <c r="IU19" s="739"/>
      <c r="IV19" s="739"/>
    </row>
    <row r="20" spans="1:256" s="738" customFormat="1" ht="13.8">
      <c r="A20" s="1542" t="s">
        <v>4895</v>
      </c>
      <c r="B20" s="1547"/>
      <c r="C20" s="1545"/>
      <c r="D20" s="1545"/>
      <c r="E20" s="1545"/>
      <c r="F20" s="1545"/>
      <c r="G20" s="1545"/>
      <c r="H20" s="1545"/>
      <c r="I20" s="1545"/>
      <c r="J20" s="1543"/>
      <c r="K20" s="1545"/>
      <c r="L20" s="1545"/>
      <c r="M20" s="1545"/>
      <c r="N20" s="1545"/>
      <c r="O20" s="1543"/>
      <c r="P20" s="1543"/>
      <c r="Q20" s="1543"/>
      <c r="R20" s="1544"/>
      <c r="S20" s="1544"/>
      <c r="T20" s="1544"/>
      <c r="U20" s="1544"/>
      <c r="V20" s="1544"/>
      <c r="W20" s="1544"/>
      <c r="X20" s="1544"/>
      <c r="Y20" s="1544"/>
      <c r="Z20" s="1544"/>
      <c r="AA20" s="1544"/>
      <c r="AB20" s="1544"/>
      <c r="AC20" s="1544"/>
      <c r="AD20" s="1544"/>
      <c r="AE20" s="1544"/>
      <c r="AF20" s="1544"/>
      <c r="AG20" s="1544"/>
      <c r="AH20" s="1544"/>
      <c r="AI20" s="1544"/>
      <c r="AJ20" s="1544"/>
      <c r="AK20" s="1544"/>
      <c r="AL20" s="1544"/>
      <c r="AM20" s="1544"/>
      <c r="AN20" s="1544"/>
      <c r="AO20" s="1544"/>
      <c r="AP20" s="1544"/>
      <c r="AQ20" s="1544"/>
      <c r="AR20" s="1544"/>
      <c r="AS20" s="1544"/>
      <c r="AT20" s="1544"/>
      <c r="AU20" s="1544"/>
      <c r="AV20" s="1544"/>
      <c r="AW20" s="1544"/>
      <c r="AX20" s="1544"/>
      <c r="AY20" s="1544"/>
      <c r="AZ20" s="1544"/>
      <c r="BA20" s="1544"/>
      <c r="BB20" s="1544"/>
      <c r="BC20" s="1544"/>
      <c r="BD20" s="1544"/>
      <c r="BE20" s="1544"/>
      <c r="BF20" s="1544"/>
      <c r="BG20" s="1544"/>
      <c r="BH20" s="1544"/>
      <c r="BI20" s="1544"/>
      <c r="BJ20" s="1544"/>
      <c r="BK20" s="1544"/>
      <c r="BL20" s="1544"/>
      <c r="BM20" s="1544"/>
      <c r="BN20" s="1544"/>
      <c r="BO20" s="1544"/>
      <c r="BP20" s="1544"/>
      <c r="BQ20" s="1544"/>
      <c r="BR20" s="1544"/>
      <c r="BS20" s="1544"/>
      <c r="BT20" s="1544"/>
      <c r="BU20" s="1544"/>
      <c r="BV20" s="1544"/>
      <c r="BW20" s="1544"/>
      <c r="BX20" s="1544"/>
      <c r="BY20" s="1544"/>
      <c r="BZ20" s="1544"/>
      <c r="CA20" s="1544"/>
      <c r="CB20" s="1544"/>
      <c r="CC20" s="1544"/>
      <c r="CD20" s="1544"/>
      <c r="CE20" s="1544"/>
      <c r="CF20" s="1544"/>
      <c r="CG20" s="1544"/>
      <c r="CH20" s="1544"/>
      <c r="CI20" s="1544"/>
      <c r="CJ20" s="1544"/>
      <c r="CK20" s="1544"/>
      <c r="CL20" s="1544"/>
      <c r="CM20" s="1544"/>
      <c r="CN20" s="1544"/>
      <c r="CO20" s="1544"/>
      <c r="CP20" s="1544"/>
      <c r="CQ20" s="1544"/>
      <c r="CR20" s="1544"/>
      <c r="CS20" s="1544"/>
      <c r="CT20" s="1544"/>
      <c r="CU20" s="1544"/>
      <c r="CV20" s="1544"/>
      <c r="CW20" s="1544"/>
      <c r="CX20" s="1544"/>
      <c r="CY20" s="1544"/>
      <c r="CZ20" s="1544"/>
      <c r="DA20" s="1544"/>
      <c r="DB20" s="1544"/>
      <c r="DC20" s="1544"/>
      <c r="DD20" s="1544"/>
      <c r="DE20" s="1544"/>
      <c r="DF20" s="1544"/>
      <c r="DG20" s="1544"/>
      <c r="DH20" s="1544"/>
      <c r="DI20" s="1544"/>
      <c r="DJ20" s="1544"/>
      <c r="DK20" s="1544"/>
      <c r="DL20" s="1544"/>
      <c r="DM20" s="1544"/>
      <c r="DN20" s="1544"/>
      <c r="DO20" s="1544"/>
      <c r="DP20" s="1544"/>
      <c r="DQ20" s="1544"/>
      <c r="DR20" s="1544"/>
      <c r="DS20" s="1544"/>
      <c r="DT20" s="1544"/>
      <c r="DU20" s="1544"/>
      <c r="DV20" s="1546"/>
      <c r="IR20" s="739"/>
      <c r="IS20" s="739"/>
      <c r="IT20" s="739"/>
      <c r="IU20" s="739"/>
      <c r="IV20" s="739"/>
    </row>
    <row r="21" spans="1:256" s="740" customFormat="1" ht="13.8">
      <c r="A21" s="1542" t="s">
        <v>4896</v>
      </c>
      <c r="B21" s="1545"/>
      <c r="C21" s="1545"/>
      <c r="D21" s="1545"/>
      <c r="E21" s="1545"/>
      <c r="F21" s="1545"/>
      <c r="G21" s="1545"/>
      <c r="H21" s="1545"/>
      <c r="I21" s="1545"/>
      <c r="J21" s="1543"/>
      <c r="K21" s="1545"/>
      <c r="L21" s="1545"/>
      <c r="M21" s="1548"/>
      <c r="N21" s="1548"/>
      <c r="O21" s="1548"/>
      <c r="P21" s="1548"/>
      <c r="Q21" s="1543"/>
      <c r="R21" s="1544"/>
      <c r="S21" s="1544"/>
      <c r="T21" s="1544"/>
      <c r="U21" s="1544"/>
      <c r="V21" s="1544"/>
      <c r="W21" s="1544"/>
      <c r="X21" s="1544"/>
      <c r="Y21" s="1544"/>
      <c r="Z21" s="1544"/>
      <c r="AA21" s="1544"/>
      <c r="AB21" s="1544"/>
      <c r="AC21" s="1544"/>
      <c r="AD21" s="1544"/>
      <c r="AE21" s="1544"/>
      <c r="AF21" s="1544"/>
      <c r="AG21" s="1544"/>
      <c r="AH21" s="1544"/>
      <c r="AI21" s="1544"/>
      <c r="AJ21" s="1544"/>
      <c r="AK21" s="1544"/>
      <c r="AL21" s="1544"/>
      <c r="AM21" s="1544"/>
      <c r="AN21" s="1544"/>
      <c r="AO21" s="1544"/>
      <c r="AP21" s="1544"/>
      <c r="AQ21" s="1544"/>
      <c r="AR21" s="1544"/>
      <c r="AS21" s="1544"/>
      <c r="AT21" s="1544"/>
      <c r="AU21" s="1544"/>
      <c r="AV21" s="1544"/>
      <c r="AW21" s="1544"/>
      <c r="AX21" s="1544"/>
      <c r="AY21" s="1544"/>
      <c r="AZ21" s="1544"/>
      <c r="BA21" s="1544"/>
      <c r="BB21" s="1544"/>
      <c r="BC21" s="1544"/>
      <c r="BD21" s="1544"/>
      <c r="BE21" s="1544"/>
      <c r="BF21" s="1544"/>
      <c r="BG21" s="1544"/>
      <c r="BH21" s="1544"/>
      <c r="BI21" s="1544"/>
      <c r="BJ21" s="1544"/>
      <c r="BK21" s="1544"/>
      <c r="BL21" s="1544"/>
      <c r="BM21" s="1544"/>
      <c r="BN21" s="1544"/>
      <c r="BO21" s="1544"/>
      <c r="BP21" s="1544"/>
      <c r="BQ21" s="1544"/>
      <c r="BR21" s="1544"/>
      <c r="BS21" s="1544"/>
      <c r="BT21" s="1544"/>
      <c r="BU21" s="1544"/>
      <c r="BV21" s="1544"/>
      <c r="BW21" s="1544"/>
      <c r="BX21" s="1544"/>
      <c r="BY21" s="1544"/>
      <c r="BZ21" s="1544"/>
      <c r="CA21" s="1544"/>
      <c r="CB21" s="1544"/>
      <c r="CC21" s="1544"/>
      <c r="CD21" s="1544"/>
      <c r="CE21" s="1544"/>
      <c r="CF21" s="1544"/>
      <c r="CG21" s="1544"/>
      <c r="CH21" s="1544"/>
      <c r="CI21" s="1544"/>
      <c r="CJ21" s="1544"/>
      <c r="CK21" s="1544"/>
      <c r="CL21" s="1544"/>
      <c r="CM21" s="1544"/>
      <c r="CN21" s="1544"/>
      <c r="CO21" s="1544"/>
      <c r="CP21" s="1544"/>
      <c r="CQ21" s="1544"/>
      <c r="CR21" s="1544"/>
      <c r="CS21" s="1544"/>
      <c r="CT21" s="1544"/>
      <c r="CU21" s="1544"/>
      <c r="CV21" s="1544"/>
      <c r="CW21" s="1544"/>
      <c r="CX21" s="1544"/>
      <c r="CY21" s="1544"/>
      <c r="CZ21" s="1544"/>
      <c r="DA21" s="1544"/>
      <c r="DB21" s="1544"/>
      <c r="DC21" s="1544"/>
      <c r="DD21" s="1544"/>
      <c r="DE21" s="1544"/>
      <c r="DF21" s="1544"/>
      <c r="DG21" s="1544"/>
      <c r="DH21" s="1544"/>
      <c r="DI21" s="1544"/>
      <c r="DJ21" s="1544"/>
      <c r="DK21" s="1544"/>
      <c r="DL21" s="1544"/>
      <c r="DM21" s="1544"/>
      <c r="DN21" s="1544"/>
      <c r="DO21" s="1544"/>
      <c r="DP21" s="1544"/>
      <c r="DQ21" s="1544"/>
      <c r="DR21" s="1544"/>
      <c r="DS21" s="1544"/>
      <c r="DT21" s="1544"/>
      <c r="DU21" s="1544"/>
      <c r="DV21" s="1546"/>
      <c r="DW21" s="740">
        <f>+DU21*0.4</f>
        <v>0</v>
      </c>
      <c r="DX21" s="740">
        <f>+DW21/0.22</f>
        <v>0</v>
      </c>
    </row>
    <row r="22" spans="1:256" s="532" customFormat="1" ht="13.8">
      <c r="A22" s="1542" t="s">
        <v>4897</v>
      </c>
      <c r="B22" s="1549"/>
      <c r="C22" s="1545"/>
      <c r="D22" s="1548"/>
      <c r="E22" s="1548"/>
      <c r="F22" s="1548"/>
      <c r="G22" s="1548"/>
      <c r="H22" s="1548"/>
      <c r="I22" s="1548"/>
      <c r="J22" s="1548"/>
      <c r="K22" s="1548"/>
      <c r="L22" s="1545"/>
      <c r="M22" s="975"/>
      <c r="N22" s="975"/>
      <c r="O22" s="975"/>
      <c r="P22" s="975"/>
      <c r="Q22" s="1544"/>
      <c r="R22" s="1544"/>
      <c r="S22" s="1544"/>
      <c r="T22" s="1544"/>
      <c r="U22" s="1544"/>
      <c r="V22" s="1544"/>
      <c r="W22" s="1544"/>
      <c r="X22" s="1544"/>
      <c r="Y22" s="1544"/>
      <c r="Z22" s="1544"/>
      <c r="AA22" s="1544"/>
      <c r="AB22" s="1544"/>
      <c r="AC22" s="1544"/>
      <c r="AD22" s="1544"/>
      <c r="AE22" s="1544"/>
      <c r="AF22" s="1544"/>
      <c r="AG22" s="1544"/>
      <c r="AH22" s="1544"/>
      <c r="AI22" s="1544"/>
      <c r="AJ22" s="1544"/>
      <c r="AK22" s="1544"/>
      <c r="AL22" s="1544"/>
      <c r="AM22" s="1544"/>
      <c r="AN22" s="1544"/>
      <c r="AO22" s="1544"/>
      <c r="AP22" s="1544"/>
      <c r="AQ22" s="1544"/>
      <c r="AR22" s="1544"/>
      <c r="AS22" s="1544"/>
      <c r="AT22" s="1544"/>
      <c r="AU22" s="1544"/>
      <c r="AV22" s="1544"/>
      <c r="AW22" s="1544"/>
      <c r="AX22" s="1544"/>
      <c r="AY22" s="1544"/>
      <c r="AZ22" s="1544"/>
      <c r="BA22" s="1544"/>
      <c r="BB22" s="1544"/>
      <c r="BC22" s="1544"/>
      <c r="BD22" s="1544"/>
      <c r="BE22" s="1544"/>
      <c r="BF22" s="1544"/>
      <c r="BG22" s="1544"/>
      <c r="BH22" s="1544"/>
      <c r="BI22" s="1544"/>
      <c r="BJ22" s="1544"/>
      <c r="BK22" s="1544"/>
      <c r="BL22" s="1544"/>
      <c r="BM22" s="1544"/>
      <c r="BN22" s="1544"/>
      <c r="BO22" s="1544"/>
      <c r="BP22" s="1544"/>
      <c r="BQ22" s="1544"/>
      <c r="BR22" s="1544"/>
      <c r="BS22" s="1544"/>
      <c r="BT22" s="1544"/>
      <c r="BU22" s="1544"/>
      <c r="BV22" s="1544"/>
      <c r="BW22" s="1544"/>
      <c r="BX22" s="1544"/>
      <c r="BY22" s="1544"/>
      <c r="BZ22" s="1544"/>
      <c r="CA22" s="1544"/>
      <c r="CB22" s="1544"/>
      <c r="CC22" s="1544"/>
      <c r="CD22" s="1544"/>
      <c r="CE22" s="1544"/>
      <c r="CF22" s="1544"/>
      <c r="CG22" s="1544"/>
      <c r="CH22" s="1544"/>
      <c r="CI22" s="1544"/>
      <c r="CJ22" s="1544"/>
      <c r="CK22" s="1544"/>
      <c r="CL22" s="1544"/>
      <c r="CM22" s="1544"/>
      <c r="CN22" s="1544"/>
      <c r="CO22" s="1544"/>
      <c r="CP22" s="1544"/>
      <c r="CQ22" s="1544"/>
      <c r="CR22" s="1544"/>
      <c r="CS22" s="1544"/>
      <c r="CT22" s="1544"/>
      <c r="CU22" s="1544"/>
      <c r="CV22" s="1544"/>
      <c r="CW22" s="1544"/>
      <c r="CX22" s="1544"/>
      <c r="CY22" s="1544"/>
      <c r="CZ22" s="1544"/>
      <c r="DA22" s="1544"/>
      <c r="DB22" s="1544"/>
      <c r="DC22" s="1544"/>
      <c r="DD22" s="1544"/>
      <c r="DE22" s="1544"/>
      <c r="DF22" s="1544"/>
      <c r="DG22" s="1544"/>
      <c r="DH22" s="1544"/>
      <c r="DI22" s="1544"/>
      <c r="DJ22" s="1544"/>
      <c r="DK22" s="1544"/>
      <c r="DL22" s="1544"/>
      <c r="DM22" s="1544"/>
      <c r="DN22" s="1544"/>
      <c r="DO22" s="1544"/>
      <c r="DP22" s="1544"/>
      <c r="DQ22" s="1544"/>
      <c r="DR22" s="1544"/>
      <c r="DS22" s="1544"/>
      <c r="DT22" s="1544"/>
      <c r="DU22" s="1544"/>
      <c r="DV22" s="1546"/>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3.8">
      <c r="A23" s="1542" t="s">
        <v>4898</v>
      </c>
      <c r="B23" s="975"/>
      <c r="C23" s="1545"/>
      <c r="D23" s="1545"/>
      <c r="E23" s="1545"/>
      <c r="F23" s="1545"/>
      <c r="G23" s="1545"/>
      <c r="H23" s="975"/>
      <c r="I23" s="975"/>
      <c r="J23" s="975"/>
      <c r="K23" s="975"/>
      <c r="L23" s="1545"/>
      <c r="M23" s="975"/>
      <c r="N23" s="975"/>
      <c r="O23" s="975"/>
      <c r="P23" s="975"/>
      <c r="Q23" s="1544"/>
      <c r="R23" s="1544"/>
      <c r="S23" s="1544"/>
      <c r="T23" s="1544"/>
      <c r="U23" s="1544"/>
      <c r="V23" s="1544"/>
      <c r="W23" s="1544"/>
      <c r="X23" s="1544"/>
      <c r="Y23" s="1544"/>
      <c r="Z23" s="1544"/>
      <c r="AA23" s="1544"/>
      <c r="AB23" s="1544"/>
      <c r="AC23" s="1544"/>
      <c r="AD23" s="1544"/>
      <c r="AE23" s="1544"/>
      <c r="AF23" s="1544"/>
      <c r="AG23" s="1544"/>
      <c r="AH23" s="1544"/>
      <c r="AI23" s="1544"/>
      <c r="AJ23" s="1544"/>
      <c r="AK23" s="1544"/>
      <c r="AL23" s="1544"/>
      <c r="AM23" s="1544"/>
      <c r="AN23" s="1544"/>
      <c r="AO23" s="1544"/>
      <c r="AP23" s="1544"/>
      <c r="AQ23" s="1544"/>
      <c r="AR23" s="1544"/>
      <c r="AS23" s="1544"/>
      <c r="AT23" s="1544"/>
      <c r="AU23" s="1544"/>
      <c r="AV23" s="1544"/>
      <c r="AW23" s="1544"/>
      <c r="AX23" s="1544"/>
      <c r="AY23" s="1544"/>
      <c r="AZ23" s="1544"/>
      <c r="BA23" s="1544"/>
      <c r="BB23" s="1544"/>
      <c r="BC23" s="1544"/>
      <c r="BD23" s="1544"/>
      <c r="BE23" s="1544"/>
      <c r="BF23" s="1544"/>
      <c r="BG23" s="1544"/>
      <c r="BH23" s="1544"/>
      <c r="BI23" s="1544"/>
      <c r="BJ23" s="1544"/>
      <c r="BK23" s="1544"/>
      <c r="BL23" s="1544"/>
      <c r="BM23" s="1544"/>
      <c r="BN23" s="1544"/>
      <c r="BO23" s="1544"/>
      <c r="BP23" s="1544"/>
      <c r="BQ23" s="1544"/>
      <c r="BR23" s="1544"/>
      <c r="BS23" s="1544"/>
      <c r="BT23" s="1544"/>
      <c r="BU23" s="1544"/>
      <c r="BV23" s="1544"/>
      <c r="BW23" s="1544"/>
      <c r="BX23" s="1544"/>
      <c r="BY23" s="1544"/>
      <c r="BZ23" s="1544"/>
      <c r="CA23" s="1544"/>
      <c r="CB23" s="1544"/>
      <c r="CC23" s="1544"/>
      <c r="CD23" s="1544"/>
      <c r="CE23" s="1544"/>
      <c r="CF23" s="1544"/>
      <c r="CG23" s="1544"/>
      <c r="CH23" s="1544"/>
      <c r="CI23" s="1544"/>
      <c r="CJ23" s="1544"/>
      <c r="CK23" s="1544"/>
      <c r="CL23" s="1544"/>
      <c r="CM23" s="1544"/>
      <c r="CN23" s="1544"/>
      <c r="CO23" s="1544"/>
      <c r="CP23" s="1544"/>
      <c r="CQ23" s="1544"/>
      <c r="CR23" s="1544"/>
      <c r="CS23" s="1544"/>
      <c r="CT23" s="1544"/>
      <c r="CU23" s="1544"/>
      <c r="CV23" s="1544"/>
      <c r="CW23" s="1544"/>
      <c r="CX23" s="1544"/>
      <c r="CY23" s="1544"/>
      <c r="CZ23" s="1544"/>
      <c r="DA23" s="1544"/>
      <c r="DB23" s="1544"/>
      <c r="DC23" s="1544"/>
      <c r="DD23" s="1544"/>
      <c r="DE23" s="1544"/>
      <c r="DF23" s="1544"/>
      <c r="DG23" s="1544"/>
      <c r="DH23" s="1544"/>
      <c r="DI23" s="1544"/>
      <c r="DJ23" s="1544"/>
      <c r="DK23" s="1544"/>
      <c r="DL23" s="1544"/>
      <c r="DM23" s="1544"/>
      <c r="DN23" s="1544"/>
      <c r="DO23" s="1544"/>
      <c r="DP23" s="1544"/>
      <c r="DQ23" s="1544"/>
      <c r="DR23" s="1544"/>
      <c r="DS23" s="1544"/>
      <c r="DT23" s="1544"/>
      <c r="DU23" s="1544"/>
      <c r="DV23" s="1546"/>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3.8">
      <c r="A24" s="1542" t="s">
        <v>4899</v>
      </c>
      <c r="B24" s="975"/>
      <c r="C24" s="1545"/>
      <c r="D24" s="1545"/>
      <c r="E24" s="1545"/>
      <c r="F24" s="1545"/>
      <c r="G24" s="1545"/>
      <c r="H24" s="975"/>
      <c r="I24" s="975"/>
      <c r="J24" s="975"/>
      <c r="K24" s="975"/>
      <c r="L24" s="1545"/>
      <c r="M24" s="535"/>
      <c r="N24" s="535"/>
      <c r="O24" s="426"/>
      <c r="P24" s="426"/>
      <c r="Q24" s="658"/>
      <c r="R24" s="1544"/>
      <c r="S24" s="655"/>
      <c r="T24" s="655"/>
      <c r="U24" s="655"/>
      <c r="V24" s="655"/>
      <c r="W24" s="1544"/>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4"/>
      <c r="CF24" s="607"/>
      <c r="CG24" s="607"/>
      <c r="CH24" s="607"/>
      <c r="CI24" s="607"/>
      <c r="CJ24" s="607"/>
      <c r="CK24" s="607"/>
      <c r="CL24" s="607"/>
      <c r="CM24" s="607"/>
      <c r="CN24" s="607"/>
      <c r="CO24" s="607"/>
      <c r="CP24" s="607"/>
      <c r="CQ24" s="607"/>
      <c r="CR24" s="607"/>
      <c r="CS24" s="607"/>
      <c r="CT24" s="607"/>
      <c r="CU24" s="751"/>
      <c r="CV24" s="751"/>
      <c r="CW24" s="751"/>
      <c r="CX24" s="1544"/>
      <c r="CY24" s="785"/>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50"/>
    </row>
    <row r="25" spans="1:256" ht="13.8">
      <c r="A25" s="1542" t="s">
        <v>4900</v>
      </c>
      <c r="B25" s="535"/>
      <c r="C25" s="535"/>
      <c r="D25" s="535"/>
      <c r="E25" s="535"/>
      <c r="F25" s="535"/>
      <c r="G25" s="535"/>
      <c r="H25" s="535"/>
      <c r="I25" s="535"/>
      <c r="J25" s="535"/>
      <c r="K25" s="535"/>
      <c r="L25" s="1545"/>
      <c r="M25" s="1545"/>
      <c r="N25" s="1545"/>
      <c r="O25" s="1545"/>
      <c r="P25" s="426"/>
      <c r="Q25" s="658"/>
      <c r="R25" s="1544"/>
      <c r="S25" s="655"/>
      <c r="T25" s="655"/>
      <c r="U25" s="655"/>
      <c r="V25" s="655"/>
      <c r="W25" s="1544"/>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4"/>
      <c r="CC25" s="1544"/>
      <c r="CD25" s="1544"/>
      <c r="CE25" s="1544"/>
      <c r="CF25" s="1544"/>
      <c r="CG25" s="1544"/>
      <c r="CH25" s="1544"/>
      <c r="CI25" s="1544"/>
      <c r="CJ25" s="1544"/>
      <c r="CK25" s="1544"/>
      <c r="CL25" s="1544"/>
      <c r="CM25" s="1544"/>
      <c r="CN25" s="1544"/>
      <c r="CO25" s="1544"/>
      <c r="CP25" s="1544"/>
      <c r="CQ25" s="1544"/>
      <c r="CR25" s="1544"/>
      <c r="CS25" s="1544"/>
      <c r="CT25" s="1544"/>
      <c r="CU25" s="1544"/>
      <c r="CV25" s="1544"/>
      <c r="CW25" s="1544"/>
      <c r="CX25" s="1544"/>
      <c r="CY25" s="785"/>
      <c r="CZ25" s="1544"/>
      <c r="DA25" s="1544"/>
      <c r="DB25" s="1544"/>
      <c r="DC25" s="751"/>
      <c r="DD25" s="1544"/>
      <c r="DE25" s="1544"/>
      <c r="DF25" s="1544"/>
      <c r="DG25" s="1544"/>
      <c r="DH25" s="1544"/>
      <c r="DI25" s="1544"/>
      <c r="DJ25" s="1544"/>
      <c r="DK25" s="1544"/>
      <c r="DL25" s="1544"/>
      <c r="DM25" s="1544"/>
      <c r="DN25" s="1544"/>
      <c r="DO25" s="751"/>
      <c r="DP25" s="1544"/>
      <c r="DQ25" s="1544"/>
      <c r="DR25" s="607"/>
      <c r="DS25" s="607"/>
      <c r="DT25" s="607"/>
      <c r="DU25" s="607"/>
      <c r="DV25" s="1550"/>
    </row>
    <row r="26" spans="1:256" ht="13.8" hidden="1">
      <c r="A26" s="1542"/>
      <c r="B26" s="535"/>
      <c r="C26" s="535"/>
      <c r="D26" s="535"/>
      <c r="E26" s="535"/>
      <c r="F26" s="535"/>
      <c r="G26" s="535"/>
      <c r="H26" s="535"/>
      <c r="I26" s="535"/>
      <c r="J26" s="535"/>
      <c r="K26" s="1545"/>
      <c r="L26" s="1545"/>
      <c r="M26" s="1545"/>
      <c r="N26" s="1545"/>
      <c r="O26" s="1545"/>
      <c r="P26" s="426"/>
      <c r="Q26" s="658"/>
      <c r="R26" s="1544"/>
      <c r="S26" s="655"/>
      <c r="T26" s="655"/>
      <c r="U26" s="655"/>
      <c r="V26" s="655"/>
      <c r="W26" s="1544"/>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4"/>
      <c r="CC26" s="1544"/>
      <c r="CD26" s="1544"/>
      <c r="CE26" s="1544"/>
      <c r="CF26" s="1544"/>
      <c r="CG26" s="1544"/>
      <c r="CH26" s="1544"/>
      <c r="CI26" s="1544"/>
      <c r="CJ26" s="1544"/>
      <c r="CK26" s="1544"/>
      <c r="CL26" s="1544"/>
      <c r="CM26" s="1544"/>
      <c r="CN26" s="1544"/>
      <c r="CO26" s="1544"/>
      <c r="CP26" s="1544"/>
      <c r="CQ26" s="1544"/>
      <c r="CR26" s="1544"/>
      <c r="CS26" s="1544"/>
      <c r="CT26" s="1544"/>
      <c r="CU26" s="1544"/>
      <c r="CV26" s="1544"/>
      <c r="CW26" s="1544"/>
      <c r="CX26" s="1544"/>
      <c r="CY26" s="785"/>
      <c r="CZ26" s="1544"/>
      <c r="DA26" s="1544"/>
      <c r="DB26" s="1544"/>
      <c r="DC26" s="751"/>
      <c r="DD26" s="1544"/>
      <c r="DE26" s="1544"/>
      <c r="DF26" s="1544"/>
      <c r="DG26" s="1544"/>
      <c r="DH26" s="1544"/>
      <c r="DI26" s="1544"/>
      <c r="DJ26" s="1544"/>
      <c r="DK26" s="1544"/>
      <c r="DL26" s="1544"/>
      <c r="DM26" s="1544"/>
      <c r="DN26" s="1544"/>
      <c r="DO26" s="751"/>
      <c r="DP26" s="1544"/>
      <c r="DQ26" s="1544"/>
      <c r="DR26" s="607"/>
      <c r="DS26" s="607"/>
      <c r="DT26" s="607"/>
      <c r="DU26" s="607"/>
      <c r="DV26" s="1550"/>
    </row>
    <row r="27" spans="1:256" ht="13.8" hidden="1">
      <c r="A27" s="1542"/>
      <c r="B27" s="535"/>
      <c r="C27" s="535"/>
      <c r="D27" s="535"/>
      <c r="E27" s="535"/>
      <c r="F27" s="535"/>
      <c r="G27" s="535"/>
      <c r="H27" s="535"/>
      <c r="I27" s="535"/>
      <c r="J27" s="535"/>
      <c r="K27" s="1545"/>
      <c r="L27" s="1545"/>
      <c r="M27" s="535"/>
      <c r="N27" s="535"/>
      <c r="O27" s="426"/>
      <c r="P27" s="1545"/>
      <c r="Q27" s="1545"/>
      <c r="R27" s="1544"/>
      <c r="S27" s="1545"/>
      <c r="T27" s="1545"/>
      <c r="U27" s="655"/>
      <c r="V27" s="655"/>
      <c r="W27" s="1544"/>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4"/>
      <c r="CC27" s="1544"/>
      <c r="CD27" s="1544"/>
      <c r="CE27" s="1544"/>
      <c r="CF27" s="1544"/>
      <c r="CG27" s="1544"/>
      <c r="CH27" s="1544"/>
      <c r="CI27" s="1544"/>
      <c r="CJ27" s="1544"/>
      <c r="CK27" s="1544"/>
      <c r="CL27" s="1544"/>
      <c r="CM27" s="1544"/>
      <c r="CN27" s="1544"/>
      <c r="CO27" s="1544"/>
      <c r="CP27" s="1544"/>
      <c r="CQ27" s="1544"/>
      <c r="CR27" s="1544"/>
      <c r="CS27" s="1544"/>
      <c r="CT27" s="1544"/>
      <c r="CU27" s="1544"/>
      <c r="CV27" s="1544"/>
      <c r="CW27" s="1544"/>
      <c r="CX27" s="1544"/>
      <c r="CY27" s="785"/>
      <c r="CZ27" s="1544"/>
      <c r="DA27" s="1544"/>
      <c r="DB27" s="1544"/>
      <c r="DC27" s="751"/>
      <c r="DD27" s="1544"/>
      <c r="DE27" s="1544"/>
      <c r="DF27" s="1544"/>
      <c r="DG27" s="1544"/>
      <c r="DH27" s="1544"/>
      <c r="DI27" s="1544"/>
      <c r="DJ27" s="1544"/>
      <c r="DK27" s="1544"/>
      <c r="DL27" s="1544"/>
      <c r="DM27" s="1544"/>
      <c r="DN27" s="1544"/>
      <c r="DO27" s="751"/>
      <c r="DP27" s="1544"/>
      <c r="DQ27" s="1544"/>
      <c r="DR27" s="607"/>
      <c r="DS27" s="607"/>
      <c r="DT27" s="607"/>
      <c r="DU27" s="607"/>
      <c r="DV27" s="1550"/>
    </row>
    <row r="28" spans="1:256" ht="13.8" hidden="1">
      <c r="A28" s="1542"/>
      <c r="B28" s="535"/>
      <c r="C28" s="535"/>
      <c r="D28" s="535"/>
      <c r="E28" s="535"/>
      <c r="F28" s="535"/>
      <c r="G28" s="535"/>
      <c r="H28" s="1545"/>
      <c r="I28" s="1545"/>
      <c r="J28" s="1545"/>
      <c r="K28" s="1545"/>
      <c r="L28" s="1545"/>
      <c r="M28" s="535"/>
      <c r="N28" s="535"/>
      <c r="O28" s="426"/>
      <c r="P28" s="1545"/>
      <c r="Q28" s="1545"/>
      <c r="R28" s="1545"/>
      <c r="S28" s="1545"/>
      <c r="T28" s="1545"/>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4"/>
      <c r="CC28" s="1544"/>
      <c r="CD28" s="1544"/>
      <c r="CE28" s="1544"/>
      <c r="CF28" s="1544"/>
      <c r="CG28" s="1544"/>
      <c r="CH28" s="1544"/>
      <c r="CI28" s="1544"/>
      <c r="CJ28" s="1544"/>
      <c r="CK28" s="1544"/>
      <c r="CL28" s="1544"/>
      <c r="CM28" s="1544"/>
      <c r="CN28" s="1544"/>
      <c r="CO28" s="1544"/>
      <c r="CP28" s="1544"/>
      <c r="CQ28" s="1544"/>
      <c r="CR28" s="1544"/>
      <c r="CS28" s="1544"/>
      <c r="CT28" s="1544"/>
      <c r="CU28" s="1544"/>
      <c r="CV28" s="1544"/>
      <c r="CW28" s="1544"/>
      <c r="CX28" s="1544"/>
      <c r="CY28" s="785"/>
      <c r="CZ28" s="1544"/>
      <c r="DA28" s="1544"/>
      <c r="DB28" s="1544"/>
      <c r="DC28" s="751"/>
      <c r="DD28" s="1544"/>
      <c r="DE28" s="1544"/>
      <c r="DF28" s="1544"/>
      <c r="DG28" s="1544"/>
      <c r="DH28" s="1544"/>
      <c r="DI28" s="1544"/>
      <c r="DJ28" s="1544"/>
      <c r="DK28" s="1544"/>
      <c r="DL28" s="1544"/>
      <c r="DM28" s="1544"/>
      <c r="DN28" s="1544"/>
      <c r="DO28" s="751"/>
      <c r="DP28" s="1544"/>
      <c r="DQ28" s="1544"/>
      <c r="DR28" s="607"/>
      <c r="DS28" s="607"/>
      <c r="DT28" s="607"/>
      <c r="DU28" s="607"/>
      <c r="DV28" s="1550"/>
    </row>
    <row r="29" spans="1:256" ht="13.8" hidden="1">
      <c r="A29" s="1542"/>
      <c r="B29" s="535"/>
      <c r="C29" s="535"/>
      <c r="D29" s="535"/>
      <c r="E29" s="535"/>
      <c r="F29" s="535"/>
      <c r="G29" s="535"/>
      <c r="H29" s="1545"/>
      <c r="I29" s="1545"/>
      <c r="J29" s="1545"/>
      <c r="K29" s="1545"/>
      <c r="L29" s="1545"/>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4"/>
      <c r="CC29" s="1544"/>
      <c r="CD29" s="1544"/>
      <c r="CE29" s="1544"/>
      <c r="CF29" s="1544"/>
      <c r="CG29" s="1544"/>
      <c r="CH29" s="1544"/>
      <c r="CI29" s="1544"/>
      <c r="CJ29" s="1544"/>
      <c r="CK29" s="1544"/>
      <c r="CL29" s="1544"/>
      <c r="CM29" s="1544"/>
      <c r="CN29" s="1544"/>
      <c r="CO29" s="1544"/>
      <c r="CP29" s="1544"/>
      <c r="CQ29" s="1544"/>
      <c r="CR29" s="1544"/>
      <c r="CS29" s="1544"/>
      <c r="CT29" s="1544"/>
      <c r="CU29" s="1544"/>
      <c r="CV29" s="1544"/>
      <c r="CW29" s="1544"/>
      <c r="CX29" s="1544"/>
      <c r="CY29" s="785"/>
      <c r="CZ29" s="1544"/>
      <c r="DA29" s="1544"/>
      <c r="DB29" s="1544"/>
      <c r="DC29" s="751"/>
      <c r="DD29" s="1544"/>
      <c r="DE29" s="1544"/>
      <c r="DF29" s="1544"/>
      <c r="DG29" s="1544"/>
      <c r="DH29" s="1544"/>
      <c r="DI29" s="1544"/>
      <c r="DJ29" s="1544"/>
      <c r="DK29" s="1544"/>
      <c r="DL29" s="1544"/>
      <c r="DM29" s="1544"/>
      <c r="DN29" s="1544"/>
      <c r="DO29" s="751"/>
      <c r="DP29" s="1544"/>
      <c r="DQ29" s="1544"/>
      <c r="DR29" s="607"/>
      <c r="DS29" s="607"/>
      <c r="DT29" s="607"/>
      <c r="DU29" s="607"/>
      <c r="DV29" s="1550"/>
    </row>
    <row r="30" spans="1:256" ht="13.8" hidden="1">
      <c r="A30" s="1542"/>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4"/>
      <c r="CC30" s="1544"/>
      <c r="CD30" s="1544"/>
      <c r="CE30" s="1544"/>
      <c r="CF30" s="1544"/>
      <c r="CG30" s="1544"/>
      <c r="CH30" s="1544"/>
      <c r="CI30" s="1544"/>
      <c r="CJ30" s="1544"/>
      <c r="CK30" s="1544"/>
      <c r="CL30" s="1544"/>
      <c r="CM30" s="1544"/>
      <c r="CN30" s="1544"/>
      <c r="CO30" s="1544"/>
      <c r="CP30" s="1544"/>
      <c r="CQ30" s="1544"/>
      <c r="CR30" s="1544"/>
      <c r="CS30" s="1544"/>
      <c r="CT30" s="1544"/>
      <c r="CU30" s="1544"/>
      <c r="CV30" s="1544"/>
      <c r="CW30" s="1544"/>
      <c r="CX30" s="1544"/>
      <c r="CY30" s="785"/>
      <c r="CZ30" s="1544"/>
      <c r="DA30" s="1544"/>
      <c r="DB30" s="1544"/>
      <c r="DC30" s="751"/>
      <c r="DD30" s="1544"/>
      <c r="DE30" s="1544"/>
      <c r="DF30" s="1544"/>
      <c r="DG30" s="1544"/>
      <c r="DH30" s="1544"/>
      <c r="DI30" s="1544"/>
      <c r="DJ30" s="1544"/>
      <c r="DK30" s="1544"/>
      <c r="DL30" s="1544"/>
      <c r="DM30" s="1544"/>
      <c r="DN30" s="1544"/>
      <c r="DO30" s="751"/>
      <c r="DP30" s="1544"/>
      <c r="DQ30" s="1544"/>
      <c r="DR30" s="607"/>
      <c r="DS30" s="607"/>
      <c r="DT30" s="607"/>
      <c r="DU30" s="607"/>
      <c r="DV30" s="1550"/>
    </row>
    <row r="31" spans="1:256" ht="13.8" hidden="1">
      <c r="A31" s="1542"/>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4"/>
      <c r="CC31" s="1544"/>
      <c r="CD31" s="1544"/>
      <c r="CE31" s="1544"/>
      <c r="CF31" s="1544"/>
      <c r="CG31" s="1544"/>
      <c r="CH31" s="1544"/>
      <c r="CI31" s="1544"/>
      <c r="CJ31" s="1544"/>
      <c r="CK31" s="1544"/>
      <c r="CL31" s="1544"/>
      <c r="CM31" s="1544"/>
      <c r="CN31" s="1544"/>
      <c r="CO31" s="1544"/>
      <c r="CP31" s="1544"/>
      <c r="CQ31" s="1544"/>
      <c r="CR31" s="1544"/>
      <c r="CS31" s="1544"/>
      <c r="CT31" s="1544"/>
      <c r="CU31" s="1544"/>
      <c r="CV31" s="1544"/>
      <c r="CW31" s="1544"/>
      <c r="CX31" s="1544"/>
      <c r="CY31" s="785"/>
      <c r="CZ31" s="1544"/>
      <c r="DA31" s="1544"/>
      <c r="DB31" s="1544"/>
      <c r="DC31" s="751"/>
      <c r="DD31" s="1544"/>
      <c r="DE31" s="1544"/>
      <c r="DF31" s="1544"/>
      <c r="DG31" s="1544"/>
      <c r="DH31" s="1544"/>
      <c r="DI31" s="1544"/>
      <c r="DJ31" s="1544"/>
      <c r="DK31" s="1544"/>
      <c r="DL31" s="1544"/>
      <c r="DM31" s="1544"/>
      <c r="DN31" s="1544"/>
      <c r="DO31" s="751"/>
      <c r="DP31" s="1544"/>
      <c r="DQ31" s="1544"/>
      <c r="DR31" s="607"/>
      <c r="DS31" s="607"/>
      <c r="DT31" s="607"/>
      <c r="DU31" s="607"/>
      <c r="DV31" s="1550"/>
    </row>
    <row r="32" spans="1:256" ht="13.8" hidden="1">
      <c r="A32" s="1542"/>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4"/>
      <c r="CC32" s="1544"/>
      <c r="CD32" s="1544"/>
      <c r="CE32" s="1544"/>
      <c r="CF32" s="1544"/>
      <c r="CG32" s="1544"/>
      <c r="CH32" s="1544"/>
      <c r="CI32" s="1544"/>
      <c r="CJ32" s="1544"/>
      <c r="CK32" s="1544"/>
      <c r="CL32" s="1544"/>
      <c r="CM32" s="1544"/>
      <c r="CN32" s="1544"/>
      <c r="CO32" s="1544"/>
      <c r="CP32" s="1544"/>
      <c r="CQ32" s="1544"/>
      <c r="CR32" s="1544"/>
      <c r="CS32" s="1544"/>
      <c r="CT32" s="1544"/>
      <c r="CU32" s="1544"/>
      <c r="CV32" s="1544"/>
      <c r="CW32" s="1544"/>
      <c r="CX32" s="1544"/>
      <c r="CY32" s="785"/>
      <c r="CZ32" s="1544"/>
      <c r="DA32" s="1544"/>
      <c r="DB32" s="1544"/>
      <c r="DC32" s="751"/>
      <c r="DD32" s="1544"/>
      <c r="DE32" s="1544"/>
      <c r="DF32" s="1544"/>
      <c r="DG32" s="1544"/>
      <c r="DH32" s="1544"/>
      <c r="DI32" s="1544"/>
      <c r="DJ32" s="1544"/>
      <c r="DK32" s="1544"/>
      <c r="DL32" s="1544"/>
      <c r="DM32" s="1544"/>
      <c r="DN32" s="1544"/>
      <c r="DO32" s="751"/>
      <c r="DP32" s="1544"/>
      <c r="DQ32" s="1544"/>
      <c r="DR32" s="607"/>
      <c r="DS32" s="607"/>
      <c r="DT32" s="607"/>
      <c r="DU32" s="607"/>
      <c r="DV32" s="1550"/>
    </row>
    <row r="33" spans="1:256" ht="13.8" hidden="1">
      <c r="A33" s="1542"/>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4"/>
      <c r="CC33" s="1544"/>
      <c r="CD33" s="1544"/>
      <c r="CE33" s="1544"/>
      <c r="CF33" s="1544"/>
      <c r="CG33" s="1544"/>
      <c r="CH33" s="1544"/>
      <c r="CI33" s="1544"/>
      <c r="CJ33" s="1544"/>
      <c r="CK33" s="1544"/>
      <c r="CL33" s="1544"/>
      <c r="CM33" s="1544"/>
      <c r="CN33" s="1544"/>
      <c r="CO33" s="1544"/>
      <c r="CP33" s="1544"/>
      <c r="CQ33" s="1544"/>
      <c r="CR33" s="1544"/>
      <c r="CS33" s="1544"/>
      <c r="CT33" s="1544"/>
      <c r="CU33" s="1544"/>
      <c r="CV33" s="1544"/>
      <c r="CW33" s="1544"/>
      <c r="CX33" s="1544"/>
      <c r="CY33" s="785"/>
      <c r="CZ33" s="1544"/>
      <c r="DA33" s="1544"/>
      <c r="DB33" s="1544"/>
      <c r="DC33" s="751"/>
      <c r="DD33" s="1544"/>
      <c r="DE33" s="1544"/>
      <c r="DF33" s="1544"/>
      <c r="DG33" s="1544"/>
      <c r="DH33" s="1544"/>
      <c r="DI33" s="1544"/>
      <c r="DJ33" s="1544"/>
      <c r="DK33" s="1544"/>
      <c r="DL33" s="1544"/>
      <c r="DM33" s="1544"/>
      <c r="DN33" s="1544"/>
      <c r="DO33" s="751"/>
      <c r="DP33" s="1544"/>
      <c r="DQ33" s="1544"/>
      <c r="DR33" s="607"/>
      <c r="DS33" s="607"/>
      <c r="DT33" s="607"/>
      <c r="DU33" s="607"/>
      <c r="DV33" s="1550"/>
    </row>
    <row r="34" spans="1:256" ht="13.8" hidden="1">
      <c r="A34" s="1542"/>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4"/>
      <c r="CC34" s="1544"/>
      <c r="CD34" s="1544"/>
      <c r="CE34" s="1544"/>
      <c r="CF34" s="1544"/>
      <c r="CG34" s="1544"/>
      <c r="CH34" s="1544"/>
      <c r="CI34" s="1544"/>
      <c r="CJ34" s="1544"/>
      <c r="CK34" s="1544"/>
      <c r="CL34" s="1544"/>
      <c r="CM34" s="1544"/>
      <c r="CN34" s="1544"/>
      <c r="CO34" s="1544"/>
      <c r="CP34" s="1544"/>
      <c r="CQ34" s="1544"/>
      <c r="CR34" s="1544"/>
      <c r="CS34" s="1544"/>
      <c r="CT34" s="1544"/>
      <c r="CU34" s="1544"/>
      <c r="CV34" s="1544"/>
      <c r="CW34" s="1544"/>
      <c r="CX34" s="1544"/>
      <c r="CY34" s="785"/>
      <c r="CZ34" s="1544"/>
      <c r="DA34" s="1544"/>
      <c r="DB34" s="1544"/>
      <c r="DC34" s="751"/>
      <c r="DD34" s="1544"/>
      <c r="DE34" s="1544"/>
      <c r="DF34" s="1544"/>
      <c r="DG34" s="1544"/>
      <c r="DH34" s="1544"/>
      <c r="DI34" s="1544"/>
      <c r="DJ34" s="1544"/>
      <c r="DK34" s="1544"/>
      <c r="DL34" s="1544"/>
      <c r="DM34" s="1544"/>
      <c r="DN34" s="1544"/>
      <c r="DO34" s="751"/>
      <c r="DP34" s="1544"/>
      <c r="DQ34" s="1544"/>
      <c r="DR34" s="607"/>
      <c r="DS34" s="607"/>
      <c r="DT34" s="607"/>
      <c r="DU34" s="607"/>
      <c r="DV34" s="1550"/>
    </row>
    <row r="35" spans="1:256" ht="13.8" hidden="1">
      <c r="A35" s="1542"/>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4"/>
      <c r="CC35" s="1544"/>
      <c r="CD35" s="1544"/>
      <c r="CE35" s="1544"/>
      <c r="CF35" s="1544"/>
      <c r="CG35" s="1544"/>
      <c r="CH35" s="1544"/>
      <c r="CI35" s="1544"/>
      <c r="CJ35" s="1544"/>
      <c r="CK35" s="1544"/>
      <c r="CL35" s="1544"/>
      <c r="CM35" s="1544"/>
      <c r="CN35" s="1544"/>
      <c r="CO35" s="1544"/>
      <c r="CP35" s="1544"/>
      <c r="CQ35" s="1544"/>
      <c r="CR35" s="1544"/>
      <c r="CS35" s="1544"/>
      <c r="CT35" s="1544"/>
      <c r="CU35" s="1544"/>
      <c r="CV35" s="1544"/>
      <c r="CW35" s="1544"/>
      <c r="CX35" s="1544"/>
      <c r="CY35" s="785"/>
      <c r="CZ35" s="1544"/>
      <c r="DA35" s="1544"/>
      <c r="DB35" s="1544"/>
      <c r="DC35" s="751"/>
      <c r="DD35" s="1544"/>
      <c r="DE35" s="1544"/>
      <c r="DF35" s="1544"/>
      <c r="DG35" s="1544"/>
      <c r="DH35" s="1544"/>
      <c r="DI35" s="1544"/>
      <c r="DJ35" s="1544"/>
      <c r="DK35" s="1544"/>
      <c r="DL35" s="1544"/>
      <c r="DM35" s="1544"/>
      <c r="DN35" s="1544"/>
      <c r="DO35" s="751"/>
      <c r="DP35" s="1544"/>
      <c r="DQ35" s="1544"/>
      <c r="DR35" s="607"/>
      <c r="DS35" s="607"/>
      <c r="DT35" s="607"/>
      <c r="DU35" s="607"/>
      <c r="DV35" s="1550"/>
    </row>
    <row r="36" spans="1:256" ht="13.8" hidden="1">
      <c r="A36" s="1542"/>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4"/>
      <c r="CC36" s="1544"/>
      <c r="CD36" s="1544"/>
      <c r="CE36" s="1544"/>
      <c r="CF36" s="1544"/>
      <c r="CG36" s="1544"/>
      <c r="CH36" s="1544"/>
      <c r="CI36" s="1544"/>
      <c r="CJ36" s="1544"/>
      <c r="CK36" s="1544"/>
      <c r="CL36" s="1544"/>
      <c r="CM36" s="1544"/>
      <c r="CN36" s="1544"/>
      <c r="CO36" s="1544"/>
      <c r="CP36" s="1544"/>
      <c r="CQ36" s="1544"/>
      <c r="CR36" s="1544"/>
      <c r="CS36" s="1544"/>
      <c r="CT36" s="1544"/>
      <c r="CU36" s="1544"/>
      <c r="CV36" s="1544"/>
      <c r="CW36" s="1544"/>
      <c r="CX36" s="1544"/>
      <c r="CY36" s="785"/>
      <c r="CZ36" s="1544"/>
      <c r="DA36" s="1544"/>
      <c r="DB36" s="1544"/>
      <c r="DC36" s="751"/>
      <c r="DD36" s="1544"/>
      <c r="DE36" s="1544"/>
      <c r="DF36" s="1544"/>
      <c r="DG36" s="1544"/>
      <c r="DH36" s="1544"/>
      <c r="DI36" s="1544"/>
      <c r="DJ36" s="1544"/>
      <c r="DK36" s="1544"/>
      <c r="DL36" s="1544"/>
      <c r="DM36" s="1544"/>
      <c r="DN36" s="1544"/>
      <c r="DO36" s="751"/>
      <c r="DP36" s="1544"/>
      <c r="DQ36" s="1544"/>
      <c r="DR36" s="607"/>
      <c r="DS36" s="607"/>
      <c r="DT36" s="607"/>
      <c r="DU36" s="607"/>
      <c r="DV36" s="1550"/>
    </row>
    <row r="37" spans="1:256" ht="13.8" hidden="1">
      <c r="A37" s="1542"/>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4"/>
      <c r="CC37" s="1544"/>
      <c r="CD37" s="1544"/>
      <c r="CE37" s="1544"/>
      <c r="CF37" s="1544"/>
      <c r="CG37" s="1544"/>
      <c r="CH37" s="1544"/>
      <c r="CI37" s="1544"/>
      <c r="CJ37" s="1544"/>
      <c r="CK37" s="1544"/>
      <c r="CL37" s="1544"/>
      <c r="CM37" s="1544"/>
      <c r="CN37" s="1544"/>
      <c r="CO37" s="1544"/>
      <c r="CP37" s="1544"/>
      <c r="CQ37" s="1544"/>
      <c r="CR37" s="1544"/>
      <c r="CS37" s="1544"/>
      <c r="CT37" s="1544"/>
      <c r="CU37" s="1544"/>
      <c r="CV37" s="1544"/>
      <c r="CW37" s="1544"/>
      <c r="CX37" s="1544"/>
      <c r="CY37" s="785"/>
      <c r="CZ37" s="1544"/>
      <c r="DA37" s="1544"/>
      <c r="DB37" s="1544"/>
      <c r="DC37" s="751"/>
      <c r="DD37" s="1544"/>
      <c r="DE37" s="1544"/>
      <c r="DF37" s="1544"/>
      <c r="DG37" s="1544"/>
      <c r="DH37" s="1544"/>
      <c r="DI37" s="1544"/>
      <c r="DJ37" s="1544"/>
      <c r="DK37" s="1544"/>
      <c r="DL37" s="1544"/>
      <c r="DM37" s="1544"/>
      <c r="DN37" s="1544"/>
      <c r="DO37" s="751"/>
      <c r="DP37" s="1544"/>
      <c r="DQ37" s="1544"/>
      <c r="DR37" s="607"/>
      <c r="DS37" s="607"/>
      <c r="DT37" s="607"/>
      <c r="DU37" s="607"/>
      <c r="DV37" s="1550"/>
    </row>
    <row r="38" spans="1:256" s="662" customFormat="1" ht="13.8" hidden="1">
      <c r="A38" s="1542"/>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4"/>
      <c r="CC38" s="1544"/>
      <c r="CD38" s="1544"/>
      <c r="CE38" s="1544"/>
      <c r="CF38" s="1544"/>
      <c r="CG38" s="1544"/>
      <c r="CH38" s="1544"/>
      <c r="CI38" s="1544"/>
      <c r="CJ38" s="1544"/>
      <c r="CK38" s="1544"/>
      <c r="CL38" s="1544"/>
      <c r="CM38" s="1544"/>
      <c r="CN38" s="1544"/>
      <c r="CO38" s="1544"/>
      <c r="CP38" s="1544"/>
      <c r="CQ38" s="1544"/>
      <c r="CR38" s="1544"/>
      <c r="CS38" s="1544"/>
      <c r="CT38" s="1544"/>
      <c r="CU38" s="1544"/>
      <c r="CV38" s="1544"/>
      <c r="CW38" s="1544"/>
      <c r="CX38" s="1544"/>
      <c r="CY38" s="785"/>
      <c r="CZ38" s="1544"/>
      <c r="DA38" s="1544"/>
      <c r="DB38" s="1544"/>
      <c r="DC38" s="751"/>
      <c r="DD38" s="1544"/>
      <c r="DE38" s="1544"/>
      <c r="DF38" s="1544"/>
      <c r="DG38" s="1544"/>
      <c r="DH38" s="1544"/>
      <c r="DI38" s="1544"/>
      <c r="DJ38" s="1544"/>
      <c r="DK38" s="1544"/>
      <c r="DL38" s="1544"/>
      <c r="DM38" s="1544"/>
      <c r="DN38" s="1544"/>
      <c r="DO38" s="751"/>
      <c r="DP38" s="1544"/>
      <c r="DQ38" s="1544"/>
      <c r="DR38" s="607"/>
      <c r="DS38" s="607"/>
      <c r="DT38" s="607"/>
      <c r="DU38" s="607"/>
      <c r="DV38" s="1550"/>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3.8" hidden="1">
      <c r="A39" s="1542"/>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4"/>
      <c r="CC39" s="1544"/>
      <c r="CD39" s="1544"/>
      <c r="CE39" s="1544"/>
      <c r="CF39" s="1544"/>
      <c r="CG39" s="1544"/>
      <c r="CH39" s="1544"/>
      <c r="CI39" s="1544"/>
      <c r="CJ39" s="1544"/>
      <c r="CK39" s="1544"/>
      <c r="CL39" s="1544"/>
      <c r="CM39" s="1544"/>
      <c r="CN39" s="1544"/>
      <c r="CO39" s="1544"/>
      <c r="CP39" s="1544"/>
      <c r="CQ39" s="1544"/>
      <c r="CR39" s="1544"/>
      <c r="CS39" s="1544"/>
      <c r="CT39" s="1544"/>
      <c r="CU39" s="1544"/>
      <c r="CV39" s="1544"/>
      <c r="CW39" s="1544"/>
      <c r="CX39" s="1544"/>
      <c r="CY39" s="785"/>
      <c r="CZ39" s="1544"/>
      <c r="DA39" s="1544"/>
      <c r="DB39" s="1544"/>
      <c r="DC39" s="751"/>
      <c r="DD39" s="1544"/>
      <c r="DE39" s="1544"/>
      <c r="DF39" s="1544"/>
      <c r="DG39" s="1544"/>
      <c r="DH39" s="1544"/>
      <c r="DI39" s="1544"/>
      <c r="DJ39" s="1544"/>
      <c r="DK39" s="1544"/>
      <c r="DL39" s="1544"/>
      <c r="DM39" s="1544"/>
      <c r="DN39" s="1544"/>
      <c r="DO39" s="751"/>
      <c r="DP39" s="1544"/>
      <c r="DQ39" s="1544"/>
      <c r="DR39" s="607"/>
      <c r="DS39" s="607"/>
      <c r="DT39" s="607"/>
      <c r="DU39" s="607"/>
      <c r="DV39" s="1550"/>
    </row>
    <row r="40" spans="1:256" ht="13.8" hidden="1">
      <c r="A40" s="1551"/>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4"/>
      <c r="CC40" s="1544"/>
      <c r="CD40" s="1544"/>
      <c r="CE40" s="1544"/>
      <c r="CF40" s="1544"/>
      <c r="CG40" s="1544"/>
      <c r="CH40" s="1544"/>
      <c r="CI40" s="1544"/>
      <c r="CJ40" s="1544"/>
      <c r="CK40" s="1544"/>
      <c r="CL40" s="1544"/>
      <c r="CM40" s="1544"/>
      <c r="CN40" s="1544"/>
      <c r="CO40" s="1544"/>
      <c r="CP40" s="1544"/>
      <c r="CQ40" s="1544"/>
      <c r="CR40" s="1544"/>
      <c r="CS40" s="1544"/>
      <c r="CT40" s="1544"/>
      <c r="CU40" s="1544"/>
      <c r="CV40" s="1544"/>
      <c r="CW40" s="1544"/>
      <c r="CX40" s="1544"/>
      <c r="CY40" s="785"/>
      <c r="CZ40" s="1544"/>
      <c r="DA40" s="1544"/>
      <c r="DB40" s="1544"/>
      <c r="DC40" s="751"/>
      <c r="DD40" s="1544"/>
      <c r="DE40" s="1544"/>
      <c r="DF40" s="1544"/>
      <c r="DG40" s="1544"/>
      <c r="DH40" s="1544"/>
      <c r="DI40" s="1544"/>
      <c r="DJ40" s="1544"/>
      <c r="DK40" s="1544"/>
      <c r="DL40" s="1544"/>
      <c r="DM40" s="1544"/>
      <c r="DN40" s="1544"/>
      <c r="DO40" s="751"/>
      <c r="DP40" s="1544"/>
      <c r="DQ40" s="1544"/>
      <c r="DR40" s="607"/>
      <c r="DS40" s="607"/>
      <c r="DT40" s="607"/>
      <c r="DU40" s="607"/>
      <c r="DV40" s="1550"/>
    </row>
    <row r="41" spans="1:256" ht="13.8" hidden="1">
      <c r="A41" s="1552"/>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4"/>
      <c r="CC41" s="1544"/>
      <c r="CD41" s="1544"/>
      <c r="CE41" s="1544"/>
      <c r="CF41" s="1544"/>
      <c r="CG41" s="1544"/>
      <c r="CH41" s="1544"/>
      <c r="CI41" s="1544"/>
      <c r="CJ41" s="1544"/>
      <c r="CK41" s="1544"/>
      <c r="CL41" s="1544"/>
      <c r="CM41" s="1544"/>
      <c r="CN41" s="1544"/>
      <c r="CO41" s="1544"/>
      <c r="CP41" s="1544"/>
      <c r="CQ41" s="1544"/>
      <c r="CR41" s="1544"/>
      <c r="CS41" s="1544"/>
      <c r="CT41" s="1544"/>
      <c r="CU41" s="1544"/>
      <c r="CV41" s="1544"/>
      <c r="CW41" s="1544"/>
      <c r="CX41" s="1544"/>
      <c r="CY41" s="785"/>
      <c r="CZ41" s="1544"/>
      <c r="DA41" s="1544"/>
      <c r="DB41" s="1544"/>
      <c r="DC41" s="751"/>
      <c r="DD41" s="1544"/>
      <c r="DE41" s="1544"/>
      <c r="DF41" s="1544"/>
      <c r="DG41" s="1544"/>
      <c r="DH41" s="1544"/>
      <c r="DI41" s="1544"/>
      <c r="DJ41" s="1544"/>
      <c r="DK41" s="1544"/>
      <c r="DL41" s="1544"/>
      <c r="DM41" s="1544"/>
      <c r="DN41" s="1544"/>
      <c r="DO41" s="751"/>
      <c r="DP41" s="1544"/>
      <c r="DQ41" s="1544"/>
      <c r="DR41" s="607"/>
      <c r="DS41" s="607"/>
      <c r="DT41" s="607"/>
      <c r="DU41" s="607"/>
      <c r="DV41" s="1550"/>
    </row>
    <row r="42" spans="1:256" ht="13.8" hidden="1">
      <c r="A42" s="1551"/>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4"/>
      <c r="CC42" s="1544"/>
      <c r="CD42" s="1544"/>
      <c r="CE42" s="1544"/>
      <c r="CF42" s="1544"/>
      <c r="CG42" s="1544"/>
      <c r="CH42" s="1544"/>
      <c r="CI42" s="1544"/>
      <c r="CJ42" s="1544"/>
      <c r="CK42" s="1544"/>
      <c r="CL42" s="1544"/>
      <c r="CM42" s="1544"/>
      <c r="CN42" s="1544"/>
      <c r="CO42" s="1544"/>
      <c r="CP42" s="1544"/>
      <c r="CQ42" s="1544"/>
      <c r="CR42" s="1544"/>
      <c r="CS42" s="1544"/>
      <c r="CT42" s="1544"/>
      <c r="CU42" s="1544"/>
      <c r="CV42" s="1544"/>
      <c r="CW42" s="1544"/>
      <c r="CX42" s="1544"/>
      <c r="CY42" s="785"/>
      <c r="CZ42" s="1544"/>
      <c r="DA42" s="1544"/>
      <c r="DB42" s="1544"/>
      <c r="DC42" s="751"/>
      <c r="DD42" s="1544"/>
      <c r="DE42" s="1544"/>
      <c r="DF42" s="1544"/>
      <c r="DG42" s="1544"/>
      <c r="DH42" s="1544"/>
      <c r="DI42" s="1544"/>
      <c r="DJ42" s="1544"/>
      <c r="DK42" s="1544"/>
      <c r="DL42" s="1544"/>
      <c r="DM42" s="1544"/>
      <c r="DN42" s="1544"/>
      <c r="DO42" s="751"/>
      <c r="DP42" s="1544"/>
      <c r="DQ42" s="1544"/>
      <c r="DR42" s="607"/>
      <c r="DS42" s="607"/>
      <c r="DT42" s="607"/>
      <c r="DU42" s="607"/>
      <c r="DV42" s="1550"/>
    </row>
    <row r="43" spans="1:256" s="662" customFormat="1" ht="13.8" hidden="1">
      <c r="A43" s="1551"/>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4"/>
      <c r="CC43" s="1544"/>
      <c r="CD43" s="1544"/>
      <c r="CE43" s="1544"/>
      <c r="CF43" s="1544"/>
      <c r="CG43" s="1544"/>
      <c r="CH43" s="1544"/>
      <c r="CI43" s="1544"/>
      <c r="CJ43" s="1544"/>
      <c r="CK43" s="1544"/>
      <c r="CL43" s="1544"/>
      <c r="CM43" s="1544"/>
      <c r="CN43" s="1544"/>
      <c r="CO43" s="1544"/>
      <c r="CP43" s="1544"/>
      <c r="CQ43" s="1544"/>
      <c r="CR43" s="1544"/>
      <c r="CS43" s="1544"/>
      <c r="CT43" s="1544"/>
      <c r="CU43" s="1544"/>
      <c r="CV43" s="1544"/>
      <c r="CW43" s="1544"/>
      <c r="CX43" s="1544"/>
      <c r="CY43" s="785"/>
      <c r="CZ43" s="1544"/>
      <c r="DA43" s="1544"/>
      <c r="DB43" s="1544"/>
      <c r="DC43" s="751"/>
      <c r="DD43" s="1544"/>
      <c r="DE43" s="1544"/>
      <c r="DF43" s="1544"/>
      <c r="DG43" s="1544"/>
      <c r="DH43" s="1544"/>
      <c r="DI43" s="1544"/>
      <c r="DJ43" s="1544"/>
      <c r="DK43" s="1544"/>
      <c r="DL43" s="1544"/>
      <c r="DM43" s="1544"/>
      <c r="DN43" s="1544"/>
      <c r="DO43" s="751"/>
      <c r="DP43" s="1544"/>
      <c r="DQ43" s="1544"/>
      <c r="DR43" s="607"/>
      <c r="DS43" s="607"/>
      <c r="DT43" s="607"/>
      <c r="DU43" s="607"/>
      <c r="DV43" s="1550"/>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3.8" hidden="1">
      <c r="A44" s="1553"/>
      <c r="B44" s="1554"/>
      <c r="C44" s="1553"/>
      <c r="D44" s="1553"/>
      <c r="E44" s="1553"/>
      <c r="F44" s="1553"/>
      <c r="G44" s="1553"/>
      <c r="H44" s="1553"/>
      <c r="I44" s="1553"/>
      <c r="J44" s="1553"/>
      <c r="K44" s="1553"/>
      <c r="L44" s="1553"/>
      <c r="M44" s="1553"/>
      <c r="N44" s="1553"/>
      <c r="O44" s="1553"/>
      <c r="P44" s="1553"/>
      <c r="Q44" s="1553"/>
      <c r="R44" s="1553"/>
      <c r="S44" s="1553"/>
      <c r="T44" s="1553"/>
      <c r="U44" s="1553"/>
      <c r="V44" s="1553"/>
      <c r="W44" s="1553"/>
      <c r="X44" s="1553"/>
      <c r="Y44" s="1553"/>
      <c r="Z44" s="1553"/>
      <c r="AA44" s="1553"/>
      <c r="AB44" s="1553"/>
      <c r="AC44" s="1553"/>
      <c r="AD44" s="1553"/>
      <c r="AE44" s="1553"/>
      <c r="AF44" s="1553"/>
      <c r="AG44" s="1553"/>
      <c r="AH44" s="1553"/>
      <c r="AI44" s="1553"/>
      <c r="AJ44" s="1553"/>
      <c r="AK44" s="1553"/>
      <c r="AL44" s="1553"/>
      <c r="AM44" s="1553"/>
      <c r="AN44" s="1553"/>
      <c r="AO44" s="1553"/>
      <c r="AP44" s="1553"/>
      <c r="AQ44" s="1553"/>
      <c r="AR44" s="1553"/>
      <c r="AS44" s="1553"/>
      <c r="AT44" s="1553"/>
      <c r="AU44" s="1553"/>
      <c r="AV44" s="1553"/>
      <c r="AW44" s="1553"/>
      <c r="AX44" s="1553"/>
      <c r="AY44" s="1553"/>
      <c r="AZ44" s="1553"/>
      <c r="BA44" s="1553"/>
      <c r="BB44" s="1553"/>
      <c r="BC44" s="1553"/>
      <c r="BD44" s="1553"/>
      <c r="BE44" s="1553"/>
      <c r="BF44" s="1553"/>
      <c r="BG44" s="1553"/>
      <c r="BH44" s="1553"/>
      <c r="BI44" s="1553"/>
      <c r="BJ44" s="1553"/>
      <c r="BK44" s="1553"/>
      <c r="BL44" s="1553"/>
      <c r="BM44" s="1553"/>
      <c r="BN44" s="1553"/>
      <c r="BO44" s="1553"/>
      <c r="BP44" s="1553"/>
      <c r="BQ44" s="1553"/>
      <c r="BR44" s="1553"/>
      <c r="BS44" s="1553"/>
      <c r="BT44" s="1553"/>
      <c r="BU44" s="1553"/>
      <c r="BV44" s="1553"/>
      <c r="BW44" s="1553"/>
      <c r="BX44" s="1553"/>
      <c r="BY44" s="1553"/>
      <c r="BZ44" s="1553"/>
      <c r="CA44" s="1553"/>
      <c r="CB44" s="1553"/>
      <c r="CC44" s="1553"/>
      <c r="CD44" s="1553"/>
      <c r="CE44" s="1544"/>
      <c r="CF44" s="1553"/>
      <c r="CG44" s="1553"/>
      <c r="CH44" s="1553"/>
      <c r="CI44" s="1553"/>
      <c r="CJ44" s="1553"/>
      <c r="CK44" s="1553"/>
      <c r="CL44" s="1553"/>
      <c r="CM44" s="1553"/>
      <c r="CN44" s="1553"/>
      <c r="CO44" s="1553"/>
      <c r="CP44" s="1553"/>
      <c r="CQ44" s="1553"/>
      <c r="CR44" s="1553"/>
      <c r="CS44" s="1553"/>
      <c r="CT44" s="1553"/>
      <c r="CU44" s="1553"/>
      <c r="CV44" s="1553"/>
      <c r="CW44" s="1553"/>
      <c r="CX44" s="1553"/>
      <c r="CY44" s="1555"/>
      <c r="CZ44" s="1553"/>
      <c r="DA44" s="1553"/>
      <c r="DB44" s="1553"/>
      <c r="DC44" s="1553"/>
      <c r="DD44" s="1553"/>
      <c r="DE44" s="1553"/>
      <c r="DF44" s="1553"/>
      <c r="DG44" s="1553"/>
      <c r="DH44" s="1553"/>
      <c r="DI44" s="1553"/>
      <c r="DJ44" s="1553"/>
      <c r="DK44" s="1553"/>
      <c r="DL44" s="1553"/>
      <c r="DM44" s="1553"/>
      <c r="DN44" s="1553"/>
      <c r="DO44" s="1553"/>
      <c r="DP44" s="1553"/>
      <c r="DQ44" s="1553"/>
      <c r="DR44" s="1553"/>
      <c r="DS44" s="1553"/>
      <c r="DT44" s="1553"/>
      <c r="DU44" s="1553"/>
      <c r="DV44" s="1556"/>
    </row>
    <row r="45" spans="1:256" s="532" customFormat="1" ht="18" hidden="1" customHeight="1">
      <c r="A45" s="1557"/>
      <c r="B45" s="975"/>
      <c r="C45" s="975"/>
      <c r="D45" s="975"/>
      <c r="E45" s="975"/>
      <c r="F45" s="975"/>
      <c r="G45" s="975"/>
      <c r="H45" s="975"/>
      <c r="I45" s="975"/>
      <c r="J45" s="975"/>
      <c r="K45" s="975"/>
      <c r="L45" s="975"/>
      <c r="M45" s="975"/>
      <c r="N45" s="975"/>
      <c r="O45" s="975"/>
      <c r="P45" s="975"/>
      <c r="Q45" s="975"/>
      <c r="R45" s="975"/>
      <c r="S45" s="975"/>
      <c r="T45" s="975"/>
      <c r="U45" s="975"/>
      <c r="V45" s="975"/>
      <c r="W45" s="975"/>
      <c r="X45" s="975"/>
      <c r="Y45" s="975"/>
      <c r="Z45" s="975"/>
      <c r="AA45" s="975"/>
      <c r="AB45" s="975"/>
      <c r="AC45" s="975"/>
      <c r="AD45" s="975"/>
      <c r="AE45" s="975"/>
      <c r="AF45" s="975"/>
      <c r="AG45" s="975"/>
      <c r="AH45" s="975"/>
      <c r="AI45" s="975"/>
      <c r="AJ45" s="975"/>
      <c r="AK45" s="975"/>
      <c r="AL45" s="975"/>
      <c r="AM45" s="975"/>
      <c r="AN45" s="975"/>
      <c r="AO45" s="975"/>
      <c r="AP45" s="975"/>
      <c r="AQ45" s="975"/>
      <c r="AR45" s="975"/>
      <c r="AS45" s="975"/>
      <c r="AT45" s="975"/>
      <c r="AU45" s="975"/>
      <c r="AV45" s="975"/>
      <c r="AW45" s="975"/>
      <c r="AX45" s="975"/>
      <c r="AY45" s="975"/>
      <c r="AZ45" s="975"/>
      <c r="BA45" s="975"/>
      <c r="BB45" s="975"/>
      <c r="BC45" s="975"/>
      <c r="BD45" s="975"/>
      <c r="BE45" s="975"/>
      <c r="BF45" s="975"/>
      <c r="BG45" s="975"/>
      <c r="BH45" s="975"/>
      <c r="BI45" s="975"/>
      <c r="BJ45" s="975"/>
      <c r="BK45" s="975"/>
      <c r="BL45" s="975"/>
      <c r="BM45" s="975"/>
      <c r="BN45" s="975"/>
      <c r="BO45" s="975"/>
      <c r="BP45" s="975"/>
      <c r="BQ45" s="975"/>
      <c r="BR45" s="975"/>
      <c r="BS45" s="975"/>
      <c r="BT45" s="975"/>
      <c r="BU45" s="975"/>
      <c r="BV45" s="975"/>
      <c r="BW45" s="975"/>
      <c r="BX45" s="975"/>
      <c r="BY45" s="975"/>
      <c r="BZ45" s="975"/>
      <c r="CA45" s="975"/>
      <c r="CB45" s="975"/>
      <c r="CC45" s="975"/>
      <c r="CD45" s="975"/>
      <c r="CE45" s="1544"/>
      <c r="CF45" s="975"/>
      <c r="CG45" s="975"/>
      <c r="CH45" s="975"/>
      <c r="CI45" s="975"/>
      <c r="CJ45" s="975"/>
      <c r="CK45" s="975"/>
      <c r="CL45" s="975"/>
      <c r="CM45" s="975"/>
      <c r="CN45" s="975"/>
      <c r="CO45" s="975"/>
      <c r="CP45" s="975"/>
      <c r="CQ45" s="975"/>
      <c r="CR45" s="975"/>
      <c r="CS45" s="975"/>
      <c r="CT45" s="975"/>
      <c r="CU45" s="975"/>
      <c r="CV45" s="975"/>
      <c r="CW45" s="975"/>
      <c r="CX45" s="975"/>
      <c r="CY45" s="1558"/>
      <c r="CZ45" s="975"/>
      <c r="DA45" s="975"/>
      <c r="DB45" s="975"/>
      <c r="DC45" s="975"/>
      <c r="DD45" s="975"/>
      <c r="DE45" s="975"/>
      <c r="DF45" s="975"/>
      <c r="DG45" s="975"/>
      <c r="DH45" s="975"/>
      <c r="DI45" s="975"/>
      <c r="DJ45" s="975"/>
      <c r="DK45" s="975"/>
      <c r="DL45" s="975"/>
      <c r="DM45" s="975"/>
      <c r="DN45" s="975"/>
      <c r="DO45" s="975"/>
      <c r="DP45" s="975"/>
      <c r="DQ45" s="975"/>
      <c r="DR45" s="975"/>
      <c r="DS45" s="975"/>
      <c r="DT45" s="975"/>
      <c r="DU45" s="975"/>
      <c r="DV45" s="1559"/>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60"/>
      <c r="B46" s="975"/>
      <c r="C46" s="975"/>
      <c r="D46" s="975"/>
      <c r="E46" s="975"/>
      <c r="F46" s="975"/>
      <c r="G46" s="975"/>
      <c r="H46" s="975"/>
      <c r="I46" s="975"/>
      <c r="J46" s="975"/>
      <c r="K46" s="975"/>
      <c r="L46" s="975"/>
      <c r="M46" s="975"/>
      <c r="N46" s="975"/>
      <c r="O46" s="975"/>
      <c r="P46" s="975"/>
      <c r="Q46" s="975"/>
      <c r="R46" s="975"/>
      <c r="S46" s="975"/>
      <c r="T46" s="975"/>
      <c r="U46" s="975"/>
      <c r="V46" s="975"/>
      <c r="W46" s="975"/>
      <c r="X46" s="975"/>
      <c r="Y46" s="975"/>
      <c r="Z46" s="975"/>
      <c r="AA46" s="975"/>
      <c r="AB46" s="975"/>
      <c r="AC46" s="975"/>
      <c r="AD46" s="975"/>
      <c r="AE46" s="975"/>
      <c r="AF46" s="975"/>
      <c r="AG46" s="975"/>
      <c r="AH46" s="975"/>
      <c r="AI46" s="975"/>
      <c r="AJ46" s="975"/>
      <c r="AK46" s="975"/>
      <c r="AL46" s="975"/>
      <c r="AM46" s="975"/>
      <c r="AN46" s="975"/>
      <c r="AO46" s="975"/>
      <c r="AP46" s="975"/>
      <c r="AQ46" s="975"/>
      <c r="AR46" s="975"/>
      <c r="AS46" s="975"/>
      <c r="AT46" s="975"/>
      <c r="AU46" s="975"/>
      <c r="AV46" s="975"/>
      <c r="AW46" s="975"/>
      <c r="AX46" s="975"/>
      <c r="AY46" s="975"/>
      <c r="AZ46" s="975"/>
      <c r="BA46" s="975"/>
      <c r="BB46" s="975"/>
      <c r="BC46" s="975"/>
      <c r="BD46" s="975"/>
      <c r="BE46" s="975"/>
      <c r="BF46" s="975"/>
      <c r="BG46" s="975"/>
      <c r="BH46" s="975"/>
      <c r="BI46" s="975"/>
      <c r="BJ46" s="975"/>
      <c r="BK46" s="975"/>
      <c r="BL46" s="975"/>
      <c r="BM46" s="975"/>
      <c r="BN46" s="975"/>
      <c r="BO46" s="975"/>
      <c r="BP46" s="975"/>
      <c r="BQ46" s="975"/>
      <c r="BR46" s="975"/>
      <c r="BS46" s="975"/>
      <c r="BT46" s="975"/>
      <c r="BU46" s="975"/>
      <c r="BV46" s="975"/>
      <c r="BW46" s="975"/>
      <c r="BX46" s="975"/>
      <c r="BY46" s="975"/>
      <c r="BZ46" s="975"/>
      <c r="CA46" s="975"/>
      <c r="CB46" s="975"/>
      <c r="CC46" s="975"/>
      <c r="CD46" s="975"/>
      <c r="CE46" s="1544"/>
      <c r="CF46" s="975"/>
      <c r="CG46" s="975"/>
      <c r="CH46" s="975"/>
      <c r="CI46" s="975"/>
      <c r="CJ46" s="975"/>
      <c r="CK46" s="975"/>
      <c r="CL46" s="975"/>
      <c r="CM46" s="975"/>
      <c r="CN46" s="975"/>
      <c r="CO46" s="975"/>
      <c r="CP46" s="975"/>
      <c r="CQ46" s="975"/>
      <c r="CR46" s="975"/>
      <c r="CS46" s="975"/>
      <c r="CT46" s="975"/>
      <c r="CU46" s="975"/>
      <c r="CV46" s="975"/>
      <c r="CW46" s="975"/>
      <c r="CX46" s="975"/>
      <c r="CY46" s="1558"/>
      <c r="CZ46" s="975"/>
      <c r="DA46" s="975"/>
      <c r="DB46" s="975"/>
      <c r="DC46" s="975"/>
      <c r="DD46" s="975"/>
      <c r="DE46" s="975"/>
      <c r="DF46" s="975"/>
      <c r="DG46" s="975"/>
      <c r="DH46" s="975"/>
      <c r="DI46" s="975"/>
      <c r="DJ46" s="975"/>
      <c r="DK46" s="975"/>
      <c r="DL46" s="975"/>
      <c r="DM46" s="975"/>
      <c r="DN46" s="975"/>
      <c r="DO46" s="975"/>
      <c r="DP46" s="975"/>
      <c r="DQ46" s="975"/>
      <c r="DR46" s="975"/>
      <c r="DS46" s="975"/>
      <c r="DT46" s="975"/>
      <c r="DU46" s="975"/>
      <c r="DV46" s="1559"/>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3.8" hidden="1">
      <c r="A47" s="1551"/>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4"/>
      <c r="CF47" s="607"/>
      <c r="CG47" s="607"/>
      <c r="CH47" s="607"/>
      <c r="CI47" s="607"/>
      <c r="CJ47" s="607"/>
      <c r="CK47" s="607"/>
      <c r="CL47" s="607"/>
      <c r="CM47" s="607"/>
      <c r="CN47" s="607"/>
      <c r="CO47" s="607"/>
      <c r="CP47" s="607"/>
      <c r="CQ47" s="607"/>
      <c r="CR47" s="607"/>
      <c r="CS47" s="607"/>
      <c r="CT47" s="607"/>
      <c r="CU47" s="607"/>
      <c r="CV47" s="607"/>
      <c r="CW47" s="607"/>
      <c r="CX47" s="1544"/>
      <c r="CY47" s="785"/>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50"/>
    </row>
    <row r="48" spans="1:256" ht="13.8" hidden="1">
      <c r="A48" s="1551"/>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4"/>
      <c r="CC48" s="1544"/>
      <c r="CD48" s="1544"/>
      <c r="CE48" s="1544"/>
      <c r="CF48" s="1544"/>
      <c r="CG48" s="1544"/>
      <c r="CH48" s="1544"/>
      <c r="CI48" s="1544"/>
      <c r="CJ48" s="1544"/>
      <c r="CK48" s="1544"/>
      <c r="CL48" s="1544"/>
      <c r="CM48" s="1544"/>
      <c r="CN48" s="1544"/>
      <c r="CO48" s="1544"/>
      <c r="CP48" s="1544"/>
      <c r="CQ48" s="1544"/>
      <c r="CR48" s="1544"/>
      <c r="CS48" s="1544"/>
      <c r="CT48" s="1544"/>
      <c r="CU48" s="1544"/>
      <c r="CV48" s="1544"/>
      <c r="CW48" s="1544"/>
      <c r="CX48" s="1544"/>
      <c r="CY48" s="785"/>
      <c r="CZ48" s="1544"/>
      <c r="DA48" s="1544"/>
      <c r="DB48" s="1544"/>
      <c r="DC48" s="751"/>
      <c r="DD48" s="1544"/>
      <c r="DE48" s="1544"/>
      <c r="DF48" s="1544"/>
      <c r="DG48" s="1544"/>
      <c r="DH48" s="1544"/>
      <c r="DI48" s="1544"/>
      <c r="DJ48" s="1544"/>
      <c r="DK48" s="1544"/>
      <c r="DL48" s="1544"/>
      <c r="DM48" s="1544"/>
      <c r="DN48" s="1544"/>
      <c r="DO48" s="751"/>
      <c r="DP48" s="1544"/>
      <c r="DQ48" s="1544"/>
      <c r="DR48" s="607"/>
      <c r="DS48" s="607"/>
      <c r="DT48" s="607"/>
      <c r="DU48" s="607"/>
      <c r="DV48" s="1550"/>
    </row>
    <row r="49" spans="1:256" ht="13.8" hidden="1">
      <c r="A49" s="1551"/>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4"/>
      <c r="CC49" s="1544"/>
      <c r="CD49" s="1544"/>
      <c r="CE49" s="1544"/>
      <c r="CF49" s="1544"/>
      <c r="CG49" s="1544"/>
      <c r="CH49" s="1544"/>
      <c r="CI49" s="1544"/>
      <c r="CJ49" s="1544"/>
      <c r="CK49" s="1544"/>
      <c r="CL49" s="1544"/>
      <c r="CM49" s="1544"/>
      <c r="CN49" s="1544"/>
      <c r="CO49" s="1544"/>
      <c r="CP49" s="1544"/>
      <c r="CQ49" s="1544"/>
      <c r="CR49" s="1544"/>
      <c r="CS49" s="1544"/>
      <c r="CT49" s="1544"/>
      <c r="CU49" s="1544"/>
      <c r="CV49" s="1544"/>
      <c r="CW49" s="1544"/>
      <c r="CX49" s="1544"/>
      <c r="CY49" s="785"/>
      <c r="CZ49" s="1544"/>
      <c r="DA49" s="1544"/>
      <c r="DB49" s="1544"/>
      <c r="DC49" s="751"/>
      <c r="DD49" s="1544"/>
      <c r="DE49" s="1544"/>
      <c r="DF49" s="1544"/>
      <c r="DG49" s="1544"/>
      <c r="DH49" s="1544"/>
      <c r="DI49" s="1544"/>
      <c r="DJ49" s="1544"/>
      <c r="DK49" s="1544"/>
      <c r="DL49" s="1544"/>
      <c r="DM49" s="1544"/>
      <c r="DN49" s="1544"/>
      <c r="DO49" s="751"/>
      <c r="DP49" s="1544"/>
      <c r="DQ49" s="1544"/>
      <c r="DR49" s="607"/>
      <c r="DS49" s="607"/>
      <c r="DT49" s="607"/>
      <c r="DU49" s="607"/>
      <c r="DV49" s="1550"/>
    </row>
    <row r="50" spans="1:256" ht="13.8" hidden="1">
      <c r="A50" s="1551"/>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4"/>
      <c r="CC50" s="1544"/>
      <c r="CD50" s="1544"/>
      <c r="CE50" s="1544"/>
      <c r="CF50" s="1544"/>
      <c r="CG50" s="1544"/>
      <c r="CH50" s="1544"/>
      <c r="CI50" s="1544"/>
      <c r="CJ50" s="1544"/>
      <c r="CK50" s="1544"/>
      <c r="CL50" s="1544"/>
      <c r="CM50" s="1544"/>
      <c r="CN50" s="1544"/>
      <c r="CO50" s="1544"/>
      <c r="CP50" s="1544"/>
      <c r="CQ50" s="1544"/>
      <c r="CR50" s="1544"/>
      <c r="CS50" s="1544"/>
      <c r="CT50" s="1544"/>
      <c r="CU50" s="1544"/>
      <c r="CV50" s="1544"/>
      <c r="CW50" s="1544"/>
      <c r="CX50" s="1544"/>
      <c r="CY50" s="785"/>
      <c r="CZ50" s="1544"/>
      <c r="DA50" s="1544"/>
      <c r="DB50" s="1544"/>
      <c r="DC50" s="751"/>
      <c r="DD50" s="1544"/>
      <c r="DE50" s="1544"/>
      <c r="DF50" s="1544"/>
      <c r="DG50" s="1544"/>
      <c r="DH50" s="1544"/>
      <c r="DI50" s="1544"/>
      <c r="DJ50" s="1544"/>
      <c r="DK50" s="1544"/>
      <c r="DL50" s="1544"/>
      <c r="DM50" s="1544"/>
      <c r="DN50" s="1544"/>
      <c r="DO50" s="751"/>
      <c r="DP50" s="1544"/>
      <c r="DQ50" s="1544"/>
      <c r="DR50" s="607"/>
      <c r="DS50" s="607"/>
      <c r="DT50" s="607"/>
      <c r="DU50" s="607"/>
      <c r="DV50" s="1550"/>
    </row>
    <row r="51" spans="1:256" ht="13.8" hidden="1">
      <c r="A51" s="1551"/>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4"/>
      <c r="CC51" s="1544"/>
      <c r="CD51" s="1544"/>
      <c r="CE51" s="1544"/>
      <c r="CF51" s="1544"/>
      <c r="CG51" s="1544"/>
      <c r="CH51" s="1544"/>
      <c r="CI51" s="1544"/>
      <c r="CJ51" s="1544"/>
      <c r="CK51" s="1544"/>
      <c r="CL51" s="1544"/>
      <c r="CM51" s="1544"/>
      <c r="CN51" s="1544"/>
      <c r="CO51" s="1544"/>
      <c r="CP51" s="1544"/>
      <c r="CQ51" s="1544"/>
      <c r="CR51" s="1544"/>
      <c r="CS51" s="1544"/>
      <c r="CT51" s="1544"/>
      <c r="CU51" s="1544"/>
      <c r="CV51" s="1544"/>
      <c r="CW51" s="1544"/>
      <c r="CX51" s="1544"/>
      <c r="CY51" s="785"/>
      <c r="CZ51" s="1544"/>
      <c r="DA51" s="1544"/>
      <c r="DB51" s="1544"/>
      <c r="DC51" s="751"/>
      <c r="DD51" s="1544"/>
      <c r="DE51" s="1544"/>
      <c r="DF51" s="1544"/>
      <c r="DG51" s="1544"/>
      <c r="DH51" s="1544"/>
      <c r="DI51" s="1544"/>
      <c r="DJ51" s="1544"/>
      <c r="DK51" s="1544"/>
      <c r="DL51" s="1544"/>
      <c r="DM51" s="1544"/>
      <c r="DN51" s="1544"/>
      <c r="DO51" s="751"/>
      <c r="DP51" s="1544"/>
      <c r="DQ51" s="1544"/>
      <c r="DR51" s="607"/>
      <c r="DS51" s="607"/>
      <c r="DT51" s="607"/>
      <c r="DU51" s="607"/>
      <c r="DV51" s="1550"/>
    </row>
    <row r="52" spans="1:256" ht="13.8" hidden="1">
      <c r="A52" s="1551"/>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4"/>
      <c r="CC52" s="1544"/>
      <c r="CD52" s="1544"/>
      <c r="CE52" s="1544"/>
      <c r="CF52" s="1544"/>
      <c r="CG52" s="1544"/>
      <c r="CH52" s="1544"/>
      <c r="CI52" s="1544"/>
      <c r="CJ52" s="1544"/>
      <c r="CK52" s="1544"/>
      <c r="CL52" s="1544"/>
      <c r="CM52" s="1544"/>
      <c r="CN52" s="1544"/>
      <c r="CO52" s="1544"/>
      <c r="CP52" s="1544"/>
      <c r="CQ52" s="1544"/>
      <c r="CR52" s="1544"/>
      <c r="CS52" s="1544"/>
      <c r="CT52" s="1544"/>
      <c r="CU52" s="1544"/>
      <c r="CV52" s="1544"/>
      <c r="CW52" s="1544"/>
      <c r="CX52" s="1544"/>
      <c r="CY52" s="785"/>
      <c r="CZ52" s="1544"/>
      <c r="DA52" s="1544"/>
      <c r="DB52" s="1544"/>
      <c r="DC52" s="751"/>
      <c r="DD52" s="1544"/>
      <c r="DE52" s="1544"/>
      <c r="DF52" s="1544"/>
      <c r="DG52" s="1544"/>
      <c r="DH52" s="1544"/>
      <c r="DI52" s="1544"/>
      <c r="DJ52" s="1544"/>
      <c r="DK52" s="1544"/>
      <c r="DL52" s="1544"/>
      <c r="DM52" s="1544"/>
      <c r="DN52" s="1544"/>
      <c r="DO52" s="751"/>
      <c r="DP52" s="1544"/>
      <c r="DQ52" s="1544"/>
      <c r="DR52" s="607"/>
      <c r="DS52" s="607"/>
      <c r="DT52" s="607"/>
      <c r="DU52" s="607"/>
      <c r="DV52" s="1550"/>
    </row>
    <row r="53" spans="1:256" ht="13.8" hidden="1">
      <c r="A53" s="1551"/>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4"/>
      <c r="CF53" s="607"/>
      <c r="CG53" s="607"/>
      <c r="CH53" s="607"/>
      <c r="CI53" s="607"/>
      <c r="CJ53" s="607"/>
      <c r="CK53" s="607"/>
      <c r="CL53" s="607"/>
      <c r="CM53" s="607"/>
      <c r="CN53" s="607"/>
      <c r="CO53" s="607"/>
      <c r="CP53" s="607"/>
      <c r="CQ53" s="607"/>
      <c r="CR53" s="607"/>
      <c r="CS53" s="607"/>
      <c r="CT53" s="607"/>
      <c r="CU53" s="607"/>
      <c r="CV53" s="607"/>
      <c r="CW53" s="607"/>
      <c r="CX53" s="1544"/>
      <c r="CY53" s="785"/>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50"/>
    </row>
    <row r="54" spans="1:256" ht="13.8" hidden="1">
      <c r="A54" s="1551"/>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4"/>
      <c r="CC54" s="1544"/>
      <c r="CD54" s="1544"/>
      <c r="CE54" s="1544"/>
      <c r="CF54" s="1544"/>
      <c r="CG54" s="1544"/>
      <c r="CH54" s="1544"/>
      <c r="CI54" s="1544"/>
      <c r="CJ54" s="1544"/>
      <c r="CK54" s="1544"/>
      <c r="CL54" s="1544"/>
      <c r="CM54" s="1544"/>
      <c r="CN54" s="1544"/>
      <c r="CO54" s="1544"/>
      <c r="CP54" s="1544"/>
      <c r="CQ54" s="1544"/>
      <c r="CR54" s="1544"/>
      <c r="CS54" s="1544"/>
      <c r="CT54" s="1544"/>
      <c r="CU54" s="1544"/>
      <c r="CV54" s="1544"/>
      <c r="CW54" s="1544"/>
      <c r="CX54" s="1544"/>
      <c r="CY54" s="785"/>
      <c r="CZ54" s="1544"/>
      <c r="DA54" s="1544"/>
      <c r="DB54" s="1544"/>
      <c r="DC54" s="751"/>
      <c r="DD54" s="1544"/>
      <c r="DE54" s="1544"/>
      <c r="DF54" s="1544"/>
      <c r="DG54" s="1544"/>
      <c r="DH54" s="1544"/>
      <c r="DI54" s="1544"/>
      <c r="DJ54" s="1544"/>
      <c r="DK54" s="1544"/>
      <c r="DL54" s="1544"/>
      <c r="DM54" s="1544"/>
      <c r="DN54" s="1544"/>
      <c r="DO54" s="751"/>
      <c r="DP54" s="1544"/>
      <c r="DQ54" s="1544"/>
      <c r="DR54" s="607"/>
      <c r="DS54" s="607"/>
      <c r="DT54" s="607"/>
      <c r="DU54" s="607"/>
      <c r="DV54" s="1550"/>
    </row>
    <row r="55" spans="1:256" ht="13.8" hidden="1">
      <c r="A55" s="1551"/>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4"/>
      <c r="CC55" s="1544"/>
      <c r="CD55" s="1544"/>
      <c r="CE55" s="1544"/>
      <c r="CF55" s="1544"/>
      <c r="CG55" s="1544"/>
      <c r="CH55" s="1544"/>
      <c r="CI55" s="1544"/>
      <c r="CJ55" s="1544"/>
      <c r="CK55" s="1544"/>
      <c r="CL55" s="1544"/>
      <c r="CM55" s="1544"/>
      <c r="CN55" s="1544"/>
      <c r="CO55" s="1544"/>
      <c r="CP55" s="1544"/>
      <c r="CQ55" s="1544"/>
      <c r="CR55" s="1544"/>
      <c r="CS55" s="1544"/>
      <c r="CT55" s="1544"/>
      <c r="CU55" s="1544"/>
      <c r="CV55" s="1544"/>
      <c r="CW55" s="1544"/>
      <c r="CX55" s="1544"/>
      <c r="CY55" s="785"/>
      <c r="CZ55" s="1544"/>
      <c r="DA55" s="1544"/>
      <c r="DB55" s="1544"/>
      <c r="DC55" s="751"/>
      <c r="DD55" s="1544"/>
      <c r="DE55" s="1544"/>
      <c r="DF55" s="1544"/>
      <c r="DG55" s="1544"/>
      <c r="DH55" s="1544"/>
      <c r="DI55" s="1544"/>
      <c r="DJ55" s="1544"/>
      <c r="DK55" s="1544"/>
      <c r="DL55" s="1544"/>
      <c r="DM55" s="1544"/>
      <c r="DN55" s="1544"/>
      <c r="DO55" s="751"/>
      <c r="DP55" s="1544"/>
      <c r="DQ55" s="1544"/>
      <c r="DR55" s="607"/>
      <c r="DS55" s="607"/>
      <c r="DT55" s="607"/>
      <c r="DU55" s="607"/>
      <c r="DV55" s="1550"/>
    </row>
    <row r="56" spans="1:256" ht="13.8" hidden="1">
      <c r="A56" s="1551"/>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4"/>
      <c r="CC56" s="1544"/>
      <c r="CD56" s="1544"/>
      <c r="CE56" s="1544"/>
      <c r="CF56" s="1544"/>
      <c r="CG56" s="1544"/>
      <c r="CH56" s="1544"/>
      <c r="CI56" s="1544"/>
      <c r="CJ56" s="1544"/>
      <c r="CK56" s="1544"/>
      <c r="CL56" s="1544"/>
      <c r="CM56" s="1544"/>
      <c r="CN56" s="1544"/>
      <c r="CO56" s="1544"/>
      <c r="CP56" s="1544"/>
      <c r="CQ56" s="1544"/>
      <c r="CR56" s="1544"/>
      <c r="CS56" s="1544"/>
      <c r="CT56" s="1544"/>
      <c r="CU56" s="1544"/>
      <c r="CV56" s="1544"/>
      <c r="CW56" s="1544"/>
      <c r="CX56" s="1544"/>
      <c r="CY56" s="785"/>
      <c r="CZ56" s="1544"/>
      <c r="DA56" s="1544"/>
      <c r="DB56" s="1544"/>
      <c r="DC56" s="751"/>
      <c r="DD56" s="1544"/>
      <c r="DE56" s="1544"/>
      <c r="DF56" s="1544"/>
      <c r="DG56" s="1544"/>
      <c r="DH56" s="1544"/>
      <c r="DI56" s="1544"/>
      <c r="DJ56" s="1544"/>
      <c r="DK56" s="1544"/>
      <c r="DL56" s="1544"/>
      <c r="DM56" s="1544"/>
      <c r="DN56" s="1544"/>
      <c r="DO56" s="751"/>
      <c r="DP56" s="1544"/>
      <c r="DQ56" s="1544"/>
      <c r="DR56" s="607"/>
      <c r="DS56" s="607"/>
      <c r="DT56" s="607"/>
      <c r="DU56" s="607"/>
      <c r="DV56" s="1550"/>
    </row>
    <row r="57" spans="1:256" s="662" customFormat="1" ht="13.8" hidden="1">
      <c r="A57" s="1551"/>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4"/>
      <c r="CC57" s="1544"/>
      <c r="CD57" s="1544"/>
      <c r="CE57" s="1544"/>
      <c r="CF57" s="1544"/>
      <c r="CG57" s="1544"/>
      <c r="CH57" s="1544"/>
      <c r="CI57" s="1544"/>
      <c r="CJ57" s="1544"/>
      <c r="CK57" s="1544"/>
      <c r="CL57" s="1544"/>
      <c r="CM57" s="1544"/>
      <c r="CN57" s="1544"/>
      <c r="CO57" s="1544"/>
      <c r="CP57" s="1544"/>
      <c r="CQ57" s="1544"/>
      <c r="CR57" s="1544"/>
      <c r="CS57" s="1544"/>
      <c r="CT57" s="1544"/>
      <c r="CU57" s="1544"/>
      <c r="CV57" s="1544"/>
      <c r="CW57" s="1544"/>
      <c r="CX57" s="1544"/>
      <c r="CY57" s="785"/>
      <c r="CZ57" s="1544"/>
      <c r="DA57" s="1544"/>
      <c r="DB57" s="1544"/>
      <c r="DC57" s="751"/>
      <c r="DD57" s="1544"/>
      <c r="DE57" s="1544"/>
      <c r="DF57" s="1544"/>
      <c r="DG57" s="1544"/>
      <c r="DH57" s="1544"/>
      <c r="DI57" s="1544"/>
      <c r="DJ57" s="1544"/>
      <c r="DK57" s="1544"/>
      <c r="DL57" s="1544"/>
      <c r="DM57" s="1544"/>
      <c r="DN57" s="1544"/>
      <c r="DO57" s="751"/>
      <c r="DP57" s="1544"/>
      <c r="DQ57" s="1544"/>
      <c r="DR57" s="607"/>
      <c r="DS57" s="607"/>
      <c r="DT57" s="607"/>
      <c r="DU57" s="607"/>
      <c r="DV57" s="1550"/>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3.8" hidden="1">
      <c r="A58" s="1551"/>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4"/>
      <c r="CC58" s="1544"/>
      <c r="CD58" s="1544"/>
      <c r="CE58" s="1544"/>
      <c r="CF58" s="1544"/>
      <c r="CG58" s="1544"/>
      <c r="CH58" s="1544"/>
      <c r="CI58" s="1544"/>
      <c r="CJ58" s="1544"/>
      <c r="CK58" s="1544"/>
      <c r="CL58" s="1544"/>
      <c r="CM58" s="1544"/>
      <c r="CN58" s="1544"/>
      <c r="CO58" s="1544"/>
      <c r="CP58" s="1544"/>
      <c r="CQ58" s="1544"/>
      <c r="CR58" s="1544"/>
      <c r="CS58" s="1544"/>
      <c r="CT58" s="1544"/>
      <c r="CU58" s="1544"/>
      <c r="CV58" s="1544"/>
      <c r="CW58" s="1544"/>
      <c r="CX58" s="1544"/>
      <c r="CY58" s="785"/>
      <c r="CZ58" s="1544"/>
      <c r="DA58" s="1544"/>
      <c r="DB58" s="1544"/>
      <c r="DC58" s="751"/>
      <c r="DD58" s="1544"/>
      <c r="DE58" s="1544"/>
      <c r="DF58" s="1544"/>
      <c r="DG58" s="1544"/>
      <c r="DH58" s="1544"/>
      <c r="DI58" s="1544"/>
      <c r="DJ58" s="1544"/>
      <c r="DK58" s="1544"/>
      <c r="DL58" s="1544"/>
      <c r="DM58" s="1544"/>
      <c r="DN58" s="1544"/>
      <c r="DO58" s="751"/>
      <c r="DP58" s="1544"/>
      <c r="DQ58" s="1544"/>
      <c r="DR58" s="607"/>
      <c r="DS58" s="607"/>
      <c r="DT58" s="607"/>
      <c r="DU58" s="607"/>
      <c r="DV58" s="1550"/>
    </row>
    <row r="59" spans="1:256" ht="13.8" hidden="1">
      <c r="A59" s="1551"/>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4"/>
      <c r="CC59" s="1544"/>
      <c r="CD59" s="1544"/>
      <c r="CE59" s="1544"/>
      <c r="CF59" s="1544"/>
      <c r="CG59" s="1544"/>
      <c r="CH59" s="1544"/>
      <c r="CI59" s="1544"/>
      <c r="CJ59" s="1544"/>
      <c r="CK59" s="1544"/>
      <c r="CL59" s="1544"/>
      <c r="CM59" s="1544"/>
      <c r="CN59" s="1544"/>
      <c r="CO59" s="1544"/>
      <c r="CP59" s="1544"/>
      <c r="CQ59" s="1544"/>
      <c r="CR59" s="1544"/>
      <c r="CS59" s="1544"/>
      <c r="CT59" s="1544"/>
      <c r="CU59" s="1544"/>
      <c r="CV59" s="1544"/>
      <c r="CW59" s="1544"/>
      <c r="CX59" s="1544"/>
      <c r="CY59" s="785"/>
      <c r="CZ59" s="1544"/>
      <c r="DA59" s="1544"/>
      <c r="DB59" s="1544"/>
      <c r="DC59" s="751"/>
      <c r="DD59" s="1544"/>
      <c r="DE59" s="1544"/>
      <c r="DF59" s="1544"/>
      <c r="DG59" s="1544"/>
      <c r="DH59" s="1544"/>
      <c r="DI59" s="1544"/>
      <c r="DJ59" s="1544"/>
      <c r="DK59" s="1544"/>
      <c r="DL59" s="1544"/>
      <c r="DM59" s="1544"/>
      <c r="DN59" s="1544"/>
      <c r="DO59" s="751"/>
      <c r="DP59" s="1544"/>
      <c r="DQ59" s="1544"/>
      <c r="DR59" s="607"/>
      <c r="DS59" s="607"/>
      <c r="DT59" s="607"/>
      <c r="DU59" s="607"/>
      <c r="DV59" s="1550"/>
    </row>
    <row r="60" spans="1:256" ht="13.8" hidden="1">
      <c r="A60" s="1551"/>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4"/>
      <c r="CC60" s="1544"/>
      <c r="CD60" s="1544"/>
      <c r="CE60" s="1544"/>
      <c r="CF60" s="1544"/>
      <c r="CG60" s="1544"/>
      <c r="CH60" s="1544"/>
      <c r="CI60" s="1544"/>
      <c r="CJ60" s="1544"/>
      <c r="CK60" s="1544"/>
      <c r="CL60" s="1544"/>
      <c r="CM60" s="1544"/>
      <c r="CN60" s="1544"/>
      <c r="CO60" s="1544"/>
      <c r="CP60" s="1544"/>
      <c r="CQ60" s="1544"/>
      <c r="CR60" s="1544"/>
      <c r="CS60" s="1544"/>
      <c r="CT60" s="1544"/>
      <c r="CU60" s="1544"/>
      <c r="CV60" s="1544"/>
      <c r="CW60" s="1544"/>
      <c r="CX60" s="1544"/>
      <c r="CY60" s="785"/>
      <c r="CZ60" s="1544"/>
      <c r="DA60" s="1544"/>
      <c r="DB60" s="1544"/>
      <c r="DC60" s="751"/>
      <c r="DD60" s="1544"/>
      <c r="DE60" s="1544"/>
      <c r="DF60" s="1544"/>
      <c r="DG60" s="1544"/>
      <c r="DH60" s="1544"/>
      <c r="DI60" s="1544"/>
      <c r="DJ60" s="1544"/>
      <c r="DK60" s="1544"/>
      <c r="DL60" s="1544"/>
      <c r="DM60" s="1544"/>
      <c r="DN60" s="1544"/>
      <c r="DO60" s="751"/>
      <c r="DP60" s="1544"/>
      <c r="DQ60" s="1544"/>
      <c r="DR60" s="607"/>
      <c r="DS60" s="607"/>
      <c r="DT60" s="607"/>
      <c r="DU60" s="607"/>
      <c r="DV60" s="1550"/>
    </row>
    <row r="61" spans="1:256" ht="13.8" hidden="1">
      <c r="A61" s="1551"/>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4"/>
      <c r="CC61" s="1544"/>
      <c r="CD61" s="1544"/>
      <c r="CE61" s="1544"/>
      <c r="CF61" s="1544"/>
      <c r="CG61" s="1544"/>
      <c r="CH61" s="1544"/>
      <c r="CI61" s="1544"/>
      <c r="CJ61" s="1544"/>
      <c r="CK61" s="1544"/>
      <c r="CL61" s="1544"/>
      <c r="CM61" s="1544"/>
      <c r="CN61" s="1544"/>
      <c r="CO61" s="1544"/>
      <c r="CP61" s="1544"/>
      <c r="CQ61" s="1544"/>
      <c r="CR61" s="1544"/>
      <c r="CS61" s="1544"/>
      <c r="CT61" s="1544"/>
      <c r="CU61" s="1544"/>
      <c r="CV61" s="1544"/>
      <c r="CW61" s="1544"/>
      <c r="CX61" s="1544"/>
      <c r="CY61" s="785"/>
      <c r="CZ61" s="1544"/>
      <c r="DA61" s="1544"/>
      <c r="DB61" s="1544"/>
      <c r="DC61" s="751"/>
      <c r="DD61" s="1544"/>
      <c r="DE61" s="1544"/>
      <c r="DF61" s="1544"/>
      <c r="DG61" s="1544"/>
      <c r="DH61" s="1544"/>
      <c r="DI61" s="1544"/>
      <c r="DJ61" s="1544"/>
      <c r="DK61" s="1544"/>
      <c r="DL61" s="1544"/>
      <c r="DM61" s="1544"/>
      <c r="DN61" s="1544"/>
      <c r="DO61" s="751"/>
      <c r="DP61" s="1544"/>
      <c r="DQ61" s="1544"/>
      <c r="DR61" s="607"/>
      <c r="DS61" s="607"/>
      <c r="DT61" s="607"/>
      <c r="DU61" s="607"/>
      <c r="DV61" s="1550"/>
    </row>
    <row r="62" spans="1:256" s="662" customFormat="1" ht="13.8" hidden="1">
      <c r="A62" s="1551"/>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4"/>
      <c r="CF62" s="607"/>
      <c r="CG62" s="607"/>
      <c r="CH62" s="607"/>
      <c r="CI62" s="607"/>
      <c r="CJ62" s="607"/>
      <c r="CK62" s="607"/>
      <c r="CL62" s="607"/>
      <c r="CM62" s="607"/>
      <c r="CN62" s="607"/>
      <c r="CO62" s="607"/>
      <c r="CP62" s="607"/>
      <c r="CQ62" s="607"/>
      <c r="CR62" s="607"/>
      <c r="CS62" s="607"/>
      <c r="CT62" s="607"/>
      <c r="CU62" s="607"/>
      <c r="CV62" s="607"/>
      <c r="CW62" s="607"/>
      <c r="CX62" s="1544"/>
      <c r="CY62" s="785"/>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50"/>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3.8" hidden="1">
      <c r="A63" s="1553"/>
      <c r="B63" s="1554"/>
      <c r="C63" s="1553"/>
      <c r="D63" s="1553"/>
      <c r="E63" s="1553"/>
      <c r="F63" s="1553"/>
      <c r="G63" s="1553"/>
      <c r="H63" s="1553"/>
      <c r="I63" s="1553"/>
      <c r="J63" s="1553"/>
      <c r="K63" s="1553"/>
      <c r="L63" s="1553"/>
      <c r="M63" s="1553"/>
      <c r="N63" s="1553"/>
      <c r="O63" s="1553"/>
      <c r="P63" s="1553"/>
      <c r="Q63" s="1553"/>
      <c r="R63" s="1553"/>
      <c r="S63" s="1553"/>
      <c r="T63" s="1553"/>
      <c r="U63" s="1553"/>
      <c r="V63" s="1553"/>
      <c r="W63" s="1553"/>
      <c r="X63" s="1553"/>
      <c r="Y63" s="1553"/>
      <c r="Z63" s="1553"/>
      <c r="AA63" s="1553"/>
      <c r="AB63" s="1553"/>
      <c r="AC63" s="1553"/>
      <c r="AD63" s="1553"/>
      <c r="AE63" s="1553"/>
      <c r="AF63" s="1553"/>
      <c r="AG63" s="1553"/>
      <c r="AH63" s="1553"/>
      <c r="AI63" s="1553"/>
      <c r="AJ63" s="1553"/>
      <c r="AK63" s="1553"/>
      <c r="AL63" s="1553"/>
      <c r="AM63" s="1553"/>
      <c r="AN63" s="1553"/>
      <c r="AO63" s="1553"/>
      <c r="AP63" s="1553"/>
      <c r="AQ63" s="1553"/>
      <c r="AR63" s="1553"/>
      <c r="AS63" s="1553"/>
      <c r="AT63" s="1553"/>
      <c r="AU63" s="1553"/>
      <c r="AV63" s="1553"/>
      <c r="AW63" s="1553"/>
      <c r="AX63" s="1553"/>
      <c r="AY63" s="1553"/>
      <c r="AZ63" s="1553"/>
      <c r="BA63" s="1553"/>
      <c r="BB63" s="1553"/>
      <c r="BC63" s="1553"/>
      <c r="BD63" s="1553"/>
      <c r="BE63" s="1553"/>
      <c r="BF63" s="1553"/>
      <c r="BG63" s="1553"/>
      <c r="BH63" s="1553"/>
      <c r="BI63" s="1553"/>
      <c r="BJ63" s="1553"/>
      <c r="BK63" s="1553"/>
      <c r="BL63" s="1553"/>
      <c r="BM63" s="1553"/>
      <c r="BN63" s="1553"/>
      <c r="BO63" s="1553"/>
      <c r="BP63" s="1553"/>
      <c r="BQ63" s="1553"/>
      <c r="BR63" s="1553"/>
      <c r="BS63" s="1553"/>
      <c r="BT63" s="1553"/>
      <c r="BU63" s="1553"/>
      <c r="BV63" s="1553"/>
      <c r="BW63" s="1553"/>
      <c r="BX63" s="1553"/>
      <c r="BY63" s="1553"/>
      <c r="BZ63" s="1553"/>
      <c r="CA63" s="1553"/>
      <c r="CB63" s="1553"/>
      <c r="CC63" s="1553"/>
      <c r="CD63" s="1553"/>
      <c r="CE63" s="1544"/>
      <c r="CF63" s="1553"/>
      <c r="CG63" s="1553"/>
      <c r="CH63" s="1553"/>
      <c r="CI63" s="1553"/>
      <c r="CJ63" s="1553"/>
      <c r="CK63" s="1553"/>
      <c r="CL63" s="1553"/>
      <c r="CM63" s="1553"/>
      <c r="CN63" s="1553"/>
      <c r="CO63" s="1553"/>
      <c r="CP63" s="1553"/>
      <c r="CQ63" s="1553"/>
      <c r="CR63" s="1553"/>
      <c r="CS63" s="1553"/>
      <c r="CT63" s="1553"/>
      <c r="CU63" s="1553"/>
      <c r="CV63" s="1553"/>
      <c r="CW63" s="1553"/>
      <c r="CX63" s="1553"/>
      <c r="CY63" s="1555"/>
      <c r="CZ63" s="1553"/>
      <c r="DA63" s="1553"/>
      <c r="DB63" s="1553"/>
      <c r="DC63" s="1553"/>
      <c r="DD63" s="1553"/>
      <c r="DE63" s="1553"/>
      <c r="DF63" s="1553"/>
      <c r="DG63" s="1553"/>
      <c r="DH63" s="1553"/>
      <c r="DI63" s="1553"/>
      <c r="DJ63" s="1553"/>
      <c r="DK63" s="1553"/>
      <c r="DL63" s="1553"/>
      <c r="DM63" s="1553"/>
      <c r="DN63" s="1553"/>
      <c r="DO63" s="1553"/>
      <c r="DP63" s="1553"/>
      <c r="DQ63" s="1553"/>
      <c r="DR63" s="1553"/>
      <c r="DS63" s="1553"/>
      <c r="DT63" s="1553"/>
      <c r="DU63" s="1553"/>
      <c r="DV63" s="1556"/>
    </row>
    <row r="64" spans="1:256" s="532" customFormat="1" ht="18" hidden="1" customHeight="1">
      <c r="A64" s="1560"/>
      <c r="B64" s="975"/>
      <c r="C64" s="975"/>
      <c r="D64" s="975"/>
      <c r="E64" s="975"/>
      <c r="F64" s="975"/>
      <c r="G64" s="975"/>
      <c r="H64" s="975"/>
      <c r="I64" s="975"/>
      <c r="J64" s="975"/>
      <c r="K64" s="975"/>
      <c r="L64" s="975"/>
      <c r="M64" s="975"/>
      <c r="N64" s="975"/>
      <c r="O64" s="975"/>
      <c r="P64" s="975"/>
      <c r="Q64" s="975"/>
      <c r="R64" s="975"/>
      <c r="S64" s="975"/>
      <c r="T64" s="975"/>
      <c r="U64" s="975"/>
      <c r="V64" s="975"/>
      <c r="W64" s="975"/>
      <c r="X64" s="975"/>
      <c r="Y64" s="975"/>
      <c r="Z64" s="975"/>
      <c r="AA64" s="975"/>
      <c r="AB64" s="975"/>
      <c r="AC64" s="975"/>
      <c r="AD64" s="975"/>
      <c r="AE64" s="975"/>
      <c r="AF64" s="975"/>
      <c r="AG64" s="975"/>
      <c r="AH64" s="975"/>
      <c r="AI64" s="975"/>
      <c r="AJ64" s="975"/>
      <c r="AK64" s="975"/>
      <c r="AL64" s="975"/>
      <c r="AM64" s="975"/>
      <c r="AN64" s="975"/>
      <c r="AO64" s="975"/>
      <c r="AP64" s="975"/>
      <c r="AQ64" s="975"/>
      <c r="AR64" s="975"/>
      <c r="AS64" s="975"/>
      <c r="AT64" s="975"/>
      <c r="AU64" s="975"/>
      <c r="AV64" s="975"/>
      <c r="AW64" s="975"/>
      <c r="AX64" s="975"/>
      <c r="AY64" s="975"/>
      <c r="AZ64" s="975"/>
      <c r="BA64" s="975"/>
      <c r="BB64" s="975"/>
      <c r="BC64" s="975"/>
      <c r="BD64" s="975"/>
      <c r="BE64" s="975"/>
      <c r="BF64" s="975"/>
      <c r="BG64" s="975"/>
      <c r="BH64" s="975"/>
      <c r="BI64" s="975"/>
      <c r="BJ64" s="975"/>
      <c r="BK64" s="975"/>
      <c r="BL64" s="975"/>
      <c r="BM64" s="975"/>
      <c r="BN64" s="975"/>
      <c r="BO64" s="975"/>
      <c r="BP64" s="975"/>
      <c r="BQ64" s="975"/>
      <c r="BR64" s="975"/>
      <c r="BS64" s="975"/>
      <c r="BT64" s="975"/>
      <c r="BU64" s="975"/>
      <c r="BV64" s="975"/>
      <c r="BW64" s="975"/>
      <c r="BX64" s="975"/>
      <c r="BY64" s="975"/>
      <c r="BZ64" s="975"/>
      <c r="CA64" s="975"/>
      <c r="CB64" s="975"/>
      <c r="CC64" s="975"/>
      <c r="CD64" s="975"/>
      <c r="CE64" s="1544"/>
      <c r="CF64" s="975"/>
      <c r="CG64" s="975"/>
      <c r="CH64" s="975"/>
      <c r="CI64" s="975"/>
      <c r="CJ64" s="975"/>
      <c r="CK64" s="975"/>
      <c r="CL64" s="975"/>
      <c r="CM64" s="975"/>
      <c r="CN64" s="975"/>
      <c r="CO64" s="975"/>
      <c r="CP64" s="975"/>
      <c r="CQ64" s="975"/>
      <c r="CR64" s="975"/>
      <c r="CS64" s="975"/>
      <c r="CT64" s="975"/>
      <c r="CU64" s="975"/>
      <c r="CV64" s="975"/>
      <c r="CW64" s="975"/>
      <c r="CX64" s="975"/>
      <c r="CY64" s="1558"/>
      <c r="CZ64" s="975"/>
      <c r="DA64" s="975"/>
      <c r="DB64" s="975"/>
      <c r="DC64" s="975"/>
      <c r="DD64" s="975"/>
      <c r="DE64" s="975"/>
      <c r="DF64" s="975"/>
      <c r="DG64" s="975"/>
      <c r="DH64" s="975"/>
      <c r="DI64" s="975"/>
      <c r="DJ64" s="975"/>
      <c r="DK64" s="975"/>
      <c r="DL64" s="975"/>
      <c r="DM64" s="975"/>
      <c r="DN64" s="975"/>
      <c r="DO64" s="975"/>
      <c r="DP64" s="975"/>
      <c r="DQ64" s="975"/>
      <c r="DR64" s="975"/>
      <c r="DS64" s="975"/>
      <c r="DT64" s="975"/>
      <c r="DU64" s="975"/>
      <c r="DV64" s="1559"/>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3.8" hidden="1">
      <c r="A65" s="1551"/>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4"/>
      <c r="CF65" s="607"/>
      <c r="CG65" s="607"/>
      <c r="CH65" s="607"/>
      <c r="CI65" s="607"/>
      <c r="CJ65" s="607"/>
      <c r="CK65" s="607"/>
      <c r="CL65" s="607"/>
      <c r="CM65" s="607"/>
      <c r="CN65" s="607"/>
      <c r="CO65" s="607"/>
      <c r="CP65" s="607"/>
      <c r="CQ65" s="607"/>
      <c r="CR65" s="607"/>
      <c r="CS65" s="607"/>
      <c r="CT65" s="607"/>
      <c r="CU65" s="607"/>
      <c r="CV65" s="607"/>
      <c r="CW65" s="607"/>
      <c r="CX65" s="607"/>
      <c r="CY65" s="785"/>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50"/>
    </row>
    <row r="66" spans="1:126" ht="13.8" hidden="1">
      <c r="A66" s="1551"/>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4"/>
      <c r="CC66" s="1544"/>
      <c r="CD66" s="1544"/>
      <c r="CE66" s="1544"/>
      <c r="CF66" s="1544"/>
      <c r="CG66" s="1544"/>
      <c r="CH66" s="1544"/>
      <c r="CI66" s="1544"/>
      <c r="CJ66" s="1544"/>
      <c r="CK66" s="1544"/>
      <c r="CL66" s="1544"/>
      <c r="CM66" s="1544"/>
      <c r="CN66" s="1544"/>
      <c r="CO66" s="1544"/>
      <c r="CP66" s="1544"/>
      <c r="CQ66" s="1544"/>
      <c r="CR66" s="1544"/>
      <c r="CS66" s="1544"/>
      <c r="CT66" s="1544"/>
      <c r="CU66" s="1544"/>
      <c r="CV66" s="1544"/>
      <c r="CW66" s="1544"/>
      <c r="CX66" s="1544"/>
      <c r="CY66" s="785"/>
      <c r="CZ66" s="1544"/>
      <c r="DA66" s="1544"/>
      <c r="DB66" s="1544"/>
      <c r="DC66" s="751"/>
      <c r="DD66" s="1544"/>
      <c r="DE66" s="1544"/>
      <c r="DF66" s="1544"/>
      <c r="DG66" s="1544"/>
      <c r="DH66" s="1544"/>
      <c r="DI66" s="1544"/>
      <c r="DJ66" s="1544"/>
      <c r="DK66" s="1544"/>
      <c r="DL66" s="1544"/>
      <c r="DM66" s="1544"/>
      <c r="DN66" s="1544"/>
      <c r="DO66" s="751"/>
      <c r="DP66" s="1544"/>
      <c r="DQ66" s="1544"/>
      <c r="DR66" s="607"/>
      <c r="DS66" s="607"/>
      <c r="DT66" s="607"/>
      <c r="DU66" s="607"/>
      <c r="DV66" s="1550"/>
    </row>
    <row r="67" spans="1:126" ht="13.8" hidden="1">
      <c r="A67" s="1551"/>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4"/>
      <c r="CC67" s="1544"/>
      <c r="CD67" s="1544"/>
      <c r="CE67" s="1544"/>
      <c r="CF67" s="1544"/>
      <c r="CG67" s="1544"/>
      <c r="CH67" s="1544"/>
      <c r="CI67" s="1544"/>
      <c r="CJ67" s="1544"/>
      <c r="CK67" s="1544"/>
      <c r="CL67" s="1544"/>
      <c r="CM67" s="1544"/>
      <c r="CN67" s="1544"/>
      <c r="CO67" s="1544"/>
      <c r="CP67" s="1544"/>
      <c r="CQ67" s="1544"/>
      <c r="CR67" s="1544"/>
      <c r="CS67" s="1544"/>
      <c r="CT67" s="1544"/>
      <c r="CU67" s="1544"/>
      <c r="CV67" s="1544"/>
      <c r="CW67" s="1544"/>
      <c r="CX67" s="1544"/>
      <c r="CY67" s="785"/>
      <c r="CZ67" s="1544"/>
      <c r="DA67" s="1544"/>
      <c r="DB67" s="1544"/>
      <c r="DC67" s="751"/>
      <c r="DD67" s="1544"/>
      <c r="DE67" s="1544"/>
      <c r="DF67" s="1544"/>
      <c r="DG67" s="1544"/>
      <c r="DH67" s="1544"/>
      <c r="DI67" s="1544"/>
      <c r="DJ67" s="1544"/>
      <c r="DK67" s="1544"/>
      <c r="DL67" s="1544"/>
      <c r="DM67" s="1544"/>
      <c r="DN67" s="1544"/>
      <c r="DO67" s="751"/>
      <c r="DP67" s="1544"/>
      <c r="DQ67" s="1544"/>
      <c r="DR67" s="607"/>
      <c r="DS67" s="607"/>
      <c r="DT67" s="607"/>
      <c r="DU67" s="607"/>
      <c r="DV67" s="1550"/>
    </row>
    <row r="68" spans="1:126" ht="13.8" hidden="1">
      <c r="A68" s="1551"/>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4"/>
      <c r="CC68" s="1544"/>
      <c r="CD68" s="1544"/>
      <c r="CE68" s="1544"/>
      <c r="CF68" s="1544"/>
      <c r="CG68" s="1544"/>
      <c r="CH68" s="1544"/>
      <c r="CI68" s="1544"/>
      <c r="CJ68" s="1544"/>
      <c r="CK68" s="1544"/>
      <c r="CL68" s="1544"/>
      <c r="CM68" s="1544"/>
      <c r="CN68" s="1544"/>
      <c r="CO68" s="1544"/>
      <c r="CP68" s="1544"/>
      <c r="CQ68" s="1544"/>
      <c r="CR68" s="1544"/>
      <c r="CS68" s="1544"/>
      <c r="CT68" s="1544"/>
      <c r="CU68" s="1544"/>
      <c r="CV68" s="1544"/>
      <c r="CW68" s="1544"/>
      <c r="CX68" s="1544"/>
      <c r="CY68" s="785"/>
      <c r="CZ68" s="1544"/>
      <c r="DA68" s="1544"/>
      <c r="DB68" s="1544"/>
      <c r="DC68" s="751"/>
      <c r="DD68" s="1544"/>
      <c r="DE68" s="1544"/>
      <c r="DF68" s="1544"/>
      <c r="DG68" s="1544"/>
      <c r="DH68" s="1544"/>
      <c r="DI68" s="1544"/>
      <c r="DJ68" s="1544"/>
      <c r="DK68" s="1544"/>
      <c r="DL68" s="1544"/>
      <c r="DM68" s="1544"/>
      <c r="DN68" s="1544"/>
      <c r="DO68" s="751"/>
      <c r="DP68" s="1544"/>
      <c r="DQ68" s="1544"/>
      <c r="DR68" s="607"/>
      <c r="DS68" s="607"/>
      <c r="DT68" s="607"/>
      <c r="DU68" s="607"/>
      <c r="DV68" s="1550"/>
    </row>
    <row r="69" spans="1:126" ht="13.8" hidden="1">
      <c r="A69" s="1551"/>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4"/>
      <c r="CC69" s="1544"/>
      <c r="CD69" s="1544"/>
      <c r="CE69" s="1544"/>
      <c r="CF69" s="1544"/>
      <c r="CG69" s="1544"/>
      <c r="CH69" s="1544"/>
      <c r="CI69" s="1544"/>
      <c r="CJ69" s="1544"/>
      <c r="CK69" s="1544"/>
      <c r="CL69" s="1544"/>
      <c r="CM69" s="1544"/>
      <c r="CN69" s="1544"/>
      <c r="CO69" s="1544"/>
      <c r="CP69" s="1544"/>
      <c r="CQ69" s="1544"/>
      <c r="CR69" s="1544"/>
      <c r="CS69" s="1544"/>
      <c r="CT69" s="1544"/>
      <c r="CU69" s="1544"/>
      <c r="CV69" s="1544"/>
      <c r="CW69" s="1544"/>
      <c r="CX69" s="1544"/>
      <c r="CY69" s="785"/>
      <c r="CZ69" s="1544"/>
      <c r="DA69" s="1544"/>
      <c r="DB69" s="1544"/>
      <c r="DC69" s="751"/>
      <c r="DD69" s="1544"/>
      <c r="DE69" s="1544"/>
      <c r="DF69" s="1544"/>
      <c r="DG69" s="1544"/>
      <c r="DH69" s="1544"/>
      <c r="DI69" s="1544"/>
      <c r="DJ69" s="1544"/>
      <c r="DK69" s="1544"/>
      <c r="DL69" s="1544"/>
      <c r="DM69" s="1544"/>
      <c r="DN69" s="1544"/>
      <c r="DO69" s="751"/>
      <c r="DP69" s="1544"/>
      <c r="DQ69" s="1544"/>
      <c r="DR69" s="607"/>
      <c r="DS69" s="607"/>
      <c r="DT69" s="607"/>
      <c r="DU69" s="607"/>
      <c r="DV69" s="1550"/>
    </row>
    <row r="70" spans="1:126" ht="13.8" hidden="1">
      <c r="A70" s="1551"/>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4"/>
      <c r="CC70" s="1544"/>
      <c r="CD70" s="1544"/>
      <c r="CE70" s="1544"/>
      <c r="CF70" s="1544"/>
      <c r="CG70" s="1544"/>
      <c r="CH70" s="1544"/>
      <c r="CI70" s="1544"/>
      <c r="CJ70" s="1544"/>
      <c r="CK70" s="1544"/>
      <c r="CL70" s="1544"/>
      <c r="CM70" s="1544"/>
      <c r="CN70" s="1544"/>
      <c r="CO70" s="1544"/>
      <c r="CP70" s="1544"/>
      <c r="CQ70" s="1544"/>
      <c r="CR70" s="1544"/>
      <c r="CS70" s="1544"/>
      <c r="CT70" s="1544"/>
      <c r="CU70" s="1544"/>
      <c r="CV70" s="1544"/>
      <c r="CW70" s="1544"/>
      <c r="CX70" s="1544"/>
      <c r="CY70" s="785"/>
      <c r="CZ70" s="1544"/>
      <c r="DA70" s="1544"/>
      <c r="DB70" s="1544"/>
      <c r="DC70" s="751"/>
      <c r="DD70" s="1544"/>
      <c r="DE70" s="1544"/>
      <c r="DF70" s="1544"/>
      <c r="DG70" s="1544"/>
      <c r="DH70" s="1544"/>
      <c r="DI70" s="1544"/>
      <c r="DJ70" s="1544"/>
      <c r="DK70" s="1544"/>
      <c r="DL70" s="1544"/>
      <c r="DM70" s="1544"/>
      <c r="DN70" s="1544"/>
      <c r="DO70" s="751"/>
      <c r="DP70" s="1544"/>
      <c r="DQ70" s="1544"/>
      <c r="DR70" s="607"/>
      <c r="DS70" s="607"/>
      <c r="DT70" s="607"/>
      <c r="DU70" s="607"/>
      <c r="DV70" s="1550"/>
    </row>
    <row r="71" spans="1:126" ht="13.8" hidden="1">
      <c r="A71" s="1551"/>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4"/>
      <c r="CC71" s="1544"/>
      <c r="CD71" s="1544"/>
      <c r="CE71" s="1544"/>
      <c r="CF71" s="1544"/>
      <c r="CG71" s="1544"/>
      <c r="CH71" s="1544"/>
      <c r="CI71" s="1544"/>
      <c r="CJ71" s="1544"/>
      <c r="CK71" s="1544"/>
      <c r="CL71" s="1544"/>
      <c r="CM71" s="1544"/>
      <c r="CN71" s="1544"/>
      <c r="CO71" s="1544"/>
      <c r="CP71" s="1544"/>
      <c r="CQ71" s="1544"/>
      <c r="CR71" s="1544"/>
      <c r="CS71" s="1544"/>
      <c r="CT71" s="1544"/>
      <c r="CU71" s="1544"/>
      <c r="CV71" s="1544"/>
      <c r="CW71" s="1544"/>
      <c r="CX71" s="1544"/>
      <c r="CY71" s="785"/>
      <c r="CZ71" s="1544"/>
      <c r="DA71" s="1544"/>
      <c r="DB71" s="1544"/>
      <c r="DC71" s="751"/>
      <c r="DD71" s="1544"/>
      <c r="DE71" s="1544"/>
      <c r="DF71" s="1544"/>
      <c r="DG71" s="1544"/>
      <c r="DH71" s="1544"/>
      <c r="DI71" s="1544"/>
      <c r="DJ71" s="1544"/>
      <c r="DK71" s="1544"/>
      <c r="DL71" s="1544"/>
      <c r="DM71" s="1544"/>
      <c r="DN71" s="1544"/>
      <c r="DO71" s="751"/>
      <c r="DP71" s="1544"/>
      <c r="DQ71" s="1544"/>
      <c r="DR71" s="607"/>
      <c r="DS71" s="607"/>
      <c r="DT71" s="607"/>
      <c r="DU71" s="607"/>
      <c r="DV71" s="1550"/>
    </row>
    <row r="72" spans="1:126" ht="13.8" hidden="1">
      <c r="A72" s="1551"/>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4"/>
      <c r="CC72" s="1544"/>
      <c r="CD72" s="1544"/>
      <c r="CE72" s="1544"/>
      <c r="CF72" s="1544"/>
      <c r="CG72" s="1544"/>
      <c r="CH72" s="1544"/>
      <c r="CI72" s="1544"/>
      <c r="CJ72" s="1544"/>
      <c r="CK72" s="1544"/>
      <c r="CL72" s="1544"/>
      <c r="CM72" s="1544"/>
      <c r="CN72" s="1544"/>
      <c r="CO72" s="1544"/>
      <c r="CP72" s="1544"/>
      <c r="CQ72" s="1544"/>
      <c r="CR72" s="1544"/>
      <c r="CS72" s="1544"/>
      <c r="CT72" s="1544"/>
      <c r="CU72" s="1544"/>
      <c r="CV72" s="1544"/>
      <c r="CW72" s="1544"/>
      <c r="CX72" s="1544"/>
      <c r="CY72" s="785"/>
      <c r="CZ72" s="1544"/>
      <c r="DA72" s="1544"/>
      <c r="DB72" s="1544"/>
      <c r="DC72" s="751"/>
      <c r="DD72" s="1544"/>
      <c r="DE72" s="1544"/>
      <c r="DF72" s="1544"/>
      <c r="DG72" s="1544"/>
      <c r="DH72" s="1544"/>
      <c r="DI72" s="1544"/>
      <c r="DJ72" s="1544"/>
      <c r="DK72" s="1544"/>
      <c r="DL72" s="1544"/>
      <c r="DM72" s="1544"/>
      <c r="DN72" s="1544"/>
      <c r="DO72" s="751"/>
      <c r="DP72" s="1544"/>
      <c r="DQ72" s="1544"/>
      <c r="DR72" s="607"/>
      <c r="DS72" s="607"/>
      <c r="DT72" s="607"/>
      <c r="DU72" s="607"/>
      <c r="DV72" s="1550"/>
    </row>
    <row r="73" spans="1:126" ht="13.8" hidden="1">
      <c r="A73" s="1551"/>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4"/>
      <c r="CC73" s="1544"/>
      <c r="CD73" s="1544"/>
      <c r="CE73" s="1544"/>
      <c r="CF73" s="1544"/>
      <c r="CG73" s="1544"/>
      <c r="CH73" s="1544"/>
      <c r="CI73" s="1544"/>
      <c r="CJ73" s="1544"/>
      <c r="CK73" s="1544"/>
      <c r="CL73" s="1544"/>
      <c r="CM73" s="1544"/>
      <c r="CN73" s="1544"/>
      <c r="CO73" s="1544"/>
      <c r="CP73" s="1544"/>
      <c r="CQ73" s="1544"/>
      <c r="CR73" s="1544"/>
      <c r="CS73" s="1544"/>
      <c r="CT73" s="1544"/>
      <c r="CU73" s="1544"/>
      <c r="CV73" s="1544"/>
      <c r="CW73" s="1544"/>
      <c r="CX73" s="1544"/>
      <c r="CY73" s="785"/>
      <c r="CZ73" s="1544"/>
      <c r="DA73" s="1544"/>
      <c r="DB73" s="1544"/>
      <c r="DC73" s="751"/>
      <c r="DD73" s="1544"/>
      <c r="DE73" s="1544"/>
      <c r="DF73" s="1544"/>
      <c r="DG73" s="1544"/>
      <c r="DH73" s="1544"/>
      <c r="DI73" s="1544"/>
      <c r="DJ73" s="1544"/>
      <c r="DK73" s="1544"/>
      <c r="DL73" s="1544"/>
      <c r="DM73" s="1544"/>
      <c r="DN73" s="1544"/>
      <c r="DO73" s="751"/>
      <c r="DP73" s="1544"/>
      <c r="DQ73" s="1544"/>
      <c r="DR73" s="607"/>
      <c r="DS73" s="607"/>
      <c r="DT73" s="607"/>
      <c r="DU73" s="607"/>
      <c r="DV73" s="1550"/>
    </row>
    <row r="74" spans="1:126" ht="13.8" hidden="1">
      <c r="A74" s="1551"/>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4"/>
      <c r="CC74" s="1544"/>
      <c r="CD74" s="1544"/>
      <c r="CE74" s="1544"/>
      <c r="CF74" s="1544"/>
      <c r="CG74" s="1544"/>
      <c r="CH74" s="1544"/>
      <c r="CI74" s="1544"/>
      <c r="CJ74" s="1544"/>
      <c r="CK74" s="1544"/>
      <c r="CL74" s="1544"/>
      <c r="CM74" s="1544"/>
      <c r="CN74" s="1544"/>
      <c r="CO74" s="1544"/>
      <c r="CP74" s="1544"/>
      <c r="CQ74" s="1544"/>
      <c r="CR74" s="1544"/>
      <c r="CS74" s="1544"/>
      <c r="CT74" s="1544"/>
      <c r="CU74" s="1544"/>
      <c r="CV74" s="1544"/>
      <c r="CW74" s="1544"/>
      <c r="CX74" s="1544"/>
      <c r="CY74" s="785"/>
      <c r="CZ74" s="1544"/>
      <c r="DA74" s="1544"/>
      <c r="DB74" s="1544"/>
      <c r="DC74" s="751"/>
      <c r="DD74" s="1544"/>
      <c r="DE74" s="1544"/>
      <c r="DF74" s="1544"/>
      <c r="DG74" s="1544"/>
      <c r="DH74" s="1544"/>
      <c r="DI74" s="1544"/>
      <c r="DJ74" s="1544"/>
      <c r="DK74" s="1544"/>
      <c r="DL74" s="1544"/>
      <c r="DM74" s="1544"/>
      <c r="DN74" s="1544"/>
      <c r="DO74" s="751"/>
      <c r="DP74" s="1544"/>
      <c r="DQ74" s="1544"/>
      <c r="DR74" s="607"/>
      <c r="DS74" s="607"/>
      <c r="DT74" s="607"/>
      <c r="DU74" s="607"/>
      <c r="DV74" s="1550"/>
    </row>
    <row r="75" spans="1:126" ht="13.8" hidden="1">
      <c r="A75" s="1551"/>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4"/>
      <c r="CC75" s="1544"/>
      <c r="CD75" s="1544"/>
      <c r="CE75" s="1544"/>
      <c r="CF75" s="1544"/>
      <c r="CG75" s="1544"/>
      <c r="CH75" s="1544"/>
      <c r="CI75" s="1544"/>
      <c r="CJ75" s="1544"/>
      <c r="CK75" s="1544"/>
      <c r="CL75" s="1544"/>
      <c r="CM75" s="1544"/>
      <c r="CN75" s="1544"/>
      <c r="CO75" s="1544"/>
      <c r="CP75" s="1544"/>
      <c r="CQ75" s="1544"/>
      <c r="CR75" s="1544"/>
      <c r="CS75" s="1544"/>
      <c r="CT75" s="1544"/>
      <c r="CU75" s="1544"/>
      <c r="CV75" s="1544"/>
      <c r="CW75" s="1544"/>
      <c r="CX75" s="1544"/>
      <c r="CY75" s="785"/>
      <c r="CZ75" s="1544"/>
      <c r="DA75" s="1544"/>
      <c r="DB75" s="1544"/>
      <c r="DC75" s="751"/>
      <c r="DD75" s="1544"/>
      <c r="DE75" s="1544"/>
      <c r="DF75" s="1544"/>
      <c r="DG75" s="1544"/>
      <c r="DH75" s="1544"/>
      <c r="DI75" s="1544"/>
      <c r="DJ75" s="1544"/>
      <c r="DK75" s="1544"/>
      <c r="DL75" s="1544"/>
      <c r="DM75" s="1544"/>
      <c r="DN75" s="1544"/>
      <c r="DO75" s="751"/>
      <c r="DP75" s="1544"/>
      <c r="DQ75" s="1544"/>
      <c r="DR75" s="607"/>
      <c r="DS75" s="607"/>
      <c r="DT75" s="607"/>
      <c r="DU75" s="607"/>
      <c r="DV75" s="1550"/>
    </row>
    <row r="76" spans="1:126" ht="13.8" hidden="1">
      <c r="A76" s="1551"/>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4"/>
      <c r="CC76" s="1544"/>
      <c r="CD76" s="1544"/>
      <c r="CE76" s="1544"/>
      <c r="CF76" s="1544"/>
      <c r="CG76" s="1544"/>
      <c r="CH76" s="1544"/>
      <c r="CI76" s="1544"/>
      <c r="CJ76" s="1544"/>
      <c r="CK76" s="1544"/>
      <c r="CL76" s="1544"/>
      <c r="CM76" s="1544"/>
      <c r="CN76" s="1544"/>
      <c r="CO76" s="1544"/>
      <c r="CP76" s="1544"/>
      <c r="CQ76" s="1544"/>
      <c r="CR76" s="1544"/>
      <c r="CS76" s="1544"/>
      <c r="CT76" s="1544"/>
      <c r="CU76" s="1544"/>
      <c r="CV76" s="1544"/>
      <c r="CW76" s="1544"/>
      <c r="CX76" s="1544"/>
      <c r="CY76" s="785"/>
      <c r="CZ76" s="1544"/>
      <c r="DA76" s="1544"/>
      <c r="DB76" s="1544"/>
      <c r="DC76" s="751"/>
      <c r="DD76" s="1544"/>
      <c r="DE76" s="1544"/>
      <c r="DF76" s="1544"/>
      <c r="DG76" s="1544"/>
      <c r="DH76" s="1544"/>
      <c r="DI76" s="1544"/>
      <c r="DJ76" s="1544"/>
      <c r="DK76" s="1544"/>
      <c r="DL76" s="1544"/>
      <c r="DM76" s="1544"/>
      <c r="DN76" s="1544"/>
      <c r="DO76" s="751"/>
      <c r="DP76" s="1544"/>
      <c r="DQ76" s="1544"/>
      <c r="DR76" s="607"/>
      <c r="DS76" s="607"/>
      <c r="DT76" s="607"/>
      <c r="DU76" s="607"/>
      <c r="DV76" s="1550"/>
    </row>
    <row r="77" spans="1:126" ht="13.8" hidden="1">
      <c r="A77" s="1551"/>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4"/>
      <c r="CC77" s="1544"/>
      <c r="CD77" s="1544"/>
      <c r="CE77" s="1544"/>
      <c r="CF77" s="1544"/>
      <c r="CG77" s="1544"/>
      <c r="CH77" s="1544"/>
      <c r="CI77" s="1544"/>
      <c r="CJ77" s="1544"/>
      <c r="CK77" s="1544"/>
      <c r="CL77" s="1544"/>
      <c r="CM77" s="1544"/>
      <c r="CN77" s="1544"/>
      <c r="CO77" s="1544"/>
      <c r="CP77" s="1544"/>
      <c r="CQ77" s="1544"/>
      <c r="CR77" s="1544"/>
      <c r="CS77" s="1544"/>
      <c r="CT77" s="1544"/>
      <c r="CU77" s="1544"/>
      <c r="CV77" s="1544"/>
      <c r="CW77" s="1544"/>
      <c r="CX77" s="1544"/>
      <c r="CY77" s="785"/>
      <c r="CZ77" s="1544"/>
      <c r="DA77" s="1544"/>
      <c r="DB77" s="1544"/>
      <c r="DC77" s="751"/>
      <c r="DD77" s="1544"/>
      <c r="DE77" s="1544"/>
      <c r="DF77" s="1544"/>
      <c r="DG77" s="1544"/>
      <c r="DH77" s="1544"/>
      <c r="DI77" s="1544"/>
      <c r="DJ77" s="1544"/>
      <c r="DK77" s="1544"/>
      <c r="DL77" s="1544"/>
      <c r="DM77" s="1544"/>
      <c r="DN77" s="1544"/>
      <c r="DO77" s="751"/>
      <c r="DP77" s="1544"/>
      <c r="DQ77" s="1544"/>
      <c r="DR77" s="607"/>
      <c r="DS77" s="607"/>
      <c r="DT77" s="607"/>
      <c r="DU77" s="607"/>
      <c r="DV77" s="1550"/>
    </row>
    <row r="78" spans="1:126" ht="13.8" hidden="1">
      <c r="A78" s="1551"/>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4"/>
      <c r="CC78" s="1544"/>
      <c r="CD78" s="1544"/>
      <c r="CE78" s="1544"/>
      <c r="CF78" s="1544"/>
      <c r="CG78" s="1544"/>
      <c r="CH78" s="1544"/>
      <c r="CI78" s="1544"/>
      <c r="CJ78" s="1544"/>
      <c r="CK78" s="1544"/>
      <c r="CL78" s="1544"/>
      <c r="CM78" s="1544"/>
      <c r="CN78" s="1544"/>
      <c r="CO78" s="1544"/>
      <c r="CP78" s="1544"/>
      <c r="CQ78" s="1544"/>
      <c r="CR78" s="1544"/>
      <c r="CS78" s="1544"/>
      <c r="CT78" s="1544"/>
      <c r="CU78" s="1544"/>
      <c r="CV78" s="1544"/>
      <c r="CW78" s="1544"/>
      <c r="CX78" s="1544"/>
      <c r="CY78" s="785"/>
      <c r="CZ78" s="1544"/>
      <c r="DA78" s="1544"/>
      <c r="DB78" s="1544"/>
      <c r="DC78" s="751"/>
      <c r="DD78" s="1544"/>
      <c r="DE78" s="1544"/>
      <c r="DF78" s="1544"/>
      <c r="DG78" s="1544"/>
      <c r="DH78" s="1544"/>
      <c r="DI78" s="1544"/>
      <c r="DJ78" s="1544"/>
      <c r="DK78" s="1544"/>
      <c r="DL78" s="1544"/>
      <c r="DM78" s="1544"/>
      <c r="DN78" s="1544"/>
      <c r="DO78" s="751"/>
      <c r="DP78" s="1544"/>
      <c r="DQ78" s="1544"/>
      <c r="DR78" s="607"/>
      <c r="DS78" s="607"/>
      <c r="DT78" s="607"/>
      <c r="DU78" s="607"/>
      <c r="DV78" s="1550"/>
    </row>
    <row r="79" spans="1:126" ht="13.8" hidden="1">
      <c r="A79" s="1551"/>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4"/>
      <c r="CC79" s="1544"/>
      <c r="CD79" s="1544"/>
      <c r="CE79" s="1544"/>
      <c r="CF79" s="1544"/>
      <c r="CG79" s="1544"/>
      <c r="CH79" s="1544"/>
      <c r="CI79" s="1544"/>
      <c r="CJ79" s="1544"/>
      <c r="CK79" s="1544"/>
      <c r="CL79" s="1544"/>
      <c r="CM79" s="1544"/>
      <c r="CN79" s="1544"/>
      <c r="CO79" s="1544"/>
      <c r="CP79" s="1544"/>
      <c r="CQ79" s="1544"/>
      <c r="CR79" s="1544"/>
      <c r="CS79" s="1544"/>
      <c r="CT79" s="1544"/>
      <c r="CU79" s="1544"/>
      <c r="CV79" s="1544"/>
      <c r="CW79" s="1544"/>
      <c r="CX79" s="1544"/>
      <c r="CY79" s="785"/>
      <c r="CZ79" s="1544"/>
      <c r="DA79" s="1544"/>
      <c r="DB79" s="1544"/>
      <c r="DC79" s="751"/>
      <c r="DD79" s="1544"/>
      <c r="DE79" s="1544"/>
      <c r="DF79" s="1544"/>
      <c r="DG79" s="1544"/>
      <c r="DH79" s="1544"/>
      <c r="DI79" s="1544"/>
      <c r="DJ79" s="1544"/>
      <c r="DK79" s="1544"/>
      <c r="DL79" s="1544"/>
      <c r="DM79" s="1544"/>
      <c r="DN79" s="1544"/>
      <c r="DO79" s="751"/>
      <c r="DP79" s="1544"/>
      <c r="DQ79" s="1544"/>
      <c r="DR79" s="607"/>
      <c r="DS79" s="607"/>
      <c r="DT79" s="607"/>
      <c r="DU79" s="607"/>
      <c r="DV79" s="1550"/>
    </row>
    <row r="80" spans="1:126" ht="13.8" hidden="1">
      <c r="A80" s="1551"/>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4"/>
      <c r="CC80" s="1544"/>
      <c r="CD80" s="1544"/>
      <c r="CE80" s="1544"/>
      <c r="CF80" s="1544"/>
      <c r="CG80" s="1544"/>
      <c r="CH80" s="1544"/>
      <c r="CI80" s="1544"/>
      <c r="CJ80" s="1544"/>
      <c r="CK80" s="1544"/>
      <c r="CL80" s="1544"/>
      <c r="CM80" s="1544"/>
      <c r="CN80" s="1544"/>
      <c r="CO80" s="1544"/>
      <c r="CP80" s="1544"/>
      <c r="CQ80" s="1544"/>
      <c r="CR80" s="1544"/>
      <c r="CS80" s="1544"/>
      <c r="CT80" s="1544"/>
      <c r="CU80" s="1544"/>
      <c r="CV80" s="1544"/>
      <c r="CW80" s="1544"/>
      <c r="CX80" s="1544"/>
      <c r="CY80" s="785"/>
      <c r="CZ80" s="1544"/>
      <c r="DA80" s="1544"/>
      <c r="DB80" s="1544"/>
      <c r="DC80" s="751"/>
      <c r="DD80" s="1544"/>
      <c r="DE80" s="1544"/>
      <c r="DF80" s="1544"/>
      <c r="DG80" s="1544"/>
      <c r="DH80" s="1544"/>
      <c r="DI80" s="1544"/>
      <c r="DJ80" s="1544"/>
      <c r="DK80" s="1544"/>
      <c r="DL80" s="1544"/>
      <c r="DM80" s="1544"/>
      <c r="DN80" s="1544"/>
      <c r="DO80" s="751"/>
      <c r="DP80" s="1544"/>
      <c r="DQ80" s="1544"/>
      <c r="DR80" s="607"/>
      <c r="DS80" s="607"/>
      <c r="DT80" s="607"/>
      <c r="DU80" s="607"/>
      <c r="DV80" s="1550"/>
    </row>
    <row r="81" spans="1:256" s="662" customFormat="1" ht="13.8" hidden="1">
      <c r="A81" s="1551"/>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4"/>
      <c r="CC81" s="1544"/>
      <c r="CD81" s="1544"/>
      <c r="CE81" s="1544"/>
      <c r="CF81" s="1544"/>
      <c r="CG81" s="1544"/>
      <c r="CH81" s="1544"/>
      <c r="CI81" s="1544"/>
      <c r="CJ81" s="1544"/>
      <c r="CK81" s="1544"/>
      <c r="CL81" s="1544"/>
      <c r="CM81" s="1544"/>
      <c r="CN81" s="1544"/>
      <c r="CO81" s="1544"/>
      <c r="CP81" s="1544"/>
      <c r="CQ81" s="1544"/>
      <c r="CR81" s="1544"/>
      <c r="CS81" s="1544"/>
      <c r="CT81" s="1544"/>
      <c r="CU81" s="1544"/>
      <c r="CV81" s="1544"/>
      <c r="CW81" s="1544"/>
      <c r="CX81" s="1544"/>
      <c r="CY81" s="785"/>
      <c r="CZ81" s="1544"/>
      <c r="DA81" s="1544"/>
      <c r="DB81" s="1544"/>
      <c r="DC81" s="751"/>
      <c r="DD81" s="1544"/>
      <c r="DE81" s="1544"/>
      <c r="DF81" s="1544"/>
      <c r="DG81" s="1544"/>
      <c r="DH81" s="1544"/>
      <c r="DI81" s="1544"/>
      <c r="DJ81" s="1544"/>
      <c r="DK81" s="1544"/>
      <c r="DL81" s="1544"/>
      <c r="DM81" s="1544"/>
      <c r="DN81" s="1544"/>
      <c r="DO81" s="751"/>
      <c r="DP81" s="1544"/>
      <c r="DQ81" s="1544"/>
      <c r="DR81" s="607"/>
      <c r="DS81" s="607"/>
      <c r="DT81" s="607"/>
      <c r="DU81" s="607"/>
      <c r="DV81" s="1550"/>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3.8" hidden="1">
      <c r="A82" s="1551"/>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4"/>
      <c r="CC82" s="1544"/>
      <c r="CD82" s="1544"/>
      <c r="CE82" s="1544"/>
      <c r="CF82" s="1544"/>
      <c r="CG82" s="1544"/>
      <c r="CH82" s="1544"/>
      <c r="CI82" s="1544"/>
      <c r="CJ82" s="1544"/>
      <c r="CK82" s="1544"/>
      <c r="CL82" s="1544"/>
      <c r="CM82" s="1544"/>
      <c r="CN82" s="1544"/>
      <c r="CO82" s="1544"/>
      <c r="CP82" s="1544"/>
      <c r="CQ82" s="1544"/>
      <c r="CR82" s="1544"/>
      <c r="CS82" s="1544"/>
      <c r="CT82" s="1544"/>
      <c r="CU82" s="1544"/>
      <c r="CV82" s="1544"/>
      <c r="CW82" s="1544"/>
      <c r="CX82" s="1544"/>
      <c r="CY82" s="785"/>
      <c r="CZ82" s="1544"/>
      <c r="DA82" s="1544"/>
      <c r="DB82" s="1544"/>
      <c r="DC82" s="751"/>
      <c r="DD82" s="1544"/>
      <c r="DE82" s="1544"/>
      <c r="DF82" s="1544"/>
      <c r="DG82" s="1544"/>
      <c r="DH82" s="1544"/>
      <c r="DI82" s="1544"/>
      <c r="DJ82" s="1544"/>
      <c r="DK82" s="1544"/>
      <c r="DL82" s="1544"/>
      <c r="DM82" s="1544"/>
      <c r="DN82" s="1544"/>
      <c r="DO82" s="751"/>
      <c r="DP82" s="1544"/>
      <c r="DQ82" s="1544"/>
      <c r="DR82" s="607"/>
      <c r="DS82" s="607"/>
      <c r="DT82" s="607"/>
      <c r="DU82" s="607"/>
      <c r="DV82" s="1550"/>
    </row>
    <row r="83" spans="1:256" ht="13.8" hidden="1">
      <c r="A83" s="1551"/>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4"/>
      <c r="CC83" s="1544"/>
      <c r="CD83" s="1544"/>
      <c r="CE83" s="1544"/>
      <c r="CF83" s="1544"/>
      <c r="CG83" s="1544"/>
      <c r="CH83" s="1544"/>
      <c r="CI83" s="1544"/>
      <c r="CJ83" s="1544"/>
      <c r="CK83" s="1544"/>
      <c r="CL83" s="1544"/>
      <c r="CM83" s="1544"/>
      <c r="CN83" s="1544"/>
      <c r="CO83" s="1544"/>
      <c r="CP83" s="1544"/>
      <c r="CQ83" s="1544"/>
      <c r="CR83" s="1544"/>
      <c r="CS83" s="1544"/>
      <c r="CT83" s="1544"/>
      <c r="CU83" s="1544"/>
      <c r="CV83" s="1544"/>
      <c r="CW83" s="1544"/>
      <c r="CX83" s="1544"/>
      <c r="CY83" s="785"/>
      <c r="CZ83" s="1544"/>
      <c r="DA83" s="1544"/>
      <c r="DB83" s="1544"/>
      <c r="DC83" s="751"/>
      <c r="DD83" s="1544"/>
      <c r="DE83" s="1544"/>
      <c r="DF83" s="1544"/>
      <c r="DG83" s="1544"/>
      <c r="DH83" s="1544"/>
      <c r="DI83" s="1544"/>
      <c r="DJ83" s="1544"/>
      <c r="DK83" s="1544"/>
      <c r="DL83" s="1544"/>
      <c r="DM83" s="1544"/>
      <c r="DN83" s="1544"/>
      <c r="DO83" s="751"/>
      <c r="DP83" s="1544"/>
      <c r="DQ83" s="1544"/>
      <c r="DR83" s="607"/>
      <c r="DS83" s="607"/>
      <c r="DT83" s="607"/>
      <c r="DU83" s="607"/>
      <c r="DV83" s="1550"/>
    </row>
    <row r="84" spans="1:256" ht="13.8" hidden="1">
      <c r="A84" s="1551"/>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4"/>
      <c r="CC84" s="1544"/>
      <c r="CD84" s="1544"/>
      <c r="CE84" s="1544"/>
      <c r="CF84" s="1544"/>
      <c r="CG84" s="1544"/>
      <c r="CH84" s="1544"/>
      <c r="CI84" s="1544"/>
      <c r="CJ84" s="1544"/>
      <c r="CK84" s="1544"/>
      <c r="CL84" s="1544"/>
      <c r="CM84" s="1544"/>
      <c r="CN84" s="1544"/>
      <c r="CO84" s="1544"/>
      <c r="CP84" s="1544"/>
      <c r="CQ84" s="1544"/>
      <c r="CR84" s="1544"/>
      <c r="CS84" s="1544"/>
      <c r="CT84" s="1544"/>
      <c r="CU84" s="1544"/>
      <c r="CV84" s="1544"/>
      <c r="CW84" s="1544"/>
      <c r="CX84" s="1544"/>
      <c r="CY84" s="785"/>
      <c r="CZ84" s="1544"/>
      <c r="DA84" s="1544"/>
      <c r="DB84" s="1544"/>
      <c r="DC84" s="751"/>
      <c r="DD84" s="1544"/>
      <c r="DE84" s="1544"/>
      <c r="DF84" s="1544"/>
      <c r="DG84" s="1544"/>
      <c r="DH84" s="1544"/>
      <c r="DI84" s="1544"/>
      <c r="DJ84" s="1544"/>
      <c r="DK84" s="1544"/>
      <c r="DL84" s="1544"/>
      <c r="DM84" s="1544"/>
      <c r="DN84" s="1544"/>
      <c r="DO84" s="751"/>
      <c r="DP84" s="1544"/>
      <c r="DQ84" s="1544"/>
      <c r="DR84" s="607"/>
      <c r="DS84" s="607"/>
      <c r="DT84" s="607"/>
      <c r="DU84" s="607"/>
      <c r="DV84" s="1550"/>
    </row>
    <row r="85" spans="1:256" ht="13.8" hidden="1">
      <c r="A85" s="1551"/>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4"/>
      <c r="CC85" s="1544"/>
      <c r="CD85" s="1544"/>
      <c r="CE85" s="1544"/>
      <c r="CF85" s="1544"/>
      <c r="CG85" s="1544"/>
      <c r="CH85" s="1544"/>
      <c r="CI85" s="1544"/>
      <c r="CJ85" s="1544"/>
      <c r="CK85" s="1544"/>
      <c r="CL85" s="1544"/>
      <c r="CM85" s="1544"/>
      <c r="CN85" s="1544"/>
      <c r="CO85" s="1544"/>
      <c r="CP85" s="1544"/>
      <c r="CQ85" s="1544"/>
      <c r="CR85" s="1544"/>
      <c r="CS85" s="1544"/>
      <c r="CT85" s="1544"/>
      <c r="CU85" s="1544"/>
      <c r="CV85" s="1544"/>
      <c r="CW85" s="1544"/>
      <c r="CX85" s="1544"/>
      <c r="CY85" s="785"/>
      <c r="CZ85" s="1544"/>
      <c r="DA85" s="1544"/>
      <c r="DB85" s="1544"/>
      <c r="DC85" s="751"/>
      <c r="DD85" s="1544"/>
      <c r="DE85" s="1544"/>
      <c r="DF85" s="1544"/>
      <c r="DG85" s="1544"/>
      <c r="DH85" s="1544"/>
      <c r="DI85" s="1544"/>
      <c r="DJ85" s="1544"/>
      <c r="DK85" s="1544"/>
      <c r="DL85" s="1544"/>
      <c r="DM85" s="1544"/>
      <c r="DN85" s="1544"/>
      <c r="DO85" s="751"/>
      <c r="DP85" s="1544"/>
      <c r="DQ85" s="1544"/>
      <c r="DR85" s="607"/>
      <c r="DS85" s="607"/>
      <c r="DT85" s="607"/>
      <c r="DU85" s="607"/>
      <c r="DV85" s="1550"/>
    </row>
    <row r="86" spans="1:256" ht="13.8" hidden="1">
      <c r="A86" s="1551"/>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4"/>
      <c r="CC86" s="1544"/>
      <c r="CD86" s="1544"/>
      <c r="CE86" s="1544"/>
      <c r="CF86" s="1544"/>
      <c r="CG86" s="1544"/>
      <c r="CH86" s="1544"/>
      <c r="CI86" s="1544"/>
      <c r="CJ86" s="1544"/>
      <c r="CK86" s="1544"/>
      <c r="CL86" s="1544"/>
      <c r="CM86" s="1544"/>
      <c r="CN86" s="1544"/>
      <c r="CO86" s="1544"/>
      <c r="CP86" s="1544"/>
      <c r="CQ86" s="1544"/>
      <c r="CR86" s="1544"/>
      <c r="CS86" s="1544"/>
      <c r="CT86" s="1544"/>
      <c r="CU86" s="1544"/>
      <c r="CV86" s="1544"/>
      <c r="CW86" s="1544"/>
      <c r="CX86" s="1544"/>
      <c r="CY86" s="785"/>
      <c r="CZ86" s="1544"/>
      <c r="DA86" s="1544"/>
      <c r="DB86" s="1544"/>
      <c r="DC86" s="751"/>
      <c r="DD86" s="1544"/>
      <c r="DE86" s="1544"/>
      <c r="DF86" s="1544"/>
      <c r="DG86" s="1544"/>
      <c r="DH86" s="1544"/>
      <c r="DI86" s="1544"/>
      <c r="DJ86" s="1544"/>
      <c r="DK86" s="1544"/>
      <c r="DL86" s="1544"/>
      <c r="DM86" s="1544"/>
      <c r="DN86" s="1544"/>
      <c r="DO86" s="751"/>
      <c r="DP86" s="1544"/>
      <c r="DQ86" s="1544"/>
      <c r="DR86" s="607"/>
      <c r="DS86" s="607"/>
      <c r="DT86" s="607"/>
      <c r="DU86" s="607"/>
      <c r="DV86" s="1550"/>
    </row>
    <row r="87" spans="1:256" ht="13.8" hidden="1">
      <c r="A87" s="1551"/>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4"/>
      <c r="CC87" s="1544"/>
      <c r="CD87" s="1544"/>
      <c r="CE87" s="1544"/>
      <c r="CF87" s="1544"/>
      <c r="CG87" s="1544"/>
      <c r="CH87" s="1544"/>
      <c r="CI87" s="1544"/>
      <c r="CJ87" s="1544"/>
      <c r="CK87" s="1544"/>
      <c r="CL87" s="1544"/>
      <c r="CM87" s="1544"/>
      <c r="CN87" s="1544"/>
      <c r="CO87" s="1544"/>
      <c r="CP87" s="1544"/>
      <c r="CQ87" s="1544"/>
      <c r="CR87" s="1544"/>
      <c r="CS87" s="1544"/>
      <c r="CT87" s="1544"/>
      <c r="CU87" s="1544"/>
      <c r="CV87" s="1544"/>
      <c r="CW87" s="1544"/>
      <c r="CX87" s="1544"/>
      <c r="CY87" s="785"/>
      <c r="CZ87" s="1544"/>
      <c r="DA87" s="1544"/>
      <c r="DB87" s="1544"/>
      <c r="DC87" s="751"/>
      <c r="DD87" s="1544"/>
      <c r="DE87" s="1544"/>
      <c r="DF87" s="1544"/>
      <c r="DG87" s="1544"/>
      <c r="DH87" s="1544"/>
      <c r="DI87" s="1544"/>
      <c r="DJ87" s="1544"/>
      <c r="DK87" s="1544"/>
      <c r="DL87" s="1544"/>
      <c r="DM87" s="1544"/>
      <c r="DN87" s="1544"/>
      <c r="DO87" s="751"/>
      <c r="DP87" s="1544"/>
      <c r="DQ87" s="1544"/>
      <c r="DR87" s="607"/>
      <c r="DS87" s="607"/>
      <c r="DT87" s="607"/>
      <c r="DU87" s="607"/>
      <c r="DV87" s="1550"/>
    </row>
    <row r="88" spans="1:256" s="662" customFormat="1" ht="13.8" hidden="1">
      <c r="A88" s="1551"/>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4"/>
      <c r="CC88" s="1544"/>
      <c r="CD88" s="1544"/>
      <c r="CE88" s="1544"/>
      <c r="CF88" s="1544"/>
      <c r="CG88" s="1544"/>
      <c r="CH88" s="1544"/>
      <c r="CI88" s="1544"/>
      <c r="CJ88" s="1544"/>
      <c r="CK88" s="1544"/>
      <c r="CL88" s="1544"/>
      <c r="CM88" s="1544"/>
      <c r="CN88" s="1544"/>
      <c r="CO88" s="1544"/>
      <c r="CP88" s="1544"/>
      <c r="CQ88" s="1544"/>
      <c r="CR88" s="1544"/>
      <c r="CS88" s="1544"/>
      <c r="CT88" s="1544"/>
      <c r="CU88" s="1544"/>
      <c r="CV88" s="1544"/>
      <c r="CW88" s="1544"/>
      <c r="CX88" s="1544"/>
      <c r="CY88" s="785"/>
      <c r="CZ88" s="1544"/>
      <c r="DA88" s="1544"/>
      <c r="DB88" s="1544"/>
      <c r="DC88" s="751"/>
      <c r="DD88" s="1544"/>
      <c r="DE88" s="1544"/>
      <c r="DF88" s="1544"/>
      <c r="DG88" s="1544"/>
      <c r="DH88" s="1544"/>
      <c r="DI88" s="1544"/>
      <c r="DJ88" s="1544"/>
      <c r="DK88" s="1544"/>
      <c r="DL88" s="1544"/>
      <c r="DM88" s="1544"/>
      <c r="DN88" s="1544"/>
      <c r="DO88" s="751"/>
      <c r="DP88" s="1544"/>
      <c r="DQ88" s="1544"/>
      <c r="DR88" s="607"/>
      <c r="DS88" s="607"/>
      <c r="DT88" s="607"/>
      <c r="DU88" s="607"/>
      <c r="DV88" s="1550"/>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3.8" hidden="1">
      <c r="A89" s="1553"/>
      <c r="B89" s="1554"/>
      <c r="C89" s="1553"/>
      <c r="D89" s="1553"/>
      <c r="E89" s="1553"/>
      <c r="F89" s="1553"/>
      <c r="G89" s="1553"/>
      <c r="H89" s="1553"/>
      <c r="I89" s="1553"/>
      <c r="J89" s="1553"/>
      <c r="K89" s="1553"/>
      <c r="L89" s="1553"/>
      <c r="M89" s="1553"/>
      <c r="N89" s="1553"/>
      <c r="O89" s="1553"/>
      <c r="P89" s="1553"/>
      <c r="Q89" s="1553"/>
      <c r="R89" s="1553"/>
      <c r="S89" s="1553"/>
      <c r="T89" s="1553"/>
      <c r="U89" s="1553"/>
      <c r="V89" s="1553"/>
      <c r="W89" s="1553"/>
      <c r="X89" s="1553"/>
      <c r="Y89" s="1553"/>
      <c r="Z89" s="1553"/>
      <c r="AA89" s="1553"/>
      <c r="AB89" s="1553"/>
      <c r="AC89" s="1553"/>
      <c r="AD89" s="1553"/>
      <c r="AE89" s="1553"/>
      <c r="AF89" s="1553"/>
      <c r="AG89" s="1553"/>
      <c r="AH89" s="1553"/>
      <c r="AI89" s="1553"/>
      <c r="AJ89" s="1553"/>
      <c r="AK89" s="1553"/>
      <c r="AL89" s="1553"/>
      <c r="AM89" s="1553"/>
      <c r="AN89" s="1553"/>
      <c r="AO89" s="1553"/>
      <c r="AP89" s="1553"/>
      <c r="AQ89" s="1553"/>
      <c r="AR89" s="1553"/>
      <c r="AS89" s="1553"/>
      <c r="AT89" s="1553"/>
      <c r="AU89" s="1553"/>
      <c r="AV89" s="1553"/>
      <c r="AW89" s="1553"/>
      <c r="AX89" s="1553"/>
      <c r="AY89" s="1553"/>
      <c r="AZ89" s="1553"/>
      <c r="BA89" s="1553"/>
      <c r="BB89" s="1553"/>
      <c r="BC89" s="1553"/>
      <c r="BD89" s="1553"/>
      <c r="BE89" s="1553"/>
      <c r="BF89" s="1553"/>
      <c r="BG89" s="1553"/>
      <c r="BH89" s="1553"/>
      <c r="BI89" s="1553"/>
      <c r="BJ89" s="1553"/>
      <c r="BK89" s="1553"/>
      <c r="BL89" s="1553"/>
      <c r="BM89" s="1553"/>
      <c r="BN89" s="1553"/>
      <c r="BO89" s="1553"/>
      <c r="BP89" s="1553"/>
      <c r="BQ89" s="1553"/>
      <c r="BR89" s="1553"/>
      <c r="BS89" s="1553"/>
      <c r="BT89" s="1553"/>
      <c r="BU89" s="1553"/>
      <c r="BV89" s="1553"/>
      <c r="BW89" s="1553"/>
      <c r="BX89" s="1553"/>
      <c r="BY89" s="1553"/>
      <c r="BZ89" s="1553"/>
      <c r="CA89" s="1553"/>
      <c r="CB89" s="1553"/>
      <c r="CC89" s="1553"/>
      <c r="CD89" s="1553"/>
      <c r="CE89" s="1544"/>
      <c r="CF89" s="1553"/>
      <c r="CG89" s="1553"/>
      <c r="CH89" s="1553"/>
      <c r="CI89" s="1553"/>
      <c r="CJ89" s="1553"/>
      <c r="CK89" s="1553"/>
      <c r="CL89" s="1553"/>
      <c r="CM89" s="1553"/>
      <c r="CN89" s="1553"/>
      <c r="CO89" s="1553"/>
      <c r="CP89" s="1553"/>
      <c r="CQ89" s="1553"/>
      <c r="CR89" s="1553"/>
      <c r="CS89" s="1553"/>
      <c r="CT89" s="1553"/>
      <c r="CU89" s="1553"/>
      <c r="CV89" s="1553"/>
      <c r="CW89" s="1553"/>
      <c r="CX89" s="1553"/>
      <c r="CY89" s="1555"/>
      <c r="CZ89" s="1553"/>
      <c r="DA89" s="1553"/>
      <c r="DB89" s="1553"/>
      <c r="DC89" s="1553"/>
      <c r="DD89" s="1553"/>
      <c r="DE89" s="1553"/>
      <c r="DF89" s="1553"/>
      <c r="DG89" s="1553"/>
      <c r="DH89" s="1553"/>
      <c r="DI89" s="1553"/>
      <c r="DJ89" s="1553"/>
      <c r="DK89" s="1553"/>
      <c r="DL89" s="1553"/>
      <c r="DM89" s="1553"/>
      <c r="DN89" s="1553"/>
      <c r="DO89" s="1553"/>
      <c r="DP89" s="1553"/>
      <c r="DQ89" s="1553"/>
      <c r="DR89" s="1553"/>
      <c r="DS89" s="1553"/>
      <c r="DT89" s="1553"/>
      <c r="DU89" s="1553"/>
      <c r="DV89" s="1556"/>
    </row>
    <row r="90" spans="1:256" s="672" customFormat="1" ht="13.8" hidden="1">
      <c r="A90" s="1561"/>
      <c r="B90" s="1562"/>
      <c r="C90" s="1563"/>
      <c r="D90" s="1563"/>
      <c r="E90" s="1563"/>
      <c r="F90" s="1563"/>
      <c r="G90" s="1563"/>
      <c r="H90" s="1563"/>
      <c r="I90" s="1563"/>
      <c r="J90" s="1563"/>
      <c r="K90" s="1563"/>
      <c r="L90" s="1563"/>
      <c r="M90" s="1563"/>
      <c r="N90" s="1563"/>
      <c r="O90" s="1563"/>
      <c r="P90" s="1563"/>
      <c r="Q90" s="1563"/>
      <c r="R90" s="1563"/>
      <c r="S90" s="1563"/>
      <c r="T90" s="1563"/>
      <c r="U90" s="1563"/>
      <c r="V90" s="1563"/>
      <c r="W90" s="1563"/>
      <c r="X90" s="1563"/>
      <c r="Y90" s="1563"/>
      <c r="Z90" s="1563"/>
      <c r="AA90" s="1563"/>
      <c r="AB90" s="1563"/>
      <c r="AC90" s="1563"/>
      <c r="AD90" s="1563"/>
      <c r="AE90" s="1563"/>
      <c r="AF90" s="1563"/>
      <c r="AG90" s="1563"/>
      <c r="AH90" s="1563"/>
      <c r="AI90" s="1563"/>
      <c r="AJ90" s="1563"/>
      <c r="AK90" s="1563"/>
      <c r="AL90" s="1563"/>
      <c r="AM90" s="1563"/>
      <c r="AN90" s="1563"/>
      <c r="AO90" s="1563"/>
      <c r="AP90" s="1563"/>
      <c r="AQ90" s="1563"/>
      <c r="AR90" s="1563"/>
      <c r="AS90" s="1563"/>
      <c r="AT90" s="1563"/>
      <c r="AU90" s="1563"/>
      <c r="AV90" s="1563"/>
      <c r="AW90" s="1563"/>
      <c r="AX90" s="1563"/>
      <c r="AY90" s="1563"/>
      <c r="AZ90" s="1563"/>
      <c r="BA90" s="1563"/>
      <c r="BB90" s="1563"/>
      <c r="BC90" s="1563"/>
      <c r="BD90" s="1563"/>
      <c r="BE90" s="1563"/>
      <c r="BF90" s="1563"/>
      <c r="BG90" s="1563"/>
      <c r="BH90" s="1563"/>
      <c r="BI90" s="1563"/>
      <c r="BJ90" s="1563"/>
      <c r="BK90" s="1563"/>
      <c r="BL90" s="1563"/>
      <c r="BM90" s="1563"/>
      <c r="BN90" s="1563"/>
      <c r="BO90" s="1563"/>
      <c r="BP90" s="1563"/>
      <c r="BQ90" s="1563"/>
      <c r="BR90" s="1563"/>
      <c r="BS90" s="1563"/>
      <c r="BT90" s="1563"/>
      <c r="BU90" s="1563"/>
      <c r="BV90" s="1563"/>
      <c r="BW90" s="1563"/>
      <c r="BX90" s="1563"/>
      <c r="BY90" s="1563"/>
      <c r="BZ90" s="1563"/>
      <c r="CA90" s="1563"/>
      <c r="CB90" s="1563"/>
      <c r="CC90" s="1563"/>
      <c r="CD90" s="1563"/>
      <c r="CE90" s="1544"/>
      <c r="CF90" s="1563"/>
      <c r="CG90" s="1563"/>
      <c r="CH90" s="1563"/>
      <c r="CI90" s="1563"/>
      <c r="CJ90" s="1563"/>
      <c r="CK90" s="1563"/>
      <c r="CL90" s="1563"/>
      <c r="CM90" s="1563"/>
      <c r="CN90" s="1563"/>
      <c r="CO90" s="1563"/>
      <c r="CP90" s="1563"/>
      <c r="CQ90" s="1563"/>
      <c r="CR90" s="1563"/>
      <c r="CS90" s="1563"/>
      <c r="CT90" s="1563"/>
      <c r="CU90" s="1563"/>
      <c r="CV90" s="1563"/>
      <c r="CW90" s="1563"/>
      <c r="CX90" s="1563"/>
      <c r="CY90" s="1564"/>
      <c r="CZ90" s="1563"/>
      <c r="DA90" s="1563"/>
      <c r="DB90" s="1563"/>
      <c r="DC90" s="1563"/>
      <c r="DD90" s="1563"/>
      <c r="DE90" s="1563"/>
      <c r="DF90" s="1563"/>
      <c r="DG90" s="1563"/>
      <c r="DH90" s="1563"/>
      <c r="DI90" s="1563"/>
      <c r="DJ90" s="1563"/>
      <c r="DK90" s="1563"/>
      <c r="DL90" s="1563"/>
      <c r="DM90" s="1563"/>
      <c r="DN90" s="1563"/>
      <c r="DO90" s="1563"/>
      <c r="DP90" s="1563"/>
      <c r="DQ90" s="1563"/>
      <c r="DR90" s="1563"/>
      <c r="DS90" s="1563"/>
      <c r="DT90" s="1563"/>
      <c r="DU90" s="1563"/>
      <c r="DV90" s="1565"/>
      <c r="DW90" s="672">
        <f>+DU90*0.4</f>
        <v>0</v>
      </c>
      <c r="DX90" s="672">
        <f>+DW90/0.22</f>
        <v>0</v>
      </c>
    </row>
    <row r="91" spans="1:256" s="532" customFormat="1" ht="18" hidden="1" customHeight="1">
      <c r="A91" s="1557"/>
      <c r="B91" s="975"/>
      <c r="C91" s="975"/>
      <c r="D91" s="975"/>
      <c r="E91" s="975"/>
      <c r="F91" s="975"/>
      <c r="G91" s="975"/>
      <c r="H91" s="975"/>
      <c r="I91" s="975"/>
      <c r="J91" s="975"/>
      <c r="K91" s="975"/>
      <c r="L91" s="975"/>
      <c r="M91" s="975"/>
      <c r="N91" s="975"/>
      <c r="O91" s="975"/>
      <c r="P91" s="975"/>
      <c r="Q91" s="975"/>
      <c r="R91" s="975"/>
      <c r="S91" s="975"/>
      <c r="T91" s="975"/>
      <c r="U91" s="975"/>
      <c r="V91" s="975"/>
      <c r="W91" s="975"/>
      <c r="X91" s="975"/>
      <c r="Y91" s="975"/>
      <c r="Z91" s="975"/>
      <c r="AA91" s="975"/>
      <c r="AB91" s="975"/>
      <c r="AC91" s="975"/>
      <c r="AD91" s="975"/>
      <c r="AE91" s="975"/>
      <c r="AF91" s="975"/>
      <c r="AG91" s="975"/>
      <c r="AH91" s="975"/>
      <c r="AI91" s="975"/>
      <c r="AJ91" s="975"/>
      <c r="AK91" s="975"/>
      <c r="AL91" s="975"/>
      <c r="AM91" s="975"/>
      <c r="AN91" s="975"/>
      <c r="AO91" s="975"/>
      <c r="AP91" s="975"/>
      <c r="AQ91" s="975"/>
      <c r="AR91" s="975"/>
      <c r="AS91" s="975"/>
      <c r="AT91" s="975"/>
      <c r="AU91" s="975"/>
      <c r="AV91" s="975"/>
      <c r="AW91" s="975"/>
      <c r="AX91" s="975"/>
      <c r="AY91" s="975"/>
      <c r="AZ91" s="975"/>
      <c r="BA91" s="975"/>
      <c r="BB91" s="975"/>
      <c r="BC91" s="975"/>
      <c r="BD91" s="975"/>
      <c r="BE91" s="975"/>
      <c r="BF91" s="975"/>
      <c r="BG91" s="975"/>
      <c r="BH91" s="975"/>
      <c r="BI91" s="975"/>
      <c r="BJ91" s="975"/>
      <c r="BK91" s="975"/>
      <c r="BL91" s="975"/>
      <c r="BM91" s="975"/>
      <c r="BN91" s="975"/>
      <c r="BO91" s="975"/>
      <c r="BP91" s="975"/>
      <c r="BQ91" s="975"/>
      <c r="BR91" s="975"/>
      <c r="BS91" s="975"/>
      <c r="BT91" s="975"/>
      <c r="BU91" s="975"/>
      <c r="BV91" s="975"/>
      <c r="BW91" s="975"/>
      <c r="BX91" s="975"/>
      <c r="BY91" s="975"/>
      <c r="BZ91" s="975"/>
      <c r="CA91" s="975"/>
      <c r="CB91" s="975"/>
      <c r="CC91" s="975"/>
      <c r="CD91" s="975"/>
      <c r="CE91" s="1544"/>
      <c r="CF91" s="975"/>
      <c r="CG91" s="975"/>
      <c r="CH91" s="975"/>
      <c r="CI91" s="975"/>
      <c r="CJ91" s="975"/>
      <c r="CK91" s="975"/>
      <c r="CL91" s="975"/>
      <c r="CM91" s="975"/>
      <c r="CN91" s="975"/>
      <c r="CO91" s="975"/>
      <c r="CP91" s="975"/>
      <c r="CQ91" s="975"/>
      <c r="CR91" s="975"/>
      <c r="CS91" s="975"/>
      <c r="CT91" s="975"/>
      <c r="CU91" s="975"/>
      <c r="CV91" s="975"/>
      <c r="CW91" s="975"/>
      <c r="CX91" s="975"/>
      <c r="CY91" s="1558"/>
      <c r="CZ91" s="975"/>
      <c r="DA91" s="975"/>
      <c r="DB91" s="975"/>
      <c r="DC91" s="975"/>
      <c r="DD91" s="975"/>
      <c r="DE91" s="975"/>
      <c r="DF91" s="975"/>
      <c r="DG91" s="975"/>
      <c r="DH91" s="975"/>
      <c r="DI91" s="975"/>
      <c r="DJ91" s="975"/>
      <c r="DK91" s="975"/>
      <c r="DL91" s="975"/>
      <c r="DM91" s="975"/>
      <c r="DN91" s="975"/>
      <c r="DO91" s="975"/>
      <c r="DP91" s="975"/>
      <c r="DQ91" s="975"/>
      <c r="DR91" s="975"/>
      <c r="DS91" s="975"/>
      <c r="DT91" s="975"/>
      <c r="DU91" s="975"/>
      <c r="DV91" s="1559"/>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60"/>
      <c r="B92" s="975"/>
      <c r="C92" s="975"/>
      <c r="D92" s="975"/>
      <c r="E92" s="975"/>
      <c r="F92" s="975"/>
      <c r="G92" s="975"/>
      <c r="H92" s="975"/>
      <c r="I92" s="975"/>
      <c r="J92" s="975"/>
      <c r="K92" s="975"/>
      <c r="L92" s="975"/>
      <c r="M92" s="975"/>
      <c r="N92" s="975"/>
      <c r="O92" s="975"/>
      <c r="P92" s="975"/>
      <c r="Q92" s="975"/>
      <c r="R92" s="975"/>
      <c r="S92" s="975"/>
      <c r="T92" s="975"/>
      <c r="U92" s="975"/>
      <c r="V92" s="975"/>
      <c r="W92" s="975"/>
      <c r="X92" s="975"/>
      <c r="Y92" s="975"/>
      <c r="Z92" s="975"/>
      <c r="AA92" s="975"/>
      <c r="AB92" s="975"/>
      <c r="AC92" s="975"/>
      <c r="AD92" s="975"/>
      <c r="AE92" s="975"/>
      <c r="AF92" s="975"/>
      <c r="AG92" s="975"/>
      <c r="AH92" s="975"/>
      <c r="AI92" s="975"/>
      <c r="AJ92" s="975"/>
      <c r="AK92" s="975"/>
      <c r="AL92" s="975"/>
      <c r="AM92" s="975"/>
      <c r="AN92" s="975"/>
      <c r="AO92" s="975"/>
      <c r="AP92" s="975"/>
      <c r="AQ92" s="975"/>
      <c r="AR92" s="975"/>
      <c r="AS92" s="975"/>
      <c r="AT92" s="975"/>
      <c r="AU92" s="975"/>
      <c r="AV92" s="975"/>
      <c r="AW92" s="975"/>
      <c r="AX92" s="975"/>
      <c r="AY92" s="975"/>
      <c r="AZ92" s="975"/>
      <c r="BA92" s="975"/>
      <c r="BB92" s="975"/>
      <c r="BC92" s="975"/>
      <c r="BD92" s="975"/>
      <c r="BE92" s="975"/>
      <c r="BF92" s="975"/>
      <c r="BG92" s="975"/>
      <c r="BH92" s="975"/>
      <c r="BI92" s="975"/>
      <c r="BJ92" s="975"/>
      <c r="BK92" s="975"/>
      <c r="BL92" s="975"/>
      <c r="BM92" s="975"/>
      <c r="BN92" s="975"/>
      <c r="BO92" s="975"/>
      <c r="BP92" s="975"/>
      <c r="BQ92" s="975"/>
      <c r="BR92" s="975"/>
      <c r="BS92" s="975"/>
      <c r="BT92" s="975"/>
      <c r="BU92" s="975"/>
      <c r="BV92" s="975"/>
      <c r="BW92" s="975"/>
      <c r="BX92" s="975"/>
      <c r="BY92" s="975"/>
      <c r="BZ92" s="975"/>
      <c r="CA92" s="975"/>
      <c r="CB92" s="975"/>
      <c r="CC92" s="975"/>
      <c r="CD92" s="975"/>
      <c r="CE92" s="1544"/>
      <c r="CF92" s="975"/>
      <c r="CG92" s="975"/>
      <c r="CH92" s="975"/>
      <c r="CI92" s="975"/>
      <c r="CJ92" s="975"/>
      <c r="CK92" s="975"/>
      <c r="CL92" s="975"/>
      <c r="CM92" s="975"/>
      <c r="CN92" s="975"/>
      <c r="CO92" s="975"/>
      <c r="CP92" s="975"/>
      <c r="CQ92" s="975"/>
      <c r="CR92" s="975"/>
      <c r="CS92" s="975"/>
      <c r="CT92" s="975"/>
      <c r="CU92" s="975"/>
      <c r="CV92" s="975"/>
      <c r="CW92" s="975"/>
      <c r="CX92" s="975"/>
      <c r="CY92" s="1558"/>
      <c r="CZ92" s="975"/>
      <c r="DA92" s="975"/>
      <c r="DB92" s="975"/>
      <c r="DC92" s="975"/>
      <c r="DD92" s="975"/>
      <c r="DE92" s="975"/>
      <c r="DF92" s="975"/>
      <c r="DG92" s="975"/>
      <c r="DH92" s="975"/>
      <c r="DI92" s="975"/>
      <c r="DJ92" s="975"/>
      <c r="DK92" s="975"/>
      <c r="DL92" s="975"/>
      <c r="DM92" s="975"/>
      <c r="DN92" s="975"/>
      <c r="DO92" s="975"/>
      <c r="DP92" s="975"/>
      <c r="DQ92" s="975"/>
      <c r="DR92" s="975"/>
      <c r="DS92" s="975"/>
      <c r="DT92" s="975"/>
      <c r="DU92" s="975"/>
      <c r="DV92" s="1559"/>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3.8" hidden="1">
      <c r="A93" s="1552"/>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4"/>
      <c r="CF93" s="743"/>
      <c r="CG93" s="743"/>
      <c r="CH93" s="743"/>
      <c r="CI93" s="743"/>
      <c r="CJ93" s="743"/>
      <c r="CK93" s="743"/>
      <c r="CL93" s="743"/>
      <c r="CM93" s="743"/>
      <c r="CN93" s="743"/>
      <c r="CO93" s="743"/>
      <c r="CP93" s="743"/>
      <c r="CQ93" s="743"/>
      <c r="CR93" s="743"/>
      <c r="CS93" s="743"/>
      <c r="CT93" s="743"/>
      <c r="CU93" s="743"/>
      <c r="CV93" s="743"/>
      <c r="CW93" s="743"/>
      <c r="CX93" s="743"/>
      <c r="CY93" s="786"/>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6"/>
    </row>
    <row r="94" spans="1:256" ht="13.8" hidden="1">
      <c r="A94" s="1551"/>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4"/>
      <c r="CC94" s="1544"/>
      <c r="CD94" s="1544"/>
      <c r="CE94" s="1544"/>
      <c r="CF94" s="1544"/>
      <c r="CG94" s="1544"/>
      <c r="CH94" s="1544"/>
      <c r="CI94" s="1544"/>
      <c r="CJ94" s="1544"/>
      <c r="CK94" s="1544"/>
      <c r="CL94" s="1544"/>
      <c r="CM94" s="1544"/>
      <c r="CN94" s="1544"/>
      <c r="CO94" s="1544"/>
      <c r="CP94" s="1544"/>
      <c r="CQ94" s="1544"/>
      <c r="CR94" s="1544"/>
      <c r="CS94" s="1544"/>
      <c r="CT94" s="1544"/>
      <c r="CU94" s="1544"/>
      <c r="CV94" s="1544"/>
      <c r="CW94" s="1544"/>
      <c r="CX94" s="1544"/>
      <c r="CY94" s="785"/>
      <c r="CZ94" s="1544"/>
      <c r="DA94" s="1544"/>
      <c r="DB94" s="1544"/>
      <c r="DC94" s="751"/>
      <c r="DD94" s="1544"/>
      <c r="DE94" s="1544"/>
      <c r="DF94" s="1544"/>
      <c r="DG94" s="1544"/>
      <c r="DH94" s="1544"/>
      <c r="DI94" s="1544"/>
      <c r="DJ94" s="1544"/>
      <c r="DK94" s="1544"/>
      <c r="DL94" s="1544"/>
      <c r="DM94" s="1544"/>
      <c r="DN94" s="1544"/>
      <c r="DO94" s="751"/>
      <c r="DP94" s="1544"/>
      <c r="DQ94" s="1544"/>
      <c r="DR94" s="607"/>
      <c r="DS94" s="607"/>
      <c r="DT94" s="607"/>
      <c r="DU94" s="607"/>
      <c r="DV94" s="1550"/>
    </row>
    <row r="95" spans="1:256" ht="13.8" hidden="1">
      <c r="A95" s="1551"/>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4"/>
      <c r="CC95" s="1544"/>
      <c r="CD95" s="1544"/>
      <c r="CE95" s="1544"/>
      <c r="CF95" s="1544"/>
      <c r="CG95" s="1544"/>
      <c r="CH95" s="1544"/>
      <c r="CI95" s="1544"/>
      <c r="CJ95" s="1544"/>
      <c r="CK95" s="1544"/>
      <c r="CL95" s="1544"/>
      <c r="CM95" s="1544"/>
      <c r="CN95" s="1544"/>
      <c r="CO95" s="1544"/>
      <c r="CP95" s="1544"/>
      <c r="CQ95" s="1544"/>
      <c r="CR95" s="1544"/>
      <c r="CS95" s="1544"/>
      <c r="CT95" s="1544"/>
      <c r="CU95" s="1544"/>
      <c r="CV95" s="1544"/>
      <c r="CW95" s="1544"/>
      <c r="CX95" s="1544"/>
      <c r="CY95" s="785"/>
      <c r="CZ95" s="1544"/>
      <c r="DA95" s="1544"/>
      <c r="DB95" s="1544"/>
      <c r="DC95" s="751"/>
      <c r="DD95" s="1544"/>
      <c r="DE95" s="1544"/>
      <c r="DF95" s="1544"/>
      <c r="DG95" s="1544"/>
      <c r="DH95" s="1544"/>
      <c r="DI95" s="1544"/>
      <c r="DJ95" s="1544"/>
      <c r="DK95" s="1544"/>
      <c r="DL95" s="1544"/>
      <c r="DM95" s="1544"/>
      <c r="DN95" s="1544"/>
      <c r="DO95" s="751"/>
      <c r="DP95" s="1544"/>
      <c r="DQ95" s="1544"/>
      <c r="DR95" s="607"/>
      <c r="DS95" s="607"/>
      <c r="DT95" s="607"/>
      <c r="DU95" s="607"/>
      <c r="DV95" s="1550"/>
    </row>
    <row r="96" spans="1:256" ht="13.8" hidden="1">
      <c r="A96" s="1551"/>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4"/>
      <c r="CC96" s="1544"/>
      <c r="CD96" s="1544"/>
      <c r="CE96" s="1544"/>
      <c r="CF96" s="1544"/>
      <c r="CG96" s="1544"/>
      <c r="CH96" s="1544"/>
      <c r="CI96" s="1544"/>
      <c r="CJ96" s="1544"/>
      <c r="CK96" s="1544"/>
      <c r="CL96" s="1544"/>
      <c r="CM96" s="1544"/>
      <c r="CN96" s="1544"/>
      <c r="CO96" s="1544"/>
      <c r="CP96" s="1544"/>
      <c r="CQ96" s="1544"/>
      <c r="CR96" s="1544"/>
      <c r="CS96" s="1544"/>
      <c r="CT96" s="1544"/>
      <c r="CU96" s="1544"/>
      <c r="CV96" s="1544"/>
      <c r="CW96" s="1544"/>
      <c r="CX96" s="1544"/>
      <c r="CY96" s="785"/>
      <c r="CZ96" s="1544"/>
      <c r="DA96" s="1544"/>
      <c r="DB96" s="1544"/>
      <c r="DC96" s="751"/>
      <c r="DD96" s="1544"/>
      <c r="DE96" s="1544"/>
      <c r="DF96" s="1544"/>
      <c r="DG96" s="1544"/>
      <c r="DH96" s="1544"/>
      <c r="DI96" s="1544"/>
      <c r="DJ96" s="1544"/>
      <c r="DK96" s="1544"/>
      <c r="DL96" s="1544"/>
      <c r="DM96" s="1544"/>
      <c r="DN96" s="1544"/>
      <c r="DO96" s="751"/>
      <c r="DP96" s="1544"/>
      <c r="DQ96" s="1544"/>
      <c r="DR96" s="607"/>
      <c r="DS96" s="607"/>
      <c r="DT96" s="607"/>
      <c r="DU96" s="607"/>
      <c r="DV96" s="1550"/>
    </row>
    <row r="97" spans="1:256" ht="13.8" hidden="1">
      <c r="A97" s="1551"/>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4"/>
      <c r="CC97" s="1544"/>
      <c r="CD97" s="1544"/>
      <c r="CE97" s="1544"/>
      <c r="CF97" s="1544"/>
      <c r="CG97" s="1544"/>
      <c r="CH97" s="1544"/>
      <c r="CI97" s="1544"/>
      <c r="CJ97" s="1544"/>
      <c r="CK97" s="1544"/>
      <c r="CL97" s="1544"/>
      <c r="CM97" s="1544"/>
      <c r="CN97" s="1544"/>
      <c r="CO97" s="1544"/>
      <c r="CP97" s="1544"/>
      <c r="CQ97" s="1544"/>
      <c r="CR97" s="1544"/>
      <c r="CS97" s="1544"/>
      <c r="CT97" s="1544"/>
      <c r="CU97" s="1544"/>
      <c r="CV97" s="1544"/>
      <c r="CW97" s="1544"/>
      <c r="CX97" s="1544"/>
      <c r="CY97" s="785"/>
      <c r="CZ97" s="1544"/>
      <c r="DA97" s="1544"/>
      <c r="DB97" s="1544"/>
      <c r="DC97" s="751"/>
      <c r="DD97" s="1544"/>
      <c r="DE97" s="1544"/>
      <c r="DF97" s="1544"/>
      <c r="DG97" s="1544"/>
      <c r="DH97" s="1544"/>
      <c r="DI97" s="1544"/>
      <c r="DJ97" s="1544"/>
      <c r="DK97" s="1544"/>
      <c r="DL97" s="1544"/>
      <c r="DM97" s="1544"/>
      <c r="DN97" s="1544"/>
      <c r="DO97" s="751"/>
      <c r="DP97" s="1544"/>
      <c r="DQ97" s="1544"/>
      <c r="DR97" s="607"/>
      <c r="DS97" s="607"/>
      <c r="DT97" s="607"/>
      <c r="DU97" s="607"/>
      <c r="DV97" s="1550"/>
    </row>
    <row r="98" spans="1:256" ht="13.8" hidden="1">
      <c r="A98" s="1551"/>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4"/>
      <c r="CC98" s="1544"/>
      <c r="CD98" s="1544"/>
      <c r="CE98" s="1544"/>
      <c r="CF98" s="1544"/>
      <c r="CG98" s="1544"/>
      <c r="CH98" s="1544"/>
      <c r="CI98" s="1544"/>
      <c r="CJ98" s="1544"/>
      <c r="CK98" s="1544"/>
      <c r="CL98" s="1544"/>
      <c r="CM98" s="1544"/>
      <c r="CN98" s="1544"/>
      <c r="CO98" s="1544"/>
      <c r="CP98" s="1544"/>
      <c r="CQ98" s="1544"/>
      <c r="CR98" s="1544"/>
      <c r="CS98" s="1544"/>
      <c r="CT98" s="1544"/>
      <c r="CU98" s="1544"/>
      <c r="CV98" s="1544"/>
      <c r="CW98" s="1544"/>
      <c r="CX98" s="1544"/>
      <c r="CY98" s="785"/>
      <c r="CZ98" s="1544"/>
      <c r="DA98" s="1544"/>
      <c r="DB98" s="1544"/>
      <c r="DC98" s="751"/>
      <c r="DD98" s="1544"/>
      <c r="DE98" s="1544"/>
      <c r="DF98" s="1544"/>
      <c r="DG98" s="1544"/>
      <c r="DH98" s="1544"/>
      <c r="DI98" s="1544"/>
      <c r="DJ98" s="1544"/>
      <c r="DK98" s="1544"/>
      <c r="DL98" s="1544"/>
      <c r="DM98" s="1544"/>
      <c r="DN98" s="1544"/>
      <c r="DO98" s="751"/>
      <c r="DP98" s="1544"/>
      <c r="DQ98" s="1544"/>
      <c r="DR98" s="607"/>
      <c r="DS98" s="607"/>
      <c r="DT98" s="607"/>
      <c r="DU98" s="607"/>
      <c r="DV98" s="1550"/>
    </row>
    <row r="99" spans="1:256" ht="13.8" hidden="1">
      <c r="A99" s="1551"/>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4"/>
      <c r="CC99" s="1544"/>
      <c r="CD99" s="1544"/>
      <c r="CE99" s="1544"/>
      <c r="CF99" s="1544"/>
      <c r="CG99" s="1544"/>
      <c r="CH99" s="1544"/>
      <c r="CI99" s="1544"/>
      <c r="CJ99" s="1544"/>
      <c r="CK99" s="1544"/>
      <c r="CL99" s="1544"/>
      <c r="CM99" s="1544"/>
      <c r="CN99" s="1544"/>
      <c r="CO99" s="1544"/>
      <c r="CP99" s="1544"/>
      <c r="CQ99" s="1544"/>
      <c r="CR99" s="1544"/>
      <c r="CS99" s="1544"/>
      <c r="CT99" s="1544"/>
      <c r="CU99" s="1544"/>
      <c r="CV99" s="1544"/>
      <c r="CW99" s="1544"/>
      <c r="CX99" s="1544"/>
      <c r="CY99" s="785"/>
      <c r="CZ99" s="1544"/>
      <c r="DA99" s="1544"/>
      <c r="DB99" s="1544"/>
      <c r="DC99" s="751"/>
      <c r="DD99" s="1544"/>
      <c r="DE99" s="1544"/>
      <c r="DF99" s="1544"/>
      <c r="DG99" s="1544"/>
      <c r="DH99" s="1544"/>
      <c r="DI99" s="1544"/>
      <c r="DJ99" s="1544"/>
      <c r="DK99" s="1544"/>
      <c r="DL99" s="1544"/>
      <c r="DM99" s="1544"/>
      <c r="DN99" s="1544"/>
      <c r="DO99" s="751"/>
      <c r="DP99" s="1544"/>
      <c r="DQ99" s="1544"/>
      <c r="DR99" s="607"/>
      <c r="DS99" s="607"/>
      <c r="DT99" s="607"/>
      <c r="DU99" s="607"/>
      <c r="DV99" s="1550"/>
    </row>
    <row r="100" spans="1:256" ht="13.8" hidden="1">
      <c r="A100" s="1551"/>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4"/>
      <c r="CC100" s="1544"/>
      <c r="CD100" s="1544"/>
      <c r="CE100" s="1544"/>
      <c r="CF100" s="1544"/>
      <c r="CG100" s="1544"/>
      <c r="CH100" s="1544"/>
      <c r="CI100" s="1544"/>
      <c r="CJ100" s="1544"/>
      <c r="CK100" s="1544"/>
      <c r="CL100" s="1544"/>
      <c r="CM100" s="1544"/>
      <c r="CN100" s="1544"/>
      <c r="CO100" s="1544"/>
      <c r="CP100" s="1544"/>
      <c r="CQ100" s="1544"/>
      <c r="CR100" s="1544"/>
      <c r="CS100" s="1544"/>
      <c r="CT100" s="1544"/>
      <c r="CU100" s="1544"/>
      <c r="CV100" s="1544"/>
      <c r="CW100" s="1544"/>
      <c r="CX100" s="1544"/>
      <c r="CY100" s="785"/>
      <c r="CZ100" s="1544"/>
      <c r="DA100" s="1544"/>
      <c r="DB100" s="1544"/>
      <c r="DC100" s="751"/>
      <c r="DD100" s="1544"/>
      <c r="DE100" s="1544"/>
      <c r="DF100" s="1544"/>
      <c r="DG100" s="1544"/>
      <c r="DH100" s="1544"/>
      <c r="DI100" s="1544"/>
      <c r="DJ100" s="1544"/>
      <c r="DK100" s="1544"/>
      <c r="DL100" s="1544"/>
      <c r="DM100" s="1544"/>
      <c r="DN100" s="1544"/>
      <c r="DO100" s="751"/>
      <c r="DP100" s="1544"/>
      <c r="DQ100" s="1544"/>
      <c r="DR100" s="607"/>
      <c r="DS100" s="607"/>
      <c r="DT100" s="607"/>
      <c r="DU100" s="607"/>
      <c r="DV100" s="1550"/>
    </row>
    <row r="101" spans="1:256" ht="13.8" hidden="1">
      <c r="A101" s="1551"/>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4"/>
      <c r="CC101" s="1544"/>
      <c r="CD101" s="1544"/>
      <c r="CE101" s="1544"/>
      <c r="CF101" s="1544"/>
      <c r="CG101" s="1544"/>
      <c r="CH101" s="1544"/>
      <c r="CI101" s="1544"/>
      <c r="CJ101" s="1544"/>
      <c r="CK101" s="1544"/>
      <c r="CL101" s="1544"/>
      <c r="CM101" s="1544"/>
      <c r="CN101" s="1544"/>
      <c r="CO101" s="1544"/>
      <c r="CP101" s="1544"/>
      <c r="CQ101" s="1544"/>
      <c r="CR101" s="1544"/>
      <c r="CS101" s="1544"/>
      <c r="CT101" s="1544"/>
      <c r="CU101" s="1544"/>
      <c r="CV101" s="1544"/>
      <c r="CW101" s="1544"/>
      <c r="CX101" s="1544"/>
      <c r="CY101" s="785"/>
      <c r="CZ101" s="1544"/>
      <c r="DA101" s="1544"/>
      <c r="DB101" s="1544"/>
      <c r="DC101" s="751"/>
      <c r="DD101" s="1544"/>
      <c r="DE101" s="1544"/>
      <c r="DF101" s="1544"/>
      <c r="DG101" s="1544"/>
      <c r="DH101" s="1544"/>
      <c r="DI101" s="1544"/>
      <c r="DJ101" s="1544"/>
      <c r="DK101" s="1544"/>
      <c r="DL101" s="1544"/>
      <c r="DM101" s="1544"/>
      <c r="DN101" s="1544"/>
      <c r="DO101" s="751"/>
      <c r="DP101" s="1544"/>
      <c r="DQ101" s="1544"/>
      <c r="DR101" s="607"/>
      <c r="DS101" s="607"/>
      <c r="DT101" s="607"/>
      <c r="DU101" s="607"/>
      <c r="DV101" s="1550"/>
    </row>
    <row r="102" spans="1:256" ht="13.8" hidden="1">
      <c r="A102" s="1551"/>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4"/>
      <c r="CC102" s="1544"/>
      <c r="CD102" s="1544"/>
      <c r="CE102" s="1544"/>
      <c r="CF102" s="1544"/>
      <c r="CG102" s="1544"/>
      <c r="CH102" s="1544"/>
      <c r="CI102" s="1544"/>
      <c r="CJ102" s="1544"/>
      <c r="CK102" s="1544"/>
      <c r="CL102" s="1544"/>
      <c r="CM102" s="1544"/>
      <c r="CN102" s="1544"/>
      <c r="CO102" s="1544"/>
      <c r="CP102" s="1544"/>
      <c r="CQ102" s="1544"/>
      <c r="CR102" s="1544"/>
      <c r="CS102" s="1544"/>
      <c r="CT102" s="1544"/>
      <c r="CU102" s="1544"/>
      <c r="CV102" s="1544"/>
      <c r="CW102" s="1544"/>
      <c r="CX102" s="1544"/>
      <c r="CY102" s="785"/>
      <c r="CZ102" s="1544"/>
      <c r="DA102" s="1544"/>
      <c r="DB102" s="1544"/>
      <c r="DC102" s="751"/>
      <c r="DD102" s="1544"/>
      <c r="DE102" s="1544"/>
      <c r="DF102" s="1544"/>
      <c r="DG102" s="1544"/>
      <c r="DH102" s="1544"/>
      <c r="DI102" s="1544"/>
      <c r="DJ102" s="1544"/>
      <c r="DK102" s="1544"/>
      <c r="DL102" s="1544"/>
      <c r="DM102" s="1544"/>
      <c r="DN102" s="1544"/>
      <c r="DO102" s="751"/>
      <c r="DP102" s="1544"/>
      <c r="DQ102" s="1544"/>
      <c r="DR102" s="607"/>
      <c r="DS102" s="607"/>
      <c r="DT102" s="607"/>
      <c r="DU102" s="607"/>
      <c r="DV102" s="1550"/>
    </row>
    <row r="103" spans="1:256" ht="13.8" hidden="1">
      <c r="A103" s="1551"/>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4"/>
      <c r="CC103" s="1544"/>
      <c r="CD103" s="1544"/>
      <c r="CE103" s="1544"/>
      <c r="CF103" s="1544"/>
      <c r="CG103" s="1544"/>
      <c r="CH103" s="1544"/>
      <c r="CI103" s="1544"/>
      <c r="CJ103" s="1544"/>
      <c r="CK103" s="1544"/>
      <c r="CL103" s="1544"/>
      <c r="CM103" s="1544"/>
      <c r="CN103" s="1544"/>
      <c r="CO103" s="1544"/>
      <c r="CP103" s="1544"/>
      <c r="CQ103" s="1544"/>
      <c r="CR103" s="1544"/>
      <c r="CS103" s="1544"/>
      <c r="CT103" s="1544"/>
      <c r="CU103" s="1544"/>
      <c r="CV103" s="1544"/>
      <c r="CW103" s="1544"/>
      <c r="CX103" s="1544"/>
      <c r="CY103" s="785"/>
      <c r="CZ103" s="1544"/>
      <c r="DA103" s="1544"/>
      <c r="DB103" s="1544"/>
      <c r="DC103" s="751"/>
      <c r="DD103" s="1544"/>
      <c r="DE103" s="1544"/>
      <c r="DF103" s="1544"/>
      <c r="DG103" s="1544"/>
      <c r="DH103" s="1544"/>
      <c r="DI103" s="1544"/>
      <c r="DJ103" s="1544"/>
      <c r="DK103" s="1544"/>
      <c r="DL103" s="1544"/>
      <c r="DM103" s="1544"/>
      <c r="DN103" s="1544"/>
      <c r="DO103" s="751"/>
      <c r="DP103" s="1544"/>
      <c r="DQ103" s="1544"/>
      <c r="DR103" s="607"/>
      <c r="DS103" s="607"/>
      <c r="DT103" s="607"/>
      <c r="DU103" s="607"/>
      <c r="DV103" s="1550"/>
    </row>
    <row r="104" spans="1:256" ht="13.8" hidden="1">
      <c r="A104" s="1551"/>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4"/>
      <c r="CC104" s="1544"/>
      <c r="CD104" s="1544"/>
      <c r="CE104" s="1544"/>
      <c r="CF104" s="1544"/>
      <c r="CG104" s="1544"/>
      <c r="CH104" s="1544"/>
      <c r="CI104" s="1544"/>
      <c r="CJ104" s="1544"/>
      <c r="CK104" s="1544"/>
      <c r="CL104" s="1544"/>
      <c r="CM104" s="1544"/>
      <c r="CN104" s="1544"/>
      <c r="CO104" s="1544"/>
      <c r="CP104" s="1544"/>
      <c r="CQ104" s="1544"/>
      <c r="CR104" s="1544"/>
      <c r="CS104" s="1544"/>
      <c r="CT104" s="1544"/>
      <c r="CU104" s="1544"/>
      <c r="CV104" s="1544"/>
      <c r="CW104" s="1544"/>
      <c r="CX104" s="1544"/>
      <c r="CY104" s="785"/>
      <c r="CZ104" s="1544"/>
      <c r="DA104" s="1544"/>
      <c r="DB104" s="1544"/>
      <c r="DC104" s="751"/>
      <c r="DD104" s="1544"/>
      <c r="DE104" s="1544"/>
      <c r="DF104" s="1544"/>
      <c r="DG104" s="1544"/>
      <c r="DH104" s="1544"/>
      <c r="DI104" s="1544"/>
      <c r="DJ104" s="1544"/>
      <c r="DK104" s="1544"/>
      <c r="DL104" s="1544"/>
      <c r="DM104" s="1544"/>
      <c r="DN104" s="1544"/>
      <c r="DO104" s="751"/>
      <c r="DP104" s="1544"/>
      <c r="DQ104" s="1544"/>
      <c r="DR104" s="607"/>
      <c r="DS104" s="607"/>
      <c r="DT104" s="607"/>
      <c r="DU104" s="607"/>
      <c r="DV104" s="1550"/>
    </row>
    <row r="105" spans="1:256" ht="13.8" hidden="1">
      <c r="A105" s="1551"/>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4"/>
      <c r="CC105" s="1544"/>
      <c r="CD105" s="1544"/>
      <c r="CE105" s="1544"/>
      <c r="CF105" s="1544"/>
      <c r="CG105" s="1544"/>
      <c r="CH105" s="1544"/>
      <c r="CI105" s="1544"/>
      <c r="CJ105" s="1544"/>
      <c r="CK105" s="1544"/>
      <c r="CL105" s="1544"/>
      <c r="CM105" s="1544"/>
      <c r="CN105" s="1544"/>
      <c r="CO105" s="1544"/>
      <c r="CP105" s="1544"/>
      <c r="CQ105" s="1544"/>
      <c r="CR105" s="1544"/>
      <c r="CS105" s="1544"/>
      <c r="CT105" s="1544"/>
      <c r="CU105" s="1544"/>
      <c r="CV105" s="1544"/>
      <c r="CW105" s="1544"/>
      <c r="CX105" s="1544"/>
      <c r="CY105" s="785"/>
      <c r="CZ105" s="1544"/>
      <c r="DA105" s="1544"/>
      <c r="DB105" s="1544"/>
      <c r="DC105" s="751"/>
      <c r="DD105" s="1544"/>
      <c r="DE105" s="1544"/>
      <c r="DF105" s="1544"/>
      <c r="DG105" s="1544"/>
      <c r="DH105" s="1544"/>
      <c r="DI105" s="1544"/>
      <c r="DJ105" s="1544"/>
      <c r="DK105" s="1544"/>
      <c r="DL105" s="1544"/>
      <c r="DM105" s="1544"/>
      <c r="DN105" s="1544"/>
      <c r="DO105" s="751"/>
      <c r="DP105" s="1544"/>
      <c r="DQ105" s="1544"/>
      <c r="DR105" s="607"/>
      <c r="DS105" s="607"/>
      <c r="DT105" s="607"/>
      <c r="DU105" s="607"/>
      <c r="DV105" s="1550"/>
    </row>
    <row r="106" spans="1:256" ht="13.8" hidden="1">
      <c r="A106" s="1551"/>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4"/>
      <c r="CC106" s="1544"/>
      <c r="CD106" s="1544"/>
      <c r="CE106" s="1544"/>
      <c r="CF106" s="1544"/>
      <c r="CG106" s="1544"/>
      <c r="CH106" s="1544"/>
      <c r="CI106" s="1544"/>
      <c r="CJ106" s="1544"/>
      <c r="CK106" s="1544"/>
      <c r="CL106" s="1544"/>
      <c r="CM106" s="1544"/>
      <c r="CN106" s="1544"/>
      <c r="CO106" s="1544"/>
      <c r="CP106" s="1544"/>
      <c r="CQ106" s="1544"/>
      <c r="CR106" s="1544"/>
      <c r="CS106" s="1544"/>
      <c r="CT106" s="1544"/>
      <c r="CU106" s="1544"/>
      <c r="CV106" s="1544"/>
      <c r="CW106" s="1544"/>
      <c r="CX106" s="1544"/>
      <c r="CY106" s="785"/>
      <c r="CZ106" s="1544"/>
      <c r="DA106" s="1544"/>
      <c r="DB106" s="1544"/>
      <c r="DC106" s="751"/>
      <c r="DD106" s="1544"/>
      <c r="DE106" s="1544"/>
      <c r="DF106" s="1544"/>
      <c r="DG106" s="1544"/>
      <c r="DH106" s="1544"/>
      <c r="DI106" s="1544"/>
      <c r="DJ106" s="1544"/>
      <c r="DK106" s="1544"/>
      <c r="DL106" s="1544"/>
      <c r="DM106" s="1544"/>
      <c r="DN106" s="1544"/>
      <c r="DO106" s="751"/>
      <c r="DP106" s="1544"/>
      <c r="DQ106" s="1544"/>
      <c r="DR106" s="607"/>
      <c r="DS106" s="607"/>
      <c r="DT106" s="607"/>
      <c r="DU106" s="607"/>
      <c r="DV106" s="1550"/>
    </row>
    <row r="107" spans="1:256" ht="13.8" hidden="1">
      <c r="A107" s="1551"/>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4"/>
      <c r="CC107" s="1544"/>
      <c r="CD107" s="1544"/>
      <c r="CE107" s="1544"/>
      <c r="CF107" s="1544"/>
      <c r="CG107" s="1544"/>
      <c r="CH107" s="1544"/>
      <c r="CI107" s="1544"/>
      <c r="CJ107" s="1544"/>
      <c r="CK107" s="1544"/>
      <c r="CL107" s="1544"/>
      <c r="CM107" s="1544"/>
      <c r="CN107" s="1544"/>
      <c r="CO107" s="1544"/>
      <c r="CP107" s="1544"/>
      <c r="CQ107" s="1544"/>
      <c r="CR107" s="1544"/>
      <c r="CS107" s="1544"/>
      <c r="CT107" s="1544"/>
      <c r="CU107" s="1544"/>
      <c r="CV107" s="1544"/>
      <c r="CW107" s="1544"/>
      <c r="CX107" s="1544"/>
      <c r="CY107" s="785"/>
      <c r="CZ107" s="1544"/>
      <c r="DA107" s="1544"/>
      <c r="DB107" s="1544"/>
      <c r="DC107" s="751"/>
      <c r="DD107" s="1544"/>
      <c r="DE107" s="1544"/>
      <c r="DF107" s="1544"/>
      <c r="DG107" s="1544"/>
      <c r="DH107" s="1544"/>
      <c r="DI107" s="1544"/>
      <c r="DJ107" s="1544"/>
      <c r="DK107" s="1544"/>
      <c r="DL107" s="1544"/>
      <c r="DM107" s="1544"/>
      <c r="DN107" s="1544"/>
      <c r="DO107" s="751"/>
      <c r="DP107" s="1544"/>
      <c r="DQ107" s="1544"/>
      <c r="DR107" s="607"/>
      <c r="DS107" s="607"/>
      <c r="DT107" s="607"/>
      <c r="DU107" s="607"/>
      <c r="DV107" s="1550"/>
    </row>
    <row r="108" spans="1:256" ht="13.8" hidden="1">
      <c r="A108" s="1551"/>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4"/>
      <c r="CC108" s="1544"/>
      <c r="CD108" s="1544"/>
      <c r="CE108" s="1544"/>
      <c r="CF108" s="1544"/>
      <c r="CG108" s="1544"/>
      <c r="CH108" s="1544"/>
      <c r="CI108" s="1544"/>
      <c r="CJ108" s="1544"/>
      <c r="CK108" s="1544"/>
      <c r="CL108" s="1544"/>
      <c r="CM108" s="1544"/>
      <c r="CN108" s="1544"/>
      <c r="CO108" s="1544"/>
      <c r="CP108" s="1544"/>
      <c r="CQ108" s="1544"/>
      <c r="CR108" s="1544"/>
      <c r="CS108" s="1544"/>
      <c r="CT108" s="1544"/>
      <c r="CU108" s="1544"/>
      <c r="CV108" s="1544"/>
      <c r="CW108" s="1544"/>
      <c r="CX108" s="1544"/>
      <c r="CY108" s="785"/>
      <c r="CZ108" s="1544"/>
      <c r="DA108" s="1544"/>
      <c r="DB108" s="1544"/>
      <c r="DC108" s="751"/>
      <c r="DD108" s="1544"/>
      <c r="DE108" s="1544"/>
      <c r="DF108" s="1544"/>
      <c r="DG108" s="1544"/>
      <c r="DH108" s="1544"/>
      <c r="DI108" s="1544"/>
      <c r="DJ108" s="1544"/>
      <c r="DK108" s="1544"/>
      <c r="DL108" s="1544"/>
      <c r="DM108" s="1544"/>
      <c r="DN108" s="1544"/>
      <c r="DO108" s="751"/>
      <c r="DP108" s="1544"/>
      <c r="DQ108" s="1544"/>
      <c r="DR108" s="607"/>
      <c r="DS108" s="607"/>
      <c r="DT108" s="607"/>
      <c r="DU108" s="607"/>
      <c r="DV108" s="1550"/>
    </row>
    <row r="109" spans="1:256" ht="13.8" hidden="1">
      <c r="A109" s="1551"/>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4"/>
      <c r="CC109" s="1544"/>
      <c r="CD109" s="1544"/>
      <c r="CE109" s="1544"/>
      <c r="CF109" s="1544"/>
      <c r="CG109" s="1544"/>
      <c r="CH109" s="1544"/>
      <c r="CI109" s="1544"/>
      <c r="CJ109" s="1544"/>
      <c r="CK109" s="1544"/>
      <c r="CL109" s="1544"/>
      <c r="CM109" s="1544"/>
      <c r="CN109" s="1544"/>
      <c r="CO109" s="1544"/>
      <c r="CP109" s="1544"/>
      <c r="CQ109" s="1544"/>
      <c r="CR109" s="1544"/>
      <c r="CS109" s="1544"/>
      <c r="CT109" s="1544"/>
      <c r="CU109" s="1544"/>
      <c r="CV109" s="1544"/>
      <c r="CW109" s="1544"/>
      <c r="CX109" s="1544"/>
      <c r="CY109" s="785"/>
      <c r="CZ109" s="1544"/>
      <c r="DA109" s="1544"/>
      <c r="DB109" s="1544"/>
      <c r="DC109" s="751"/>
      <c r="DD109" s="1544"/>
      <c r="DE109" s="1544"/>
      <c r="DF109" s="1544"/>
      <c r="DG109" s="1544"/>
      <c r="DH109" s="1544"/>
      <c r="DI109" s="1544"/>
      <c r="DJ109" s="1544"/>
      <c r="DK109" s="1544"/>
      <c r="DL109" s="1544"/>
      <c r="DM109" s="1544"/>
      <c r="DN109" s="1544"/>
      <c r="DO109" s="751"/>
      <c r="DP109" s="1544"/>
      <c r="DQ109" s="1544"/>
      <c r="DR109" s="607"/>
      <c r="DS109" s="607"/>
      <c r="DT109" s="607"/>
      <c r="DU109" s="607"/>
      <c r="DV109" s="1550"/>
    </row>
    <row r="110" spans="1:256" ht="13.8" hidden="1">
      <c r="A110" s="1551"/>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4"/>
      <c r="CC110" s="1544"/>
      <c r="CD110" s="1544"/>
      <c r="CE110" s="1544"/>
      <c r="CF110" s="1544"/>
      <c r="CG110" s="1544"/>
      <c r="CH110" s="1544"/>
      <c r="CI110" s="1544"/>
      <c r="CJ110" s="1544"/>
      <c r="CK110" s="1544"/>
      <c r="CL110" s="1544"/>
      <c r="CM110" s="1544"/>
      <c r="CN110" s="1544"/>
      <c r="CO110" s="1544"/>
      <c r="CP110" s="1544"/>
      <c r="CQ110" s="1544"/>
      <c r="CR110" s="1544"/>
      <c r="CS110" s="1544"/>
      <c r="CT110" s="1544"/>
      <c r="CU110" s="1544"/>
      <c r="CV110" s="1544"/>
      <c r="CW110" s="1544"/>
      <c r="CX110" s="1544"/>
      <c r="CY110" s="785"/>
      <c r="CZ110" s="1544"/>
      <c r="DA110" s="1544"/>
      <c r="DB110" s="1544"/>
      <c r="DC110" s="751"/>
      <c r="DD110" s="1544"/>
      <c r="DE110" s="1544"/>
      <c r="DF110" s="1544"/>
      <c r="DG110" s="1544"/>
      <c r="DH110" s="1544"/>
      <c r="DI110" s="1544"/>
      <c r="DJ110" s="1544"/>
      <c r="DK110" s="1544"/>
      <c r="DL110" s="1544"/>
      <c r="DM110" s="1544"/>
      <c r="DN110" s="1544"/>
      <c r="DO110" s="751"/>
      <c r="DP110" s="1544"/>
      <c r="DQ110" s="1544"/>
      <c r="DR110" s="607"/>
      <c r="DS110" s="607"/>
      <c r="DT110" s="607"/>
      <c r="DU110" s="607"/>
      <c r="DV110" s="1550"/>
    </row>
    <row r="111" spans="1:256" s="537" customFormat="1" ht="13.8" hidden="1">
      <c r="A111" s="1552"/>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7"/>
      <c r="Y111" s="742"/>
      <c r="Z111" s="742"/>
      <c r="AA111" s="1567"/>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8"/>
      <c r="CC111" s="1568"/>
      <c r="CD111" s="1568"/>
      <c r="CE111" s="1544"/>
      <c r="CF111" s="1568"/>
      <c r="CG111" s="1568"/>
      <c r="CH111" s="1568"/>
      <c r="CI111" s="1568"/>
      <c r="CJ111" s="1568"/>
      <c r="CK111" s="1568"/>
      <c r="CL111" s="1568"/>
      <c r="CM111" s="1568"/>
      <c r="CN111" s="1568"/>
      <c r="CO111" s="1568"/>
      <c r="CP111" s="1568"/>
      <c r="CQ111" s="1568"/>
      <c r="CR111" s="1568"/>
      <c r="CS111" s="1568"/>
      <c r="CT111" s="1568"/>
      <c r="CU111" s="1568"/>
      <c r="CV111" s="1568"/>
      <c r="CW111" s="1568"/>
      <c r="CX111" s="1568"/>
      <c r="CY111" s="786"/>
      <c r="CZ111" s="1568"/>
      <c r="DA111" s="1568"/>
      <c r="DB111" s="1568"/>
      <c r="DC111" s="1567"/>
      <c r="DD111" s="1568"/>
      <c r="DE111" s="1568"/>
      <c r="DF111" s="1568"/>
      <c r="DG111" s="1568"/>
      <c r="DH111" s="1568"/>
      <c r="DI111" s="1568"/>
      <c r="DJ111" s="1568"/>
      <c r="DK111" s="1568"/>
      <c r="DL111" s="1568"/>
      <c r="DM111" s="1568"/>
      <c r="DN111" s="1568"/>
      <c r="DO111" s="1567"/>
      <c r="DP111" s="1568"/>
      <c r="DQ111" s="1568"/>
      <c r="DR111" s="743"/>
      <c r="DS111" s="743"/>
      <c r="DT111" s="743"/>
      <c r="DU111" s="743"/>
      <c r="DV111" s="1566"/>
    </row>
    <row r="112" spans="1:256" s="662" customFormat="1" ht="13.8" hidden="1">
      <c r="A112" s="1551"/>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4"/>
      <c r="CC112" s="1544"/>
      <c r="CD112" s="1544"/>
      <c r="CE112" s="1544"/>
      <c r="CF112" s="1544"/>
      <c r="CG112" s="1544"/>
      <c r="CH112" s="1544"/>
      <c r="CI112" s="1544"/>
      <c r="CJ112" s="1544"/>
      <c r="CK112" s="1544"/>
      <c r="CL112" s="1544"/>
      <c r="CM112" s="1544"/>
      <c r="CN112" s="1544"/>
      <c r="CO112" s="1544"/>
      <c r="CP112" s="1544"/>
      <c r="CQ112" s="1544"/>
      <c r="CR112" s="1544"/>
      <c r="CS112" s="1544"/>
      <c r="CT112" s="1544"/>
      <c r="CU112" s="1544"/>
      <c r="CV112" s="1544"/>
      <c r="CW112" s="1544"/>
      <c r="CX112" s="1544"/>
      <c r="CY112" s="785"/>
      <c r="CZ112" s="1544"/>
      <c r="DA112" s="1544"/>
      <c r="DB112" s="1544"/>
      <c r="DC112" s="751"/>
      <c r="DD112" s="1544"/>
      <c r="DE112" s="1544"/>
      <c r="DF112" s="1544"/>
      <c r="DG112" s="1544"/>
      <c r="DH112" s="1544"/>
      <c r="DI112" s="1544"/>
      <c r="DJ112" s="1544"/>
      <c r="DK112" s="1544"/>
      <c r="DL112" s="1544"/>
      <c r="DM112" s="1544"/>
      <c r="DN112" s="1544"/>
      <c r="DO112" s="751"/>
      <c r="DP112" s="1544"/>
      <c r="DQ112" s="1544"/>
      <c r="DR112" s="607"/>
      <c r="DS112" s="607"/>
      <c r="DT112" s="607"/>
      <c r="DU112" s="607"/>
      <c r="DV112" s="1550"/>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3.8" hidden="1">
      <c r="A113" s="1551"/>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4"/>
      <c r="CC113" s="1544"/>
      <c r="CD113" s="1544"/>
      <c r="CE113" s="1544"/>
      <c r="CF113" s="1544"/>
      <c r="CG113" s="1544"/>
      <c r="CH113" s="1544"/>
      <c r="CI113" s="1544"/>
      <c r="CJ113" s="1544"/>
      <c r="CK113" s="1544"/>
      <c r="CL113" s="1544"/>
      <c r="CM113" s="1544"/>
      <c r="CN113" s="1544"/>
      <c r="CO113" s="1544"/>
      <c r="CP113" s="1544"/>
      <c r="CQ113" s="1544"/>
      <c r="CR113" s="1544"/>
      <c r="CS113" s="1544"/>
      <c r="CT113" s="1544"/>
      <c r="CU113" s="1544"/>
      <c r="CV113" s="1544"/>
      <c r="CW113" s="1544"/>
      <c r="CX113" s="1544"/>
      <c r="CY113" s="785"/>
      <c r="CZ113" s="1544"/>
      <c r="DA113" s="1544"/>
      <c r="DB113" s="1544"/>
      <c r="DC113" s="751"/>
      <c r="DD113" s="1544"/>
      <c r="DE113" s="1544"/>
      <c r="DF113" s="1544"/>
      <c r="DG113" s="1544"/>
      <c r="DH113" s="1544"/>
      <c r="DI113" s="1544"/>
      <c r="DJ113" s="1544"/>
      <c r="DK113" s="1544"/>
      <c r="DL113" s="1544"/>
      <c r="DM113" s="1544"/>
      <c r="DN113" s="1544"/>
      <c r="DO113" s="751"/>
      <c r="DP113" s="1544"/>
      <c r="DQ113" s="1544"/>
      <c r="DR113" s="607"/>
      <c r="DS113" s="607"/>
      <c r="DT113" s="607"/>
      <c r="DU113" s="607"/>
      <c r="DV113" s="1550"/>
    </row>
    <row r="114" spans="1:256" ht="13.8" hidden="1">
      <c r="A114" s="1551"/>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4"/>
      <c r="CC114" s="1544"/>
      <c r="CD114" s="1544"/>
      <c r="CE114" s="1544"/>
      <c r="CF114" s="1544"/>
      <c r="CG114" s="1544"/>
      <c r="CH114" s="1544"/>
      <c r="CI114" s="1544"/>
      <c r="CJ114" s="1544"/>
      <c r="CK114" s="1544"/>
      <c r="CL114" s="1544"/>
      <c r="CM114" s="1544"/>
      <c r="CN114" s="1544"/>
      <c r="CO114" s="1544"/>
      <c r="CP114" s="1544"/>
      <c r="CQ114" s="1544"/>
      <c r="CR114" s="1544"/>
      <c r="CS114" s="1544"/>
      <c r="CT114" s="1544"/>
      <c r="CU114" s="1544"/>
      <c r="CV114" s="1544"/>
      <c r="CW114" s="1544"/>
      <c r="CX114" s="1544"/>
      <c r="CY114" s="785"/>
      <c r="CZ114" s="1544"/>
      <c r="DA114" s="1544"/>
      <c r="DB114" s="1544"/>
      <c r="DC114" s="751"/>
      <c r="DD114" s="1544"/>
      <c r="DE114" s="1544"/>
      <c r="DF114" s="1544"/>
      <c r="DG114" s="1544"/>
      <c r="DH114" s="1544"/>
      <c r="DI114" s="1544"/>
      <c r="DJ114" s="1544"/>
      <c r="DK114" s="1544"/>
      <c r="DL114" s="1544"/>
      <c r="DM114" s="1544"/>
      <c r="DN114" s="1544"/>
      <c r="DO114" s="751"/>
      <c r="DP114" s="1544"/>
      <c r="DQ114" s="1544"/>
      <c r="DR114" s="607"/>
      <c r="DS114" s="607"/>
      <c r="DT114" s="607"/>
      <c r="DU114" s="607"/>
      <c r="DV114" s="1550"/>
    </row>
    <row r="115" spans="1:256" ht="13.8" hidden="1">
      <c r="A115" s="1551"/>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4"/>
      <c r="CC115" s="1544"/>
      <c r="CD115" s="1544"/>
      <c r="CE115" s="1544"/>
      <c r="CF115" s="1544"/>
      <c r="CG115" s="1544"/>
      <c r="CH115" s="1544"/>
      <c r="CI115" s="1544"/>
      <c r="CJ115" s="1544"/>
      <c r="CK115" s="1544"/>
      <c r="CL115" s="1544"/>
      <c r="CM115" s="1544"/>
      <c r="CN115" s="1544"/>
      <c r="CO115" s="1544"/>
      <c r="CP115" s="1544"/>
      <c r="CQ115" s="1544"/>
      <c r="CR115" s="1544"/>
      <c r="CS115" s="1544"/>
      <c r="CT115" s="1544"/>
      <c r="CU115" s="1544"/>
      <c r="CV115" s="1544"/>
      <c r="CW115" s="1544"/>
      <c r="CX115" s="1544"/>
      <c r="CY115" s="785"/>
      <c r="CZ115" s="1544"/>
      <c r="DA115" s="1544"/>
      <c r="DB115" s="1544"/>
      <c r="DC115" s="751"/>
      <c r="DD115" s="1544"/>
      <c r="DE115" s="1544"/>
      <c r="DF115" s="1544"/>
      <c r="DG115" s="1544"/>
      <c r="DH115" s="1544"/>
      <c r="DI115" s="1544"/>
      <c r="DJ115" s="1544"/>
      <c r="DK115" s="1544"/>
      <c r="DL115" s="1544"/>
      <c r="DM115" s="1544"/>
      <c r="DN115" s="1544"/>
      <c r="DO115" s="751"/>
      <c r="DP115" s="1544"/>
      <c r="DQ115" s="1544"/>
      <c r="DR115" s="607"/>
      <c r="DS115" s="607"/>
      <c r="DT115" s="607"/>
      <c r="DU115" s="607"/>
      <c r="DV115" s="1550"/>
    </row>
    <row r="116" spans="1:256" ht="13.8" hidden="1">
      <c r="A116" s="1551"/>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4"/>
      <c r="CC116" s="1544"/>
      <c r="CD116" s="1544"/>
      <c r="CE116" s="1544"/>
      <c r="CF116" s="1544"/>
      <c r="CG116" s="1544"/>
      <c r="CH116" s="1544"/>
      <c r="CI116" s="1544"/>
      <c r="CJ116" s="1544"/>
      <c r="CK116" s="1544"/>
      <c r="CL116" s="1544"/>
      <c r="CM116" s="1544"/>
      <c r="CN116" s="1544"/>
      <c r="CO116" s="1544"/>
      <c r="CP116" s="1544"/>
      <c r="CQ116" s="1544"/>
      <c r="CR116" s="1544"/>
      <c r="CS116" s="1544"/>
      <c r="CT116" s="1544"/>
      <c r="CU116" s="1544"/>
      <c r="CV116" s="1544"/>
      <c r="CW116" s="1544"/>
      <c r="CX116" s="1544"/>
      <c r="CY116" s="785"/>
      <c r="CZ116" s="1544"/>
      <c r="DA116" s="1544"/>
      <c r="DB116" s="1544"/>
      <c r="DC116" s="751"/>
      <c r="DD116" s="1544"/>
      <c r="DE116" s="1544"/>
      <c r="DF116" s="1544"/>
      <c r="DG116" s="1544"/>
      <c r="DH116" s="1544"/>
      <c r="DI116" s="1544"/>
      <c r="DJ116" s="1544"/>
      <c r="DK116" s="1544"/>
      <c r="DL116" s="1544"/>
      <c r="DM116" s="1544"/>
      <c r="DN116" s="1544"/>
      <c r="DO116" s="751"/>
      <c r="DP116" s="1544"/>
      <c r="DQ116" s="1544"/>
      <c r="DR116" s="607"/>
      <c r="DS116" s="607"/>
      <c r="DT116" s="607"/>
      <c r="DU116" s="607"/>
      <c r="DV116" s="1550"/>
    </row>
    <row r="117" spans="1:256" ht="13.8" hidden="1">
      <c r="A117" s="1551"/>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4"/>
      <c r="CC117" s="1544"/>
      <c r="CD117" s="1544"/>
      <c r="CE117" s="1544"/>
      <c r="CF117" s="1544"/>
      <c r="CG117" s="1544"/>
      <c r="CH117" s="1544"/>
      <c r="CI117" s="1544"/>
      <c r="CJ117" s="1544"/>
      <c r="CK117" s="1544"/>
      <c r="CL117" s="1544"/>
      <c r="CM117" s="1544"/>
      <c r="CN117" s="1544"/>
      <c r="CO117" s="1544"/>
      <c r="CP117" s="1544"/>
      <c r="CQ117" s="1544"/>
      <c r="CR117" s="1544"/>
      <c r="CS117" s="1544"/>
      <c r="CT117" s="1544"/>
      <c r="CU117" s="1544"/>
      <c r="CV117" s="1544"/>
      <c r="CW117" s="1544"/>
      <c r="CX117" s="1544"/>
      <c r="CY117" s="785"/>
      <c r="CZ117" s="1544"/>
      <c r="DA117" s="1544"/>
      <c r="DB117" s="1544"/>
      <c r="DC117" s="751"/>
      <c r="DD117" s="1544"/>
      <c r="DE117" s="1544"/>
      <c r="DF117" s="1544"/>
      <c r="DG117" s="1544"/>
      <c r="DH117" s="1544"/>
      <c r="DI117" s="1544"/>
      <c r="DJ117" s="1544"/>
      <c r="DK117" s="1544"/>
      <c r="DL117" s="1544"/>
      <c r="DM117" s="1544"/>
      <c r="DN117" s="1544"/>
      <c r="DO117" s="751"/>
      <c r="DP117" s="1544"/>
      <c r="DQ117" s="1544"/>
      <c r="DR117" s="607"/>
      <c r="DS117" s="607"/>
      <c r="DT117" s="607"/>
      <c r="DU117" s="607"/>
      <c r="DV117" s="1550"/>
    </row>
    <row r="118" spans="1:256" ht="13.8" hidden="1">
      <c r="A118" s="1551"/>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4"/>
      <c r="CC118" s="1544"/>
      <c r="CD118" s="1544"/>
      <c r="CE118" s="1544"/>
      <c r="CF118" s="1544"/>
      <c r="CG118" s="1544"/>
      <c r="CH118" s="1544"/>
      <c r="CI118" s="1544"/>
      <c r="CJ118" s="1544"/>
      <c r="CK118" s="1544"/>
      <c r="CL118" s="1544"/>
      <c r="CM118" s="1544"/>
      <c r="CN118" s="1544"/>
      <c r="CO118" s="1544"/>
      <c r="CP118" s="1544"/>
      <c r="CQ118" s="1544"/>
      <c r="CR118" s="1544"/>
      <c r="CS118" s="1544"/>
      <c r="CT118" s="1544"/>
      <c r="CU118" s="1544"/>
      <c r="CV118" s="1544"/>
      <c r="CW118" s="1544"/>
      <c r="CX118" s="1544"/>
      <c r="CY118" s="785"/>
      <c r="CZ118" s="1544"/>
      <c r="DA118" s="1544"/>
      <c r="DB118" s="1544"/>
      <c r="DC118" s="751"/>
      <c r="DD118" s="1544"/>
      <c r="DE118" s="1544"/>
      <c r="DF118" s="1544"/>
      <c r="DG118" s="1544"/>
      <c r="DH118" s="1544"/>
      <c r="DI118" s="1544"/>
      <c r="DJ118" s="1544"/>
      <c r="DK118" s="1544"/>
      <c r="DL118" s="1544"/>
      <c r="DM118" s="1544"/>
      <c r="DN118" s="1544"/>
      <c r="DO118" s="751"/>
      <c r="DP118" s="1544"/>
      <c r="DQ118" s="1544"/>
      <c r="DR118" s="607"/>
      <c r="DS118" s="607"/>
      <c r="DT118" s="607"/>
      <c r="DU118" s="607"/>
      <c r="DV118" s="1550"/>
    </row>
    <row r="119" spans="1:256" s="662" customFormat="1" ht="13.8" hidden="1">
      <c r="A119" s="1551"/>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4"/>
      <c r="CC119" s="1544"/>
      <c r="CD119" s="1544"/>
      <c r="CE119" s="1544"/>
      <c r="CF119" s="1544"/>
      <c r="CG119" s="1544"/>
      <c r="CH119" s="1544"/>
      <c r="CI119" s="1544"/>
      <c r="CJ119" s="1544"/>
      <c r="CK119" s="1544"/>
      <c r="CL119" s="1544"/>
      <c r="CM119" s="1544"/>
      <c r="CN119" s="1544"/>
      <c r="CO119" s="1544"/>
      <c r="CP119" s="1544"/>
      <c r="CQ119" s="1544"/>
      <c r="CR119" s="1544"/>
      <c r="CS119" s="1544"/>
      <c r="CT119" s="1544"/>
      <c r="CU119" s="1544"/>
      <c r="CV119" s="1544"/>
      <c r="CW119" s="1544"/>
      <c r="CX119" s="1544"/>
      <c r="CY119" s="785"/>
      <c r="CZ119" s="1544"/>
      <c r="DA119" s="1544"/>
      <c r="DB119" s="1544"/>
      <c r="DC119" s="751"/>
      <c r="DD119" s="1544"/>
      <c r="DE119" s="1544"/>
      <c r="DF119" s="1544"/>
      <c r="DG119" s="1544"/>
      <c r="DH119" s="1544"/>
      <c r="DI119" s="1544"/>
      <c r="DJ119" s="1544"/>
      <c r="DK119" s="1544"/>
      <c r="DL119" s="1544"/>
      <c r="DM119" s="1544"/>
      <c r="DN119" s="1544"/>
      <c r="DO119" s="751"/>
      <c r="DP119" s="1544"/>
      <c r="DQ119" s="1544"/>
      <c r="DR119" s="607"/>
      <c r="DS119" s="607"/>
      <c r="DT119" s="607"/>
      <c r="DU119" s="607"/>
      <c r="DV119" s="1550"/>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3.8" hidden="1">
      <c r="A120" s="1553"/>
      <c r="B120" s="1554"/>
      <c r="C120" s="1553"/>
      <c r="D120" s="1553"/>
      <c r="E120" s="1553"/>
      <c r="F120" s="1553"/>
      <c r="G120" s="1553"/>
      <c r="H120" s="1553"/>
      <c r="I120" s="1553"/>
      <c r="J120" s="1553"/>
      <c r="K120" s="1553"/>
      <c r="L120" s="1553"/>
      <c r="M120" s="1553"/>
      <c r="N120" s="1553"/>
      <c r="O120" s="1553"/>
      <c r="P120" s="1553"/>
      <c r="Q120" s="1553"/>
      <c r="R120" s="1553"/>
      <c r="S120" s="1553"/>
      <c r="T120" s="1553"/>
      <c r="U120" s="1553"/>
      <c r="V120" s="1553"/>
      <c r="W120" s="1553"/>
      <c r="X120" s="1553"/>
      <c r="Y120" s="1553"/>
      <c r="Z120" s="1553"/>
      <c r="AA120" s="1553"/>
      <c r="AB120" s="1553"/>
      <c r="AC120" s="1553"/>
      <c r="AD120" s="1553"/>
      <c r="AE120" s="1553"/>
      <c r="AF120" s="1553"/>
      <c r="AG120" s="1553"/>
      <c r="AH120" s="1553"/>
      <c r="AI120" s="1553"/>
      <c r="AJ120" s="1553"/>
      <c r="AK120" s="1553"/>
      <c r="AL120" s="1553"/>
      <c r="AM120" s="1553"/>
      <c r="AN120" s="1553"/>
      <c r="AO120" s="1553"/>
      <c r="AP120" s="1553"/>
      <c r="AQ120" s="1553"/>
      <c r="AR120" s="1553"/>
      <c r="AS120" s="1553"/>
      <c r="AT120" s="1553"/>
      <c r="AU120" s="1553"/>
      <c r="AV120" s="1553"/>
      <c r="AW120" s="1553"/>
      <c r="AX120" s="1553"/>
      <c r="AY120" s="1553"/>
      <c r="AZ120" s="1553"/>
      <c r="BA120" s="1553"/>
      <c r="BB120" s="1553"/>
      <c r="BC120" s="1553"/>
      <c r="BD120" s="1553"/>
      <c r="BE120" s="1553"/>
      <c r="BF120" s="1553"/>
      <c r="BG120" s="1553"/>
      <c r="BH120" s="1553"/>
      <c r="BI120" s="1553"/>
      <c r="BJ120" s="1553"/>
      <c r="BK120" s="1553"/>
      <c r="BL120" s="1553"/>
      <c r="BM120" s="1553"/>
      <c r="BN120" s="1553"/>
      <c r="BO120" s="1553"/>
      <c r="BP120" s="1553"/>
      <c r="BQ120" s="1553"/>
      <c r="BR120" s="1553"/>
      <c r="BS120" s="1553"/>
      <c r="BT120" s="1553"/>
      <c r="BU120" s="1553"/>
      <c r="BV120" s="1553"/>
      <c r="BW120" s="1553"/>
      <c r="BX120" s="1553"/>
      <c r="BY120" s="1553"/>
      <c r="BZ120" s="1553"/>
      <c r="CA120" s="1553"/>
      <c r="CB120" s="1553"/>
      <c r="CC120" s="1553"/>
      <c r="CD120" s="1553"/>
      <c r="CE120" s="1544"/>
      <c r="CF120" s="1553"/>
      <c r="CG120" s="1553"/>
      <c r="CH120" s="1553"/>
      <c r="CI120" s="1553"/>
      <c r="CJ120" s="1553"/>
      <c r="CK120" s="1553"/>
      <c r="CL120" s="1553"/>
      <c r="CM120" s="1553"/>
      <c r="CN120" s="1553"/>
      <c r="CO120" s="1553"/>
      <c r="CP120" s="1553"/>
      <c r="CQ120" s="1553"/>
      <c r="CR120" s="1553"/>
      <c r="CS120" s="1553"/>
      <c r="CT120" s="1553"/>
      <c r="CU120" s="1553"/>
      <c r="CV120" s="1553"/>
      <c r="CW120" s="1553"/>
      <c r="CX120" s="1553"/>
      <c r="CY120" s="1555"/>
      <c r="CZ120" s="1553"/>
      <c r="DA120" s="1553"/>
      <c r="DB120" s="1553"/>
      <c r="DC120" s="1553"/>
      <c r="DD120" s="1553"/>
      <c r="DE120" s="1553"/>
      <c r="DF120" s="1553"/>
      <c r="DG120" s="1553"/>
      <c r="DH120" s="1553"/>
      <c r="DI120" s="1553"/>
      <c r="DJ120" s="1553"/>
      <c r="DK120" s="1553"/>
      <c r="DL120" s="1553"/>
      <c r="DM120" s="1553"/>
      <c r="DN120" s="1553"/>
      <c r="DO120" s="1553"/>
      <c r="DP120" s="1553"/>
      <c r="DQ120" s="1553"/>
      <c r="DR120" s="1553"/>
      <c r="DS120" s="1553"/>
      <c r="DT120" s="1553"/>
      <c r="DU120" s="1553"/>
      <c r="DV120" s="1556"/>
    </row>
    <row r="121" spans="1:256" s="532" customFormat="1" ht="18" hidden="1" customHeight="1">
      <c r="A121" s="1560"/>
      <c r="B121" s="975"/>
      <c r="C121" s="975"/>
      <c r="D121" s="975"/>
      <c r="E121" s="975"/>
      <c r="F121" s="975"/>
      <c r="G121" s="975"/>
      <c r="H121" s="975"/>
      <c r="I121" s="975"/>
      <c r="J121" s="975"/>
      <c r="K121" s="975"/>
      <c r="L121" s="975"/>
      <c r="M121" s="975"/>
      <c r="N121" s="975"/>
      <c r="O121" s="975"/>
      <c r="P121" s="975"/>
      <c r="Q121" s="975"/>
      <c r="R121" s="975"/>
      <c r="S121" s="975"/>
      <c r="T121" s="975"/>
      <c r="U121" s="975"/>
      <c r="V121" s="975"/>
      <c r="W121" s="975"/>
      <c r="X121" s="975"/>
      <c r="Y121" s="975"/>
      <c r="Z121" s="975"/>
      <c r="AA121" s="975"/>
      <c r="AB121" s="975"/>
      <c r="AC121" s="975"/>
      <c r="AD121" s="975"/>
      <c r="AE121" s="975"/>
      <c r="AF121" s="975"/>
      <c r="AG121" s="975"/>
      <c r="AH121" s="975"/>
      <c r="AI121" s="975"/>
      <c r="AJ121" s="975"/>
      <c r="AK121" s="975"/>
      <c r="AL121" s="975"/>
      <c r="AM121" s="975"/>
      <c r="AN121" s="975"/>
      <c r="AO121" s="975"/>
      <c r="AP121" s="975"/>
      <c r="AQ121" s="975"/>
      <c r="AR121" s="975"/>
      <c r="AS121" s="975"/>
      <c r="AT121" s="975"/>
      <c r="AU121" s="975"/>
      <c r="AV121" s="975"/>
      <c r="AW121" s="975"/>
      <c r="AX121" s="975"/>
      <c r="AY121" s="975"/>
      <c r="AZ121" s="975"/>
      <c r="BA121" s="975"/>
      <c r="BB121" s="975"/>
      <c r="BC121" s="975"/>
      <c r="BD121" s="975"/>
      <c r="BE121" s="975"/>
      <c r="BF121" s="975"/>
      <c r="BG121" s="975"/>
      <c r="BH121" s="975"/>
      <c r="BI121" s="975"/>
      <c r="BJ121" s="975"/>
      <c r="BK121" s="975"/>
      <c r="BL121" s="975"/>
      <c r="BM121" s="975"/>
      <c r="BN121" s="975"/>
      <c r="BO121" s="975"/>
      <c r="BP121" s="975"/>
      <c r="BQ121" s="975"/>
      <c r="BR121" s="975"/>
      <c r="BS121" s="975"/>
      <c r="BT121" s="975"/>
      <c r="BU121" s="975"/>
      <c r="BV121" s="975"/>
      <c r="BW121" s="975"/>
      <c r="BX121" s="975"/>
      <c r="BY121" s="975"/>
      <c r="BZ121" s="975"/>
      <c r="CA121" s="975"/>
      <c r="CB121" s="975"/>
      <c r="CC121" s="975"/>
      <c r="CD121" s="975"/>
      <c r="CE121" s="1544"/>
      <c r="CF121" s="975"/>
      <c r="CG121" s="975"/>
      <c r="CH121" s="975"/>
      <c r="CI121" s="975"/>
      <c r="CJ121" s="975"/>
      <c r="CK121" s="975"/>
      <c r="CL121" s="975"/>
      <c r="CM121" s="975"/>
      <c r="CN121" s="975"/>
      <c r="CO121" s="975"/>
      <c r="CP121" s="975"/>
      <c r="CQ121" s="975"/>
      <c r="CR121" s="975"/>
      <c r="CS121" s="975"/>
      <c r="CT121" s="975"/>
      <c r="CU121" s="975"/>
      <c r="CV121" s="975"/>
      <c r="CW121" s="975"/>
      <c r="CX121" s="975"/>
      <c r="CY121" s="1558"/>
      <c r="CZ121" s="975"/>
      <c r="DA121" s="975"/>
      <c r="DB121" s="975"/>
      <c r="DC121" s="975"/>
      <c r="DD121" s="975"/>
      <c r="DE121" s="975"/>
      <c r="DF121" s="975"/>
      <c r="DG121" s="975"/>
      <c r="DH121" s="975"/>
      <c r="DI121" s="975"/>
      <c r="DJ121" s="975"/>
      <c r="DK121" s="975"/>
      <c r="DL121" s="975"/>
      <c r="DM121" s="975"/>
      <c r="DN121" s="975"/>
      <c r="DO121" s="975"/>
      <c r="DP121" s="975"/>
      <c r="DQ121" s="975"/>
      <c r="DR121" s="975"/>
      <c r="DS121" s="975"/>
      <c r="DT121" s="975"/>
      <c r="DU121" s="975"/>
      <c r="DV121" s="1559"/>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3.8" hidden="1">
      <c r="A122" s="1569"/>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4"/>
      <c r="CF122" s="751"/>
      <c r="CG122" s="751"/>
      <c r="CH122" s="751"/>
      <c r="CI122" s="751"/>
      <c r="CJ122" s="751"/>
      <c r="CK122" s="751"/>
      <c r="CL122" s="751"/>
      <c r="CM122" s="751"/>
      <c r="CN122" s="751"/>
      <c r="CO122" s="751"/>
      <c r="CP122" s="751"/>
      <c r="CQ122" s="751"/>
      <c r="CR122" s="751"/>
      <c r="CS122" s="751"/>
      <c r="CT122" s="751"/>
      <c r="CU122" s="751"/>
      <c r="CV122" s="751"/>
      <c r="CW122" s="751"/>
      <c r="CX122" s="751"/>
      <c r="CY122" s="785"/>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70"/>
      <c r="IR122" s="746"/>
      <c r="IS122" s="746"/>
      <c r="IT122" s="746"/>
      <c r="IU122" s="746"/>
      <c r="IV122" s="746"/>
    </row>
    <row r="123" spans="1:256" s="745" customFormat="1" ht="13.8" hidden="1">
      <c r="A123" s="1569"/>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4"/>
      <c r="CC123" s="1544"/>
      <c r="CD123" s="1544"/>
      <c r="CE123" s="1544"/>
      <c r="CF123" s="1544"/>
      <c r="CG123" s="1544"/>
      <c r="CH123" s="1544"/>
      <c r="CI123" s="1544"/>
      <c r="CJ123" s="1544"/>
      <c r="CK123" s="1544"/>
      <c r="CL123" s="1544"/>
      <c r="CM123" s="1544"/>
      <c r="CN123" s="1544"/>
      <c r="CO123" s="1544"/>
      <c r="CP123" s="1544"/>
      <c r="CQ123" s="1544"/>
      <c r="CR123" s="1544"/>
      <c r="CS123" s="1544"/>
      <c r="CT123" s="1544"/>
      <c r="CU123" s="1544"/>
      <c r="CV123" s="1544"/>
      <c r="CW123" s="1544"/>
      <c r="CX123" s="1544"/>
      <c r="CY123" s="785"/>
      <c r="CZ123" s="1544"/>
      <c r="DA123" s="1544"/>
      <c r="DB123" s="1544"/>
      <c r="DC123" s="751"/>
      <c r="DD123" s="1544"/>
      <c r="DE123" s="1544"/>
      <c r="DF123" s="1544"/>
      <c r="DG123" s="1544"/>
      <c r="DH123" s="1544"/>
      <c r="DI123" s="1544"/>
      <c r="DJ123" s="1544"/>
      <c r="DK123" s="1544"/>
      <c r="DL123" s="1544"/>
      <c r="DM123" s="1544"/>
      <c r="DN123" s="1544"/>
      <c r="DO123" s="751"/>
      <c r="DP123" s="1544"/>
      <c r="DQ123" s="1544"/>
      <c r="DR123" s="751"/>
      <c r="DS123" s="751"/>
      <c r="DT123" s="751"/>
      <c r="DU123" s="751"/>
      <c r="DV123" s="1570"/>
      <c r="IR123" s="746"/>
      <c r="IS123" s="746"/>
      <c r="IT123" s="746"/>
      <c r="IU123" s="746"/>
      <c r="IV123" s="746"/>
    </row>
    <row r="124" spans="1:256" s="745" customFormat="1" ht="13.8" hidden="1">
      <c r="A124" s="1569"/>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4"/>
      <c r="CC124" s="1544"/>
      <c r="CD124" s="1544"/>
      <c r="CE124" s="1544"/>
      <c r="CF124" s="1544"/>
      <c r="CG124" s="1544"/>
      <c r="CH124" s="1544"/>
      <c r="CI124" s="1544"/>
      <c r="CJ124" s="1544"/>
      <c r="CK124" s="1544"/>
      <c r="CL124" s="1544"/>
      <c r="CM124" s="1544"/>
      <c r="CN124" s="1544"/>
      <c r="CO124" s="1544"/>
      <c r="CP124" s="1544"/>
      <c r="CQ124" s="1544"/>
      <c r="CR124" s="1544"/>
      <c r="CS124" s="1544"/>
      <c r="CT124" s="1544"/>
      <c r="CU124" s="1544"/>
      <c r="CV124" s="1544"/>
      <c r="CW124" s="1544"/>
      <c r="CX124" s="1544"/>
      <c r="CY124" s="785"/>
      <c r="CZ124" s="1544"/>
      <c r="DA124" s="1544"/>
      <c r="DB124" s="1544"/>
      <c r="DC124" s="751"/>
      <c r="DD124" s="1544"/>
      <c r="DE124" s="1544"/>
      <c r="DF124" s="1544"/>
      <c r="DG124" s="1544"/>
      <c r="DH124" s="1544"/>
      <c r="DI124" s="1544"/>
      <c r="DJ124" s="1544"/>
      <c r="DK124" s="1544"/>
      <c r="DL124" s="1544"/>
      <c r="DM124" s="1544"/>
      <c r="DN124" s="1544"/>
      <c r="DO124" s="751"/>
      <c r="DP124" s="1544"/>
      <c r="DQ124" s="1544"/>
      <c r="DR124" s="751"/>
      <c r="DS124" s="751"/>
      <c r="DT124" s="751"/>
      <c r="DU124" s="751"/>
      <c r="DV124" s="1570"/>
      <c r="IR124" s="746"/>
      <c r="IS124" s="746"/>
      <c r="IT124" s="746"/>
      <c r="IU124" s="746"/>
      <c r="IV124" s="746"/>
    </row>
    <row r="125" spans="1:256" s="745" customFormat="1" ht="13.8" hidden="1">
      <c r="A125" s="1569"/>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4"/>
      <c r="CC125" s="1544"/>
      <c r="CD125" s="1544"/>
      <c r="CE125" s="1544"/>
      <c r="CF125" s="1544"/>
      <c r="CG125" s="1544"/>
      <c r="CH125" s="1544"/>
      <c r="CI125" s="1544"/>
      <c r="CJ125" s="1544"/>
      <c r="CK125" s="1544"/>
      <c r="CL125" s="1544"/>
      <c r="CM125" s="1544"/>
      <c r="CN125" s="1544"/>
      <c r="CO125" s="1544"/>
      <c r="CP125" s="1544"/>
      <c r="CQ125" s="1544"/>
      <c r="CR125" s="1544"/>
      <c r="CS125" s="1544"/>
      <c r="CT125" s="1544"/>
      <c r="CU125" s="1544"/>
      <c r="CV125" s="1544"/>
      <c r="CW125" s="1544"/>
      <c r="CX125" s="1544"/>
      <c r="CY125" s="785"/>
      <c r="CZ125" s="1544"/>
      <c r="DA125" s="1544"/>
      <c r="DB125" s="1544"/>
      <c r="DC125" s="751"/>
      <c r="DD125" s="1544"/>
      <c r="DE125" s="1544"/>
      <c r="DF125" s="1544"/>
      <c r="DG125" s="1544"/>
      <c r="DH125" s="1544"/>
      <c r="DI125" s="1544"/>
      <c r="DJ125" s="1544"/>
      <c r="DK125" s="1544"/>
      <c r="DL125" s="1544"/>
      <c r="DM125" s="1544"/>
      <c r="DN125" s="1544"/>
      <c r="DO125" s="751"/>
      <c r="DP125" s="1544"/>
      <c r="DQ125" s="1544"/>
      <c r="DR125" s="751"/>
      <c r="DS125" s="751"/>
      <c r="DT125" s="751"/>
      <c r="DU125" s="751"/>
      <c r="DV125" s="1570"/>
      <c r="IR125" s="746"/>
      <c r="IS125" s="746"/>
      <c r="IT125" s="746"/>
      <c r="IU125" s="746"/>
      <c r="IV125" s="746"/>
    </row>
    <row r="126" spans="1:256" s="745" customFormat="1" ht="13.8" hidden="1">
      <c r="A126" s="1569"/>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4"/>
      <c r="CC126" s="1544"/>
      <c r="CD126" s="1544"/>
      <c r="CE126" s="1544"/>
      <c r="CF126" s="1544"/>
      <c r="CG126" s="1544"/>
      <c r="CH126" s="1544"/>
      <c r="CI126" s="1544"/>
      <c r="CJ126" s="1544"/>
      <c r="CK126" s="1544"/>
      <c r="CL126" s="1544"/>
      <c r="CM126" s="1544"/>
      <c r="CN126" s="1544"/>
      <c r="CO126" s="1544"/>
      <c r="CP126" s="1544"/>
      <c r="CQ126" s="1544"/>
      <c r="CR126" s="1544"/>
      <c r="CS126" s="1544"/>
      <c r="CT126" s="1544"/>
      <c r="CU126" s="1544"/>
      <c r="CV126" s="1544"/>
      <c r="CW126" s="1544"/>
      <c r="CX126" s="1544"/>
      <c r="CY126" s="785"/>
      <c r="CZ126" s="1544"/>
      <c r="DA126" s="1544"/>
      <c r="DB126" s="1544"/>
      <c r="DC126" s="751"/>
      <c r="DD126" s="1544"/>
      <c r="DE126" s="1544"/>
      <c r="DF126" s="1544"/>
      <c r="DG126" s="1544"/>
      <c r="DH126" s="1544"/>
      <c r="DI126" s="1544"/>
      <c r="DJ126" s="1544"/>
      <c r="DK126" s="1544"/>
      <c r="DL126" s="1544"/>
      <c r="DM126" s="1544"/>
      <c r="DN126" s="1544"/>
      <c r="DO126" s="751"/>
      <c r="DP126" s="1544"/>
      <c r="DQ126" s="1544"/>
      <c r="DR126" s="751"/>
      <c r="DS126" s="751"/>
      <c r="DT126" s="751"/>
      <c r="DU126" s="751"/>
      <c r="DV126" s="1570"/>
      <c r="IR126" s="746"/>
      <c r="IS126" s="746"/>
      <c r="IT126" s="746"/>
      <c r="IU126" s="746"/>
      <c r="IV126" s="746"/>
    </row>
    <row r="127" spans="1:256" s="745" customFormat="1" ht="13.8" hidden="1">
      <c r="A127" s="1569"/>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4"/>
      <c r="CC127" s="1544"/>
      <c r="CD127" s="1544"/>
      <c r="CE127" s="1544"/>
      <c r="CF127" s="1544"/>
      <c r="CG127" s="1544"/>
      <c r="CH127" s="1544"/>
      <c r="CI127" s="1544"/>
      <c r="CJ127" s="1544"/>
      <c r="CK127" s="1544"/>
      <c r="CL127" s="1544"/>
      <c r="CM127" s="1544"/>
      <c r="CN127" s="1544"/>
      <c r="CO127" s="1544"/>
      <c r="CP127" s="1544"/>
      <c r="CQ127" s="1544"/>
      <c r="CR127" s="1544"/>
      <c r="CS127" s="1544"/>
      <c r="CT127" s="1544"/>
      <c r="CU127" s="1544"/>
      <c r="CV127" s="1544"/>
      <c r="CW127" s="1544"/>
      <c r="CX127" s="1544"/>
      <c r="CY127" s="785"/>
      <c r="CZ127" s="1544"/>
      <c r="DA127" s="1544"/>
      <c r="DB127" s="1544"/>
      <c r="DC127" s="751"/>
      <c r="DD127" s="1544"/>
      <c r="DE127" s="1544"/>
      <c r="DF127" s="1544"/>
      <c r="DG127" s="1544"/>
      <c r="DH127" s="1544"/>
      <c r="DI127" s="1544"/>
      <c r="DJ127" s="1544"/>
      <c r="DK127" s="1544"/>
      <c r="DL127" s="1544"/>
      <c r="DM127" s="1544"/>
      <c r="DN127" s="1544"/>
      <c r="DO127" s="751"/>
      <c r="DP127" s="1544"/>
      <c r="DQ127" s="1544"/>
      <c r="DR127" s="751"/>
      <c r="DS127" s="751"/>
      <c r="DT127" s="751"/>
      <c r="DU127" s="751"/>
      <c r="DV127" s="1570"/>
      <c r="IR127" s="746"/>
      <c r="IS127" s="746"/>
      <c r="IT127" s="746"/>
      <c r="IU127" s="746"/>
      <c r="IV127" s="746"/>
    </row>
    <row r="128" spans="1:256" s="745" customFormat="1" ht="13.8" hidden="1">
      <c r="A128" s="1569"/>
      <c r="B128" s="1571"/>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4"/>
      <c r="CC128" s="1544"/>
      <c r="CD128" s="1544"/>
      <c r="CE128" s="1544"/>
      <c r="CF128" s="1544"/>
      <c r="CG128" s="1544"/>
      <c r="CH128" s="1544"/>
      <c r="CI128" s="1544"/>
      <c r="CJ128" s="1544"/>
      <c r="CK128" s="1544"/>
      <c r="CL128" s="1544"/>
      <c r="CM128" s="1544"/>
      <c r="CN128" s="1544"/>
      <c r="CO128" s="1544"/>
      <c r="CP128" s="1544"/>
      <c r="CQ128" s="1544"/>
      <c r="CR128" s="1544"/>
      <c r="CS128" s="1544"/>
      <c r="CT128" s="1544"/>
      <c r="CU128" s="1544"/>
      <c r="CV128" s="1544"/>
      <c r="CW128" s="1544"/>
      <c r="CX128" s="1544"/>
      <c r="CY128" s="785"/>
      <c r="CZ128" s="1544"/>
      <c r="DA128" s="1544"/>
      <c r="DB128" s="1544"/>
      <c r="DC128" s="751"/>
      <c r="DD128" s="1544"/>
      <c r="DE128" s="1544"/>
      <c r="DF128" s="1544"/>
      <c r="DG128" s="1544"/>
      <c r="DH128" s="1544"/>
      <c r="DI128" s="1544"/>
      <c r="DJ128" s="1544"/>
      <c r="DK128" s="1544"/>
      <c r="DL128" s="1544"/>
      <c r="DM128" s="1544"/>
      <c r="DN128" s="1544"/>
      <c r="DO128" s="751"/>
      <c r="DP128" s="1544"/>
      <c r="DQ128" s="1544"/>
      <c r="DR128" s="751"/>
      <c r="DS128" s="751"/>
      <c r="DT128" s="751"/>
      <c r="DU128" s="751"/>
      <c r="DV128" s="1570"/>
      <c r="IR128" s="746"/>
      <c r="IS128" s="746"/>
      <c r="IT128" s="746"/>
      <c r="IU128" s="746"/>
      <c r="IV128" s="746"/>
    </row>
    <row r="129" spans="1:256" s="745" customFormat="1" ht="13.8" hidden="1">
      <c r="A129" s="1569"/>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4"/>
      <c r="CC129" s="1544"/>
      <c r="CD129" s="1544"/>
      <c r="CE129" s="1544"/>
      <c r="CF129" s="1544"/>
      <c r="CG129" s="1544"/>
      <c r="CH129" s="1544"/>
      <c r="CI129" s="1544"/>
      <c r="CJ129" s="1544"/>
      <c r="CK129" s="1544"/>
      <c r="CL129" s="1544"/>
      <c r="CM129" s="1544"/>
      <c r="CN129" s="1544"/>
      <c r="CO129" s="1544"/>
      <c r="CP129" s="1544"/>
      <c r="CQ129" s="1544"/>
      <c r="CR129" s="1544"/>
      <c r="CS129" s="1544"/>
      <c r="CT129" s="1544"/>
      <c r="CU129" s="1544"/>
      <c r="CV129" s="1544"/>
      <c r="CW129" s="1544"/>
      <c r="CX129" s="1544"/>
      <c r="CY129" s="785"/>
      <c r="CZ129" s="1544"/>
      <c r="DA129" s="1544"/>
      <c r="DB129" s="1544"/>
      <c r="DC129" s="751"/>
      <c r="DD129" s="1544"/>
      <c r="DE129" s="1544"/>
      <c r="DF129" s="1544"/>
      <c r="DG129" s="1544"/>
      <c r="DH129" s="1544"/>
      <c r="DI129" s="1544"/>
      <c r="DJ129" s="1544"/>
      <c r="DK129" s="1544"/>
      <c r="DL129" s="1544"/>
      <c r="DM129" s="1544"/>
      <c r="DN129" s="1544"/>
      <c r="DO129" s="751"/>
      <c r="DP129" s="1544"/>
      <c r="DQ129" s="1544"/>
      <c r="DR129" s="751"/>
      <c r="DS129" s="751"/>
      <c r="DT129" s="751"/>
      <c r="DU129" s="751"/>
      <c r="DV129" s="1570"/>
      <c r="IR129" s="746"/>
      <c r="IS129" s="746"/>
      <c r="IT129" s="746"/>
      <c r="IU129" s="746"/>
      <c r="IV129" s="746"/>
    </row>
    <row r="130" spans="1:256" s="745" customFormat="1" ht="13.8" hidden="1">
      <c r="A130" s="1569"/>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4"/>
      <c r="CC130" s="1544"/>
      <c r="CD130" s="1544"/>
      <c r="CE130" s="1544"/>
      <c r="CF130" s="1544"/>
      <c r="CG130" s="1544"/>
      <c r="CH130" s="1544"/>
      <c r="CI130" s="1544"/>
      <c r="CJ130" s="1544"/>
      <c r="CK130" s="1544"/>
      <c r="CL130" s="1544"/>
      <c r="CM130" s="1544"/>
      <c r="CN130" s="1544"/>
      <c r="CO130" s="1544"/>
      <c r="CP130" s="1544"/>
      <c r="CQ130" s="1544"/>
      <c r="CR130" s="1544"/>
      <c r="CS130" s="1544"/>
      <c r="CT130" s="1544"/>
      <c r="CU130" s="1544"/>
      <c r="CV130" s="1544"/>
      <c r="CW130" s="1544"/>
      <c r="CX130" s="1544"/>
      <c r="CY130" s="785"/>
      <c r="CZ130" s="1544"/>
      <c r="DA130" s="1544"/>
      <c r="DB130" s="1544"/>
      <c r="DC130" s="751"/>
      <c r="DD130" s="1544"/>
      <c r="DE130" s="1544"/>
      <c r="DF130" s="1544"/>
      <c r="DG130" s="1544"/>
      <c r="DH130" s="1544"/>
      <c r="DI130" s="1544"/>
      <c r="DJ130" s="1544"/>
      <c r="DK130" s="1544"/>
      <c r="DL130" s="1544"/>
      <c r="DM130" s="1544"/>
      <c r="DN130" s="1544"/>
      <c r="DO130" s="751"/>
      <c r="DP130" s="1544"/>
      <c r="DQ130" s="1544"/>
      <c r="DR130" s="751"/>
      <c r="DS130" s="751"/>
      <c r="DT130" s="751"/>
      <c r="DU130" s="751"/>
      <c r="DV130" s="1570"/>
      <c r="IR130" s="746"/>
      <c r="IS130" s="746"/>
      <c r="IT130" s="746"/>
      <c r="IU130" s="746"/>
      <c r="IV130" s="746"/>
    </row>
    <row r="131" spans="1:256" s="747" customFormat="1" ht="13.8" hidden="1">
      <c r="A131" s="1572"/>
      <c r="B131" s="1573"/>
      <c r="C131" s="1573"/>
      <c r="D131" s="1573"/>
      <c r="E131" s="1573"/>
      <c r="F131" s="1573"/>
      <c r="G131" s="1573"/>
      <c r="H131" s="1573"/>
      <c r="I131" s="1573"/>
      <c r="J131" s="1573"/>
      <c r="K131" s="1573"/>
      <c r="L131" s="1573"/>
      <c r="M131" s="1573"/>
      <c r="N131" s="1573"/>
      <c r="O131" s="1574"/>
      <c r="P131" s="1574"/>
      <c r="Q131" s="1574"/>
      <c r="R131" s="1567"/>
      <c r="S131" s="1567"/>
      <c r="T131" s="1567"/>
      <c r="U131" s="1567"/>
      <c r="V131" s="1567"/>
      <c r="W131" s="1567"/>
      <c r="X131" s="1567"/>
      <c r="Y131" s="742"/>
      <c r="Z131" s="742"/>
      <c r="AA131" s="1567"/>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8"/>
      <c r="CC131" s="1568"/>
      <c r="CD131" s="1568"/>
      <c r="CE131" s="1544"/>
      <c r="CF131" s="1568"/>
      <c r="CG131" s="1568"/>
      <c r="CH131" s="1568"/>
      <c r="CI131" s="1568"/>
      <c r="CJ131" s="1568"/>
      <c r="CK131" s="1568"/>
      <c r="CL131" s="1568"/>
      <c r="CM131" s="1568"/>
      <c r="CN131" s="1568"/>
      <c r="CO131" s="1568"/>
      <c r="CP131" s="1568"/>
      <c r="CQ131" s="1568"/>
      <c r="CR131" s="1568"/>
      <c r="CS131" s="1568"/>
      <c r="CT131" s="1568"/>
      <c r="CU131" s="1568"/>
      <c r="CV131" s="1568"/>
      <c r="CW131" s="1568"/>
      <c r="CX131" s="1568"/>
      <c r="CY131" s="786"/>
      <c r="CZ131" s="1568"/>
      <c r="DA131" s="1568"/>
      <c r="DB131" s="1568"/>
      <c r="DC131" s="1567"/>
      <c r="DD131" s="1568"/>
      <c r="DE131" s="1568"/>
      <c r="DF131" s="1568"/>
      <c r="DG131" s="1568"/>
      <c r="DH131" s="1568"/>
      <c r="DI131" s="1568"/>
      <c r="DJ131" s="1568"/>
      <c r="DK131" s="1568"/>
      <c r="DL131" s="1568"/>
      <c r="DM131" s="1568"/>
      <c r="DN131" s="1568"/>
      <c r="DO131" s="1567"/>
      <c r="DP131" s="1568"/>
      <c r="DQ131" s="1568"/>
      <c r="DR131" s="1567"/>
      <c r="DS131" s="1567"/>
      <c r="DT131" s="1567"/>
      <c r="DU131" s="1567"/>
      <c r="DV131" s="1575"/>
      <c r="IR131" s="748"/>
      <c r="IS131" s="748"/>
      <c r="IT131" s="748"/>
      <c r="IU131" s="748"/>
      <c r="IV131" s="748"/>
    </row>
    <row r="132" spans="1:256" s="745" customFormat="1" ht="13.8" hidden="1">
      <c r="A132" s="1569"/>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4"/>
      <c r="CC132" s="1544"/>
      <c r="CD132" s="1544"/>
      <c r="CE132" s="1544"/>
      <c r="CF132" s="1544"/>
      <c r="CG132" s="1544"/>
      <c r="CH132" s="1544"/>
      <c r="CI132" s="1544"/>
      <c r="CJ132" s="1544"/>
      <c r="CK132" s="1544"/>
      <c r="CL132" s="1544"/>
      <c r="CM132" s="1544"/>
      <c r="CN132" s="1544"/>
      <c r="CO132" s="1544"/>
      <c r="CP132" s="1544"/>
      <c r="CQ132" s="1544"/>
      <c r="CR132" s="1544"/>
      <c r="CS132" s="1544"/>
      <c r="CT132" s="1544"/>
      <c r="CU132" s="1544"/>
      <c r="CV132" s="1544"/>
      <c r="CW132" s="1544"/>
      <c r="CX132" s="1544"/>
      <c r="CY132" s="785"/>
      <c r="CZ132" s="1544"/>
      <c r="DA132" s="1544"/>
      <c r="DB132" s="1544"/>
      <c r="DC132" s="751"/>
      <c r="DD132" s="1544"/>
      <c r="DE132" s="1544"/>
      <c r="DF132" s="1544"/>
      <c r="DG132" s="1544"/>
      <c r="DH132" s="1544"/>
      <c r="DI132" s="1544"/>
      <c r="DJ132" s="1544"/>
      <c r="DK132" s="1544"/>
      <c r="DL132" s="1544"/>
      <c r="DM132" s="1544"/>
      <c r="DN132" s="1544"/>
      <c r="DO132" s="751"/>
      <c r="DP132" s="1544"/>
      <c r="DQ132" s="1544"/>
      <c r="DR132" s="751"/>
      <c r="DS132" s="751"/>
      <c r="DT132" s="751"/>
      <c r="DU132" s="751"/>
      <c r="DV132" s="1570"/>
      <c r="IR132" s="746"/>
      <c r="IS132" s="746"/>
      <c r="IT132" s="746"/>
      <c r="IU132" s="746"/>
      <c r="IV132" s="746"/>
    </row>
    <row r="133" spans="1:256" s="745" customFormat="1" ht="13.8" hidden="1">
      <c r="A133" s="1569"/>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4"/>
      <c r="CC133" s="1544"/>
      <c r="CD133" s="1544"/>
      <c r="CE133" s="1544"/>
      <c r="CF133" s="1544"/>
      <c r="CG133" s="1544"/>
      <c r="CH133" s="1544"/>
      <c r="CI133" s="1544"/>
      <c r="CJ133" s="1544"/>
      <c r="CK133" s="1544"/>
      <c r="CL133" s="1544"/>
      <c r="CM133" s="1544"/>
      <c r="CN133" s="1544"/>
      <c r="CO133" s="1544"/>
      <c r="CP133" s="1544"/>
      <c r="CQ133" s="1544"/>
      <c r="CR133" s="1544"/>
      <c r="CS133" s="1544"/>
      <c r="CT133" s="1544"/>
      <c r="CU133" s="1544"/>
      <c r="CV133" s="1544"/>
      <c r="CW133" s="1544"/>
      <c r="CX133" s="1544"/>
      <c r="CY133" s="785"/>
      <c r="CZ133" s="1544"/>
      <c r="DA133" s="1544"/>
      <c r="DB133" s="1544"/>
      <c r="DC133" s="751"/>
      <c r="DD133" s="1544"/>
      <c r="DE133" s="1544"/>
      <c r="DF133" s="1544"/>
      <c r="DG133" s="1544"/>
      <c r="DH133" s="1544"/>
      <c r="DI133" s="1544"/>
      <c r="DJ133" s="1544"/>
      <c r="DK133" s="1544"/>
      <c r="DL133" s="1544"/>
      <c r="DM133" s="1544"/>
      <c r="DN133" s="1544"/>
      <c r="DO133" s="751"/>
      <c r="DP133" s="1544"/>
      <c r="DQ133" s="1544"/>
      <c r="DR133" s="751"/>
      <c r="DS133" s="751"/>
      <c r="DT133" s="751"/>
      <c r="DU133" s="751"/>
      <c r="DV133" s="1570"/>
      <c r="IR133" s="746"/>
      <c r="IS133" s="746"/>
      <c r="IT133" s="746"/>
      <c r="IU133" s="746"/>
      <c r="IV133" s="746"/>
    </row>
    <row r="134" spans="1:256" s="745" customFormat="1" ht="13.8" hidden="1">
      <c r="A134" s="1569"/>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4"/>
      <c r="CC134" s="1544"/>
      <c r="CD134" s="1544"/>
      <c r="CE134" s="1544"/>
      <c r="CF134" s="1544"/>
      <c r="CG134" s="1544"/>
      <c r="CH134" s="1544"/>
      <c r="CI134" s="1544"/>
      <c r="CJ134" s="1544"/>
      <c r="CK134" s="1544"/>
      <c r="CL134" s="1544"/>
      <c r="CM134" s="1544"/>
      <c r="CN134" s="1544"/>
      <c r="CO134" s="1544"/>
      <c r="CP134" s="1544"/>
      <c r="CQ134" s="1544"/>
      <c r="CR134" s="1544"/>
      <c r="CS134" s="1544"/>
      <c r="CT134" s="1544"/>
      <c r="CU134" s="1544"/>
      <c r="CV134" s="1544"/>
      <c r="CW134" s="1544"/>
      <c r="CX134" s="1544"/>
      <c r="CY134" s="785"/>
      <c r="CZ134" s="1544"/>
      <c r="DA134" s="1544"/>
      <c r="DB134" s="1544"/>
      <c r="DC134" s="751"/>
      <c r="DD134" s="1544"/>
      <c r="DE134" s="1544"/>
      <c r="DF134" s="1544"/>
      <c r="DG134" s="1544"/>
      <c r="DH134" s="1544"/>
      <c r="DI134" s="1544"/>
      <c r="DJ134" s="1544"/>
      <c r="DK134" s="1544"/>
      <c r="DL134" s="1544"/>
      <c r="DM134" s="1544"/>
      <c r="DN134" s="1544"/>
      <c r="DO134" s="751"/>
      <c r="DP134" s="1544"/>
      <c r="DQ134" s="1544"/>
      <c r="DR134" s="751"/>
      <c r="DS134" s="751"/>
      <c r="DT134" s="751"/>
      <c r="DU134" s="751"/>
      <c r="DV134" s="1570"/>
      <c r="IR134" s="746"/>
      <c r="IS134" s="746"/>
      <c r="IT134" s="746"/>
      <c r="IU134" s="746"/>
      <c r="IV134" s="746"/>
    </row>
    <row r="135" spans="1:256" s="745" customFormat="1" ht="13.8" hidden="1">
      <c r="A135" s="1569"/>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4"/>
      <c r="CC135" s="1544"/>
      <c r="CD135" s="1544"/>
      <c r="CE135" s="1544"/>
      <c r="CF135" s="1544"/>
      <c r="CG135" s="1544"/>
      <c r="CH135" s="1544"/>
      <c r="CI135" s="1544"/>
      <c r="CJ135" s="1544"/>
      <c r="CK135" s="1544"/>
      <c r="CL135" s="1544"/>
      <c r="CM135" s="1544"/>
      <c r="CN135" s="1544"/>
      <c r="CO135" s="1544"/>
      <c r="CP135" s="1544"/>
      <c r="CQ135" s="1544"/>
      <c r="CR135" s="1544"/>
      <c r="CS135" s="1544"/>
      <c r="CT135" s="1544"/>
      <c r="CU135" s="1544"/>
      <c r="CV135" s="1544"/>
      <c r="CW135" s="1544"/>
      <c r="CX135" s="1544"/>
      <c r="CY135" s="785"/>
      <c r="CZ135" s="1544"/>
      <c r="DA135" s="1544"/>
      <c r="DB135" s="1544"/>
      <c r="DC135" s="751"/>
      <c r="DD135" s="1544"/>
      <c r="DE135" s="1544"/>
      <c r="DF135" s="1544"/>
      <c r="DG135" s="1544"/>
      <c r="DH135" s="1544"/>
      <c r="DI135" s="1544"/>
      <c r="DJ135" s="1544"/>
      <c r="DK135" s="1544"/>
      <c r="DL135" s="1544"/>
      <c r="DM135" s="1544"/>
      <c r="DN135" s="1544"/>
      <c r="DO135" s="751"/>
      <c r="DP135" s="1544"/>
      <c r="DQ135" s="1544"/>
      <c r="DR135" s="751"/>
      <c r="DS135" s="751"/>
      <c r="DT135" s="751"/>
      <c r="DU135" s="751"/>
      <c r="DV135" s="1570"/>
      <c r="IR135" s="746"/>
      <c r="IS135" s="746"/>
      <c r="IT135" s="746"/>
      <c r="IU135" s="746"/>
      <c r="IV135" s="746"/>
    </row>
    <row r="136" spans="1:256" s="745" customFormat="1" ht="13.8" hidden="1">
      <c r="A136" s="1569"/>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4"/>
      <c r="CC136" s="1544"/>
      <c r="CD136" s="1544"/>
      <c r="CE136" s="1544"/>
      <c r="CF136" s="1544"/>
      <c r="CG136" s="1544"/>
      <c r="CH136" s="1544"/>
      <c r="CI136" s="1544"/>
      <c r="CJ136" s="1544"/>
      <c r="CK136" s="1544"/>
      <c r="CL136" s="1544"/>
      <c r="CM136" s="1544"/>
      <c r="CN136" s="1544"/>
      <c r="CO136" s="1544"/>
      <c r="CP136" s="1544"/>
      <c r="CQ136" s="1544"/>
      <c r="CR136" s="1544"/>
      <c r="CS136" s="1544"/>
      <c r="CT136" s="1544"/>
      <c r="CU136" s="1544"/>
      <c r="CV136" s="1544"/>
      <c r="CW136" s="1544"/>
      <c r="CX136" s="1544"/>
      <c r="CY136" s="785"/>
      <c r="CZ136" s="1544"/>
      <c r="DA136" s="1544"/>
      <c r="DB136" s="1544"/>
      <c r="DC136" s="751"/>
      <c r="DD136" s="1544"/>
      <c r="DE136" s="1544"/>
      <c r="DF136" s="1544"/>
      <c r="DG136" s="1544"/>
      <c r="DH136" s="1544"/>
      <c r="DI136" s="1544"/>
      <c r="DJ136" s="1544"/>
      <c r="DK136" s="1544"/>
      <c r="DL136" s="1544"/>
      <c r="DM136" s="1544"/>
      <c r="DN136" s="1544"/>
      <c r="DO136" s="751"/>
      <c r="DP136" s="1544"/>
      <c r="DQ136" s="1544"/>
      <c r="DR136" s="751"/>
      <c r="DS136" s="751"/>
      <c r="DT136" s="751"/>
      <c r="DU136" s="751"/>
      <c r="DV136" s="1570"/>
    </row>
    <row r="137" spans="1:256" s="745" customFormat="1" ht="13.8" hidden="1">
      <c r="A137" s="1569"/>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4"/>
      <c r="CC137" s="1544"/>
      <c r="CD137" s="1544"/>
      <c r="CE137" s="1544"/>
      <c r="CF137" s="1544"/>
      <c r="CG137" s="1544"/>
      <c r="CH137" s="1544"/>
      <c r="CI137" s="1544"/>
      <c r="CJ137" s="1544"/>
      <c r="CK137" s="1544"/>
      <c r="CL137" s="1544"/>
      <c r="CM137" s="1544"/>
      <c r="CN137" s="1544"/>
      <c r="CO137" s="1544"/>
      <c r="CP137" s="1544"/>
      <c r="CQ137" s="1544"/>
      <c r="CR137" s="1544"/>
      <c r="CS137" s="1544"/>
      <c r="CT137" s="1544"/>
      <c r="CU137" s="1544"/>
      <c r="CV137" s="1544"/>
      <c r="CW137" s="1544"/>
      <c r="CX137" s="1544"/>
      <c r="CY137" s="785"/>
      <c r="CZ137" s="1544"/>
      <c r="DA137" s="1544"/>
      <c r="DB137" s="1544"/>
      <c r="DC137" s="751"/>
      <c r="DD137" s="1544"/>
      <c r="DE137" s="1544"/>
      <c r="DF137" s="1544"/>
      <c r="DG137" s="1544"/>
      <c r="DH137" s="1544"/>
      <c r="DI137" s="1544"/>
      <c r="DJ137" s="1544"/>
      <c r="DK137" s="1544"/>
      <c r="DL137" s="1544"/>
      <c r="DM137" s="1544"/>
      <c r="DN137" s="1544"/>
      <c r="DO137" s="751"/>
      <c r="DP137" s="1544"/>
      <c r="DQ137" s="1544"/>
      <c r="DR137" s="751"/>
      <c r="DS137" s="751"/>
      <c r="DT137" s="751"/>
      <c r="DU137" s="751"/>
      <c r="DV137" s="1570"/>
    </row>
    <row r="138" spans="1:256" s="745" customFormat="1" ht="13.8" hidden="1">
      <c r="A138" s="1569"/>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4"/>
      <c r="CC138" s="1544"/>
      <c r="CD138" s="1544"/>
      <c r="CE138" s="1544"/>
      <c r="CF138" s="1544"/>
      <c r="CG138" s="1544"/>
      <c r="CH138" s="1544"/>
      <c r="CI138" s="1544"/>
      <c r="CJ138" s="1544"/>
      <c r="CK138" s="1544"/>
      <c r="CL138" s="1544"/>
      <c r="CM138" s="1544"/>
      <c r="CN138" s="1544"/>
      <c r="CO138" s="1544"/>
      <c r="CP138" s="1544"/>
      <c r="CQ138" s="1544"/>
      <c r="CR138" s="1544"/>
      <c r="CS138" s="1544"/>
      <c r="CT138" s="1544"/>
      <c r="CU138" s="1544"/>
      <c r="CV138" s="1544"/>
      <c r="CW138" s="1544"/>
      <c r="CX138" s="1544"/>
      <c r="CY138" s="785"/>
      <c r="CZ138" s="1544"/>
      <c r="DA138" s="1544"/>
      <c r="DB138" s="1544"/>
      <c r="DC138" s="751"/>
      <c r="DD138" s="1544"/>
      <c r="DE138" s="1544"/>
      <c r="DF138" s="1544"/>
      <c r="DG138" s="1544"/>
      <c r="DH138" s="1544"/>
      <c r="DI138" s="1544"/>
      <c r="DJ138" s="1544"/>
      <c r="DK138" s="1544"/>
      <c r="DL138" s="1544"/>
      <c r="DM138" s="1544"/>
      <c r="DN138" s="1544"/>
      <c r="DO138" s="751"/>
      <c r="DP138" s="1544"/>
      <c r="DQ138" s="1544"/>
      <c r="DR138" s="751"/>
      <c r="DS138" s="751"/>
      <c r="DT138" s="751"/>
      <c r="DU138" s="751"/>
      <c r="DV138" s="1570"/>
    </row>
    <row r="139" spans="1:256" s="752" customFormat="1" ht="13.8" hidden="1">
      <c r="A139" s="1569"/>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4"/>
      <c r="CC139" s="1544"/>
      <c r="CD139" s="1544"/>
      <c r="CE139" s="1544"/>
      <c r="CF139" s="1544"/>
      <c r="CG139" s="1544"/>
      <c r="CH139" s="1544"/>
      <c r="CI139" s="1544"/>
      <c r="CJ139" s="1544"/>
      <c r="CK139" s="1544"/>
      <c r="CL139" s="1544"/>
      <c r="CM139" s="1544"/>
      <c r="CN139" s="1544"/>
      <c r="CO139" s="1544"/>
      <c r="CP139" s="1544"/>
      <c r="CQ139" s="1544"/>
      <c r="CR139" s="1544"/>
      <c r="CS139" s="1544"/>
      <c r="CT139" s="1544"/>
      <c r="CU139" s="1544"/>
      <c r="CV139" s="1544"/>
      <c r="CW139" s="1544"/>
      <c r="CX139" s="1544"/>
      <c r="CY139" s="785"/>
      <c r="CZ139" s="1544"/>
      <c r="DA139" s="1544"/>
      <c r="DB139" s="1544"/>
      <c r="DC139" s="751"/>
      <c r="DD139" s="1544"/>
      <c r="DE139" s="1544"/>
      <c r="DF139" s="1544"/>
      <c r="DG139" s="1544"/>
      <c r="DH139" s="1544"/>
      <c r="DI139" s="1544"/>
      <c r="DJ139" s="1544"/>
      <c r="DK139" s="1544"/>
      <c r="DL139" s="1544"/>
      <c r="DM139" s="1544"/>
      <c r="DN139" s="1544"/>
      <c r="DO139" s="751"/>
      <c r="DP139" s="1544"/>
      <c r="DQ139" s="1544"/>
      <c r="DR139" s="751"/>
      <c r="DS139" s="751"/>
      <c r="DT139" s="751"/>
      <c r="DU139" s="751"/>
      <c r="DV139" s="1570"/>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3.8" hidden="1">
      <c r="A140" s="1553"/>
      <c r="B140" s="1554"/>
      <c r="C140" s="1553"/>
      <c r="D140" s="1553"/>
      <c r="E140" s="1553"/>
      <c r="F140" s="1553"/>
      <c r="G140" s="1553"/>
      <c r="H140" s="1553"/>
      <c r="I140" s="1553"/>
      <c r="J140" s="1553"/>
      <c r="K140" s="1553"/>
      <c r="L140" s="1553"/>
      <c r="M140" s="1553"/>
      <c r="N140" s="1553"/>
      <c r="O140" s="1553"/>
      <c r="P140" s="1553"/>
      <c r="Q140" s="1553"/>
      <c r="R140" s="1553"/>
      <c r="S140" s="1553"/>
      <c r="T140" s="1553"/>
      <c r="U140" s="1553"/>
      <c r="V140" s="1553"/>
      <c r="W140" s="1553"/>
      <c r="X140" s="1553"/>
      <c r="Y140" s="1553"/>
      <c r="Z140" s="1553"/>
      <c r="AA140" s="1553"/>
      <c r="AB140" s="1553"/>
      <c r="AC140" s="1553"/>
      <c r="AD140" s="1553"/>
      <c r="AE140" s="1553"/>
      <c r="AF140" s="1553"/>
      <c r="AG140" s="1553"/>
      <c r="AH140" s="1553"/>
      <c r="AI140" s="1553"/>
      <c r="AJ140" s="1553"/>
      <c r="AK140" s="1553"/>
      <c r="AL140" s="1553"/>
      <c r="AM140" s="1553"/>
      <c r="AN140" s="1553"/>
      <c r="AO140" s="1553"/>
      <c r="AP140" s="1553"/>
      <c r="AQ140" s="1553"/>
      <c r="AR140" s="1553"/>
      <c r="AS140" s="1553"/>
      <c r="AT140" s="1553"/>
      <c r="AU140" s="1553"/>
      <c r="AV140" s="1553"/>
      <c r="AW140" s="1553"/>
      <c r="AX140" s="1553"/>
      <c r="AY140" s="1553"/>
      <c r="AZ140" s="1553"/>
      <c r="BA140" s="1553"/>
      <c r="BB140" s="1553"/>
      <c r="BC140" s="1553"/>
      <c r="BD140" s="1553"/>
      <c r="BE140" s="1553"/>
      <c r="BF140" s="1553"/>
      <c r="BG140" s="1553"/>
      <c r="BH140" s="1553"/>
      <c r="BI140" s="1553"/>
      <c r="BJ140" s="1553"/>
      <c r="BK140" s="1553"/>
      <c r="BL140" s="1553"/>
      <c r="BM140" s="1553"/>
      <c r="BN140" s="1553"/>
      <c r="BO140" s="1553"/>
      <c r="BP140" s="1553"/>
      <c r="BQ140" s="1553"/>
      <c r="BR140" s="1553"/>
      <c r="BS140" s="1553"/>
      <c r="BT140" s="1553"/>
      <c r="BU140" s="1553"/>
      <c r="BV140" s="1553"/>
      <c r="BW140" s="1553"/>
      <c r="BX140" s="1553"/>
      <c r="BY140" s="1553"/>
      <c r="BZ140" s="1553"/>
      <c r="CA140" s="1553"/>
      <c r="CB140" s="1553"/>
      <c r="CC140" s="1553"/>
      <c r="CD140" s="1553"/>
      <c r="CE140" s="1544"/>
      <c r="CF140" s="1553"/>
      <c r="CG140" s="1553"/>
      <c r="CH140" s="1553"/>
      <c r="CI140" s="1553"/>
      <c r="CJ140" s="1553"/>
      <c r="CK140" s="1553"/>
      <c r="CL140" s="1553"/>
      <c r="CM140" s="1553"/>
      <c r="CN140" s="1553"/>
      <c r="CO140" s="1553"/>
      <c r="CP140" s="1553"/>
      <c r="CQ140" s="1553"/>
      <c r="CR140" s="1553"/>
      <c r="CS140" s="1553"/>
      <c r="CT140" s="1553"/>
      <c r="CU140" s="1553"/>
      <c r="CV140" s="1553"/>
      <c r="CW140" s="1553"/>
      <c r="CX140" s="1553"/>
      <c r="CY140" s="1555"/>
      <c r="CZ140" s="1553"/>
      <c r="DA140" s="1553"/>
      <c r="DB140" s="1553"/>
      <c r="DC140" s="1553"/>
      <c r="DD140" s="1553"/>
      <c r="DE140" s="1553"/>
      <c r="DF140" s="1553"/>
      <c r="DG140" s="1553"/>
      <c r="DH140" s="1553"/>
      <c r="DI140" s="1553"/>
      <c r="DJ140" s="1553"/>
      <c r="DK140" s="1553"/>
      <c r="DL140" s="1553"/>
      <c r="DM140" s="1553"/>
      <c r="DN140" s="1553"/>
      <c r="DO140" s="1553"/>
      <c r="DP140" s="1553"/>
      <c r="DQ140" s="1553"/>
      <c r="DR140" s="1553"/>
      <c r="DS140" s="1553"/>
      <c r="DT140" s="1553"/>
      <c r="DU140" s="1553"/>
      <c r="DV140" s="1556"/>
    </row>
    <row r="141" spans="1:256" s="672" customFormat="1" ht="13.8" hidden="1">
      <c r="A141" s="1561"/>
      <c r="B141" s="1562"/>
      <c r="C141" s="1563"/>
      <c r="D141" s="1563"/>
      <c r="E141" s="1563"/>
      <c r="F141" s="1563"/>
      <c r="G141" s="1563"/>
      <c r="H141" s="1563"/>
      <c r="I141" s="1563"/>
      <c r="J141" s="1563"/>
      <c r="K141" s="1563"/>
      <c r="L141" s="1563"/>
      <c r="M141" s="1563"/>
      <c r="N141" s="1563"/>
      <c r="O141" s="1563"/>
      <c r="P141" s="1563"/>
      <c r="Q141" s="1563"/>
      <c r="R141" s="1563"/>
      <c r="S141" s="1563"/>
      <c r="T141" s="1563"/>
      <c r="U141" s="1563"/>
      <c r="V141" s="1563"/>
      <c r="W141" s="1563"/>
      <c r="X141" s="1563"/>
      <c r="Y141" s="1563"/>
      <c r="Z141" s="1563"/>
      <c r="AA141" s="1563"/>
      <c r="AB141" s="1563"/>
      <c r="AC141" s="1563"/>
      <c r="AD141" s="1563"/>
      <c r="AE141" s="1563"/>
      <c r="AF141" s="1563"/>
      <c r="AG141" s="1563"/>
      <c r="AH141" s="1563"/>
      <c r="AI141" s="1563"/>
      <c r="AJ141" s="1563"/>
      <c r="AK141" s="1563"/>
      <c r="AL141" s="1563"/>
      <c r="AM141" s="1563"/>
      <c r="AN141" s="1563"/>
      <c r="AO141" s="1563"/>
      <c r="AP141" s="1563"/>
      <c r="AQ141" s="1563"/>
      <c r="AR141" s="1563"/>
      <c r="AS141" s="1563"/>
      <c r="AT141" s="1563"/>
      <c r="AU141" s="1563"/>
      <c r="AV141" s="1563"/>
      <c r="AW141" s="1563"/>
      <c r="AX141" s="1563"/>
      <c r="AY141" s="1563"/>
      <c r="AZ141" s="1563"/>
      <c r="BA141" s="1563"/>
      <c r="BB141" s="1563"/>
      <c r="BC141" s="1563"/>
      <c r="BD141" s="1563"/>
      <c r="BE141" s="1563"/>
      <c r="BF141" s="1563"/>
      <c r="BG141" s="1563"/>
      <c r="BH141" s="1563"/>
      <c r="BI141" s="1563"/>
      <c r="BJ141" s="1563"/>
      <c r="BK141" s="1563"/>
      <c r="BL141" s="1563"/>
      <c r="BM141" s="1563"/>
      <c r="BN141" s="1563"/>
      <c r="BO141" s="1563"/>
      <c r="BP141" s="1563"/>
      <c r="BQ141" s="1563"/>
      <c r="BR141" s="1563"/>
      <c r="BS141" s="1563"/>
      <c r="BT141" s="1563"/>
      <c r="BU141" s="1563"/>
      <c r="BV141" s="1563"/>
      <c r="BW141" s="1563"/>
      <c r="BX141" s="1563"/>
      <c r="BY141" s="1563"/>
      <c r="BZ141" s="1563"/>
      <c r="CA141" s="1563"/>
      <c r="CB141" s="1563"/>
      <c r="CC141" s="1563"/>
      <c r="CD141" s="1563"/>
      <c r="CE141" s="1544"/>
      <c r="CF141" s="1563"/>
      <c r="CG141" s="1563"/>
      <c r="CH141" s="1563"/>
      <c r="CI141" s="1563"/>
      <c r="CJ141" s="1563"/>
      <c r="CK141" s="1563"/>
      <c r="CL141" s="1563"/>
      <c r="CM141" s="1563"/>
      <c r="CN141" s="1563"/>
      <c r="CO141" s="1563"/>
      <c r="CP141" s="1563"/>
      <c r="CQ141" s="1563"/>
      <c r="CR141" s="1563"/>
      <c r="CS141" s="1563"/>
      <c r="CT141" s="1563"/>
      <c r="CU141" s="1563"/>
      <c r="CV141" s="1563"/>
      <c r="CW141" s="1563"/>
      <c r="CX141" s="1563"/>
      <c r="CY141" s="1564"/>
      <c r="CZ141" s="1563"/>
      <c r="DA141" s="1563"/>
      <c r="DB141" s="1563"/>
      <c r="DC141" s="1563"/>
      <c r="DD141" s="1563"/>
      <c r="DE141" s="1563"/>
      <c r="DF141" s="1563"/>
      <c r="DG141" s="1563"/>
      <c r="DH141" s="1563"/>
      <c r="DI141" s="1563"/>
      <c r="DJ141" s="1563"/>
      <c r="DK141" s="1563"/>
      <c r="DL141" s="1563"/>
      <c r="DM141" s="1563"/>
      <c r="DN141" s="1563"/>
      <c r="DO141" s="1563"/>
      <c r="DP141" s="1563"/>
      <c r="DQ141" s="1563"/>
      <c r="DR141" s="1563"/>
      <c r="DS141" s="1563"/>
      <c r="DT141" s="1563"/>
      <c r="DU141" s="1563"/>
      <c r="DV141" s="1565"/>
      <c r="DW141" s="672">
        <f>+DU141*0.4</f>
        <v>0</v>
      </c>
      <c r="DX141" s="672">
        <f>+DW141/0.22</f>
        <v>0</v>
      </c>
    </row>
    <row r="142" spans="1:256" s="532" customFormat="1" ht="18" hidden="1" customHeight="1">
      <c r="A142" s="1557"/>
      <c r="B142" s="975"/>
      <c r="C142" s="975"/>
      <c r="D142" s="975"/>
      <c r="E142" s="975"/>
      <c r="F142" s="975"/>
      <c r="G142" s="975"/>
      <c r="H142" s="975"/>
      <c r="I142" s="975"/>
      <c r="J142" s="975"/>
      <c r="K142" s="975"/>
      <c r="L142" s="975"/>
      <c r="M142" s="975"/>
      <c r="N142" s="975"/>
      <c r="O142" s="975"/>
      <c r="P142" s="975"/>
      <c r="Q142" s="975"/>
      <c r="R142" s="975"/>
      <c r="S142" s="975"/>
      <c r="T142" s="975"/>
      <c r="U142" s="975"/>
      <c r="V142" s="975"/>
      <c r="W142" s="975"/>
      <c r="X142" s="975"/>
      <c r="Y142" s="975"/>
      <c r="Z142" s="975"/>
      <c r="AA142" s="975"/>
      <c r="AB142" s="975"/>
      <c r="AC142" s="975"/>
      <c r="AD142" s="975"/>
      <c r="AE142" s="975"/>
      <c r="AF142" s="975"/>
      <c r="AG142" s="975"/>
      <c r="AH142" s="975"/>
      <c r="AI142" s="975"/>
      <c r="AJ142" s="975"/>
      <c r="AK142" s="975"/>
      <c r="AL142" s="975"/>
      <c r="AM142" s="975"/>
      <c r="AN142" s="975"/>
      <c r="AO142" s="975"/>
      <c r="AP142" s="975"/>
      <c r="AQ142" s="975"/>
      <c r="AR142" s="975"/>
      <c r="AS142" s="975"/>
      <c r="AT142" s="975"/>
      <c r="AU142" s="975"/>
      <c r="AV142" s="975"/>
      <c r="AW142" s="975"/>
      <c r="AX142" s="975"/>
      <c r="AY142" s="975"/>
      <c r="AZ142" s="975"/>
      <c r="BA142" s="975"/>
      <c r="BB142" s="975"/>
      <c r="BC142" s="975"/>
      <c r="BD142" s="975"/>
      <c r="BE142" s="975"/>
      <c r="BF142" s="975"/>
      <c r="BG142" s="975"/>
      <c r="BH142" s="975"/>
      <c r="BI142" s="975"/>
      <c r="BJ142" s="975"/>
      <c r="BK142" s="975"/>
      <c r="BL142" s="975"/>
      <c r="BM142" s="975"/>
      <c r="BN142" s="975"/>
      <c r="BO142" s="975"/>
      <c r="BP142" s="975"/>
      <c r="BQ142" s="975"/>
      <c r="BR142" s="975"/>
      <c r="BS142" s="975"/>
      <c r="BT142" s="975"/>
      <c r="BU142" s="975"/>
      <c r="BV142" s="975"/>
      <c r="BW142" s="975"/>
      <c r="BX142" s="975"/>
      <c r="BY142" s="975"/>
      <c r="BZ142" s="975"/>
      <c r="CA142" s="975"/>
      <c r="CB142" s="975"/>
      <c r="CC142" s="975"/>
      <c r="CD142" s="975"/>
      <c r="CE142" s="1544"/>
      <c r="CF142" s="975"/>
      <c r="CG142" s="975"/>
      <c r="CH142" s="975"/>
      <c r="CI142" s="975"/>
      <c r="CJ142" s="975"/>
      <c r="CK142" s="975"/>
      <c r="CL142" s="975"/>
      <c r="CM142" s="975"/>
      <c r="CN142" s="975"/>
      <c r="CO142" s="975"/>
      <c r="CP142" s="975"/>
      <c r="CQ142" s="975"/>
      <c r="CR142" s="975"/>
      <c r="CS142" s="975"/>
      <c r="CT142" s="975"/>
      <c r="CU142" s="975"/>
      <c r="CV142" s="975"/>
      <c r="CW142" s="975"/>
      <c r="CX142" s="975"/>
      <c r="CY142" s="1558"/>
      <c r="CZ142" s="975"/>
      <c r="DA142" s="975"/>
      <c r="DB142" s="975"/>
      <c r="DC142" s="975"/>
      <c r="DD142" s="975"/>
      <c r="DE142" s="975"/>
      <c r="DF142" s="975"/>
      <c r="DG142" s="975"/>
      <c r="DH142" s="975"/>
      <c r="DI142" s="975"/>
      <c r="DJ142" s="975"/>
      <c r="DK142" s="975"/>
      <c r="DL142" s="975"/>
      <c r="DM142" s="975"/>
      <c r="DN142" s="975"/>
      <c r="DO142" s="975"/>
      <c r="DP142" s="975"/>
      <c r="DQ142" s="975"/>
      <c r="DR142" s="975"/>
      <c r="DS142" s="975"/>
      <c r="DT142" s="975"/>
      <c r="DU142" s="975"/>
      <c r="DV142" s="1559"/>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60"/>
      <c r="B143" s="975"/>
      <c r="C143" s="975"/>
      <c r="D143" s="975"/>
      <c r="E143" s="975"/>
      <c r="F143" s="975"/>
      <c r="G143" s="975"/>
      <c r="H143" s="975"/>
      <c r="I143" s="975"/>
      <c r="J143" s="975"/>
      <c r="K143" s="975"/>
      <c r="L143" s="975"/>
      <c r="M143" s="975"/>
      <c r="N143" s="975"/>
      <c r="O143" s="975"/>
      <c r="P143" s="975"/>
      <c r="Q143" s="975"/>
      <c r="R143" s="975"/>
      <c r="S143" s="975"/>
      <c r="T143" s="975"/>
      <c r="U143" s="975"/>
      <c r="V143" s="975"/>
      <c r="W143" s="975"/>
      <c r="X143" s="975"/>
      <c r="Y143" s="975"/>
      <c r="Z143" s="975"/>
      <c r="AA143" s="975"/>
      <c r="AB143" s="975"/>
      <c r="AC143" s="975"/>
      <c r="AD143" s="975"/>
      <c r="AE143" s="975"/>
      <c r="AF143" s="975"/>
      <c r="AG143" s="975"/>
      <c r="AH143" s="975"/>
      <c r="AI143" s="975"/>
      <c r="AJ143" s="975"/>
      <c r="AK143" s="975"/>
      <c r="AL143" s="975"/>
      <c r="AM143" s="975"/>
      <c r="AN143" s="975"/>
      <c r="AO143" s="975"/>
      <c r="AP143" s="975"/>
      <c r="AQ143" s="975"/>
      <c r="AR143" s="975"/>
      <c r="AS143" s="975"/>
      <c r="AT143" s="975"/>
      <c r="AU143" s="975"/>
      <c r="AV143" s="975"/>
      <c r="AW143" s="975"/>
      <c r="AX143" s="975"/>
      <c r="AY143" s="975"/>
      <c r="AZ143" s="975"/>
      <c r="BA143" s="975"/>
      <c r="BB143" s="975"/>
      <c r="BC143" s="975"/>
      <c r="BD143" s="975"/>
      <c r="BE143" s="975"/>
      <c r="BF143" s="975"/>
      <c r="BG143" s="975"/>
      <c r="BH143" s="975"/>
      <c r="BI143" s="975"/>
      <c r="BJ143" s="975"/>
      <c r="BK143" s="975"/>
      <c r="BL143" s="975"/>
      <c r="BM143" s="975"/>
      <c r="BN143" s="975"/>
      <c r="BO143" s="975"/>
      <c r="BP143" s="975"/>
      <c r="BQ143" s="975"/>
      <c r="BR143" s="975"/>
      <c r="BS143" s="975"/>
      <c r="BT143" s="975"/>
      <c r="BU143" s="975"/>
      <c r="BV143" s="975"/>
      <c r="BW143" s="975"/>
      <c r="BX143" s="975"/>
      <c r="BY143" s="975"/>
      <c r="BZ143" s="975"/>
      <c r="CA143" s="975"/>
      <c r="CB143" s="975"/>
      <c r="CC143" s="975"/>
      <c r="CD143" s="975"/>
      <c r="CE143" s="1544"/>
      <c r="CF143" s="975"/>
      <c r="CG143" s="975"/>
      <c r="CH143" s="975"/>
      <c r="CI143" s="975"/>
      <c r="CJ143" s="975"/>
      <c r="CK143" s="975"/>
      <c r="CL143" s="975"/>
      <c r="CM143" s="975"/>
      <c r="CN143" s="975"/>
      <c r="CO143" s="975"/>
      <c r="CP143" s="975"/>
      <c r="CQ143" s="975"/>
      <c r="CR143" s="975"/>
      <c r="CS143" s="975"/>
      <c r="CT143" s="975"/>
      <c r="CU143" s="975"/>
      <c r="CV143" s="975"/>
      <c r="CW143" s="975"/>
      <c r="CX143" s="975"/>
      <c r="CY143" s="1558"/>
      <c r="CZ143" s="975"/>
      <c r="DA143" s="975"/>
      <c r="DB143" s="975"/>
      <c r="DC143" s="975"/>
      <c r="DD143" s="975"/>
      <c r="DE143" s="975"/>
      <c r="DF143" s="975"/>
      <c r="DG143" s="975"/>
      <c r="DH143" s="975"/>
      <c r="DI143" s="975"/>
      <c r="DJ143" s="975"/>
      <c r="DK143" s="975"/>
      <c r="DL143" s="975"/>
      <c r="DM143" s="975"/>
      <c r="DN143" s="975"/>
      <c r="DO143" s="975"/>
      <c r="DP143" s="975"/>
      <c r="DQ143" s="975"/>
      <c r="DR143" s="975"/>
      <c r="DS143" s="975"/>
      <c r="DT143" s="975"/>
      <c r="DU143" s="975"/>
      <c r="DV143" s="1559"/>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3.8" hidden="1">
      <c r="A144" s="1551"/>
      <c r="B144" s="1576"/>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4"/>
      <c r="CF144" s="751"/>
      <c r="CG144" s="751"/>
      <c r="CH144" s="751"/>
      <c r="CI144" s="751"/>
      <c r="CJ144" s="751"/>
      <c r="CK144" s="751"/>
      <c r="CL144" s="751"/>
      <c r="CM144" s="751"/>
      <c r="CN144" s="751"/>
      <c r="CO144" s="751"/>
      <c r="CP144" s="751"/>
      <c r="CQ144" s="751"/>
      <c r="CR144" s="751"/>
      <c r="CS144" s="751"/>
      <c r="CT144" s="751"/>
      <c r="CU144" s="751"/>
      <c r="CV144" s="751"/>
      <c r="CW144" s="751"/>
      <c r="CX144" s="751"/>
      <c r="CY144" s="785"/>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50"/>
      <c r="IR144" s="529"/>
      <c r="IS144" s="529"/>
      <c r="IT144" s="529"/>
      <c r="IU144" s="529"/>
      <c r="IV144" s="529"/>
    </row>
    <row r="145" spans="1:256" ht="13.8" hidden="1">
      <c r="A145" s="1551"/>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4"/>
      <c r="CC145" s="1544"/>
      <c r="CD145" s="1544"/>
      <c r="CE145" s="1544"/>
      <c r="CF145" s="1544"/>
      <c r="CG145" s="1544"/>
      <c r="CH145" s="1544"/>
      <c r="CI145" s="1544"/>
      <c r="CJ145" s="1544"/>
      <c r="CK145" s="1544"/>
      <c r="CL145" s="1544"/>
      <c r="CM145" s="1544"/>
      <c r="CN145" s="1544"/>
      <c r="CO145" s="1544"/>
      <c r="CP145" s="1544"/>
      <c r="CQ145" s="1544"/>
      <c r="CR145" s="1544"/>
      <c r="CS145" s="1544"/>
      <c r="CT145" s="1544"/>
      <c r="CU145" s="1544"/>
      <c r="CV145" s="1544"/>
      <c r="CW145" s="1544"/>
      <c r="CX145" s="1544"/>
      <c r="CY145" s="785"/>
      <c r="CZ145" s="1544"/>
      <c r="DA145" s="1544"/>
      <c r="DB145" s="1544"/>
      <c r="DC145" s="751"/>
      <c r="DD145" s="1544"/>
      <c r="DE145" s="1544"/>
      <c r="DF145" s="1544"/>
      <c r="DG145" s="1544"/>
      <c r="DH145" s="1544"/>
      <c r="DI145" s="1544"/>
      <c r="DJ145" s="1544"/>
      <c r="DK145" s="1544"/>
      <c r="DL145" s="1544"/>
      <c r="DM145" s="1544"/>
      <c r="DN145" s="1544"/>
      <c r="DO145" s="751"/>
      <c r="DP145" s="1544"/>
      <c r="DQ145" s="1544"/>
      <c r="DR145" s="751"/>
      <c r="DS145" s="751"/>
      <c r="DT145" s="751"/>
      <c r="DU145" s="751"/>
      <c r="DV145" s="1550"/>
    </row>
    <row r="146" spans="1:256" ht="13.8" hidden="1">
      <c r="A146" s="1551"/>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4"/>
      <c r="CC146" s="1544"/>
      <c r="CD146" s="1544"/>
      <c r="CE146" s="1544"/>
      <c r="CF146" s="1544"/>
      <c r="CG146" s="1544"/>
      <c r="CH146" s="1544"/>
      <c r="CI146" s="1544"/>
      <c r="CJ146" s="1544"/>
      <c r="CK146" s="1544"/>
      <c r="CL146" s="1544"/>
      <c r="CM146" s="1544"/>
      <c r="CN146" s="1544"/>
      <c r="CO146" s="1544"/>
      <c r="CP146" s="1544"/>
      <c r="CQ146" s="1544"/>
      <c r="CR146" s="1544"/>
      <c r="CS146" s="1544"/>
      <c r="CT146" s="1544"/>
      <c r="CU146" s="1544"/>
      <c r="CV146" s="1544"/>
      <c r="CW146" s="1544"/>
      <c r="CX146" s="1544"/>
      <c r="CY146" s="785"/>
      <c r="CZ146" s="1544"/>
      <c r="DA146" s="1544"/>
      <c r="DB146" s="1544"/>
      <c r="DC146" s="751"/>
      <c r="DD146" s="1544"/>
      <c r="DE146" s="1544"/>
      <c r="DF146" s="1544"/>
      <c r="DG146" s="1544"/>
      <c r="DH146" s="1544"/>
      <c r="DI146" s="1544"/>
      <c r="DJ146" s="1544"/>
      <c r="DK146" s="1544"/>
      <c r="DL146" s="1544"/>
      <c r="DM146" s="1544"/>
      <c r="DN146" s="1544"/>
      <c r="DO146" s="751"/>
      <c r="DP146" s="1544"/>
      <c r="DQ146" s="1544"/>
      <c r="DR146" s="751"/>
      <c r="DS146" s="751"/>
      <c r="DT146" s="751"/>
      <c r="DU146" s="751"/>
      <c r="DV146" s="1550"/>
    </row>
    <row r="147" spans="1:256" ht="13.8" hidden="1">
      <c r="A147" s="1551"/>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4"/>
      <c r="CC147" s="1544"/>
      <c r="CD147" s="1544"/>
      <c r="CE147" s="1544"/>
      <c r="CF147" s="1544"/>
      <c r="CG147" s="1544"/>
      <c r="CH147" s="1544"/>
      <c r="CI147" s="1544"/>
      <c r="CJ147" s="1544"/>
      <c r="CK147" s="1544"/>
      <c r="CL147" s="1544"/>
      <c r="CM147" s="1544"/>
      <c r="CN147" s="1544"/>
      <c r="CO147" s="1544"/>
      <c r="CP147" s="1544"/>
      <c r="CQ147" s="1544"/>
      <c r="CR147" s="1544"/>
      <c r="CS147" s="1544"/>
      <c r="CT147" s="1544"/>
      <c r="CU147" s="1544"/>
      <c r="CV147" s="1544"/>
      <c r="CW147" s="1544"/>
      <c r="CX147" s="1544"/>
      <c r="CY147" s="785"/>
      <c r="CZ147" s="1544"/>
      <c r="DA147" s="1544"/>
      <c r="DB147" s="1544"/>
      <c r="DC147" s="751"/>
      <c r="DD147" s="1544"/>
      <c r="DE147" s="1544"/>
      <c r="DF147" s="1544"/>
      <c r="DG147" s="1544"/>
      <c r="DH147" s="1544"/>
      <c r="DI147" s="1544"/>
      <c r="DJ147" s="1544"/>
      <c r="DK147" s="1544"/>
      <c r="DL147" s="1544"/>
      <c r="DM147" s="1544"/>
      <c r="DN147" s="1544"/>
      <c r="DO147" s="751"/>
      <c r="DP147" s="1544"/>
      <c r="DQ147" s="1544"/>
      <c r="DR147" s="751"/>
      <c r="DS147" s="751"/>
      <c r="DT147" s="751"/>
      <c r="DU147" s="751"/>
      <c r="DV147" s="1550"/>
    </row>
    <row r="148" spans="1:256" ht="13.8" hidden="1">
      <c r="A148" s="1551"/>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4"/>
      <c r="CC148" s="1544"/>
      <c r="CD148" s="1544"/>
      <c r="CE148" s="1544"/>
      <c r="CF148" s="1544"/>
      <c r="CG148" s="1544"/>
      <c r="CH148" s="1544"/>
      <c r="CI148" s="1544"/>
      <c r="CJ148" s="1544"/>
      <c r="CK148" s="1544"/>
      <c r="CL148" s="1544"/>
      <c r="CM148" s="1544"/>
      <c r="CN148" s="1544"/>
      <c r="CO148" s="1544"/>
      <c r="CP148" s="1544"/>
      <c r="CQ148" s="1544"/>
      <c r="CR148" s="1544"/>
      <c r="CS148" s="1544"/>
      <c r="CT148" s="1544"/>
      <c r="CU148" s="1544"/>
      <c r="CV148" s="1544"/>
      <c r="CW148" s="1544"/>
      <c r="CX148" s="1544"/>
      <c r="CY148" s="785"/>
      <c r="CZ148" s="1544"/>
      <c r="DA148" s="1544"/>
      <c r="DB148" s="1544"/>
      <c r="DC148" s="751"/>
      <c r="DD148" s="1544"/>
      <c r="DE148" s="1544"/>
      <c r="DF148" s="1544"/>
      <c r="DG148" s="1544"/>
      <c r="DH148" s="1544"/>
      <c r="DI148" s="1544"/>
      <c r="DJ148" s="1544"/>
      <c r="DK148" s="1544"/>
      <c r="DL148" s="1544"/>
      <c r="DM148" s="1544"/>
      <c r="DN148" s="1544"/>
      <c r="DO148" s="751"/>
      <c r="DP148" s="1544"/>
      <c r="DQ148" s="1544"/>
      <c r="DR148" s="751"/>
      <c r="DS148" s="751"/>
      <c r="DT148" s="751"/>
      <c r="DU148" s="751"/>
      <c r="DV148" s="1550"/>
    </row>
    <row r="149" spans="1:256" ht="13.8" hidden="1">
      <c r="A149" s="1551"/>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4"/>
      <c r="CC149" s="1544"/>
      <c r="CD149" s="1544"/>
      <c r="CE149" s="1544"/>
      <c r="CF149" s="1544"/>
      <c r="CG149" s="1544"/>
      <c r="CH149" s="1544"/>
      <c r="CI149" s="1544"/>
      <c r="CJ149" s="1544"/>
      <c r="CK149" s="1544"/>
      <c r="CL149" s="1544"/>
      <c r="CM149" s="1544"/>
      <c r="CN149" s="1544"/>
      <c r="CO149" s="1544"/>
      <c r="CP149" s="1544"/>
      <c r="CQ149" s="1544"/>
      <c r="CR149" s="1544"/>
      <c r="CS149" s="1544"/>
      <c r="CT149" s="1544"/>
      <c r="CU149" s="1544"/>
      <c r="CV149" s="1544"/>
      <c r="CW149" s="1544"/>
      <c r="CX149" s="1544"/>
      <c r="CY149" s="785"/>
      <c r="CZ149" s="1544"/>
      <c r="DA149" s="1544"/>
      <c r="DB149" s="1544"/>
      <c r="DC149" s="751"/>
      <c r="DD149" s="1544"/>
      <c r="DE149" s="1544"/>
      <c r="DF149" s="1544"/>
      <c r="DG149" s="1544"/>
      <c r="DH149" s="1544"/>
      <c r="DI149" s="1544"/>
      <c r="DJ149" s="1544"/>
      <c r="DK149" s="1544"/>
      <c r="DL149" s="1544"/>
      <c r="DM149" s="1544"/>
      <c r="DN149" s="1544"/>
      <c r="DO149" s="751"/>
      <c r="DP149" s="1544"/>
      <c r="DQ149" s="1544"/>
      <c r="DR149" s="751"/>
      <c r="DS149" s="751"/>
      <c r="DT149" s="751"/>
      <c r="DU149" s="751"/>
      <c r="DV149" s="1550"/>
    </row>
    <row r="150" spans="1:256" ht="13.8" hidden="1">
      <c r="A150" s="1551"/>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4"/>
      <c r="CC150" s="1544"/>
      <c r="CD150" s="1544"/>
      <c r="CE150" s="1544"/>
      <c r="CF150" s="1544"/>
      <c r="CG150" s="1544"/>
      <c r="CH150" s="1544"/>
      <c r="CI150" s="1544"/>
      <c r="CJ150" s="1544"/>
      <c r="CK150" s="1544"/>
      <c r="CL150" s="1544"/>
      <c r="CM150" s="1544"/>
      <c r="CN150" s="1544"/>
      <c r="CO150" s="1544"/>
      <c r="CP150" s="1544"/>
      <c r="CQ150" s="1544"/>
      <c r="CR150" s="1544"/>
      <c r="CS150" s="1544"/>
      <c r="CT150" s="1544"/>
      <c r="CU150" s="1544"/>
      <c r="CV150" s="1544"/>
      <c r="CW150" s="1544"/>
      <c r="CX150" s="1544"/>
      <c r="CY150" s="785"/>
      <c r="CZ150" s="1544"/>
      <c r="DA150" s="1544"/>
      <c r="DB150" s="1544"/>
      <c r="DC150" s="751"/>
      <c r="DD150" s="1544"/>
      <c r="DE150" s="1544"/>
      <c r="DF150" s="1544"/>
      <c r="DG150" s="1544"/>
      <c r="DH150" s="1544"/>
      <c r="DI150" s="1544"/>
      <c r="DJ150" s="1544"/>
      <c r="DK150" s="1544"/>
      <c r="DL150" s="1544"/>
      <c r="DM150" s="1544"/>
      <c r="DN150" s="1544"/>
      <c r="DO150" s="751"/>
      <c r="DP150" s="1544"/>
      <c r="DQ150" s="1544"/>
      <c r="DR150" s="751"/>
      <c r="DS150" s="751"/>
      <c r="DT150" s="751"/>
      <c r="DU150" s="751"/>
      <c r="DV150" s="1550"/>
    </row>
    <row r="151" spans="1:256" ht="13.8" hidden="1">
      <c r="A151" s="1551"/>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4"/>
      <c r="CC151" s="1544"/>
      <c r="CD151" s="1544"/>
      <c r="CE151" s="1544"/>
      <c r="CF151" s="1544"/>
      <c r="CG151" s="1544"/>
      <c r="CH151" s="1544"/>
      <c r="CI151" s="1544"/>
      <c r="CJ151" s="1544"/>
      <c r="CK151" s="1544"/>
      <c r="CL151" s="1544"/>
      <c r="CM151" s="1544"/>
      <c r="CN151" s="1544"/>
      <c r="CO151" s="1544"/>
      <c r="CP151" s="1544"/>
      <c r="CQ151" s="1544"/>
      <c r="CR151" s="1544"/>
      <c r="CS151" s="1544"/>
      <c r="CT151" s="1544"/>
      <c r="CU151" s="1544"/>
      <c r="CV151" s="1544"/>
      <c r="CW151" s="1544"/>
      <c r="CX151" s="1544"/>
      <c r="CY151" s="785"/>
      <c r="CZ151" s="1544"/>
      <c r="DA151" s="1544"/>
      <c r="DB151" s="1544"/>
      <c r="DC151" s="751"/>
      <c r="DD151" s="1544"/>
      <c r="DE151" s="1544"/>
      <c r="DF151" s="1544"/>
      <c r="DG151" s="1544"/>
      <c r="DH151" s="1544"/>
      <c r="DI151" s="1544"/>
      <c r="DJ151" s="1544"/>
      <c r="DK151" s="1544"/>
      <c r="DL151" s="1544"/>
      <c r="DM151" s="1544"/>
      <c r="DN151" s="1544"/>
      <c r="DO151" s="751"/>
      <c r="DP151" s="1544"/>
      <c r="DQ151" s="1544"/>
      <c r="DR151" s="751"/>
      <c r="DS151" s="751"/>
      <c r="DT151" s="751"/>
      <c r="DU151" s="751"/>
      <c r="DV151" s="1550"/>
    </row>
    <row r="152" spans="1:256" ht="13.8" hidden="1">
      <c r="A152" s="1551"/>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4"/>
      <c r="CC152" s="1544"/>
      <c r="CD152" s="1544"/>
      <c r="CE152" s="1544"/>
      <c r="CF152" s="1544"/>
      <c r="CG152" s="1544"/>
      <c r="CH152" s="1544"/>
      <c r="CI152" s="1544"/>
      <c r="CJ152" s="1544"/>
      <c r="CK152" s="1544"/>
      <c r="CL152" s="1544"/>
      <c r="CM152" s="1544"/>
      <c r="CN152" s="1544"/>
      <c r="CO152" s="1544"/>
      <c r="CP152" s="1544"/>
      <c r="CQ152" s="1544"/>
      <c r="CR152" s="1544"/>
      <c r="CS152" s="1544"/>
      <c r="CT152" s="1544"/>
      <c r="CU152" s="1544"/>
      <c r="CV152" s="1544"/>
      <c r="CW152" s="1544"/>
      <c r="CX152" s="1544"/>
      <c r="CY152" s="785"/>
      <c r="CZ152" s="1544"/>
      <c r="DA152" s="1544"/>
      <c r="DB152" s="1544"/>
      <c r="DC152" s="751"/>
      <c r="DD152" s="1544"/>
      <c r="DE152" s="1544"/>
      <c r="DF152" s="1544"/>
      <c r="DG152" s="1544"/>
      <c r="DH152" s="1544"/>
      <c r="DI152" s="1544"/>
      <c r="DJ152" s="1544"/>
      <c r="DK152" s="1544"/>
      <c r="DL152" s="1544"/>
      <c r="DM152" s="1544"/>
      <c r="DN152" s="1544"/>
      <c r="DO152" s="751"/>
      <c r="DP152" s="1544"/>
      <c r="DQ152" s="1544"/>
      <c r="DR152" s="751"/>
      <c r="DS152" s="751"/>
      <c r="DT152" s="751"/>
      <c r="DU152" s="751"/>
      <c r="DV152" s="1550"/>
    </row>
    <row r="153" spans="1:256" ht="13.8" hidden="1">
      <c r="A153" s="1551"/>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4"/>
      <c r="CC153" s="1544"/>
      <c r="CD153" s="1544"/>
      <c r="CE153" s="1544"/>
      <c r="CF153" s="1544"/>
      <c r="CG153" s="1544"/>
      <c r="CH153" s="1544"/>
      <c r="CI153" s="1544"/>
      <c r="CJ153" s="1544"/>
      <c r="CK153" s="1544"/>
      <c r="CL153" s="1544"/>
      <c r="CM153" s="1544"/>
      <c r="CN153" s="1544"/>
      <c r="CO153" s="1544"/>
      <c r="CP153" s="1544"/>
      <c r="CQ153" s="1544"/>
      <c r="CR153" s="1544"/>
      <c r="CS153" s="1544"/>
      <c r="CT153" s="1544"/>
      <c r="CU153" s="1544"/>
      <c r="CV153" s="1544"/>
      <c r="CW153" s="1544"/>
      <c r="CX153" s="1544"/>
      <c r="CY153" s="785"/>
      <c r="CZ153" s="1544"/>
      <c r="DA153" s="1544"/>
      <c r="DB153" s="1544"/>
      <c r="DC153" s="751"/>
      <c r="DD153" s="1544"/>
      <c r="DE153" s="1544"/>
      <c r="DF153" s="1544"/>
      <c r="DG153" s="1544"/>
      <c r="DH153" s="1544"/>
      <c r="DI153" s="1544"/>
      <c r="DJ153" s="1544"/>
      <c r="DK153" s="1544"/>
      <c r="DL153" s="1544"/>
      <c r="DM153" s="1544"/>
      <c r="DN153" s="1544"/>
      <c r="DO153" s="751"/>
      <c r="DP153" s="1544"/>
      <c r="DQ153" s="1544"/>
      <c r="DR153" s="751"/>
      <c r="DS153" s="751"/>
      <c r="DT153" s="751"/>
      <c r="DU153" s="751"/>
      <c r="DV153" s="1550"/>
    </row>
    <row r="154" spans="1:256" ht="13.8" hidden="1">
      <c r="A154" s="1551"/>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4"/>
      <c r="CC154" s="1544"/>
      <c r="CD154" s="1544"/>
      <c r="CE154" s="1544"/>
      <c r="CF154" s="1544"/>
      <c r="CG154" s="1544"/>
      <c r="CH154" s="1544"/>
      <c r="CI154" s="1544"/>
      <c r="CJ154" s="1544"/>
      <c r="CK154" s="1544"/>
      <c r="CL154" s="1544"/>
      <c r="CM154" s="1544"/>
      <c r="CN154" s="1544"/>
      <c r="CO154" s="1544"/>
      <c r="CP154" s="1544"/>
      <c r="CQ154" s="1544"/>
      <c r="CR154" s="1544"/>
      <c r="CS154" s="1544"/>
      <c r="CT154" s="1544"/>
      <c r="CU154" s="1544"/>
      <c r="CV154" s="1544"/>
      <c r="CW154" s="1544"/>
      <c r="CX154" s="1544"/>
      <c r="CY154" s="785"/>
      <c r="CZ154" s="1544"/>
      <c r="DA154" s="1544"/>
      <c r="DB154" s="1544"/>
      <c r="DC154" s="751"/>
      <c r="DD154" s="1544"/>
      <c r="DE154" s="1544"/>
      <c r="DF154" s="1544"/>
      <c r="DG154" s="1544"/>
      <c r="DH154" s="1544"/>
      <c r="DI154" s="1544"/>
      <c r="DJ154" s="1544"/>
      <c r="DK154" s="1544"/>
      <c r="DL154" s="1544"/>
      <c r="DM154" s="1544"/>
      <c r="DN154" s="1544"/>
      <c r="DO154" s="751"/>
      <c r="DP154" s="1544"/>
      <c r="DQ154" s="1544"/>
      <c r="DR154" s="751"/>
      <c r="DS154" s="751"/>
      <c r="DT154" s="751"/>
      <c r="DU154" s="751"/>
      <c r="DV154" s="1550"/>
    </row>
    <row r="155" spans="1:256" ht="13.8" hidden="1">
      <c r="A155" s="1551"/>
      <c r="B155" s="1576"/>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4"/>
      <c r="CC155" s="1544"/>
      <c r="CD155" s="1544"/>
      <c r="CE155" s="1544"/>
      <c r="CF155" s="1544"/>
      <c r="CG155" s="1544"/>
      <c r="CH155" s="1544"/>
      <c r="CI155" s="1544"/>
      <c r="CJ155" s="1544"/>
      <c r="CK155" s="1544"/>
      <c r="CL155" s="1544"/>
      <c r="CM155" s="1544"/>
      <c r="CN155" s="1544"/>
      <c r="CO155" s="1544"/>
      <c r="CP155" s="1544"/>
      <c r="CQ155" s="1544"/>
      <c r="CR155" s="1544"/>
      <c r="CS155" s="1544"/>
      <c r="CT155" s="1544"/>
      <c r="CU155" s="1544"/>
      <c r="CV155" s="1544"/>
      <c r="CW155" s="1544"/>
      <c r="CX155" s="1544"/>
      <c r="CY155" s="785"/>
      <c r="CZ155" s="1544"/>
      <c r="DA155" s="1544"/>
      <c r="DB155" s="1544"/>
      <c r="DC155" s="751"/>
      <c r="DD155" s="1544"/>
      <c r="DE155" s="1544"/>
      <c r="DF155" s="1544"/>
      <c r="DG155" s="1544"/>
      <c r="DH155" s="1544"/>
      <c r="DI155" s="1544"/>
      <c r="DJ155" s="1544"/>
      <c r="DK155" s="1544"/>
      <c r="DL155" s="1544"/>
      <c r="DM155" s="1544"/>
      <c r="DN155" s="1544"/>
      <c r="DO155" s="751"/>
      <c r="DP155" s="1544"/>
      <c r="DQ155" s="1544"/>
      <c r="DR155" s="751"/>
      <c r="DS155" s="751"/>
      <c r="DT155" s="751"/>
      <c r="DU155" s="751"/>
      <c r="DV155" s="1550"/>
    </row>
    <row r="156" spans="1:256" ht="13.8" hidden="1">
      <c r="A156" s="1551"/>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4"/>
      <c r="CC156" s="1544"/>
      <c r="CD156" s="1544"/>
      <c r="CE156" s="1544"/>
      <c r="CF156" s="1544"/>
      <c r="CG156" s="1544"/>
      <c r="CH156" s="1544"/>
      <c r="CI156" s="1544"/>
      <c r="CJ156" s="1544"/>
      <c r="CK156" s="1544"/>
      <c r="CL156" s="1544"/>
      <c r="CM156" s="1544"/>
      <c r="CN156" s="1544"/>
      <c r="CO156" s="1544"/>
      <c r="CP156" s="1544"/>
      <c r="CQ156" s="1544"/>
      <c r="CR156" s="1544"/>
      <c r="CS156" s="1544"/>
      <c r="CT156" s="1544"/>
      <c r="CU156" s="1544"/>
      <c r="CV156" s="1544"/>
      <c r="CW156" s="1544"/>
      <c r="CX156" s="1544"/>
      <c r="CY156" s="785"/>
      <c r="CZ156" s="1544"/>
      <c r="DA156" s="1544"/>
      <c r="DB156" s="1544"/>
      <c r="DC156" s="751"/>
      <c r="DD156" s="1544"/>
      <c r="DE156" s="1544"/>
      <c r="DF156" s="1544"/>
      <c r="DG156" s="1544"/>
      <c r="DH156" s="1544"/>
      <c r="DI156" s="1544"/>
      <c r="DJ156" s="1544"/>
      <c r="DK156" s="1544"/>
      <c r="DL156" s="1544"/>
      <c r="DM156" s="1544"/>
      <c r="DN156" s="1544"/>
      <c r="DO156" s="751"/>
      <c r="DP156" s="1544"/>
      <c r="DQ156" s="1544"/>
      <c r="DR156" s="751"/>
      <c r="DS156" s="751"/>
      <c r="DT156" s="751"/>
      <c r="DU156" s="751"/>
      <c r="DV156" s="1550"/>
    </row>
    <row r="157" spans="1:256" ht="13.8" hidden="1">
      <c r="A157" s="1551"/>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4"/>
      <c r="CC157" s="1544"/>
      <c r="CD157" s="1544"/>
      <c r="CE157" s="1544"/>
      <c r="CF157" s="1544"/>
      <c r="CG157" s="1544"/>
      <c r="CH157" s="1544"/>
      <c r="CI157" s="1544"/>
      <c r="CJ157" s="1544"/>
      <c r="CK157" s="1544"/>
      <c r="CL157" s="1544"/>
      <c r="CM157" s="1544"/>
      <c r="CN157" s="1544"/>
      <c r="CO157" s="1544"/>
      <c r="CP157" s="1544"/>
      <c r="CQ157" s="1544"/>
      <c r="CR157" s="1544"/>
      <c r="CS157" s="1544"/>
      <c r="CT157" s="1544"/>
      <c r="CU157" s="1544"/>
      <c r="CV157" s="1544"/>
      <c r="CW157" s="1544"/>
      <c r="CX157" s="1544"/>
      <c r="CY157" s="785"/>
      <c r="CZ157" s="1544"/>
      <c r="DA157" s="1544"/>
      <c r="DB157" s="1544"/>
      <c r="DC157" s="751"/>
      <c r="DD157" s="1544"/>
      <c r="DE157" s="1544"/>
      <c r="DF157" s="1544"/>
      <c r="DG157" s="1544"/>
      <c r="DH157" s="1544"/>
      <c r="DI157" s="1544"/>
      <c r="DJ157" s="1544"/>
      <c r="DK157" s="1544"/>
      <c r="DL157" s="1544"/>
      <c r="DM157" s="1544"/>
      <c r="DN157" s="1544"/>
      <c r="DO157" s="751"/>
      <c r="DP157" s="1544"/>
      <c r="DQ157" s="1544"/>
      <c r="DR157" s="751"/>
      <c r="DS157" s="751"/>
      <c r="DT157" s="751"/>
      <c r="DU157" s="751"/>
      <c r="DV157" s="1550"/>
    </row>
    <row r="158" spans="1:256" ht="13.8" hidden="1">
      <c r="A158" s="1551"/>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4"/>
      <c r="CC158" s="1544"/>
      <c r="CD158" s="1544"/>
      <c r="CE158" s="1544"/>
      <c r="CF158" s="1544"/>
      <c r="CG158" s="1544"/>
      <c r="CH158" s="1544"/>
      <c r="CI158" s="1544"/>
      <c r="CJ158" s="1544"/>
      <c r="CK158" s="1544"/>
      <c r="CL158" s="1544"/>
      <c r="CM158" s="1544"/>
      <c r="CN158" s="1544"/>
      <c r="CO158" s="1544"/>
      <c r="CP158" s="1544"/>
      <c r="CQ158" s="1544"/>
      <c r="CR158" s="1544"/>
      <c r="CS158" s="1544"/>
      <c r="CT158" s="1544"/>
      <c r="CU158" s="1544"/>
      <c r="CV158" s="1544"/>
      <c r="CW158" s="1544"/>
      <c r="CX158" s="1544"/>
      <c r="CY158" s="785"/>
      <c r="CZ158" s="1544"/>
      <c r="DA158" s="1544"/>
      <c r="DB158" s="1544"/>
      <c r="DC158" s="751"/>
      <c r="DD158" s="1544"/>
      <c r="DE158" s="1544"/>
      <c r="DF158" s="1544"/>
      <c r="DG158" s="1544"/>
      <c r="DH158" s="1544"/>
      <c r="DI158" s="1544"/>
      <c r="DJ158" s="1544"/>
      <c r="DK158" s="1544"/>
      <c r="DL158" s="1544"/>
      <c r="DM158" s="1544"/>
      <c r="DN158" s="1544"/>
      <c r="DO158" s="751"/>
      <c r="DP158" s="1544"/>
      <c r="DQ158" s="1544"/>
      <c r="DR158" s="751"/>
      <c r="DS158" s="751"/>
      <c r="DT158" s="751"/>
      <c r="DU158" s="751"/>
      <c r="DV158" s="1550"/>
    </row>
    <row r="159" spans="1:256" ht="13.8" hidden="1">
      <c r="A159" s="1551"/>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4"/>
      <c r="CC159" s="1544"/>
      <c r="CD159" s="1544"/>
      <c r="CE159" s="1544"/>
      <c r="CF159" s="1544"/>
      <c r="CG159" s="1544"/>
      <c r="CH159" s="1544"/>
      <c r="CI159" s="1544"/>
      <c r="CJ159" s="1544"/>
      <c r="CK159" s="1544"/>
      <c r="CL159" s="1544"/>
      <c r="CM159" s="1544"/>
      <c r="CN159" s="1544"/>
      <c r="CO159" s="1544"/>
      <c r="CP159" s="1544"/>
      <c r="CQ159" s="1544"/>
      <c r="CR159" s="1544"/>
      <c r="CS159" s="1544"/>
      <c r="CT159" s="1544"/>
      <c r="CU159" s="1544"/>
      <c r="CV159" s="1544"/>
      <c r="CW159" s="1544"/>
      <c r="CX159" s="1544"/>
      <c r="CY159" s="785"/>
      <c r="CZ159" s="1544"/>
      <c r="DA159" s="1544"/>
      <c r="DB159" s="1544"/>
      <c r="DC159" s="751"/>
      <c r="DD159" s="1544"/>
      <c r="DE159" s="1544"/>
      <c r="DF159" s="1544"/>
      <c r="DG159" s="1544"/>
      <c r="DH159" s="1544"/>
      <c r="DI159" s="1544"/>
      <c r="DJ159" s="1544"/>
      <c r="DK159" s="1544"/>
      <c r="DL159" s="1544"/>
      <c r="DM159" s="1544"/>
      <c r="DN159" s="1544"/>
      <c r="DO159" s="751"/>
      <c r="DP159" s="1544"/>
      <c r="DQ159" s="1544"/>
      <c r="DR159" s="751"/>
      <c r="DS159" s="751"/>
      <c r="DT159" s="751"/>
      <c r="DU159" s="751"/>
      <c r="DV159" s="1550"/>
    </row>
    <row r="160" spans="1:256" s="662" customFormat="1" ht="13.8" hidden="1">
      <c r="A160" s="1551"/>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4"/>
      <c r="CC160" s="1544"/>
      <c r="CD160" s="1544"/>
      <c r="CE160" s="1544"/>
      <c r="CF160" s="1544"/>
      <c r="CG160" s="1544"/>
      <c r="CH160" s="1544"/>
      <c r="CI160" s="1544"/>
      <c r="CJ160" s="1544"/>
      <c r="CK160" s="1544"/>
      <c r="CL160" s="1544"/>
      <c r="CM160" s="1544"/>
      <c r="CN160" s="1544"/>
      <c r="CO160" s="1544"/>
      <c r="CP160" s="1544"/>
      <c r="CQ160" s="1544"/>
      <c r="CR160" s="1544"/>
      <c r="CS160" s="1544"/>
      <c r="CT160" s="1544"/>
      <c r="CU160" s="1544"/>
      <c r="CV160" s="1544"/>
      <c r="CW160" s="1544"/>
      <c r="CX160" s="1544"/>
      <c r="CY160" s="785"/>
      <c r="CZ160" s="1544"/>
      <c r="DA160" s="1544"/>
      <c r="DB160" s="1544"/>
      <c r="DC160" s="751"/>
      <c r="DD160" s="1544"/>
      <c r="DE160" s="1544"/>
      <c r="DF160" s="1544"/>
      <c r="DG160" s="1544"/>
      <c r="DH160" s="1544"/>
      <c r="DI160" s="1544"/>
      <c r="DJ160" s="1544"/>
      <c r="DK160" s="1544"/>
      <c r="DL160" s="1544"/>
      <c r="DM160" s="1544"/>
      <c r="DN160" s="1544"/>
      <c r="DO160" s="751"/>
      <c r="DP160" s="1544"/>
      <c r="DQ160" s="1544"/>
      <c r="DR160" s="751"/>
      <c r="DS160" s="751"/>
      <c r="DT160" s="751"/>
      <c r="DU160" s="751"/>
      <c r="DV160" s="1550"/>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3.8" hidden="1">
      <c r="A161" s="1561"/>
      <c r="B161" s="1562"/>
      <c r="C161" s="1563"/>
      <c r="D161" s="1563"/>
      <c r="E161" s="1563"/>
      <c r="F161" s="1563"/>
      <c r="G161" s="1563"/>
      <c r="H161" s="1563"/>
      <c r="I161" s="1563"/>
      <c r="J161" s="1563"/>
      <c r="K161" s="1563"/>
      <c r="L161" s="1563"/>
      <c r="M161" s="1563"/>
      <c r="N161" s="1563"/>
      <c r="O161" s="1563"/>
      <c r="P161" s="1563"/>
      <c r="Q161" s="1563"/>
      <c r="R161" s="1563"/>
      <c r="S161" s="1563"/>
      <c r="T161" s="1563"/>
      <c r="U161" s="1563"/>
      <c r="V161" s="1563"/>
      <c r="W161" s="1563"/>
      <c r="X161" s="1563"/>
      <c r="Y161" s="1563"/>
      <c r="Z161" s="1563"/>
      <c r="AA161" s="1563"/>
      <c r="AB161" s="1563"/>
      <c r="AC161" s="1563"/>
      <c r="AD161" s="1563"/>
      <c r="AE161" s="1563"/>
      <c r="AF161" s="1563"/>
      <c r="AG161" s="1563"/>
      <c r="AH161" s="1563"/>
      <c r="AI161" s="1563"/>
      <c r="AJ161" s="1563"/>
      <c r="AK161" s="1563"/>
      <c r="AL161" s="1563"/>
      <c r="AM161" s="1563"/>
      <c r="AN161" s="1563"/>
      <c r="AO161" s="1563"/>
      <c r="AP161" s="1563"/>
      <c r="AQ161" s="1563"/>
      <c r="AR161" s="1563"/>
      <c r="AS161" s="1563"/>
      <c r="AT161" s="1563"/>
      <c r="AU161" s="1563"/>
      <c r="AV161" s="1563"/>
      <c r="AW161" s="1563"/>
      <c r="AX161" s="1563"/>
      <c r="AY161" s="1563"/>
      <c r="AZ161" s="1563"/>
      <c r="BA161" s="1563"/>
      <c r="BB161" s="1563"/>
      <c r="BC161" s="1563"/>
      <c r="BD161" s="1563"/>
      <c r="BE161" s="1563"/>
      <c r="BF161" s="1563"/>
      <c r="BG161" s="1563"/>
      <c r="BH161" s="1563"/>
      <c r="BI161" s="1563"/>
      <c r="BJ161" s="1563"/>
      <c r="BK161" s="1563"/>
      <c r="BL161" s="1563"/>
      <c r="BM161" s="1563"/>
      <c r="BN161" s="1563"/>
      <c r="BO161" s="1563"/>
      <c r="BP161" s="1563"/>
      <c r="BQ161" s="1563"/>
      <c r="BR161" s="1563"/>
      <c r="BS161" s="1563"/>
      <c r="BT161" s="1563"/>
      <c r="BU161" s="1563"/>
      <c r="BV161" s="1563"/>
      <c r="BW161" s="1563"/>
      <c r="BX161" s="1563"/>
      <c r="BY161" s="1563"/>
      <c r="BZ161" s="1563"/>
      <c r="CA161" s="1563"/>
      <c r="CB161" s="1563"/>
      <c r="CC161" s="1563"/>
      <c r="CD161" s="1563"/>
      <c r="CE161" s="1544"/>
      <c r="CF161" s="1563"/>
      <c r="CG161" s="1563"/>
      <c r="CH161" s="1563"/>
      <c r="CI161" s="1563"/>
      <c r="CJ161" s="1563"/>
      <c r="CK161" s="1563"/>
      <c r="CL161" s="1563"/>
      <c r="CM161" s="1563"/>
      <c r="CN161" s="1563"/>
      <c r="CO161" s="1563"/>
      <c r="CP161" s="1563"/>
      <c r="CQ161" s="1563"/>
      <c r="CR161" s="1563"/>
      <c r="CS161" s="1563"/>
      <c r="CT161" s="1563"/>
      <c r="CU161" s="1563"/>
      <c r="CV161" s="1563"/>
      <c r="CW161" s="1563"/>
      <c r="CX161" s="1563"/>
      <c r="CY161" s="1564"/>
      <c r="CZ161" s="1563"/>
      <c r="DA161" s="1563"/>
      <c r="DB161" s="1563"/>
      <c r="DC161" s="1563"/>
      <c r="DD161" s="1563"/>
      <c r="DE161" s="1563"/>
      <c r="DF161" s="1563"/>
      <c r="DG161" s="1563"/>
      <c r="DH161" s="1563"/>
      <c r="DI161" s="1563"/>
      <c r="DJ161" s="1563"/>
      <c r="DK161" s="1563"/>
      <c r="DL161" s="1563"/>
      <c r="DM161" s="1563"/>
      <c r="DN161" s="1563"/>
      <c r="DO161" s="1563"/>
      <c r="DP161" s="1563"/>
      <c r="DQ161" s="1563"/>
      <c r="DR161" s="1563"/>
      <c r="DS161" s="1563"/>
      <c r="DT161" s="1563"/>
      <c r="DU161" s="1563"/>
      <c r="DV161" s="1565"/>
      <c r="DW161" s="672">
        <f>+DU161*0.4</f>
        <v>0</v>
      </c>
      <c r="DX161" s="672">
        <f>+DW161/0.22</f>
        <v>0</v>
      </c>
    </row>
    <row r="162" spans="1:256" s="537" customFormat="1" ht="18.75" hidden="1" customHeight="1">
      <c r="A162" s="1577"/>
      <c r="B162" s="1578"/>
      <c r="C162" s="1578"/>
      <c r="D162" s="1578"/>
      <c r="E162" s="1578"/>
      <c r="F162" s="1578"/>
      <c r="G162" s="1578"/>
      <c r="H162" s="1578"/>
      <c r="I162" s="1578"/>
      <c r="J162" s="1578"/>
      <c r="K162" s="1578"/>
      <c r="L162" s="1578"/>
      <c r="M162" s="1578"/>
      <c r="N162" s="1578"/>
      <c r="O162" s="1578"/>
      <c r="P162" s="1578"/>
      <c r="Q162" s="1578"/>
      <c r="R162" s="1578"/>
      <c r="S162" s="1579"/>
      <c r="T162" s="1579"/>
      <c r="U162" s="1579"/>
      <c r="V162" s="1579"/>
      <c r="W162" s="1579"/>
      <c r="X162" s="1579"/>
      <c r="Y162" s="1579"/>
      <c r="Z162" s="1579"/>
      <c r="AA162" s="1579"/>
      <c r="AB162" s="1579"/>
      <c r="AC162" s="1579"/>
      <c r="AD162" s="1579"/>
      <c r="AE162" s="1579"/>
      <c r="AF162" s="1579"/>
      <c r="AG162" s="1579"/>
      <c r="AH162" s="1579"/>
      <c r="AI162" s="1579"/>
      <c r="AJ162" s="1579"/>
      <c r="AK162" s="1579"/>
      <c r="AL162" s="1579"/>
      <c r="AM162" s="1579"/>
      <c r="AN162" s="1579"/>
      <c r="AO162" s="1579"/>
      <c r="AP162" s="1579"/>
      <c r="AQ162" s="1579"/>
      <c r="AR162" s="1579"/>
      <c r="AS162" s="1579"/>
      <c r="AT162" s="1579"/>
      <c r="AU162" s="1579"/>
      <c r="AV162" s="1579"/>
      <c r="AW162" s="1579"/>
      <c r="AX162" s="1579"/>
      <c r="AY162" s="1579"/>
      <c r="AZ162" s="1579"/>
      <c r="BA162" s="1579"/>
      <c r="BB162" s="1579"/>
      <c r="BC162" s="1579"/>
      <c r="BD162" s="1579"/>
      <c r="BE162" s="1579"/>
      <c r="BF162" s="1579"/>
      <c r="BG162" s="1579"/>
      <c r="BH162" s="1579"/>
      <c r="BI162" s="1579"/>
      <c r="BJ162" s="1579"/>
      <c r="BK162" s="1579"/>
      <c r="BL162" s="1579"/>
      <c r="BM162" s="1579"/>
      <c r="BN162" s="1579"/>
      <c r="BO162" s="1579"/>
      <c r="BP162" s="1579"/>
      <c r="BQ162" s="1579"/>
      <c r="BR162" s="1579"/>
      <c r="BS162" s="1579"/>
      <c r="BT162" s="1579"/>
      <c r="BU162" s="1579"/>
      <c r="BV162" s="1579"/>
      <c r="BW162" s="1579"/>
      <c r="BX162" s="1579"/>
      <c r="BY162" s="1579"/>
      <c r="BZ162" s="1579"/>
      <c r="CA162" s="1579"/>
      <c r="CB162" s="1579"/>
      <c r="CC162" s="1579"/>
      <c r="CD162" s="1579"/>
      <c r="CE162" s="1544"/>
      <c r="CF162" s="1579"/>
      <c r="CG162" s="1579"/>
      <c r="CH162" s="1579"/>
      <c r="CI162" s="1579"/>
      <c r="CJ162" s="1579"/>
      <c r="CK162" s="1579"/>
      <c r="CL162" s="1579"/>
      <c r="CM162" s="1579"/>
      <c r="CN162" s="1579"/>
      <c r="CO162" s="1579"/>
      <c r="CP162" s="1579"/>
      <c r="CQ162" s="1579"/>
      <c r="CR162" s="1579"/>
      <c r="CS162" s="1579"/>
      <c r="CT162" s="1579"/>
      <c r="CU162" s="1579"/>
      <c r="CV162" s="1579"/>
      <c r="CW162" s="1579"/>
      <c r="CX162" s="1579"/>
      <c r="CY162" s="1580"/>
      <c r="CZ162" s="1579"/>
      <c r="DA162" s="1579"/>
      <c r="DB162" s="1579"/>
      <c r="DC162" s="1579"/>
      <c r="DD162" s="1579"/>
      <c r="DE162" s="1579"/>
      <c r="DF162" s="1579"/>
      <c r="DG162" s="1579"/>
      <c r="DH162" s="1579"/>
      <c r="DI162" s="1579"/>
      <c r="DJ162" s="1579"/>
      <c r="DK162" s="1579"/>
      <c r="DL162" s="1579"/>
      <c r="DM162" s="1579"/>
      <c r="DN162" s="1579"/>
      <c r="DO162" s="1579"/>
      <c r="DP162" s="1579"/>
      <c r="DQ162" s="1579"/>
      <c r="DR162" s="1579"/>
      <c r="DS162" s="1579"/>
      <c r="DT162" s="1579"/>
      <c r="DU162" s="1579"/>
      <c r="DV162" s="1581"/>
      <c r="IR162" s="517"/>
      <c r="IS162" s="517"/>
      <c r="IT162" s="517"/>
      <c r="IU162" s="517"/>
      <c r="IV162" s="517"/>
    </row>
    <row r="163" spans="1:256" ht="17.25" hidden="1" customHeight="1">
      <c r="A163" s="1551"/>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4"/>
      <c r="CF163" s="535"/>
      <c r="CG163" s="535"/>
      <c r="CH163" s="535"/>
      <c r="CI163" s="535"/>
      <c r="CJ163" s="535"/>
      <c r="CK163" s="535"/>
      <c r="CL163" s="535"/>
      <c r="CM163" s="535"/>
      <c r="CN163" s="535"/>
      <c r="CO163" s="535"/>
      <c r="CP163" s="535"/>
      <c r="CQ163" s="535"/>
      <c r="CR163" s="535"/>
      <c r="CS163" s="535"/>
      <c r="CT163" s="535"/>
      <c r="CU163" s="535"/>
      <c r="CV163" s="535"/>
      <c r="CW163" s="535"/>
      <c r="CX163" s="535"/>
      <c r="CY163" s="1582"/>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50"/>
      <c r="IR163" s="529"/>
      <c r="IS163" s="529"/>
      <c r="IT163" s="529"/>
      <c r="IU163" s="529"/>
      <c r="IV163" s="529"/>
    </row>
    <row r="164" spans="1:256" ht="18.75" hidden="1" customHeight="1">
      <c r="A164" s="1583"/>
      <c r="B164" s="1584"/>
      <c r="C164" s="1585"/>
      <c r="D164" s="1585"/>
      <c r="E164" s="1585"/>
      <c r="F164" s="1585"/>
      <c r="G164" s="1585"/>
      <c r="H164" s="1585"/>
      <c r="I164" s="1585"/>
      <c r="J164" s="1585"/>
      <c r="K164" s="1585"/>
      <c r="L164" s="1585"/>
      <c r="M164" s="1585"/>
      <c r="N164" s="1585"/>
      <c r="O164" s="1585"/>
      <c r="P164" s="1585"/>
      <c r="Q164" s="1585"/>
      <c r="R164" s="1585"/>
      <c r="S164" s="1585"/>
      <c r="T164" s="1585"/>
      <c r="U164" s="1585"/>
      <c r="V164" s="1585"/>
      <c r="W164" s="1585"/>
      <c r="X164" s="1585"/>
      <c r="Y164" s="1585"/>
      <c r="Z164" s="1585"/>
      <c r="AA164" s="1585"/>
      <c r="AB164" s="1585"/>
      <c r="AC164" s="1585"/>
      <c r="AD164" s="1585"/>
      <c r="AE164" s="1585"/>
      <c r="AF164" s="1585"/>
      <c r="AG164" s="1585"/>
      <c r="AH164" s="1585"/>
      <c r="AI164" s="1585"/>
      <c r="AJ164" s="1585"/>
      <c r="AK164" s="1585"/>
      <c r="AL164" s="1585"/>
      <c r="AM164" s="1585"/>
      <c r="AN164" s="1585"/>
      <c r="AO164" s="1585"/>
      <c r="AP164" s="1585"/>
      <c r="AQ164" s="1585"/>
      <c r="AR164" s="1585"/>
      <c r="AS164" s="1585"/>
      <c r="AT164" s="1585"/>
      <c r="AU164" s="1585"/>
      <c r="AV164" s="1585"/>
      <c r="AW164" s="1585"/>
      <c r="AX164" s="1585"/>
      <c r="AY164" s="1585"/>
      <c r="AZ164" s="1585"/>
      <c r="BA164" s="1585"/>
      <c r="BB164" s="1585"/>
      <c r="BC164" s="1585"/>
      <c r="BD164" s="1585"/>
      <c r="BE164" s="1585"/>
      <c r="BF164" s="1585"/>
      <c r="BG164" s="1585"/>
      <c r="BH164" s="1585"/>
      <c r="BI164" s="1585"/>
      <c r="BJ164" s="1585"/>
      <c r="BK164" s="1585"/>
      <c r="BL164" s="1585"/>
      <c r="BM164" s="1585"/>
      <c r="BN164" s="1585"/>
      <c r="BO164" s="1585"/>
      <c r="BP164" s="1585"/>
      <c r="BQ164" s="1585"/>
      <c r="BR164" s="1585"/>
      <c r="BS164" s="1585"/>
      <c r="BT164" s="1585"/>
      <c r="BU164" s="1585"/>
      <c r="BV164" s="1585"/>
      <c r="BW164" s="1585"/>
      <c r="BX164" s="1585"/>
      <c r="BY164" s="1585"/>
      <c r="BZ164" s="1585"/>
      <c r="CA164" s="1585"/>
      <c r="CB164" s="1585"/>
      <c r="CC164" s="1585"/>
      <c r="CD164" s="1585"/>
      <c r="CE164" s="1544"/>
      <c r="CF164" s="1585"/>
      <c r="CG164" s="1585"/>
      <c r="CH164" s="1585"/>
      <c r="CI164" s="1585"/>
      <c r="CJ164" s="1585"/>
      <c r="CK164" s="1585"/>
      <c r="CL164" s="1585"/>
      <c r="CM164" s="1585"/>
      <c r="CN164" s="1585"/>
      <c r="CO164" s="1585"/>
      <c r="CP164" s="1585"/>
      <c r="CQ164" s="1585"/>
      <c r="CR164" s="1585"/>
      <c r="CS164" s="1585"/>
      <c r="CT164" s="1585"/>
      <c r="CU164" s="1585"/>
      <c r="CV164" s="1585"/>
      <c r="CW164" s="1585"/>
      <c r="CX164" s="1585"/>
      <c r="CY164" s="1586"/>
      <c r="CZ164" s="1585"/>
      <c r="DA164" s="1585"/>
      <c r="DB164" s="1585"/>
      <c r="DC164" s="1585"/>
      <c r="DD164" s="1585"/>
      <c r="DE164" s="1585"/>
      <c r="DF164" s="1585"/>
      <c r="DG164" s="1585"/>
      <c r="DH164" s="1585"/>
      <c r="DI164" s="1585"/>
      <c r="DJ164" s="1585"/>
      <c r="DK164" s="1585"/>
      <c r="DL164" s="1585"/>
      <c r="DM164" s="1585"/>
      <c r="DN164" s="1585"/>
      <c r="DO164" s="1585"/>
      <c r="DP164" s="1585"/>
      <c r="DQ164" s="1585"/>
      <c r="DR164" s="1585"/>
      <c r="DS164" s="1585"/>
      <c r="DT164" s="1585"/>
      <c r="DU164" s="1585"/>
      <c r="DV164" s="1581"/>
    </row>
    <row r="165" spans="1:256" s="532" customFormat="1" ht="18" hidden="1" customHeight="1">
      <c r="A165" s="1557"/>
      <c r="B165" s="975"/>
      <c r="C165" s="975"/>
      <c r="D165" s="975"/>
      <c r="E165" s="975"/>
      <c r="F165" s="975"/>
      <c r="G165" s="975"/>
      <c r="H165" s="975"/>
      <c r="I165" s="975"/>
      <c r="J165" s="975"/>
      <c r="K165" s="975"/>
      <c r="L165" s="975"/>
      <c r="M165" s="975"/>
      <c r="N165" s="975"/>
      <c r="O165" s="975"/>
      <c r="P165" s="975"/>
      <c r="Q165" s="975"/>
      <c r="R165" s="975"/>
      <c r="S165" s="975"/>
      <c r="T165" s="975"/>
      <c r="U165" s="975"/>
      <c r="V165" s="975"/>
      <c r="W165" s="975"/>
      <c r="X165" s="975"/>
      <c r="Y165" s="975"/>
      <c r="Z165" s="975"/>
      <c r="AA165" s="975"/>
      <c r="AB165" s="975"/>
      <c r="AC165" s="975"/>
      <c r="AD165" s="975"/>
      <c r="AE165" s="975"/>
      <c r="AF165" s="975"/>
      <c r="AG165" s="975"/>
      <c r="AH165" s="975"/>
      <c r="AI165" s="975"/>
      <c r="AJ165" s="975"/>
      <c r="AK165" s="975"/>
      <c r="AL165" s="975"/>
      <c r="AM165" s="975"/>
      <c r="AN165" s="975"/>
      <c r="AO165" s="975"/>
      <c r="AP165" s="975"/>
      <c r="AQ165" s="975"/>
      <c r="AR165" s="975"/>
      <c r="AS165" s="975"/>
      <c r="AT165" s="975"/>
      <c r="AU165" s="975"/>
      <c r="AV165" s="975"/>
      <c r="AW165" s="975"/>
      <c r="AX165" s="975"/>
      <c r="AY165" s="975"/>
      <c r="AZ165" s="975"/>
      <c r="BA165" s="975"/>
      <c r="BB165" s="975"/>
      <c r="BC165" s="975"/>
      <c r="BD165" s="975"/>
      <c r="BE165" s="975"/>
      <c r="BF165" s="975"/>
      <c r="BG165" s="975"/>
      <c r="BH165" s="975"/>
      <c r="BI165" s="975"/>
      <c r="BJ165" s="975"/>
      <c r="BK165" s="975"/>
      <c r="BL165" s="975"/>
      <c r="BM165" s="975"/>
      <c r="BN165" s="975"/>
      <c r="BO165" s="975"/>
      <c r="BP165" s="975"/>
      <c r="BQ165" s="975"/>
      <c r="BR165" s="975"/>
      <c r="BS165" s="975"/>
      <c r="BT165" s="975"/>
      <c r="BU165" s="975"/>
      <c r="BV165" s="975"/>
      <c r="BW165" s="975"/>
      <c r="BX165" s="975"/>
      <c r="BY165" s="975"/>
      <c r="BZ165" s="975"/>
      <c r="CA165" s="975"/>
      <c r="CB165" s="975"/>
      <c r="CC165" s="975"/>
      <c r="CD165" s="975"/>
      <c r="CE165" s="1544"/>
      <c r="CF165" s="975"/>
      <c r="CG165" s="975"/>
      <c r="CH165" s="975"/>
      <c r="CI165" s="975"/>
      <c r="CJ165" s="975"/>
      <c r="CK165" s="975"/>
      <c r="CL165" s="975"/>
      <c r="CM165" s="975"/>
      <c r="CN165" s="975"/>
      <c r="CO165" s="975"/>
      <c r="CP165" s="975"/>
      <c r="CQ165" s="975"/>
      <c r="CR165" s="975"/>
      <c r="CS165" s="975"/>
      <c r="CT165" s="975"/>
      <c r="CU165" s="975"/>
      <c r="CV165" s="975"/>
      <c r="CW165" s="975"/>
      <c r="CX165" s="975"/>
      <c r="CY165" s="1558"/>
      <c r="CZ165" s="975"/>
      <c r="DA165" s="975"/>
      <c r="DB165" s="975"/>
      <c r="DC165" s="975"/>
      <c r="DD165" s="975"/>
      <c r="DE165" s="975"/>
      <c r="DF165" s="975"/>
      <c r="DG165" s="975"/>
      <c r="DH165" s="975"/>
      <c r="DI165" s="975"/>
      <c r="DJ165" s="975"/>
      <c r="DK165" s="975"/>
      <c r="DL165" s="975"/>
      <c r="DM165" s="975"/>
      <c r="DN165" s="975"/>
      <c r="DO165" s="975"/>
      <c r="DP165" s="975"/>
      <c r="DQ165" s="975"/>
      <c r="DR165" s="975"/>
      <c r="DS165" s="975"/>
      <c r="DT165" s="975"/>
      <c r="DU165" s="975"/>
      <c r="DV165" s="1559"/>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7"/>
      <c r="B166" s="975"/>
      <c r="C166" s="975"/>
      <c r="D166" s="975"/>
      <c r="E166" s="975"/>
      <c r="F166" s="975"/>
      <c r="G166" s="975"/>
      <c r="H166" s="975"/>
      <c r="I166" s="975"/>
      <c r="J166" s="975"/>
      <c r="K166" s="975"/>
      <c r="L166" s="975"/>
      <c r="M166" s="975"/>
      <c r="N166" s="975"/>
      <c r="O166" s="975"/>
      <c r="P166" s="975"/>
      <c r="Q166" s="975"/>
      <c r="R166" s="975"/>
      <c r="S166" s="975"/>
      <c r="T166" s="975"/>
      <c r="U166" s="975"/>
      <c r="V166" s="975"/>
      <c r="W166" s="975"/>
      <c r="X166" s="975"/>
      <c r="Y166" s="975"/>
      <c r="Z166" s="975"/>
      <c r="AA166" s="975"/>
      <c r="AB166" s="975"/>
      <c r="AC166" s="975"/>
      <c r="AD166" s="975"/>
      <c r="AE166" s="975"/>
      <c r="AF166" s="975"/>
      <c r="AG166" s="975"/>
      <c r="AH166" s="975"/>
      <c r="AI166" s="975"/>
      <c r="AJ166" s="975"/>
      <c r="AK166" s="975"/>
      <c r="AL166" s="975"/>
      <c r="AM166" s="975"/>
      <c r="AN166" s="975"/>
      <c r="AO166" s="975"/>
      <c r="AP166" s="975"/>
      <c r="AQ166" s="975"/>
      <c r="AR166" s="975"/>
      <c r="AS166" s="975"/>
      <c r="AT166" s="975"/>
      <c r="AU166" s="975"/>
      <c r="AV166" s="975"/>
      <c r="AW166" s="975"/>
      <c r="AX166" s="975"/>
      <c r="AY166" s="975"/>
      <c r="AZ166" s="975"/>
      <c r="BA166" s="975"/>
      <c r="BB166" s="975"/>
      <c r="BC166" s="975"/>
      <c r="BD166" s="975"/>
      <c r="BE166" s="975"/>
      <c r="BF166" s="975"/>
      <c r="BG166" s="975"/>
      <c r="BH166" s="975"/>
      <c r="BI166" s="975"/>
      <c r="BJ166" s="975"/>
      <c r="BK166" s="975"/>
      <c r="BL166" s="975"/>
      <c r="BM166" s="975"/>
      <c r="BN166" s="975"/>
      <c r="BO166" s="975"/>
      <c r="BP166" s="975"/>
      <c r="BQ166" s="975"/>
      <c r="BR166" s="975"/>
      <c r="BS166" s="975"/>
      <c r="BT166" s="975"/>
      <c r="BU166" s="975"/>
      <c r="BV166" s="975"/>
      <c r="BW166" s="975"/>
      <c r="BX166" s="975"/>
      <c r="BY166" s="975"/>
      <c r="BZ166" s="975"/>
      <c r="CA166" s="975"/>
      <c r="CB166" s="975"/>
      <c r="CC166" s="975"/>
      <c r="CD166" s="975"/>
      <c r="CE166" s="1544"/>
      <c r="CF166" s="975"/>
      <c r="CG166" s="975"/>
      <c r="CH166" s="975"/>
      <c r="CI166" s="975"/>
      <c r="CJ166" s="975"/>
      <c r="CK166" s="975"/>
      <c r="CL166" s="975"/>
      <c r="CM166" s="975"/>
      <c r="CN166" s="975"/>
      <c r="CO166" s="975"/>
      <c r="CP166" s="975"/>
      <c r="CQ166" s="975"/>
      <c r="CR166" s="975"/>
      <c r="CS166" s="975"/>
      <c r="CT166" s="975"/>
      <c r="CU166" s="975"/>
      <c r="CV166" s="975"/>
      <c r="CW166" s="975"/>
      <c r="CX166" s="975"/>
      <c r="CY166" s="1558"/>
      <c r="CZ166" s="975"/>
      <c r="DA166" s="975"/>
      <c r="DB166" s="975"/>
      <c r="DC166" s="975"/>
      <c r="DD166" s="975"/>
      <c r="DE166" s="975"/>
      <c r="DF166" s="975"/>
      <c r="DG166" s="975"/>
      <c r="DH166" s="975"/>
      <c r="DI166" s="975"/>
      <c r="DJ166" s="975"/>
      <c r="DK166" s="975"/>
      <c r="DL166" s="975"/>
      <c r="DM166" s="975"/>
      <c r="DN166" s="975"/>
      <c r="DO166" s="975"/>
      <c r="DP166" s="975"/>
      <c r="DQ166" s="975"/>
      <c r="DR166" s="975"/>
      <c r="DS166" s="975"/>
      <c r="DT166" s="975"/>
      <c r="DU166" s="975"/>
      <c r="DV166" s="1559"/>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60"/>
      <c r="B167" s="975"/>
      <c r="C167" s="975"/>
      <c r="D167" s="975"/>
      <c r="E167" s="975"/>
      <c r="F167" s="975"/>
      <c r="G167" s="975"/>
      <c r="H167" s="975"/>
      <c r="I167" s="975"/>
      <c r="J167" s="975"/>
      <c r="K167" s="975"/>
      <c r="L167" s="975"/>
      <c r="M167" s="975"/>
      <c r="N167" s="975"/>
      <c r="O167" s="975"/>
      <c r="P167" s="975"/>
      <c r="Q167" s="975"/>
      <c r="R167" s="975"/>
      <c r="S167" s="975"/>
      <c r="T167" s="975"/>
      <c r="U167" s="975"/>
      <c r="V167" s="975"/>
      <c r="W167" s="975"/>
      <c r="X167" s="975"/>
      <c r="Y167" s="975"/>
      <c r="Z167" s="975"/>
      <c r="AA167" s="975"/>
      <c r="AB167" s="975"/>
      <c r="AC167" s="975"/>
      <c r="AD167" s="975"/>
      <c r="AE167" s="975"/>
      <c r="AF167" s="975"/>
      <c r="AG167" s="975"/>
      <c r="AH167" s="975"/>
      <c r="AI167" s="975"/>
      <c r="AJ167" s="975"/>
      <c r="AK167" s="975"/>
      <c r="AL167" s="975"/>
      <c r="AM167" s="975"/>
      <c r="AN167" s="975"/>
      <c r="AO167" s="975"/>
      <c r="AP167" s="975"/>
      <c r="AQ167" s="975"/>
      <c r="AR167" s="975"/>
      <c r="AS167" s="975"/>
      <c r="AT167" s="975"/>
      <c r="AU167" s="975"/>
      <c r="AV167" s="975"/>
      <c r="AW167" s="975"/>
      <c r="AX167" s="975"/>
      <c r="AY167" s="975"/>
      <c r="AZ167" s="975"/>
      <c r="BA167" s="975"/>
      <c r="BB167" s="975"/>
      <c r="BC167" s="975"/>
      <c r="BD167" s="975"/>
      <c r="BE167" s="975"/>
      <c r="BF167" s="975"/>
      <c r="BG167" s="975"/>
      <c r="BH167" s="975"/>
      <c r="BI167" s="975"/>
      <c r="BJ167" s="975"/>
      <c r="BK167" s="975"/>
      <c r="BL167" s="975"/>
      <c r="BM167" s="975"/>
      <c r="BN167" s="975"/>
      <c r="BO167" s="975"/>
      <c r="BP167" s="975"/>
      <c r="BQ167" s="975"/>
      <c r="BR167" s="975"/>
      <c r="BS167" s="975"/>
      <c r="BT167" s="975"/>
      <c r="BU167" s="975"/>
      <c r="BV167" s="975"/>
      <c r="BW167" s="975"/>
      <c r="BX167" s="975"/>
      <c r="BY167" s="975"/>
      <c r="BZ167" s="975"/>
      <c r="CA167" s="975"/>
      <c r="CB167" s="975"/>
      <c r="CC167" s="975"/>
      <c r="CD167" s="975"/>
      <c r="CE167" s="1544"/>
      <c r="CF167" s="975"/>
      <c r="CG167" s="975"/>
      <c r="CH167" s="975"/>
      <c r="CI167" s="975"/>
      <c r="CJ167" s="975"/>
      <c r="CK167" s="975"/>
      <c r="CL167" s="975"/>
      <c r="CM167" s="975"/>
      <c r="CN167" s="975"/>
      <c r="CO167" s="975"/>
      <c r="CP167" s="975"/>
      <c r="CQ167" s="975"/>
      <c r="CR167" s="975"/>
      <c r="CS167" s="975"/>
      <c r="CT167" s="975"/>
      <c r="CU167" s="975"/>
      <c r="CV167" s="975"/>
      <c r="CW167" s="975"/>
      <c r="CX167" s="975"/>
      <c r="CY167" s="1558"/>
      <c r="CZ167" s="975"/>
      <c r="DA167" s="975"/>
      <c r="DB167" s="975"/>
      <c r="DC167" s="975"/>
      <c r="DD167" s="975"/>
      <c r="DE167" s="975"/>
      <c r="DF167" s="975"/>
      <c r="DG167" s="975"/>
      <c r="DH167" s="975"/>
      <c r="DI167" s="975"/>
      <c r="DJ167" s="975"/>
      <c r="DK167" s="975"/>
      <c r="DL167" s="975"/>
      <c r="DM167" s="975"/>
      <c r="DN167" s="975"/>
      <c r="DO167" s="975"/>
      <c r="DP167" s="975"/>
      <c r="DQ167" s="975"/>
      <c r="DR167" s="975"/>
      <c r="DS167" s="975"/>
      <c r="DT167" s="975"/>
      <c r="DU167" s="975"/>
      <c r="DV167" s="1559"/>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51"/>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4"/>
      <c r="CF168" s="607"/>
      <c r="CG168" s="607"/>
      <c r="CH168" s="607"/>
      <c r="CI168" s="607"/>
      <c r="CJ168" s="607"/>
      <c r="CK168" s="607"/>
      <c r="CL168" s="607"/>
      <c r="CM168" s="607"/>
      <c r="CN168" s="607"/>
      <c r="CO168" s="607"/>
      <c r="CP168" s="607"/>
      <c r="CQ168" s="607"/>
      <c r="CR168" s="607"/>
      <c r="CS168" s="607"/>
      <c r="CT168" s="607"/>
      <c r="CU168" s="607"/>
      <c r="CV168" s="607"/>
      <c r="CW168" s="607"/>
      <c r="CX168" s="607"/>
      <c r="CY168" s="785"/>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50"/>
      <c r="IR168" s="529"/>
      <c r="IS168" s="529"/>
      <c r="IT168" s="529"/>
      <c r="IU168" s="529"/>
      <c r="IV168" s="529"/>
    </row>
    <row r="169" spans="1:256" ht="17.25" hidden="1" customHeight="1">
      <c r="A169" s="1551"/>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4"/>
      <c r="CF169" s="607"/>
      <c r="CG169" s="607"/>
      <c r="CH169" s="607"/>
      <c r="CI169" s="607"/>
      <c r="CJ169" s="607"/>
      <c r="CK169" s="607"/>
      <c r="CL169" s="607"/>
      <c r="CM169" s="607"/>
      <c r="CN169" s="607"/>
      <c r="CO169" s="607"/>
      <c r="CP169" s="607"/>
      <c r="CQ169" s="607"/>
      <c r="CR169" s="607"/>
      <c r="CS169" s="607"/>
      <c r="CT169" s="607"/>
      <c r="CU169" s="607"/>
      <c r="CV169" s="607"/>
      <c r="CW169" s="607"/>
      <c r="CX169" s="607"/>
      <c r="CY169" s="785"/>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50"/>
    </row>
    <row r="170" spans="1:256" ht="17.25" hidden="1" customHeight="1">
      <c r="A170" s="1551"/>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4"/>
      <c r="CF170" s="607"/>
      <c r="CG170" s="607"/>
      <c r="CH170" s="607"/>
      <c r="CI170" s="607"/>
      <c r="CJ170" s="607"/>
      <c r="CK170" s="607"/>
      <c r="CL170" s="607"/>
      <c r="CM170" s="607"/>
      <c r="CN170" s="607"/>
      <c r="CO170" s="607"/>
      <c r="CP170" s="607"/>
      <c r="CQ170" s="607"/>
      <c r="CR170" s="607"/>
      <c r="CS170" s="607"/>
      <c r="CT170" s="607"/>
      <c r="CU170" s="607"/>
      <c r="CV170" s="607"/>
      <c r="CW170" s="607"/>
      <c r="CX170" s="607"/>
      <c r="CY170" s="785"/>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50"/>
    </row>
    <row r="171" spans="1:256" ht="17.25" hidden="1" customHeight="1">
      <c r="A171" s="1551"/>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4"/>
      <c r="CF171" s="607"/>
      <c r="CG171" s="607"/>
      <c r="CH171" s="607"/>
      <c r="CI171" s="607"/>
      <c r="CJ171" s="607"/>
      <c r="CK171" s="607"/>
      <c r="CL171" s="607"/>
      <c r="CM171" s="607"/>
      <c r="CN171" s="607"/>
      <c r="CO171" s="607"/>
      <c r="CP171" s="607"/>
      <c r="CQ171" s="607"/>
      <c r="CR171" s="607"/>
      <c r="CS171" s="607"/>
      <c r="CT171" s="607"/>
      <c r="CU171" s="607"/>
      <c r="CV171" s="607"/>
      <c r="CW171" s="607"/>
      <c r="CX171" s="607"/>
      <c r="CY171" s="785"/>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50"/>
    </row>
    <row r="172" spans="1:256" ht="17.25" hidden="1" customHeight="1">
      <c r="A172" s="1551"/>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4"/>
      <c r="CF172" s="607"/>
      <c r="CG172" s="607"/>
      <c r="CH172" s="607"/>
      <c r="CI172" s="607"/>
      <c r="CJ172" s="607"/>
      <c r="CK172" s="607"/>
      <c r="CL172" s="607"/>
      <c r="CM172" s="607"/>
      <c r="CN172" s="607"/>
      <c r="CO172" s="607"/>
      <c r="CP172" s="607"/>
      <c r="CQ172" s="607"/>
      <c r="CR172" s="607"/>
      <c r="CS172" s="607"/>
      <c r="CT172" s="607"/>
      <c r="CU172" s="607"/>
      <c r="CV172" s="607"/>
      <c r="CW172" s="607"/>
      <c r="CX172" s="607"/>
      <c r="CY172" s="785"/>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50"/>
    </row>
    <row r="173" spans="1:256" ht="17.25" hidden="1" customHeight="1">
      <c r="A173" s="1551"/>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4"/>
      <c r="CF173" s="607"/>
      <c r="CG173" s="607"/>
      <c r="CH173" s="607"/>
      <c r="CI173" s="607"/>
      <c r="CJ173" s="607"/>
      <c r="CK173" s="607"/>
      <c r="CL173" s="607"/>
      <c r="CM173" s="607"/>
      <c r="CN173" s="607"/>
      <c r="CO173" s="607"/>
      <c r="CP173" s="607"/>
      <c r="CQ173" s="607"/>
      <c r="CR173" s="607"/>
      <c r="CS173" s="607"/>
      <c r="CT173" s="607"/>
      <c r="CU173" s="607"/>
      <c r="CV173" s="607"/>
      <c r="CW173" s="607"/>
      <c r="CX173" s="607"/>
      <c r="CY173" s="785"/>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50"/>
    </row>
    <row r="174" spans="1:256" ht="17.25" hidden="1" customHeight="1">
      <c r="A174" s="1551"/>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4"/>
      <c r="CF174" s="607"/>
      <c r="CG174" s="607"/>
      <c r="CH174" s="607"/>
      <c r="CI174" s="607"/>
      <c r="CJ174" s="607"/>
      <c r="CK174" s="607"/>
      <c r="CL174" s="607"/>
      <c r="CM174" s="607"/>
      <c r="CN174" s="607"/>
      <c r="CO174" s="607"/>
      <c r="CP174" s="607"/>
      <c r="CQ174" s="607"/>
      <c r="CR174" s="607"/>
      <c r="CS174" s="607"/>
      <c r="CT174" s="607"/>
      <c r="CU174" s="607"/>
      <c r="CV174" s="607"/>
      <c r="CW174" s="607"/>
      <c r="CX174" s="607"/>
      <c r="CY174" s="785"/>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50"/>
    </row>
    <row r="175" spans="1:256" ht="17.25" hidden="1" customHeight="1">
      <c r="A175" s="1551"/>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4"/>
      <c r="CF175" s="607"/>
      <c r="CG175" s="607"/>
      <c r="CH175" s="607"/>
      <c r="CI175" s="607"/>
      <c r="CJ175" s="607"/>
      <c r="CK175" s="607"/>
      <c r="CL175" s="607"/>
      <c r="CM175" s="607"/>
      <c r="CN175" s="607"/>
      <c r="CO175" s="607"/>
      <c r="CP175" s="607"/>
      <c r="CQ175" s="607"/>
      <c r="CR175" s="607"/>
      <c r="CS175" s="607"/>
      <c r="CT175" s="607"/>
      <c r="CU175" s="607"/>
      <c r="CV175" s="607"/>
      <c r="CW175" s="607"/>
      <c r="CX175" s="607"/>
      <c r="CY175" s="785"/>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50"/>
    </row>
    <row r="176" spans="1:256" s="662" customFormat="1" ht="17.25" hidden="1" customHeight="1">
      <c r="A176" s="1551"/>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4"/>
      <c r="CF176" s="607"/>
      <c r="CG176" s="607"/>
      <c r="CH176" s="607"/>
      <c r="CI176" s="607"/>
      <c r="CJ176" s="607"/>
      <c r="CK176" s="607"/>
      <c r="CL176" s="607"/>
      <c r="CM176" s="607"/>
      <c r="CN176" s="607"/>
      <c r="CO176" s="607"/>
      <c r="CP176" s="607"/>
      <c r="CQ176" s="607"/>
      <c r="CR176" s="607"/>
      <c r="CS176" s="607"/>
      <c r="CT176" s="607"/>
      <c r="CU176" s="607"/>
      <c r="CV176" s="607"/>
      <c r="CW176" s="607"/>
      <c r="CX176" s="607"/>
      <c r="CY176" s="785"/>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50"/>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8"/>
      <c r="B177" s="1589"/>
      <c r="C177" s="1588"/>
      <c r="D177" s="1588"/>
      <c r="E177" s="1588"/>
      <c r="F177" s="1588"/>
      <c r="G177" s="1588"/>
      <c r="H177" s="1588"/>
      <c r="I177" s="1588"/>
      <c r="J177" s="1588"/>
      <c r="K177" s="1588"/>
      <c r="L177" s="1588"/>
      <c r="M177" s="1588"/>
      <c r="N177" s="1588"/>
      <c r="O177" s="1588"/>
      <c r="P177" s="1588"/>
      <c r="Q177" s="1588"/>
      <c r="R177" s="1588"/>
      <c r="S177" s="1588"/>
      <c r="T177" s="1588"/>
      <c r="U177" s="1588"/>
      <c r="V177" s="1588"/>
      <c r="W177" s="1588"/>
      <c r="X177" s="1588"/>
      <c r="Y177" s="1588"/>
      <c r="Z177" s="1588"/>
      <c r="AA177" s="1588"/>
      <c r="AB177" s="1588"/>
      <c r="AC177" s="1588"/>
      <c r="AD177" s="1588"/>
      <c r="AE177" s="1588"/>
      <c r="AF177" s="1588"/>
      <c r="AG177" s="1588"/>
      <c r="AH177" s="1588"/>
      <c r="AI177" s="1588"/>
      <c r="AJ177" s="1588"/>
      <c r="AK177" s="1588"/>
      <c r="AL177" s="1588"/>
      <c r="AM177" s="1588"/>
      <c r="AN177" s="1588"/>
      <c r="AO177" s="1588"/>
      <c r="AP177" s="1588"/>
      <c r="AQ177" s="1588"/>
      <c r="AR177" s="1588"/>
      <c r="AS177" s="1588"/>
      <c r="AT177" s="1588"/>
      <c r="AU177" s="1588"/>
      <c r="AV177" s="1588"/>
      <c r="AW177" s="1588"/>
      <c r="AX177" s="1588"/>
      <c r="AY177" s="1588"/>
      <c r="AZ177" s="1588"/>
      <c r="BA177" s="1588"/>
      <c r="BB177" s="1588"/>
      <c r="BC177" s="1588"/>
      <c r="BD177" s="1588"/>
      <c r="BE177" s="1588"/>
      <c r="BF177" s="1588"/>
      <c r="BG177" s="1588"/>
      <c r="BH177" s="1588"/>
      <c r="BI177" s="1588"/>
      <c r="BJ177" s="1588"/>
      <c r="BK177" s="1588"/>
      <c r="BL177" s="1588"/>
      <c r="BM177" s="1588"/>
      <c r="BN177" s="1588"/>
      <c r="BO177" s="1588"/>
      <c r="BP177" s="1588"/>
      <c r="BQ177" s="1588"/>
      <c r="BR177" s="1588"/>
      <c r="BS177" s="1588"/>
      <c r="BT177" s="1588"/>
      <c r="BU177" s="1588"/>
      <c r="BV177" s="1588"/>
      <c r="BW177" s="1588"/>
      <c r="BX177" s="1588"/>
      <c r="BY177" s="1588"/>
      <c r="BZ177" s="1588"/>
      <c r="CA177" s="1588"/>
      <c r="CB177" s="1588"/>
      <c r="CC177" s="1588"/>
      <c r="CD177" s="1588"/>
      <c r="CE177" s="1544"/>
      <c r="CF177" s="1588"/>
      <c r="CG177" s="1588"/>
      <c r="CH177" s="1588"/>
      <c r="CI177" s="1588"/>
      <c r="CJ177" s="1588"/>
      <c r="CK177" s="1588"/>
      <c r="CL177" s="1588"/>
      <c r="CM177" s="1588"/>
      <c r="CN177" s="1588"/>
      <c r="CO177" s="1588"/>
      <c r="CP177" s="1588"/>
      <c r="CQ177" s="1588"/>
      <c r="CR177" s="1588"/>
      <c r="CS177" s="1588"/>
      <c r="CT177" s="1588"/>
      <c r="CU177" s="1588"/>
      <c r="CV177" s="1588"/>
      <c r="CW177" s="1588"/>
      <c r="CX177" s="1588"/>
      <c r="CY177" s="1555"/>
      <c r="CZ177" s="1588"/>
      <c r="DA177" s="1588"/>
      <c r="DB177" s="1588"/>
      <c r="DC177" s="1588"/>
      <c r="DD177" s="1588"/>
      <c r="DE177" s="1588"/>
      <c r="DF177" s="1588"/>
      <c r="DG177" s="1588"/>
      <c r="DH177" s="1588"/>
      <c r="DI177" s="1588"/>
      <c r="DJ177" s="1588"/>
      <c r="DK177" s="1588"/>
      <c r="DL177" s="1588"/>
      <c r="DM177" s="1588"/>
      <c r="DN177" s="1588"/>
      <c r="DO177" s="1588"/>
      <c r="DP177" s="1588"/>
      <c r="DQ177" s="1588"/>
      <c r="DR177" s="1588"/>
      <c r="DS177" s="1588"/>
      <c r="DT177" s="1588"/>
      <c r="DU177" s="1590"/>
      <c r="DV177" s="1591"/>
    </row>
    <row r="178" spans="1:256" s="532" customFormat="1" ht="18" hidden="1" customHeight="1">
      <c r="A178" s="1560"/>
      <c r="B178" s="975"/>
      <c r="C178" s="975"/>
      <c r="D178" s="975"/>
      <c r="E178" s="975"/>
      <c r="F178" s="975"/>
      <c r="G178" s="975"/>
      <c r="H178" s="975"/>
      <c r="I178" s="975"/>
      <c r="J178" s="975"/>
      <c r="K178" s="975"/>
      <c r="L178" s="975"/>
      <c r="M178" s="975"/>
      <c r="N178" s="975"/>
      <c r="O178" s="975"/>
      <c r="P178" s="975"/>
      <c r="Q178" s="975"/>
      <c r="R178" s="975"/>
      <c r="S178" s="975"/>
      <c r="T178" s="975"/>
      <c r="U178" s="975"/>
      <c r="V178" s="975"/>
      <c r="W178" s="975"/>
      <c r="X178" s="975"/>
      <c r="Y178" s="975"/>
      <c r="Z178" s="975"/>
      <c r="AA178" s="975"/>
      <c r="AB178" s="975"/>
      <c r="AC178" s="975"/>
      <c r="AD178" s="975"/>
      <c r="AE178" s="975"/>
      <c r="AF178" s="975"/>
      <c r="AG178" s="975"/>
      <c r="AH178" s="975"/>
      <c r="AI178" s="975"/>
      <c r="AJ178" s="975"/>
      <c r="AK178" s="975"/>
      <c r="AL178" s="975"/>
      <c r="AM178" s="975"/>
      <c r="AN178" s="975"/>
      <c r="AO178" s="975"/>
      <c r="AP178" s="975"/>
      <c r="AQ178" s="975"/>
      <c r="AR178" s="975"/>
      <c r="AS178" s="975"/>
      <c r="AT178" s="975"/>
      <c r="AU178" s="975"/>
      <c r="AV178" s="975"/>
      <c r="AW178" s="975"/>
      <c r="AX178" s="975"/>
      <c r="AY178" s="975"/>
      <c r="AZ178" s="975"/>
      <c r="BA178" s="975"/>
      <c r="BB178" s="975"/>
      <c r="BC178" s="975"/>
      <c r="BD178" s="975"/>
      <c r="BE178" s="975"/>
      <c r="BF178" s="975"/>
      <c r="BG178" s="975"/>
      <c r="BH178" s="975"/>
      <c r="BI178" s="975"/>
      <c r="BJ178" s="975"/>
      <c r="BK178" s="975"/>
      <c r="BL178" s="975"/>
      <c r="BM178" s="975"/>
      <c r="BN178" s="975"/>
      <c r="BO178" s="975"/>
      <c r="BP178" s="975"/>
      <c r="BQ178" s="975"/>
      <c r="BR178" s="975"/>
      <c r="BS178" s="975"/>
      <c r="BT178" s="975"/>
      <c r="BU178" s="975"/>
      <c r="BV178" s="975"/>
      <c r="BW178" s="975"/>
      <c r="BX178" s="975"/>
      <c r="BY178" s="975"/>
      <c r="BZ178" s="975"/>
      <c r="CA178" s="975"/>
      <c r="CB178" s="975"/>
      <c r="CC178" s="975"/>
      <c r="CD178" s="975"/>
      <c r="CE178" s="1544"/>
      <c r="CF178" s="975"/>
      <c r="CG178" s="975"/>
      <c r="CH178" s="975"/>
      <c r="CI178" s="975"/>
      <c r="CJ178" s="975"/>
      <c r="CK178" s="975"/>
      <c r="CL178" s="975"/>
      <c r="CM178" s="975"/>
      <c r="CN178" s="975"/>
      <c r="CO178" s="975"/>
      <c r="CP178" s="975"/>
      <c r="CQ178" s="975"/>
      <c r="CR178" s="975"/>
      <c r="CS178" s="975"/>
      <c r="CT178" s="975"/>
      <c r="CU178" s="975"/>
      <c r="CV178" s="975"/>
      <c r="CW178" s="975"/>
      <c r="CX178" s="975"/>
      <c r="CY178" s="1558"/>
      <c r="CZ178" s="975"/>
      <c r="DA178" s="975"/>
      <c r="DB178" s="975"/>
      <c r="DC178" s="975"/>
      <c r="DD178" s="975"/>
      <c r="DE178" s="975"/>
      <c r="DF178" s="975"/>
      <c r="DG178" s="975"/>
      <c r="DH178" s="975"/>
      <c r="DI178" s="975"/>
      <c r="DJ178" s="975"/>
      <c r="DK178" s="975"/>
      <c r="DL178" s="975"/>
      <c r="DM178" s="975"/>
      <c r="DN178" s="975"/>
      <c r="DO178" s="975"/>
      <c r="DP178" s="975"/>
      <c r="DQ178" s="975"/>
      <c r="DR178" s="975"/>
      <c r="DS178" s="975"/>
      <c r="DT178" s="975"/>
      <c r="DU178" s="975"/>
      <c r="DV178" s="1559"/>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51"/>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4"/>
      <c r="CF179" s="607"/>
      <c r="CG179" s="607"/>
      <c r="CH179" s="607"/>
      <c r="CI179" s="607"/>
      <c r="CJ179" s="607"/>
      <c r="CK179" s="607"/>
      <c r="CL179" s="607"/>
      <c r="CM179" s="607"/>
      <c r="CN179" s="607"/>
      <c r="CO179" s="607"/>
      <c r="CP179" s="607"/>
      <c r="CQ179" s="607"/>
      <c r="CR179" s="607"/>
      <c r="CS179" s="607"/>
      <c r="CT179" s="607"/>
      <c r="CU179" s="607"/>
      <c r="CV179" s="607"/>
      <c r="CW179" s="607"/>
      <c r="CX179" s="607"/>
      <c r="CY179" s="785"/>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50"/>
      <c r="IR179" s="529"/>
      <c r="IS179" s="529"/>
      <c r="IT179" s="529"/>
      <c r="IU179" s="529"/>
      <c r="IV179" s="529"/>
    </row>
    <row r="180" spans="1:256" ht="17.25" hidden="1" customHeight="1">
      <c r="A180" s="1551"/>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4"/>
      <c r="CF180" s="607"/>
      <c r="CG180" s="607"/>
      <c r="CH180" s="607"/>
      <c r="CI180" s="607"/>
      <c r="CJ180" s="607"/>
      <c r="CK180" s="607"/>
      <c r="CL180" s="607"/>
      <c r="CM180" s="607"/>
      <c r="CN180" s="607"/>
      <c r="CO180" s="607"/>
      <c r="CP180" s="607"/>
      <c r="CQ180" s="607"/>
      <c r="CR180" s="607"/>
      <c r="CS180" s="607"/>
      <c r="CT180" s="607"/>
      <c r="CU180" s="607"/>
      <c r="CV180" s="607"/>
      <c r="CW180" s="607"/>
      <c r="CX180" s="607"/>
      <c r="CY180" s="785"/>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50"/>
    </row>
    <row r="181" spans="1:256" ht="17.25" hidden="1" customHeight="1">
      <c r="A181" s="1551"/>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4"/>
      <c r="CF181" s="607"/>
      <c r="CG181" s="607"/>
      <c r="CH181" s="607"/>
      <c r="CI181" s="607"/>
      <c r="CJ181" s="607"/>
      <c r="CK181" s="607"/>
      <c r="CL181" s="607"/>
      <c r="CM181" s="607"/>
      <c r="CN181" s="607"/>
      <c r="CO181" s="607"/>
      <c r="CP181" s="607"/>
      <c r="CQ181" s="607"/>
      <c r="CR181" s="607"/>
      <c r="CS181" s="607"/>
      <c r="CT181" s="607"/>
      <c r="CU181" s="607"/>
      <c r="CV181" s="607"/>
      <c r="CW181" s="607"/>
      <c r="CX181" s="607"/>
      <c r="CY181" s="785"/>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50"/>
    </row>
    <row r="182" spans="1:256" ht="17.25" hidden="1" customHeight="1">
      <c r="A182" s="1551"/>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4"/>
      <c r="CF182" s="607"/>
      <c r="CG182" s="607"/>
      <c r="CH182" s="607"/>
      <c r="CI182" s="607"/>
      <c r="CJ182" s="607"/>
      <c r="CK182" s="607"/>
      <c r="CL182" s="607"/>
      <c r="CM182" s="607"/>
      <c r="CN182" s="607"/>
      <c r="CO182" s="607"/>
      <c r="CP182" s="607"/>
      <c r="CQ182" s="607"/>
      <c r="CR182" s="607"/>
      <c r="CS182" s="607"/>
      <c r="CT182" s="607"/>
      <c r="CU182" s="607"/>
      <c r="CV182" s="607"/>
      <c r="CW182" s="607"/>
      <c r="CX182" s="607"/>
      <c r="CY182" s="785"/>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50"/>
    </row>
    <row r="183" spans="1:256" ht="17.25" hidden="1" customHeight="1">
      <c r="A183" s="1551"/>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4"/>
      <c r="CF183" s="607"/>
      <c r="CG183" s="607"/>
      <c r="CH183" s="607"/>
      <c r="CI183" s="607"/>
      <c r="CJ183" s="607"/>
      <c r="CK183" s="607"/>
      <c r="CL183" s="607"/>
      <c r="CM183" s="607"/>
      <c r="CN183" s="607"/>
      <c r="CO183" s="607"/>
      <c r="CP183" s="607"/>
      <c r="CQ183" s="607"/>
      <c r="CR183" s="607"/>
      <c r="CS183" s="607"/>
      <c r="CT183" s="607"/>
      <c r="CU183" s="607"/>
      <c r="CV183" s="607"/>
      <c r="CW183" s="607"/>
      <c r="CX183" s="607"/>
      <c r="CY183" s="785"/>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50"/>
    </row>
    <row r="184" spans="1:256" ht="17.25" hidden="1" customHeight="1">
      <c r="A184" s="1551"/>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4"/>
      <c r="CF184" s="607"/>
      <c r="CG184" s="607"/>
      <c r="CH184" s="607"/>
      <c r="CI184" s="607"/>
      <c r="CJ184" s="607"/>
      <c r="CK184" s="607"/>
      <c r="CL184" s="607"/>
      <c r="CM184" s="607"/>
      <c r="CN184" s="607"/>
      <c r="CO184" s="607"/>
      <c r="CP184" s="607"/>
      <c r="CQ184" s="607"/>
      <c r="CR184" s="607"/>
      <c r="CS184" s="607"/>
      <c r="CT184" s="607"/>
      <c r="CU184" s="607"/>
      <c r="CV184" s="607"/>
      <c r="CW184" s="607"/>
      <c r="CX184" s="607"/>
      <c r="CY184" s="785"/>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50"/>
    </row>
    <row r="185" spans="1:256" ht="17.25" hidden="1" customHeight="1">
      <c r="A185" s="1551"/>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4"/>
      <c r="CF185" s="607"/>
      <c r="CG185" s="607"/>
      <c r="CH185" s="607"/>
      <c r="CI185" s="607"/>
      <c r="CJ185" s="607"/>
      <c r="CK185" s="607"/>
      <c r="CL185" s="607"/>
      <c r="CM185" s="607"/>
      <c r="CN185" s="607"/>
      <c r="CO185" s="607"/>
      <c r="CP185" s="607"/>
      <c r="CQ185" s="607"/>
      <c r="CR185" s="607"/>
      <c r="CS185" s="607"/>
      <c r="CT185" s="607"/>
      <c r="CU185" s="607"/>
      <c r="CV185" s="607"/>
      <c r="CW185" s="607"/>
      <c r="CX185" s="607"/>
      <c r="CY185" s="785"/>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50"/>
    </row>
    <row r="186" spans="1:256" s="662" customFormat="1" ht="17.25" hidden="1" customHeight="1">
      <c r="A186" s="1551"/>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4"/>
      <c r="CF186" s="607"/>
      <c r="CG186" s="607"/>
      <c r="CH186" s="607"/>
      <c r="CI186" s="607"/>
      <c r="CJ186" s="607"/>
      <c r="CK186" s="607"/>
      <c r="CL186" s="607"/>
      <c r="CM186" s="607"/>
      <c r="CN186" s="607"/>
      <c r="CO186" s="607"/>
      <c r="CP186" s="607"/>
      <c r="CQ186" s="607"/>
      <c r="CR186" s="607"/>
      <c r="CS186" s="607"/>
      <c r="CT186" s="607"/>
      <c r="CU186" s="607"/>
      <c r="CV186" s="607"/>
      <c r="CW186" s="607"/>
      <c r="CX186" s="607"/>
      <c r="CY186" s="785"/>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50"/>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8"/>
      <c r="B187" s="1589"/>
      <c r="C187" s="1588"/>
      <c r="D187" s="1588"/>
      <c r="E187" s="1588"/>
      <c r="F187" s="1588"/>
      <c r="G187" s="1588"/>
      <c r="H187" s="1588"/>
      <c r="I187" s="1588"/>
      <c r="J187" s="1588"/>
      <c r="K187" s="1588"/>
      <c r="L187" s="1588"/>
      <c r="M187" s="1588"/>
      <c r="N187" s="1588"/>
      <c r="O187" s="1588"/>
      <c r="P187" s="1588"/>
      <c r="Q187" s="1588"/>
      <c r="R187" s="1588"/>
      <c r="S187" s="1588"/>
      <c r="T187" s="1588"/>
      <c r="U187" s="1588"/>
      <c r="V187" s="1588"/>
      <c r="W187" s="1588"/>
      <c r="X187" s="1588"/>
      <c r="Y187" s="1588"/>
      <c r="Z187" s="1588"/>
      <c r="AA187" s="1588"/>
      <c r="AB187" s="1588"/>
      <c r="AC187" s="1588"/>
      <c r="AD187" s="1588"/>
      <c r="AE187" s="1588"/>
      <c r="AF187" s="1588"/>
      <c r="AG187" s="1588"/>
      <c r="AH187" s="1588"/>
      <c r="AI187" s="1588"/>
      <c r="AJ187" s="1588"/>
      <c r="AK187" s="1588"/>
      <c r="AL187" s="1588"/>
      <c r="AM187" s="1588"/>
      <c r="AN187" s="1588"/>
      <c r="AO187" s="1588"/>
      <c r="AP187" s="1588"/>
      <c r="AQ187" s="1588"/>
      <c r="AR187" s="1588"/>
      <c r="AS187" s="1588"/>
      <c r="AT187" s="1588"/>
      <c r="AU187" s="1588"/>
      <c r="AV187" s="1588"/>
      <c r="AW187" s="1588"/>
      <c r="AX187" s="1588"/>
      <c r="AY187" s="1588"/>
      <c r="AZ187" s="1588"/>
      <c r="BA187" s="1588"/>
      <c r="BB187" s="1588"/>
      <c r="BC187" s="1588"/>
      <c r="BD187" s="1588"/>
      <c r="BE187" s="1588"/>
      <c r="BF187" s="1588"/>
      <c r="BG187" s="1588"/>
      <c r="BH187" s="1588"/>
      <c r="BI187" s="1588"/>
      <c r="BJ187" s="1588"/>
      <c r="BK187" s="1588"/>
      <c r="BL187" s="1588"/>
      <c r="BM187" s="1588"/>
      <c r="BN187" s="1588"/>
      <c r="BO187" s="1588"/>
      <c r="BP187" s="1588"/>
      <c r="BQ187" s="1588"/>
      <c r="BR187" s="1588"/>
      <c r="BS187" s="1588"/>
      <c r="BT187" s="1588"/>
      <c r="BU187" s="1588"/>
      <c r="BV187" s="1588"/>
      <c r="BW187" s="1588"/>
      <c r="BX187" s="1588"/>
      <c r="BY187" s="1588"/>
      <c r="BZ187" s="1588"/>
      <c r="CA187" s="1588"/>
      <c r="CB187" s="1588"/>
      <c r="CC187" s="1588"/>
      <c r="CD187" s="1588"/>
      <c r="CE187" s="1544"/>
      <c r="CF187" s="1588"/>
      <c r="CG187" s="1588"/>
      <c r="CH187" s="1588"/>
      <c r="CI187" s="1588"/>
      <c r="CJ187" s="1588"/>
      <c r="CK187" s="1588"/>
      <c r="CL187" s="1588"/>
      <c r="CM187" s="1588"/>
      <c r="CN187" s="1588"/>
      <c r="CO187" s="1588"/>
      <c r="CP187" s="1588"/>
      <c r="CQ187" s="1588"/>
      <c r="CR187" s="1588"/>
      <c r="CS187" s="1588"/>
      <c r="CT187" s="1588"/>
      <c r="CU187" s="1588"/>
      <c r="CV187" s="1588"/>
      <c r="CW187" s="1588"/>
      <c r="CX187" s="1588"/>
      <c r="CY187" s="1555"/>
      <c r="CZ187" s="1588"/>
      <c r="DA187" s="1588"/>
      <c r="DB187" s="1588"/>
      <c r="DC187" s="1588"/>
      <c r="DD187" s="1588"/>
      <c r="DE187" s="1588"/>
      <c r="DF187" s="1588"/>
      <c r="DG187" s="1588"/>
      <c r="DH187" s="1588"/>
      <c r="DI187" s="1588"/>
      <c r="DJ187" s="1588"/>
      <c r="DK187" s="1588"/>
      <c r="DL187" s="1588"/>
      <c r="DM187" s="1588"/>
      <c r="DN187" s="1588"/>
      <c r="DO187" s="1588"/>
      <c r="DP187" s="1588"/>
      <c r="DQ187" s="1588"/>
      <c r="DR187" s="1588"/>
      <c r="DS187" s="1588"/>
      <c r="DT187" s="1588"/>
      <c r="DU187" s="1590"/>
      <c r="DV187" s="1591"/>
    </row>
    <row r="188" spans="1:256" s="532" customFormat="1" ht="18" hidden="1" customHeight="1">
      <c r="A188" s="1560"/>
      <c r="B188" s="975"/>
      <c r="C188" s="975"/>
      <c r="D188" s="975"/>
      <c r="E188" s="975"/>
      <c r="F188" s="975"/>
      <c r="G188" s="975"/>
      <c r="H188" s="975"/>
      <c r="I188" s="975"/>
      <c r="J188" s="975"/>
      <c r="K188" s="975"/>
      <c r="L188" s="975"/>
      <c r="M188" s="975"/>
      <c r="N188" s="975"/>
      <c r="O188" s="975"/>
      <c r="P188" s="975"/>
      <c r="Q188" s="975"/>
      <c r="R188" s="975"/>
      <c r="S188" s="975"/>
      <c r="T188" s="975"/>
      <c r="U188" s="975"/>
      <c r="V188" s="975"/>
      <c r="W188" s="975"/>
      <c r="X188" s="975"/>
      <c r="Y188" s="975"/>
      <c r="Z188" s="975"/>
      <c r="AA188" s="975"/>
      <c r="AB188" s="975"/>
      <c r="AC188" s="975"/>
      <c r="AD188" s="975"/>
      <c r="AE188" s="975"/>
      <c r="AF188" s="975"/>
      <c r="AG188" s="975"/>
      <c r="AH188" s="975"/>
      <c r="AI188" s="975"/>
      <c r="AJ188" s="975"/>
      <c r="AK188" s="975"/>
      <c r="AL188" s="975"/>
      <c r="AM188" s="975"/>
      <c r="AN188" s="975"/>
      <c r="AO188" s="975"/>
      <c r="AP188" s="975"/>
      <c r="AQ188" s="975"/>
      <c r="AR188" s="975"/>
      <c r="AS188" s="975"/>
      <c r="AT188" s="975"/>
      <c r="AU188" s="975"/>
      <c r="AV188" s="975"/>
      <c r="AW188" s="975"/>
      <c r="AX188" s="975"/>
      <c r="AY188" s="975"/>
      <c r="AZ188" s="975"/>
      <c r="BA188" s="975"/>
      <c r="BB188" s="975"/>
      <c r="BC188" s="975"/>
      <c r="BD188" s="975"/>
      <c r="BE188" s="975"/>
      <c r="BF188" s="975"/>
      <c r="BG188" s="975"/>
      <c r="BH188" s="975"/>
      <c r="BI188" s="975"/>
      <c r="BJ188" s="975"/>
      <c r="BK188" s="975"/>
      <c r="BL188" s="975"/>
      <c r="BM188" s="975"/>
      <c r="BN188" s="975"/>
      <c r="BO188" s="975"/>
      <c r="BP188" s="975"/>
      <c r="BQ188" s="975"/>
      <c r="BR188" s="975"/>
      <c r="BS188" s="975"/>
      <c r="BT188" s="975"/>
      <c r="BU188" s="975"/>
      <c r="BV188" s="975"/>
      <c r="BW188" s="975"/>
      <c r="BX188" s="975"/>
      <c r="BY188" s="975"/>
      <c r="BZ188" s="975"/>
      <c r="CA188" s="975"/>
      <c r="CB188" s="975"/>
      <c r="CC188" s="975"/>
      <c r="CD188" s="975"/>
      <c r="CE188" s="1544"/>
      <c r="CF188" s="975"/>
      <c r="CG188" s="975"/>
      <c r="CH188" s="975"/>
      <c r="CI188" s="975"/>
      <c r="CJ188" s="975"/>
      <c r="CK188" s="975"/>
      <c r="CL188" s="975"/>
      <c r="CM188" s="975"/>
      <c r="CN188" s="975"/>
      <c r="CO188" s="975"/>
      <c r="CP188" s="975"/>
      <c r="CQ188" s="975"/>
      <c r="CR188" s="975"/>
      <c r="CS188" s="975"/>
      <c r="CT188" s="975"/>
      <c r="CU188" s="975"/>
      <c r="CV188" s="975"/>
      <c r="CW188" s="975"/>
      <c r="CX188" s="975"/>
      <c r="CY188" s="1558"/>
      <c r="CZ188" s="975"/>
      <c r="DA188" s="975"/>
      <c r="DB188" s="975"/>
      <c r="DC188" s="975"/>
      <c r="DD188" s="975"/>
      <c r="DE188" s="975"/>
      <c r="DF188" s="975"/>
      <c r="DG188" s="975"/>
      <c r="DH188" s="975"/>
      <c r="DI188" s="975"/>
      <c r="DJ188" s="975"/>
      <c r="DK188" s="975"/>
      <c r="DL188" s="975"/>
      <c r="DM188" s="975"/>
      <c r="DN188" s="975"/>
      <c r="DO188" s="975"/>
      <c r="DP188" s="975"/>
      <c r="DQ188" s="975"/>
      <c r="DR188" s="975"/>
      <c r="DS188" s="975"/>
      <c r="DT188" s="975"/>
      <c r="DU188" s="975"/>
      <c r="DV188" s="1559"/>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51"/>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4"/>
      <c r="CF189" s="607"/>
      <c r="CG189" s="607"/>
      <c r="CH189" s="607"/>
      <c r="CI189" s="607"/>
      <c r="CJ189" s="607"/>
      <c r="CK189" s="607"/>
      <c r="CL189" s="607"/>
      <c r="CM189" s="607"/>
      <c r="CN189" s="607"/>
      <c r="CO189" s="607"/>
      <c r="CP189" s="607"/>
      <c r="CQ189" s="607"/>
      <c r="CR189" s="607"/>
      <c r="CS189" s="607"/>
      <c r="CT189" s="607"/>
      <c r="CU189" s="607"/>
      <c r="CV189" s="607"/>
      <c r="CW189" s="607"/>
      <c r="CX189" s="607"/>
      <c r="CY189" s="785"/>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50"/>
      <c r="IR189" s="529"/>
      <c r="IS189" s="529"/>
      <c r="IT189" s="529"/>
      <c r="IU189" s="529"/>
      <c r="IV189" s="529"/>
    </row>
    <row r="190" spans="1:256" ht="17.25" hidden="1" customHeight="1">
      <c r="A190" s="1551"/>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4"/>
      <c r="CF190" s="607"/>
      <c r="CG190" s="607"/>
      <c r="CH190" s="607"/>
      <c r="CI190" s="607"/>
      <c r="CJ190" s="607"/>
      <c r="CK190" s="607"/>
      <c r="CL190" s="607"/>
      <c r="CM190" s="607"/>
      <c r="CN190" s="607"/>
      <c r="CO190" s="607"/>
      <c r="CP190" s="607"/>
      <c r="CQ190" s="607"/>
      <c r="CR190" s="607"/>
      <c r="CS190" s="607"/>
      <c r="CT190" s="607"/>
      <c r="CU190" s="607"/>
      <c r="CV190" s="607"/>
      <c r="CW190" s="607"/>
      <c r="CX190" s="607"/>
      <c r="CY190" s="785"/>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50"/>
    </row>
    <row r="191" spans="1:256" ht="17.25" hidden="1" customHeight="1">
      <c r="A191" s="1551"/>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4"/>
      <c r="CF191" s="607"/>
      <c r="CG191" s="607"/>
      <c r="CH191" s="607"/>
      <c r="CI191" s="607"/>
      <c r="CJ191" s="607"/>
      <c r="CK191" s="607"/>
      <c r="CL191" s="607"/>
      <c r="CM191" s="607"/>
      <c r="CN191" s="607"/>
      <c r="CO191" s="607"/>
      <c r="CP191" s="607"/>
      <c r="CQ191" s="607"/>
      <c r="CR191" s="607"/>
      <c r="CS191" s="607"/>
      <c r="CT191" s="607"/>
      <c r="CU191" s="607"/>
      <c r="CV191" s="607"/>
      <c r="CW191" s="607"/>
      <c r="CX191" s="607"/>
      <c r="CY191" s="785"/>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50"/>
    </row>
    <row r="192" spans="1:256" ht="17.25" hidden="1" customHeight="1">
      <c r="A192" s="1551"/>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4"/>
      <c r="CF192" s="607"/>
      <c r="CG192" s="607"/>
      <c r="CH192" s="607"/>
      <c r="CI192" s="607"/>
      <c r="CJ192" s="607"/>
      <c r="CK192" s="607"/>
      <c r="CL192" s="607"/>
      <c r="CM192" s="607"/>
      <c r="CN192" s="607"/>
      <c r="CO192" s="607"/>
      <c r="CP192" s="607"/>
      <c r="CQ192" s="607"/>
      <c r="CR192" s="607"/>
      <c r="CS192" s="607"/>
      <c r="CT192" s="607"/>
      <c r="CU192" s="607"/>
      <c r="CV192" s="607"/>
      <c r="CW192" s="607"/>
      <c r="CX192" s="607"/>
      <c r="CY192" s="785"/>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50"/>
    </row>
    <row r="193" spans="1:256" ht="17.25" hidden="1" customHeight="1">
      <c r="A193" s="1551"/>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4"/>
      <c r="CF193" s="607"/>
      <c r="CG193" s="607"/>
      <c r="CH193" s="607"/>
      <c r="CI193" s="607"/>
      <c r="CJ193" s="607"/>
      <c r="CK193" s="607"/>
      <c r="CL193" s="607"/>
      <c r="CM193" s="607"/>
      <c r="CN193" s="607"/>
      <c r="CO193" s="607"/>
      <c r="CP193" s="607"/>
      <c r="CQ193" s="607"/>
      <c r="CR193" s="607"/>
      <c r="CS193" s="607"/>
      <c r="CT193" s="607"/>
      <c r="CU193" s="607"/>
      <c r="CV193" s="607"/>
      <c r="CW193" s="607"/>
      <c r="CX193" s="607"/>
      <c r="CY193" s="785"/>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50"/>
    </row>
    <row r="194" spans="1:256" ht="17.25" hidden="1" customHeight="1">
      <c r="A194" s="1551"/>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4"/>
      <c r="CF194" s="607"/>
      <c r="CG194" s="607"/>
      <c r="CH194" s="607"/>
      <c r="CI194" s="607"/>
      <c r="CJ194" s="607"/>
      <c r="CK194" s="607"/>
      <c r="CL194" s="607"/>
      <c r="CM194" s="607"/>
      <c r="CN194" s="607"/>
      <c r="CO194" s="607"/>
      <c r="CP194" s="607"/>
      <c r="CQ194" s="607"/>
      <c r="CR194" s="607"/>
      <c r="CS194" s="607"/>
      <c r="CT194" s="607"/>
      <c r="CU194" s="607"/>
      <c r="CV194" s="607"/>
      <c r="CW194" s="607"/>
      <c r="CX194" s="607"/>
      <c r="CY194" s="785"/>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50"/>
    </row>
    <row r="195" spans="1:256" s="662" customFormat="1" ht="17.25" hidden="1" customHeight="1">
      <c r="A195" s="1551"/>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4"/>
      <c r="CF195" s="607"/>
      <c r="CG195" s="607"/>
      <c r="CH195" s="607"/>
      <c r="CI195" s="607"/>
      <c r="CJ195" s="607"/>
      <c r="CK195" s="607"/>
      <c r="CL195" s="607"/>
      <c r="CM195" s="607"/>
      <c r="CN195" s="607"/>
      <c r="CO195" s="607"/>
      <c r="CP195" s="607"/>
      <c r="CQ195" s="607"/>
      <c r="CR195" s="607"/>
      <c r="CS195" s="607"/>
      <c r="CT195" s="607"/>
      <c r="CU195" s="607"/>
      <c r="CV195" s="607"/>
      <c r="CW195" s="607"/>
      <c r="CX195" s="607"/>
      <c r="CY195" s="785"/>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50"/>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8"/>
      <c r="B196" s="1589"/>
      <c r="C196" s="1588"/>
      <c r="D196" s="1588"/>
      <c r="E196" s="1588"/>
      <c r="F196" s="1588"/>
      <c r="G196" s="1588"/>
      <c r="H196" s="1588"/>
      <c r="I196" s="1588"/>
      <c r="J196" s="1588"/>
      <c r="K196" s="1588"/>
      <c r="L196" s="1588"/>
      <c r="M196" s="1588"/>
      <c r="N196" s="1588"/>
      <c r="O196" s="1588"/>
      <c r="P196" s="1588"/>
      <c r="Q196" s="1588"/>
      <c r="R196" s="1588"/>
      <c r="S196" s="1588"/>
      <c r="T196" s="1588"/>
      <c r="U196" s="1588"/>
      <c r="V196" s="1588"/>
      <c r="W196" s="1588"/>
      <c r="X196" s="1588"/>
      <c r="Y196" s="1588"/>
      <c r="Z196" s="1588"/>
      <c r="AA196" s="1588"/>
      <c r="AB196" s="1588"/>
      <c r="AC196" s="1588"/>
      <c r="AD196" s="1588"/>
      <c r="AE196" s="1588"/>
      <c r="AF196" s="1588"/>
      <c r="AG196" s="1588"/>
      <c r="AH196" s="1588"/>
      <c r="AI196" s="1588"/>
      <c r="AJ196" s="1588"/>
      <c r="AK196" s="1588"/>
      <c r="AL196" s="1588"/>
      <c r="AM196" s="1588"/>
      <c r="AN196" s="1588"/>
      <c r="AO196" s="1588"/>
      <c r="AP196" s="1588"/>
      <c r="AQ196" s="1588"/>
      <c r="AR196" s="1588"/>
      <c r="AS196" s="1588"/>
      <c r="AT196" s="1588"/>
      <c r="AU196" s="1588"/>
      <c r="AV196" s="1588"/>
      <c r="AW196" s="1588"/>
      <c r="AX196" s="1588"/>
      <c r="AY196" s="1588"/>
      <c r="AZ196" s="1588"/>
      <c r="BA196" s="1588"/>
      <c r="BB196" s="1588"/>
      <c r="BC196" s="1588"/>
      <c r="BD196" s="1588"/>
      <c r="BE196" s="1588"/>
      <c r="BF196" s="1588"/>
      <c r="BG196" s="1588"/>
      <c r="BH196" s="1588"/>
      <c r="BI196" s="1588"/>
      <c r="BJ196" s="1588"/>
      <c r="BK196" s="1588"/>
      <c r="BL196" s="1588"/>
      <c r="BM196" s="1588"/>
      <c r="BN196" s="1588"/>
      <c r="BO196" s="1588"/>
      <c r="BP196" s="1588"/>
      <c r="BQ196" s="1588"/>
      <c r="BR196" s="1588"/>
      <c r="BS196" s="1588"/>
      <c r="BT196" s="1588"/>
      <c r="BU196" s="1588"/>
      <c r="BV196" s="1588"/>
      <c r="BW196" s="1588"/>
      <c r="BX196" s="1588"/>
      <c r="BY196" s="1588"/>
      <c r="BZ196" s="1588"/>
      <c r="CA196" s="1588"/>
      <c r="CB196" s="1588"/>
      <c r="CC196" s="1588"/>
      <c r="CD196" s="1588"/>
      <c r="CE196" s="1544"/>
      <c r="CF196" s="1588"/>
      <c r="CG196" s="1588"/>
      <c r="CH196" s="1588"/>
      <c r="CI196" s="1588"/>
      <c r="CJ196" s="1588"/>
      <c r="CK196" s="1588"/>
      <c r="CL196" s="1588"/>
      <c r="CM196" s="1588"/>
      <c r="CN196" s="1588"/>
      <c r="CO196" s="1588"/>
      <c r="CP196" s="1588"/>
      <c r="CQ196" s="1588"/>
      <c r="CR196" s="1588"/>
      <c r="CS196" s="1588"/>
      <c r="CT196" s="1588"/>
      <c r="CU196" s="1588"/>
      <c r="CV196" s="1588"/>
      <c r="CW196" s="1588"/>
      <c r="CX196" s="1588"/>
      <c r="CY196" s="1555"/>
      <c r="CZ196" s="1588"/>
      <c r="DA196" s="1588"/>
      <c r="DB196" s="1588"/>
      <c r="DC196" s="1588"/>
      <c r="DD196" s="1588"/>
      <c r="DE196" s="1588"/>
      <c r="DF196" s="1588"/>
      <c r="DG196" s="1588"/>
      <c r="DH196" s="1588"/>
      <c r="DI196" s="1588"/>
      <c r="DJ196" s="1588"/>
      <c r="DK196" s="1588"/>
      <c r="DL196" s="1588"/>
      <c r="DM196" s="1588"/>
      <c r="DN196" s="1588"/>
      <c r="DO196" s="1588"/>
      <c r="DP196" s="1588"/>
      <c r="DQ196" s="1588"/>
      <c r="DR196" s="1588"/>
      <c r="DS196" s="1588"/>
      <c r="DT196" s="1588"/>
      <c r="DU196" s="1590"/>
      <c r="DV196" s="1591"/>
    </row>
    <row r="197" spans="1:256" s="532" customFormat="1" ht="18" hidden="1" customHeight="1">
      <c r="A197" s="1560"/>
      <c r="B197" s="975"/>
      <c r="C197" s="975"/>
      <c r="D197" s="975"/>
      <c r="E197" s="975"/>
      <c r="F197" s="975"/>
      <c r="G197" s="975"/>
      <c r="H197" s="975"/>
      <c r="I197" s="975"/>
      <c r="J197" s="975"/>
      <c r="K197" s="975"/>
      <c r="L197" s="975"/>
      <c r="M197" s="975"/>
      <c r="N197" s="975"/>
      <c r="O197" s="975"/>
      <c r="P197" s="975"/>
      <c r="Q197" s="975"/>
      <c r="R197" s="975"/>
      <c r="S197" s="975"/>
      <c r="T197" s="975"/>
      <c r="U197" s="975"/>
      <c r="V197" s="975"/>
      <c r="W197" s="975"/>
      <c r="X197" s="975"/>
      <c r="Y197" s="975"/>
      <c r="Z197" s="975"/>
      <c r="AA197" s="975"/>
      <c r="AB197" s="975"/>
      <c r="AC197" s="975"/>
      <c r="AD197" s="975"/>
      <c r="AE197" s="975"/>
      <c r="AF197" s="975"/>
      <c r="AG197" s="975"/>
      <c r="AH197" s="975"/>
      <c r="AI197" s="975"/>
      <c r="AJ197" s="975"/>
      <c r="AK197" s="975"/>
      <c r="AL197" s="975"/>
      <c r="AM197" s="975"/>
      <c r="AN197" s="975"/>
      <c r="AO197" s="975"/>
      <c r="AP197" s="975"/>
      <c r="AQ197" s="975"/>
      <c r="AR197" s="975"/>
      <c r="AS197" s="975"/>
      <c r="AT197" s="975"/>
      <c r="AU197" s="975"/>
      <c r="AV197" s="975"/>
      <c r="AW197" s="975"/>
      <c r="AX197" s="975"/>
      <c r="AY197" s="975"/>
      <c r="AZ197" s="975"/>
      <c r="BA197" s="975"/>
      <c r="BB197" s="975"/>
      <c r="BC197" s="975"/>
      <c r="BD197" s="975"/>
      <c r="BE197" s="975"/>
      <c r="BF197" s="975"/>
      <c r="BG197" s="975"/>
      <c r="BH197" s="975"/>
      <c r="BI197" s="975"/>
      <c r="BJ197" s="975"/>
      <c r="BK197" s="975"/>
      <c r="BL197" s="975"/>
      <c r="BM197" s="975"/>
      <c r="BN197" s="975"/>
      <c r="BO197" s="975"/>
      <c r="BP197" s="975"/>
      <c r="BQ197" s="975"/>
      <c r="BR197" s="975"/>
      <c r="BS197" s="975"/>
      <c r="BT197" s="975"/>
      <c r="BU197" s="975"/>
      <c r="BV197" s="975"/>
      <c r="BW197" s="975"/>
      <c r="BX197" s="975"/>
      <c r="BY197" s="975"/>
      <c r="BZ197" s="975"/>
      <c r="CA197" s="975"/>
      <c r="CB197" s="975"/>
      <c r="CC197" s="975"/>
      <c r="CD197" s="975"/>
      <c r="CE197" s="1544"/>
      <c r="CF197" s="975"/>
      <c r="CG197" s="975"/>
      <c r="CH197" s="975"/>
      <c r="CI197" s="975"/>
      <c r="CJ197" s="975"/>
      <c r="CK197" s="975"/>
      <c r="CL197" s="975"/>
      <c r="CM197" s="975"/>
      <c r="CN197" s="975"/>
      <c r="CO197" s="975"/>
      <c r="CP197" s="975"/>
      <c r="CQ197" s="975"/>
      <c r="CR197" s="975"/>
      <c r="CS197" s="975"/>
      <c r="CT197" s="975"/>
      <c r="CU197" s="975"/>
      <c r="CV197" s="975"/>
      <c r="CW197" s="975"/>
      <c r="CX197" s="975"/>
      <c r="CY197" s="1558"/>
      <c r="CZ197" s="975"/>
      <c r="DA197" s="975"/>
      <c r="DB197" s="975"/>
      <c r="DC197" s="975"/>
      <c r="DD197" s="975"/>
      <c r="DE197" s="975"/>
      <c r="DF197" s="975"/>
      <c r="DG197" s="975"/>
      <c r="DH197" s="975"/>
      <c r="DI197" s="975"/>
      <c r="DJ197" s="975"/>
      <c r="DK197" s="975"/>
      <c r="DL197" s="975"/>
      <c r="DM197" s="975"/>
      <c r="DN197" s="975"/>
      <c r="DO197" s="975"/>
      <c r="DP197" s="975"/>
      <c r="DQ197" s="975"/>
      <c r="DR197" s="975"/>
      <c r="DS197" s="975"/>
      <c r="DT197" s="975"/>
      <c r="DU197" s="975"/>
      <c r="DV197" s="1559"/>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51"/>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4"/>
      <c r="CF198" s="607"/>
      <c r="CG198" s="607"/>
      <c r="CH198" s="607"/>
      <c r="CI198" s="607"/>
      <c r="CJ198" s="607"/>
      <c r="CK198" s="607"/>
      <c r="CL198" s="607"/>
      <c r="CM198" s="607"/>
      <c r="CN198" s="607"/>
      <c r="CO198" s="607"/>
      <c r="CP198" s="607"/>
      <c r="CQ198" s="607"/>
      <c r="CR198" s="607"/>
      <c r="CS198" s="607"/>
      <c r="CT198" s="607"/>
      <c r="CU198" s="607"/>
      <c r="CV198" s="607"/>
      <c r="CW198" s="607"/>
      <c r="CX198" s="607"/>
      <c r="CY198" s="785"/>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50"/>
      <c r="IR198" s="529"/>
      <c r="IS198" s="529"/>
      <c r="IT198" s="529"/>
      <c r="IU198" s="529"/>
      <c r="IV198" s="529"/>
    </row>
    <row r="199" spans="1:256" ht="17.25" hidden="1" customHeight="1">
      <c r="A199" s="1551"/>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4"/>
      <c r="CF199" s="607"/>
      <c r="CG199" s="607"/>
      <c r="CH199" s="607"/>
      <c r="CI199" s="607"/>
      <c r="CJ199" s="607"/>
      <c r="CK199" s="607"/>
      <c r="CL199" s="607"/>
      <c r="CM199" s="607"/>
      <c r="CN199" s="607"/>
      <c r="CO199" s="607"/>
      <c r="CP199" s="607"/>
      <c r="CQ199" s="607"/>
      <c r="CR199" s="607"/>
      <c r="CS199" s="607"/>
      <c r="CT199" s="607"/>
      <c r="CU199" s="607"/>
      <c r="CV199" s="607"/>
      <c r="CW199" s="607"/>
      <c r="CX199" s="607"/>
      <c r="CY199" s="785"/>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50"/>
    </row>
    <row r="200" spans="1:256" ht="17.25" hidden="1" customHeight="1">
      <c r="A200" s="1551"/>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4"/>
      <c r="CF200" s="607"/>
      <c r="CG200" s="607"/>
      <c r="CH200" s="607"/>
      <c r="CI200" s="607"/>
      <c r="CJ200" s="607"/>
      <c r="CK200" s="607"/>
      <c r="CL200" s="607"/>
      <c r="CM200" s="607"/>
      <c r="CN200" s="607"/>
      <c r="CO200" s="607"/>
      <c r="CP200" s="607"/>
      <c r="CQ200" s="607"/>
      <c r="CR200" s="607"/>
      <c r="CS200" s="607"/>
      <c r="CT200" s="607"/>
      <c r="CU200" s="607"/>
      <c r="CV200" s="607"/>
      <c r="CW200" s="607"/>
      <c r="CX200" s="607"/>
      <c r="CY200" s="785"/>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50"/>
    </row>
    <row r="201" spans="1:256" ht="17.25" hidden="1" customHeight="1">
      <c r="A201" s="1551"/>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4"/>
      <c r="CF201" s="607"/>
      <c r="CG201" s="607"/>
      <c r="CH201" s="607"/>
      <c r="CI201" s="607"/>
      <c r="CJ201" s="607"/>
      <c r="CK201" s="607"/>
      <c r="CL201" s="607"/>
      <c r="CM201" s="607"/>
      <c r="CN201" s="607"/>
      <c r="CO201" s="607"/>
      <c r="CP201" s="607"/>
      <c r="CQ201" s="607"/>
      <c r="CR201" s="607"/>
      <c r="CS201" s="607"/>
      <c r="CT201" s="607"/>
      <c r="CU201" s="607"/>
      <c r="CV201" s="607"/>
      <c r="CW201" s="607"/>
      <c r="CX201" s="607"/>
      <c r="CY201" s="785"/>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50"/>
    </row>
    <row r="202" spans="1:256" ht="17.25" hidden="1" customHeight="1">
      <c r="A202" s="1551"/>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4"/>
      <c r="CF202" s="607"/>
      <c r="CG202" s="607"/>
      <c r="CH202" s="607"/>
      <c r="CI202" s="607"/>
      <c r="CJ202" s="607"/>
      <c r="CK202" s="607"/>
      <c r="CL202" s="607"/>
      <c r="CM202" s="607"/>
      <c r="CN202" s="607"/>
      <c r="CO202" s="607"/>
      <c r="CP202" s="607"/>
      <c r="CQ202" s="607"/>
      <c r="CR202" s="607"/>
      <c r="CS202" s="607"/>
      <c r="CT202" s="607"/>
      <c r="CU202" s="607"/>
      <c r="CV202" s="607"/>
      <c r="CW202" s="607"/>
      <c r="CX202" s="607"/>
      <c r="CY202" s="785"/>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50"/>
    </row>
    <row r="203" spans="1:256" ht="17.25" hidden="1" customHeight="1">
      <c r="A203" s="1551"/>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4"/>
      <c r="CF203" s="607"/>
      <c r="CG203" s="607"/>
      <c r="CH203" s="607"/>
      <c r="CI203" s="607"/>
      <c r="CJ203" s="607"/>
      <c r="CK203" s="607"/>
      <c r="CL203" s="607"/>
      <c r="CM203" s="607"/>
      <c r="CN203" s="607"/>
      <c r="CO203" s="607"/>
      <c r="CP203" s="607"/>
      <c r="CQ203" s="607"/>
      <c r="CR203" s="607"/>
      <c r="CS203" s="607"/>
      <c r="CT203" s="607"/>
      <c r="CU203" s="607"/>
      <c r="CV203" s="607"/>
      <c r="CW203" s="607"/>
      <c r="CX203" s="607"/>
      <c r="CY203" s="785"/>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50"/>
    </row>
    <row r="204" spans="1:256" ht="17.25" hidden="1" customHeight="1">
      <c r="A204" s="1551"/>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4"/>
      <c r="CF204" s="607"/>
      <c r="CG204" s="607"/>
      <c r="CH204" s="607"/>
      <c r="CI204" s="607"/>
      <c r="CJ204" s="607"/>
      <c r="CK204" s="607"/>
      <c r="CL204" s="607"/>
      <c r="CM204" s="607"/>
      <c r="CN204" s="607"/>
      <c r="CO204" s="607"/>
      <c r="CP204" s="607"/>
      <c r="CQ204" s="607"/>
      <c r="CR204" s="607"/>
      <c r="CS204" s="607"/>
      <c r="CT204" s="607"/>
      <c r="CU204" s="607"/>
      <c r="CV204" s="607"/>
      <c r="CW204" s="607"/>
      <c r="CX204" s="607"/>
      <c r="CY204" s="785"/>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50"/>
    </row>
    <row r="205" spans="1:256" ht="17.25" hidden="1" customHeight="1">
      <c r="A205" s="1551"/>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4"/>
      <c r="CF205" s="607"/>
      <c r="CG205" s="607"/>
      <c r="CH205" s="607"/>
      <c r="CI205" s="607"/>
      <c r="CJ205" s="607"/>
      <c r="CK205" s="607"/>
      <c r="CL205" s="607"/>
      <c r="CM205" s="607"/>
      <c r="CN205" s="607"/>
      <c r="CO205" s="607"/>
      <c r="CP205" s="607"/>
      <c r="CQ205" s="607"/>
      <c r="CR205" s="607"/>
      <c r="CS205" s="607"/>
      <c r="CT205" s="607"/>
      <c r="CU205" s="607"/>
      <c r="CV205" s="607"/>
      <c r="CW205" s="607"/>
      <c r="CX205" s="607"/>
      <c r="CY205" s="785"/>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50"/>
    </row>
    <row r="206" spans="1:256" ht="17.25" hidden="1" customHeight="1">
      <c r="A206" s="1551"/>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4"/>
      <c r="CF206" s="607"/>
      <c r="CG206" s="607"/>
      <c r="CH206" s="607"/>
      <c r="CI206" s="607"/>
      <c r="CJ206" s="607"/>
      <c r="CK206" s="607"/>
      <c r="CL206" s="607"/>
      <c r="CM206" s="607"/>
      <c r="CN206" s="607"/>
      <c r="CO206" s="607"/>
      <c r="CP206" s="607"/>
      <c r="CQ206" s="607"/>
      <c r="CR206" s="607"/>
      <c r="CS206" s="607"/>
      <c r="CT206" s="607"/>
      <c r="CU206" s="607"/>
      <c r="CV206" s="607"/>
      <c r="CW206" s="607"/>
      <c r="CX206" s="607"/>
      <c r="CY206" s="785"/>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50"/>
    </row>
    <row r="207" spans="1:256" ht="17.25" hidden="1" customHeight="1">
      <c r="A207" s="1551"/>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4"/>
      <c r="CF207" s="607"/>
      <c r="CG207" s="607"/>
      <c r="CH207" s="607"/>
      <c r="CI207" s="607"/>
      <c r="CJ207" s="607"/>
      <c r="CK207" s="607"/>
      <c r="CL207" s="607"/>
      <c r="CM207" s="607"/>
      <c r="CN207" s="607"/>
      <c r="CO207" s="607"/>
      <c r="CP207" s="607"/>
      <c r="CQ207" s="607"/>
      <c r="CR207" s="607"/>
      <c r="CS207" s="607"/>
      <c r="CT207" s="607"/>
      <c r="CU207" s="607"/>
      <c r="CV207" s="607"/>
      <c r="CW207" s="607"/>
      <c r="CX207" s="607"/>
      <c r="CY207" s="785"/>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50"/>
    </row>
    <row r="208" spans="1:256" s="662" customFormat="1" ht="17.25" hidden="1" customHeight="1">
      <c r="A208" s="1551"/>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4"/>
      <c r="CF208" s="607"/>
      <c r="CG208" s="607"/>
      <c r="CH208" s="607"/>
      <c r="CI208" s="607"/>
      <c r="CJ208" s="607"/>
      <c r="CK208" s="607"/>
      <c r="CL208" s="607"/>
      <c r="CM208" s="607"/>
      <c r="CN208" s="607"/>
      <c r="CO208" s="607"/>
      <c r="CP208" s="607"/>
      <c r="CQ208" s="607"/>
      <c r="CR208" s="607"/>
      <c r="CS208" s="607"/>
      <c r="CT208" s="607"/>
      <c r="CU208" s="607"/>
      <c r="CV208" s="607"/>
      <c r="CW208" s="607"/>
      <c r="CX208" s="607"/>
      <c r="CY208" s="785"/>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50"/>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8"/>
      <c r="B209" s="1589"/>
      <c r="C209" s="1588"/>
      <c r="D209" s="1588"/>
      <c r="E209" s="1588"/>
      <c r="F209" s="1588"/>
      <c r="G209" s="1588"/>
      <c r="H209" s="1588"/>
      <c r="I209" s="1588"/>
      <c r="J209" s="1588"/>
      <c r="K209" s="1588"/>
      <c r="L209" s="1588"/>
      <c r="M209" s="1588"/>
      <c r="N209" s="1588"/>
      <c r="O209" s="1588"/>
      <c r="P209" s="1588"/>
      <c r="Q209" s="1588"/>
      <c r="R209" s="1588"/>
      <c r="S209" s="1588"/>
      <c r="T209" s="1588"/>
      <c r="U209" s="1588"/>
      <c r="V209" s="1588"/>
      <c r="W209" s="1588"/>
      <c r="X209" s="1588"/>
      <c r="Y209" s="1588"/>
      <c r="Z209" s="1588"/>
      <c r="AA209" s="1588"/>
      <c r="AB209" s="1588"/>
      <c r="AC209" s="1588"/>
      <c r="AD209" s="1588"/>
      <c r="AE209" s="1588"/>
      <c r="AF209" s="1588"/>
      <c r="AG209" s="1588"/>
      <c r="AH209" s="1588"/>
      <c r="AI209" s="1588"/>
      <c r="AJ209" s="1588"/>
      <c r="AK209" s="1588"/>
      <c r="AL209" s="1588"/>
      <c r="AM209" s="1588"/>
      <c r="AN209" s="1588"/>
      <c r="AO209" s="1588"/>
      <c r="AP209" s="1588"/>
      <c r="AQ209" s="1588"/>
      <c r="AR209" s="1588"/>
      <c r="AS209" s="1588"/>
      <c r="AT209" s="1588"/>
      <c r="AU209" s="1588"/>
      <c r="AV209" s="1588"/>
      <c r="AW209" s="1588"/>
      <c r="AX209" s="1588"/>
      <c r="AY209" s="1588"/>
      <c r="AZ209" s="1588"/>
      <c r="BA209" s="1588"/>
      <c r="BB209" s="1588"/>
      <c r="BC209" s="1588"/>
      <c r="BD209" s="1588"/>
      <c r="BE209" s="1588"/>
      <c r="BF209" s="1588"/>
      <c r="BG209" s="1588"/>
      <c r="BH209" s="1588"/>
      <c r="BI209" s="1588"/>
      <c r="BJ209" s="1588"/>
      <c r="BK209" s="1588"/>
      <c r="BL209" s="1588"/>
      <c r="BM209" s="1588"/>
      <c r="BN209" s="1588"/>
      <c r="BO209" s="1588"/>
      <c r="BP209" s="1588"/>
      <c r="BQ209" s="1588"/>
      <c r="BR209" s="1588"/>
      <c r="BS209" s="1588"/>
      <c r="BT209" s="1588"/>
      <c r="BU209" s="1588"/>
      <c r="BV209" s="1588"/>
      <c r="BW209" s="1588"/>
      <c r="BX209" s="1588"/>
      <c r="BY209" s="1588"/>
      <c r="BZ209" s="1588"/>
      <c r="CA209" s="1588"/>
      <c r="CB209" s="1588"/>
      <c r="CC209" s="1588"/>
      <c r="CD209" s="1588"/>
      <c r="CE209" s="1544"/>
      <c r="CF209" s="1588"/>
      <c r="CG209" s="1588"/>
      <c r="CH209" s="1588"/>
      <c r="CI209" s="1588"/>
      <c r="CJ209" s="1588"/>
      <c r="CK209" s="1588"/>
      <c r="CL209" s="1588"/>
      <c r="CM209" s="1588"/>
      <c r="CN209" s="1588"/>
      <c r="CO209" s="1588"/>
      <c r="CP209" s="1588"/>
      <c r="CQ209" s="1588"/>
      <c r="CR209" s="1588"/>
      <c r="CS209" s="1588"/>
      <c r="CT209" s="1588"/>
      <c r="CU209" s="1588"/>
      <c r="CV209" s="1588"/>
      <c r="CW209" s="1588"/>
      <c r="CX209" s="1588"/>
      <c r="CY209" s="1555"/>
      <c r="CZ209" s="1588"/>
      <c r="DA209" s="1588"/>
      <c r="DB209" s="1588"/>
      <c r="DC209" s="1588"/>
      <c r="DD209" s="1588"/>
      <c r="DE209" s="1588"/>
      <c r="DF209" s="1588"/>
      <c r="DG209" s="1588"/>
      <c r="DH209" s="1588"/>
      <c r="DI209" s="1588"/>
      <c r="DJ209" s="1588"/>
      <c r="DK209" s="1588"/>
      <c r="DL209" s="1588"/>
      <c r="DM209" s="1588"/>
      <c r="DN209" s="1588"/>
      <c r="DO209" s="1588"/>
      <c r="DP209" s="1588"/>
      <c r="DQ209" s="1588"/>
      <c r="DR209" s="1588"/>
      <c r="DS209" s="1588"/>
      <c r="DT209" s="1588"/>
      <c r="DU209" s="1590"/>
      <c r="DV209" s="1591"/>
    </row>
    <row r="210" spans="1:256" s="532" customFormat="1" ht="18" hidden="1" customHeight="1">
      <c r="A210" s="1560"/>
      <c r="B210" s="975"/>
      <c r="C210" s="975"/>
      <c r="D210" s="975"/>
      <c r="E210" s="975"/>
      <c r="F210" s="975"/>
      <c r="G210" s="975"/>
      <c r="H210" s="975"/>
      <c r="I210" s="975"/>
      <c r="J210" s="975"/>
      <c r="K210" s="975"/>
      <c r="L210" s="975"/>
      <c r="M210" s="975"/>
      <c r="N210" s="975"/>
      <c r="O210" s="975"/>
      <c r="P210" s="975"/>
      <c r="Q210" s="975"/>
      <c r="R210" s="975"/>
      <c r="S210" s="975"/>
      <c r="T210" s="975"/>
      <c r="U210" s="975"/>
      <c r="V210" s="975"/>
      <c r="W210" s="975"/>
      <c r="X210" s="975"/>
      <c r="Y210" s="975"/>
      <c r="Z210" s="975"/>
      <c r="AA210" s="975"/>
      <c r="AB210" s="975"/>
      <c r="AC210" s="975"/>
      <c r="AD210" s="975"/>
      <c r="AE210" s="975"/>
      <c r="AF210" s="975"/>
      <c r="AG210" s="975"/>
      <c r="AH210" s="975"/>
      <c r="AI210" s="975"/>
      <c r="AJ210" s="975"/>
      <c r="AK210" s="975"/>
      <c r="AL210" s="975"/>
      <c r="AM210" s="975"/>
      <c r="AN210" s="975"/>
      <c r="AO210" s="975"/>
      <c r="AP210" s="975"/>
      <c r="AQ210" s="975"/>
      <c r="AR210" s="975"/>
      <c r="AS210" s="975"/>
      <c r="AT210" s="975"/>
      <c r="AU210" s="975"/>
      <c r="AV210" s="975"/>
      <c r="AW210" s="975"/>
      <c r="AX210" s="975"/>
      <c r="AY210" s="975"/>
      <c r="AZ210" s="975"/>
      <c r="BA210" s="975"/>
      <c r="BB210" s="975"/>
      <c r="BC210" s="975"/>
      <c r="BD210" s="975"/>
      <c r="BE210" s="975"/>
      <c r="BF210" s="975"/>
      <c r="BG210" s="975"/>
      <c r="BH210" s="975"/>
      <c r="BI210" s="975"/>
      <c r="BJ210" s="975"/>
      <c r="BK210" s="975"/>
      <c r="BL210" s="975"/>
      <c r="BM210" s="975"/>
      <c r="BN210" s="975"/>
      <c r="BO210" s="975"/>
      <c r="BP210" s="975"/>
      <c r="BQ210" s="975"/>
      <c r="BR210" s="975"/>
      <c r="BS210" s="975"/>
      <c r="BT210" s="975"/>
      <c r="BU210" s="975"/>
      <c r="BV210" s="975"/>
      <c r="BW210" s="975"/>
      <c r="BX210" s="975"/>
      <c r="BY210" s="975"/>
      <c r="BZ210" s="975"/>
      <c r="CA210" s="975"/>
      <c r="CB210" s="975"/>
      <c r="CC210" s="975"/>
      <c r="CD210" s="975"/>
      <c r="CE210" s="1544"/>
      <c r="CF210" s="975"/>
      <c r="CG210" s="975"/>
      <c r="CH210" s="975"/>
      <c r="CI210" s="975"/>
      <c r="CJ210" s="975"/>
      <c r="CK210" s="975"/>
      <c r="CL210" s="975"/>
      <c r="CM210" s="975"/>
      <c r="CN210" s="975"/>
      <c r="CO210" s="975"/>
      <c r="CP210" s="975"/>
      <c r="CQ210" s="975"/>
      <c r="CR210" s="975"/>
      <c r="CS210" s="975"/>
      <c r="CT210" s="975"/>
      <c r="CU210" s="975"/>
      <c r="CV210" s="975"/>
      <c r="CW210" s="975"/>
      <c r="CX210" s="975"/>
      <c r="CY210" s="1558"/>
      <c r="CZ210" s="975"/>
      <c r="DA210" s="975"/>
      <c r="DB210" s="975"/>
      <c r="DC210" s="975"/>
      <c r="DD210" s="975"/>
      <c r="DE210" s="975"/>
      <c r="DF210" s="975"/>
      <c r="DG210" s="975"/>
      <c r="DH210" s="975"/>
      <c r="DI210" s="975"/>
      <c r="DJ210" s="975"/>
      <c r="DK210" s="975"/>
      <c r="DL210" s="975"/>
      <c r="DM210" s="975"/>
      <c r="DN210" s="975"/>
      <c r="DO210" s="975"/>
      <c r="DP210" s="975"/>
      <c r="DQ210" s="975"/>
      <c r="DR210" s="975"/>
      <c r="DS210" s="975"/>
      <c r="DT210" s="975"/>
      <c r="DU210" s="975"/>
      <c r="DV210" s="1559"/>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51"/>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4"/>
      <c r="CF211" s="607"/>
      <c r="CG211" s="607"/>
      <c r="CH211" s="607"/>
      <c r="CI211" s="607"/>
      <c r="CJ211" s="607"/>
      <c r="CK211" s="607"/>
      <c r="CL211" s="607"/>
      <c r="CM211" s="607"/>
      <c r="CN211" s="607"/>
      <c r="CO211" s="607"/>
      <c r="CP211" s="607"/>
      <c r="CQ211" s="607"/>
      <c r="CR211" s="607"/>
      <c r="CS211" s="607"/>
      <c r="CT211" s="607"/>
      <c r="CU211" s="607"/>
      <c r="CV211" s="607"/>
      <c r="CW211" s="607"/>
      <c r="CX211" s="607"/>
      <c r="CY211" s="785"/>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50"/>
      <c r="IR211" s="529"/>
      <c r="IS211" s="529"/>
      <c r="IT211" s="529"/>
      <c r="IU211" s="529"/>
      <c r="IV211" s="529"/>
    </row>
    <row r="212" spans="1:256" ht="17.25" hidden="1" customHeight="1">
      <c r="A212" s="1551"/>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4"/>
      <c r="CF212" s="607"/>
      <c r="CG212" s="607"/>
      <c r="CH212" s="607"/>
      <c r="CI212" s="607"/>
      <c r="CJ212" s="607"/>
      <c r="CK212" s="607"/>
      <c r="CL212" s="607"/>
      <c r="CM212" s="607"/>
      <c r="CN212" s="607"/>
      <c r="CO212" s="607"/>
      <c r="CP212" s="607"/>
      <c r="CQ212" s="607"/>
      <c r="CR212" s="607"/>
      <c r="CS212" s="607"/>
      <c r="CT212" s="607"/>
      <c r="CU212" s="607"/>
      <c r="CV212" s="607"/>
      <c r="CW212" s="607"/>
      <c r="CX212" s="607"/>
      <c r="CY212" s="785"/>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50"/>
    </row>
    <row r="213" spans="1:256" ht="17.25" hidden="1" customHeight="1">
      <c r="A213" s="1551"/>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4"/>
      <c r="CF213" s="607"/>
      <c r="CG213" s="607"/>
      <c r="CH213" s="607"/>
      <c r="CI213" s="607"/>
      <c r="CJ213" s="607"/>
      <c r="CK213" s="607"/>
      <c r="CL213" s="607"/>
      <c r="CM213" s="607"/>
      <c r="CN213" s="607"/>
      <c r="CO213" s="607"/>
      <c r="CP213" s="607"/>
      <c r="CQ213" s="607"/>
      <c r="CR213" s="607"/>
      <c r="CS213" s="607"/>
      <c r="CT213" s="607"/>
      <c r="CU213" s="607"/>
      <c r="CV213" s="607"/>
      <c r="CW213" s="607"/>
      <c r="CX213" s="607"/>
      <c r="CY213" s="785"/>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50"/>
    </row>
    <row r="214" spans="1:256" ht="17.25" hidden="1" customHeight="1">
      <c r="A214" s="1551"/>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4"/>
      <c r="CF214" s="607"/>
      <c r="CG214" s="607"/>
      <c r="CH214" s="607"/>
      <c r="CI214" s="607"/>
      <c r="CJ214" s="607"/>
      <c r="CK214" s="607"/>
      <c r="CL214" s="607"/>
      <c r="CM214" s="607"/>
      <c r="CN214" s="607"/>
      <c r="CO214" s="607"/>
      <c r="CP214" s="607"/>
      <c r="CQ214" s="607"/>
      <c r="CR214" s="607"/>
      <c r="CS214" s="607"/>
      <c r="CT214" s="607"/>
      <c r="CU214" s="607"/>
      <c r="CV214" s="607"/>
      <c r="CW214" s="607"/>
      <c r="CX214" s="607"/>
      <c r="CY214" s="785"/>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50"/>
    </row>
    <row r="215" spans="1:256" s="662" customFormat="1" ht="17.25" hidden="1" customHeight="1">
      <c r="A215" s="1551"/>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4"/>
      <c r="CF215" s="607"/>
      <c r="CG215" s="607"/>
      <c r="CH215" s="607"/>
      <c r="CI215" s="607"/>
      <c r="CJ215" s="607"/>
      <c r="CK215" s="607"/>
      <c r="CL215" s="607"/>
      <c r="CM215" s="607"/>
      <c r="CN215" s="607"/>
      <c r="CO215" s="607"/>
      <c r="CP215" s="607"/>
      <c r="CQ215" s="607"/>
      <c r="CR215" s="607"/>
      <c r="CS215" s="607"/>
      <c r="CT215" s="607"/>
      <c r="CU215" s="607"/>
      <c r="CV215" s="607"/>
      <c r="CW215" s="607"/>
      <c r="CX215" s="607"/>
      <c r="CY215" s="785"/>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50"/>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8"/>
      <c r="B216" s="1589"/>
      <c r="C216" s="1588"/>
      <c r="D216" s="1588"/>
      <c r="E216" s="1588"/>
      <c r="F216" s="1588"/>
      <c r="G216" s="1588"/>
      <c r="H216" s="1588"/>
      <c r="I216" s="1588"/>
      <c r="J216" s="1588"/>
      <c r="K216" s="1588"/>
      <c r="L216" s="1588"/>
      <c r="M216" s="1588"/>
      <c r="N216" s="1588"/>
      <c r="O216" s="1588"/>
      <c r="P216" s="1588"/>
      <c r="Q216" s="1588"/>
      <c r="R216" s="1588"/>
      <c r="S216" s="1588"/>
      <c r="T216" s="1588"/>
      <c r="U216" s="1588"/>
      <c r="V216" s="1588"/>
      <c r="W216" s="1588"/>
      <c r="X216" s="1588"/>
      <c r="Y216" s="1588"/>
      <c r="Z216" s="1588"/>
      <c r="AA216" s="1588"/>
      <c r="AB216" s="1588"/>
      <c r="AC216" s="1588"/>
      <c r="AD216" s="1588"/>
      <c r="AE216" s="1588"/>
      <c r="AF216" s="1588"/>
      <c r="AG216" s="1588"/>
      <c r="AH216" s="1588"/>
      <c r="AI216" s="1588"/>
      <c r="AJ216" s="1588"/>
      <c r="AK216" s="1588"/>
      <c r="AL216" s="1588"/>
      <c r="AM216" s="1588"/>
      <c r="AN216" s="1588"/>
      <c r="AO216" s="1588"/>
      <c r="AP216" s="1588"/>
      <c r="AQ216" s="1588"/>
      <c r="AR216" s="1588"/>
      <c r="AS216" s="1588"/>
      <c r="AT216" s="1588"/>
      <c r="AU216" s="1588"/>
      <c r="AV216" s="1588"/>
      <c r="AW216" s="1588"/>
      <c r="AX216" s="1588"/>
      <c r="AY216" s="1588"/>
      <c r="AZ216" s="1588"/>
      <c r="BA216" s="1588"/>
      <c r="BB216" s="1588"/>
      <c r="BC216" s="1588"/>
      <c r="BD216" s="1588"/>
      <c r="BE216" s="1588"/>
      <c r="BF216" s="1588"/>
      <c r="BG216" s="1588"/>
      <c r="BH216" s="1588"/>
      <c r="BI216" s="1588"/>
      <c r="BJ216" s="1588"/>
      <c r="BK216" s="1588"/>
      <c r="BL216" s="1588"/>
      <c r="BM216" s="1588"/>
      <c r="BN216" s="1588"/>
      <c r="BO216" s="1588"/>
      <c r="BP216" s="1588"/>
      <c r="BQ216" s="1588"/>
      <c r="BR216" s="1588"/>
      <c r="BS216" s="1588"/>
      <c r="BT216" s="1588"/>
      <c r="BU216" s="1588"/>
      <c r="BV216" s="1588"/>
      <c r="BW216" s="1588"/>
      <c r="BX216" s="1588"/>
      <c r="BY216" s="1588"/>
      <c r="BZ216" s="1588"/>
      <c r="CA216" s="1588"/>
      <c r="CB216" s="1588"/>
      <c r="CC216" s="1588"/>
      <c r="CD216" s="1588"/>
      <c r="CE216" s="1544"/>
      <c r="CF216" s="1588"/>
      <c r="CG216" s="1588"/>
      <c r="CH216" s="1588"/>
      <c r="CI216" s="1588"/>
      <c r="CJ216" s="1588"/>
      <c r="CK216" s="1588"/>
      <c r="CL216" s="1588"/>
      <c r="CM216" s="1588"/>
      <c r="CN216" s="1588"/>
      <c r="CO216" s="1588"/>
      <c r="CP216" s="1588"/>
      <c r="CQ216" s="1588"/>
      <c r="CR216" s="1588"/>
      <c r="CS216" s="1588"/>
      <c r="CT216" s="1588"/>
      <c r="CU216" s="1588"/>
      <c r="CV216" s="1588"/>
      <c r="CW216" s="1588"/>
      <c r="CX216" s="1588"/>
      <c r="CY216" s="1555"/>
      <c r="CZ216" s="1588"/>
      <c r="DA216" s="1588"/>
      <c r="DB216" s="1588"/>
      <c r="DC216" s="1588"/>
      <c r="DD216" s="1588"/>
      <c r="DE216" s="1588"/>
      <c r="DF216" s="1588"/>
      <c r="DG216" s="1588"/>
      <c r="DH216" s="1588"/>
      <c r="DI216" s="1588"/>
      <c r="DJ216" s="1588"/>
      <c r="DK216" s="1588"/>
      <c r="DL216" s="1588"/>
      <c r="DM216" s="1588"/>
      <c r="DN216" s="1588"/>
      <c r="DO216" s="1588"/>
      <c r="DP216" s="1588"/>
      <c r="DQ216" s="1588"/>
      <c r="DR216" s="1588"/>
      <c r="DS216" s="1588"/>
      <c r="DT216" s="1588"/>
      <c r="DU216" s="1590"/>
      <c r="DV216" s="1591"/>
    </row>
    <row r="217" spans="1:256" s="532" customFormat="1" ht="18" hidden="1" customHeight="1">
      <c r="A217" s="1560"/>
      <c r="B217" s="975"/>
      <c r="C217" s="975"/>
      <c r="D217" s="975"/>
      <c r="E217" s="975"/>
      <c r="F217" s="975"/>
      <c r="G217" s="975"/>
      <c r="H217" s="975"/>
      <c r="I217" s="975"/>
      <c r="J217" s="975"/>
      <c r="K217" s="975"/>
      <c r="L217" s="975"/>
      <c r="M217" s="975"/>
      <c r="N217" s="975"/>
      <c r="O217" s="975"/>
      <c r="P217" s="975"/>
      <c r="Q217" s="975"/>
      <c r="R217" s="975"/>
      <c r="S217" s="975"/>
      <c r="T217" s="975"/>
      <c r="U217" s="975"/>
      <c r="V217" s="975"/>
      <c r="W217" s="975"/>
      <c r="X217" s="975"/>
      <c r="Y217" s="975"/>
      <c r="Z217" s="975"/>
      <c r="AA217" s="975"/>
      <c r="AB217" s="975"/>
      <c r="AC217" s="975"/>
      <c r="AD217" s="975"/>
      <c r="AE217" s="975"/>
      <c r="AF217" s="975"/>
      <c r="AG217" s="975"/>
      <c r="AH217" s="975"/>
      <c r="AI217" s="975"/>
      <c r="AJ217" s="975"/>
      <c r="AK217" s="975"/>
      <c r="AL217" s="975"/>
      <c r="AM217" s="975"/>
      <c r="AN217" s="975"/>
      <c r="AO217" s="975"/>
      <c r="AP217" s="975"/>
      <c r="AQ217" s="975"/>
      <c r="AR217" s="975"/>
      <c r="AS217" s="975"/>
      <c r="AT217" s="975"/>
      <c r="AU217" s="975"/>
      <c r="AV217" s="975"/>
      <c r="AW217" s="975"/>
      <c r="AX217" s="975"/>
      <c r="AY217" s="975"/>
      <c r="AZ217" s="975"/>
      <c r="BA217" s="975"/>
      <c r="BB217" s="975"/>
      <c r="BC217" s="975"/>
      <c r="BD217" s="975"/>
      <c r="BE217" s="975"/>
      <c r="BF217" s="975"/>
      <c r="BG217" s="975"/>
      <c r="BH217" s="975"/>
      <c r="BI217" s="975"/>
      <c r="BJ217" s="975"/>
      <c r="BK217" s="975"/>
      <c r="BL217" s="975"/>
      <c r="BM217" s="975"/>
      <c r="BN217" s="975"/>
      <c r="BO217" s="975"/>
      <c r="BP217" s="975"/>
      <c r="BQ217" s="975"/>
      <c r="BR217" s="975"/>
      <c r="BS217" s="975"/>
      <c r="BT217" s="975"/>
      <c r="BU217" s="975"/>
      <c r="BV217" s="975"/>
      <c r="BW217" s="975"/>
      <c r="BX217" s="975"/>
      <c r="BY217" s="975"/>
      <c r="BZ217" s="975"/>
      <c r="CA217" s="975"/>
      <c r="CB217" s="975"/>
      <c r="CC217" s="975"/>
      <c r="CD217" s="975"/>
      <c r="CE217" s="1544"/>
      <c r="CF217" s="975"/>
      <c r="CG217" s="975"/>
      <c r="CH217" s="975"/>
      <c r="CI217" s="975"/>
      <c r="CJ217" s="975"/>
      <c r="CK217" s="975"/>
      <c r="CL217" s="975"/>
      <c r="CM217" s="975"/>
      <c r="CN217" s="975"/>
      <c r="CO217" s="975"/>
      <c r="CP217" s="975"/>
      <c r="CQ217" s="975"/>
      <c r="CR217" s="975"/>
      <c r="CS217" s="975"/>
      <c r="CT217" s="975"/>
      <c r="CU217" s="975"/>
      <c r="CV217" s="975"/>
      <c r="CW217" s="975"/>
      <c r="CX217" s="975"/>
      <c r="CY217" s="1558"/>
      <c r="CZ217" s="975"/>
      <c r="DA217" s="975"/>
      <c r="DB217" s="975"/>
      <c r="DC217" s="975"/>
      <c r="DD217" s="975"/>
      <c r="DE217" s="975"/>
      <c r="DF217" s="975"/>
      <c r="DG217" s="975"/>
      <c r="DH217" s="975"/>
      <c r="DI217" s="975"/>
      <c r="DJ217" s="975"/>
      <c r="DK217" s="975"/>
      <c r="DL217" s="975"/>
      <c r="DM217" s="975"/>
      <c r="DN217" s="975"/>
      <c r="DO217" s="975"/>
      <c r="DP217" s="975"/>
      <c r="DQ217" s="975"/>
      <c r="DR217" s="975"/>
      <c r="DS217" s="975"/>
      <c r="DT217" s="975"/>
      <c r="DU217" s="975"/>
      <c r="DV217" s="1559"/>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51"/>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4"/>
      <c r="CF218" s="607"/>
      <c r="CG218" s="607"/>
      <c r="CH218" s="607"/>
      <c r="CI218" s="607"/>
      <c r="CJ218" s="607"/>
      <c r="CK218" s="607"/>
      <c r="CL218" s="607"/>
      <c r="CM218" s="607"/>
      <c r="CN218" s="607"/>
      <c r="CO218" s="607"/>
      <c r="CP218" s="607"/>
      <c r="CQ218" s="607"/>
      <c r="CR218" s="607"/>
      <c r="CS218" s="607"/>
      <c r="CT218" s="607"/>
      <c r="CU218" s="607"/>
      <c r="CV218" s="607"/>
      <c r="CW218" s="607"/>
      <c r="CX218" s="607"/>
      <c r="CY218" s="785"/>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50"/>
      <c r="IR218" s="529"/>
      <c r="IS218" s="529"/>
      <c r="IT218" s="529"/>
      <c r="IU218" s="529"/>
      <c r="IV218" s="529"/>
    </row>
    <row r="219" spans="1:256" ht="17.25" hidden="1" customHeight="1">
      <c r="A219" s="1551"/>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4"/>
      <c r="CF219" s="607"/>
      <c r="CG219" s="607"/>
      <c r="CH219" s="607"/>
      <c r="CI219" s="607"/>
      <c r="CJ219" s="607"/>
      <c r="CK219" s="607"/>
      <c r="CL219" s="607"/>
      <c r="CM219" s="607"/>
      <c r="CN219" s="607"/>
      <c r="CO219" s="607"/>
      <c r="CP219" s="607"/>
      <c r="CQ219" s="607"/>
      <c r="CR219" s="607"/>
      <c r="CS219" s="607"/>
      <c r="CT219" s="607"/>
      <c r="CU219" s="607"/>
      <c r="CV219" s="607"/>
      <c r="CW219" s="607"/>
      <c r="CX219" s="607"/>
      <c r="CY219" s="785"/>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50"/>
    </row>
    <row r="220" spans="1:256" ht="17.25" hidden="1" customHeight="1">
      <c r="A220" s="1551"/>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4"/>
      <c r="CF220" s="607"/>
      <c r="CG220" s="607"/>
      <c r="CH220" s="607"/>
      <c r="CI220" s="607"/>
      <c r="CJ220" s="607"/>
      <c r="CK220" s="607"/>
      <c r="CL220" s="607"/>
      <c r="CM220" s="607"/>
      <c r="CN220" s="607"/>
      <c r="CO220" s="607"/>
      <c r="CP220" s="607"/>
      <c r="CQ220" s="607"/>
      <c r="CR220" s="607"/>
      <c r="CS220" s="607"/>
      <c r="CT220" s="607"/>
      <c r="CU220" s="607"/>
      <c r="CV220" s="607"/>
      <c r="CW220" s="607"/>
      <c r="CX220" s="607"/>
      <c r="CY220" s="785"/>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50"/>
    </row>
    <row r="221" spans="1:256" ht="17.25" hidden="1" customHeight="1">
      <c r="A221" s="1551"/>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4"/>
      <c r="CF221" s="607"/>
      <c r="CG221" s="607"/>
      <c r="CH221" s="607"/>
      <c r="CI221" s="607"/>
      <c r="CJ221" s="607"/>
      <c r="CK221" s="607"/>
      <c r="CL221" s="607"/>
      <c r="CM221" s="607"/>
      <c r="CN221" s="607"/>
      <c r="CO221" s="607"/>
      <c r="CP221" s="607"/>
      <c r="CQ221" s="607"/>
      <c r="CR221" s="607"/>
      <c r="CS221" s="607"/>
      <c r="CT221" s="607"/>
      <c r="CU221" s="607"/>
      <c r="CV221" s="607"/>
      <c r="CW221" s="607"/>
      <c r="CX221" s="607"/>
      <c r="CY221" s="785"/>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50"/>
    </row>
    <row r="222" spans="1:256" s="662" customFormat="1" ht="17.25" hidden="1" customHeight="1">
      <c r="A222" s="1551"/>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4"/>
      <c r="CF222" s="607"/>
      <c r="CG222" s="607"/>
      <c r="CH222" s="607"/>
      <c r="CI222" s="607"/>
      <c r="CJ222" s="607"/>
      <c r="CK222" s="607"/>
      <c r="CL222" s="607"/>
      <c r="CM222" s="607"/>
      <c r="CN222" s="607"/>
      <c r="CO222" s="607"/>
      <c r="CP222" s="607"/>
      <c r="CQ222" s="607"/>
      <c r="CR222" s="607"/>
      <c r="CS222" s="607"/>
      <c r="CT222" s="607"/>
      <c r="CU222" s="607"/>
      <c r="CV222" s="607"/>
      <c r="CW222" s="607"/>
      <c r="CX222" s="607"/>
      <c r="CY222" s="785"/>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50"/>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8"/>
      <c r="B223" s="1589"/>
      <c r="C223" s="1588"/>
      <c r="D223" s="1588"/>
      <c r="E223" s="1588"/>
      <c r="F223" s="1588"/>
      <c r="G223" s="1588"/>
      <c r="H223" s="1588"/>
      <c r="I223" s="1588"/>
      <c r="J223" s="1588"/>
      <c r="K223" s="1588"/>
      <c r="L223" s="1588"/>
      <c r="M223" s="1588"/>
      <c r="N223" s="1588"/>
      <c r="O223" s="1588"/>
      <c r="P223" s="1588"/>
      <c r="Q223" s="1588"/>
      <c r="R223" s="1588"/>
      <c r="S223" s="1588"/>
      <c r="T223" s="1588"/>
      <c r="U223" s="1588"/>
      <c r="V223" s="1588"/>
      <c r="W223" s="1588"/>
      <c r="X223" s="1588"/>
      <c r="Y223" s="1588"/>
      <c r="Z223" s="1588"/>
      <c r="AA223" s="1588"/>
      <c r="AB223" s="1588"/>
      <c r="AC223" s="1588"/>
      <c r="AD223" s="1588"/>
      <c r="AE223" s="1588"/>
      <c r="AF223" s="1588"/>
      <c r="AG223" s="1588"/>
      <c r="AH223" s="1588"/>
      <c r="AI223" s="1588"/>
      <c r="AJ223" s="1588"/>
      <c r="AK223" s="1588"/>
      <c r="AL223" s="1588"/>
      <c r="AM223" s="1588"/>
      <c r="AN223" s="1588"/>
      <c r="AO223" s="1588"/>
      <c r="AP223" s="1588"/>
      <c r="AQ223" s="1588"/>
      <c r="AR223" s="1588"/>
      <c r="AS223" s="1588"/>
      <c r="AT223" s="1588"/>
      <c r="AU223" s="1588"/>
      <c r="AV223" s="1588"/>
      <c r="AW223" s="1588"/>
      <c r="AX223" s="1588"/>
      <c r="AY223" s="1588"/>
      <c r="AZ223" s="1588"/>
      <c r="BA223" s="1588"/>
      <c r="BB223" s="1588"/>
      <c r="BC223" s="1588"/>
      <c r="BD223" s="1588"/>
      <c r="BE223" s="1588"/>
      <c r="BF223" s="1588"/>
      <c r="BG223" s="1588"/>
      <c r="BH223" s="1588"/>
      <c r="BI223" s="1588"/>
      <c r="BJ223" s="1588"/>
      <c r="BK223" s="1588"/>
      <c r="BL223" s="1588"/>
      <c r="BM223" s="1588"/>
      <c r="BN223" s="1588"/>
      <c r="BO223" s="1588"/>
      <c r="BP223" s="1588"/>
      <c r="BQ223" s="1588"/>
      <c r="BR223" s="1588"/>
      <c r="BS223" s="1588"/>
      <c r="BT223" s="1588"/>
      <c r="BU223" s="1588"/>
      <c r="BV223" s="1588"/>
      <c r="BW223" s="1588"/>
      <c r="BX223" s="1588"/>
      <c r="BY223" s="1588"/>
      <c r="BZ223" s="1588"/>
      <c r="CA223" s="1588"/>
      <c r="CB223" s="1588"/>
      <c r="CC223" s="1588"/>
      <c r="CD223" s="1588"/>
      <c r="CE223" s="1544"/>
      <c r="CF223" s="1588"/>
      <c r="CG223" s="1588"/>
      <c r="CH223" s="1588"/>
      <c r="CI223" s="1588"/>
      <c r="CJ223" s="1588"/>
      <c r="CK223" s="1588"/>
      <c r="CL223" s="1588"/>
      <c r="CM223" s="1588"/>
      <c r="CN223" s="1588"/>
      <c r="CO223" s="1588"/>
      <c r="CP223" s="1588"/>
      <c r="CQ223" s="1588"/>
      <c r="CR223" s="1588"/>
      <c r="CS223" s="1588"/>
      <c r="CT223" s="1588"/>
      <c r="CU223" s="1588"/>
      <c r="CV223" s="1588"/>
      <c r="CW223" s="1588"/>
      <c r="CX223" s="1588"/>
      <c r="CY223" s="1555"/>
      <c r="CZ223" s="1588"/>
      <c r="DA223" s="1588"/>
      <c r="DB223" s="1588"/>
      <c r="DC223" s="1588"/>
      <c r="DD223" s="1588"/>
      <c r="DE223" s="1588"/>
      <c r="DF223" s="1588"/>
      <c r="DG223" s="1588"/>
      <c r="DH223" s="1588"/>
      <c r="DI223" s="1588"/>
      <c r="DJ223" s="1588"/>
      <c r="DK223" s="1588"/>
      <c r="DL223" s="1588"/>
      <c r="DM223" s="1588"/>
      <c r="DN223" s="1588"/>
      <c r="DO223" s="1588"/>
      <c r="DP223" s="1588"/>
      <c r="DQ223" s="1588"/>
      <c r="DR223" s="1588"/>
      <c r="DS223" s="1588"/>
      <c r="DT223" s="1588"/>
      <c r="DU223" s="1590"/>
      <c r="DV223" s="1591"/>
    </row>
    <row r="224" spans="1:256" s="532" customFormat="1" ht="18" hidden="1" customHeight="1">
      <c r="A224" s="1560"/>
      <c r="B224" s="975"/>
      <c r="C224" s="975"/>
      <c r="D224" s="975"/>
      <c r="E224" s="975"/>
      <c r="F224" s="975"/>
      <c r="G224" s="975"/>
      <c r="H224" s="975"/>
      <c r="I224" s="975"/>
      <c r="J224" s="975"/>
      <c r="K224" s="975"/>
      <c r="L224" s="975"/>
      <c r="M224" s="975"/>
      <c r="N224" s="975"/>
      <c r="O224" s="975"/>
      <c r="P224" s="975"/>
      <c r="Q224" s="975"/>
      <c r="R224" s="975"/>
      <c r="S224" s="975"/>
      <c r="T224" s="975"/>
      <c r="U224" s="975"/>
      <c r="V224" s="975"/>
      <c r="W224" s="975"/>
      <c r="X224" s="975"/>
      <c r="Y224" s="975"/>
      <c r="Z224" s="975"/>
      <c r="AA224" s="975"/>
      <c r="AB224" s="975"/>
      <c r="AC224" s="975"/>
      <c r="AD224" s="975"/>
      <c r="AE224" s="975"/>
      <c r="AF224" s="975"/>
      <c r="AG224" s="975"/>
      <c r="AH224" s="975"/>
      <c r="AI224" s="975"/>
      <c r="AJ224" s="975"/>
      <c r="AK224" s="975"/>
      <c r="AL224" s="975"/>
      <c r="AM224" s="975"/>
      <c r="AN224" s="975"/>
      <c r="AO224" s="975"/>
      <c r="AP224" s="975"/>
      <c r="AQ224" s="975"/>
      <c r="AR224" s="975"/>
      <c r="AS224" s="975"/>
      <c r="AT224" s="975"/>
      <c r="AU224" s="975"/>
      <c r="AV224" s="975"/>
      <c r="AW224" s="975"/>
      <c r="AX224" s="975"/>
      <c r="AY224" s="975"/>
      <c r="AZ224" s="975"/>
      <c r="BA224" s="975"/>
      <c r="BB224" s="975"/>
      <c r="BC224" s="975"/>
      <c r="BD224" s="975"/>
      <c r="BE224" s="975"/>
      <c r="BF224" s="975"/>
      <c r="BG224" s="975"/>
      <c r="BH224" s="975"/>
      <c r="BI224" s="975"/>
      <c r="BJ224" s="975"/>
      <c r="BK224" s="975"/>
      <c r="BL224" s="975"/>
      <c r="BM224" s="975"/>
      <c r="BN224" s="975"/>
      <c r="BO224" s="975"/>
      <c r="BP224" s="975"/>
      <c r="BQ224" s="975"/>
      <c r="BR224" s="975"/>
      <c r="BS224" s="975"/>
      <c r="BT224" s="975"/>
      <c r="BU224" s="975"/>
      <c r="BV224" s="975"/>
      <c r="BW224" s="975"/>
      <c r="BX224" s="975"/>
      <c r="BY224" s="975"/>
      <c r="BZ224" s="975"/>
      <c r="CA224" s="975"/>
      <c r="CB224" s="975"/>
      <c r="CC224" s="975"/>
      <c r="CD224" s="975"/>
      <c r="CE224" s="1544"/>
      <c r="CF224" s="975"/>
      <c r="CG224" s="975"/>
      <c r="CH224" s="975"/>
      <c r="CI224" s="975"/>
      <c r="CJ224" s="975"/>
      <c r="CK224" s="975"/>
      <c r="CL224" s="975"/>
      <c r="CM224" s="975"/>
      <c r="CN224" s="975"/>
      <c r="CO224" s="975"/>
      <c r="CP224" s="975"/>
      <c r="CQ224" s="975"/>
      <c r="CR224" s="975"/>
      <c r="CS224" s="975"/>
      <c r="CT224" s="975"/>
      <c r="CU224" s="975"/>
      <c r="CV224" s="975"/>
      <c r="CW224" s="975"/>
      <c r="CX224" s="975"/>
      <c r="CY224" s="1558"/>
      <c r="CZ224" s="975"/>
      <c r="DA224" s="975"/>
      <c r="DB224" s="975"/>
      <c r="DC224" s="975"/>
      <c r="DD224" s="975"/>
      <c r="DE224" s="975"/>
      <c r="DF224" s="975"/>
      <c r="DG224" s="975"/>
      <c r="DH224" s="975"/>
      <c r="DI224" s="975"/>
      <c r="DJ224" s="975"/>
      <c r="DK224" s="975"/>
      <c r="DL224" s="975"/>
      <c r="DM224" s="975"/>
      <c r="DN224" s="975"/>
      <c r="DO224" s="975"/>
      <c r="DP224" s="975"/>
      <c r="DQ224" s="975"/>
      <c r="DR224" s="975"/>
      <c r="DS224" s="975"/>
      <c r="DT224" s="975"/>
      <c r="DU224" s="975"/>
      <c r="DV224" s="1559"/>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51"/>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4"/>
      <c r="CF225" s="607"/>
      <c r="CG225" s="607"/>
      <c r="CH225" s="607"/>
      <c r="CI225" s="607"/>
      <c r="CJ225" s="607"/>
      <c r="CK225" s="607"/>
      <c r="CL225" s="607"/>
      <c r="CM225" s="607"/>
      <c r="CN225" s="607"/>
      <c r="CO225" s="607"/>
      <c r="CP225" s="607"/>
      <c r="CQ225" s="607"/>
      <c r="CR225" s="607"/>
      <c r="CS225" s="607"/>
      <c r="CT225" s="607"/>
      <c r="CU225" s="607"/>
      <c r="CV225" s="607"/>
      <c r="CW225" s="607"/>
      <c r="CX225" s="607"/>
      <c r="CY225" s="785"/>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50"/>
      <c r="IR225" s="529"/>
      <c r="IS225" s="529"/>
      <c r="IT225" s="529"/>
      <c r="IU225" s="529"/>
      <c r="IV225" s="529"/>
    </row>
    <row r="226" spans="1:256" ht="17.25" hidden="1" customHeight="1">
      <c r="A226" s="1551"/>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4"/>
      <c r="CF226" s="607"/>
      <c r="CG226" s="607"/>
      <c r="CH226" s="607"/>
      <c r="CI226" s="607"/>
      <c r="CJ226" s="607"/>
      <c r="CK226" s="607"/>
      <c r="CL226" s="607"/>
      <c r="CM226" s="607"/>
      <c r="CN226" s="607"/>
      <c r="CO226" s="607"/>
      <c r="CP226" s="607"/>
      <c r="CQ226" s="607"/>
      <c r="CR226" s="607"/>
      <c r="CS226" s="607"/>
      <c r="CT226" s="607"/>
      <c r="CU226" s="607"/>
      <c r="CV226" s="607"/>
      <c r="CW226" s="607"/>
      <c r="CX226" s="607"/>
      <c r="CY226" s="785"/>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50"/>
    </row>
    <row r="227" spans="1:256" ht="17.25" hidden="1" customHeight="1">
      <c r="A227" s="1551"/>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4"/>
      <c r="CF227" s="607"/>
      <c r="CG227" s="607"/>
      <c r="CH227" s="607"/>
      <c r="CI227" s="607"/>
      <c r="CJ227" s="607"/>
      <c r="CK227" s="607"/>
      <c r="CL227" s="607"/>
      <c r="CM227" s="607"/>
      <c r="CN227" s="607"/>
      <c r="CO227" s="607"/>
      <c r="CP227" s="607"/>
      <c r="CQ227" s="607"/>
      <c r="CR227" s="607"/>
      <c r="CS227" s="607"/>
      <c r="CT227" s="607"/>
      <c r="CU227" s="607"/>
      <c r="CV227" s="607"/>
      <c r="CW227" s="607"/>
      <c r="CX227" s="607"/>
      <c r="CY227" s="785"/>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50"/>
    </row>
    <row r="228" spans="1:256" ht="17.25" hidden="1" customHeight="1">
      <c r="A228" s="1551"/>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4"/>
      <c r="CF228" s="607"/>
      <c r="CG228" s="607"/>
      <c r="CH228" s="607"/>
      <c r="CI228" s="607"/>
      <c r="CJ228" s="607"/>
      <c r="CK228" s="607"/>
      <c r="CL228" s="607"/>
      <c r="CM228" s="607"/>
      <c r="CN228" s="607"/>
      <c r="CO228" s="607"/>
      <c r="CP228" s="607"/>
      <c r="CQ228" s="607"/>
      <c r="CR228" s="607"/>
      <c r="CS228" s="607"/>
      <c r="CT228" s="607"/>
      <c r="CU228" s="607"/>
      <c r="CV228" s="607"/>
      <c r="CW228" s="607"/>
      <c r="CX228" s="607"/>
      <c r="CY228" s="785"/>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50"/>
    </row>
    <row r="229" spans="1:256" ht="17.25" hidden="1" customHeight="1">
      <c r="A229" s="1551"/>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4"/>
      <c r="CF229" s="607"/>
      <c r="CG229" s="607"/>
      <c r="CH229" s="607"/>
      <c r="CI229" s="607"/>
      <c r="CJ229" s="607"/>
      <c r="CK229" s="607"/>
      <c r="CL229" s="607"/>
      <c r="CM229" s="607"/>
      <c r="CN229" s="607"/>
      <c r="CO229" s="607"/>
      <c r="CP229" s="607"/>
      <c r="CQ229" s="607"/>
      <c r="CR229" s="607"/>
      <c r="CS229" s="607"/>
      <c r="CT229" s="607"/>
      <c r="CU229" s="607"/>
      <c r="CV229" s="607"/>
      <c r="CW229" s="607"/>
      <c r="CX229" s="607"/>
      <c r="CY229" s="785"/>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50"/>
    </row>
    <row r="230" spans="1:256" ht="17.25" hidden="1" customHeight="1">
      <c r="A230" s="1551"/>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4"/>
      <c r="CF230" s="607"/>
      <c r="CG230" s="607"/>
      <c r="CH230" s="607"/>
      <c r="CI230" s="607"/>
      <c r="CJ230" s="607"/>
      <c r="CK230" s="607"/>
      <c r="CL230" s="607"/>
      <c r="CM230" s="607"/>
      <c r="CN230" s="607"/>
      <c r="CO230" s="607"/>
      <c r="CP230" s="607"/>
      <c r="CQ230" s="607"/>
      <c r="CR230" s="607"/>
      <c r="CS230" s="607"/>
      <c r="CT230" s="607"/>
      <c r="CU230" s="607"/>
      <c r="CV230" s="607"/>
      <c r="CW230" s="607"/>
      <c r="CX230" s="607"/>
      <c r="CY230" s="785"/>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50"/>
    </row>
    <row r="231" spans="1:256" ht="17.25" hidden="1" customHeight="1">
      <c r="A231" s="1551"/>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4"/>
      <c r="CF231" s="607"/>
      <c r="CG231" s="607"/>
      <c r="CH231" s="607"/>
      <c r="CI231" s="607"/>
      <c r="CJ231" s="607"/>
      <c r="CK231" s="607"/>
      <c r="CL231" s="607"/>
      <c r="CM231" s="607"/>
      <c r="CN231" s="607"/>
      <c r="CO231" s="607"/>
      <c r="CP231" s="607"/>
      <c r="CQ231" s="607"/>
      <c r="CR231" s="607"/>
      <c r="CS231" s="607"/>
      <c r="CT231" s="607"/>
      <c r="CU231" s="607"/>
      <c r="CV231" s="607"/>
      <c r="CW231" s="607"/>
      <c r="CX231" s="607"/>
      <c r="CY231" s="785"/>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50"/>
    </row>
    <row r="232" spans="1:256" ht="17.25" hidden="1" customHeight="1">
      <c r="A232" s="1551"/>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4"/>
      <c r="CF232" s="607"/>
      <c r="CG232" s="607"/>
      <c r="CH232" s="607"/>
      <c r="CI232" s="607"/>
      <c r="CJ232" s="607"/>
      <c r="CK232" s="607"/>
      <c r="CL232" s="607"/>
      <c r="CM232" s="607"/>
      <c r="CN232" s="607"/>
      <c r="CO232" s="607"/>
      <c r="CP232" s="607"/>
      <c r="CQ232" s="607"/>
      <c r="CR232" s="607"/>
      <c r="CS232" s="607"/>
      <c r="CT232" s="607"/>
      <c r="CU232" s="607"/>
      <c r="CV232" s="607"/>
      <c r="CW232" s="607"/>
      <c r="CX232" s="607"/>
      <c r="CY232" s="785"/>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50"/>
    </row>
    <row r="233" spans="1:256" ht="17.25" hidden="1" customHeight="1">
      <c r="A233" s="1551"/>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4"/>
      <c r="CF233" s="607"/>
      <c r="CG233" s="607"/>
      <c r="CH233" s="607"/>
      <c r="CI233" s="607"/>
      <c r="CJ233" s="607"/>
      <c r="CK233" s="607"/>
      <c r="CL233" s="607"/>
      <c r="CM233" s="607"/>
      <c r="CN233" s="607"/>
      <c r="CO233" s="607"/>
      <c r="CP233" s="607"/>
      <c r="CQ233" s="607"/>
      <c r="CR233" s="607"/>
      <c r="CS233" s="607"/>
      <c r="CT233" s="607"/>
      <c r="CU233" s="607"/>
      <c r="CV233" s="607"/>
      <c r="CW233" s="607"/>
      <c r="CX233" s="607"/>
      <c r="CY233" s="785"/>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50"/>
    </row>
    <row r="234" spans="1:256" ht="17.25" hidden="1" customHeight="1">
      <c r="A234" s="1551"/>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4"/>
      <c r="CF234" s="607"/>
      <c r="CG234" s="607"/>
      <c r="CH234" s="607"/>
      <c r="CI234" s="607"/>
      <c r="CJ234" s="607"/>
      <c r="CK234" s="607"/>
      <c r="CL234" s="607"/>
      <c r="CM234" s="607"/>
      <c r="CN234" s="607"/>
      <c r="CO234" s="607"/>
      <c r="CP234" s="607"/>
      <c r="CQ234" s="607"/>
      <c r="CR234" s="607"/>
      <c r="CS234" s="607"/>
      <c r="CT234" s="607"/>
      <c r="CU234" s="607"/>
      <c r="CV234" s="607"/>
      <c r="CW234" s="607"/>
      <c r="CX234" s="607"/>
      <c r="CY234" s="785"/>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50"/>
    </row>
    <row r="235" spans="1:256" s="662" customFormat="1" ht="17.25" hidden="1" customHeight="1">
      <c r="A235" s="1551"/>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4"/>
      <c r="CF235" s="607"/>
      <c r="CG235" s="607"/>
      <c r="CH235" s="607"/>
      <c r="CI235" s="607"/>
      <c r="CJ235" s="607"/>
      <c r="CK235" s="607"/>
      <c r="CL235" s="607"/>
      <c r="CM235" s="607"/>
      <c r="CN235" s="607"/>
      <c r="CO235" s="607"/>
      <c r="CP235" s="607"/>
      <c r="CQ235" s="607"/>
      <c r="CR235" s="607"/>
      <c r="CS235" s="607"/>
      <c r="CT235" s="607"/>
      <c r="CU235" s="607"/>
      <c r="CV235" s="607"/>
      <c r="CW235" s="607"/>
      <c r="CX235" s="607"/>
      <c r="CY235" s="785"/>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50"/>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8"/>
      <c r="B236" s="1589"/>
      <c r="C236" s="1588"/>
      <c r="D236" s="1588"/>
      <c r="E236" s="1588"/>
      <c r="F236" s="1588"/>
      <c r="G236" s="1588"/>
      <c r="H236" s="1588"/>
      <c r="I236" s="1588"/>
      <c r="J236" s="1588"/>
      <c r="K236" s="1588"/>
      <c r="L236" s="1588"/>
      <c r="M236" s="1588"/>
      <c r="N236" s="1588"/>
      <c r="O236" s="1588"/>
      <c r="P236" s="1588"/>
      <c r="Q236" s="1588"/>
      <c r="R236" s="1588"/>
      <c r="S236" s="1588"/>
      <c r="T236" s="1588"/>
      <c r="U236" s="1588"/>
      <c r="V236" s="1588"/>
      <c r="W236" s="1588"/>
      <c r="X236" s="1588"/>
      <c r="Y236" s="1588"/>
      <c r="Z236" s="1588"/>
      <c r="AA236" s="1588"/>
      <c r="AB236" s="1588"/>
      <c r="AC236" s="1588"/>
      <c r="AD236" s="1588"/>
      <c r="AE236" s="1588"/>
      <c r="AF236" s="1588"/>
      <c r="AG236" s="1588"/>
      <c r="AH236" s="1588"/>
      <c r="AI236" s="1588"/>
      <c r="AJ236" s="1588"/>
      <c r="AK236" s="1588"/>
      <c r="AL236" s="1588"/>
      <c r="AM236" s="1588"/>
      <c r="AN236" s="1588"/>
      <c r="AO236" s="1588"/>
      <c r="AP236" s="1588"/>
      <c r="AQ236" s="1588"/>
      <c r="AR236" s="1588"/>
      <c r="AS236" s="1588"/>
      <c r="AT236" s="1588"/>
      <c r="AU236" s="1588"/>
      <c r="AV236" s="1588"/>
      <c r="AW236" s="1588"/>
      <c r="AX236" s="1588"/>
      <c r="AY236" s="1588"/>
      <c r="AZ236" s="1588"/>
      <c r="BA236" s="1588"/>
      <c r="BB236" s="1588"/>
      <c r="BC236" s="1588"/>
      <c r="BD236" s="1588"/>
      <c r="BE236" s="1588"/>
      <c r="BF236" s="1588"/>
      <c r="BG236" s="1588"/>
      <c r="BH236" s="1588"/>
      <c r="BI236" s="1588"/>
      <c r="BJ236" s="1588"/>
      <c r="BK236" s="1588"/>
      <c r="BL236" s="1588"/>
      <c r="BM236" s="1588"/>
      <c r="BN236" s="1588"/>
      <c r="BO236" s="1588"/>
      <c r="BP236" s="1588"/>
      <c r="BQ236" s="1588"/>
      <c r="BR236" s="1588"/>
      <c r="BS236" s="1588"/>
      <c r="BT236" s="1588"/>
      <c r="BU236" s="1588"/>
      <c r="BV236" s="1588"/>
      <c r="BW236" s="1588"/>
      <c r="BX236" s="1588"/>
      <c r="BY236" s="1588"/>
      <c r="BZ236" s="1588"/>
      <c r="CA236" s="1588"/>
      <c r="CB236" s="1588"/>
      <c r="CC236" s="1588"/>
      <c r="CD236" s="1588"/>
      <c r="CE236" s="1544"/>
      <c r="CF236" s="1588"/>
      <c r="CG236" s="1588"/>
      <c r="CH236" s="1588"/>
      <c r="CI236" s="1588"/>
      <c r="CJ236" s="1588"/>
      <c r="CK236" s="1588"/>
      <c r="CL236" s="1588"/>
      <c r="CM236" s="1588"/>
      <c r="CN236" s="1588"/>
      <c r="CO236" s="1588"/>
      <c r="CP236" s="1588"/>
      <c r="CQ236" s="1588"/>
      <c r="CR236" s="1588"/>
      <c r="CS236" s="1588"/>
      <c r="CT236" s="1588"/>
      <c r="CU236" s="1588"/>
      <c r="CV236" s="1588"/>
      <c r="CW236" s="1588"/>
      <c r="CX236" s="1588"/>
      <c r="CY236" s="1555"/>
      <c r="CZ236" s="1588"/>
      <c r="DA236" s="1588"/>
      <c r="DB236" s="1588"/>
      <c r="DC236" s="1588"/>
      <c r="DD236" s="1588"/>
      <c r="DE236" s="1588"/>
      <c r="DF236" s="1588"/>
      <c r="DG236" s="1588"/>
      <c r="DH236" s="1588"/>
      <c r="DI236" s="1588"/>
      <c r="DJ236" s="1588"/>
      <c r="DK236" s="1588"/>
      <c r="DL236" s="1588"/>
      <c r="DM236" s="1588"/>
      <c r="DN236" s="1588"/>
      <c r="DO236" s="1588"/>
      <c r="DP236" s="1588"/>
      <c r="DQ236" s="1588"/>
      <c r="DR236" s="1588"/>
      <c r="DS236" s="1588"/>
      <c r="DT236" s="1588"/>
      <c r="DU236" s="1590"/>
      <c r="DV236" s="1591"/>
    </row>
    <row r="237" spans="1:256" s="532" customFormat="1" ht="18" hidden="1" customHeight="1">
      <c r="A237" s="1560"/>
      <c r="B237" s="975"/>
      <c r="C237" s="975"/>
      <c r="D237" s="975"/>
      <c r="E237" s="975"/>
      <c r="F237" s="975"/>
      <c r="G237" s="975"/>
      <c r="H237" s="975"/>
      <c r="I237" s="975"/>
      <c r="J237" s="975"/>
      <c r="K237" s="975"/>
      <c r="L237" s="975"/>
      <c r="M237" s="975"/>
      <c r="N237" s="975"/>
      <c r="O237" s="975"/>
      <c r="P237" s="975"/>
      <c r="Q237" s="975"/>
      <c r="R237" s="975"/>
      <c r="S237" s="975"/>
      <c r="T237" s="975"/>
      <c r="U237" s="975"/>
      <c r="V237" s="975"/>
      <c r="W237" s="975"/>
      <c r="X237" s="975"/>
      <c r="Y237" s="975"/>
      <c r="Z237" s="975"/>
      <c r="AA237" s="975"/>
      <c r="AB237" s="975"/>
      <c r="AC237" s="975"/>
      <c r="AD237" s="975"/>
      <c r="AE237" s="975"/>
      <c r="AF237" s="975"/>
      <c r="AG237" s="975"/>
      <c r="AH237" s="975"/>
      <c r="AI237" s="975"/>
      <c r="AJ237" s="975"/>
      <c r="AK237" s="975"/>
      <c r="AL237" s="975"/>
      <c r="AM237" s="975"/>
      <c r="AN237" s="975"/>
      <c r="AO237" s="975"/>
      <c r="AP237" s="975"/>
      <c r="AQ237" s="975"/>
      <c r="AR237" s="975"/>
      <c r="AS237" s="975"/>
      <c r="AT237" s="975"/>
      <c r="AU237" s="975"/>
      <c r="AV237" s="975"/>
      <c r="AW237" s="975"/>
      <c r="AX237" s="975"/>
      <c r="AY237" s="975"/>
      <c r="AZ237" s="975"/>
      <c r="BA237" s="975"/>
      <c r="BB237" s="975"/>
      <c r="BC237" s="975"/>
      <c r="BD237" s="975"/>
      <c r="BE237" s="975"/>
      <c r="BF237" s="975"/>
      <c r="BG237" s="975"/>
      <c r="BH237" s="975"/>
      <c r="BI237" s="975"/>
      <c r="BJ237" s="975"/>
      <c r="BK237" s="975"/>
      <c r="BL237" s="975"/>
      <c r="BM237" s="975"/>
      <c r="BN237" s="975"/>
      <c r="BO237" s="975"/>
      <c r="BP237" s="975"/>
      <c r="BQ237" s="975"/>
      <c r="BR237" s="975"/>
      <c r="BS237" s="975"/>
      <c r="BT237" s="975"/>
      <c r="BU237" s="975"/>
      <c r="BV237" s="975"/>
      <c r="BW237" s="975"/>
      <c r="BX237" s="975"/>
      <c r="BY237" s="975"/>
      <c r="BZ237" s="975"/>
      <c r="CA237" s="975"/>
      <c r="CB237" s="975"/>
      <c r="CC237" s="975"/>
      <c r="CD237" s="975"/>
      <c r="CE237" s="1544"/>
      <c r="CF237" s="975"/>
      <c r="CG237" s="975"/>
      <c r="CH237" s="975"/>
      <c r="CI237" s="975"/>
      <c r="CJ237" s="975"/>
      <c r="CK237" s="975"/>
      <c r="CL237" s="975"/>
      <c r="CM237" s="975"/>
      <c r="CN237" s="975"/>
      <c r="CO237" s="975"/>
      <c r="CP237" s="975"/>
      <c r="CQ237" s="975"/>
      <c r="CR237" s="975"/>
      <c r="CS237" s="975"/>
      <c r="CT237" s="975"/>
      <c r="CU237" s="975"/>
      <c r="CV237" s="975"/>
      <c r="CW237" s="975"/>
      <c r="CX237" s="975"/>
      <c r="CY237" s="1558"/>
      <c r="CZ237" s="975"/>
      <c r="DA237" s="975"/>
      <c r="DB237" s="975"/>
      <c r="DC237" s="975"/>
      <c r="DD237" s="975"/>
      <c r="DE237" s="975"/>
      <c r="DF237" s="975"/>
      <c r="DG237" s="975"/>
      <c r="DH237" s="975"/>
      <c r="DI237" s="975"/>
      <c r="DJ237" s="975"/>
      <c r="DK237" s="975"/>
      <c r="DL237" s="975"/>
      <c r="DM237" s="975"/>
      <c r="DN237" s="975"/>
      <c r="DO237" s="975"/>
      <c r="DP237" s="975"/>
      <c r="DQ237" s="975"/>
      <c r="DR237" s="975"/>
      <c r="DS237" s="975"/>
      <c r="DT237" s="975"/>
      <c r="DU237" s="975"/>
      <c r="DV237" s="1559"/>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51"/>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4"/>
      <c r="CF238" s="607"/>
      <c r="CG238" s="607"/>
      <c r="CH238" s="607"/>
      <c r="CI238" s="607"/>
      <c r="CJ238" s="607"/>
      <c r="CK238" s="607"/>
      <c r="CL238" s="607"/>
      <c r="CM238" s="607"/>
      <c r="CN238" s="607"/>
      <c r="CO238" s="607"/>
      <c r="CP238" s="607"/>
      <c r="CQ238" s="607"/>
      <c r="CR238" s="607"/>
      <c r="CS238" s="607"/>
      <c r="CT238" s="607"/>
      <c r="CU238" s="607"/>
      <c r="CV238" s="607"/>
      <c r="CW238" s="607"/>
      <c r="CX238" s="607"/>
      <c r="CY238" s="785"/>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50"/>
      <c r="IR238" s="529"/>
      <c r="IS238" s="529"/>
      <c r="IT238" s="529"/>
      <c r="IU238" s="529"/>
      <c r="IV238" s="529"/>
    </row>
    <row r="239" spans="1:256" ht="17.25" hidden="1" customHeight="1">
      <c r="A239" s="1551"/>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4"/>
      <c r="CF239" s="607"/>
      <c r="CG239" s="607"/>
      <c r="CH239" s="607"/>
      <c r="CI239" s="607"/>
      <c r="CJ239" s="607"/>
      <c r="CK239" s="607"/>
      <c r="CL239" s="607"/>
      <c r="CM239" s="607"/>
      <c r="CN239" s="607"/>
      <c r="CO239" s="607"/>
      <c r="CP239" s="607"/>
      <c r="CQ239" s="607"/>
      <c r="CR239" s="607"/>
      <c r="CS239" s="607"/>
      <c r="CT239" s="607"/>
      <c r="CU239" s="607"/>
      <c r="CV239" s="607"/>
      <c r="CW239" s="607"/>
      <c r="CX239" s="607"/>
      <c r="CY239" s="785"/>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50"/>
    </row>
    <row r="240" spans="1:256" ht="17.25" hidden="1" customHeight="1">
      <c r="A240" s="1551"/>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4"/>
      <c r="CF240" s="607"/>
      <c r="CG240" s="607"/>
      <c r="CH240" s="607"/>
      <c r="CI240" s="607"/>
      <c r="CJ240" s="607"/>
      <c r="CK240" s="607"/>
      <c r="CL240" s="607"/>
      <c r="CM240" s="607"/>
      <c r="CN240" s="607"/>
      <c r="CO240" s="607"/>
      <c r="CP240" s="607"/>
      <c r="CQ240" s="607"/>
      <c r="CR240" s="607"/>
      <c r="CS240" s="607"/>
      <c r="CT240" s="607"/>
      <c r="CU240" s="607"/>
      <c r="CV240" s="607"/>
      <c r="CW240" s="607"/>
      <c r="CX240" s="607"/>
      <c r="CY240" s="785"/>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50"/>
    </row>
    <row r="241" spans="1:256" ht="17.25" hidden="1" customHeight="1">
      <c r="A241" s="1551"/>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4"/>
      <c r="CF241" s="607"/>
      <c r="CG241" s="607"/>
      <c r="CH241" s="607"/>
      <c r="CI241" s="607"/>
      <c r="CJ241" s="607"/>
      <c r="CK241" s="607"/>
      <c r="CL241" s="607"/>
      <c r="CM241" s="607"/>
      <c r="CN241" s="607"/>
      <c r="CO241" s="607"/>
      <c r="CP241" s="607"/>
      <c r="CQ241" s="607"/>
      <c r="CR241" s="607"/>
      <c r="CS241" s="607"/>
      <c r="CT241" s="607"/>
      <c r="CU241" s="607"/>
      <c r="CV241" s="607"/>
      <c r="CW241" s="607"/>
      <c r="CX241" s="607"/>
      <c r="CY241" s="785"/>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50"/>
    </row>
    <row r="242" spans="1:256" ht="17.25" hidden="1" customHeight="1">
      <c r="A242" s="1551"/>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4"/>
      <c r="CF242" s="607"/>
      <c r="CG242" s="607"/>
      <c r="CH242" s="607"/>
      <c r="CI242" s="607"/>
      <c r="CJ242" s="607"/>
      <c r="CK242" s="607"/>
      <c r="CL242" s="607"/>
      <c r="CM242" s="607"/>
      <c r="CN242" s="607"/>
      <c r="CO242" s="607"/>
      <c r="CP242" s="607"/>
      <c r="CQ242" s="607"/>
      <c r="CR242" s="607"/>
      <c r="CS242" s="607"/>
      <c r="CT242" s="607"/>
      <c r="CU242" s="607"/>
      <c r="CV242" s="607"/>
      <c r="CW242" s="607"/>
      <c r="CX242" s="607"/>
      <c r="CY242" s="785"/>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50"/>
    </row>
    <row r="243" spans="1:256" ht="17.25" hidden="1" customHeight="1">
      <c r="A243" s="1551"/>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4"/>
      <c r="CF243" s="607"/>
      <c r="CG243" s="607"/>
      <c r="CH243" s="607"/>
      <c r="CI243" s="607"/>
      <c r="CJ243" s="607"/>
      <c r="CK243" s="607"/>
      <c r="CL243" s="607"/>
      <c r="CM243" s="607"/>
      <c r="CN243" s="607"/>
      <c r="CO243" s="607"/>
      <c r="CP243" s="607"/>
      <c r="CQ243" s="607"/>
      <c r="CR243" s="607"/>
      <c r="CS243" s="607"/>
      <c r="CT243" s="607"/>
      <c r="CU243" s="607"/>
      <c r="CV243" s="607"/>
      <c r="CW243" s="607"/>
      <c r="CX243" s="607"/>
      <c r="CY243" s="785"/>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50"/>
    </row>
    <row r="244" spans="1:256" ht="17.25" hidden="1" customHeight="1">
      <c r="A244" s="1551"/>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4"/>
      <c r="CF244" s="607"/>
      <c r="CG244" s="607"/>
      <c r="CH244" s="607"/>
      <c r="CI244" s="607"/>
      <c r="CJ244" s="607"/>
      <c r="CK244" s="607"/>
      <c r="CL244" s="607"/>
      <c r="CM244" s="607"/>
      <c r="CN244" s="607"/>
      <c r="CO244" s="607"/>
      <c r="CP244" s="607"/>
      <c r="CQ244" s="607"/>
      <c r="CR244" s="607"/>
      <c r="CS244" s="607"/>
      <c r="CT244" s="607"/>
      <c r="CU244" s="607"/>
      <c r="CV244" s="607"/>
      <c r="CW244" s="607"/>
      <c r="CX244" s="607"/>
      <c r="CY244" s="785"/>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50"/>
    </row>
    <row r="245" spans="1:256" ht="17.25" hidden="1" customHeight="1">
      <c r="A245" s="1551"/>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4"/>
      <c r="CF245" s="607"/>
      <c r="CG245" s="607"/>
      <c r="CH245" s="607"/>
      <c r="CI245" s="607"/>
      <c r="CJ245" s="607"/>
      <c r="CK245" s="607"/>
      <c r="CL245" s="607"/>
      <c r="CM245" s="607"/>
      <c r="CN245" s="607"/>
      <c r="CO245" s="607"/>
      <c r="CP245" s="607"/>
      <c r="CQ245" s="607"/>
      <c r="CR245" s="607"/>
      <c r="CS245" s="607"/>
      <c r="CT245" s="607"/>
      <c r="CU245" s="607"/>
      <c r="CV245" s="607"/>
      <c r="CW245" s="607"/>
      <c r="CX245" s="607"/>
      <c r="CY245" s="785"/>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50"/>
    </row>
    <row r="246" spans="1:256" ht="17.25" hidden="1" customHeight="1">
      <c r="A246" s="1551"/>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4"/>
      <c r="CF246" s="607"/>
      <c r="CG246" s="607"/>
      <c r="CH246" s="607"/>
      <c r="CI246" s="607"/>
      <c r="CJ246" s="607"/>
      <c r="CK246" s="607"/>
      <c r="CL246" s="607"/>
      <c r="CM246" s="607"/>
      <c r="CN246" s="607"/>
      <c r="CO246" s="607"/>
      <c r="CP246" s="607"/>
      <c r="CQ246" s="607"/>
      <c r="CR246" s="607"/>
      <c r="CS246" s="607"/>
      <c r="CT246" s="607"/>
      <c r="CU246" s="607"/>
      <c r="CV246" s="607"/>
      <c r="CW246" s="607"/>
      <c r="CX246" s="607"/>
      <c r="CY246" s="785"/>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50"/>
    </row>
    <row r="247" spans="1:256" ht="17.25" hidden="1" customHeight="1">
      <c r="A247" s="1551"/>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4"/>
      <c r="CF247" s="607"/>
      <c r="CG247" s="607"/>
      <c r="CH247" s="607"/>
      <c r="CI247" s="607"/>
      <c r="CJ247" s="607"/>
      <c r="CK247" s="607"/>
      <c r="CL247" s="607"/>
      <c r="CM247" s="607"/>
      <c r="CN247" s="607"/>
      <c r="CO247" s="607"/>
      <c r="CP247" s="607"/>
      <c r="CQ247" s="607"/>
      <c r="CR247" s="607"/>
      <c r="CS247" s="607"/>
      <c r="CT247" s="607"/>
      <c r="CU247" s="607"/>
      <c r="CV247" s="607"/>
      <c r="CW247" s="607"/>
      <c r="CX247" s="607"/>
      <c r="CY247" s="785"/>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50"/>
    </row>
    <row r="248" spans="1:256" ht="17.25" hidden="1" customHeight="1">
      <c r="A248" s="1551"/>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4"/>
      <c r="CF248" s="607"/>
      <c r="CG248" s="607"/>
      <c r="CH248" s="607"/>
      <c r="CI248" s="607"/>
      <c r="CJ248" s="607"/>
      <c r="CK248" s="607"/>
      <c r="CL248" s="607"/>
      <c r="CM248" s="607"/>
      <c r="CN248" s="607"/>
      <c r="CO248" s="607"/>
      <c r="CP248" s="607"/>
      <c r="CQ248" s="607"/>
      <c r="CR248" s="607"/>
      <c r="CS248" s="607"/>
      <c r="CT248" s="607"/>
      <c r="CU248" s="607"/>
      <c r="CV248" s="607"/>
      <c r="CW248" s="607"/>
      <c r="CX248" s="607"/>
      <c r="CY248" s="785"/>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50"/>
    </row>
    <row r="249" spans="1:256" ht="17.25" hidden="1" customHeight="1">
      <c r="A249" s="1551"/>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4"/>
      <c r="CF249" s="607"/>
      <c r="CG249" s="607"/>
      <c r="CH249" s="607"/>
      <c r="CI249" s="607"/>
      <c r="CJ249" s="607"/>
      <c r="CK249" s="607"/>
      <c r="CL249" s="607"/>
      <c r="CM249" s="607"/>
      <c r="CN249" s="607"/>
      <c r="CO249" s="607"/>
      <c r="CP249" s="607"/>
      <c r="CQ249" s="607"/>
      <c r="CR249" s="607"/>
      <c r="CS249" s="607"/>
      <c r="CT249" s="607"/>
      <c r="CU249" s="607"/>
      <c r="CV249" s="607"/>
      <c r="CW249" s="607"/>
      <c r="CX249" s="607"/>
      <c r="CY249" s="785"/>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50"/>
    </row>
    <row r="250" spans="1:256" ht="17.25" hidden="1" customHeight="1">
      <c r="A250" s="1551"/>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4"/>
      <c r="CF250" s="607"/>
      <c r="CG250" s="607"/>
      <c r="CH250" s="607"/>
      <c r="CI250" s="607"/>
      <c r="CJ250" s="607"/>
      <c r="CK250" s="607"/>
      <c r="CL250" s="607"/>
      <c r="CM250" s="607"/>
      <c r="CN250" s="607"/>
      <c r="CO250" s="607"/>
      <c r="CP250" s="607"/>
      <c r="CQ250" s="607"/>
      <c r="CR250" s="607"/>
      <c r="CS250" s="607"/>
      <c r="CT250" s="607"/>
      <c r="CU250" s="607"/>
      <c r="CV250" s="607"/>
      <c r="CW250" s="607"/>
      <c r="CX250" s="607"/>
      <c r="CY250" s="785"/>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50"/>
    </row>
    <row r="251" spans="1:256" ht="17.25" hidden="1" customHeight="1">
      <c r="A251" s="1551"/>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4"/>
      <c r="CF251" s="607"/>
      <c r="CG251" s="607"/>
      <c r="CH251" s="607"/>
      <c r="CI251" s="607"/>
      <c r="CJ251" s="607"/>
      <c r="CK251" s="607"/>
      <c r="CL251" s="607"/>
      <c r="CM251" s="607"/>
      <c r="CN251" s="607"/>
      <c r="CO251" s="607"/>
      <c r="CP251" s="607"/>
      <c r="CQ251" s="607"/>
      <c r="CR251" s="607"/>
      <c r="CS251" s="607"/>
      <c r="CT251" s="607"/>
      <c r="CU251" s="607"/>
      <c r="CV251" s="607"/>
      <c r="CW251" s="607"/>
      <c r="CX251" s="607"/>
      <c r="CY251" s="785"/>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50"/>
    </row>
    <row r="252" spans="1:256" ht="17.25" hidden="1" customHeight="1">
      <c r="A252" s="1551"/>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4"/>
      <c r="CF252" s="607"/>
      <c r="CG252" s="607"/>
      <c r="CH252" s="607"/>
      <c r="CI252" s="607"/>
      <c r="CJ252" s="607"/>
      <c r="CK252" s="607"/>
      <c r="CL252" s="607"/>
      <c r="CM252" s="607"/>
      <c r="CN252" s="607"/>
      <c r="CO252" s="607"/>
      <c r="CP252" s="607"/>
      <c r="CQ252" s="607"/>
      <c r="CR252" s="607"/>
      <c r="CS252" s="607"/>
      <c r="CT252" s="607"/>
      <c r="CU252" s="607"/>
      <c r="CV252" s="607"/>
      <c r="CW252" s="607"/>
      <c r="CX252" s="607"/>
      <c r="CY252" s="785"/>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50"/>
    </row>
    <row r="253" spans="1:256" ht="17.25" hidden="1" customHeight="1">
      <c r="A253" s="1551"/>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4"/>
      <c r="CF253" s="607"/>
      <c r="CG253" s="607"/>
      <c r="CH253" s="607"/>
      <c r="CI253" s="607"/>
      <c r="CJ253" s="607"/>
      <c r="CK253" s="607"/>
      <c r="CL253" s="607"/>
      <c r="CM253" s="607"/>
      <c r="CN253" s="607"/>
      <c r="CO253" s="607"/>
      <c r="CP253" s="607"/>
      <c r="CQ253" s="607"/>
      <c r="CR253" s="607"/>
      <c r="CS253" s="607"/>
      <c r="CT253" s="607"/>
      <c r="CU253" s="607"/>
      <c r="CV253" s="607"/>
      <c r="CW253" s="607"/>
      <c r="CX253" s="607"/>
      <c r="CY253" s="785"/>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50"/>
    </row>
    <row r="254" spans="1:256" s="662" customFormat="1" ht="17.25" hidden="1" customHeight="1">
      <c r="A254" s="1551"/>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4"/>
      <c r="CF254" s="607"/>
      <c r="CG254" s="607"/>
      <c r="CH254" s="607"/>
      <c r="CI254" s="607"/>
      <c r="CJ254" s="607"/>
      <c r="CK254" s="607"/>
      <c r="CL254" s="607"/>
      <c r="CM254" s="607"/>
      <c r="CN254" s="607"/>
      <c r="CO254" s="607"/>
      <c r="CP254" s="607"/>
      <c r="CQ254" s="607"/>
      <c r="CR254" s="607"/>
      <c r="CS254" s="607"/>
      <c r="CT254" s="607"/>
      <c r="CU254" s="607"/>
      <c r="CV254" s="607"/>
      <c r="CW254" s="607"/>
      <c r="CX254" s="607"/>
      <c r="CY254" s="785"/>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50"/>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8"/>
      <c r="B255" s="1589"/>
      <c r="C255" s="1588"/>
      <c r="D255" s="1588"/>
      <c r="E255" s="1588"/>
      <c r="F255" s="1588"/>
      <c r="G255" s="1588"/>
      <c r="H255" s="1588"/>
      <c r="I255" s="1588"/>
      <c r="J255" s="1588"/>
      <c r="K255" s="1588"/>
      <c r="L255" s="1588"/>
      <c r="M255" s="1588"/>
      <c r="N255" s="1588"/>
      <c r="O255" s="1588"/>
      <c r="P255" s="1588"/>
      <c r="Q255" s="1588"/>
      <c r="R255" s="1588"/>
      <c r="S255" s="1588"/>
      <c r="T255" s="1588"/>
      <c r="U255" s="1588"/>
      <c r="V255" s="1588"/>
      <c r="W255" s="1588"/>
      <c r="X255" s="1588"/>
      <c r="Y255" s="1588"/>
      <c r="Z255" s="1588"/>
      <c r="AA255" s="1588"/>
      <c r="AB255" s="1588"/>
      <c r="AC255" s="1588"/>
      <c r="AD255" s="1588"/>
      <c r="AE255" s="1588"/>
      <c r="AF255" s="1588"/>
      <c r="AG255" s="1588"/>
      <c r="AH255" s="1588"/>
      <c r="AI255" s="1588"/>
      <c r="AJ255" s="1588"/>
      <c r="AK255" s="1588"/>
      <c r="AL255" s="1588"/>
      <c r="AM255" s="1588"/>
      <c r="AN255" s="1588"/>
      <c r="AO255" s="1588"/>
      <c r="AP255" s="1588"/>
      <c r="AQ255" s="1588"/>
      <c r="AR255" s="1588"/>
      <c r="AS255" s="1588"/>
      <c r="AT255" s="1588"/>
      <c r="AU255" s="1588"/>
      <c r="AV255" s="1588"/>
      <c r="AW255" s="1588"/>
      <c r="AX255" s="1588"/>
      <c r="AY255" s="1588"/>
      <c r="AZ255" s="1588"/>
      <c r="BA255" s="1588"/>
      <c r="BB255" s="1588"/>
      <c r="BC255" s="1588"/>
      <c r="BD255" s="1588"/>
      <c r="BE255" s="1588"/>
      <c r="BF255" s="1588"/>
      <c r="BG255" s="1588"/>
      <c r="BH255" s="1588"/>
      <c r="BI255" s="1588"/>
      <c r="BJ255" s="1588"/>
      <c r="BK255" s="1588"/>
      <c r="BL255" s="1588"/>
      <c r="BM255" s="1588"/>
      <c r="BN255" s="1588"/>
      <c r="BO255" s="1588"/>
      <c r="BP255" s="1588"/>
      <c r="BQ255" s="1588"/>
      <c r="BR255" s="1588"/>
      <c r="BS255" s="1588"/>
      <c r="BT255" s="1588"/>
      <c r="BU255" s="1588"/>
      <c r="BV255" s="1588"/>
      <c r="BW255" s="1588"/>
      <c r="BX255" s="1588"/>
      <c r="BY255" s="1588"/>
      <c r="BZ255" s="1588"/>
      <c r="CA255" s="1588"/>
      <c r="CB255" s="1588"/>
      <c r="CC255" s="1588"/>
      <c r="CD255" s="1588"/>
      <c r="CE255" s="1544"/>
      <c r="CF255" s="1588"/>
      <c r="CG255" s="1588"/>
      <c r="CH255" s="1588"/>
      <c r="CI255" s="1588"/>
      <c r="CJ255" s="1588"/>
      <c r="CK255" s="1588"/>
      <c r="CL255" s="1588"/>
      <c r="CM255" s="1588"/>
      <c r="CN255" s="1588"/>
      <c r="CO255" s="1588"/>
      <c r="CP255" s="1588"/>
      <c r="CQ255" s="1588"/>
      <c r="CR255" s="1588"/>
      <c r="CS255" s="1588"/>
      <c r="CT255" s="1588"/>
      <c r="CU255" s="1588"/>
      <c r="CV255" s="1588"/>
      <c r="CW255" s="1588"/>
      <c r="CX255" s="1588"/>
      <c r="CY255" s="1555"/>
      <c r="CZ255" s="1588"/>
      <c r="DA255" s="1588"/>
      <c r="DB255" s="1588"/>
      <c r="DC255" s="1588"/>
      <c r="DD255" s="1588"/>
      <c r="DE255" s="1588"/>
      <c r="DF255" s="1588"/>
      <c r="DG255" s="1588"/>
      <c r="DH255" s="1588"/>
      <c r="DI255" s="1588"/>
      <c r="DJ255" s="1588"/>
      <c r="DK255" s="1588"/>
      <c r="DL255" s="1588"/>
      <c r="DM255" s="1588"/>
      <c r="DN255" s="1588"/>
      <c r="DO255" s="1588"/>
      <c r="DP255" s="1588"/>
      <c r="DQ255" s="1588"/>
      <c r="DR255" s="1588"/>
      <c r="DS255" s="1588"/>
      <c r="DT255" s="1588"/>
      <c r="DU255" s="1590"/>
      <c r="DV255" s="1591"/>
    </row>
    <row r="256" spans="1:256" s="537" customFormat="1" ht="18.75" hidden="1" customHeight="1">
      <c r="A256" s="1592"/>
      <c r="B256" s="1578"/>
      <c r="C256" s="1578"/>
      <c r="D256" s="1578"/>
      <c r="E256" s="1578"/>
      <c r="F256" s="1578"/>
      <c r="G256" s="1578"/>
      <c r="H256" s="1578"/>
      <c r="I256" s="1578"/>
      <c r="J256" s="1578"/>
      <c r="K256" s="1578"/>
      <c r="L256" s="1578"/>
      <c r="M256" s="1578"/>
      <c r="N256" s="1578"/>
      <c r="O256" s="1578"/>
      <c r="P256" s="1578"/>
      <c r="Q256" s="1578"/>
      <c r="R256" s="1578"/>
      <c r="S256" s="1578"/>
      <c r="T256" s="1578"/>
      <c r="U256" s="1578"/>
      <c r="V256" s="1578"/>
      <c r="W256" s="1578"/>
      <c r="X256" s="1578"/>
      <c r="Y256" s="1578"/>
      <c r="Z256" s="1578"/>
      <c r="AA256" s="1578"/>
      <c r="AB256" s="1578"/>
      <c r="AC256" s="1578"/>
      <c r="AD256" s="1578"/>
      <c r="AE256" s="1578"/>
      <c r="AF256" s="1578"/>
      <c r="AG256" s="1578"/>
      <c r="AH256" s="1578"/>
      <c r="AI256" s="1578"/>
      <c r="AJ256" s="1578"/>
      <c r="AK256" s="1578"/>
      <c r="AL256" s="1578"/>
      <c r="AM256" s="1578"/>
      <c r="AN256" s="1578"/>
      <c r="AO256" s="1578"/>
      <c r="AP256" s="1578"/>
      <c r="AQ256" s="1578"/>
      <c r="AR256" s="1578"/>
      <c r="AS256" s="1578"/>
      <c r="AT256" s="1578"/>
      <c r="AU256" s="1578"/>
      <c r="AV256" s="1578"/>
      <c r="AW256" s="1578"/>
      <c r="AX256" s="1578"/>
      <c r="AY256" s="1578"/>
      <c r="AZ256" s="1578"/>
      <c r="BA256" s="1578"/>
      <c r="BB256" s="1578"/>
      <c r="BC256" s="1578"/>
      <c r="BD256" s="1578"/>
      <c r="BE256" s="1578"/>
      <c r="BF256" s="1578"/>
      <c r="BG256" s="1578"/>
      <c r="BH256" s="1578"/>
      <c r="BI256" s="1578"/>
      <c r="BJ256" s="1578"/>
      <c r="BK256" s="1578"/>
      <c r="BL256" s="1578"/>
      <c r="BM256" s="1578"/>
      <c r="BN256" s="1578"/>
      <c r="BO256" s="1578"/>
      <c r="BP256" s="1578"/>
      <c r="BQ256" s="1578"/>
      <c r="BR256" s="1578"/>
      <c r="BS256" s="1578"/>
      <c r="BT256" s="1578"/>
      <c r="BU256" s="1578"/>
      <c r="BV256" s="1578"/>
      <c r="BW256" s="1578"/>
      <c r="BX256" s="1578"/>
      <c r="BY256" s="1578"/>
      <c r="BZ256" s="1578"/>
      <c r="CA256" s="1578"/>
      <c r="CB256" s="1578"/>
      <c r="CC256" s="1578"/>
      <c r="CD256" s="1578"/>
      <c r="CE256" s="1544"/>
      <c r="CF256" s="1578"/>
      <c r="CG256" s="1578"/>
      <c r="CH256" s="1578"/>
      <c r="CI256" s="1578"/>
      <c r="CJ256" s="1578"/>
      <c r="CK256" s="1578"/>
      <c r="CL256" s="1578"/>
      <c r="CM256" s="1578"/>
      <c r="CN256" s="1578"/>
      <c r="CO256" s="1578"/>
      <c r="CP256" s="1578"/>
      <c r="CQ256" s="1578"/>
      <c r="CR256" s="1578"/>
      <c r="CS256" s="1578"/>
      <c r="CT256" s="1578"/>
      <c r="CU256" s="1578"/>
      <c r="CV256" s="1578"/>
      <c r="CW256" s="1578"/>
      <c r="CX256" s="1578"/>
      <c r="CY256" s="1593"/>
      <c r="CZ256" s="1578"/>
      <c r="DA256" s="1578"/>
      <c r="DB256" s="1578"/>
      <c r="DC256" s="1578"/>
      <c r="DD256" s="1578"/>
      <c r="DE256" s="1578"/>
      <c r="DF256" s="1578"/>
      <c r="DG256" s="1578"/>
      <c r="DH256" s="1578"/>
      <c r="DI256" s="1578"/>
      <c r="DJ256" s="1578"/>
      <c r="DK256" s="1578"/>
      <c r="DL256" s="1578"/>
      <c r="DM256" s="1578"/>
      <c r="DN256" s="1578"/>
      <c r="DO256" s="1578"/>
      <c r="DP256" s="1578"/>
      <c r="DQ256" s="1578"/>
      <c r="DR256" s="1578"/>
      <c r="DS256" s="1578"/>
      <c r="DT256" s="1578"/>
      <c r="DU256" s="1578"/>
      <c r="DV256" s="1581"/>
      <c r="IR256" s="517"/>
      <c r="IS256" s="517"/>
      <c r="IT256" s="517"/>
      <c r="IU256" s="517"/>
      <c r="IV256" s="517"/>
    </row>
    <row r="257" spans="1:256" s="532" customFormat="1" ht="18" hidden="1" customHeight="1">
      <c r="A257" s="1587"/>
      <c r="B257" s="975"/>
      <c r="C257" s="975"/>
      <c r="D257" s="975"/>
      <c r="E257" s="975"/>
      <c r="F257" s="975"/>
      <c r="G257" s="975"/>
      <c r="H257" s="975"/>
      <c r="I257" s="975"/>
      <c r="J257" s="975"/>
      <c r="K257" s="975"/>
      <c r="L257" s="975"/>
      <c r="M257" s="975"/>
      <c r="N257" s="975"/>
      <c r="O257" s="975"/>
      <c r="P257" s="975"/>
      <c r="Q257" s="975"/>
      <c r="R257" s="975"/>
      <c r="S257" s="975"/>
      <c r="T257" s="975"/>
      <c r="U257" s="975"/>
      <c r="V257" s="975"/>
      <c r="W257" s="975"/>
      <c r="X257" s="975"/>
      <c r="Y257" s="975"/>
      <c r="Z257" s="975"/>
      <c r="AA257" s="975"/>
      <c r="AB257" s="975"/>
      <c r="AC257" s="975"/>
      <c r="AD257" s="975"/>
      <c r="AE257" s="975"/>
      <c r="AF257" s="975"/>
      <c r="AG257" s="975"/>
      <c r="AH257" s="975"/>
      <c r="AI257" s="975"/>
      <c r="AJ257" s="975"/>
      <c r="AK257" s="975"/>
      <c r="AL257" s="975"/>
      <c r="AM257" s="975"/>
      <c r="AN257" s="975"/>
      <c r="AO257" s="975"/>
      <c r="AP257" s="975"/>
      <c r="AQ257" s="975"/>
      <c r="AR257" s="975"/>
      <c r="AS257" s="975"/>
      <c r="AT257" s="975"/>
      <c r="AU257" s="975"/>
      <c r="AV257" s="975"/>
      <c r="AW257" s="975"/>
      <c r="AX257" s="975"/>
      <c r="AY257" s="975"/>
      <c r="AZ257" s="975"/>
      <c r="BA257" s="975"/>
      <c r="BB257" s="975"/>
      <c r="BC257" s="975"/>
      <c r="BD257" s="975"/>
      <c r="BE257" s="975"/>
      <c r="BF257" s="975"/>
      <c r="BG257" s="975"/>
      <c r="BH257" s="975"/>
      <c r="BI257" s="975"/>
      <c r="BJ257" s="975"/>
      <c r="BK257" s="975"/>
      <c r="BL257" s="975"/>
      <c r="BM257" s="975"/>
      <c r="BN257" s="975"/>
      <c r="BO257" s="975"/>
      <c r="BP257" s="975"/>
      <c r="BQ257" s="975"/>
      <c r="BR257" s="975"/>
      <c r="BS257" s="975"/>
      <c r="BT257" s="975"/>
      <c r="BU257" s="975"/>
      <c r="BV257" s="975"/>
      <c r="BW257" s="975"/>
      <c r="BX257" s="975"/>
      <c r="BY257" s="975"/>
      <c r="BZ257" s="975"/>
      <c r="CA257" s="975"/>
      <c r="CB257" s="975"/>
      <c r="CC257" s="975"/>
      <c r="CD257" s="975"/>
      <c r="CE257" s="1544"/>
      <c r="CF257" s="975"/>
      <c r="CG257" s="975"/>
      <c r="CH257" s="975"/>
      <c r="CI257" s="975"/>
      <c r="CJ257" s="975"/>
      <c r="CK257" s="975"/>
      <c r="CL257" s="975"/>
      <c r="CM257" s="975"/>
      <c r="CN257" s="975"/>
      <c r="CO257" s="975"/>
      <c r="CP257" s="975"/>
      <c r="CQ257" s="975"/>
      <c r="CR257" s="975"/>
      <c r="CS257" s="975"/>
      <c r="CT257" s="975"/>
      <c r="CU257" s="975"/>
      <c r="CV257" s="975"/>
      <c r="CW257" s="975"/>
      <c r="CX257" s="975"/>
      <c r="CY257" s="1558"/>
      <c r="CZ257" s="975"/>
      <c r="DA257" s="975"/>
      <c r="DB257" s="975"/>
      <c r="DC257" s="975"/>
      <c r="DD257" s="975"/>
      <c r="DE257" s="975"/>
      <c r="DF257" s="975"/>
      <c r="DG257" s="975"/>
      <c r="DH257" s="975"/>
      <c r="DI257" s="975"/>
      <c r="DJ257" s="975"/>
      <c r="DK257" s="975"/>
      <c r="DL257" s="975"/>
      <c r="DM257" s="975"/>
      <c r="DN257" s="975"/>
      <c r="DO257" s="975"/>
      <c r="DP257" s="975"/>
      <c r="DQ257" s="975"/>
      <c r="DR257" s="975"/>
      <c r="DS257" s="975"/>
      <c r="DT257" s="975"/>
      <c r="DU257" s="975"/>
      <c r="DV257" s="1559"/>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60"/>
      <c r="B258" s="975"/>
      <c r="C258" s="975"/>
      <c r="D258" s="975"/>
      <c r="E258" s="975"/>
      <c r="F258" s="975"/>
      <c r="G258" s="975"/>
      <c r="H258" s="975"/>
      <c r="I258" s="975"/>
      <c r="J258" s="975"/>
      <c r="K258" s="975"/>
      <c r="L258" s="975"/>
      <c r="M258" s="975"/>
      <c r="N258" s="975"/>
      <c r="O258" s="975"/>
      <c r="P258" s="975"/>
      <c r="Q258" s="975"/>
      <c r="R258" s="975"/>
      <c r="S258" s="975"/>
      <c r="T258" s="975"/>
      <c r="U258" s="975"/>
      <c r="V258" s="975"/>
      <c r="W258" s="975"/>
      <c r="X258" s="975"/>
      <c r="Y258" s="975"/>
      <c r="Z258" s="975"/>
      <c r="AA258" s="975"/>
      <c r="AB258" s="975"/>
      <c r="AC258" s="975"/>
      <c r="AD258" s="975"/>
      <c r="AE258" s="975"/>
      <c r="AF258" s="975"/>
      <c r="AG258" s="975"/>
      <c r="AH258" s="975"/>
      <c r="AI258" s="975"/>
      <c r="AJ258" s="975"/>
      <c r="AK258" s="975"/>
      <c r="AL258" s="975"/>
      <c r="AM258" s="975"/>
      <c r="AN258" s="975"/>
      <c r="AO258" s="975"/>
      <c r="AP258" s="975"/>
      <c r="AQ258" s="975"/>
      <c r="AR258" s="975"/>
      <c r="AS258" s="975"/>
      <c r="AT258" s="975"/>
      <c r="AU258" s="975"/>
      <c r="AV258" s="975"/>
      <c r="AW258" s="975"/>
      <c r="AX258" s="975"/>
      <c r="AY258" s="975"/>
      <c r="AZ258" s="975"/>
      <c r="BA258" s="975"/>
      <c r="BB258" s="975"/>
      <c r="BC258" s="975"/>
      <c r="BD258" s="975"/>
      <c r="BE258" s="975"/>
      <c r="BF258" s="975"/>
      <c r="BG258" s="975"/>
      <c r="BH258" s="975"/>
      <c r="BI258" s="975"/>
      <c r="BJ258" s="975"/>
      <c r="BK258" s="975"/>
      <c r="BL258" s="975"/>
      <c r="BM258" s="975"/>
      <c r="BN258" s="975"/>
      <c r="BO258" s="975"/>
      <c r="BP258" s="975"/>
      <c r="BQ258" s="975"/>
      <c r="BR258" s="975"/>
      <c r="BS258" s="975"/>
      <c r="BT258" s="975"/>
      <c r="BU258" s="975"/>
      <c r="BV258" s="975"/>
      <c r="BW258" s="975"/>
      <c r="BX258" s="975"/>
      <c r="BY258" s="975"/>
      <c r="BZ258" s="975"/>
      <c r="CA258" s="975"/>
      <c r="CB258" s="975"/>
      <c r="CC258" s="975"/>
      <c r="CD258" s="975"/>
      <c r="CE258" s="1544"/>
      <c r="CF258" s="975"/>
      <c r="CG258" s="975"/>
      <c r="CH258" s="975"/>
      <c r="CI258" s="975"/>
      <c r="CJ258" s="975"/>
      <c r="CK258" s="975"/>
      <c r="CL258" s="975"/>
      <c r="CM258" s="975"/>
      <c r="CN258" s="975"/>
      <c r="CO258" s="975"/>
      <c r="CP258" s="975"/>
      <c r="CQ258" s="975"/>
      <c r="CR258" s="975"/>
      <c r="CS258" s="975"/>
      <c r="CT258" s="975"/>
      <c r="CU258" s="975"/>
      <c r="CV258" s="975"/>
      <c r="CW258" s="975"/>
      <c r="CX258" s="975"/>
      <c r="CY258" s="1558"/>
      <c r="CZ258" s="975"/>
      <c r="DA258" s="975"/>
      <c r="DB258" s="975"/>
      <c r="DC258" s="975"/>
      <c r="DD258" s="975"/>
      <c r="DE258" s="975"/>
      <c r="DF258" s="975"/>
      <c r="DG258" s="975"/>
      <c r="DH258" s="975"/>
      <c r="DI258" s="975"/>
      <c r="DJ258" s="975"/>
      <c r="DK258" s="975"/>
      <c r="DL258" s="975"/>
      <c r="DM258" s="975"/>
      <c r="DN258" s="975"/>
      <c r="DO258" s="975"/>
      <c r="DP258" s="975"/>
      <c r="DQ258" s="975"/>
      <c r="DR258" s="975"/>
      <c r="DS258" s="975"/>
      <c r="DT258" s="975"/>
      <c r="DU258" s="975"/>
      <c r="DV258" s="1559"/>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51"/>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4"/>
      <c r="CF259" s="607"/>
      <c r="CG259" s="607"/>
      <c r="CH259" s="607"/>
      <c r="CI259" s="607"/>
      <c r="CJ259" s="607"/>
      <c r="CK259" s="607"/>
      <c r="CL259" s="607"/>
      <c r="CM259" s="607"/>
      <c r="CN259" s="607"/>
      <c r="CO259" s="607"/>
      <c r="CP259" s="607"/>
      <c r="CQ259" s="607"/>
      <c r="CR259" s="607"/>
      <c r="CS259" s="607"/>
      <c r="CT259" s="607"/>
      <c r="CU259" s="607"/>
      <c r="CV259" s="607"/>
      <c r="CW259" s="607"/>
      <c r="CX259" s="607"/>
      <c r="CY259" s="785"/>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50"/>
      <c r="IR259" s="529"/>
      <c r="IS259" s="529"/>
      <c r="IT259" s="529"/>
      <c r="IU259" s="529"/>
      <c r="IV259" s="529"/>
    </row>
    <row r="260" spans="1:256" ht="17.25" hidden="1" customHeight="1">
      <c r="A260" s="1551"/>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4"/>
      <c r="CF260" s="607"/>
      <c r="CG260" s="607"/>
      <c r="CH260" s="607"/>
      <c r="CI260" s="607"/>
      <c r="CJ260" s="607"/>
      <c r="CK260" s="607"/>
      <c r="CL260" s="607"/>
      <c r="CM260" s="607"/>
      <c r="CN260" s="607"/>
      <c r="CO260" s="607"/>
      <c r="CP260" s="607"/>
      <c r="CQ260" s="607"/>
      <c r="CR260" s="607"/>
      <c r="CS260" s="607"/>
      <c r="CT260" s="607"/>
      <c r="CU260" s="607"/>
      <c r="CV260" s="607"/>
      <c r="CW260" s="607"/>
      <c r="CX260" s="607"/>
      <c r="CY260" s="785"/>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50"/>
    </row>
    <row r="261" spans="1:256" ht="17.25" hidden="1" customHeight="1">
      <c r="A261" s="1551"/>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4"/>
      <c r="CF261" s="607"/>
      <c r="CG261" s="607"/>
      <c r="CH261" s="607"/>
      <c r="CI261" s="607"/>
      <c r="CJ261" s="607"/>
      <c r="CK261" s="607"/>
      <c r="CL261" s="607"/>
      <c r="CM261" s="607"/>
      <c r="CN261" s="607"/>
      <c r="CO261" s="607"/>
      <c r="CP261" s="607"/>
      <c r="CQ261" s="607"/>
      <c r="CR261" s="607"/>
      <c r="CS261" s="607"/>
      <c r="CT261" s="607"/>
      <c r="CU261" s="607"/>
      <c r="CV261" s="607"/>
      <c r="CW261" s="607"/>
      <c r="CX261" s="607"/>
      <c r="CY261" s="785"/>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50"/>
    </row>
    <row r="262" spans="1:256" ht="17.25" hidden="1" customHeight="1">
      <c r="A262" s="1551"/>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4"/>
      <c r="CF262" s="607"/>
      <c r="CG262" s="607"/>
      <c r="CH262" s="607"/>
      <c r="CI262" s="607"/>
      <c r="CJ262" s="607"/>
      <c r="CK262" s="607"/>
      <c r="CL262" s="607"/>
      <c r="CM262" s="607"/>
      <c r="CN262" s="607"/>
      <c r="CO262" s="607"/>
      <c r="CP262" s="607"/>
      <c r="CQ262" s="607"/>
      <c r="CR262" s="607"/>
      <c r="CS262" s="607"/>
      <c r="CT262" s="607"/>
      <c r="CU262" s="607"/>
      <c r="CV262" s="607"/>
      <c r="CW262" s="607"/>
      <c r="CX262" s="607"/>
      <c r="CY262" s="785"/>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50"/>
    </row>
    <row r="263" spans="1:256" ht="17.25" hidden="1" customHeight="1">
      <c r="A263" s="1551"/>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4"/>
      <c r="CF263" s="607"/>
      <c r="CG263" s="607"/>
      <c r="CH263" s="607"/>
      <c r="CI263" s="607"/>
      <c r="CJ263" s="607"/>
      <c r="CK263" s="607"/>
      <c r="CL263" s="607"/>
      <c r="CM263" s="607"/>
      <c r="CN263" s="607"/>
      <c r="CO263" s="607"/>
      <c r="CP263" s="607"/>
      <c r="CQ263" s="607"/>
      <c r="CR263" s="607"/>
      <c r="CS263" s="607"/>
      <c r="CT263" s="607"/>
      <c r="CU263" s="607"/>
      <c r="CV263" s="607"/>
      <c r="CW263" s="607"/>
      <c r="CX263" s="607"/>
      <c r="CY263" s="785"/>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50"/>
    </row>
    <row r="264" spans="1:256" ht="17.25" hidden="1" customHeight="1">
      <c r="A264" s="1551"/>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4"/>
      <c r="CF264" s="607"/>
      <c r="CG264" s="607"/>
      <c r="CH264" s="607"/>
      <c r="CI264" s="607"/>
      <c r="CJ264" s="607"/>
      <c r="CK264" s="607"/>
      <c r="CL264" s="607"/>
      <c r="CM264" s="607"/>
      <c r="CN264" s="607"/>
      <c r="CO264" s="607"/>
      <c r="CP264" s="607"/>
      <c r="CQ264" s="607"/>
      <c r="CR264" s="607"/>
      <c r="CS264" s="607"/>
      <c r="CT264" s="607"/>
      <c r="CU264" s="607"/>
      <c r="CV264" s="607"/>
      <c r="CW264" s="607"/>
      <c r="CX264" s="607"/>
      <c r="CY264" s="785"/>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50"/>
    </row>
    <row r="265" spans="1:256" ht="17.25" hidden="1" customHeight="1">
      <c r="A265" s="1551"/>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4"/>
      <c r="CF265" s="607"/>
      <c r="CG265" s="607"/>
      <c r="CH265" s="607"/>
      <c r="CI265" s="607"/>
      <c r="CJ265" s="607"/>
      <c r="CK265" s="607"/>
      <c r="CL265" s="607"/>
      <c r="CM265" s="607"/>
      <c r="CN265" s="607"/>
      <c r="CO265" s="607"/>
      <c r="CP265" s="607"/>
      <c r="CQ265" s="607"/>
      <c r="CR265" s="607"/>
      <c r="CS265" s="607"/>
      <c r="CT265" s="607"/>
      <c r="CU265" s="607"/>
      <c r="CV265" s="607"/>
      <c r="CW265" s="607"/>
      <c r="CX265" s="607"/>
      <c r="CY265" s="785"/>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50"/>
    </row>
    <row r="266" spans="1:256" ht="17.25" hidden="1" customHeight="1">
      <c r="A266" s="1551"/>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4"/>
      <c r="CF266" s="607"/>
      <c r="CG266" s="607"/>
      <c r="CH266" s="607"/>
      <c r="CI266" s="607"/>
      <c r="CJ266" s="607"/>
      <c r="CK266" s="607"/>
      <c r="CL266" s="607"/>
      <c r="CM266" s="607"/>
      <c r="CN266" s="607"/>
      <c r="CO266" s="607"/>
      <c r="CP266" s="607"/>
      <c r="CQ266" s="607"/>
      <c r="CR266" s="607"/>
      <c r="CS266" s="607"/>
      <c r="CT266" s="607"/>
      <c r="CU266" s="607"/>
      <c r="CV266" s="607"/>
      <c r="CW266" s="607"/>
      <c r="CX266" s="607"/>
      <c r="CY266" s="785"/>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50"/>
    </row>
    <row r="267" spans="1:256" ht="17.25" hidden="1" customHeight="1">
      <c r="A267" s="1551"/>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4"/>
      <c r="CF267" s="607"/>
      <c r="CG267" s="607"/>
      <c r="CH267" s="607"/>
      <c r="CI267" s="607"/>
      <c r="CJ267" s="607"/>
      <c r="CK267" s="607"/>
      <c r="CL267" s="607"/>
      <c r="CM267" s="607"/>
      <c r="CN267" s="607"/>
      <c r="CO267" s="607"/>
      <c r="CP267" s="607"/>
      <c r="CQ267" s="607"/>
      <c r="CR267" s="607"/>
      <c r="CS267" s="607"/>
      <c r="CT267" s="607"/>
      <c r="CU267" s="607"/>
      <c r="CV267" s="607"/>
      <c r="CW267" s="607"/>
      <c r="CX267" s="607"/>
      <c r="CY267" s="785"/>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50"/>
    </row>
    <row r="268" spans="1:256" ht="17.25" hidden="1" customHeight="1">
      <c r="A268" s="1551"/>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4"/>
      <c r="CF268" s="607"/>
      <c r="CG268" s="607"/>
      <c r="CH268" s="607"/>
      <c r="CI268" s="607"/>
      <c r="CJ268" s="607"/>
      <c r="CK268" s="607"/>
      <c r="CL268" s="607"/>
      <c r="CM268" s="607"/>
      <c r="CN268" s="607"/>
      <c r="CO268" s="607"/>
      <c r="CP268" s="607"/>
      <c r="CQ268" s="607"/>
      <c r="CR268" s="607"/>
      <c r="CS268" s="607"/>
      <c r="CT268" s="607"/>
      <c r="CU268" s="607"/>
      <c r="CV268" s="607"/>
      <c r="CW268" s="607"/>
      <c r="CX268" s="607"/>
      <c r="CY268" s="785"/>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50"/>
    </row>
    <row r="269" spans="1:256" ht="17.25" hidden="1" customHeight="1">
      <c r="A269" s="1551"/>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4"/>
      <c r="CF269" s="607"/>
      <c r="CG269" s="607"/>
      <c r="CH269" s="607"/>
      <c r="CI269" s="607"/>
      <c r="CJ269" s="607"/>
      <c r="CK269" s="607"/>
      <c r="CL269" s="607"/>
      <c r="CM269" s="607"/>
      <c r="CN269" s="607"/>
      <c r="CO269" s="607"/>
      <c r="CP269" s="607"/>
      <c r="CQ269" s="607"/>
      <c r="CR269" s="607"/>
      <c r="CS269" s="607"/>
      <c r="CT269" s="607"/>
      <c r="CU269" s="607"/>
      <c r="CV269" s="607"/>
      <c r="CW269" s="607"/>
      <c r="CX269" s="607"/>
      <c r="CY269" s="785"/>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50"/>
    </row>
    <row r="270" spans="1:256" ht="17.25" hidden="1" customHeight="1">
      <c r="A270" s="1551"/>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4"/>
      <c r="CF270" s="607"/>
      <c r="CG270" s="607"/>
      <c r="CH270" s="607"/>
      <c r="CI270" s="607"/>
      <c r="CJ270" s="607"/>
      <c r="CK270" s="607"/>
      <c r="CL270" s="607"/>
      <c r="CM270" s="607"/>
      <c r="CN270" s="607"/>
      <c r="CO270" s="607"/>
      <c r="CP270" s="607"/>
      <c r="CQ270" s="607"/>
      <c r="CR270" s="607"/>
      <c r="CS270" s="607"/>
      <c r="CT270" s="607"/>
      <c r="CU270" s="607"/>
      <c r="CV270" s="607"/>
      <c r="CW270" s="607"/>
      <c r="CX270" s="607"/>
      <c r="CY270" s="785"/>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50"/>
    </row>
    <row r="271" spans="1:256" ht="17.25" hidden="1" customHeight="1">
      <c r="A271" s="1551"/>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4"/>
      <c r="CF271" s="607"/>
      <c r="CG271" s="607"/>
      <c r="CH271" s="607"/>
      <c r="CI271" s="607"/>
      <c r="CJ271" s="607"/>
      <c r="CK271" s="607"/>
      <c r="CL271" s="607"/>
      <c r="CM271" s="607"/>
      <c r="CN271" s="607"/>
      <c r="CO271" s="607"/>
      <c r="CP271" s="607"/>
      <c r="CQ271" s="607"/>
      <c r="CR271" s="607"/>
      <c r="CS271" s="607"/>
      <c r="CT271" s="607"/>
      <c r="CU271" s="607"/>
      <c r="CV271" s="607"/>
      <c r="CW271" s="607"/>
      <c r="CX271" s="607"/>
      <c r="CY271" s="785"/>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50"/>
    </row>
    <row r="272" spans="1:256" ht="17.25" hidden="1" customHeight="1">
      <c r="A272" s="1551"/>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4"/>
      <c r="CF272" s="607"/>
      <c r="CG272" s="607"/>
      <c r="CH272" s="607"/>
      <c r="CI272" s="607"/>
      <c r="CJ272" s="607"/>
      <c r="CK272" s="607"/>
      <c r="CL272" s="607"/>
      <c r="CM272" s="607"/>
      <c r="CN272" s="607"/>
      <c r="CO272" s="607"/>
      <c r="CP272" s="607"/>
      <c r="CQ272" s="607"/>
      <c r="CR272" s="607"/>
      <c r="CS272" s="607"/>
      <c r="CT272" s="607"/>
      <c r="CU272" s="607"/>
      <c r="CV272" s="607"/>
      <c r="CW272" s="607"/>
      <c r="CX272" s="607"/>
      <c r="CY272" s="785"/>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50"/>
    </row>
    <row r="273" spans="1:256" ht="17.25" hidden="1" customHeight="1">
      <c r="A273" s="1551"/>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4"/>
      <c r="CF273" s="607"/>
      <c r="CG273" s="607"/>
      <c r="CH273" s="607"/>
      <c r="CI273" s="607"/>
      <c r="CJ273" s="607"/>
      <c r="CK273" s="607"/>
      <c r="CL273" s="607"/>
      <c r="CM273" s="607"/>
      <c r="CN273" s="607"/>
      <c r="CO273" s="607"/>
      <c r="CP273" s="607"/>
      <c r="CQ273" s="607"/>
      <c r="CR273" s="607"/>
      <c r="CS273" s="607"/>
      <c r="CT273" s="607"/>
      <c r="CU273" s="607"/>
      <c r="CV273" s="607"/>
      <c r="CW273" s="607"/>
      <c r="CX273" s="607"/>
      <c r="CY273" s="785"/>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50"/>
    </row>
    <row r="274" spans="1:256" s="662" customFormat="1" ht="17.25" hidden="1" customHeight="1">
      <c r="A274" s="1551"/>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4"/>
      <c r="CF274" s="607"/>
      <c r="CG274" s="607"/>
      <c r="CH274" s="607"/>
      <c r="CI274" s="607"/>
      <c r="CJ274" s="607"/>
      <c r="CK274" s="607"/>
      <c r="CL274" s="607"/>
      <c r="CM274" s="607"/>
      <c r="CN274" s="607"/>
      <c r="CO274" s="607"/>
      <c r="CP274" s="607"/>
      <c r="CQ274" s="607"/>
      <c r="CR274" s="607"/>
      <c r="CS274" s="607"/>
      <c r="CT274" s="607"/>
      <c r="CU274" s="607"/>
      <c r="CV274" s="607"/>
      <c r="CW274" s="607"/>
      <c r="CX274" s="607"/>
      <c r="CY274" s="785"/>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50"/>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8"/>
      <c r="B275" s="1589"/>
      <c r="C275" s="1588"/>
      <c r="D275" s="1588"/>
      <c r="E275" s="1588"/>
      <c r="F275" s="1588"/>
      <c r="G275" s="1588"/>
      <c r="H275" s="1588"/>
      <c r="I275" s="1588"/>
      <c r="J275" s="1588"/>
      <c r="K275" s="1588"/>
      <c r="L275" s="1588"/>
      <c r="M275" s="1588"/>
      <c r="N275" s="1588"/>
      <c r="O275" s="1588"/>
      <c r="P275" s="1588"/>
      <c r="Q275" s="1588"/>
      <c r="R275" s="1588"/>
      <c r="S275" s="1588"/>
      <c r="T275" s="1588"/>
      <c r="U275" s="1588"/>
      <c r="V275" s="1588"/>
      <c r="W275" s="1588"/>
      <c r="X275" s="1588"/>
      <c r="Y275" s="1588"/>
      <c r="Z275" s="1588"/>
      <c r="AA275" s="1588"/>
      <c r="AB275" s="1588"/>
      <c r="AC275" s="1588"/>
      <c r="AD275" s="1588"/>
      <c r="AE275" s="1588"/>
      <c r="AF275" s="1588"/>
      <c r="AG275" s="1588"/>
      <c r="AH275" s="1588"/>
      <c r="AI275" s="1588"/>
      <c r="AJ275" s="1588"/>
      <c r="AK275" s="1588"/>
      <c r="AL275" s="1588"/>
      <c r="AM275" s="1588"/>
      <c r="AN275" s="1588"/>
      <c r="AO275" s="1588"/>
      <c r="AP275" s="1588"/>
      <c r="AQ275" s="1588"/>
      <c r="AR275" s="1588"/>
      <c r="AS275" s="1588"/>
      <c r="AT275" s="1588"/>
      <c r="AU275" s="1588"/>
      <c r="AV275" s="1588"/>
      <c r="AW275" s="1588"/>
      <c r="AX275" s="1588"/>
      <c r="AY275" s="1588"/>
      <c r="AZ275" s="1588"/>
      <c r="BA275" s="1588"/>
      <c r="BB275" s="1588"/>
      <c r="BC275" s="1588"/>
      <c r="BD275" s="1588"/>
      <c r="BE275" s="1588"/>
      <c r="BF275" s="1588"/>
      <c r="BG275" s="1588"/>
      <c r="BH275" s="1588"/>
      <c r="BI275" s="1588"/>
      <c r="BJ275" s="1588"/>
      <c r="BK275" s="1588"/>
      <c r="BL275" s="1588"/>
      <c r="BM275" s="1588"/>
      <c r="BN275" s="1588"/>
      <c r="BO275" s="1588"/>
      <c r="BP275" s="1588"/>
      <c r="BQ275" s="1588"/>
      <c r="BR275" s="1588"/>
      <c r="BS275" s="1588"/>
      <c r="BT275" s="1588"/>
      <c r="BU275" s="1588"/>
      <c r="BV275" s="1588"/>
      <c r="BW275" s="1588"/>
      <c r="BX275" s="1588"/>
      <c r="BY275" s="1588"/>
      <c r="BZ275" s="1588"/>
      <c r="CA275" s="1588"/>
      <c r="CB275" s="1588"/>
      <c r="CC275" s="1588"/>
      <c r="CD275" s="1588"/>
      <c r="CE275" s="1544"/>
      <c r="CF275" s="1588"/>
      <c r="CG275" s="1588"/>
      <c r="CH275" s="1588"/>
      <c r="CI275" s="1588"/>
      <c r="CJ275" s="1588"/>
      <c r="CK275" s="1588"/>
      <c r="CL275" s="1588"/>
      <c r="CM275" s="1588"/>
      <c r="CN275" s="1588"/>
      <c r="CO275" s="1588"/>
      <c r="CP275" s="1588"/>
      <c r="CQ275" s="1588"/>
      <c r="CR275" s="1588"/>
      <c r="CS275" s="1588"/>
      <c r="CT275" s="1588"/>
      <c r="CU275" s="1588"/>
      <c r="CV275" s="1588"/>
      <c r="CW275" s="1588"/>
      <c r="CX275" s="1588"/>
      <c r="CY275" s="1555"/>
      <c r="CZ275" s="1588"/>
      <c r="DA275" s="1588"/>
      <c r="DB275" s="1588"/>
      <c r="DC275" s="1588"/>
      <c r="DD275" s="1588"/>
      <c r="DE275" s="1588"/>
      <c r="DF275" s="1588"/>
      <c r="DG275" s="1588"/>
      <c r="DH275" s="1588"/>
      <c r="DI275" s="1588"/>
      <c r="DJ275" s="1588"/>
      <c r="DK275" s="1588"/>
      <c r="DL275" s="1588"/>
      <c r="DM275" s="1588"/>
      <c r="DN275" s="1588"/>
      <c r="DO275" s="1588"/>
      <c r="DP275" s="1588"/>
      <c r="DQ275" s="1588"/>
      <c r="DR275" s="1588"/>
      <c r="DS275" s="1588"/>
      <c r="DT275" s="1588"/>
      <c r="DU275" s="1590"/>
      <c r="DV275" s="1591"/>
    </row>
    <row r="276" spans="1:256" s="532" customFormat="1" ht="18" hidden="1" customHeight="1">
      <c r="A276" s="1560"/>
      <c r="B276" s="975"/>
      <c r="C276" s="975"/>
      <c r="D276" s="975"/>
      <c r="E276" s="975"/>
      <c r="F276" s="975"/>
      <c r="G276" s="975"/>
      <c r="H276" s="975"/>
      <c r="I276" s="975"/>
      <c r="J276" s="975"/>
      <c r="K276" s="975"/>
      <c r="L276" s="975"/>
      <c r="M276" s="975"/>
      <c r="N276" s="975"/>
      <c r="O276" s="975"/>
      <c r="P276" s="975"/>
      <c r="Q276" s="975"/>
      <c r="R276" s="975"/>
      <c r="S276" s="975"/>
      <c r="T276" s="975"/>
      <c r="U276" s="975"/>
      <c r="V276" s="975"/>
      <c r="W276" s="975"/>
      <c r="X276" s="975"/>
      <c r="Y276" s="975"/>
      <c r="Z276" s="975"/>
      <c r="AA276" s="975"/>
      <c r="AB276" s="975"/>
      <c r="AC276" s="975"/>
      <c r="AD276" s="975"/>
      <c r="AE276" s="975"/>
      <c r="AF276" s="975"/>
      <c r="AG276" s="975"/>
      <c r="AH276" s="975"/>
      <c r="AI276" s="975"/>
      <c r="AJ276" s="975"/>
      <c r="AK276" s="975"/>
      <c r="AL276" s="975"/>
      <c r="AM276" s="975"/>
      <c r="AN276" s="975"/>
      <c r="AO276" s="975"/>
      <c r="AP276" s="975"/>
      <c r="AQ276" s="975"/>
      <c r="AR276" s="975"/>
      <c r="AS276" s="975"/>
      <c r="AT276" s="975"/>
      <c r="AU276" s="975"/>
      <c r="AV276" s="975"/>
      <c r="AW276" s="975"/>
      <c r="AX276" s="975"/>
      <c r="AY276" s="975"/>
      <c r="AZ276" s="975"/>
      <c r="BA276" s="975"/>
      <c r="BB276" s="975"/>
      <c r="BC276" s="975"/>
      <c r="BD276" s="975"/>
      <c r="BE276" s="975"/>
      <c r="BF276" s="975"/>
      <c r="BG276" s="975"/>
      <c r="BH276" s="975"/>
      <c r="BI276" s="975"/>
      <c r="BJ276" s="975"/>
      <c r="BK276" s="975"/>
      <c r="BL276" s="975"/>
      <c r="BM276" s="975"/>
      <c r="BN276" s="975"/>
      <c r="BO276" s="975"/>
      <c r="BP276" s="975"/>
      <c r="BQ276" s="975"/>
      <c r="BR276" s="975"/>
      <c r="BS276" s="975"/>
      <c r="BT276" s="975"/>
      <c r="BU276" s="975"/>
      <c r="BV276" s="975"/>
      <c r="BW276" s="975"/>
      <c r="BX276" s="975"/>
      <c r="BY276" s="975"/>
      <c r="BZ276" s="975"/>
      <c r="CA276" s="975"/>
      <c r="CB276" s="975"/>
      <c r="CC276" s="975"/>
      <c r="CD276" s="975"/>
      <c r="CE276" s="1544"/>
      <c r="CF276" s="975"/>
      <c r="CG276" s="975"/>
      <c r="CH276" s="975"/>
      <c r="CI276" s="975"/>
      <c r="CJ276" s="975"/>
      <c r="CK276" s="975"/>
      <c r="CL276" s="975"/>
      <c r="CM276" s="975"/>
      <c r="CN276" s="975"/>
      <c r="CO276" s="975"/>
      <c r="CP276" s="975"/>
      <c r="CQ276" s="975"/>
      <c r="CR276" s="975"/>
      <c r="CS276" s="975"/>
      <c r="CT276" s="975"/>
      <c r="CU276" s="975"/>
      <c r="CV276" s="975"/>
      <c r="CW276" s="975"/>
      <c r="CX276" s="975"/>
      <c r="CY276" s="1558"/>
      <c r="CZ276" s="975"/>
      <c r="DA276" s="975"/>
      <c r="DB276" s="975"/>
      <c r="DC276" s="975"/>
      <c r="DD276" s="975"/>
      <c r="DE276" s="975"/>
      <c r="DF276" s="975"/>
      <c r="DG276" s="975"/>
      <c r="DH276" s="975"/>
      <c r="DI276" s="975"/>
      <c r="DJ276" s="975"/>
      <c r="DK276" s="975"/>
      <c r="DL276" s="975"/>
      <c r="DM276" s="975"/>
      <c r="DN276" s="975"/>
      <c r="DO276" s="975"/>
      <c r="DP276" s="975"/>
      <c r="DQ276" s="975"/>
      <c r="DR276" s="975"/>
      <c r="DS276" s="975"/>
      <c r="DT276" s="975"/>
      <c r="DU276" s="975"/>
      <c r="DV276" s="1559"/>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51"/>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4"/>
      <c r="CF277" s="607"/>
      <c r="CG277" s="607"/>
      <c r="CH277" s="607"/>
      <c r="CI277" s="607"/>
      <c r="CJ277" s="607"/>
      <c r="CK277" s="607"/>
      <c r="CL277" s="607"/>
      <c r="CM277" s="607"/>
      <c r="CN277" s="607"/>
      <c r="CO277" s="607"/>
      <c r="CP277" s="607"/>
      <c r="CQ277" s="607"/>
      <c r="CR277" s="607"/>
      <c r="CS277" s="607"/>
      <c r="CT277" s="607"/>
      <c r="CU277" s="607"/>
      <c r="CV277" s="607"/>
      <c r="CW277" s="607"/>
      <c r="CX277" s="607"/>
      <c r="CY277" s="785"/>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50"/>
      <c r="IR277" s="529"/>
      <c r="IS277" s="529"/>
      <c r="IT277" s="529"/>
      <c r="IU277" s="529"/>
      <c r="IV277" s="529"/>
    </row>
    <row r="278" spans="1:256" ht="17.25" hidden="1" customHeight="1">
      <c r="A278" s="1551"/>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4"/>
      <c r="CF278" s="607"/>
      <c r="CG278" s="607"/>
      <c r="CH278" s="607"/>
      <c r="CI278" s="607"/>
      <c r="CJ278" s="607"/>
      <c r="CK278" s="607"/>
      <c r="CL278" s="607"/>
      <c r="CM278" s="607"/>
      <c r="CN278" s="607"/>
      <c r="CO278" s="607"/>
      <c r="CP278" s="607"/>
      <c r="CQ278" s="607"/>
      <c r="CR278" s="607"/>
      <c r="CS278" s="607"/>
      <c r="CT278" s="607"/>
      <c r="CU278" s="607"/>
      <c r="CV278" s="607"/>
      <c r="CW278" s="607"/>
      <c r="CX278" s="607"/>
      <c r="CY278" s="785"/>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50"/>
    </row>
    <row r="279" spans="1:256" ht="17.25" hidden="1" customHeight="1">
      <c r="A279" s="1551"/>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4"/>
      <c r="CF279" s="607"/>
      <c r="CG279" s="607"/>
      <c r="CH279" s="607"/>
      <c r="CI279" s="607"/>
      <c r="CJ279" s="607"/>
      <c r="CK279" s="607"/>
      <c r="CL279" s="607"/>
      <c r="CM279" s="607"/>
      <c r="CN279" s="607"/>
      <c r="CO279" s="607"/>
      <c r="CP279" s="607"/>
      <c r="CQ279" s="607"/>
      <c r="CR279" s="607"/>
      <c r="CS279" s="607"/>
      <c r="CT279" s="607"/>
      <c r="CU279" s="607"/>
      <c r="CV279" s="607"/>
      <c r="CW279" s="607"/>
      <c r="CX279" s="607"/>
      <c r="CY279" s="785"/>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50"/>
    </row>
    <row r="280" spans="1:256" ht="17.25" hidden="1" customHeight="1">
      <c r="A280" s="1551"/>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4"/>
      <c r="CF280" s="607"/>
      <c r="CG280" s="607"/>
      <c r="CH280" s="607"/>
      <c r="CI280" s="607"/>
      <c r="CJ280" s="607"/>
      <c r="CK280" s="607"/>
      <c r="CL280" s="607"/>
      <c r="CM280" s="607"/>
      <c r="CN280" s="607"/>
      <c r="CO280" s="607"/>
      <c r="CP280" s="607"/>
      <c r="CQ280" s="607"/>
      <c r="CR280" s="607"/>
      <c r="CS280" s="607"/>
      <c r="CT280" s="607"/>
      <c r="CU280" s="607"/>
      <c r="CV280" s="607"/>
      <c r="CW280" s="607"/>
      <c r="CX280" s="607"/>
      <c r="CY280" s="785"/>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50"/>
    </row>
    <row r="281" spans="1:256" s="662" customFormat="1" ht="17.25" hidden="1" customHeight="1">
      <c r="A281" s="1551"/>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4"/>
      <c r="CF281" s="607"/>
      <c r="CG281" s="607"/>
      <c r="CH281" s="607"/>
      <c r="CI281" s="607"/>
      <c r="CJ281" s="607"/>
      <c r="CK281" s="607"/>
      <c r="CL281" s="607"/>
      <c r="CM281" s="607"/>
      <c r="CN281" s="607"/>
      <c r="CO281" s="607"/>
      <c r="CP281" s="607"/>
      <c r="CQ281" s="607"/>
      <c r="CR281" s="607"/>
      <c r="CS281" s="607"/>
      <c r="CT281" s="607"/>
      <c r="CU281" s="607"/>
      <c r="CV281" s="607"/>
      <c r="CW281" s="607"/>
      <c r="CX281" s="607"/>
      <c r="CY281" s="785"/>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50"/>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8"/>
      <c r="B282" s="1589"/>
      <c r="C282" s="1588"/>
      <c r="D282" s="1588"/>
      <c r="E282" s="1588"/>
      <c r="F282" s="1588"/>
      <c r="G282" s="1588"/>
      <c r="H282" s="1588"/>
      <c r="I282" s="1588"/>
      <c r="J282" s="1588"/>
      <c r="K282" s="1588"/>
      <c r="L282" s="1588"/>
      <c r="M282" s="1588"/>
      <c r="N282" s="1588"/>
      <c r="O282" s="1588"/>
      <c r="P282" s="1588"/>
      <c r="Q282" s="1588"/>
      <c r="R282" s="1588"/>
      <c r="S282" s="1588"/>
      <c r="T282" s="1588"/>
      <c r="U282" s="1588"/>
      <c r="V282" s="1588"/>
      <c r="W282" s="1588"/>
      <c r="X282" s="1588"/>
      <c r="Y282" s="1588"/>
      <c r="Z282" s="1588"/>
      <c r="AA282" s="1588"/>
      <c r="AB282" s="1588"/>
      <c r="AC282" s="1588"/>
      <c r="AD282" s="1588"/>
      <c r="AE282" s="1588"/>
      <c r="AF282" s="1588"/>
      <c r="AG282" s="1588"/>
      <c r="AH282" s="1588"/>
      <c r="AI282" s="1588"/>
      <c r="AJ282" s="1588"/>
      <c r="AK282" s="1588"/>
      <c r="AL282" s="1588"/>
      <c r="AM282" s="1588"/>
      <c r="AN282" s="1588"/>
      <c r="AO282" s="1588"/>
      <c r="AP282" s="1588"/>
      <c r="AQ282" s="1588"/>
      <c r="AR282" s="1588"/>
      <c r="AS282" s="1588"/>
      <c r="AT282" s="1588"/>
      <c r="AU282" s="1588"/>
      <c r="AV282" s="1588"/>
      <c r="AW282" s="1588"/>
      <c r="AX282" s="1588"/>
      <c r="AY282" s="1588"/>
      <c r="AZ282" s="1588"/>
      <c r="BA282" s="1588"/>
      <c r="BB282" s="1588"/>
      <c r="BC282" s="1588"/>
      <c r="BD282" s="1588"/>
      <c r="BE282" s="1588"/>
      <c r="BF282" s="1588"/>
      <c r="BG282" s="1588"/>
      <c r="BH282" s="1588"/>
      <c r="BI282" s="1588"/>
      <c r="BJ282" s="1588"/>
      <c r="BK282" s="1588"/>
      <c r="BL282" s="1588"/>
      <c r="BM282" s="1588"/>
      <c r="BN282" s="1588"/>
      <c r="BO282" s="1588"/>
      <c r="BP282" s="1588"/>
      <c r="BQ282" s="1588"/>
      <c r="BR282" s="1588"/>
      <c r="BS282" s="1588"/>
      <c r="BT282" s="1588"/>
      <c r="BU282" s="1588"/>
      <c r="BV282" s="1588"/>
      <c r="BW282" s="1588"/>
      <c r="BX282" s="1588"/>
      <c r="BY282" s="1588"/>
      <c r="BZ282" s="1588"/>
      <c r="CA282" s="1588"/>
      <c r="CB282" s="1588"/>
      <c r="CC282" s="1588"/>
      <c r="CD282" s="1588"/>
      <c r="CE282" s="1544"/>
      <c r="CF282" s="1588"/>
      <c r="CG282" s="1588"/>
      <c r="CH282" s="1588"/>
      <c r="CI282" s="1588"/>
      <c r="CJ282" s="1588"/>
      <c r="CK282" s="1588"/>
      <c r="CL282" s="1588"/>
      <c r="CM282" s="1588"/>
      <c r="CN282" s="1588"/>
      <c r="CO282" s="1588"/>
      <c r="CP282" s="1588"/>
      <c r="CQ282" s="1588"/>
      <c r="CR282" s="1588"/>
      <c r="CS282" s="1588"/>
      <c r="CT282" s="1588"/>
      <c r="CU282" s="1588"/>
      <c r="CV282" s="1588"/>
      <c r="CW282" s="1588"/>
      <c r="CX282" s="1588"/>
      <c r="CY282" s="1555"/>
      <c r="CZ282" s="1588"/>
      <c r="DA282" s="1588"/>
      <c r="DB282" s="1588"/>
      <c r="DC282" s="1588"/>
      <c r="DD282" s="1588"/>
      <c r="DE282" s="1588"/>
      <c r="DF282" s="1588"/>
      <c r="DG282" s="1588"/>
      <c r="DH282" s="1588"/>
      <c r="DI282" s="1588"/>
      <c r="DJ282" s="1588"/>
      <c r="DK282" s="1588"/>
      <c r="DL282" s="1588"/>
      <c r="DM282" s="1588"/>
      <c r="DN282" s="1588"/>
      <c r="DO282" s="1588"/>
      <c r="DP282" s="1588"/>
      <c r="DQ282" s="1588"/>
      <c r="DR282" s="1588"/>
      <c r="DS282" s="1588"/>
      <c r="DT282" s="1588"/>
      <c r="DU282" s="1590"/>
      <c r="DV282" s="1591"/>
    </row>
    <row r="283" spans="1:256" s="532" customFormat="1" ht="18" hidden="1" customHeight="1">
      <c r="A283" s="1560"/>
      <c r="B283" s="975"/>
      <c r="C283" s="975"/>
      <c r="D283" s="975"/>
      <c r="E283" s="975"/>
      <c r="F283" s="975"/>
      <c r="G283" s="975"/>
      <c r="H283" s="975"/>
      <c r="I283" s="975"/>
      <c r="J283" s="975"/>
      <c r="K283" s="975"/>
      <c r="L283" s="975"/>
      <c r="M283" s="975"/>
      <c r="N283" s="975"/>
      <c r="O283" s="975"/>
      <c r="P283" s="975"/>
      <c r="Q283" s="975"/>
      <c r="R283" s="975"/>
      <c r="S283" s="975"/>
      <c r="T283" s="975"/>
      <c r="U283" s="975"/>
      <c r="V283" s="975"/>
      <c r="W283" s="975"/>
      <c r="X283" s="975"/>
      <c r="Y283" s="975"/>
      <c r="Z283" s="975"/>
      <c r="AA283" s="975"/>
      <c r="AB283" s="975"/>
      <c r="AC283" s="975"/>
      <c r="AD283" s="975"/>
      <c r="AE283" s="975"/>
      <c r="AF283" s="975"/>
      <c r="AG283" s="975"/>
      <c r="AH283" s="975"/>
      <c r="AI283" s="975"/>
      <c r="AJ283" s="975"/>
      <c r="AK283" s="975"/>
      <c r="AL283" s="975"/>
      <c r="AM283" s="975"/>
      <c r="AN283" s="975"/>
      <c r="AO283" s="975"/>
      <c r="AP283" s="975"/>
      <c r="AQ283" s="975"/>
      <c r="AR283" s="975"/>
      <c r="AS283" s="975"/>
      <c r="AT283" s="975"/>
      <c r="AU283" s="975"/>
      <c r="AV283" s="975"/>
      <c r="AW283" s="975"/>
      <c r="AX283" s="975"/>
      <c r="AY283" s="975"/>
      <c r="AZ283" s="975"/>
      <c r="BA283" s="975"/>
      <c r="BB283" s="975"/>
      <c r="BC283" s="975"/>
      <c r="BD283" s="975"/>
      <c r="BE283" s="975"/>
      <c r="BF283" s="975"/>
      <c r="BG283" s="975"/>
      <c r="BH283" s="975"/>
      <c r="BI283" s="975"/>
      <c r="BJ283" s="975"/>
      <c r="BK283" s="975"/>
      <c r="BL283" s="975"/>
      <c r="BM283" s="975"/>
      <c r="BN283" s="975"/>
      <c r="BO283" s="975"/>
      <c r="BP283" s="975"/>
      <c r="BQ283" s="975"/>
      <c r="BR283" s="975"/>
      <c r="BS283" s="975"/>
      <c r="BT283" s="975"/>
      <c r="BU283" s="975"/>
      <c r="BV283" s="975"/>
      <c r="BW283" s="975"/>
      <c r="BX283" s="975"/>
      <c r="BY283" s="975"/>
      <c r="BZ283" s="975"/>
      <c r="CA283" s="975"/>
      <c r="CB283" s="975"/>
      <c r="CC283" s="975"/>
      <c r="CD283" s="975"/>
      <c r="CE283" s="1544"/>
      <c r="CF283" s="975"/>
      <c r="CG283" s="975"/>
      <c r="CH283" s="975"/>
      <c r="CI283" s="975"/>
      <c r="CJ283" s="975"/>
      <c r="CK283" s="975"/>
      <c r="CL283" s="975"/>
      <c r="CM283" s="975"/>
      <c r="CN283" s="975"/>
      <c r="CO283" s="975"/>
      <c r="CP283" s="975"/>
      <c r="CQ283" s="975"/>
      <c r="CR283" s="975"/>
      <c r="CS283" s="975"/>
      <c r="CT283" s="975"/>
      <c r="CU283" s="975"/>
      <c r="CV283" s="975"/>
      <c r="CW283" s="975"/>
      <c r="CX283" s="975"/>
      <c r="CY283" s="1558"/>
      <c r="CZ283" s="975"/>
      <c r="DA283" s="975"/>
      <c r="DB283" s="975"/>
      <c r="DC283" s="975"/>
      <c r="DD283" s="975"/>
      <c r="DE283" s="975"/>
      <c r="DF283" s="975"/>
      <c r="DG283" s="975"/>
      <c r="DH283" s="975"/>
      <c r="DI283" s="975"/>
      <c r="DJ283" s="975"/>
      <c r="DK283" s="975"/>
      <c r="DL283" s="975"/>
      <c r="DM283" s="975"/>
      <c r="DN283" s="975"/>
      <c r="DO283" s="975"/>
      <c r="DP283" s="975"/>
      <c r="DQ283" s="975"/>
      <c r="DR283" s="975"/>
      <c r="DS283" s="975"/>
      <c r="DT283" s="975"/>
      <c r="DU283" s="975"/>
      <c r="DV283" s="1559"/>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51"/>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4"/>
      <c r="CF284" s="607"/>
      <c r="CG284" s="607"/>
      <c r="CH284" s="607"/>
      <c r="CI284" s="607"/>
      <c r="CJ284" s="607"/>
      <c r="CK284" s="607"/>
      <c r="CL284" s="607"/>
      <c r="CM284" s="607"/>
      <c r="CN284" s="607"/>
      <c r="CO284" s="607"/>
      <c r="CP284" s="607"/>
      <c r="CQ284" s="607"/>
      <c r="CR284" s="607"/>
      <c r="CS284" s="607"/>
      <c r="CT284" s="607"/>
      <c r="CU284" s="607"/>
      <c r="CV284" s="607"/>
      <c r="CW284" s="607"/>
      <c r="CX284" s="607"/>
      <c r="CY284" s="785"/>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50"/>
      <c r="IR284" s="529"/>
      <c r="IS284" s="529"/>
      <c r="IT284" s="529"/>
      <c r="IU284" s="529"/>
      <c r="IV284" s="529"/>
    </row>
    <row r="285" spans="1:256" ht="17.25" hidden="1" customHeight="1">
      <c r="A285" s="1551"/>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4"/>
      <c r="CF285" s="607"/>
      <c r="CG285" s="607"/>
      <c r="CH285" s="607"/>
      <c r="CI285" s="607"/>
      <c r="CJ285" s="607"/>
      <c r="CK285" s="607"/>
      <c r="CL285" s="607"/>
      <c r="CM285" s="607"/>
      <c r="CN285" s="607"/>
      <c r="CO285" s="607"/>
      <c r="CP285" s="607"/>
      <c r="CQ285" s="607"/>
      <c r="CR285" s="607"/>
      <c r="CS285" s="607"/>
      <c r="CT285" s="607"/>
      <c r="CU285" s="607"/>
      <c r="CV285" s="607"/>
      <c r="CW285" s="607"/>
      <c r="CX285" s="607"/>
      <c r="CY285" s="785"/>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50"/>
    </row>
    <row r="286" spans="1:256" ht="17.25" hidden="1" customHeight="1">
      <c r="A286" s="1551"/>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4"/>
      <c r="CF286" s="607"/>
      <c r="CG286" s="607"/>
      <c r="CH286" s="607"/>
      <c r="CI286" s="607"/>
      <c r="CJ286" s="607"/>
      <c r="CK286" s="607"/>
      <c r="CL286" s="607"/>
      <c r="CM286" s="607"/>
      <c r="CN286" s="607"/>
      <c r="CO286" s="607"/>
      <c r="CP286" s="607"/>
      <c r="CQ286" s="607"/>
      <c r="CR286" s="607"/>
      <c r="CS286" s="607"/>
      <c r="CT286" s="607"/>
      <c r="CU286" s="607"/>
      <c r="CV286" s="607"/>
      <c r="CW286" s="607"/>
      <c r="CX286" s="607"/>
      <c r="CY286" s="785"/>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50"/>
    </row>
    <row r="287" spans="1:256" ht="17.25" hidden="1" customHeight="1">
      <c r="A287" s="1551"/>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4"/>
      <c r="CF287" s="607"/>
      <c r="CG287" s="607"/>
      <c r="CH287" s="607"/>
      <c r="CI287" s="607"/>
      <c r="CJ287" s="607"/>
      <c r="CK287" s="607"/>
      <c r="CL287" s="607"/>
      <c r="CM287" s="607"/>
      <c r="CN287" s="607"/>
      <c r="CO287" s="607"/>
      <c r="CP287" s="607"/>
      <c r="CQ287" s="607"/>
      <c r="CR287" s="607"/>
      <c r="CS287" s="607"/>
      <c r="CT287" s="607"/>
      <c r="CU287" s="607"/>
      <c r="CV287" s="607"/>
      <c r="CW287" s="607"/>
      <c r="CX287" s="607"/>
      <c r="CY287" s="785"/>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50"/>
    </row>
    <row r="288" spans="1:256" ht="17.25" hidden="1" customHeight="1">
      <c r="A288" s="1551"/>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4"/>
      <c r="CF288" s="607"/>
      <c r="CG288" s="607"/>
      <c r="CH288" s="607"/>
      <c r="CI288" s="607"/>
      <c r="CJ288" s="607"/>
      <c r="CK288" s="607"/>
      <c r="CL288" s="607"/>
      <c r="CM288" s="607"/>
      <c r="CN288" s="607"/>
      <c r="CO288" s="607"/>
      <c r="CP288" s="607"/>
      <c r="CQ288" s="607"/>
      <c r="CR288" s="607"/>
      <c r="CS288" s="607"/>
      <c r="CT288" s="607"/>
      <c r="CU288" s="607"/>
      <c r="CV288" s="607"/>
      <c r="CW288" s="607"/>
      <c r="CX288" s="607"/>
      <c r="CY288" s="785"/>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50"/>
    </row>
    <row r="289" spans="1:256" ht="17.25" hidden="1" customHeight="1">
      <c r="A289" s="1551"/>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4"/>
      <c r="CF289" s="607"/>
      <c r="CG289" s="607"/>
      <c r="CH289" s="607"/>
      <c r="CI289" s="607"/>
      <c r="CJ289" s="607"/>
      <c r="CK289" s="607"/>
      <c r="CL289" s="607"/>
      <c r="CM289" s="607"/>
      <c r="CN289" s="607"/>
      <c r="CO289" s="607"/>
      <c r="CP289" s="607"/>
      <c r="CQ289" s="607"/>
      <c r="CR289" s="607"/>
      <c r="CS289" s="607"/>
      <c r="CT289" s="607"/>
      <c r="CU289" s="607"/>
      <c r="CV289" s="607"/>
      <c r="CW289" s="607"/>
      <c r="CX289" s="607"/>
      <c r="CY289" s="785"/>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50"/>
    </row>
    <row r="290" spans="1:256" ht="17.25" hidden="1" customHeight="1">
      <c r="A290" s="1551"/>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4"/>
      <c r="CF290" s="607"/>
      <c r="CG290" s="607"/>
      <c r="CH290" s="607"/>
      <c r="CI290" s="607"/>
      <c r="CJ290" s="607"/>
      <c r="CK290" s="607"/>
      <c r="CL290" s="607"/>
      <c r="CM290" s="607"/>
      <c r="CN290" s="607"/>
      <c r="CO290" s="607"/>
      <c r="CP290" s="607"/>
      <c r="CQ290" s="607"/>
      <c r="CR290" s="607"/>
      <c r="CS290" s="607"/>
      <c r="CT290" s="607"/>
      <c r="CU290" s="607"/>
      <c r="CV290" s="607"/>
      <c r="CW290" s="607"/>
      <c r="CX290" s="607"/>
      <c r="CY290" s="785"/>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50"/>
    </row>
    <row r="291" spans="1:256" ht="17.25" hidden="1" customHeight="1">
      <c r="A291" s="1551"/>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4"/>
      <c r="CF291" s="607"/>
      <c r="CG291" s="607"/>
      <c r="CH291" s="607"/>
      <c r="CI291" s="607"/>
      <c r="CJ291" s="607"/>
      <c r="CK291" s="607"/>
      <c r="CL291" s="607"/>
      <c r="CM291" s="607"/>
      <c r="CN291" s="607"/>
      <c r="CO291" s="607"/>
      <c r="CP291" s="607"/>
      <c r="CQ291" s="607"/>
      <c r="CR291" s="607"/>
      <c r="CS291" s="607"/>
      <c r="CT291" s="607"/>
      <c r="CU291" s="607"/>
      <c r="CV291" s="607"/>
      <c r="CW291" s="607"/>
      <c r="CX291" s="607"/>
      <c r="CY291" s="785"/>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50"/>
    </row>
    <row r="292" spans="1:256" ht="17.25" hidden="1" customHeight="1">
      <c r="A292" s="1551"/>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4"/>
      <c r="CF292" s="607"/>
      <c r="CG292" s="607"/>
      <c r="CH292" s="607"/>
      <c r="CI292" s="607"/>
      <c r="CJ292" s="607"/>
      <c r="CK292" s="607"/>
      <c r="CL292" s="607"/>
      <c r="CM292" s="607"/>
      <c r="CN292" s="607"/>
      <c r="CO292" s="607"/>
      <c r="CP292" s="607"/>
      <c r="CQ292" s="607"/>
      <c r="CR292" s="607"/>
      <c r="CS292" s="607"/>
      <c r="CT292" s="607"/>
      <c r="CU292" s="607"/>
      <c r="CV292" s="607"/>
      <c r="CW292" s="607"/>
      <c r="CX292" s="607"/>
      <c r="CY292" s="785"/>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50"/>
    </row>
    <row r="293" spans="1:256" ht="17.25" hidden="1" customHeight="1">
      <c r="A293" s="1551"/>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4"/>
      <c r="CF293" s="607"/>
      <c r="CG293" s="607"/>
      <c r="CH293" s="607"/>
      <c r="CI293" s="607"/>
      <c r="CJ293" s="607"/>
      <c r="CK293" s="607"/>
      <c r="CL293" s="607"/>
      <c r="CM293" s="607"/>
      <c r="CN293" s="607"/>
      <c r="CO293" s="607"/>
      <c r="CP293" s="607"/>
      <c r="CQ293" s="607"/>
      <c r="CR293" s="607"/>
      <c r="CS293" s="607"/>
      <c r="CT293" s="607"/>
      <c r="CU293" s="607"/>
      <c r="CV293" s="607"/>
      <c r="CW293" s="607"/>
      <c r="CX293" s="607"/>
      <c r="CY293" s="785"/>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50"/>
    </row>
    <row r="294" spans="1:256" ht="17.25" hidden="1" customHeight="1">
      <c r="A294" s="1551"/>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4"/>
      <c r="CF294" s="607"/>
      <c r="CG294" s="607"/>
      <c r="CH294" s="607"/>
      <c r="CI294" s="607"/>
      <c r="CJ294" s="607"/>
      <c r="CK294" s="607"/>
      <c r="CL294" s="607"/>
      <c r="CM294" s="607"/>
      <c r="CN294" s="607"/>
      <c r="CO294" s="607"/>
      <c r="CP294" s="607"/>
      <c r="CQ294" s="607"/>
      <c r="CR294" s="607"/>
      <c r="CS294" s="607"/>
      <c r="CT294" s="607"/>
      <c r="CU294" s="607"/>
      <c r="CV294" s="607"/>
      <c r="CW294" s="607"/>
      <c r="CX294" s="607"/>
      <c r="CY294" s="785"/>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50"/>
    </row>
    <row r="295" spans="1:256" ht="17.25" hidden="1" customHeight="1">
      <c r="A295" s="1551"/>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4"/>
      <c r="CF295" s="607"/>
      <c r="CG295" s="607"/>
      <c r="CH295" s="607"/>
      <c r="CI295" s="607"/>
      <c r="CJ295" s="607"/>
      <c r="CK295" s="607"/>
      <c r="CL295" s="607"/>
      <c r="CM295" s="607"/>
      <c r="CN295" s="607"/>
      <c r="CO295" s="607"/>
      <c r="CP295" s="607"/>
      <c r="CQ295" s="607"/>
      <c r="CR295" s="607"/>
      <c r="CS295" s="607"/>
      <c r="CT295" s="607"/>
      <c r="CU295" s="607"/>
      <c r="CV295" s="607"/>
      <c r="CW295" s="607"/>
      <c r="CX295" s="607"/>
      <c r="CY295" s="785"/>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50"/>
    </row>
    <row r="296" spans="1:256" ht="17.25" hidden="1" customHeight="1">
      <c r="A296" s="1551"/>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4"/>
      <c r="CF296" s="607"/>
      <c r="CG296" s="607"/>
      <c r="CH296" s="607"/>
      <c r="CI296" s="607"/>
      <c r="CJ296" s="607"/>
      <c r="CK296" s="607"/>
      <c r="CL296" s="607"/>
      <c r="CM296" s="607"/>
      <c r="CN296" s="607"/>
      <c r="CO296" s="607"/>
      <c r="CP296" s="607"/>
      <c r="CQ296" s="607"/>
      <c r="CR296" s="607"/>
      <c r="CS296" s="607"/>
      <c r="CT296" s="607"/>
      <c r="CU296" s="607"/>
      <c r="CV296" s="607"/>
      <c r="CW296" s="607"/>
      <c r="CX296" s="607"/>
      <c r="CY296" s="785"/>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50"/>
    </row>
    <row r="297" spans="1:256" ht="17.25" hidden="1" customHeight="1">
      <c r="A297" s="1551"/>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4"/>
      <c r="CF297" s="607"/>
      <c r="CG297" s="607"/>
      <c r="CH297" s="607"/>
      <c r="CI297" s="607"/>
      <c r="CJ297" s="607"/>
      <c r="CK297" s="607"/>
      <c r="CL297" s="607"/>
      <c r="CM297" s="607"/>
      <c r="CN297" s="607"/>
      <c r="CO297" s="607"/>
      <c r="CP297" s="607"/>
      <c r="CQ297" s="607"/>
      <c r="CR297" s="607"/>
      <c r="CS297" s="607"/>
      <c r="CT297" s="607"/>
      <c r="CU297" s="607"/>
      <c r="CV297" s="607"/>
      <c r="CW297" s="607"/>
      <c r="CX297" s="607"/>
      <c r="CY297" s="785"/>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50"/>
    </row>
    <row r="298" spans="1:256" ht="17.25" hidden="1" customHeight="1">
      <c r="A298" s="1551"/>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4"/>
      <c r="CF298" s="607"/>
      <c r="CG298" s="607"/>
      <c r="CH298" s="607"/>
      <c r="CI298" s="607"/>
      <c r="CJ298" s="607"/>
      <c r="CK298" s="607"/>
      <c r="CL298" s="607"/>
      <c r="CM298" s="607"/>
      <c r="CN298" s="607"/>
      <c r="CO298" s="607"/>
      <c r="CP298" s="607"/>
      <c r="CQ298" s="607"/>
      <c r="CR298" s="607"/>
      <c r="CS298" s="607"/>
      <c r="CT298" s="607"/>
      <c r="CU298" s="607"/>
      <c r="CV298" s="607"/>
      <c r="CW298" s="607"/>
      <c r="CX298" s="607"/>
      <c r="CY298" s="785"/>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50"/>
    </row>
    <row r="299" spans="1:256" ht="17.25" hidden="1" customHeight="1">
      <c r="A299" s="1551"/>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4"/>
      <c r="CF299" s="607"/>
      <c r="CG299" s="607"/>
      <c r="CH299" s="607"/>
      <c r="CI299" s="607"/>
      <c r="CJ299" s="607"/>
      <c r="CK299" s="607"/>
      <c r="CL299" s="607"/>
      <c r="CM299" s="607"/>
      <c r="CN299" s="607"/>
      <c r="CO299" s="607"/>
      <c r="CP299" s="607"/>
      <c r="CQ299" s="607"/>
      <c r="CR299" s="607"/>
      <c r="CS299" s="607"/>
      <c r="CT299" s="607"/>
      <c r="CU299" s="607"/>
      <c r="CV299" s="607"/>
      <c r="CW299" s="607"/>
      <c r="CX299" s="607"/>
      <c r="CY299" s="785"/>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50"/>
    </row>
    <row r="300" spans="1:256" s="662" customFormat="1" ht="17.25" hidden="1" customHeight="1">
      <c r="A300" s="1551"/>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4"/>
      <c r="CF300" s="607"/>
      <c r="CG300" s="607"/>
      <c r="CH300" s="607"/>
      <c r="CI300" s="607"/>
      <c r="CJ300" s="607"/>
      <c r="CK300" s="607"/>
      <c r="CL300" s="607"/>
      <c r="CM300" s="607"/>
      <c r="CN300" s="607"/>
      <c r="CO300" s="607"/>
      <c r="CP300" s="607"/>
      <c r="CQ300" s="607"/>
      <c r="CR300" s="607"/>
      <c r="CS300" s="607"/>
      <c r="CT300" s="607"/>
      <c r="CU300" s="607"/>
      <c r="CV300" s="607"/>
      <c r="CW300" s="607"/>
      <c r="CX300" s="607"/>
      <c r="CY300" s="785"/>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50"/>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8"/>
      <c r="B301" s="1589"/>
      <c r="C301" s="1588"/>
      <c r="D301" s="1588"/>
      <c r="E301" s="1588"/>
      <c r="F301" s="1588"/>
      <c r="G301" s="1588"/>
      <c r="H301" s="1588"/>
      <c r="I301" s="1588"/>
      <c r="J301" s="1588"/>
      <c r="K301" s="1588"/>
      <c r="L301" s="1588"/>
      <c r="M301" s="1588"/>
      <c r="N301" s="1588"/>
      <c r="O301" s="1588"/>
      <c r="P301" s="1588"/>
      <c r="Q301" s="1588"/>
      <c r="R301" s="1588"/>
      <c r="S301" s="1588"/>
      <c r="T301" s="1588"/>
      <c r="U301" s="1588"/>
      <c r="V301" s="1588"/>
      <c r="W301" s="1588"/>
      <c r="X301" s="1588"/>
      <c r="Y301" s="1588"/>
      <c r="Z301" s="1588"/>
      <c r="AA301" s="1588"/>
      <c r="AB301" s="1588"/>
      <c r="AC301" s="1588"/>
      <c r="AD301" s="1588"/>
      <c r="AE301" s="1588"/>
      <c r="AF301" s="1588"/>
      <c r="AG301" s="1588"/>
      <c r="AH301" s="1588"/>
      <c r="AI301" s="1588"/>
      <c r="AJ301" s="1588"/>
      <c r="AK301" s="1588"/>
      <c r="AL301" s="1588"/>
      <c r="AM301" s="1588"/>
      <c r="AN301" s="1588"/>
      <c r="AO301" s="1588"/>
      <c r="AP301" s="1588"/>
      <c r="AQ301" s="1588"/>
      <c r="AR301" s="1588"/>
      <c r="AS301" s="1588"/>
      <c r="AT301" s="1588"/>
      <c r="AU301" s="1588"/>
      <c r="AV301" s="1588"/>
      <c r="AW301" s="1588"/>
      <c r="AX301" s="1588"/>
      <c r="AY301" s="1588"/>
      <c r="AZ301" s="1588"/>
      <c r="BA301" s="1588"/>
      <c r="BB301" s="1588"/>
      <c r="BC301" s="1588"/>
      <c r="BD301" s="1588"/>
      <c r="BE301" s="1588"/>
      <c r="BF301" s="1588"/>
      <c r="BG301" s="1588"/>
      <c r="BH301" s="1588"/>
      <c r="BI301" s="1588"/>
      <c r="BJ301" s="1588"/>
      <c r="BK301" s="1588"/>
      <c r="BL301" s="1588"/>
      <c r="BM301" s="1588"/>
      <c r="BN301" s="1588"/>
      <c r="BO301" s="1588"/>
      <c r="BP301" s="1588"/>
      <c r="BQ301" s="1588"/>
      <c r="BR301" s="1588"/>
      <c r="BS301" s="1588"/>
      <c r="BT301" s="1588"/>
      <c r="BU301" s="1588"/>
      <c r="BV301" s="1588"/>
      <c r="BW301" s="1588"/>
      <c r="BX301" s="1588"/>
      <c r="BY301" s="1588"/>
      <c r="BZ301" s="1588"/>
      <c r="CA301" s="1588"/>
      <c r="CB301" s="1588"/>
      <c r="CC301" s="1588"/>
      <c r="CD301" s="1588"/>
      <c r="CE301" s="1544"/>
      <c r="CF301" s="1588"/>
      <c r="CG301" s="1588"/>
      <c r="CH301" s="1588"/>
      <c r="CI301" s="1588"/>
      <c r="CJ301" s="1588"/>
      <c r="CK301" s="1588"/>
      <c r="CL301" s="1588"/>
      <c r="CM301" s="1588"/>
      <c r="CN301" s="1588"/>
      <c r="CO301" s="1588"/>
      <c r="CP301" s="1588"/>
      <c r="CQ301" s="1588"/>
      <c r="CR301" s="1588"/>
      <c r="CS301" s="1588"/>
      <c r="CT301" s="1588"/>
      <c r="CU301" s="1588"/>
      <c r="CV301" s="1588"/>
      <c r="CW301" s="1588"/>
      <c r="CX301" s="1588"/>
      <c r="CY301" s="1555"/>
      <c r="CZ301" s="1588"/>
      <c r="DA301" s="1588"/>
      <c r="DB301" s="1588"/>
      <c r="DC301" s="1588"/>
      <c r="DD301" s="1588"/>
      <c r="DE301" s="1588"/>
      <c r="DF301" s="1588"/>
      <c r="DG301" s="1588"/>
      <c r="DH301" s="1588"/>
      <c r="DI301" s="1588"/>
      <c r="DJ301" s="1588"/>
      <c r="DK301" s="1588"/>
      <c r="DL301" s="1588"/>
      <c r="DM301" s="1588"/>
      <c r="DN301" s="1588"/>
      <c r="DO301" s="1588"/>
      <c r="DP301" s="1588"/>
      <c r="DQ301" s="1588"/>
      <c r="DR301" s="1588"/>
      <c r="DS301" s="1588"/>
      <c r="DT301" s="1588"/>
      <c r="DU301" s="1590"/>
      <c r="DV301" s="1591"/>
    </row>
    <row r="302" spans="1:256" s="532" customFormat="1" ht="18" hidden="1" customHeight="1">
      <c r="A302" s="1560"/>
      <c r="B302" s="975"/>
      <c r="C302" s="975"/>
      <c r="D302" s="975"/>
      <c r="E302" s="975"/>
      <c r="F302" s="975"/>
      <c r="G302" s="975"/>
      <c r="H302" s="975"/>
      <c r="I302" s="975"/>
      <c r="J302" s="975"/>
      <c r="K302" s="975"/>
      <c r="L302" s="975"/>
      <c r="M302" s="975"/>
      <c r="N302" s="975"/>
      <c r="O302" s="975"/>
      <c r="P302" s="975"/>
      <c r="Q302" s="975"/>
      <c r="R302" s="975"/>
      <c r="S302" s="975"/>
      <c r="T302" s="975"/>
      <c r="U302" s="975"/>
      <c r="V302" s="975"/>
      <c r="W302" s="975"/>
      <c r="X302" s="975"/>
      <c r="Y302" s="975"/>
      <c r="Z302" s="975"/>
      <c r="AA302" s="975"/>
      <c r="AB302" s="975"/>
      <c r="AC302" s="975"/>
      <c r="AD302" s="975"/>
      <c r="AE302" s="975"/>
      <c r="AF302" s="975"/>
      <c r="AG302" s="975"/>
      <c r="AH302" s="975"/>
      <c r="AI302" s="975"/>
      <c r="AJ302" s="975"/>
      <c r="AK302" s="975"/>
      <c r="AL302" s="975"/>
      <c r="AM302" s="975"/>
      <c r="AN302" s="975"/>
      <c r="AO302" s="975"/>
      <c r="AP302" s="975"/>
      <c r="AQ302" s="975"/>
      <c r="AR302" s="975"/>
      <c r="AS302" s="975"/>
      <c r="AT302" s="975"/>
      <c r="AU302" s="975"/>
      <c r="AV302" s="975"/>
      <c r="AW302" s="975"/>
      <c r="AX302" s="975"/>
      <c r="AY302" s="975"/>
      <c r="AZ302" s="975"/>
      <c r="BA302" s="975"/>
      <c r="BB302" s="975"/>
      <c r="BC302" s="975"/>
      <c r="BD302" s="975"/>
      <c r="BE302" s="975"/>
      <c r="BF302" s="975"/>
      <c r="BG302" s="975"/>
      <c r="BH302" s="975"/>
      <c r="BI302" s="975"/>
      <c r="BJ302" s="975"/>
      <c r="BK302" s="975"/>
      <c r="BL302" s="975"/>
      <c r="BM302" s="975"/>
      <c r="BN302" s="975"/>
      <c r="BO302" s="975"/>
      <c r="BP302" s="975"/>
      <c r="BQ302" s="975"/>
      <c r="BR302" s="975"/>
      <c r="BS302" s="975"/>
      <c r="BT302" s="975"/>
      <c r="BU302" s="975"/>
      <c r="BV302" s="975"/>
      <c r="BW302" s="975"/>
      <c r="BX302" s="975"/>
      <c r="BY302" s="975"/>
      <c r="BZ302" s="975"/>
      <c r="CA302" s="975"/>
      <c r="CB302" s="975"/>
      <c r="CC302" s="975"/>
      <c r="CD302" s="975"/>
      <c r="CE302" s="1544"/>
      <c r="CF302" s="975"/>
      <c r="CG302" s="975"/>
      <c r="CH302" s="975"/>
      <c r="CI302" s="975"/>
      <c r="CJ302" s="975"/>
      <c r="CK302" s="975"/>
      <c r="CL302" s="975"/>
      <c r="CM302" s="975"/>
      <c r="CN302" s="975"/>
      <c r="CO302" s="975"/>
      <c r="CP302" s="975"/>
      <c r="CQ302" s="975"/>
      <c r="CR302" s="975"/>
      <c r="CS302" s="975"/>
      <c r="CT302" s="975"/>
      <c r="CU302" s="975"/>
      <c r="CV302" s="975"/>
      <c r="CW302" s="975"/>
      <c r="CX302" s="975"/>
      <c r="CY302" s="1558"/>
      <c r="CZ302" s="975"/>
      <c r="DA302" s="975"/>
      <c r="DB302" s="975"/>
      <c r="DC302" s="975"/>
      <c r="DD302" s="975"/>
      <c r="DE302" s="975"/>
      <c r="DF302" s="975"/>
      <c r="DG302" s="975"/>
      <c r="DH302" s="975"/>
      <c r="DI302" s="975"/>
      <c r="DJ302" s="975"/>
      <c r="DK302" s="975"/>
      <c r="DL302" s="975"/>
      <c r="DM302" s="975"/>
      <c r="DN302" s="975"/>
      <c r="DO302" s="975"/>
      <c r="DP302" s="975"/>
      <c r="DQ302" s="975"/>
      <c r="DR302" s="975"/>
      <c r="DS302" s="975"/>
      <c r="DT302" s="975"/>
      <c r="DU302" s="975"/>
      <c r="DV302" s="1559"/>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51"/>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4"/>
      <c r="CF303" s="607"/>
      <c r="CG303" s="607"/>
      <c r="CH303" s="607"/>
      <c r="CI303" s="607"/>
      <c r="CJ303" s="607"/>
      <c r="CK303" s="607"/>
      <c r="CL303" s="607"/>
      <c r="CM303" s="607"/>
      <c r="CN303" s="607"/>
      <c r="CO303" s="607"/>
      <c r="CP303" s="607"/>
      <c r="CQ303" s="607"/>
      <c r="CR303" s="607"/>
      <c r="CS303" s="607"/>
      <c r="CT303" s="607"/>
      <c r="CU303" s="607"/>
      <c r="CV303" s="607"/>
      <c r="CW303" s="607"/>
      <c r="CX303" s="607"/>
      <c r="CY303" s="785"/>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50"/>
      <c r="IR303" s="529"/>
      <c r="IS303" s="529"/>
      <c r="IT303" s="529"/>
      <c r="IU303" s="529"/>
      <c r="IV303" s="529"/>
    </row>
    <row r="304" spans="1:256" ht="17.25" hidden="1" customHeight="1">
      <c r="A304" s="1551"/>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4"/>
      <c r="CF304" s="607"/>
      <c r="CG304" s="607"/>
      <c r="CH304" s="607"/>
      <c r="CI304" s="607"/>
      <c r="CJ304" s="607"/>
      <c r="CK304" s="607"/>
      <c r="CL304" s="607"/>
      <c r="CM304" s="607"/>
      <c r="CN304" s="607"/>
      <c r="CO304" s="607"/>
      <c r="CP304" s="607"/>
      <c r="CQ304" s="607"/>
      <c r="CR304" s="607"/>
      <c r="CS304" s="607"/>
      <c r="CT304" s="607"/>
      <c r="CU304" s="607"/>
      <c r="CV304" s="607"/>
      <c r="CW304" s="607"/>
      <c r="CX304" s="607"/>
      <c r="CY304" s="785"/>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50"/>
    </row>
    <row r="305" spans="1:256" ht="17.25" hidden="1" customHeight="1">
      <c r="A305" s="1551"/>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4"/>
      <c r="CF305" s="607"/>
      <c r="CG305" s="607"/>
      <c r="CH305" s="607"/>
      <c r="CI305" s="607"/>
      <c r="CJ305" s="607"/>
      <c r="CK305" s="607"/>
      <c r="CL305" s="607"/>
      <c r="CM305" s="607"/>
      <c r="CN305" s="607"/>
      <c r="CO305" s="607"/>
      <c r="CP305" s="607"/>
      <c r="CQ305" s="607"/>
      <c r="CR305" s="607"/>
      <c r="CS305" s="607"/>
      <c r="CT305" s="607"/>
      <c r="CU305" s="607"/>
      <c r="CV305" s="607"/>
      <c r="CW305" s="607"/>
      <c r="CX305" s="607"/>
      <c r="CY305" s="785"/>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50"/>
    </row>
    <row r="306" spans="1:256" ht="17.25" hidden="1" customHeight="1">
      <c r="A306" s="1551"/>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4"/>
      <c r="CF306" s="607"/>
      <c r="CG306" s="607"/>
      <c r="CH306" s="607"/>
      <c r="CI306" s="607"/>
      <c r="CJ306" s="607"/>
      <c r="CK306" s="607"/>
      <c r="CL306" s="607"/>
      <c r="CM306" s="607"/>
      <c r="CN306" s="607"/>
      <c r="CO306" s="607"/>
      <c r="CP306" s="607"/>
      <c r="CQ306" s="607"/>
      <c r="CR306" s="607"/>
      <c r="CS306" s="607"/>
      <c r="CT306" s="607"/>
      <c r="CU306" s="607"/>
      <c r="CV306" s="607"/>
      <c r="CW306" s="607"/>
      <c r="CX306" s="607"/>
      <c r="CY306" s="785"/>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50"/>
    </row>
    <row r="307" spans="1:256" ht="17.25" hidden="1" customHeight="1">
      <c r="A307" s="1551"/>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4"/>
      <c r="CF307" s="607"/>
      <c r="CG307" s="607"/>
      <c r="CH307" s="607"/>
      <c r="CI307" s="607"/>
      <c r="CJ307" s="607"/>
      <c r="CK307" s="607"/>
      <c r="CL307" s="607"/>
      <c r="CM307" s="607"/>
      <c r="CN307" s="607"/>
      <c r="CO307" s="607"/>
      <c r="CP307" s="607"/>
      <c r="CQ307" s="607"/>
      <c r="CR307" s="607"/>
      <c r="CS307" s="607"/>
      <c r="CT307" s="607"/>
      <c r="CU307" s="607"/>
      <c r="CV307" s="607"/>
      <c r="CW307" s="607"/>
      <c r="CX307" s="607"/>
      <c r="CY307" s="785"/>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50"/>
    </row>
    <row r="308" spans="1:256" ht="17.25" hidden="1" customHeight="1">
      <c r="A308" s="1551"/>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4"/>
      <c r="CF308" s="607"/>
      <c r="CG308" s="607"/>
      <c r="CH308" s="607"/>
      <c r="CI308" s="607"/>
      <c r="CJ308" s="607"/>
      <c r="CK308" s="607"/>
      <c r="CL308" s="607"/>
      <c r="CM308" s="607"/>
      <c r="CN308" s="607"/>
      <c r="CO308" s="607"/>
      <c r="CP308" s="607"/>
      <c r="CQ308" s="607"/>
      <c r="CR308" s="607"/>
      <c r="CS308" s="607"/>
      <c r="CT308" s="607"/>
      <c r="CU308" s="607"/>
      <c r="CV308" s="607"/>
      <c r="CW308" s="607"/>
      <c r="CX308" s="607"/>
      <c r="CY308" s="785"/>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50"/>
    </row>
    <row r="309" spans="1:256" ht="17.25" hidden="1" customHeight="1">
      <c r="A309" s="1551"/>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4"/>
      <c r="CF309" s="607"/>
      <c r="CG309" s="607"/>
      <c r="CH309" s="607"/>
      <c r="CI309" s="607"/>
      <c r="CJ309" s="607"/>
      <c r="CK309" s="607"/>
      <c r="CL309" s="607"/>
      <c r="CM309" s="607"/>
      <c r="CN309" s="607"/>
      <c r="CO309" s="607"/>
      <c r="CP309" s="607"/>
      <c r="CQ309" s="607"/>
      <c r="CR309" s="607"/>
      <c r="CS309" s="607"/>
      <c r="CT309" s="607"/>
      <c r="CU309" s="607"/>
      <c r="CV309" s="607"/>
      <c r="CW309" s="607"/>
      <c r="CX309" s="607"/>
      <c r="CY309" s="785"/>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50"/>
    </row>
    <row r="310" spans="1:256" ht="17.25" hidden="1" customHeight="1">
      <c r="A310" s="1551"/>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4"/>
      <c r="CF310" s="607"/>
      <c r="CG310" s="607"/>
      <c r="CH310" s="607"/>
      <c r="CI310" s="607"/>
      <c r="CJ310" s="607"/>
      <c r="CK310" s="607"/>
      <c r="CL310" s="607"/>
      <c r="CM310" s="607"/>
      <c r="CN310" s="607"/>
      <c r="CO310" s="607"/>
      <c r="CP310" s="607"/>
      <c r="CQ310" s="607"/>
      <c r="CR310" s="607"/>
      <c r="CS310" s="607"/>
      <c r="CT310" s="607"/>
      <c r="CU310" s="607"/>
      <c r="CV310" s="607"/>
      <c r="CW310" s="607"/>
      <c r="CX310" s="607"/>
      <c r="CY310" s="785"/>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50"/>
    </row>
    <row r="311" spans="1:256" ht="17.25" hidden="1" customHeight="1">
      <c r="A311" s="1551"/>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4"/>
      <c r="CF311" s="607"/>
      <c r="CG311" s="607"/>
      <c r="CH311" s="607"/>
      <c r="CI311" s="607"/>
      <c r="CJ311" s="607"/>
      <c r="CK311" s="607"/>
      <c r="CL311" s="607"/>
      <c r="CM311" s="607"/>
      <c r="CN311" s="607"/>
      <c r="CO311" s="607"/>
      <c r="CP311" s="607"/>
      <c r="CQ311" s="607"/>
      <c r="CR311" s="607"/>
      <c r="CS311" s="607"/>
      <c r="CT311" s="607"/>
      <c r="CU311" s="607"/>
      <c r="CV311" s="607"/>
      <c r="CW311" s="607"/>
      <c r="CX311" s="607"/>
      <c r="CY311" s="785"/>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50"/>
    </row>
    <row r="312" spans="1:256" s="662" customFormat="1" ht="17.25" hidden="1" customHeight="1">
      <c r="A312" s="1551"/>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4"/>
      <c r="CF312" s="607"/>
      <c r="CG312" s="607"/>
      <c r="CH312" s="607"/>
      <c r="CI312" s="607"/>
      <c r="CJ312" s="607"/>
      <c r="CK312" s="607"/>
      <c r="CL312" s="607"/>
      <c r="CM312" s="607"/>
      <c r="CN312" s="607"/>
      <c r="CO312" s="607"/>
      <c r="CP312" s="607"/>
      <c r="CQ312" s="607"/>
      <c r="CR312" s="607"/>
      <c r="CS312" s="607"/>
      <c r="CT312" s="607"/>
      <c r="CU312" s="607"/>
      <c r="CV312" s="607"/>
      <c r="CW312" s="607"/>
      <c r="CX312" s="607"/>
      <c r="CY312" s="785"/>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50"/>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8"/>
      <c r="B313" s="1589"/>
      <c r="C313" s="1588"/>
      <c r="D313" s="1588"/>
      <c r="E313" s="1588"/>
      <c r="F313" s="1588"/>
      <c r="G313" s="1588"/>
      <c r="H313" s="1588"/>
      <c r="I313" s="1588"/>
      <c r="J313" s="1588"/>
      <c r="K313" s="1588"/>
      <c r="L313" s="1588"/>
      <c r="M313" s="1588"/>
      <c r="N313" s="1588"/>
      <c r="O313" s="1588"/>
      <c r="P313" s="1588"/>
      <c r="Q313" s="1588"/>
      <c r="R313" s="1588"/>
      <c r="S313" s="1588"/>
      <c r="T313" s="1588"/>
      <c r="U313" s="1588"/>
      <c r="V313" s="1588"/>
      <c r="W313" s="1588"/>
      <c r="X313" s="1588"/>
      <c r="Y313" s="1588"/>
      <c r="Z313" s="1588"/>
      <c r="AA313" s="1588"/>
      <c r="AB313" s="1588"/>
      <c r="AC313" s="1588"/>
      <c r="AD313" s="1588"/>
      <c r="AE313" s="1588"/>
      <c r="AF313" s="1588"/>
      <c r="AG313" s="1588"/>
      <c r="AH313" s="1588"/>
      <c r="AI313" s="1588"/>
      <c r="AJ313" s="1588"/>
      <c r="AK313" s="1588"/>
      <c r="AL313" s="1588"/>
      <c r="AM313" s="1588"/>
      <c r="AN313" s="1588"/>
      <c r="AO313" s="1588"/>
      <c r="AP313" s="1588"/>
      <c r="AQ313" s="1588"/>
      <c r="AR313" s="1588"/>
      <c r="AS313" s="1588"/>
      <c r="AT313" s="1588"/>
      <c r="AU313" s="1588"/>
      <c r="AV313" s="1588"/>
      <c r="AW313" s="1588"/>
      <c r="AX313" s="1588"/>
      <c r="AY313" s="1588"/>
      <c r="AZ313" s="1588"/>
      <c r="BA313" s="1588"/>
      <c r="BB313" s="1588"/>
      <c r="BC313" s="1588"/>
      <c r="BD313" s="1588"/>
      <c r="BE313" s="1588"/>
      <c r="BF313" s="1588"/>
      <c r="BG313" s="1588"/>
      <c r="BH313" s="1588"/>
      <c r="BI313" s="1588"/>
      <c r="BJ313" s="1588"/>
      <c r="BK313" s="1588"/>
      <c r="BL313" s="1588"/>
      <c r="BM313" s="1588"/>
      <c r="BN313" s="1588"/>
      <c r="BO313" s="1588"/>
      <c r="BP313" s="1588"/>
      <c r="BQ313" s="1588"/>
      <c r="BR313" s="1588"/>
      <c r="BS313" s="1588"/>
      <c r="BT313" s="1588"/>
      <c r="BU313" s="1588"/>
      <c r="BV313" s="1588"/>
      <c r="BW313" s="1588"/>
      <c r="BX313" s="1588"/>
      <c r="BY313" s="1588"/>
      <c r="BZ313" s="1588"/>
      <c r="CA313" s="1588"/>
      <c r="CB313" s="1588"/>
      <c r="CC313" s="1588"/>
      <c r="CD313" s="1588"/>
      <c r="CE313" s="1544"/>
      <c r="CF313" s="1588"/>
      <c r="CG313" s="1588"/>
      <c r="CH313" s="1588"/>
      <c r="CI313" s="1588"/>
      <c r="CJ313" s="1588"/>
      <c r="CK313" s="1588"/>
      <c r="CL313" s="1588"/>
      <c r="CM313" s="1588"/>
      <c r="CN313" s="1588"/>
      <c r="CO313" s="1588"/>
      <c r="CP313" s="1588"/>
      <c r="CQ313" s="1588"/>
      <c r="CR313" s="1588"/>
      <c r="CS313" s="1588"/>
      <c r="CT313" s="1588"/>
      <c r="CU313" s="1588"/>
      <c r="CV313" s="1588"/>
      <c r="CW313" s="1588"/>
      <c r="CX313" s="1588"/>
      <c r="CY313" s="1555"/>
      <c r="CZ313" s="1588"/>
      <c r="DA313" s="1588"/>
      <c r="DB313" s="1588"/>
      <c r="DC313" s="1588"/>
      <c r="DD313" s="1588"/>
      <c r="DE313" s="1588"/>
      <c r="DF313" s="1588"/>
      <c r="DG313" s="1588"/>
      <c r="DH313" s="1588"/>
      <c r="DI313" s="1588"/>
      <c r="DJ313" s="1588"/>
      <c r="DK313" s="1588"/>
      <c r="DL313" s="1588"/>
      <c r="DM313" s="1588"/>
      <c r="DN313" s="1588"/>
      <c r="DO313" s="1588"/>
      <c r="DP313" s="1588"/>
      <c r="DQ313" s="1588"/>
      <c r="DR313" s="1588"/>
      <c r="DS313" s="1588"/>
      <c r="DT313" s="1588"/>
      <c r="DU313" s="1590"/>
      <c r="DV313" s="1591"/>
    </row>
    <row r="314" spans="1:256" s="532" customFormat="1" ht="18" hidden="1" customHeight="1">
      <c r="A314" s="1560"/>
      <c r="B314" s="975"/>
      <c r="C314" s="975"/>
      <c r="D314" s="975"/>
      <c r="E314" s="975"/>
      <c r="F314" s="975"/>
      <c r="G314" s="975"/>
      <c r="H314" s="975"/>
      <c r="I314" s="975"/>
      <c r="J314" s="975"/>
      <c r="K314" s="975"/>
      <c r="L314" s="975"/>
      <c r="M314" s="975"/>
      <c r="N314" s="975"/>
      <c r="O314" s="975"/>
      <c r="P314" s="975"/>
      <c r="Q314" s="975"/>
      <c r="R314" s="975"/>
      <c r="S314" s="975"/>
      <c r="T314" s="975"/>
      <c r="U314" s="975"/>
      <c r="V314" s="975"/>
      <c r="W314" s="975"/>
      <c r="X314" s="975"/>
      <c r="Y314" s="975"/>
      <c r="Z314" s="975"/>
      <c r="AA314" s="975"/>
      <c r="AB314" s="975"/>
      <c r="AC314" s="975"/>
      <c r="AD314" s="975"/>
      <c r="AE314" s="975"/>
      <c r="AF314" s="975"/>
      <c r="AG314" s="975"/>
      <c r="AH314" s="975"/>
      <c r="AI314" s="975"/>
      <c r="AJ314" s="975"/>
      <c r="AK314" s="975"/>
      <c r="AL314" s="975"/>
      <c r="AM314" s="975"/>
      <c r="AN314" s="975"/>
      <c r="AO314" s="975"/>
      <c r="AP314" s="975"/>
      <c r="AQ314" s="975"/>
      <c r="AR314" s="975"/>
      <c r="AS314" s="975"/>
      <c r="AT314" s="975"/>
      <c r="AU314" s="975"/>
      <c r="AV314" s="975"/>
      <c r="AW314" s="975"/>
      <c r="AX314" s="975"/>
      <c r="AY314" s="975"/>
      <c r="AZ314" s="975"/>
      <c r="BA314" s="975"/>
      <c r="BB314" s="975"/>
      <c r="BC314" s="975"/>
      <c r="BD314" s="975"/>
      <c r="BE314" s="975"/>
      <c r="BF314" s="975"/>
      <c r="BG314" s="975"/>
      <c r="BH314" s="975"/>
      <c r="BI314" s="975"/>
      <c r="BJ314" s="975"/>
      <c r="BK314" s="975"/>
      <c r="BL314" s="975"/>
      <c r="BM314" s="975"/>
      <c r="BN314" s="975"/>
      <c r="BO314" s="975"/>
      <c r="BP314" s="975"/>
      <c r="BQ314" s="975"/>
      <c r="BR314" s="975"/>
      <c r="BS314" s="975"/>
      <c r="BT314" s="975"/>
      <c r="BU314" s="975"/>
      <c r="BV314" s="975"/>
      <c r="BW314" s="975"/>
      <c r="BX314" s="975"/>
      <c r="BY314" s="975"/>
      <c r="BZ314" s="975"/>
      <c r="CA314" s="975"/>
      <c r="CB314" s="975"/>
      <c r="CC314" s="975"/>
      <c r="CD314" s="975"/>
      <c r="CE314" s="1544"/>
      <c r="CF314" s="975"/>
      <c r="CG314" s="975"/>
      <c r="CH314" s="975"/>
      <c r="CI314" s="975"/>
      <c r="CJ314" s="975"/>
      <c r="CK314" s="975"/>
      <c r="CL314" s="975"/>
      <c r="CM314" s="975"/>
      <c r="CN314" s="975"/>
      <c r="CO314" s="975"/>
      <c r="CP314" s="975"/>
      <c r="CQ314" s="975"/>
      <c r="CR314" s="975"/>
      <c r="CS314" s="975"/>
      <c r="CT314" s="975"/>
      <c r="CU314" s="975"/>
      <c r="CV314" s="975"/>
      <c r="CW314" s="975"/>
      <c r="CX314" s="975"/>
      <c r="CY314" s="1558"/>
      <c r="CZ314" s="975"/>
      <c r="DA314" s="975"/>
      <c r="DB314" s="975"/>
      <c r="DC314" s="975"/>
      <c r="DD314" s="975"/>
      <c r="DE314" s="975"/>
      <c r="DF314" s="975"/>
      <c r="DG314" s="975"/>
      <c r="DH314" s="975"/>
      <c r="DI314" s="975"/>
      <c r="DJ314" s="975"/>
      <c r="DK314" s="975"/>
      <c r="DL314" s="975"/>
      <c r="DM314" s="975"/>
      <c r="DN314" s="975"/>
      <c r="DO314" s="975"/>
      <c r="DP314" s="975"/>
      <c r="DQ314" s="975"/>
      <c r="DR314" s="975"/>
      <c r="DS314" s="975"/>
      <c r="DT314" s="975"/>
      <c r="DU314" s="975"/>
      <c r="DV314" s="1559"/>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51"/>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4"/>
      <c r="CF315" s="607"/>
      <c r="CG315" s="607"/>
      <c r="CH315" s="607"/>
      <c r="CI315" s="607"/>
      <c r="CJ315" s="607"/>
      <c r="CK315" s="607"/>
      <c r="CL315" s="607"/>
      <c r="CM315" s="607"/>
      <c r="CN315" s="607"/>
      <c r="CO315" s="607"/>
      <c r="CP315" s="607"/>
      <c r="CQ315" s="607"/>
      <c r="CR315" s="607"/>
      <c r="CS315" s="607"/>
      <c r="CT315" s="607"/>
      <c r="CU315" s="607"/>
      <c r="CV315" s="607"/>
      <c r="CW315" s="607"/>
      <c r="CX315" s="607"/>
      <c r="CY315" s="785"/>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50"/>
      <c r="IR315" s="529"/>
      <c r="IS315" s="529"/>
      <c r="IT315" s="529"/>
      <c r="IU315" s="529"/>
      <c r="IV315" s="529"/>
    </row>
    <row r="316" spans="1:256" ht="17.25" hidden="1" customHeight="1">
      <c r="A316" s="1551"/>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4"/>
      <c r="CF316" s="607"/>
      <c r="CG316" s="607"/>
      <c r="CH316" s="607"/>
      <c r="CI316" s="607"/>
      <c r="CJ316" s="607"/>
      <c r="CK316" s="607"/>
      <c r="CL316" s="607"/>
      <c r="CM316" s="607"/>
      <c r="CN316" s="607"/>
      <c r="CO316" s="607"/>
      <c r="CP316" s="607"/>
      <c r="CQ316" s="607"/>
      <c r="CR316" s="607"/>
      <c r="CS316" s="607"/>
      <c r="CT316" s="607"/>
      <c r="CU316" s="607"/>
      <c r="CV316" s="607"/>
      <c r="CW316" s="607"/>
      <c r="CX316" s="607"/>
      <c r="CY316" s="785"/>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50"/>
    </row>
    <row r="317" spans="1:256" ht="17.25" hidden="1" customHeight="1">
      <c r="A317" s="1551"/>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4"/>
      <c r="CF317" s="607"/>
      <c r="CG317" s="607"/>
      <c r="CH317" s="607"/>
      <c r="CI317" s="607"/>
      <c r="CJ317" s="607"/>
      <c r="CK317" s="607"/>
      <c r="CL317" s="607"/>
      <c r="CM317" s="607"/>
      <c r="CN317" s="607"/>
      <c r="CO317" s="607"/>
      <c r="CP317" s="607"/>
      <c r="CQ317" s="607"/>
      <c r="CR317" s="607"/>
      <c r="CS317" s="607"/>
      <c r="CT317" s="607"/>
      <c r="CU317" s="607"/>
      <c r="CV317" s="607"/>
      <c r="CW317" s="607"/>
      <c r="CX317" s="607"/>
      <c r="CY317" s="785"/>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50"/>
    </row>
    <row r="318" spans="1:256" ht="17.25" hidden="1" customHeight="1">
      <c r="A318" s="1551"/>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4"/>
      <c r="CF318" s="607"/>
      <c r="CG318" s="607"/>
      <c r="CH318" s="607"/>
      <c r="CI318" s="607"/>
      <c r="CJ318" s="607"/>
      <c r="CK318" s="607"/>
      <c r="CL318" s="607"/>
      <c r="CM318" s="607"/>
      <c r="CN318" s="607"/>
      <c r="CO318" s="607"/>
      <c r="CP318" s="607"/>
      <c r="CQ318" s="607"/>
      <c r="CR318" s="607"/>
      <c r="CS318" s="607"/>
      <c r="CT318" s="607"/>
      <c r="CU318" s="607"/>
      <c r="CV318" s="607"/>
      <c r="CW318" s="607"/>
      <c r="CX318" s="607"/>
      <c r="CY318" s="785"/>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50"/>
    </row>
    <row r="319" spans="1:256" s="662" customFormat="1" ht="17.25" hidden="1" customHeight="1">
      <c r="A319" s="1551"/>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4"/>
      <c r="CF319" s="607"/>
      <c r="CG319" s="607"/>
      <c r="CH319" s="607"/>
      <c r="CI319" s="607"/>
      <c r="CJ319" s="607"/>
      <c r="CK319" s="607"/>
      <c r="CL319" s="607"/>
      <c r="CM319" s="607"/>
      <c r="CN319" s="607"/>
      <c r="CO319" s="607"/>
      <c r="CP319" s="607"/>
      <c r="CQ319" s="607"/>
      <c r="CR319" s="607"/>
      <c r="CS319" s="607"/>
      <c r="CT319" s="607"/>
      <c r="CU319" s="607"/>
      <c r="CV319" s="607"/>
      <c r="CW319" s="607"/>
      <c r="CX319" s="607"/>
      <c r="CY319" s="785"/>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50"/>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8"/>
      <c r="B320" s="1589"/>
      <c r="C320" s="1588"/>
      <c r="D320" s="1588"/>
      <c r="E320" s="1588"/>
      <c r="F320" s="1588"/>
      <c r="G320" s="1588"/>
      <c r="H320" s="1588"/>
      <c r="I320" s="1588"/>
      <c r="J320" s="1588"/>
      <c r="K320" s="1588"/>
      <c r="L320" s="1588"/>
      <c r="M320" s="1588"/>
      <c r="N320" s="1588"/>
      <c r="O320" s="1588"/>
      <c r="P320" s="1588"/>
      <c r="Q320" s="1588"/>
      <c r="R320" s="1588"/>
      <c r="S320" s="1588"/>
      <c r="T320" s="1588"/>
      <c r="U320" s="1588"/>
      <c r="V320" s="1588"/>
      <c r="W320" s="1588"/>
      <c r="X320" s="1588"/>
      <c r="Y320" s="1588"/>
      <c r="Z320" s="1588"/>
      <c r="AA320" s="1588"/>
      <c r="AB320" s="1588"/>
      <c r="AC320" s="1588"/>
      <c r="AD320" s="1588"/>
      <c r="AE320" s="1588"/>
      <c r="AF320" s="1588"/>
      <c r="AG320" s="1588"/>
      <c r="AH320" s="1588"/>
      <c r="AI320" s="1588"/>
      <c r="AJ320" s="1588"/>
      <c r="AK320" s="1588"/>
      <c r="AL320" s="1588"/>
      <c r="AM320" s="1588"/>
      <c r="AN320" s="1588"/>
      <c r="AO320" s="1588"/>
      <c r="AP320" s="1588"/>
      <c r="AQ320" s="1588"/>
      <c r="AR320" s="1588"/>
      <c r="AS320" s="1588"/>
      <c r="AT320" s="1588"/>
      <c r="AU320" s="1588"/>
      <c r="AV320" s="1588"/>
      <c r="AW320" s="1588"/>
      <c r="AX320" s="1588"/>
      <c r="AY320" s="1588"/>
      <c r="AZ320" s="1588"/>
      <c r="BA320" s="1588"/>
      <c r="BB320" s="1588"/>
      <c r="BC320" s="1588"/>
      <c r="BD320" s="1588"/>
      <c r="BE320" s="1588"/>
      <c r="BF320" s="1588"/>
      <c r="BG320" s="1588"/>
      <c r="BH320" s="1588"/>
      <c r="BI320" s="1588"/>
      <c r="BJ320" s="1588"/>
      <c r="BK320" s="1588"/>
      <c r="BL320" s="1588"/>
      <c r="BM320" s="1588"/>
      <c r="BN320" s="1588"/>
      <c r="BO320" s="1588"/>
      <c r="BP320" s="1588"/>
      <c r="BQ320" s="1588"/>
      <c r="BR320" s="1588"/>
      <c r="BS320" s="1588"/>
      <c r="BT320" s="1588"/>
      <c r="BU320" s="1588"/>
      <c r="BV320" s="1588"/>
      <c r="BW320" s="1588"/>
      <c r="BX320" s="1588"/>
      <c r="BY320" s="1588"/>
      <c r="BZ320" s="1588"/>
      <c r="CA320" s="1588"/>
      <c r="CB320" s="1588"/>
      <c r="CC320" s="1588"/>
      <c r="CD320" s="1588"/>
      <c r="CE320" s="1544"/>
      <c r="CF320" s="1588"/>
      <c r="CG320" s="1588"/>
      <c r="CH320" s="1588"/>
      <c r="CI320" s="1588"/>
      <c r="CJ320" s="1588"/>
      <c r="CK320" s="1588"/>
      <c r="CL320" s="1588"/>
      <c r="CM320" s="1588"/>
      <c r="CN320" s="1588"/>
      <c r="CO320" s="1588"/>
      <c r="CP320" s="1588"/>
      <c r="CQ320" s="1588"/>
      <c r="CR320" s="1588"/>
      <c r="CS320" s="1588"/>
      <c r="CT320" s="1588"/>
      <c r="CU320" s="1588"/>
      <c r="CV320" s="1588"/>
      <c r="CW320" s="1588"/>
      <c r="CX320" s="1588"/>
      <c r="CY320" s="1555"/>
      <c r="CZ320" s="1588"/>
      <c r="DA320" s="1588"/>
      <c r="DB320" s="1588"/>
      <c r="DC320" s="1588"/>
      <c r="DD320" s="1588"/>
      <c r="DE320" s="1588"/>
      <c r="DF320" s="1588"/>
      <c r="DG320" s="1588"/>
      <c r="DH320" s="1588"/>
      <c r="DI320" s="1588"/>
      <c r="DJ320" s="1588"/>
      <c r="DK320" s="1588"/>
      <c r="DL320" s="1588"/>
      <c r="DM320" s="1588"/>
      <c r="DN320" s="1588"/>
      <c r="DO320" s="1588"/>
      <c r="DP320" s="1588"/>
      <c r="DQ320" s="1588"/>
      <c r="DR320" s="1588"/>
      <c r="DS320" s="1588"/>
      <c r="DT320" s="1588"/>
      <c r="DU320" s="1590"/>
      <c r="DV320" s="1591"/>
    </row>
    <row r="321" spans="1:256" s="532" customFormat="1" ht="18" hidden="1" customHeight="1">
      <c r="A321" s="1560"/>
      <c r="B321" s="975"/>
      <c r="C321" s="975"/>
      <c r="D321" s="975"/>
      <c r="E321" s="975"/>
      <c r="F321" s="975"/>
      <c r="G321" s="975"/>
      <c r="H321" s="975"/>
      <c r="I321" s="975"/>
      <c r="J321" s="975"/>
      <c r="K321" s="975"/>
      <c r="L321" s="975"/>
      <c r="M321" s="975"/>
      <c r="N321" s="975"/>
      <c r="O321" s="975"/>
      <c r="P321" s="975"/>
      <c r="Q321" s="975"/>
      <c r="R321" s="975"/>
      <c r="S321" s="975"/>
      <c r="T321" s="975"/>
      <c r="U321" s="975"/>
      <c r="V321" s="975"/>
      <c r="W321" s="975"/>
      <c r="X321" s="975"/>
      <c r="Y321" s="975"/>
      <c r="Z321" s="975"/>
      <c r="AA321" s="975"/>
      <c r="AB321" s="975"/>
      <c r="AC321" s="975"/>
      <c r="AD321" s="975"/>
      <c r="AE321" s="975"/>
      <c r="AF321" s="975"/>
      <c r="AG321" s="975"/>
      <c r="AH321" s="975"/>
      <c r="AI321" s="975"/>
      <c r="AJ321" s="975"/>
      <c r="AK321" s="975"/>
      <c r="AL321" s="975"/>
      <c r="AM321" s="975"/>
      <c r="AN321" s="975"/>
      <c r="AO321" s="975"/>
      <c r="AP321" s="975"/>
      <c r="AQ321" s="975"/>
      <c r="AR321" s="975"/>
      <c r="AS321" s="975"/>
      <c r="AT321" s="975"/>
      <c r="AU321" s="975"/>
      <c r="AV321" s="975"/>
      <c r="AW321" s="975"/>
      <c r="AX321" s="975"/>
      <c r="AY321" s="975"/>
      <c r="AZ321" s="975"/>
      <c r="BA321" s="975"/>
      <c r="BB321" s="975"/>
      <c r="BC321" s="975"/>
      <c r="BD321" s="975"/>
      <c r="BE321" s="975"/>
      <c r="BF321" s="975"/>
      <c r="BG321" s="975"/>
      <c r="BH321" s="975"/>
      <c r="BI321" s="975"/>
      <c r="BJ321" s="975"/>
      <c r="BK321" s="975"/>
      <c r="BL321" s="975"/>
      <c r="BM321" s="975"/>
      <c r="BN321" s="975"/>
      <c r="BO321" s="975"/>
      <c r="BP321" s="975"/>
      <c r="BQ321" s="975"/>
      <c r="BR321" s="975"/>
      <c r="BS321" s="975"/>
      <c r="BT321" s="975"/>
      <c r="BU321" s="975"/>
      <c r="BV321" s="975"/>
      <c r="BW321" s="975"/>
      <c r="BX321" s="975"/>
      <c r="BY321" s="975"/>
      <c r="BZ321" s="975"/>
      <c r="CA321" s="975"/>
      <c r="CB321" s="975"/>
      <c r="CC321" s="975"/>
      <c r="CD321" s="975"/>
      <c r="CE321" s="1544"/>
      <c r="CF321" s="975"/>
      <c r="CG321" s="975"/>
      <c r="CH321" s="975"/>
      <c r="CI321" s="975"/>
      <c r="CJ321" s="975"/>
      <c r="CK321" s="975"/>
      <c r="CL321" s="975"/>
      <c r="CM321" s="975"/>
      <c r="CN321" s="975"/>
      <c r="CO321" s="975"/>
      <c r="CP321" s="975"/>
      <c r="CQ321" s="975"/>
      <c r="CR321" s="975"/>
      <c r="CS321" s="975"/>
      <c r="CT321" s="975"/>
      <c r="CU321" s="975"/>
      <c r="CV321" s="975"/>
      <c r="CW321" s="975"/>
      <c r="CX321" s="975"/>
      <c r="CY321" s="1558"/>
      <c r="CZ321" s="975"/>
      <c r="DA321" s="975"/>
      <c r="DB321" s="975"/>
      <c r="DC321" s="975"/>
      <c r="DD321" s="975"/>
      <c r="DE321" s="975"/>
      <c r="DF321" s="975"/>
      <c r="DG321" s="975"/>
      <c r="DH321" s="975"/>
      <c r="DI321" s="975"/>
      <c r="DJ321" s="975"/>
      <c r="DK321" s="975"/>
      <c r="DL321" s="975"/>
      <c r="DM321" s="975"/>
      <c r="DN321" s="975"/>
      <c r="DO321" s="975"/>
      <c r="DP321" s="975"/>
      <c r="DQ321" s="975"/>
      <c r="DR321" s="975"/>
      <c r="DS321" s="975"/>
      <c r="DT321" s="975"/>
      <c r="DU321" s="975"/>
      <c r="DV321" s="1559"/>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51"/>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4"/>
      <c r="CF322" s="607"/>
      <c r="CG322" s="607"/>
      <c r="CH322" s="607"/>
      <c r="CI322" s="607"/>
      <c r="CJ322" s="607"/>
      <c r="CK322" s="607"/>
      <c r="CL322" s="607"/>
      <c r="CM322" s="607"/>
      <c r="CN322" s="607"/>
      <c r="CO322" s="607"/>
      <c r="CP322" s="607"/>
      <c r="CQ322" s="607"/>
      <c r="CR322" s="607"/>
      <c r="CS322" s="607"/>
      <c r="CT322" s="607"/>
      <c r="CU322" s="607"/>
      <c r="CV322" s="607"/>
      <c r="CW322" s="607"/>
      <c r="CX322" s="607"/>
      <c r="CY322" s="785"/>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50"/>
      <c r="IR322" s="529"/>
      <c r="IS322" s="529"/>
      <c r="IT322" s="529"/>
      <c r="IU322" s="529"/>
      <c r="IV322" s="529"/>
    </row>
    <row r="323" spans="1:256" ht="17.25" hidden="1" customHeight="1">
      <c r="A323" s="1551"/>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4"/>
      <c r="CF323" s="607"/>
      <c r="CG323" s="607"/>
      <c r="CH323" s="607"/>
      <c r="CI323" s="607"/>
      <c r="CJ323" s="607"/>
      <c r="CK323" s="607"/>
      <c r="CL323" s="607"/>
      <c r="CM323" s="607"/>
      <c r="CN323" s="607"/>
      <c r="CO323" s="607"/>
      <c r="CP323" s="607"/>
      <c r="CQ323" s="607"/>
      <c r="CR323" s="607"/>
      <c r="CS323" s="607"/>
      <c r="CT323" s="607"/>
      <c r="CU323" s="607"/>
      <c r="CV323" s="607"/>
      <c r="CW323" s="607"/>
      <c r="CX323" s="607"/>
      <c r="CY323" s="785"/>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50"/>
    </row>
    <row r="324" spans="1:256" s="662" customFormat="1" ht="17.25" hidden="1" customHeight="1">
      <c r="A324" s="1551"/>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4"/>
      <c r="CF324" s="607"/>
      <c r="CG324" s="607"/>
      <c r="CH324" s="607"/>
      <c r="CI324" s="607"/>
      <c r="CJ324" s="607"/>
      <c r="CK324" s="607"/>
      <c r="CL324" s="607"/>
      <c r="CM324" s="607"/>
      <c r="CN324" s="607"/>
      <c r="CO324" s="607"/>
      <c r="CP324" s="607"/>
      <c r="CQ324" s="607"/>
      <c r="CR324" s="607"/>
      <c r="CS324" s="607"/>
      <c r="CT324" s="607"/>
      <c r="CU324" s="607"/>
      <c r="CV324" s="607"/>
      <c r="CW324" s="607"/>
      <c r="CX324" s="607"/>
      <c r="CY324" s="785"/>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50"/>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8"/>
      <c r="B325" s="1589"/>
      <c r="C325" s="1588"/>
      <c r="D325" s="1588"/>
      <c r="E325" s="1588"/>
      <c r="F325" s="1588"/>
      <c r="G325" s="1588"/>
      <c r="H325" s="1588"/>
      <c r="I325" s="1588"/>
      <c r="J325" s="1588"/>
      <c r="K325" s="1588"/>
      <c r="L325" s="1588"/>
      <c r="M325" s="1588"/>
      <c r="N325" s="1588"/>
      <c r="O325" s="1588"/>
      <c r="P325" s="1588"/>
      <c r="Q325" s="1588"/>
      <c r="R325" s="1588"/>
      <c r="S325" s="1588"/>
      <c r="T325" s="1588"/>
      <c r="U325" s="1588"/>
      <c r="V325" s="1588"/>
      <c r="W325" s="1588"/>
      <c r="X325" s="1588"/>
      <c r="Y325" s="1588"/>
      <c r="Z325" s="1588"/>
      <c r="AA325" s="1588"/>
      <c r="AB325" s="1588"/>
      <c r="AC325" s="1588"/>
      <c r="AD325" s="1588"/>
      <c r="AE325" s="1588"/>
      <c r="AF325" s="1588"/>
      <c r="AG325" s="1588"/>
      <c r="AH325" s="1588"/>
      <c r="AI325" s="1588"/>
      <c r="AJ325" s="1588"/>
      <c r="AK325" s="1588"/>
      <c r="AL325" s="1588"/>
      <c r="AM325" s="1588"/>
      <c r="AN325" s="1588"/>
      <c r="AO325" s="1588"/>
      <c r="AP325" s="1588"/>
      <c r="AQ325" s="1588"/>
      <c r="AR325" s="1588"/>
      <c r="AS325" s="1588"/>
      <c r="AT325" s="1588"/>
      <c r="AU325" s="1588"/>
      <c r="AV325" s="1588"/>
      <c r="AW325" s="1588"/>
      <c r="AX325" s="1588"/>
      <c r="AY325" s="1588"/>
      <c r="AZ325" s="1588"/>
      <c r="BA325" s="1588"/>
      <c r="BB325" s="1588"/>
      <c r="BC325" s="1588"/>
      <c r="BD325" s="1588"/>
      <c r="BE325" s="1588"/>
      <c r="BF325" s="1588"/>
      <c r="BG325" s="1588"/>
      <c r="BH325" s="1588"/>
      <c r="BI325" s="1588"/>
      <c r="BJ325" s="1588"/>
      <c r="BK325" s="1588"/>
      <c r="BL325" s="1588"/>
      <c r="BM325" s="1588"/>
      <c r="BN325" s="1588"/>
      <c r="BO325" s="1588"/>
      <c r="BP325" s="1588"/>
      <c r="BQ325" s="1588"/>
      <c r="BR325" s="1588"/>
      <c r="BS325" s="1588"/>
      <c r="BT325" s="1588"/>
      <c r="BU325" s="1588"/>
      <c r="BV325" s="1588"/>
      <c r="BW325" s="1588"/>
      <c r="BX325" s="1588"/>
      <c r="BY325" s="1588"/>
      <c r="BZ325" s="1588"/>
      <c r="CA325" s="1588"/>
      <c r="CB325" s="1588"/>
      <c r="CC325" s="1588"/>
      <c r="CD325" s="1588"/>
      <c r="CE325" s="1544"/>
      <c r="CF325" s="1588"/>
      <c r="CG325" s="1588"/>
      <c r="CH325" s="1588"/>
      <c r="CI325" s="1588"/>
      <c r="CJ325" s="1588"/>
      <c r="CK325" s="1588"/>
      <c r="CL325" s="1588"/>
      <c r="CM325" s="1588"/>
      <c r="CN325" s="1588"/>
      <c r="CO325" s="1588"/>
      <c r="CP325" s="1588"/>
      <c r="CQ325" s="1588"/>
      <c r="CR325" s="1588"/>
      <c r="CS325" s="1588"/>
      <c r="CT325" s="1588"/>
      <c r="CU325" s="1588"/>
      <c r="CV325" s="1588"/>
      <c r="CW325" s="1588"/>
      <c r="CX325" s="1588"/>
      <c r="CY325" s="1555"/>
      <c r="CZ325" s="1588"/>
      <c r="DA325" s="1588"/>
      <c r="DB325" s="1588"/>
      <c r="DC325" s="1588"/>
      <c r="DD325" s="1588"/>
      <c r="DE325" s="1588"/>
      <c r="DF325" s="1588"/>
      <c r="DG325" s="1588"/>
      <c r="DH325" s="1588"/>
      <c r="DI325" s="1588"/>
      <c r="DJ325" s="1588"/>
      <c r="DK325" s="1588"/>
      <c r="DL325" s="1588"/>
      <c r="DM325" s="1588"/>
      <c r="DN325" s="1588"/>
      <c r="DO325" s="1588"/>
      <c r="DP325" s="1588"/>
      <c r="DQ325" s="1588"/>
      <c r="DR325" s="1588"/>
      <c r="DS325" s="1588"/>
      <c r="DT325" s="1588"/>
      <c r="DU325" s="1590"/>
      <c r="DV325" s="1591"/>
    </row>
    <row r="326" spans="1:256" s="532" customFormat="1" ht="18" hidden="1" customHeight="1">
      <c r="A326" s="1560"/>
      <c r="B326" s="975"/>
      <c r="C326" s="975"/>
      <c r="D326" s="975"/>
      <c r="E326" s="975"/>
      <c r="F326" s="975"/>
      <c r="G326" s="975"/>
      <c r="H326" s="975"/>
      <c r="I326" s="975"/>
      <c r="J326" s="975"/>
      <c r="K326" s="975"/>
      <c r="L326" s="975"/>
      <c r="M326" s="975"/>
      <c r="N326" s="975"/>
      <c r="O326" s="975"/>
      <c r="P326" s="975"/>
      <c r="Q326" s="975"/>
      <c r="R326" s="975"/>
      <c r="S326" s="975"/>
      <c r="T326" s="975"/>
      <c r="U326" s="975"/>
      <c r="V326" s="975"/>
      <c r="W326" s="975"/>
      <c r="X326" s="975"/>
      <c r="Y326" s="975"/>
      <c r="Z326" s="975"/>
      <c r="AA326" s="975"/>
      <c r="AB326" s="975"/>
      <c r="AC326" s="975"/>
      <c r="AD326" s="975"/>
      <c r="AE326" s="975"/>
      <c r="AF326" s="975"/>
      <c r="AG326" s="975"/>
      <c r="AH326" s="975"/>
      <c r="AI326" s="975"/>
      <c r="AJ326" s="975"/>
      <c r="AK326" s="975"/>
      <c r="AL326" s="975"/>
      <c r="AM326" s="975"/>
      <c r="AN326" s="975"/>
      <c r="AO326" s="975"/>
      <c r="AP326" s="975"/>
      <c r="AQ326" s="975"/>
      <c r="AR326" s="975"/>
      <c r="AS326" s="975"/>
      <c r="AT326" s="975"/>
      <c r="AU326" s="975"/>
      <c r="AV326" s="975"/>
      <c r="AW326" s="975"/>
      <c r="AX326" s="975"/>
      <c r="AY326" s="975"/>
      <c r="AZ326" s="975"/>
      <c r="BA326" s="975"/>
      <c r="BB326" s="975"/>
      <c r="BC326" s="975"/>
      <c r="BD326" s="975"/>
      <c r="BE326" s="975"/>
      <c r="BF326" s="975"/>
      <c r="BG326" s="975"/>
      <c r="BH326" s="975"/>
      <c r="BI326" s="975"/>
      <c r="BJ326" s="975"/>
      <c r="BK326" s="975"/>
      <c r="BL326" s="975"/>
      <c r="BM326" s="975"/>
      <c r="BN326" s="975"/>
      <c r="BO326" s="975"/>
      <c r="BP326" s="975"/>
      <c r="BQ326" s="975"/>
      <c r="BR326" s="975"/>
      <c r="BS326" s="975"/>
      <c r="BT326" s="975"/>
      <c r="BU326" s="975"/>
      <c r="BV326" s="975"/>
      <c r="BW326" s="975"/>
      <c r="BX326" s="975"/>
      <c r="BY326" s="975"/>
      <c r="BZ326" s="975"/>
      <c r="CA326" s="975"/>
      <c r="CB326" s="975"/>
      <c r="CC326" s="975"/>
      <c r="CD326" s="975"/>
      <c r="CE326" s="1544"/>
      <c r="CF326" s="975"/>
      <c r="CG326" s="975"/>
      <c r="CH326" s="975"/>
      <c r="CI326" s="975"/>
      <c r="CJ326" s="975"/>
      <c r="CK326" s="975"/>
      <c r="CL326" s="975"/>
      <c r="CM326" s="975"/>
      <c r="CN326" s="975"/>
      <c r="CO326" s="975"/>
      <c r="CP326" s="975"/>
      <c r="CQ326" s="975"/>
      <c r="CR326" s="975"/>
      <c r="CS326" s="975"/>
      <c r="CT326" s="975"/>
      <c r="CU326" s="975"/>
      <c r="CV326" s="975"/>
      <c r="CW326" s="975"/>
      <c r="CX326" s="975"/>
      <c r="CY326" s="1558"/>
      <c r="CZ326" s="975"/>
      <c r="DA326" s="975"/>
      <c r="DB326" s="975"/>
      <c r="DC326" s="975"/>
      <c r="DD326" s="975"/>
      <c r="DE326" s="975"/>
      <c r="DF326" s="975"/>
      <c r="DG326" s="975"/>
      <c r="DH326" s="975"/>
      <c r="DI326" s="975"/>
      <c r="DJ326" s="975"/>
      <c r="DK326" s="975"/>
      <c r="DL326" s="975"/>
      <c r="DM326" s="975"/>
      <c r="DN326" s="975"/>
      <c r="DO326" s="975"/>
      <c r="DP326" s="975"/>
      <c r="DQ326" s="975"/>
      <c r="DR326" s="975"/>
      <c r="DS326" s="975"/>
      <c r="DT326" s="975"/>
      <c r="DU326" s="975"/>
      <c r="DV326" s="1559"/>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51"/>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4"/>
      <c r="CF327" s="607"/>
      <c r="CG327" s="607"/>
      <c r="CH327" s="607"/>
      <c r="CI327" s="607"/>
      <c r="CJ327" s="607"/>
      <c r="CK327" s="607"/>
      <c r="CL327" s="607"/>
      <c r="CM327" s="607"/>
      <c r="CN327" s="607"/>
      <c r="CO327" s="607"/>
      <c r="CP327" s="607"/>
      <c r="CQ327" s="607"/>
      <c r="CR327" s="607"/>
      <c r="CS327" s="607"/>
      <c r="CT327" s="607"/>
      <c r="CU327" s="607"/>
      <c r="CV327" s="607"/>
      <c r="CW327" s="607"/>
      <c r="CX327" s="607"/>
      <c r="CY327" s="785"/>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50"/>
      <c r="IR327" s="529"/>
      <c r="IS327" s="529"/>
      <c r="IT327" s="529"/>
      <c r="IU327" s="529"/>
      <c r="IV327" s="529"/>
    </row>
    <row r="328" spans="1:256" ht="17.25" hidden="1" customHeight="1">
      <c r="A328" s="1551"/>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4"/>
      <c r="CF328" s="607"/>
      <c r="CG328" s="607"/>
      <c r="CH328" s="607"/>
      <c r="CI328" s="607"/>
      <c r="CJ328" s="607"/>
      <c r="CK328" s="607"/>
      <c r="CL328" s="607"/>
      <c r="CM328" s="607"/>
      <c r="CN328" s="607"/>
      <c r="CO328" s="607"/>
      <c r="CP328" s="607"/>
      <c r="CQ328" s="607"/>
      <c r="CR328" s="607"/>
      <c r="CS328" s="607"/>
      <c r="CT328" s="607"/>
      <c r="CU328" s="607"/>
      <c r="CV328" s="607"/>
      <c r="CW328" s="607"/>
      <c r="CX328" s="607"/>
      <c r="CY328" s="785"/>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50"/>
    </row>
    <row r="329" spans="1:256" ht="17.25" hidden="1" customHeight="1">
      <c r="A329" s="1551"/>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4"/>
      <c r="CF329" s="607"/>
      <c r="CG329" s="607"/>
      <c r="CH329" s="607"/>
      <c r="CI329" s="607"/>
      <c r="CJ329" s="607"/>
      <c r="CK329" s="607"/>
      <c r="CL329" s="607"/>
      <c r="CM329" s="607"/>
      <c r="CN329" s="607"/>
      <c r="CO329" s="607"/>
      <c r="CP329" s="607"/>
      <c r="CQ329" s="607"/>
      <c r="CR329" s="607"/>
      <c r="CS329" s="607"/>
      <c r="CT329" s="607"/>
      <c r="CU329" s="607"/>
      <c r="CV329" s="607"/>
      <c r="CW329" s="607"/>
      <c r="CX329" s="607"/>
      <c r="CY329" s="785"/>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50"/>
    </row>
    <row r="330" spans="1:256" ht="17.25" hidden="1" customHeight="1">
      <c r="A330" s="1551"/>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4"/>
      <c r="CF330" s="607"/>
      <c r="CG330" s="607"/>
      <c r="CH330" s="607"/>
      <c r="CI330" s="607"/>
      <c r="CJ330" s="607"/>
      <c r="CK330" s="607"/>
      <c r="CL330" s="607"/>
      <c r="CM330" s="607"/>
      <c r="CN330" s="607"/>
      <c r="CO330" s="607"/>
      <c r="CP330" s="607"/>
      <c r="CQ330" s="607"/>
      <c r="CR330" s="607"/>
      <c r="CS330" s="607"/>
      <c r="CT330" s="607"/>
      <c r="CU330" s="607"/>
      <c r="CV330" s="607"/>
      <c r="CW330" s="607"/>
      <c r="CX330" s="607"/>
      <c r="CY330" s="785"/>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50"/>
    </row>
    <row r="331" spans="1:256" ht="17.25" hidden="1" customHeight="1">
      <c r="A331" s="1551"/>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4"/>
      <c r="CF331" s="607"/>
      <c r="CG331" s="607"/>
      <c r="CH331" s="607"/>
      <c r="CI331" s="607"/>
      <c r="CJ331" s="607"/>
      <c r="CK331" s="607"/>
      <c r="CL331" s="607"/>
      <c r="CM331" s="607"/>
      <c r="CN331" s="607"/>
      <c r="CO331" s="607"/>
      <c r="CP331" s="607"/>
      <c r="CQ331" s="607"/>
      <c r="CR331" s="607"/>
      <c r="CS331" s="607"/>
      <c r="CT331" s="607"/>
      <c r="CU331" s="607"/>
      <c r="CV331" s="607"/>
      <c r="CW331" s="607"/>
      <c r="CX331" s="607"/>
      <c r="CY331" s="785"/>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50"/>
    </row>
    <row r="332" spans="1:256" s="662" customFormat="1" ht="17.25" hidden="1" customHeight="1">
      <c r="A332" s="1551"/>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4"/>
      <c r="CF332" s="607"/>
      <c r="CG332" s="607"/>
      <c r="CH332" s="607"/>
      <c r="CI332" s="607"/>
      <c r="CJ332" s="607"/>
      <c r="CK332" s="607"/>
      <c r="CL332" s="607"/>
      <c r="CM332" s="607"/>
      <c r="CN332" s="607"/>
      <c r="CO332" s="607"/>
      <c r="CP332" s="607"/>
      <c r="CQ332" s="607"/>
      <c r="CR332" s="607"/>
      <c r="CS332" s="607"/>
      <c r="CT332" s="607"/>
      <c r="CU332" s="607"/>
      <c r="CV332" s="607"/>
      <c r="CW332" s="607"/>
      <c r="CX332" s="607"/>
      <c r="CY332" s="785"/>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50"/>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8"/>
      <c r="B333" s="1589"/>
      <c r="C333" s="1588"/>
      <c r="D333" s="1588"/>
      <c r="E333" s="1588"/>
      <c r="F333" s="1588"/>
      <c r="G333" s="1588"/>
      <c r="H333" s="1588"/>
      <c r="I333" s="1588"/>
      <c r="J333" s="1588"/>
      <c r="K333" s="1588"/>
      <c r="L333" s="1588"/>
      <c r="M333" s="1588"/>
      <c r="N333" s="1588"/>
      <c r="O333" s="1588"/>
      <c r="P333" s="1588"/>
      <c r="Q333" s="1588"/>
      <c r="R333" s="1588"/>
      <c r="S333" s="1588"/>
      <c r="T333" s="1588"/>
      <c r="U333" s="1588"/>
      <c r="V333" s="1588"/>
      <c r="W333" s="1588"/>
      <c r="X333" s="1588"/>
      <c r="Y333" s="1588"/>
      <c r="Z333" s="1588"/>
      <c r="AA333" s="1588"/>
      <c r="AB333" s="1588"/>
      <c r="AC333" s="1588"/>
      <c r="AD333" s="1588"/>
      <c r="AE333" s="1588"/>
      <c r="AF333" s="1588"/>
      <c r="AG333" s="1588"/>
      <c r="AH333" s="1588"/>
      <c r="AI333" s="1588"/>
      <c r="AJ333" s="1588"/>
      <c r="AK333" s="1588"/>
      <c r="AL333" s="1588"/>
      <c r="AM333" s="1588"/>
      <c r="AN333" s="1588"/>
      <c r="AO333" s="1588"/>
      <c r="AP333" s="1588"/>
      <c r="AQ333" s="1588"/>
      <c r="AR333" s="1588"/>
      <c r="AS333" s="1588"/>
      <c r="AT333" s="1588"/>
      <c r="AU333" s="1588"/>
      <c r="AV333" s="1588"/>
      <c r="AW333" s="1588"/>
      <c r="AX333" s="1588"/>
      <c r="AY333" s="1588"/>
      <c r="AZ333" s="1588"/>
      <c r="BA333" s="1588"/>
      <c r="BB333" s="1588"/>
      <c r="BC333" s="1588"/>
      <c r="BD333" s="1588"/>
      <c r="BE333" s="1588"/>
      <c r="BF333" s="1588"/>
      <c r="BG333" s="1588"/>
      <c r="BH333" s="1588"/>
      <c r="BI333" s="1588"/>
      <c r="BJ333" s="1588"/>
      <c r="BK333" s="1588"/>
      <c r="BL333" s="1588"/>
      <c r="BM333" s="1588"/>
      <c r="BN333" s="1588"/>
      <c r="BO333" s="1588"/>
      <c r="BP333" s="1588"/>
      <c r="BQ333" s="1588"/>
      <c r="BR333" s="1588"/>
      <c r="BS333" s="1588"/>
      <c r="BT333" s="1588"/>
      <c r="BU333" s="1588"/>
      <c r="BV333" s="1588"/>
      <c r="BW333" s="1588"/>
      <c r="BX333" s="1588"/>
      <c r="BY333" s="1588"/>
      <c r="BZ333" s="1588"/>
      <c r="CA333" s="1588"/>
      <c r="CB333" s="1588"/>
      <c r="CC333" s="1588"/>
      <c r="CD333" s="1588"/>
      <c r="CE333" s="1544"/>
      <c r="CF333" s="1588"/>
      <c r="CG333" s="1588"/>
      <c r="CH333" s="1588"/>
      <c r="CI333" s="1588"/>
      <c r="CJ333" s="1588"/>
      <c r="CK333" s="1588"/>
      <c r="CL333" s="1588"/>
      <c r="CM333" s="1588"/>
      <c r="CN333" s="1588"/>
      <c r="CO333" s="1588"/>
      <c r="CP333" s="1588"/>
      <c r="CQ333" s="1588"/>
      <c r="CR333" s="1588"/>
      <c r="CS333" s="1588"/>
      <c r="CT333" s="1588"/>
      <c r="CU333" s="1588"/>
      <c r="CV333" s="1588"/>
      <c r="CW333" s="1588"/>
      <c r="CX333" s="1588"/>
      <c r="CY333" s="1555"/>
      <c r="CZ333" s="1588"/>
      <c r="DA333" s="1588"/>
      <c r="DB333" s="1588"/>
      <c r="DC333" s="1588"/>
      <c r="DD333" s="1588"/>
      <c r="DE333" s="1588"/>
      <c r="DF333" s="1588"/>
      <c r="DG333" s="1588"/>
      <c r="DH333" s="1588"/>
      <c r="DI333" s="1588"/>
      <c r="DJ333" s="1588"/>
      <c r="DK333" s="1588"/>
      <c r="DL333" s="1588"/>
      <c r="DM333" s="1588"/>
      <c r="DN333" s="1588"/>
      <c r="DO333" s="1588"/>
      <c r="DP333" s="1588"/>
      <c r="DQ333" s="1588"/>
      <c r="DR333" s="1588"/>
      <c r="DS333" s="1588"/>
      <c r="DT333" s="1588"/>
      <c r="DU333" s="1590"/>
      <c r="DV333" s="1591"/>
    </row>
    <row r="334" spans="1:256" s="537" customFormat="1" ht="18.75" hidden="1" customHeight="1">
      <c r="A334" s="1592"/>
      <c r="B334" s="1592"/>
      <c r="C334" s="1578"/>
      <c r="D334" s="1578"/>
      <c r="E334" s="1578"/>
      <c r="F334" s="1578"/>
      <c r="G334" s="1578"/>
      <c r="H334" s="1578"/>
      <c r="I334" s="1578"/>
      <c r="J334" s="1578"/>
      <c r="K334" s="1578"/>
      <c r="L334" s="1578"/>
      <c r="M334" s="1578"/>
      <c r="N334" s="1578"/>
      <c r="O334" s="1578"/>
      <c r="P334" s="1578"/>
      <c r="Q334" s="1578"/>
      <c r="R334" s="1578"/>
      <c r="S334" s="1578"/>
      <c r="T334" s="1578"/>
      <c r="U334" s="1578"/>
      <c r="V334" s="1578"/>
      <c r="W334" s="1578"/>
      <c r="X334" s="1578"/>
      <c r="Y334" s="1578"/>
      <c r="Z334" s="1578"/>
      <c r="AA334" s="1578"/>
      <c r="AB334" s="1578"/>
      <c r="AC334" s="1578"/>
      <c r="AD334" s="1578"/>
      <c r="AE334" s="1578"/>
      <c r="AF334" s="1578"/>
      <c r="AG334" s="1578"/>
      <c r="AH334" s="1578"/>
      <c r="AI334" s="1578"/>
      <c r="AJ334" s="1578"/>
      <c r="AK334" s="1578"/>
      <c r="AL334" s="1578"/>
      <c r="AM334" s="1578"/>
      <c r="AN334" s="1578"/>
      <c r="AO334" s="1578"/>
      <c r="AP334" s="1578"/>
      <c r="AQ334" s="1578"/>
      <c r="AR334" s="1578"/>
      <c r="AS334" s="1578"/>
      <c r="AT334" s="1578"/>
      <c r="AU334" s="1578"/>
      <c r="AV334" s="1578"/>
      <c r="AW334" s="1578"/>
      <c r="AX334" s="1578"/>
      <c r="AY334" s="1578"/>
      <c r="AZ334" s="1578"/>
      <c r="BA334" s="1578"/>
      <c r="BB334" s="1578"/>
      <c r="BC334" s="1578"/>
      <c r="BD334" s="1578"/>
      <c r="BE334" s="1578"/>
      <c r="BF334" s="1578"/>
      <c r="BG334" s="1578"/>
      <c r="BH334" s="1578"/>
      <c r="BI334" s="1578"/>
      <c r="BJ334" s="1578"/>
      <c r="BK334" s="1578"/>
      <c r="BL334" s="1578"/>
      <c r="BM334" s="1578"/>
      <c r="BN334" s="1578"/>
      <c r="BO334" s="1578"/>
      <c r="BP334" s="1578"/>
      <c r="BQ334" s="1578"/>
      <c r="BR334" s="1578"/>
      <c r="BS334" s="1578"/>
      <c r="BT334" s="1578"/>
      <c r="BU334" s="1578"/>
      <c r="BV334" s="1578"/>
      <c r="BW334" s="1578"/>
      <c r="BX334" s="1578"/>
      <c r="BY334" s="1578"/>
      <c r="BZ334" s="1578"/>
      <c r="CA334" s="1578"/>
      <c r="CB334" s="1578"/>
      <c r="CC334" s="1578"/>
      <c r="CD334" s="1578"/>
      <c r="CE334" s="1544"/>
      <c r="CF334" s="1578"/>
      <c r="CG334" s="1578"/>
      <c r="CH334" s="1578"/>
      <c r="CI334" s="1578"/>
      <c r="CJ334" s="1578"/>
      <c r="CK334" s="1578"/>
      <c r="CL334" s="1578"/>
      <c r="CM334" s="1578"/>
      <c r="CN334" s="1578"/>
      <c r="CO334" s="1578"/>
      <c r="CP334" s="1578"/>
      <c r="CQ334" s="1578"/>
      <c r="CR334" s="1578"/>
      <c r="CS334" s="1578"/>
      <c r="CT334" s="1578"/>
      <c r="CU334" s="1578"/>
      <c r="CV334" s="1578"/>
      <c r="CW334" s="1578"/>
      <c r="CX334" s="1578"/>
      <c r="CY334" s="1593"/>
      <c r="CZ334" s="1578"/>
      <c r="DA334" s="1578"/>
      <c r="DB334" s="1578"/>
      <c r="DC334" s="1578"/>
      <c r="DD334" s="1578"/>
      <c r="DE334" s="1578"/>
      <c r="DF334" s="1578"/>
      <c r="DG334" s="1578"/>
      <c r="DH334" s="1578"/>
      <c r="DI334" s="1578"/>
      <c r="DJ334" s="1578"/>
      <c r="DK334" s="1578"/>
      <c r="DL334" s="1578"/>
      <c r="DM334" s="1578"/>
      <c r="DN334" s="1578"/>
      <c r="DO334" s="1578"/>
      <c r="DP334" s="1578"/>
      <c r="DQ334" s="1578"/>
      <c r="DR334" s="1578"/>
      <c r="DS334" s="1578"/>
      <c r="DT334" s="1578"/>
      <c r="DU334" s="1578"/>
      <c r="DV334" s="1581"/>
      <c r="IR334" s="517"/>
      <c r="IS334" s="517"/>
      <c r="IT334" s="517"/>
      <c r="IU334" s="517"/>
      <c r="IV334" s="517"/>
    </row>
    <row r="335" spans="1:256" ht="18.75" hidden="1" customHeight="1">
      <c r="A335" s="1594"/>
      <c r="B335" s="1595"/>
      <c r="C335" s="1596"/>
      <c r="D335" s="1596"/>
      <c r="E335" s="1596"/>
      <c r="F335" s="1596"/>
      <c r="G335" s="1596"/>
      <c r="H335" s="1596"/>
      <c r="I335" s="1596"/>
      <c r="J335" s="1596"/>
      <c r="K335" s="1596"/>
      <c r="L335" s="1596"/>
      <c r="M335" s="1596"/>
      <c r="N335" s="1596"/>
      <c r="O335" s="1596"/>
      <c r="P335" s="1596"/>
      <c r="Q335" s="1596"/>
      <c r="R335" s="1596"/>
      <c r="S335" s="1596"/>
      <c r="T335" s="1596"/>
      <c r="U335" s="1596"/>
      <c r="V335" s="1596"/>
      <c r="W335" s="1596"/>
      <c r="X335" s="1596"/>
      <c r="Y335" s="1596"/>
      <c r="Z335" s="1596"/>
      <c r="AA335" s="1596"/>
      <c r="AB335" s="1596"/>
      <c r="AC335" s="1596"/>
      <c r="AD335" s="1596"/>
      <c r="AE335" s="1596"/>
      <c r="AF335" s="1596"/>
      <c r="AG335" s="1596"/>
      <c r="AH335" s="1596"/>
      <c r="AI335" s="1596"/>
      <c r="AJ335" s="1596"/>
      <c r="AK335" s="1596"/>
      <c r="AL335" s="1596"/>
      <c r="AM335" s="1596"/>
      <c r="AN335" s="1596"/>
      <c r="AO335" s="1596"/>
      <c r="AP335" s="1596"/>
      <c r="AQ335" s="1596"/>
      <c r="AR335" s="1596"/>
      <c r="AS335" s="1596"/>
      <c r="AT335" s="1596"/>
      <c r="AU335" s="1596"/>
      <c r="AV335" s="1596"/>
      <c r="AW335" s="1596"/>
      <c r="AX335" s="1596"/>
      <c r="AY335" s="1596"/>
      <c r="AZ335" s="1596"/>
      <c r="BA335" s="1596"/>
      <c r="BB335" s="1596"/>
      <c r="BC335" s="1596"/>
      <c r="BD335" s="1596"/>
      <c r="BE335" s="1596"/>
      <c r="BF335" s="1596"/>
      <c r="BG335" s="1596"/>
      <c r="BH335" s="1596"/>
      <c r="BI335" s="1596"/>
      <c r="BJ335" s="1596"/>
      <c r="BK335" s="1596"/>
      <c r="BL335" s="1596"/>
      <c r="BM335" s="1596"/>
      <c r="BN335" s="1596"/>
      <c r="BO335" s="1596"/>
      <c r="BP335" s="1596"/>
      <c r="BQ335" s="1596"/>
      <c r="BR335" s="1596"/>
      <c r="BS335" s="1596"/>
      <c r="BT335" s="1596"/>
      <c r="BU335" s="1596"/>
      <c r="BV335" s="1596"/>
      <c r="BW335" s="1596"/>
      <c r="BX335" s="1596"/>
      <c r="BY335" s="1596"/>
      <c r="BZ335" s="1596"/>
      <c r="CA335" s="1596"/>
      <c r="CB335" s="1596"/>
      <c r="CC335" s="1596"/>
      <c r="CD335" s="1596"/>
      <c r="CE335" s="1597"/>
      <c r="CF335" s="1596"/>
      <c r="CG335" s="1596"/>
      <c r="CH335" s="1596"/>
      <c r="CI335" s="1596"/>
      <c r="CJ335" s="1596"/>
      <c r="CK335" s="1596"/>
      <c r="CL335" s="1596"/>
      <c r="CM335" s="1596"/>
      <c r="CN335" s="1596"/>
      <c r="CO335" s="1596"/>
      <c r="CP335" s="1596"/>
      <c r="CQ335" s="1596"/>
      <c r="CR335" s="1596"/>
      <c r="CS335" s="1596"/>
      <c r="CT335" s="1596"/>
      <c r="CU335" s="1596"/>
      <c r="CV335" s="1596"/>
      <c r="CW335" s="1596"/>
      <c r="CX335" s="1596"/>
      <c r="CY335" s="1598"/>
      <c r="CZ335" s="1596"/>
      <c r="DA335" s="1596"/>
      <c r="DB335" s="1596"/>
      <c r="DC335" s="1596"/>
      <c r="DD335" s="1596"/>
      <c r="DE335" s="1596"/>
      <c r="DF335" s="1596"/>
      <c r="DG335" s="1596"/>
      <c r="DH335" s="1596"/>
      <c r="DI335" s="1596"/>
      <c r="DJ335" s="1596"/>
      <c r="DK335" s="1596"/>
      <c r="DL335" s="1596"/>
      <c r="DM335" s="1596"/>
      <c r="DN335" s="1596"/>
      <c r="DO335" s="1596"/>
      <c r="DP335" s="1596"/>
      <c r="DQ335" s="1596"/>
      <c r="DR335" s="1596"/>
      <c r="DS335" s="1596"/>
      <c r="DT335" s="1596"/>
      <c r="DU335" s="1596"/>
      <c r="DV335" s="1599"/>
    </row>
    <row r="336" spans="1:256" ht="13.8" hidden="1">
      <c r="A336" s="1532"/>
      <c r="B336" s="1533"/>
      <c r="C336" s="1534"/>
      <c r="D336" s="1535"/>
      <c r="E336" s="1535"/>
      <c r="F336" s="1535"/>
      <c r="G336" s="1535"/>
      <c r="H336" s="1535"/>
      <c r="I336" s="1535"/>
      <c r="J336" s="1535"/>
      <c r="K336" s="1535"/>
      <c r="L336" s="1535"/>
      <c r="M336" s="1535"/>
      <c r="N336" s="1535"/>
      <c r="O336" s="1535"/>
      <c r="P336" s="1535"/>
      <c r="Q336" s="1535"/>
      <c r="R336" s="1535"/>
      <c r="S336" s="1535"/>
      <c r="T336" s="1535"/>
      <c r="U336" s="1535"/>
      <c r="V336" s="1535"/>
      <c r="W336" s="1535"/>
      <c r="X336" s="1535"/>
      <c r="Y336" s="1535"/>
      <c r="Z336" s="1535"/>
      <c r="AA336" s="1535"/>
      <c r="AB336" s="1535"/>
      <c r="AC336" s="1535"/>
      <c r="AD336" s="1535"/>
      <c r="AE336" s="1535"/>
      <c r="AF336" s="1535"/>
      <c r="AG336" s="1535"/>
      <c r="AH336" s="1535"/>
      <c r="AI336" s="1535"/>
      <c r="AJ336" s="1535"/>
      <c r="AK336" s="1535"/>
      <c r="AL336" s="1535"/>
      <c r="AM336" s="1535"/>
      <c r="AN336" s="1535"/>
      <c r="AO336" s="1535"/>
      <c r="AP336" s="1535"/>
      <c r="AQ336" s="1535"/>
      <c r="AR336" s="1535"/>
      <c r="AS336" s="1535"/>
      <c r="AT336" s="1535"/>
      <c r="AU336" s="1535"/>
      <c r="AV336" s="1535"/>
      <c r="AW336" s="1535"/>
      <c r="AX336" s="1535"/>
      <c r="AY336" s="1535"/>
      <c r="AZ336" s="1535"/>
      <c r="BA336" s="1535"/>
      <c r="BB336" s="1535"/>
      <c r="BC336" s="1535"/>
      <c r="BD336" s="1535"/>
      <c r="BE336" s="1535"/>
      <c r="BF336" s="1535"/>
      <c r="BG336" s="1535"/>
      <c r="BH336" s="1535"/>
      <c r="BI336" s="1535"/>
      <c r="BJ336" s="1535"/>
      <c r="BK336" s="1535"/>
      <c r="BL336" s="1535"/>
      <c r="BM336" s="1535"/>
      <c r="BN336" s="1535"/>
      <c r="BO336" s="1535"/>
      <c r="BP336" s="1535"/>
      <c r="BQ336" s="1535"/>
      <c r="BR336" s="1535"/>
      <c r="BS336" s="1535"/>
      <c r="BT336" s="1535"/>
      <c r="BU336" s="1535"/>
      <c r="BV336" s="1535"/>
      <c r="BW336" s="1535"/>
      <c r="BX336" s="1535"/>
      <c r="BY336" s="1535"/>
      <c r="BZ336" s="1535"/>
      <c r="CA336" s="1535"/>
      <c r="CB336" s="1535"/>
      <c r="CC336" s="1535"/>
      <c r="CD336" s="1535"/>
      <c r="CE336" s="737"/>
      <c r="CF336" s="1535"/>
      <c r="CG336" s="1535"/>
      <c r="CH336" s="1535"/>
      <c r="CI336" s="1535"/>
      <c r="CJ336" s="1535"/>
      <c r="CK336" s="1535"/>
      <c r="CL336" s="1535"/>
      <c r="CM336" s="1535"/>
      <c r="CN336" s="1535"/>
      <c r="CO336" s="1535"/>
      <c r="CP336" s="1535"/>
      <c r="CQ336" s="1535"/>
      <c r="CR336" s="1535"/>
      <c r="CS336" s="1535"/>
      <c r="CT336" s="1535"/>
      <c r="CU336" s="1535"/>
      <c r="CV336" s="1535"/>
      <c r="CW336" s="1535"/>
      <c r="CX336" s="1535"/>
      <c r="CY336" s="1536"/>
      <c r="CZ336" s="1535"/>
      <c r="DA336" s="1535"/>
      <c r="DB336" s="1535"/>
      <c r="DC336" s="1535"/>
      <c r="DD336" s="1535"/>
      <c r="DE336" s="1535"/>
      <c r="DF336" s="1535"/>
      <c r="DG336" s="1535"/>
      <c r="DH336" s="1535"/>
      <c r="DI336" s="1535"/>
      <c r="DJ336" s="1535"/>
      <c r="DK336" s="1535"/>
      <c r="DL336" s="1535"/>
      <c r="DM336" s="1535"/>
      <c r="DN336" s="1535"/>
      <c r="DO336" s="1535"/>
      <c r="DP336" s="1535"/>
      <c r="DQ336" s="1535"/>
      <c r="DR336" s="1535"/>
      <c r="DS336" s="1535"/>
      <c r="DT336" s="1535"/>
      <c r="DU336" s="1535"/>
      <c r="DV336" s="689"/>
    </row>
    <row r="337" spans="1:256" ht="13.95" hidden="1" customHeight="1">
      <c r="A337" s="911" t="s">
        <v>4055</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3.8"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8"/>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4039</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9"/>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7"/>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91" t="s">
        <v>3903</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5" customFormat="1" ht="18.899999999999999" hidden="1" customHeight="1">
      <c r="A343" s="3184" t="s">
        <v>4131</v>
      </c>
      <c r="B343" s="3184"/>
      <c r="C343" s="793"/>
      <c r="D343" s="794"/>
      <c r="E343" s="794"/>
      <c r="F343" s="794"/>
      <c r="G343" s="794"/>
      <c r="H343" s="794"/>
      <c r="I343" s="794"/>
      <c r="J343" s="794"/>
      <c r="V343" s="796"/>
      <c r="W343" s="797"/>
      <c r="X343" s="795">
        <f>+X339+AA339+AC339+AD339*2</f>
        <v>0</v>
      </c>
      <c r="BG343" s="798"/>
      <c r="CD343" s="796"/>
      <c r="CE343" s="796"/>
      <c r="CF343" s="796"/>
      <c r="CG343" s="796"/>
      <c r="CH343" s="796"/>
      <c r="CI343" s="796"/>
      <c r="CJ343" s="796"/>
      <c r="CK343" s="796"/>
      <c r="CL343" s="796"/>
      <c r="CM343" s="796"/>
      <c r="CN343" s="796"/>
      <c r="CO343" s="796"/>
      <c r="CP343" s="796"/>
      <c r="CQ343" s="796"/>
      <c r="CR343" s="796"/>
      <c r="CS343" s="796"/>
      <c r="CT343" s="796"/>
      <c r="CU343" s="796"/>
      <c r="CV343" s="796"/>
      <c r="CW343" s="796"/>
      <c r="CX343" s="796"/>
      <c r="CY343" s="796"/>
      <c r="CZ343" s="796"/>
      <c r="DA343" s="796"/>
      <c r="DB343" s="796"/>
      <c r="DC343" s="796"/>
      <c r="DD343" s="796"/>
      <c r="DE343" s="796"/>
      <c r="DF343" s="796"/>
      <c r="DG343" s="796"/>
      <c r="DH343" s="796"/>
      <c r="DI343" s="796"/>
      <c r="DJ343" s="796"/>
      <c r="DK343" s="796"/>
      <c r="DL343" s="796"/>
      <c r="DM343" s="796"/>
      <c r="DN343" s="796"/>
      <c r="DO343" s="796"/>
      <c r="DP343" s="796"/>
      <c r="DQ343" s="796"/>
      <c r="DR343" s="796"/>
      <c r="DS343" s="797"/>
      <c r="DU343" s="795">
        <f>+DU339*0.45*0.8</f>
        <v>0</v>
      </c>
      <c r="DV343" s="799"/>
      <c r="IR343" s="800"/>
      <c r="IS343" s="800"/>
      <c r="IT343" s="800"/>
      <c r="IU343" s="800"/>
      <c r="IV343" s="800"/>
    </row>
    <row r="344" spans="1:256" s="795" customFormat="1" ht="18.899999999999999" hidden="1" customHeight="1">
      <c r="A344" s="3184" t="s">
        <v>4132</v>
      </c>
      <c r="B344" s="3184"/>
      <c r="C344" s="793"/>
      <c r="D344" s="794"/>
      <c r="E344" s="794"/>
      <c r="F344" s="794"/>
      <c r="G344" s="794"/>
      <c r="H344" s="794"/>
      <c r="I344" s="794"/>
      <c r="J344" s="794"/>
      <c r="V344" s="796"/>
      <c r="W344" s="801"/>
      <c r="X344" s="802"/>
      <c r="Y344" s="802"/>
      <c r="Z344" s="802"/>
      <c r="AA344" s="802"/>
      <c r="AC344" s="802"/>
      <c r="CD344" s="796"/>
      <c r="CE344" s="796"/>
      <c r="CF344" s="796"/>
      <c r="CG344" s="796"/>
      <c r="CH344" s="796"/>
      <c r="CI344" s="796"/>
      <c r="CJ344" s="796"/>
      <c r="CK344" s="796"/>
      <c r="CL344" s="796"/>
      <c r="CM344" s="796"/>
      <c r="CN344" s="796"/>
      <c r="CO344" s="796"/>
      <c r="CP344" s="796"/>
      <c r="CQ344" s="796"/>
      <c r="CR344" s="796"/>
      <c r="CS344" s="796"/>
      <c r="CT344" s="796"/>
      <c r="CU344" s="796"/>
      <c r="CV344" s="796"/>
      <c r="CW344" s="796"/>
      <c r="CX344" s="796"/>
      <c r="CY344" s="796"/>
      <c r="CZ344" s="796"/>
      <c r="DA344" s="796"/>
      <c r="DB344" s="796"/>
      <c r="DC344" s="796"/>
      <c r="DD344" s="796"/>
      <c r="DE344" s="796"/>
      <c r="DF344" s="796"/>
      <c r="DG344" s="796"/>
      <c r="DH344" s="796"/>
      <c r="DI344" s="796"/>
      <c r="DJ344" s="796"/>
      <c r="DK344" s="796"/>
      <c r="DL344" s="796"/>
      <c r="DM344" s="796"/>
      <c r="DN344" s="796"/>
      <c r="DO344" s="796"/>
      <c r="DP344" s="796"/>
      <c r="DQ344" s="796"/>
      <c r="DR344" s="796"/>
      <c r="DS344" s="797"/>
      <c r="DU344" s="795">
        <f>+DU343/0.85</f>
        <v>0</v>
      </c>
    </row>
    <row r="345" spans="1:256" s="795" customFormat="1" ht="18.899999999999999" hidden="1" customHeight="1">
      <c r="A345" s="3184" t="s">
        <v>4133</v>
      </c>
      <c r="B345" s="3184"/>
      <c r="C345" s="803"/>
      <c r="D345" s="804"/>
      <c r="E345" s="804"/>
      <c r="F345" s="804"/>
      <c r="G345" s="804"/>
      <c r="H345" s="804"/>
      <c r="I345" s="804"/>
      <c r="J345" s="804"/>
      <c r="W345" s="805"/>
      <c r="AB345" s="797"/>
      <c r="AD345" s="797"/>
      <c r="AE345" s="806"/>
      <c r="AF345" s="796"/>
      <c r="AG345" s="796"/>
      <c r="DV345" s="799"/>
    </row>
    <row r="346" spans="1:256" s="795" customFormat="1" ht="18.899999999999999" hidden="1" customHeight="1">
      <c r="A346" s="3184" t="s">
        <v>4134</v>
      </c>
      <c r="B346" s="3184"/>
      <c r="C346" s="803"/>
      <c r="D346" s="804"/>
      <c r="E346" s="804"/>
      <c r="F346" s="804"/>
      <c r="G346" s="804"/>
      <c r="H346" s="804"/>
      <c r="I346" s="804"/>
      <c r="J346" s="804"/>
      <c r="W346" s="805"/>
      <c r="AB346" s="797"/>
      <c r="AD346" s="797"/>
      <c r="AE346" s="806"/>
      <c r="AF346" s="796"/>
      <c r="AG346" s="796"/>
      <c r="DV346" s="799"/>
      <c r="DX346" s="799"/>
      <c r="DZ346" s="799"/>
    </row>
    <row r="347" spans="1:256" s="795" customFormat="1" ht="18.899999999999999" hidden="1" customHeight="1">
      <c r="A347" s="3184" t="s">
        <v>4135</v>
      </c>
      <c r="B347" s="3184"/>
      <c r="C347" s="793">
        <f>C337</f>
        <v>0</v>
      </c>
      <c r="D347" s="794"/>
      <c r="E347" s="794"/>
      <c r="F347" s="794"/>
      <c r="G347" s="794"/>
      <c r="H347" s="794"/>
      <c r="I347" s="794"/>
      <c r="J347" s="794"/>
      <c r="P347" s="807"/>
      <c r="R347" s="808"/>
      <c r="W347" s="809"/>
      <c r="AB347" s="797"/>
      <c r="AD347" s="797"/>
      <c r="AF347" s="796"/>
      <c r="AG347" s="796"/>
      <c r="AX347" s="810"/>
      <c r="AY347" s="811"/>
      <c r="AZ347" s="811"/>
      <c r="BA347" s="811"/>
      <c r="DV347" s="799"/>
    </row>
    <row r="348" spans="1:256" s="795" customFormat="1" ht="18.899999999999999" hidden="1" customHeight="1">
      <c r="A348" s="3184" t="s">
        <v>4136</v>
      </c>
      <c r="B348" s="3184"/>
      <c r="C348" s="803"/>
      <c r="D348" s="804"/>
      <c r="E348" s="804"/>
      <c r="F348" s="804"/>
      <c r="G348" s="804"/>
      <c r="H348" s="804"/>
      <c r="I348" s="804"/>
      <c r="J348" s="804"/>
      <c r="R348" s="808"/>
      <c r="W348" s="805"/>
      <c r="AB348" s="797"/>
      <c r="AD348" s="797"/>
      <c r="AE348" s="806"/>
      <c r="AF348" s="796"/>
      <c r="AG348" s="796"/>
      <c r="AX348" s="810"/>
      <c r="AY348" s="796"/>
      <c r="AZ348" s="796"/>
      <c r="BA348" s="796"/>
      <c r="DV348" s="799"/>
    </row>
    <row r="349" spans="1:256" s="795" customFormat="1" ht="18.899999999999999" hidden="1" customHeight="1">
      <c r="A349" s="812" t="s">
        <v>4137</v>
      </c>
      <c r="B349" s="797"/>
      <c r="C349" s="803">
        <f>+M339</f>
        <v>0</v>
      </c>
      <c r="D349" s="813"/>
      <c r="E349" s="813"/>
      <c r="F349" s="813"/>
      <c r="G349" s="813"/>
      <c r="H349" s="813"/>
      <c r="I349" s="813"/>
      <c r="J349" s="813"/>
      <c r="AB349" s="797"/>
      <c r="AD349" s="797"/>
      <c r="AF349" s="796"/>
      <c r="DV349" s="799"/>
    </row>
    <row r="350" spans="1:256" s="795" customFormat="1" ht="18.899999999999999" hidden="1" customHeight="1">
      <c r="A350" s="812" t="s">
        <v>4138</v>
      </c>
      <c r="C350" s="803"/>
      <c r="DV350" s="799"/>
      <c r="IR350" s="800"/>
      <c r="IS350" s="800"/>
      <c r="IT350" s="800"/>
      <c r="IU350" s="800"/>
      <c r="IV350" s="800"/>
    </row>
    <row r="351" spans="1:256" ht="18.899999999999999" customHeight="1">
      <c r="Q351" s="900"/>
      <c r="BQ351" s="517"/>
      <c r="BR351" s="517"/>
      <c r="BS351" s="517"/>
      <c r="BT351" s="517"/>
      <c r="BU351" s="517"/>
      <c r="BV351" s="517"/>
      <c r="DV351" s="857"/>
    </row>
    <row r="352" spans="1:256" ht="18.899999999999999" customHeight="1">
      <c r="Q352" s="819"/>
      <c r="BQ352" s="517"/>
      <c r="BR352" s="517"/>
      <c r="BS352" s="517"/>
      <c r="BT352" s="517"/>
      <c r="BU352" s="517"/>
      <c r="BV352" s="517"/>
      <c r="DV352" s="818"/>
    </row>
    <row r="353" spans="10:256" ht="18.899999999999999" customHeight="1">
      <c r="Q353" s="819"/>
      <c r="BQ353" s="517"/>
      <c r="BR353" s="517"/>
      <c r="BS353" s="517"/>
      <c r="BT353" s="517"/>
      <c r="BU353" s="517"/>
      <c r="BV353" s="517"/>
      <c r="DV353" s="818"/>
    </row>
    <row r="354" spans="10:256" ht="18.899999999999999" customHeight="1">
      <c r="Q354" s="819"/>
      <c r="BQ354" s="517"/>
      <c r="BR354" s="517"/>
      <c r="BS354" s="517"/>
      <c r="BT354" s="517"/>
      <c r="BU354" s="517"/>
      <c r="BV354" s="517"/>
      <c r="DV354" s="818"/>
    </row>
    <row r="355" spans="10:256" ht="18.899999999999999" customHeight="1">
      <c r="Q355" s="819"/>
      <c r="BQ355" s="517"/>
      <c r="BR355" s="517"/>
      <c r="BS355" s="517"/>
      <c r="BT355" s="517"/>
      <c r="BU355" s="517"/>
      <c r="BV355" s="517"/>
      <c r="DV355" s="818"/>
      <c r="IR355" s="529"/>
      <c r="IS355" s="529"/>
      <c r="IT355" s="529"/>
      <c r="IU355" s="529"/>
      <c r="IV355" s="529"/>
    </row>
    <row r="356" spans="10:256" ht="18.899999999999999" customHeight="1">
      <c r="Q356" s="898"/>
      <c r="BQ356" s="517"/>
      <c r="BR356" s="517"/>
      <c r="BS356" s="517"/>
      <c r="BT356" s="517"/>
      <c r="BU356" s="517"/>
      <c r="BV356" s="517"/>
      <c r="DV356" s="817"/>
    </row>
    <row r="357" spans="10:256" ht="18.899999999999999" customHeight="1">
      <c r="BQ357" s="517"/>
      <c r="BR357" s="517"/>
      <c r="BS357" s="517"/>
      <c r="BT357" s="517"/>
      <c r="BU357" s="517"/>
      <c r="BV357" s="517"/>
    </row>
    <row r="358" spans="10:256" ht="18.899999999999999" customHeight="1">
      <c r="J358" s="819"/>
      <c r="BQ358" s="517"/>
      <c r="BR358" s="517"/>
      <c r="BS358" s="517"/>
      <c r="BT358" s="517"/>
      <c r="BU358" s="517"/>
      <c r="BV358" s="517"/>
      <c r="DI358" s="818"/>
    </row>
    <row r="359" spans="10:256" ht="18.899999999999999" customHeight="1">
      <c r="J359" s="899"/>
      <c r="BQ359" s="517"/>
      <c r="BR359" s="517"/>
      <c r="BS359" s="517"/>
      <c r="BT359" s="517"/>
      <c r="BU359" s="517"/>
      <c r="BV359" s="517"/>
    </row>
    <row r="360" spans="10:256" ht="18.899999999999999" customHeight="1">
      <c r="BQ360" s="517"/>
      <c r="BR360" s="517"/>
      <c r="BS360" s="517"/>
      <c r="BT360" s="517"/>
      <c r="BU360" s="517"/>
      <c r="BV360" s="517"/>
    </row>
    <row r="361" spans="10:256" ht="18.899999999999999" customHeight="1">
      <c r="BQ361" s="517"/>
      <c r="BR361" s="517"/>
      <c r="BS361" s="517"/>
      <c r="BT361" s="517"/>
      <c r="BU361" s="517"/>
      <c r="BV361" s="517"/>
    </row>
    <row r="362" spans="10:256" ht="18.899999999999999" customHeight="1">
      <c r="BQ362" s="517"/>
      <c r="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ow>
    <row r="364" spans="10:256" ht="18.899999999999999" customHeight="1">
      <c r="BQ364" s="517"/>
      <c r="BR364" s="517"/>
      <c r="BS364" s="517"/>
      <c r="BT364" s="517"/>
      <c r="BU364" s="517"/>
      <c r="BV364" s="517"/>
    </row>
    <row r="365" spans="10:256" ht="18.899999999999999" customHeight="1">
      <c r="BQ365" s="517"/>
      <c r="BR365" s="517"/>
      <c r="BS365" s="517"/>
      <c r="BT365" s="517"/>
      <c r="BU365" s="517"/>
      <c r="BV365" s="517"/>
    </row>
    <row r="366" spans="10:256" ht="18.899999999999999" customHeight="1">
      <c r="BQ366" s="517"/>
      <c r="BR366" s="517"/>
      <c r="BS366" s="517"/>
      <c r="BT366" s="517"/>
      <c r="BU366" s="517"/>
      <c r="BV366" s="517"/>
    </row>
    <row r="367" spans="10:256" ht="18.899999999999999" customHeight="1">
      <c r="BQ367" s="517"/>
      <c r="BR367" s="517"/>
      <c r="BS367" s="517"/>
      <c r="BT367" s="517"/>
      <c r="BU367" s="517"/>
      <c r="BV367" s="517"/>
    </row>
    <row r="368" spans="10:256" ht="18.899999999999999" customHeight="1">
      <c r="BQ368" s="517"/>
      <c r="BR368" s="517"/>
      <c r="BS368" s="517"/>
      <c r="BT368" s="517"/>
      <c r="BU368" s="517"/>
      <c r="BV368" s="517"/>
    </row>
    <row r="369" spans="69:74" ht="18.899999999999999" customHeight="1">
      <c r="BQ369" s="517"/>
      <c r="BR369" s="517"/>
      <c r="BS369" s="517"/>
      <c r="BT369" s="517"/>
      <c r="BU369" s="517"/>
      <c r="BV369" s="517"/>
    </row>
    <row r="370" spans="69:74" ht="18.899999999999999" customHeight="1">
      <c r="BQ370" s="517"/>
      <c r="BR370" s="517"/>
      <c r="BS370" s="517"/>
      <c r="BT370" s="517"/>
      <c r="BU370" s="517"/>
      <c r="BV370" s="517"/>
    </row>
    <row r="371" spans="69:74" ht="18.899999999999999" customHeight="1">
      <c r="BQ371" s="517"/>
      <c r="BR371" s="517"/>
      <c r="BS371" s="517"/>
      <c r="BT371" s="517"/>
      <c r="BU371" s="517"/>
      <c r="BV371" s="517"/>
    </row>
    <row r="372" spans="69:74" ht="18.899999999999999" customHeight="1">
      <c r="BQ372" s="517"/>
      <c r="BR372" s="517"/>
      <c r="BS372" s="517"/>
      <c r="BT372" s="517"/>
      <c r="BU372" s="517"/>
      <c r="BV372" s="517"/>
    </row>
    <row r="373" spans="69:74" ht="18.899999999999999" customHeight="1">
      <c r="BQ373" s="517"/>
      <c r="BR373" s="517"/>
      <c r="BS373" s="517"/>
      <c r="BT373" s="517"/>
      <c r="BU373" s="517"/>
      <c r="BV373" s="517"/>
    </row>
    <row r="374" spans="69:74" ht="18.899999999999999" customHeight="1">
      <c r="BQ374" s="517"/>
      <c r="BR374" s="517"/>
      <c r="BS374" s="517"/>
      <c r="BT374" s="517"/>
      <c r="BU374" s="517"/>
      <c r="BV374" s="517"/>
    </row>
    <row r="375" spans="69:74" ht="18.899999999999999" customHeight="1">
      <c r="BQ375" s="517"/>
      <c r="BR375" s="517"/>
      <c r="BS375" s="517"/>
      <c r="BT375" s="517"/>
      <c r="BU375" s="517"/>
      <c r="BV375" s="517"/>
    </row>
    <row r="376" spans="69:74" ht="18.899999999999999" customHeight="1">
      <c r="BQ376" s="517"/>
      <c r="BR376" s="517"/>
      <c r="BS376" s="517"/>
      <c r="BT376" s="517"/>
      <c r="BU376" s="517"/>
      <c r="BV376" s="517"/>
    </row>
    <row r="377" spans="69:74" ht="18.899999999999999" customHeight="1">
      <c r="BQ377" s="517"/>
      <c r="BR377" s="517"/>
      <c r="BS377" s="517"/>
      <c r="BT377" s="517"/>
      <c r="BU377" s="517"/>
      <c r="BV377" s="517"/>
    </row>
    <row r="378" spans="69:74" ht="18.899999999999999" customHeight="1">
      <c r="BQ378" s="517"/>
      <c r="BR378" s="517"/>
      <c r="BS378" s="517"/>
      <c r="BT378" s="517"/>
      <c r="BU378" s="517"/>
      <c r="BV378" s="517"/>
    </row>
    <row r="379" spans="69:74" ht="18.899999999999999" customHeight="1">
      <c r="BQ379" s="517"/>
      <c r="BR379" s="517"/>
      <c r="BS379" s="517"/>
      <c r="BT379" s="517"/>
      <c r="BU379" s="517"/>
      <c r="BV379" s="517"/>
    </row>
    <row r="380" spans="69:74" ht="18.899999999999999" customHeight="1">
      <c r="BQ380" s="517"/>
      <c r="BR380" s="517"/>
      <c r="BS380" s="517"/>
      <c r="BT380" s="517"/>
      <c r="BU380" s="517"/>
      <c r="BV380" s="517"/>
    </row>
    <row r="381" spans="69:74" ht="18.899999999999999" customHeight="1">
      <c r="BQ381" s="517"/>
      <c r="BR381" s="517"/>
      <c r="BS381" s="517"/>
      <c r="BT381" s="517"/>
      <c r="BU381" s="517"/>
      <c r="BV381" s="517"/>
    </row>
    <row r="382" spans="69:74" ht="18.899999999999999" customHeight="1">
      <c r="BQ382" s="517"/>
      <c r="BR382" s="517"/>
      <c r="BS382" s="517"/>
      <c r="BT382" s="517"/>
      <c r="BU382" s="517"/>
      <c r="BV382" s="517"/>
    </row>
    <row r="383" spans="69:74" ht="18.899999999999999" customHeight="1">
      <c r="BQ383" s="517"/>
      <c r="BR383" s="517"/>
      <c r="BS383" s="517"/>
      <c r="BT383" s="517"/>
      <c r="BU383" s="517"/>
      <c r="BV383" s="517"/>
    </row>
    <row r="384" spans="69:74" ht="18.899999999999999" customHeight="1">
      <c r="BQ384" s="517"/>
      <c r="BR384" s="517"/>
      <c r="BS384" s="517"/>
      <c r="BT384" s="517"/>
      <c r="BU384" s="517"/>
      <c r="BV384" s="517"/>
    </row>
    <row r="385" spans="69:74" ht="18.899999999999999" customHeight="1">
      <c r="BQ385" s="517"/>
      <c r="BR385" s="517"/>
      <c r="BS385" s="517"/>
      <c r="BT385" s="517"/>
      <c r="BU385" s="517"/>
      <c r="BV385" s="517"/>
    </row>
    <row r="386" spans="69:74" ht="18.899999999999999" customHeight="1">
      <c r="BQ386" s="517"/>
      <c r="BR386" s="517"/>
      <c r="BS386" s="517"/>
      <c r="BT386" s="517"/>
      <c r="BU386" s="517"/>
      <c r="BV386" s="517"/>
    </row>
    <row r="387" spans="69:74" ht="18.899999999999999" customHeight="1">
      <c r="BQ387" s="517"/>
      <c r="BR387" s="517"/>
      <c r="BS387" s="517"/>
      <c r="BT387" s="517"/>
      <c r="BU387" s="517"/>
      <c r="BV387" s="517"/>
    </row>
    <row r="388" spans="69:74" ht="18.899999999999999" customHeight="1">
      <c r="BQ388" s="517"/>
      <c r="BR388" s="517"/>
      <c r="BS388" s="517"/>
      <c r="BT388" s="517"/>
      <c r="BU388" s="517"/>
      <c r="BV388" s="517"/>
    </row>
    <row r="389" spans="69:74" ht="18.899999999999999" customHeight="1">
      <c r="BQ389" s="517"/>
      <c r="BR389" s="517"/>
      <c r="BS389" s="517"/>
      <c r="BT389" s="517"/>
      <c r="BU389" s="517"/>
      <c r="BV389" s="517"/>
    </row>
    <row r="390" spans="69:74" ht="18.899999999999999" customHeight="1">
      <c r="BQ390" s="517"/>
      <c r="BR390" s="517"/>
      <c r="BS390" s="517"/>
      <c r="BT390" s="517"/>
      <c r="BU390" s="517"/>
      <c r="BV390" s="517"/>
    </row>
    <row r="391" spans="69:74" ht="18.899999999999999" customHeight="1">
      <c r="BQ391" s="517"/>
      <c r="BR391" s="517"/>
      <c r="BS391" s="517"/>
      <c r="BT391" s="517"/>
      <c r="BU391" s="517"/>
      <c r="BV391" s="517"/>
    </row>
    <row r="392" spans="69:74" ht="18.899999999999999" customHeight="1">
      <c r="BQ392" s="517"/>
      <c r="BR392" s="517"/>
      <c r="BS392" s="517"/>
      <c r="BT392" s="517"/>
      <c r="BU392" s="517"/>
      <c r="BV392" s="517"/>
    </row>
    <row r="393" spans="69:74" ht="18.899999999999999" customHeight="1">
      <c r="BQ393" s="517"/>
      <c r="BR393" s="517"/>
      <c r="BS393" s="517"/>
      <c r="BT393" s="517"/>
      <c r="BU393" s="517"/>
      <c r="BV393" s="517"/>
    </row>
    <row r="394" spans="69:74" ht="18.899999999999999" customHeight="1">
      <c r="BQ394" s="517"/>
      <c r="BR394" s="517"/>
      <c r="BS394" s="517"/>
      <c r="BT394" s="517"/>
      <c r="BU394" s="517"/>
      <c r="BV394" s="517"/>
    </row>
    <row r="395" spans="69:74" ht="18.899999999999999" customHeight="1">
      <c r="BQ395" s="517"/>
      <c r="BR395" s="517"/>
      <c r="BS395" s="517"/>
      <c r="BT395" s="517"/>
      <c r="BU395" s="517"/>
      <c r="BV395" s="517"/>
    </row>
    <row r="396" spans="69:74" ht="18.899999999999999" customHeight="1">
      <c r="BQ396" s="517"/>
      <c r="BR396" s="517"/>
      <c r="BS396" s="517"/>
      <c r="BT396" s="517"/>
      <c r="BU396" s="517"/>
      <c r="BV396" s="517"/>
    </row>
    <row r="397" spans="69:74" ht="18.899999999999999" customHeight="1">
      <c r="BQ397" s="517"/>
      <c r="BR397" s="517"/>
      <c r="BS397" s="517"/>
      <c r="BT397" s="517"/>
      <c r="BU397" s="517"/>
      <c r="BV397" s="517"/>
    </row>
    <row r="398" spans="69:74" ht="18.899999999999999" customHeight="1">
      <c r="BQ398" s="517"/>
      <c r="BR398" s="517"/>
      <c r="BS398" s="517"/>
      <c r="BT398" s="517"/>
      <c r="BU398" s="517"/>
      <c r="BV398" s="517"/>
    </row>
    <row r="399" spans="69:74" ht="18.899999999999999" customHeight="1">
      <c r="BQ399" s="517"/>
      <c r="BR399" s="517"/>
      <c r="BS399" s="517"/>
      <c r="BT399" s="517"/>
      <c r="BU399" s="517"/>
      <c r="BV399" s="517"/>
    </row>
    <row r="400" spans="69:74" ht="18.899999999999999" customHeight="1">
      <c r="BQ400" s="517"/>
      <c r="BR400" s="517"/>
      <c r="BS400" s="517"/>
      <c r="BT400" s="517"/>
      <c r="BU400" s="517"/>
      <c r="BV400" s="517"/>
    </row>
    <row r="401" spans="69:74" ht="18.899999999999999" customHeight="1">
      <c r="BQ401" s="517"/>
      <c r="BR401" s="517"/>
      <c r="BS401" s="517"/>
      <c r="BT401" s="517"/>
      <c r="BU401" s="517"/>
      <c r="BV401" s="517"/>
    </row>
    <row r="402" spans="69:74" ht="18.899999999999999" customHeight="1">
      <c r="BQ402" s="517"/>
      <c r="BR402" s="517"/>
      <c r="BS402" s="517"/>
      <c r="BT402" s="517"/>
      <c r="BU402" s="517"/>
      <c r="BV402" s="517"/>
    </row>
    <row r="403" spans="69:74" ht="18.899999999999999" customHeight="1">
      <c r="BQ403" s="517"/>
      <c r="BR403" s="517"/>
      <c r="BS403" s="517"/>
      <c r="BT403" s="517"/>
      <c r="BU403" s="517"/>
      <c r="BV403" s="517"/>
    </row>
    <row r="404" spans="69:74" ht="18.899999999999999" customHeight="1">
      <c r="BQ404" s="517"/>
      <c r="BR404" s="517"/>
      <c r="BS404" s="517"/>
      <c r="BT404" s="517"/>
      <c r="BU404" s="517"/>
      <c r="BV404" s="517"/>
    </row>
    <row r="405" spans="69:74" ht="18.899999999999999" customHeight="1">
      <c r="BQ405" s="517"/>
      <c r="BR405" s="517"/>
      <c r="BS405" s="517"/>
      <c r="BT405" s="517"/>
      <c r="BU405" s="517"/>
      <c r="BV405" s="517"/>
    </row>
    <row r="406" spans="69:74" ht="18.899999999999999" customHeight="1">
      <c r="BQ406" s="517"/>
      <c r="BR406" s="517"/>
      <c r="BS406" s="517"/>
      <c r="BT406" s="517"/>
      <c r="BU406" s="517"/>
      <c r="BV406" s="517"/>
    </row>
    <row r="407" spans="69:74" ht="18.899999999999999" customHeight="1">
      <c r="BQ407" s="517"/>
      <c r="BR407" s="517"/>
      <c r="BS407" s="517"/>
      <c r="BT407" s="517"/>
      <c r="BU407" s="517"/>
      <c r="BV407" s="517"/>
    </row>
    <row r="408" spans="69:74" ht="18.899999999999999" customHeight="1">
      <c r="BQ408" s="517"/>
      <c r="BR408" s="517"/>
      <c r="BS408" s="517"/>
      <c r="BT408" s="517"/>
      <c r="BU408" s="517"/>
      <c r="BV408" s="517"/>
    </row>
    <row r="409" spans="69:74" ht="18.899999999999999" customHeight="1">
      <c r="BQ409" s="517"/>
      <c r="BR409" s="517"/>
      <c r="BS409" s="517"/>
      <c r="BT409" s="517"/>
      <c r="BU409" s="517"/>
      <c r="BV409" s="517"/>
    </row>
    <row r="410" spans="69:74" ht="18.899999999999999" customHeight="1">
      <c r="BQ410" s="517"/>
      <c r="BR410" s="517"/>
      <c r="BS410" s="517"/>
      <c r="BT410" s="517"/>
      <c r="BU410" s="517"/>
      <c r="BV410" s="517"/>
    </row>
    <row r="411" spans="69:74" ht="18.899999999999999" customHeight="1">
      <c r="BQ411" s="517"/>
      <c r="BR411" s="517"/>
      <c r="BS411" s="517"/>
      <c r="BT411" s="517"/>
      <c r="BU411" s="517"/>
      <c r="BV411" s="517"/>
    </row>
    <row r="412" spans="69:74" ht="18.899999999999999" customHeight="1">
      <c r="BQ412" s="517"/>
      <c r="BR412" s="517"/>
      <c r="BS412" s="517"/>
      <c r="BT412" s="517"/>
      <c r="BU412" s="517"/>
      <c r="BV412" s="517"/>
    </row>
    <row r="413" spans="69:74" ht="18.899999999999999" customHeight="1">
      <c r="BQ413" s="517"/>
      <c r="BR413" s="517"/>
      <c r="BS413" s="517"/>
      <c r="BT413" s="517"/>
      <c r="BU413" s="517"/>
      <c r="BV413" s="517"/>
    </row>
    <row r="414" spans="69:74" ht="18.899999999999999" customHeight="1">
      <c r="BQ414" s="517"/>
      <c r="BR414" s="517"/>
      <c r="BS414" s="517"/>
      <c r="BT414" s="517"/>
      <c r="BU414" s="517"/>
      <c r="BV414" s="517"/>
    </row>
    <row r="415" spans="69:74" ht="18.899999999999999" customHeight="1">
      <c r="BQ415" s="517"/>
      <c r="BR415" s="517"/>
      <c r="BS415" s="517"/>
      <c r="BT415" s="517"/>
      <c r="BU415" s="517"/>
      <c r="BV415" s="517"/>
    </row>
    <row r="416" spans="69:74" ht="18.899999999999999" customHeight="1">
      <c r="BQ416" s="517"/>
      <c r="BR416" s="517"/>
      <c r="BS416" s="517"/>
      <c r="BT416" s="517"/>
      <c r="BU416" s="517"/>
      <c r="BV416" s="517"/>
    </row>
    <row r="417" spans="69:74" ht="18.899999999999999" customHeight="1">
      <c r="BQ417" s="517"/>
      <c r="BR417" s="517"/>
      <c r="BS417" s="517"/>
      <c r="BT417" s="517"/>
      <c r="BU417" s="517"/>
      <c r="BV417" s="517"/>
    </row>
    <row r="418" spans="69:74" ht="18.899999999999999" customHeight="1">
      <c r="BQ418" s="517"/>
      <c r="BR418" s="517"/>
      <c r="BS418" s="517"/>
      <c r="BT418" s="517"/>
      <c r="BU418" s="517"/>
      <c r="BV418" s="517"/>
    </row>
    <row r="419" spans="69:74" ht="18.899999999999999" customHeight="1">
      <c r="BQ419" s="517"/>
      <c r="BR419" s="517"/>
      <c r="BS419" s="517"/>
      <c r="BT419" s="517"/>
      <c r="BU419" s="517"/>
      <c r="BV419" s="517"/>
    </row>
    <row r="420" spans="69:74" ht="18.899999999999999" customHeight="1">
      <c r="BQ420" s="517"/>
      <c r="BR420" s="517"/>
      <c r="BS420" s="517"/>
      <c r="BT420" s="517"/>
      <c r="BU420" s="517"/>
      <c r="BV420" s="517"/>
    </row>
    <row r="421" spans="69:74" ht="18.899999999999999" customHeight="1">
      <c r="BQ421" s="517"/>
      <c r="BR421" s="517"/>
      <c r="BS421" s="517"/>
      <c r="BT421" s="517"/>
      <c r="BU421" s="517"/>
      <c r="BV421" s="517"/>
    </row>
    <row r="422" spans="69:74" ht="18.899999999999999" customHeight="1">
      <c r="BQ422" s="517"/>
      <c r="BR422" s="517"/>
      <c r="BS422" s="517"/>
      <c r="BT422" s="517"/>
      <c r="BU422" s="517"/>
      <c r="BV422" s="517"/>
    </row>
    <row r="423" spans="69:74" ht="18.899999999999999" customHeight="1">
      <c r="BQ423" s="517"/>
      <c r="BR423" s="517"/>
      <c r="BS423" s="517"/>
      <c r="BT423" s="517"/>
      <c r="BU423" s="517"/>
      <c r="BV423" s="517"/>
    </row>
    <row r="424" spans="69:74" ht="18.899999999999999" customHeight="1">
      <c r="BQ424" s="517"/>
      <c r="BR424" s="517"/>
      <c r="BS424" s="517"/>
      <c r="BT424" s="517"/>
      <c r="BU424" s="517"/>
      <c r="BV424" s="517"/>
    </row>
    <row r="425" spans="69:74" ht="18.899999999999999" customHeight="1">
      <c r="BQ425" s="517"/>
      <c r="BR425" s="517"/>
      <c r="BS425" s="517"/>
      <c r="BT425" s="517"/>
      <c r="BU425" s="517"/>
      <c r="BV425" s="517"/>
    </row>
    <row r="426" spans="69:74" ht="18.899999999999999" customHeight="1">
      <c r="BQ426" s="517"/>
      <c r="BR426" s="517"/>
      <c r="BS426" s="517"/>
      <c r="BT426" s="517"/>
      <c r="BU426" s="517"/>
      <c r="BV426" s="517"/>
    </row>
    <row r="427" spans="69:74" ht="18.899999999999999" customHeight="1">
      <c r="BQ427" s="517"/>
      <c r="BR427" s="517"/>
      <c r="BS427" s="517"/>
      <c r="BT427" s="517"/>
      <c r="BU427" s="517"/>
      <c r="BV427" s="517"/>
    </row>
    <row r="428" spans="69:74" ht="18.899999999999999" customHeight="1">
      <c r="BQ428" s="517"/>
      <c r="BR428" s="517"/>
      <c r="BS428" s="517"/>
      <c r="BT428" s="517"/>
      <c r="BU428" s="517"/>
      <c r="BV428" s="517"/>
    </row>
    <row r="429" spans="69:74" ht="18.899999999999999" customHeight="1">
      <c r="BQ429" s="517"/>
      <c r="BR429" s="517"/>
      <c r="BS429" s="517"/>
      <c r="BT429" s="517"/>
      <c r="BU429" s="517"/>
      <c r="BV429" s="517"/>
    </row>
    <row r="430" spans="69:74" ht="18.899999999999999" customHeight="1">
      <c r="BQ430" s="517"/>
      <c r="BR430" s="517"/>
      <c r="BS430" s="517"/>
      <c r="BT430" s="517"/>
      <c r="BU430" s="517"/>
      <c r="BV430" s="517"/>
    </row>
    <row r="431" spans="69:74" ht="18.899999999999999" customHeight="1">
      <c r="BQ431" s="517"/>
      <c r="BR431" s="517"/>
      <c r="BS431" s="517"/>
      <c r="BT431" s="517"/>
      <c r="BU431" s="517"/>
      <c r="BV431" s="517"/>
    </row>
    <row r="432" spans="69:74" ht="18.899999999999999" customHeight="1">
      <c r="BQ432" s="517"/>
      <c r="BR432" s="517"/>
      <c r="BS432" s="517"/>
      <c r="BT432" s="517"/>
      <c r="BU432" s="517"/>
      <c r="BV432" s="517"/>
    </row>
    <row r="433" spans="69:74" ht="18.899999999999999" customHeight="1">
      <c r="BQ433" s="517"/>
      <c r="BR433" s="517"/>
      <c r="BS433" s="517"/>
      <c r="BT433" s="517"/>
      <c r="BU433" s="517"/>
      <c r="BV433" s="517"/>
    </row>
    <row r="434" spans="69:74" ht="18.899999999999999" customHeight="1">
      <c r="BQ434" s="517"/>
      <c r="BR434" s="517"/>
      <c r="BS434" s="517"/>
      <c r="BT434" s="517"/>
      <c r="BU434" s="517"/>
      <c r="BV434" s="517"/>
    </row>
    <row r="435" spans="69:74" ht="18.899999999999999" customHeight="1">
      <c r="BQ435" s="517"/>
      <c r="BR435" s="517"/>
      <c r="BS435" s="517"/>
      <c r="BT435" s="517"/>
      <c r="BU435" s="517"/>
      <c r="BV435" s="517"/>
    </row>
    <row r="436" spans="69:74" ht="18.899999999999999" customHeight="1">
      <c r="BQ436" s="517"/>
      <c r="BR436" s="517"/>
      <c r="BS436" s="517"/>
      <c r="BT436" s="517"/>
      <c r="BU436" s="517"/>
      <c r="BV436" s="517"/>
    </row>
    <row r="437" spans="69:74" ht="18.899999999999999" customHeight="1">
      <c r="BQ437" s="517"/>
      <c r="BR437" s="517"/>
      <c r="BS437" s="517"/>
      <c r="BT437" s="517"/>
      <c r="BU437" s="517"/>
      <c r="BV437" s="517"/>
    </row>
    <row r="438" spans="69:74" ht="18.899999999999999" customHeight="1">
      <c r="BQ438" s="517"/>
      <c r="BR438" s="517"/>
      <c r="BS438" s="517"/>
      <c r="BT438" s="517"/>
      <c r="BU438" s="517"/>
      <c r="BV438" s="517"/>
    </row>
    <row r="439" spans="69:74" ht="18.899999999999999" customHeight="1">
      <c r="BQ439" s="517"/>
      <c r="BR439" s="517"/>
      <c r="BS439" s="517"/>
      <c r="BT439" s="517"/>
      <c r="BU439" s="517"/>
      <c r="BV439" s="517"/>
    </row>
    <row r="440" spans="69:74" ht="18.899999999999999" customHeight="1">
      <c r="BQ440" s="517"/>
      <c r="BR440" s="517"/>
      <c r="BS440" s="517"/>
      <c r="BT440" s="517"/>
      <c r="BU440" s="517"/>
      <c r="BV440" s="517"/>
    </row>
    <row r="441" spans="69:74" ht="18.899999999999999" customHeight="1">
      <c r="BQ441" s="517"/>
      <c r="BR441" s="517"/>
      <c r="BS441" s="517"/>
      <c r="BT441" s="517"/>
      <c r="BU441" s="517"/>
      <c r="BV441" s="517"/>
    </row>
    <row r="442" spans="69:74" ht="18.899999999999999" customHeight="1">
      <c r="BQ442" s="517"/>
      <c r="BR442" s="517"/>
      <c r="BS442" s="517"/>
      <c r="BT442" s="517"/>
      <c r="BU442" s="517"/>
      <c r="BV442" s="517"/>
    </row>
    <row r="443" spans="69:74" ht="18.899999999999999" customHeight="1">
      <c r="BQ443" s="517"/>
      <c r="BR443" s="517"/>
      <c r="BS443" s="517"/>
      <c r="BT443" s="517"/>
      <c r="BU443" s="517"/>
      <c r="BV443" s="517"/>
    </row>
  </sheetData>
  <autoFilter ref="A6:DV341" xr:uid="{00000000-0009-0000-0000-00000A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tabColor rgb="FFFFFF00"/>
  </sheetPr>
  <dimension ref="A1:AW446"/>
  <sheetViews>
    <sheetView showZeros="0" topLeftCell="A40" zoomScale="85" zoomScaleNormal="85" workbookViewId="0">
      <selection activeCell="A45" sqref="A45"/>
    </sheetView>
  </sheetViews>
  <sheetFormatPr defaultColWidth="4.54296875" defaultRowHeight="25.05" customHeight="1" outlineLevelRow="2"/>
  <cols>
    <col min="1" max="2" width="5.90625" style="753" customWidth="1"/>
    <col min="3" max="4" width="4.54296875" style="755"/>
    <col min="5" max="6" width="5.08984375" style="755" customWidth="1"/>
    <col min="7" max="8" width="4.54296875" style="755"/>
    <col min="9" max="9" width="5.1796875" style="3017" customWidth="1"/>
    <col min="10" max="10" width="4.54296875" style="3017"/>
    <col min="11" max="17" width="4.54296875" style="755"/>
    <col min="18" max="19" width="4.54296875" style="756"/>
    <col min="20" max="21" width="4.54296875" style="753"/>
    <col min="22" max="22" width="4.54296875" style="458"/>
    <col min="23" max="29" width="4.54296875" style="753"/>
    <col min="30" max="47" width="4.54296875" style="458"/>
  </cols>
  <sheetData>
    <row r="1" spans="1:49" ht="25.05" customHeight="1" outlineLevel="2">
      <c r="A1" s="2013" t="str">
        <f>A8</f>
        <v/>
      </c>
      <c r="B1" s="2013" t="str">
        <f t="shared" ref="B1:AU1" si="0">B8</f>
        <v/>
      </c>
      <c r="C1" s="2013" t="str">
        <f t="shared" si="0"/>
        <v/>
      </c>
      <c r="D1" s="2013" t="str">
        <f t="shared" si="0"/>
        <v/>
      </c>
      <c r="E1" s="2013" t="str">
        <f t="shared" si="0"/>
        <v>acxh95</v>
      </c>
      <c r="F1" s="2013" t="str">
        <f t="shared" si="0"/>
        <v>acxh70</v>
      </c>
      <c r="G1" s="2013" t="str">
        <f t="shared" si="0"/>
        <v>CXV25</v>
      </c>
      <c r="H1" s="2013" t="str">
        <f t="shared" si="0"/>
        <v>CXV95</v>
      </c>
      <c r="I1" s="3016" t="str">
        <f t="shared" si="0"/>
        <v/>
      </c>
      <c r="J1" s="3016" t="str">
        <f t="shared" si="0"/>
        <v/>
      </c>
      <c r="K1" s="2013" t="str">
        <f t="shared" si="0"/>
        <v/>
      </c>
      <c r="L1" s="2013" t="str">
        <f t="shared" si="0"/>
        <v>BTLT 12</v>
      </c>
      <c r="M1" s="2013" t="str">
        <f t="shared" si="0"/>
        <v>BTLT 14</v>
      </c>
      <c r="N1" s="2013" t="str">
        <f t="shared" si="0"/>
        <v>M12</v>
      </c>
      <c r="O1" s="2013" t="str">
        <f t="shared" si="0"/>
        <v>M12BT ĐÔI</v>
      </c>
      <c r="P1" s="2013" t="str">
        <f t="shared" si="0"/>
        <v>M14BT ĐƠN</v>
      </c>
      <c r="Q1" s="2013" t="str">
        <f t="shared" si="0"/>
        <v>M14BT ĐÔI</v>
      </c>
      <c r="R1" s="2013" t="str">
        <f t="shared" si="0"/>
        <v>TDTB</v>
      </c>
      <c r="S1" s="2013" t="str">
        <f t="shared" si="0"/>
        <v>TDLL12</v>
      </c>
      <c r="T1" s="2013" t="str">
        <f t="shared" si="0"/>
        <v>X-com800</v>
      </c>
      <c r="U1" s="2013" t="str">
        <f t="shared" si="0"/>
        <v>X-20ĐL2/3</v>
      </c>
      <c r="V1" s="2013" t="str">
        <f t="shared" si="0"/>
        <v>X-20KL2/3</v>
      </c>
      <c r="W1" s="2013" t="str">
        <f t="shared" si="0"/>
        <v>X-21ĐL</v>
      </c>
      <c r="X1" s="2013" t="str">
        <f t="shared" si="0"/>
        <v>X-21KL</v>
      </c>
      <c r="Y1" s="2013" t="str">
        <f t="shared" si="0"/>
        <v>X-22K-Đ</v>
      </c>
      <c r="Z1" s="2013" t="str">
        <f t="shared" si="0"/>
        <v>X-22K-K</v>
      </c>
      <c r="AA1" s="2013" t="str">
        <f t="shared" si="0"/>
        <v>SĐU</v>
      </c>
      <c r="AB1" s="2013" t="str">
        <f t="shared" si="0"/>
        <v>CĐT ply-X</v>
      </c>
      <c r="AC1" s="2013" t="str">
        <f t="shared" si="0"/>
        <v>CĐT ply-XK</v>
      </c>
      <c r="AD1" s="2013" t="str">
        <f t="shared" si="0"/>
        <v>Đth-U</v>
      </c>
      <c r="AE1" s="2013" t="str">
        <f t="shared" si="0"/>
        <v>Đth-U-g</v>
      </c>
      <c r="AF1" s="2013" t="str">
        <f t="shared" si="0"/>
        <v>Nth-T-g</v>
      </c>
      <c r="AG1" s="2013" t="str">
        <f t="shared" si="0"/>
        <v>Nth-T</v>
      </c>
      <c r="AH1" s="2013" t="str">
        <f t="shared" si="0"/>
        <v>ttf-95</v>
      </c>
      <c r="AI1" s="2013" t="str">
        <f t="shared" si="0"/>
        <v>ssf-95</v>
      </c>
      <c r="AJ1" s="2013" t="str">
        <f t="shared" si="0"/>
        <v>KQ4/0</v>
      </c>
      <c r="AK1" s="2013" t="str">
        <f t="shared" si="0"/>
        <v>KH4/0</v>
      </c>
      <c r="AL1" s="2013" t="str">
        <f t="shared" si="0"/>
        <v>KE70</v>
      </c>
      <c r="AM1" s="2013" t="str">
        <f t="shared" si="0"/>
        <v>KE95</v>
      </c>
      <c r="AN1" s="2013" t="str">
        <f t="shared" si="0"/>
        <v>ON-AC-185</v>
      </c>
      <c r="AO1" s="2013" t="str">
        <f t="shared" si="0"/>
        <v>OCN</v>
      </c>
      <c r="AP1" s="2013" t="str">
        <f t="shared" si="0"/>
        <v>BANGKEOTT</v>
      </c>
      <c r="AQ1" s="2013" t="str">
        <f t="shared" si="0"/>
        <v>FCO100-22</v>
      </c>
      <c r="AR1" s="2013" t="str">
        <f t="shared" si="0"/>
        <v>REC</v>
      </c>
      <c r="AS1" s="2013" t="str">
        <f t="shared" si="0"/>
        <v>LTD</v>
      </c>
      <c r="AT1" s="2013" t="str">
        <f t="shared" si="0"/>
        <v>LA18</v>
      </c>
      <c r="AU1" s="2013">
        <f t="shared" si="0"/>
        <v>0</v>
      </c>
      <c r="AV1" t="s">
        <v>1239</v>
      </c>
      <c r="AW1" t="s">
        <v>88</v>
      </c>
    </row>
    <row r="2" spans="1:49" ht="25.05" customHeight="1" outlineLevel="2">
      <c r="A2" s="753" t="s">
        <v>4378</v>
      </c>
      <c r="B2" s="753">
        <f>B99</f>
        <v>0</v>
      </c>
      <c r="C2" s="753">
        <f t="shared" ref="C2:AU2" si="1">C99</f>
        <v>1195.7</v>
      </c>
      <c r="D2" s="753">
        <f t="shared" si="1"/>
        <v>1509.7</v>
      </c>
      <c r="E2" s="753">
        <f t="shared" si="1"/>
        <v>970.7</v>
      </c>
      <c r="F2" s="753">
        <f t="shared" si="1"/>
        <v>539</v>
      </c>
      <c r="G2" s="753">
        <f t="shared" si="1"/>
        <v>10</v>
      </c>
      <c r="H2" s="753">
        <f t="shared" si="1"/>
        <v>15</v>
      </c>
      <c r="I2" s="753">
        <f t="shared" si="1"/>
        <v>0</v>
      </c>
      <c r="J2" s="753">
        <f t="shared" si="1"/>
        <v>0</v>
      </c>
      <c r="K2" s="753">
        <f t="shared" si="1"/>
        <v>31</v>
      </c>
      <c r="L2" s="753">
        <f t="shared" si="1"/>
        <v>17</v>
      </c>
      <c r="M2" s="753">
        <f t="shared" si="1"/>
        <v>7</v>
      </c>
      <c r="N2" s="753">
        <f t="shared" si="1"/>
        <v>5</v>
      </c>
      <c r="O2" s="753">
        <f t="shared" si="1"/>
        <v>6</v>
      </c>
      <c r="P2" s="753">
        <f t="shared" si="1"/>
        <v>1</v>
      </c>
      <c r="Q2" s="753">
        <f t="shared" si="1"/>
        <v>3</v>
      </c>
      <c r="R2" s="753">
        <f t="shared" si="1"/>
        <v>1</v>
      </c>
      <c r="S2" s="753">
        <f t="shared" si="1"/>
        <v>3</v>
      </c>
      <c r="T2" s="753">
        <f t="shared" si="1"/>
        <v>1</v>
      </c>
      <c r="U2" s="753">
        <f t="shared" si="1"/>
        <v>22</v>
      </c>
      <c r="V2" s="753">
        <f t="shared" si="1"/>
        <v>3</v>
      </c>
      <c r="W2" s="753">
        <f t="shared" si="1"/>
        <v>1</v>
      </c>
      <c r="X2" s="753">
        <f t="shared" si="1"/>
        <v>1</v>
      </c>
      <c r="Y2" s="753">
        <f t="shared" si="1"/>
        <v>7</v>
      </c>
      <c r="Z2" s="753">
        <f t="shared" si="1"/>
        <v>10</v>
      </c>
      <c r="AA2" s="753">
        <f t="shared" si="1"/>
        <v>154</v>
      </c>
      <c r="AB2" s="753">
        <f t="shared" si="1"/>
        <v>63</v>
      </c>
      <c r="AC2" s="753">
        <f t="shared" si="1"/>
        <v>6</v>
      </c>
      <c r="AD2" s="753">
        <f t="shared" si="1"/>
        <v>5</v>
      </c>
      <c r="AE2" s="753">
        <f t="shared" si="1"/>
        <v>1</v>
      </c>
      <c r="AF2" s="753">
        <f t="shared" si="1"/>
        <v>14</v>
      </c>
      <c r="AG2" s="753">
        <f t="shared" si="1"/>
        <v>6</v>
      </c>
      <c r="AH2" s="753">
        <f t="shared" si="1"/>
        <v>86</v>
      </c>
      <c r="AI2" s="753">
        <f t="shared" si="1"/>
        <v>60</v>
      </c>
      <c r="AJ2" s="753">
        <f t="shared" si="1"/>
        <v>9</v>
      </c>
      <c r="AK2" s="753">
        <f t="shared" si="1"/>
        <v>9</v>
      </c>
      <c r="AL2" s="753">
        <f t="shared" si="1"/>
        <v>4</v>
      </c>
      <c r="AM2" s="753">
        <f t="shared" si="1"/>
        <v>42</v>
      </c>
      <c r="AN2" s="753">
        <f t="shared" si="1"/>
        <v>3</v>
      </c>
      <c r="AO2" s="753">
        <f t="shared" si="1"/>
        <v>9</v>
      </c>
      <c r="AP2" s="753">
        <f t="shared" si="1"/>
        <v>4</v>
      </c>
      <c r="AQ2" s="753">
        <f t="shared" si="1"/>
        <v>1</v>
      </c>
      <c r="AR2" s="753">
        <f t="shared" si="1"/>
        <v>1</v>
      </c>
      <c r="AS2" s="753">
        <f t="shared" si="1"/>
        <v>3</v>
      </c>
      <c r="AT2" s="753">
        <f t="shared" si="1"/>
        <v>6</v>
      </c>
      <c r="AU2" s="753">
        <f t="shared" si="1"/>
        <v>0</v>
      </c>
      <c r="AV2" s="458">
        <f>E2</f>
        <v>970.7</v>
      </c>
      <c r="AW2" s="458">
        <f>F2</f>
        <v>539</v>
      </c>
    </row>
    <row r="3" spans="1:49" ht="25.05" customHeight="1" outlineLevel="2">
      <c r="A3" s="753" t="s">
        <v>4171</v>
      </c>
      <c r="B3" s="753">
        <f t="shared" ref="B3:AS3" si="2">B2</f>
        <v>0</v>
      </c>
      <c r="C3" s="753">
        <f t="shared" si="2"/>
        <v>1195.7</v>
      </c>
      <c r="D3" s="753">
        <f t="shared" si="2"/>
        <v>1509.7</v>
      </c>
      <c r="E3" s="753">
        <f t="shared" si="2"/>
        <v>970.7</v>
      </c>
      <c r="F3" s="753">
        <f t="shared" si="2"/>
        <v>539</v>
      </c>
      <c r="G3" s="753">
        <f t="shared" si="2"/>
        <v>10</v>
      </c>
      <c r="H3" s="753">
        <f t="shared" si="2"/>
        <v>15</v>
      </c>
      <c r="I3" s="753">
        <f t="shared" si="2"/>
        <v>0</v>
      </c>
      <c r="J3" s="753">
        <f t="shared" si="2"/>
        <v>0</v>
      </c>
      <c r="K3" s="753">
        <f t="shared" si="2"/>
        <v>31</v>
      </c>
      <c r="L3" s="753">
        <f t="shared" si="2"/>
        <v>17</v>
      </c>
      <c r="M3" s="753">
        <f t="shared" si="2"/>
        <v>7</v>
      </c>
      <c r="N3" s="753">
        <f t="shared" si="2"/>
        <v>5</v>
      </c>
      <c r="O3" s="753">
        <f t="shared" si="2"/>
        <v>6</v>
      </c>
      <c r="P3" s="753">
        <f t="shared" si="2"/>
        <v>1</v>
      </c>
      <c r="Q3" s="753">
        <f t="shared" si="2"/>
        <v>3</v>
      </c>
      <c r="R3" s="753">
        <f t="shared" si="2"/>
        <v>1</v>
      </c>
      <c r="S3" s="753">
        <f t="shared" si="2"/>
        <v>3</v>
      </c>
      <c r="T3" s="753">
        <f t="shared" si="2"/>
        <v>1</v>
      </c>
      <c r="U3" s="753">
        <f t="shared" si="2"/>
        <v>22</v>
      </c>
      <c r="V3" s="753">
        <f t="shared" si="2"/>
        <v>3</v>
      </c>
      <c r="W3" s="753">
        <f t="shared" si="2"/>
        <v>1</v>
      </c>
      <c r="X3" s="753">
        <f t="shared" si="2"/>
        <v>1</v>
      </c>
      <c r="Y3" s="753">
        <f t="shared" si="2"/>
        <v>7</v>
      </c>
      <c r="Z3" s="753">
        <f t="shared" si="2"/>
        <v>10</v>
      </c>
      <c r="AA3" s="753">
        <f t="shared" si="2"/>
        <v>154</v>
      </c>
      <c r="AB3" s="753">
        <f t="shared" si="2"/>
        <v>63</v>
      </c>
      <c r="AC3" s="753">
        <f t="shared" si="2"/>
        <v>6</v>
      </c>
      <c r="AD3" s="753">
        <f t="shared" si="2"/>
        <v>5</v>
      </c>
      <c r="AE3" s="753">
        <f t="shared" si="2"/>
        <v>1</v>
      </c>
      <c r="AF3" s="753">
        <f t="shared" si="2"/>
        <v>14</v>
      </c>
      <c r="AG3" s="753">
        <f t="shared" si="2"/>
        <v>6</v>
      </c>
      <c r="AH3" s="753">
        <f t="shared" si="2"/>
        <v>86</v>
      </c>
      <c r="AI3" s="753">
        <f t="shared" si="2"/>
        <v>60</v>
      </c>
      <c r="AJ3" s="753">
        <f t="shared" si="2"/>
        <v>9</v>
      </c>
      <c r="AK3" s="753">
        <f t="shared" si="2"/>
        <v>9</v>
      </c>
      <c r="AL3" s="753">
        <f t="shared" si="2"/>
        <v>4</v>
      </c>
      <c r="AM3" s="753">
        <f t="shared" si="2"/>
        <v>42</v>
      </c>
      <c r="AN3" s="753">
        <f t="shared" si="2"/>
        <v>3</v>
      </c>
      <c r="AO3" s="753">
        <f t="shared" si="2"/>
        <v>9</v>
      </c>
      <c r="AP3" s="753">
        <f t="shared" si="2"/>
        <v>4</v>
      </c>
      <c r="AQ3" s="753">
        <f t="shared" si="2"/>
        <v>1</v>
      </c>
      <c r="AR3" s="753">
        <f t="shared" si="2"/>
        <v>1</v>
      </c>
      <c r="AS3" s="753">
        <f t="shared" si="2"/>
        <v>3</v>
      </c>
      <c r="AT3" s="753">
        <f t="shared" ref="AT3" si="3">AT2</f>
        <v>6</v>
      </c>
      <c r="AU3" s="753">
        <f t="shared" ref="AU3" si="4">AU2</f>
        <v>0</v>
      </c>
      <c r="AV3" s="753">
        <f t="shared" ref="AV3" si="5">AV2</f>
        <v>970.7</v>
      </c>
      <c r="AW3" s="753">
        <f t="shared" ref="AW3" si="6">AW2</f>
        <v>539</v>
      </c>
    </row>
    <row r="4" spans="1:49" ht="25.05" customHeight="1" outlineLevel="2"/>
    <row r="5" spans="1:49" ht="25.05" customHeight="1" outlineLevel="1">
      <c r="A5" s="3029" t="s">
        <v>4056</v>
      </c>
      <c r="B5" s="3030"/>
      <c r="C5" s="3031"/>
      <c r="D5" s="3031"/>
      <c r="E5" s="3031"/>
      <c r="F5" s="3031"/>
      <c r="G5" s="3031"/>
      <c r="H5" s="3031"/>
      <c r="I5" s="3031"/>
      <c r="J5" s="3031"/>
      <c r="K5" s="3031"/>
      <c r="L5" s="3031"/>
      <c r="M5" s="3031"/>
      <c r="N5" s="3031"/>
      <c r="O5" s="3031"/>
      <c r="P5" s="3031"/>
      <c r="Q5" s="3031"/>
      <c r="R5" s="3032"/>
      <c r="S5" s="3032"/>
      <c r="T5" s="3030"/>
      <c r="U5" s="3030"/>
      <c r="V5" s="3033"/>
      <c r="W5" s="3030"/>
      <c r="X5" s="3030"/>
      <c r="Y5" s="3034"/>
      <c r="Z5" s="3034"/>
      <c r="AA5" s="3034"/>
      <c r="AB5" s="3034"/>
      <c r="AC5" s="3034"/>
      <c r="AD5" s="3035"/>
      <c r="AE5" s="3035"/>
      <c r="AF5" s="3035"/>
      <c r="AG5" s="3035"/>
      <c r="AH5" s="3035"/>
      <c r="AI5" s="3035"/>
      <c r="AJ5" s="3035"/>
      <c r="AK5" s="3035"/>
      <c r="AL5" s="3035"/>
      <c r="AM5" s="3035"/>
      <c r="AN5" s="3035"/>
      <c r="AO5" s="3035"/>
      <c r="AP5" s="3035"/>
      <c r="AQ5" s="3035"/>
      <c r="AR5" s="3035"/>
      <c r="AS5" s="3035"/>
      <c r="AT5" s="3035"/>
      <c r="AU5" s="3035"/>
    </row>
    <row r="6" spans="1:49" ht="25.05" customHeight="1" outlineLevel="1">
      <c r="A6" s="510" t="str">
        <f>CT_tram!D20</f>
        <v>Công trình: Đường dây 22kV &amp; TBA 3P-1000kVA Công ty TNHH Đầu tư Đồng Tâm Solar</v>
      </c>
      <c r="B6" s="510"/>
      <c r="C6" s="510"/>
      <c r="D6" s="647"/>
      <c r="E6" s="647"/>
      <c r="F6" s="647"/>
      <c r="G6" s="647"/>
      <c r="H6" s="647"/>
      <c r="I6" s="647"/>
      <c r="J6" s="647"/>
      <c r="K6" s="647"/>
      <c r="L6" s="647"/>
      <c r="M6" s="647"/>
      <c r="N6" s="647"/>
      <c r="O6" s="647"/>
      <c r="P6" s="647"/>
      <c r="Q6" s="647"/>
      <c r="R6" s="647"/>
      <c r="S6" s="647"/>
      <c r="T6" s="647"/>
      <c r="U6" s="647"/>
      <c r="V6" s="510"/>
      <c r="W6" s="647"/>
      <c r="X6" s="647"/>
      <c r="Y6" s="510"/>
      <c r="Z6" s="510"/>
      <c r="AA6" s="647"/>
      <c r="AB6" s="647"/>
      <c r="AC6" s="647"/>
      <c r="AD6" s="647"/>
      <c r="AE6" s="510"/>
      <c r="AF6" s="510"/>
      <c r="AG6" s="510"/>
      <c r="AH6" s="510"/>
      <c r="AI6" s="510"/>
      <c r="AJ6" s="510"/>
      <c r="AK6" s="510"/>
      <c r="AL6" s="510"/>
      <c r="AM6" s="510"/>
      <c r="AN6" s="510"/>
      <c r="AO6" s="510"/>
      <c r="AP6" s="510"/>
      <c r="AQ6" s="510"/>
      <c r="AR6" s="510"/>
      <c r="AS6" s="510"/>
      <c r="AT6" s="510"/>
      <c r="AU6" s="510"/>
    </row>
    <row r="7" spans="1:49" ht="25.05" customHeight="1" outlineLevel="1">
      <c r="A7" s="647" t="str">
        <f>CT_tram!D21</f>
        <v>Địa điểm: Xã Xuân Hưng - Huyện Xuân Lộc - Tỉnh Đồng Nai</v>
      </c>
      <c r="B7" s="647"/>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c r="AI7" s="647"/>
      <c r="AJ7" s="647"/>
      <c r="AK7" s="647"/>
      <c r="AL7" s="647"/>
      <c r="AM7" s="647"/>
      <c r="AN7" s="3036"/>
      <c r="AO7" s="647"/>
      <c r="AP7" s="647"/>
      <c r="AQ7" s="647"/>
      <c r="AR7" s="647"/>
      <c r="AS7" s="647"/>
      <c r="AT7" s="647"/>
      <c r="AU7" s="647"/>
    </row>
    <row r="8" spans="1:49" ht="25.05" hidden="1" customHeight="1" outlineLevel="1">
      <c r="A8" s="1797" t="s">
        <v>4394</v>
      </c>
      <c r="B8" s="1797" t="s">
        <v>4394</v>
      </c>
      <c r="C8" s="1797" t="s">
        <v>4394</v>
      </c>
      <c r="D8" s="1797" t="s">
        <v>4394</v>
      </c>
      <c r="E8" s="1797" t="s">
        <v>6569</v>
      </c>
      <c r="F8" s="1797" t="s">
        <v>6570</v>
      </c>
      <c r="G8" s="1797" t="s">
        <v>6485</v>
      </c>
      <c r="H8" s="1797" t="s">
        <v>6486</v>
      </c>
      <c r="I8" s="3018" t="s">
        <v>4394</v>
      </c>
      <c r="J8" s="3018" t="s">
        <v>4394</v>
      </c>
      <c r="K8" s="1797" t="s">
        <v>4394</v>
      </c>
      <c r="L8" s="1797" t="s">
        <v>301</v>
      </c>
      <c r="M8" s="1797" t="s">
        <v>302</v>
      </c>
      <c r="N8" s="1797" t="s">
        <v>219</v>
      </c>
      <c r="O8" s="1797" t="s">
        <v>2306</v>
      </c>
      <c r="P8" s="1797" t="s">
        <v>2307</v>
      </c>
      <c r="Q8" s="1797" t="s">
        <v>6489</v>
      </c>
      <c r="R8" s="1797" t="s">
        <v>6532</v>
      </c>
      <c r="S8" s="1797" t="s">
        <v>2235</v>
      </c>
      <c r="T8" s="1797" t="s">
        <v>4709</v>
      </c>
      <c r="U8" s="1797" t="s">
        <v>2293</v>
      </c>
      <c r="V8" s="1797" t="s">
        <v>2119</v>
      </c>
      <c r="W8" s="1797" t="s">
        <v>2292</v>
      </c>
      <c r="X8" s="1797" t="s">
        <v>893</v>
      </c>
      <c r="Y8" s="1797" t="s">
        <v>2295</v>
      </c>
      <c r="Z8" s="1797" t="s">
        <v>533</v>
      </c>
      <c r="AA8" s="1797" t="s">
        <v>2504</v>
      </c>
      <c r="AB8" s="1797" t="s">
        <v>2515</v>
      </c>
      <c r="AC8" s="1797" t="s">
        <v>6534</v>
      </c>
      <c r="AD8" s="1797" t="s">
        <v>2499</v>
      </c>
      <c r="AE8" s="1797" t="s">
        <v>2534</v>
      </c>
      <c r="AF8" s="1797" t="s">
        <v>534</v>
      </c>
      <c r="AG8" s="1797" t="s">
        <v>1622</v>
      </c>
      <c r="AH8" s="1797" t="s">
        <v>6511</v>
      </c>
      <c r="AI8" s="1797" t="s">
        <v>6497</v>
      </c>
      <c r="AJ8" s="1797" t="s">
        <v>236</v>
      </c>
      <c r="AK8" s="1797" t="s">
        <v>1049</v>
      </c>
      <c r="AL8" s="1797" t="s">
        <v>1580</v>
      </c>
      <c r="AM8" s="1797" t="s">
        <v>240</v>
      </c>
      <c r="AN8" s="1797" t="s">
        <v>6524</v>
      </c>
      <c r="AO8" s="1797" t="s">
        <v>4674</v>
      </c>
      <c r="AP8" s="1797" t="s">
        <v>5800</v>
      </c>
      <c r="AQ8" s="1797" t="s">
        <v>1652</v>
      </c>
      <c r="AR8" s="1797" t="s">
        <v>2184</v>
      </c>
      <c r="AS8" s="1797" t="s">
        <v>788</v>
      </c>
      <c r="AT8" s="1797" t="s">
        <v>1373</v>
      </c>
      <c r="AU8" s="1797"/>
      <c r="AV8" s="1455"/>
      <c r="AW8" s="1451"/>
    </row>
    <row r="9" spans="1:49" s="1378" customFormat="1" ht="196.2" customHeight="1">
      <c r="A9" s="3019" t="s">
        <v>6478</v>
      </c>
      <c r="B9" s="3019" t="s">
        <v>6479</v>
      </c>
      <c r="C9" s="3019" t="s">
        <v>6481</v>
      </c>
      <c r="D9" s="3019" t="s">
        <v>6482</v>
      </c>
      <c r="E9" s="3019" t="s">
        <v>6483</v>
      </c>
      <c r="F9" s="3019" t="s">
        <v>6484</v>
      </c>
      <c r="G9" s="3019" t="s">
        <v>6485</v>
      </c>
      <c r="H9" s="3019" t="s">
        <v>6486</v>
      </c>
      <c r="I9" s="3019" t="s">
        <v>6487</v>
      </c>
      <c r="J9" s="3019" t="s">
        <v>6488</v>
      </c>
      <c r="K9" s="3019" t="s">
        <v>4531</v>
      </c>
      <c r="L9" s="3019" t="s">
        <v>301</v>
      </c>
      <c r="M9" s="3019" t="s">
        <v>302</v>
      </c>
      <c r="N9" s="3019" t="s">
        <v>219</v>
      </c>
      <c r="O9" s="3019" t="s">
        <v>2306</v>
      </c>
      <c r="P9" s="3019" t="s">
        <v>2307</v>
      </c>
      <c r="Q9" s="3019" t="s">
        <v>6489</v>
      </c>
      <c r="R9" s="3019" t="s">
        <v>6490</v>
      </c>
      <c r="S9" s="3019" t="s">
        <v>2392</v>
      </c>
      <c r="T9" s="3019" t="s">
        <v>4709</v>
      </c>
      <c r="U9" s="3019" t="s">
        <v>2293</v>
      </c>
      <c r="V9" s="3019" t="s">
        <v>2119</v>
      </c>
      <c r="W9" s="3019" t="s">
        <v>2292</v>
      </c>
      <c r="X9" s="3019" t="s">
        <v>893</v>
      </c>
      <c r="Y9" s="3019" t="s">
        <v>2295</v>
      </c>
      <c r="Z9" s="3019" t="s">
        <v>533</v>
      </c>
      <c r="AA9" s="3019" t="s">
        <v>3885</v>
      </c>
      <c r="AB9" s="3019" t="s">
        <v>4073</v>
      </c>
      <c r="AC9" s="3019" t="s">
        <v>6491</v>
      </c>
      <c r="AD9" s="3019" t="s">
        <v>3786</v>
      </c>
      <c r="AE9" s="3019" t="s">
        <v>4076</v>
      </c>
      <c r="AF9" s="3019" t="s">
        <v>6577</v>
      </c>
      <c r="AG9" s="3019" t="s">
        <v>6578</v>
      </c>
      <c r="AH9" s="3019" t="s">
        <v>6517</v>
      </c>
      <c r="AI9" s="3019" t="s">
        <v>6504</v>
      </c>
      <c r="AJ9" s="3019" t="s">
        <v>6425</v>
      </c>
      <c r="AK9" s="3019" t="s">
        <v>406</v>
      </c>
      <c r="AL9" s="3019" t="s">
        <v>3793</v>
      </c>
      <c r="AM9" s="3019" t="s">
        <v>4087</v>
      </c>
      <c r="AN9" s="3019" t="s">
        <v>6525</v>
      </c>
      <c r="AO9" s="3019" t="s">
        <v>6100</v>
      </c>
      <c r="AP9" s="3019" t="s">
        <v>6101</v>
      </c>
      <c r="AQ9" s="3019" t="s">
        <v>1898</v>
      </c>
      <c r="AR9" s="3019" t="s">
        <v>1912</v>
      </c>
      <c r="AS9" s="3019" t="s">
        <v>788</v>
      </c>
      <c r="AT9" s="3019" t="s">
        <v>1193</v>
      </c>
      <c r="AU9" s="3019" t="s">
        <v>4170</v>
      </c>
    </row>
    <row r="10" spans="1:49" ht="25.05" customHeight="1">
      <c r="A10" s="2954" t="s">
        <v>6552</v>
      </c>
      <c r="B10" s="2991"/>
      <c r="C10" s="2991"/>
      <c r="D10" s="2991"/>
      <c r="E10" s="2991"/>
      <c r="F10" s="2991"/>
      <c r="G10" s="2991"/>
      <c r="H10" s="2991"/>
      <c r="I10" s="3019"/>
      <c r="J10" s="3019"/>
      <c r="K10" s="2991"/>
      <c r="L10" s="2991"/>
      <c r="M10" s="2991"/>
      <c r="N10" s="2991"/>
      <c r="O10" s="2991"/>
      <c r="P10" s="2991"/>
      <c r="Q10" s="2991"/>
      <c r="R10" s="2991"/>
      <c r="S10" s="2991"/>
      <c r="T10" s="2991"/>
      <c r="U10" s="2991"/>
      <c r="V10" s="2991"/>
      <c r="W10" s="2991"/>
      <c r="X10" s="2991"/>
      <c r="Y10" s="2991"/>
      <c r="Z10" s="2991"/>
      <c r="AA10" s="2991"/>
      <c r="AB10" s="2991"/>
      <c r="AC10" s="2991"/>
      <c r="AD10" s="2991"/>
      <c r="AE10" s="2991"/>
      <c r="AF10" s="2991"/>
      <c r="AG10" s="2991"/>
      <c r="AH10" s="2991"/>
      <c r="AI10" s="2991"/>
      <c r="AJ10" s="2991"/>
      <c r="AK10" s="2991"/>
      <c r="AL10" s="2991"/>
      <c r="AM10" s="2991"/>
      <c r="AN10" s="2991"/>
      <c r="AO10" s="2991"/>
      <c r="AP10" s="2991"/>
      <c r="AQ10" s="2991"/>
      <c r="AR10" s="2991"/>
      <c r="AS10" s="2991"/>
      <c r="AT10" s="2991"/>
      <c r="AU10" s="2991"/>
    </row>
    <row r="11" spans="1:49" ht="25.05" customHeight="1">
      <c r="A11" s="3008">
        <v>28</v>
      </c>
      <c r="B11" s="3008">
        <v>28</v>
      </c>
      <c r="C11" s="2999"/>
      <c r="D11" s="3001"/>
      <c r="E11" s="3001"/>
      <c r="F11" s="3001"/>
      <c r="G11" s="3001"/>
      <c r="H11" s="3001"/>
      <c r="I11" s="3020" t="s">
        <v>281</v>
      </c>
      <c r="J11" s="3020" t="s">
        <v>281</v>
      </c>
      <c r="K11" s="3001"/>
      <c r="L11" s="3001"/>
      <c r="M11" s="3001">
        <v>2</v>
      </c>
      <c r="N11" s="3001"/>
      <c r="O11" s="3001"/>
      <c r="P11" s="3001"/>
      <c r="Q11" s="3001">
        <v>1</v>
      </c>
      <c r="R11" s="3001"/>
      <c r="S11" s="3001"/>
      <c r="T11" s="3001"/>
      <c r="U11" s="3001"/>
      <c r="V11" s="3001"/>
      <c r="W11" s="3001"/>
      <c r="X11" s="3001"/>
      <c r="Y11" s="2999"/>
      <c r="Z11" s="2999">
        <v>1</v>
      </c>
      <c r="AA11" s="2999">
        <v>6</v>
      </c>
      <c r="AB11" s="2999">
        <v>3</v>
      </c>
      <c r="AC11" s="2999"/>
      <c r="AD11" s="2999"/>
      <c r="AE11" s="2999"/>
      <c r="AF11" s="2999">
        <v>1</v>
      </c>
      <c r="AG11" s="2999"/>
      <c r="AH11" s="2999"/>
      <c r="AI11" s="2999"/>
      <c r="AJ11" s="2999">
        <v>1</v>
      </c>
      <c r="AK11" s="2999">
        <v>1</v>
      </c>
      <c r="AL11" s="2999"/>
      <c r="AM11" s="2999">
        <v>2</v>
      </c>
      <c r="AN11" s="2999"/>
      <c r="AO11" s="2999"/>
      <c r="AP11" s="2999"/>
      <c r="AQ11" s="2999"/>
      <c r="AR11" s="2999"/>
      <c r="AS11" s="2999"/>
      <c r="AT11" s="2999"/>
      <c r="AU11" s="2999"/>
    </row>
    <row r="12" spans="1:49" ht="25.05" customHeight="1">
      <c r="A12" s="3008">
        <v>1</v>
      </c>
      <c r="B12" s="3008">
        <v>1</v>
      </c>
      <c r="C12" s="2999">
        <v>35</v>
      </c>
      <c r="D12" s="3001">
        <v>35</v>
      </c>
      <c r="E12" s="3001">
        <f>E11+D12</f>
        <v>35</v>
      </c>
      <c r="F12" s="3001"/>
      <c r="G12" s="3001"/>
      <c r="H12" s="3001"/>
      <c r="I12" s="3020" t="s">
        <v>4318</v>
      </c>
      <c r="J12" s="3020" t="s">
        <v>4318</v>
      </c>
      <c r="K12" s="3001">
        <v>2</v>
      </c>
      <c r="L12" s="3001"/>
      <c r="M12" s="3001"/>
      <c r="N12" s="3001"/>
      <c r="O12" s="3001"/>
      <c r="P12" s="3001"/>
      <c r="Q12" s="3001"/>
      <c r="R12" s="3001"/>
      <c r="S12" s="3001"/>
      <c r="T12" s="3001"/>
      <c r="U12" s="3001"/>
      <c r="V12" s="3001"/>
      <c r="W12" s="3001"/>
      <c r="X12" s="3001">
        <v>1</v>
      </c>
      <c r="Y12" s="2999"/>
      <c r="Z12" s="2999"/>
      <c r="AA12" s="3001">
        <v>6</v>
      </c>
      <c r="AB12" s="2999"/>
      <c r="AC12" s="2999"/>
      <c r="AD12" s="3005"/>
      <c r="AE12" s="3001"/>
      <c r="AF12" s="3001"/>
      <c r="AG12" s="3001"/>
      <c r="AH12" s="3001"/>
      <c r="AI12" s="3001">
        <v>6</v>
      </c>
      <c r="AJ12" s="3001"/>
      <c r="AK12" s="3001"/>
      <c r="AL12" s="3001"/>
      <c r="AM12" s="3001"/>
      <c r="AN12" s="3001"/>
      <c r="AO12" s="3001"/>
      <c r="AP12" s="3001"/>
      <c r="AQ12" s="3001"/>
      <c r="AR12" s="3001"/>
      <c r="AS12" s="3001"/>
      <c r="AT12" s="3001"/>
      <c r="AU12" s="3001"/>
    </row>
    <row r="13" spans="1:49" ht="25.05" customHeight="1">
      <c r="A13" s="3008">
        <v>2</v>
      </c>
      <c r="B13" s="3008">
        <v>2</v>
      </c>
      <c r="C13" s="2999">
        <v>42</v>
      </c>
      <c r="D13" s="3001">
        <v>42</v>
      </c>
      <c r="E13" s="3001">
        <f t="shared" ref="E13:E34" si="7">E12+D13</f>
        <v>77</v>
      </c>
      <c r="F13" s="3001"/>
      <c r="G13" s="3001"/>
      <c r="H13" s="3001"/>
      <c r="I13" s="3020" t="s">
        <v>501</v>
      </c>
      <c r="J13" s="3020" t="s">
        <v>501</v>
      </c>
      <c r="K13" s="3001">
        <v>1</v>
      </c>
      <c r="L13" s="3001"/>
      <c r="M13" s="3001"/>
      <c r="N13" s="3001"/>
      <c r="O13" s="3001"/>
      <c r="P13" s="3001"/>
      <c r="Q13" s="3001"/>
      <c r="R13" s="3001"/>
      <c r="S13" s="3001"/>
      <c r="T13" s="3001"/>
      <c r="U13" s="3001"/>
      <c r="V13" s="3001"/>
      <c r="W13" s="3001">
        <v>1</v>
      </c>
      <c r="X13" s="2998"/>
      <c r="Y13" s="2999"/>
      <c r="Z13" s="2999"/>
      <c r="AA13" s="2999">
        <v>3</v>
      </c>
      <c r="AB13" s="2998"/>
      <c r="AC13" s="2998"/>
      <c r="AD13" s="2998"/>
      <c r="AE13" s="3001"/>
      <c r="AF13" s="3001"/>
      <c r="AG13" s="3001"/>
      <c r="AH13" s="3001">
        <v>3</v>
      </c>
      <c r="AI13" s="3001"/>
      <c r="AJ13" s="3001"/>
      <c r="AK13" s="3001"/>
      <c r="AL13" s="3001"/>
      <c r="AM13" s="3001"/>
      <c r="AN13" s="3001"/>
      <c r="AO13" s="3001"/>
      <c r="AP13" s="3001"/>
      <c r="AQ13" s="3001"/>
      <c r="AR13" s="3001"/>
      <c r="AS13" s="3001"/>
      <c r="AT13" s="3001"/>
      <c r="AU13" s="3001"/>
    </row>
    <row r="14" spans="1:49" ht="25.05" customHeight="1">
      <c r="A14" s="3008">
        <v>3</v>
      </c>
      <c r="B14" s="3008">
        <v>3</v>
      </c>
      <c r="C14" s="2999">
        <v>42.8</v>
      </c>
      <c r="D14" s="3001">
        <v>42.8</v>
      </c>
      <c r="E14" s="3001">
        <f t="shared" si="7"/>
        <v>119.8</v>
      </c>
      <c r="F14" s="3001"/>
      <c r="G14" s="3001"/>
      <c r="H14" s="3001"/>
      <c r="I14" s="3020" t="s">
        <v>6571</v>
      </c>
      <c r="J14" s="3020" t="s">
        <v>6571</v>
      </c>
      <c r="K14" s="3001">
        <v>2</v>
      </c>
      <c r="L14" s="3001"/>
      <c r="M14" s="3001">
        <v>2</v>
      </c>
      <c r="N14" s="3001"/>
      <c r="O14" s="3001"/>
      <c r="P14" s="3001"/>
      <c r="Q14" s="3001">
        <v>1</v>
      </c>
      <c r="R14" s="3001"/>
      <c r="S14" s="3001"/>
      <c r="T14" s="3001"/>
      <c r="U14" s="3001"/>
      <c r="V14" s="3001"/>
      <c r="W14" s="3001"/>
      <c r="X14" s="3001"/>
      <c r="Y14" s="2999">
        <v>1</v>
      </c>
      <c r="Z14" s="2999">
        <v>1</v>
      </c>
      <c r="AA14" s="2999">
        <v>6</v>
      </c>
      <c r="AB14" s="2999">
        <v>3</v>
      </c>
      <c r="AC14" s="2999">
        <v>3</v>
      </c>
      <c r="AD14" s="3001"/>
      <c r="AE14" s="3001"/>
      <c r="AF14" s="3001">
        <v>1</v>
      </c>
      <c r="AG14" s="3001">
        <v>1</v>
      </c>
      <c r="AH14" s="3001"/>
      <c r="AI14" s="3001">
        <v>6</v>
      </c>
      <c r="AJ14" s="3001"/>
      <c r="AK14" s="3001"/>
      <c r="AL14" s="3001"/>
      <c r="AM14" s="3001">
        <v>10</v>
      </c>
      <c r="AN14" s="3001"/>
      <c r="AO14" s="3001"/>
      <c r="AP14" s="3001"/>
      <c r="AQ14" s="3001"/>
      <c r="AR14" s="3001"/>
      <c r="AS14" s="3001"/>
      <c r="AT14" s="3001"/>
      <c r="AU14" s="3001"/>
    </row>
    <row r="15" spans="1:49" ht="25.05" customHeight="1">
      <c r="A15" s="3008">
        <v>4</v>
      </c>
      <c r="B15" s="3008">
        <v>4</v>
      </c>
      <c r="C15" s="2999">
        <v>53.1</v>
      </c>
      <c r="D15" s="3001">
        <v>37.700000000000003</v>
      </c>
      <c r="E15" s="3001">
        <f t="shared" si="7"/>
        <v>157.5</v>
      </c>
      <c r="F15" s="3001"/>
      <c r="G15" s="3001"/>
      <c r="H15" s="3001"/>
      <c r="I15" s="3020" t="s">
        <v>6572</v>
      </c>
      <c r="J15" s="3020" t="s">
        <v>546</v>
      </c>
      <c r="K15" s="3001">
        <v>2</v>
      </c>
      <c r="L15" s="3001"/>
      <c r="M15" s="3001">
        <v>2</v>
      </c>
      <c r="N15" s="3001"/>
      <c r="O15" s="3001"/>
      <c r="P15" s="3001"/>
      <c r="Q15" s="3001">
        <v>1</v>
      </c>
      <c r="R15" s="3001"/>
      <c r="S15" s="3001"/>
      <c r="T15" s="3001"/>
      <c r="U15" s="3001"/>
      <c r="V15" s="3001"/>
      <c r="W15" s="3001"/>
      <c r="X15" s="3001"/>
      <c r="Y15" s="2999"/>
      <c r="Z15" s="2999">
        <v>1</v>
      </c>
      <c r="AA15" s="2999">
        <v>6</v>
      </c>
      <c r="AB15" s="2999">
        <v>3</v>
      </c>
      <c r="AC15" s="2999">
        <v>3</v>
      </c>
      <c r="AD15" s="3001"/>
      <c r="AE15" s="3001"/>
      <c r="AF15" s="3001">
        <v>1</v>
      </c>
      <c r="AG15" s="3001"/>
      <c r="AH15" s="3001">
        <v>1</v>
      </c>
      <c r="AI15" s="3001">
        <v>6</v>
      </c>
      <c r="AJ15" s="3001"/>
      <c r="AK15" s="3001"/>
      <c r="AL15" s="3001"/>
      <c r="AM15" s="3001"/>
      <c r="AN15" s="3001"/>
      <c r="AO15" s="3001"/>
      <c r="AP15" s="3001"/>
      <c r="AQ15" s="3001"/>
      <c r="AR15" s="3001"/>
      <c r="AS15" s="3001"/>
      <c r="AT15" s="3001"/>
      <c r="AU15" s="3001"/>
    </row>
    <row r="16" spans="1:49" ht="25.05" customHeight="1">
      <c r="A16" s="3008"/>
      <c r="B16" s="3008" t="s">
        <v>6553</v>
      </c>
      <c r="C16" s="3001"/>
      <c r="D16" s="3001">
        <v>40</v>
      </c>
      <c r="E16" s="3001">
        <f t="shared" si="7"/>
        <v>197.5</v>
      </c>
      <c r="F16" s="3001"/>
      <c r="G16" s="3001">
        <v>10</v>
      </c>
      <c r="H16" s="3001">
        <v>15</v>
      </c>
      <c r="I16" s="3020"/>
      <c r="J16" s="3020" t="s">
        <v>6573</v>
      </c>
      <c r="K16" s="3001"/>
      <c r="L16" s="3001"/>
      <c r="M16" s="3001">
        <v>1</v>
      </c>
      <c r="N16" s="3001"/>
      <c r="O16" s="3001"/>
      <c r="P16" s="3001">
        <v>1</v>
      </c>
      <c r="Q16" s="3001"/>
      <c r="R16" s="3001">
        <v>1</v>
      </c>
      <c r="S16" s="3001"/>
      <c r="T16" s="3001">
        <v>1</v>
      </c>
      <c r="U16" s="3001"/>
      <c r="V16" s="3001"/>
      <c r="W16" s="3001"/>
      <c r="X16" s="3001"/>
      <c r="Y16" s="2999">
        <v>1</v>
      </c>
      <c r="Z16" s="2999"/>
      <c r="AA16" s="3001">
        <v>1</v>
      </c>
      <c r="AB16" s="2999">
        <v>9</v>
      </c>
      <c r="AC16" s="2999"/>
      <c r="AD16" s="3005">
        <v>1</v>
      </c>
      <c r="AE16" s="3005"/>
      <c r="AF16" s="3005"/>
      <c r="AG16" s="3005"/>
      <c r="AH16" s="3005">
        <v>1</v>
      </c>
      <c r="AI16" s="3005"/>
      <c r="AJ16" s="3005">
        <v>7</v>
      </c>
      <c r="AK16" s="3005">
        <v>7</v>
      </c>
      <c r="AL16" s="3005"/>
      <c r="AM16" s="3005">
        <v>6</v>
      </c>
      <c r="AN16" s="3005"/>
      <c r="AO16" s="3005">
        <v>3</v>
      </c>
      <c r="AP16" s="3005"/>
      <c r="AQ16" s="3005">
        <v>1</v>
      </c>
      <c r="AR16" s="3005">
        <v>1</v>
      </c>
      <c r="AS16" s="3005">
        <v>3</v>
      </c>
      <c r="AT16" s="3005">
        <v>6</v>
      </c>
      <c r="AU16" s="3005"/>
    </row>
    <row r="17" spans="1:47" ht="25.05" customHeight="1">
      <c r="A17" s="3008">
        <v>5</v>
      </c>
      <c r="B17" s="3008">
        <v>5</v>
      </c>
      <c r="C17" s="3001">
        <v>64.599999999999994</v>
      </c>
      <c r="D17" s="3001">
        <v>40</v>
      </c>
      <c r="E17" s="3001">
        <f t="shared" si="7"/>
        <v>237.5</v>
      </c>
      <c r="F17" s="3001"/>
      <c r="G17" s="3001"/>
      <c r="H17" s="3001"/>
      <c r="I17" s="3020" t="s">
        <v>4318</v>
      </c>
      <c r="J17" s="3020" t="s">
        <v>4318</v>
      </c>
      <c r="K17" s="3001">
        <v>1</v>
      </c>
      <c r="L17" s="3001"/>
      <c r="M17" s="3001"/>
      <c r="N17" s="3001"/>
      <c r="O17" s="3001"/>
      <c r="P17" s="3001"/>
      <c r="Q17" s="3001"/>
      <c r="R17" s="3001"/>
      <c r="S17" s="3001"/>
      <c r="T17" s="3001"/>
      <c r="U17" s="3001"/>
      <c r="V17" s="3001">
        <v>1</v>
      </c>
      <c r="W17" s="3001"/>
      <c r="X17" s="2998"/>
      <c r="Y17" s="2999"/>
      <c r="Z17" s="2999"/>
      <c r="AA17" s="2998">
        <v>6</v>
      </c>
      <c r="AB17" s="2998"/>
      <c r="AC17" s="2998"/>
      <c r="AD17" s="2998"/>
      <c r="AE17" s="3001"/>
      <c r="AF17" s="3001"/>
      <c r="AG17" s="3001"/>
      <c r="AH17" s="3001"/>
      <c r="AI17" s="3001">
        <v>6</v>
      </c>
      <c r="AJ17" s="3001"/>
      <c r="AK17" s="3001"/>
      <c r="AL17" s="3001"/>
      <c r="AM17" s="3001"/>
      <c r="AN17" s="3001"/>
      <c r="AO17" s="3001"/>
      <c r="AP17" s="3001"/>
      <c r="AQ17" s="3001"/>
      <c r="AR17" s="3001"/>
      <c r="AS17" s="3001"/>
      <c r="AT17" s="3001"/>
      <c r="AU17" s="3001"/>
    </row>
    <row r="18" spans="1:47" ht="25.05" customHeight="1">
      <c r="A18" s="3008">
        <v>6</v>
      </c>
      <c r="B18" s="3008">
        <v>6</v>
      </c>
      <c r="C18" s="3001">
        <v>50</v>
      </c>
      <c r="D18" s="3001">
        <v>50</v>
      </c>
      <c r="E18" s="3001">
        <f t="shared" si="7"/>
        <v>287.5</v>
      </c>
      <c r="F18" s="3001"/>
      <c r="G18" s="3001"/>
      <c r="H18" s="3001"/>
      <c r="I18" s="3020" t="s">
        <v>4318</v>
      </c>
      <c r="J18" s="3020" t="s">
        <v>4318</v>
      </c>
      <c r="K18" s="3001">
        <v>1</v>
      </c>
      <c r="L18" s="3001"/>
      <c r="M18" s="3001"/>
      <c r="N18" s="3001"/>
      <c r="O18" s="3001"/>
      <c r="P18" s="3001"/>
      <c r="Q18" s="3001"/>
      <c r="R18" s="3001"/>
      <c r="S18" s="3001"/>
      <c r="T18" s="3001"/>
      <c r="U18" s="3001"/>
      <c r="V18" s="3001">
        <v>1</v>
      </c>
      <c r="W18" s="3001"/>
      <c r="X18" s="2998"/>
      <c r="Y18" s="2999"/>
      <c r="Z18" s="2999"/>
      <c r="AA18" s="2999">
        <v>6</v>
      </c>
      <c r="AB18" s="2998"/>
      <c r="AC18" s="2998"/>
      <c r="AD18" s="2998"/>
      <c r="AE18" s="2998"/>
      <c r="AF18" s="2998"/>
      <c r="AG18" s="2998"/>
      <c r="AH18" s="2998"/>
      <c r="AI18" s="2998">
        <v>6</v>
      </c>
      <c r="AJ18" s="2998"/>
      <c r="AK18" s="2998"/>
      <c r="AL18" s="2998"/>
      <c r="AM18" s="2998"/>
      <c r="AN18" s="2998"/>
      <c r="AO18" s="2998"/>
      <c r="AP18" s="2998"/>
      <c r="AQ18" s="2998"/>
      <c r="AR18" s="2998"/>
      <c r="AS18" s="2998"/>
      <c r="AT18" s="2998"/>
      <c r="AU18" s="2998"/>
    </row>
    <row r="19" spans="1:47" ht="25.05" customHeight="1">
      <c r="A19" s="3008">
        <v>7</v>
      </c>
      <c r="B19" s="3008">
        <v>7</v>
      </c>
      <c r="C19" s="3001">
        <v>50</v>
      </c>
      <c r="D19" s="3001">
        <v>50</v>
      </c>
      <c r="E19" s="3001">
        <f t="shared" si="7"/>
        <v>337.5</v>
      </c>
      <c r="F19" s="3001"/>
      <c r="G19" s="3001"/>
      <c r="H19" s="3001"/>
      <c r="I19" s="3020" t="s">
        <v>546</v>
      </c>
      <c r="J19" s="3020" t="s">
        <v>546</v>
      </c>
      <c r="K19" s="3001">
        <v>1</v>
      </c>
      <c r="L19" s="3001"/>
      <c r="M19" s="3001"/>
      <c r="N19" s="3001"/>
      <c r="O19" s="3001"/>
      <c r="P19" s="3001"/>
      <c r="Q19" s="3001"/>
      <c r="R19" s="3001"/>
      <c r="S19" s="3001"/>
      <c r="T19" s="3001"/>
      <c r="U19" s="3001"/>
      <c r="V19" s="3001"/>
      <c r="W19" s="3001"/>
      <c r="X19" s="2998"/>
      <c r="Y19" s="2999">
        <v>1</v>
      </c>
      <c r="Z19" s="2999"/>
      <c r="AA19" s="2999">
        <v>6</v>
      </c>
      <c r="AB19" s="2998">
        <v>6</v>
      </c>
      <c r="AC19" s="2998"/>
      <c r="AD19" s="2998"/>
      <c r="AE19" s="2998"/>
      <c r="AF19" s="2998"/>
      <c r="AG19" s="2998">
        <v>2</v>
      </c>
      <c r="AH19" s="2998">
        <v>6</v>
      </c>
      <c r="AI19" s="2998"/>
      <c r="AJ19" s="2998"/>
      <c r="AK19" s="2998"/>
      <c r="AL19" s="2998"/>
      <c r="AM19" s="2998">
        <v>2</v>
      </c>
      <c r="AN19" s="2998">
        <v>3</v>
      </c>
      <c r="AO19" s="2998">
        <v>3</v>
      </c>
      <c r="AP19" s="2998"/>
      <c r="AQ19" s="2998"/>
      <c r="AR19" s="2998"/>
      <c r="AS19" s="2998"/>
      <c r="AT19" s="2998"/>
      <c r="AU19" s="2998"/>
    </row>
    <row r="20" spans="1:47" ht="25.05" customHeight="1">
      <c r="A20" s="3008" t="s">
        <v>6538</v>
      </c>
      <c r="B20" s="3008" t="s">
        <v>6538</v>
      </c>
      <c r="C20" s="3001">
        <v>45</v>
      </c>
      <c r="D20" s="3001">
        <v>45</v>
      </c>
      <c r="E20" s="3001">
        <f t="shared" si="7"/>
        <v>382.5</v>
      </c>
      <c r="F20" s="3001"/>
      <c r="G20" s="3001"/>
      <c r="H20" s="3001"/>
      <c r="I20" s="3020" t="s">
        <v>6572</v>
      </c>
      <c r="J20" s="3020" t="s">
        <v>501</v>
      </c>
      <c r="K20" s="3001">
        <v>1</v>
      </c>
      <c r="L20" s="3001"/>
      <c r="M20" s="3001"/>
      <c r="N20" s="3001"/>
      <c r="O20" s="3001"/>
      <c r="P20" s="3001"/>
      <c r="Q20" s="3001"/>
      <c r="R20" s="3001"/>
      <c r="S20" s="3001"/>
      <c r="T20" s="3001"/>
      <c r="U20" s="3001">
        <v>1</v>
      </c>
      <c r="V20" s="3001"/>
      <c r="W20" s="3001"/>
      <c r="X20" s="2998"/>
      <c r="Y20" s="2999"/>
      <c r="Z20" s="2999"/>
      <c r="AA20" s="2998">
        <v>3</v>
      </c>
      <c r="AB20" s="2998"/>
      <c r="AC20" s="2998"/>
      <c r="AD20" s="2998"/>
      <c r="AE20" s="3001"/>
      <c r="AF20" s="3001"/>
      <c r="AG20" s="3001"/>
      <c r="AH20" s="3001">
        <v>3</v>
      </c>
      <c r="AI20" s="3001"/>
      <c r="AJ20" s="3001"/>
      <c r="AK20" s="3001"/>
      <c r="AL20" s="3001"/>
      <c r="AM20" s="3001"/>
      <c r="AN20" s="3001"/>
      <c r="AO20" s="3001"/>
      <c r="AP20" s="3001"/>
      <c r="AQ20" s="3001"/>
      <c r="AR20" s="3001"/>
      <c r="AS20" s="3001"/>
      <c r="AT20" s="3001"/>
      <c r="AU20" s="3001"/>
    </row>
    <row r="21" spans="1:47" ht="25.05" customHeight="1">
      <c r="A21" s="3008" t="s">
        <v>6539</v>
      </c>
      <c r="B21" s="3008" t="s">
        <v>6539</v>
      </c>
      <c r="C21" s="3001">
        <v>45</v>
      </c>
      <c r="D21" s="3001">
        <v>45</v>
      </c>
      <c r="E21" s="3001">
        <f t="shared" si="7"/>
        <v>427.5</v>
      </c>
      <c r="F21" s="3001"/>
      <c r="G21" s="3001"/>
      <c r="H21" s="3001"/>
      <c r="I21" s="3020" t="s">
        <v>501</v>
      </c>
      <c r="J21" s="3020" t="s">
        <v>501</v>
      </c>
      <c r="K21" s="3001">
        <v>1</v>
      </c>
      <c r="L21" s="3001"/>
      <c r="M21" s="3001"/>
      <c r="N21" s="3001"/>
      <c r="O21" s="3001"/>
      <c r="P21" s="3001"/>
      <c r="Q21" s="3001"/>
      <c r="R21" s="3001"/>
      <c r="S21" s="3001"/>
      <c r="T21" s="3001"/>
      <c r="U21" s="3001">
        <v>1</v>
      </c>
      <c r="V21" s="3001"/>
      <c r="W21" s="3001"/>
      <c r="X21" s="2998"/>
      <c r="Y21" s="2999"/>
      <c r="Z21" s="2999"/>
      <c r="AA21" s="2998">
        <v>3</v>
      </c>
      <c r="AB21" s="2998"/>
      <c r="AC21" s="2998"/>
      <c r="AD21" s="2998"/>
      <c r="AE21" s="3001"/>
      <c r="AF21" s="3001"/>
      <c r="AG21" s="3001"/>
      <c r="AH21" s="3001">
        <v>3</v>
      </c>
      <c r="AI21" s="3001"/>
      <c r="AJ21" s="3001"/>
      <c r="AK21" s="3001"/>
      <c r="AL21" s="3001"/>
      <c r="AM21" s="3001"/>
      <c r="AN21" s="3001"/>
      <c r="AO21" s="3001"/>
      <c r="AP21" s="3001"/>
      <c r="AQ21" s="3001"/>
      <c r="AR21" s="3001"/>
      <c r="AS21" s="3001"/>
      <c r="AT21" s="3001"/>
      <c r="AU21" s="3001"/>
    </row>
    <row r="22" spans="1:47" ht="25.05" customHeight="1">
      <c r="A22" s="3008" t="s">
        <v>6540</v>
      </c>
      <c r="B22" s="3008" t="s">
        <v>6540</v>
      </c>
      <c r="C22" s="3001">
        <v>45</v>
      </c>
      <c r="D22" s="3001">
        <v>45</v>
      </c>
      <c r="E22" s="3001">
        <f t="shared" si="7"/>
        <v>472.5</v>
      </c>
      <c r="F22" s="3001"/>
      <c r="G22" s="3001"/>
      <c r="H22" s="3001"/>
      <c r="I22" s="3020" t="s">
        <v>501</v>
      </c>
      <c r="J22" s="3020" t="s">
        <v>501</v>
      </c>
      <c r="K22" s="3001">
        <v>1</v>
      </c>
      <c r="L22" s="3001"/>
      <c r="M22" s="3001"/>
      <c r="N22" s="3001"/>
      <c r="O22" s="3001"/>
      <c r="P22" s="3001"/>
      <c r="Q22" s="3001"/>
      <c r="R22" s="3001"/>
      <c r="S22" s="3001"/>
      <c r="T22" s="3001"/>
      <c r="U22" s="3001">
        <v>1</v>
      </c>
      <c r="V22" s="3001"/>
      <c r="W22" s="3001"/>
      <c r="X22" s="2998"/>
      <c r="Y22" s="2999"/>
      <c r="Z22" s="2999"/>
      <c r="AA22" s="2998">
        <v>3</v>
      </c>
      <c r="AB22" s="2998"/>
      <c r="AC22" s="2998"/>
      <c r="AD22" s="2998"/>
      <c r="AE22" s="3001"/>
      <c r="AF22" s="3001"/>
      <c r="AG22" s="3001"/>
      <c r="AH22" s="3001">
        <v>3</v>
      </c>
      <c r="AI22" s="3001"/>
      <c r="AJ22" s="3001"/>
      <c r="AK22" s="3001"/>
      <c r="AL22" s="3001"/>
      <c r="AM22" s="3001"/>
      <c r="AN22" s="3001"/>
      <c r="AO22" s="3001"/>
      <c r="AP22" s="3001">
        <v>1</v>
      </c>
      <c r="AQ22" s="3001"/>
      <c r="AR22" s="3001"/>
      <c r="AS22" s="3001"/>
      <c r="AT22" s="3001"/>
      <c r="AU22" s="3001"/>
    </row>
    <row r="23" spans="1:47" ht="25.05" customHeight="1">
      <c r="A23" s="3008" t="s">
        <v>6541</v>
      </c>
      <c r="B23" s="3008" t="s">
        <v>6541</v>
      </c>
      <c r="C23" s="3001">
        <v>45</v>
      </c>
      <c r="D23" s="3001">
        <v>45</v>
      </c>
      <c r="E23" s="3001">
        <f t="shared" si="7"/>
        <v>517.5</v>
      </c>
      <c r="F23" s="3001"/>
      <c r="G23" s="3001"/>
      <c r="H23" s="3001"/>
      <c r="I23" s="3020" t="s">
        <v>501</v>
      </c>
      <c r="J23" s="3020" t="s">
        <v>501</v>
      </c>
      <c r="K23" s="3001">
        <v>1</v>
      </c>
      <c r="L23" s="3001"/>
      <c r="M23" s="3001"/>
      <c r="N23" s="3001"/>
      <c r="O23" s="3001"/>
      <c r="P23" s="3001"/>
      <c r="Q23" s="3001"/>
      <c r="R23" s="3001"/>
      <c r="S23" s="3001"/>
      <c r="T23" s="3001"/>
      <c r="U23" s="3001">
        <v>1</v>
      </c>
      <c r="V23" s="3001"/>
      <c r="W23" s="3001"/>
      <c r="X23" s="2998"/>
      <c r="Y23" s="2999"/>
      <c r="Z23" s="2999"/>
      <c r="AA23" s="2998">
        <v>3</v>
      </c>
      <c r="AB23" s="2998"/>
      <c r="AC23" s="2998"/>
      <c r="AD23" s="2998"/>
      <c r="AE23" s="2998"/>
      <c r="AF23" s="2998"/>
      <c r="AG23" s="2998"/>
      <c r="AH23" s="3001">
        <v>3</v>
      </c>
      <c r="AI23" s="2998"/>
      <c r="AJ23" s="2998"/>
      <c r="AK23" s="2998"/>
      <c r="AL23" s="2998"/>
      <c r="AM23" s="2998"/>
      <c r="AN23" s="2998"/>
      <c r="AO23" s="2998"/>
      <c r="AP23" s="2998"/>
      <c r="AQ23" s="2998"/>
      <c r="AR23" s="2998"/>
      <c r="AS23" s="2998"/>
      <c r="AT23" s="2998"/>
      <c r="AU23" s="2998"/>
    </row>
    <row r="24" spans="1:47" ht="25.05" customHeight="1">
      <c r="A24" s="3008" t="s">
        <v>6542</v>
      </c>
      <c r="B24" s="3008" t="s">
        <v>6542</v>
      </c>
      <c r="C24" s="3001">
        <v>45</v>
      </c>
      <c r="D24" s="3001">
        <v>45</v>
      </c>
      <c r="E24" s="3001">
        <f t="shared" si="7"/>
        <v>562.5</v>
      </c>
      <c r="F24" s="3001"/>
      <c r="G24" s="3001"/>
      <c r="H24" s="3001"/>
      <c r="I24" s="3020" t="s">
        <v>501</v>
      </c>
      <c r="J24" s="3020" t="s">
        <v>501</v>
      </c>
      <c r="K24" s="3001">
        <v>1</v>
      </c>
      <c r="L24" s="3001"/>
      <c r="M24" s="3001"/>
      <c r="N24" s="3001"/>
      <c r="O24" s="3001"/>
      <c r="P24" s="3001"/>
      <c r="Q24" s="3001"/>
      <c r="R24" s="3001"/>
      <c r="S24" s="3001"/>
      <c r="T24" s="3001"/>
      <c r="U24" s="3001">
        <v>1</v>
      </c>
      <c r="V24" s="3001"/>
      <c r="W24" s="3001"/>
      <c r="X24" s="2998"/>
      <c r="Y24" s="2999"/>
      <c r="Z24" s="2999"/>
      <c r="AA24" s="2998">
        <v>3</v>
      </c>
      <c r="AB24" s="2998"/>
      <c r="AC24" s="2998"/>
      <c r="AD24" s="2998"/>
      <c r="AE24" s="2998"/>
      <c r="AF24" s="2998"/>
      <c r="AG24" s="2998"/>
      <c r="AH24" s="3001">
        <v>3</v>
      </c>
      <c r="AI24" s="2998"/>
      <c r="AJ24" s="2998"/>
      <c r="AK24" s="2998"/>
      <c r="AL24" s="2998"/>
      <c r="AM24" s="2998"/>
      <c r="AN24" s="2998"/>
      <c r="AO24" s="2998"/>
      <c r="AP24" s="2998"/>
      <c r="AQ24" s="2998"/>
      <c r="AR24" s="2998"/>
      <c r="AS24" s="2998"/>
      <c r="AT24" s="2998"/>
      <c r="AU24" s="2998"/>
    </row>
    <row r="25" spans="1:47" ht="25.05" customHeight="1">
      <c r="A25" s="3008" t="s">
        <v>6543</v>
      </c>
      <c r="B25" s="3008" t="s">
        <v>6543</v>
      </c>
      <c r="C25" s="3001">
        <v>45</v>
      </c>
      <c r="D25" s="3001">
        <v>45</v>
      </c>
      <c r="E25" s="3001">
        <f t="shared" si="7"/>
        <v>607.5</v>
      </c>
      <c r="F25" s="3001"/>
      <c r="G25" s="3001"/>
      <c r="H25" s="3001"/>
      <c r="I25" s="3020" t="s">
        <v>501</v>
      </c>
      <c r="J25" s="3020" t="s">
        <v>501</v>
      </c>
      <c r="K25" s="3001">
        <v>1</v>
      </c>
      <c r="L25" s="3001"/>
      <c r="M25" s="3001"/>
      <c r="N25" s="3001"/>
      <c r="O25" s="3001"/>
      <c r="P25" s="3001"/>
      <c r="Q25" s="3001"/>
      <c r="R25" s="3001"/>
      <c r="S25" s="3001"/>
      <c r="T25" s="3001"/>
      <c r="U25" s="3001">
        <v>1</v>
      </c>
      <c r="V25" s="3001"/>
      <c r="W25" s="3001"/>
      <c r="X25" s="3001"/>
      <c r="Y25" s="2999"/>
      <c r="Z25" s="2999"/>
      <c r="AA25" s="2998">
        <v>3</v>
      </c>
      <c r="AB25" s="2998"/>
      <c r="AC25" s="2998"/>
      <c r="AD25" s="2998"/>
      <c r="AE25" s="3001"/>
      <c r="AF25" s="3001"/>
      <c r="AG25" s="3001"/>
      <c r="AH25" s="3001">
        <v>3</v>
      </c>
      <c r="AI25" s="3001"/>
      <c r="AJ25" s="3001"/>
      <c r="AK25" s="3001"/>
      <c r="AL25" s="3001"/>
      <c r="AM25" s="3001"/>
      <c r="AN25" s="3001"/>
      <c r="AO25" s="3001"/>
      <c r="AP25" s="3001"/>
      <c r="AQ25" s="3001"/>
      <c r="AR25" s="3001"/>
      <c r="AS25" s="3001"/>
      <c r="AT25" s="3001"/>
      <c r="AU25" s="3001"/>
    </row>
    <row r="26" spans="1:47" ht="25.05" customHeight="1">
      <c r="A26" s="3008"/>
      <c r="B26" s="3008" t="s">
        <v>6554</v>
      </c>
      <c r="C26" s="3001"/>
      <c r="D26" s="3005">
        <v>27</v>
      </c>
      <c r="E26" s="3001">
        <f t="shared" si="7"/>
        <v>634.5</v>
      </c>
      <c r="F26" s="3005"/>
      <c r="G26" s="3005"/>
      <c r="H26" s="3005"/>
      <c r="I26" s="3021" t="s">
        <v>501</v>
      </c>
      <c r="J26" s="3021" t="s">
        <v>501</v>
      </c>
      <c r="K26" s="3005"/>
      <c r="L26" s="3005">
        <v>1</v>
      </c>
      <c r="M26" s="3005"/>
      <c r="N26" s="3005">
        <v>1</v>
      </c>
      <c r="O26" s="3005"/>
      <c r="P26" s="3005"/>
      <c r="Q26" s="3005"/>
      <c r="R26" s="3005"/>
      <c r="S26" s="3005"/>
      <c r="T26" s="3005"/>
      <c r="U26" s="3001">
        <v>1</v>
      </c>
      <c r="V26" s="3005"/>
      <c r="W26" s="3005"/>
      <c r="X26" s="3005"/>
      <c r="Y26" s="3005"/>
      <c r="Z26" s="2999"/>
      <c r="AA26" s="2998">
        <v>3</v>
      </c>
      <c r="AB26" s="3005"/>
      <c r="AC26" s="3005"/>
      <c r="AD26" s="3005"/>
      <c r="AE26" s="3005"/>
      <c r="AF26" s="3005"/>
      <c r="AG26" s="3005"/>
      <c r="AH26" s="3001">
        <v>3</v>
      </c>
      <c r="AI26" s="3005"/>
      <c r="AJ26" s="3005"/>
      <c r="AK26" s="3005"/>
      <c r="AL26" s="3005"/>
      <c r="AM26" s="3005"/>
      <c r="AN26" s="3005"/>
      <c r="AO26" s="3005"/>
      <c r="AP26" s="3005"/>
      <c r="AQ26" s="3005"/>
      <c r="AR26" s="3005"/>
      <c r="AS26" s="3005"/>
      <c r="AT26" s="3005"/>
      <c r="AU26" s="3005"/>
    </row>
    <row r="27" spans="1:47" ht="25.05" customHeight="1">
      <c r="A27" s="3008" t="s">
        <v>6544</v>
      </c>
      <c r="B27" s="3008" t="s">
        <v>6544</v>
      </c>
      <c r="C27" s="3001">
        <v>53.2</v>
      </c>
      <c r="D27" s="3001">
        <v>26.2</v>
      </c>
      <c r="E27" s="3001">
        <f t="shared" si="7"/>
        <v>660.7</v>
      </c>
      <c r="F27" s="3001"/>
      <c r="G27" s="3001"/>
      <c r="H27" s="3001"/>
      <c r="I27" s="3020" t="s">
        <v>6571</v>
      </c>
      <c r="J27" s="3020" t="s">
        <v>6571</v>
      </c>
      <c r="K27" s="3001">
        <v>2</v>
      </c>
      <c r="L27" s="3001"/>
      <c r="M27" s="3001"/>
      <c r="N27" s="3001"/>
      <c r="O27" s="3001"/>
      <c r="P27" s="3001"/>
      <c r="Q27" s="3001"/>
      <c r="R27" s="3001"/>
      <c r="S27" s="3001"/>
      <c r="T27" s="3001"/>
      <c r="U27" s="3001"/>
      <c r="V27" s="3001"/>
      <c r="W27" s="3001"/>
      <c r="X27" s="3001"/>
      <c r="Y27" s="2999">
        <v>1</v>
      </c>
      <c r="Z27" s="2999">
        <v>1</v>
      </c>
      <c r="AA27" s="2998">
        <v>6</v>
      </c>
      <c r="AB27" s="2999">
        <v>6</v>
      </c>
      <c r="AC27" s="2999"/>
      <c r="AD27" s="3001"/>
      <c r="AE27" s="3001"/>
      <c r="AF27" s="3001">
        <v>1</v>
      </c>
      <c r="AG27" s="3001">
        <v>1</v>
      </c>
      <c r="AH27" s="3001"/>
      <c r="AI27" s="3001">
        <v>6</v>
      </c>
      <c r="AJ27" s="3001"/>
      <c r="AK27" s="3001"/>
      <c r="AL27" s="3001"/>
      <c r="AM27" s="3001">
        <v>8</v>
      </c>
      <c r="AN27" s="3001"/>
      <c r="AO27" s="3001"/>
      <c r="AP27" s="3001">
        <v>1</v>
      </c>
      <c r="AQ27" s="3001"/>
      <c r="AR27" s="3001"/>
      <c r="AS27" s="3001"/>
      <c r="AT27" s="3001"/>
      <c r="AU27" s="3001"/>
    </row>
    <row r="28" spans="1:47" ht="25.05" customHeight="1">
      <c r="A28" s="3008" t="s">
        <v>6545</v>
      </c>
      <c r="B28" s="3008" t="s">
        <v>6545</v>
      </c>
      <c r="C28" s="3001">
        <v>45</v>
      </c>
      <c r="D28" s="3001">
        <v>45</v>
      </c>
      <c r="E28" s="3001">
        <f t="shared" si="7"/>
        <v>705.7</v>
      </c>
      <c r="F28" s="3001"/>
      <c r="G28" s="3001"/>
      <c r="H28" s="3001"/>
      <c r="I28" s="3020" t="s">
        <v>501</v>
      </c>
      <c r="J28" s="3020" t="s">
        <v>501</v>
      </c>
      <c r="K28" s="3001">
        <v>1</v>
      </c>
      <c r="L28" s="3001"/>
      <c r="M28" s="3001"/>
      <c r="N28" s="3001"/>
      <c r="O28" s="3001"/>
      <c r="P28" s="3001"/>
      <c r="Q28" s="3001"/>
      <c r="R28" s="3001"/>
      <c r="S28" s="3001"/>
      <c r="T28" s="3001"/>
      <c r="U28" s="3001">
        <v>1</v>
      </c>
      <c r="V28" s="3001"/>
      <c r="W28" s="3001"/>
      <c r="X28" s="3001"/>
      <c r="Y28" s="2999"/>
      <c r="Z28" s="2999"/>
      <c r="AA28" s="2998">
        <v>3</v>
      </c>
      <c r="AB28" s="2999"/>
      <c r="AC28" s="2999"/>
      <c r="AD28" s="3001"/>
      <c r="AE28" s="3001"/>
      <c r="AF28" s="3001"/>
      <c r="AG28" s="3001"/>
      <c r="AH28" s="3001">
        <v>3</v>
      </c>
      <c r="AI28" s="3001"/>
      <c r="AJ28" s="3001"/>
      <c r="AK28" s="3001"/>
      <c r="AL28" s="3001"/>
      <c r="AM28" s="3001"/>
      <c r="AN28" s="3001"/>
      <c r="AO28" s="3001"/>
      <c r="AP28" s="3001"/>
      <c r="AQ28" s="3001"/>
      <c r="AR28" s="3001"/>
      <c r="AS28" s="3001"/>
      <c r="AT28" s="3001"/>
      <c r="AU28" s="3001"/>
    </row>
    <row r="29" spans="1:47" ht="25.05" customHeight="1">
      <c r="A29" s="3008" t="s">
        <v>6546</v>
      </c>
      <c r="B29" s="3008" t="s">
        <v>6546</v>
      </c>
      <c r="C29" s="3001">
        <v>45</v>
      </c>
      <c r="D29" s="3001">
        <v>45</v>
      </c>
      <c r="E29" s="3001">
        <f t="shared" si="7"/>
        <v>750.7</v>
      </c>
      <c r="F29" s="3001"/>
      <c r="G29" s="3001"/>
      <c r="H29" s="3001"/>
      <c r="I29" s="3020" t="s">
        <v>501</v>
      </c>
      <c r="J29" s="3020" t="s">
        <v>501</v>
      </c>
      <c r="K29" s="3001">
        <v>1</v>
      </c>
      <c r="L29" s="3001"/>
      <c r="M29" s="3001"/>
      <c r="N29" s="3001"/>
      <c r="O29" s="3001"/>
      <c r="P29" s="3001"/>
      <c r="Q29" s="3001"/>
      <c r="R29" s="3001"/>
      <c r="S29" s="3001"/>
      <c r="T29" s="3001"/>
      <c r="U29" s="3001">
        <v>1</v>
      </c>
      <c r="V29" s="3001"/>
      <c r="W29" s="3001"/>
      <c r="X29" s="3001"/>
      <c r="Y29" s="2999"/>
      <c r="Z29" s="2999"/>
      <c r="AA29" s="2998">
        <v>3</v>
      </c>
      <c r="AB29" s="2999"/>
      <c r="AC29" s="2999"/>
      <c r="AD29" s="3005"/>
      <c r="AE29" s="3001"/>
      <c r="AF29" s="3001"/>
      <c r="AG29" s="3001"/>
      <c r="AH29" s="3001">
        <v>3</v>
      </c>
      <c r="AI29" s="3001"/>
      <c r="AJ29" s="3001"/>
      <c r="AK29" s="3001"/>
      <c r="AL29" s="3001"/>
      <c r="AM29" s="3001"/>
      <c r="AN29" s="3001"/>
      <c r="AO29" s="3001"/>
      <c r="AP29" s="3001"/>
      <c r="AQ29" s="3001"/>
      <c r="AR29" s="3001"/>
      <c r="AS29" s="3001"/>
      <c r="AT29" s="3001"/>
      <c r="AU29" s="3001"/>
    </row>
    <row r="30" spans="1:47" ht="25.05" customHeight="1">
      <c r="A30" s="3008" t="s">
        <v>6547</v>
      </c>
      <c r="B30" s="3008" t="s">
        <v>6547</v>
      </c>
      <c r="C30" s="3001">
        <v>45</v>
      </c>
      <c r="D30" s="3001">
        <v>45</v>
      </c>
      <c r="E30" s="3001">
        <f t="shared" si="7"/>
        <v>795.7</v>
      </c>
      <c r="F30" s="3001"/>
      <c r="G30" s="3001"/>
      <c r="H30" s="3001"/>
      <c r="I30" s="3020" t="s">
        <v>501</v>
      </c>
      <c r="J30" s="3020" t="s">
        <v>501</v>
      </c>
      <c r="K30" s="3001">
        <v>1</v>
      </c>
      <c r="L30" s="3001"/>
      <c r="M30" s="3001"/>
      <c r="N30" s="3001"/>
      <c r="O30" s="3001"/>
      <c r="P30" s="3001"/>
      <c r="Q30" s="3001"/>
      <c r="R30" s="3001"/>
      <c r="S30" s="3001"/>
      <c r="T30" s="3001"/>
      <c r="U30" s="3001">
        <v>1</v>
      </c>
      <c r="V30" s="3001"/>
      <c r="W30" s="3001"/>
      <c r="X30" s="2998"/>
      <c r="Y30" s="2999"/>
      <c r="Z30" s="2999"/>
      <c r="AA30" s="2998">
        <v>3</v>
      </c>
      <c r="AB30" s="2998"/>
      <c r="AC30" s="2998"/>
      <c r="AD30" s="2998"/>
      <c r="AE30" s="3001"/>
      <c r="AF30" s="3001"/>
      <c r="AG30" s="3001"/>
      <c r="AH30" s="3001">
        <v>3</v>
      </c>
      <c r="AI30" s="3001"/>
      <c r="AJ30" s="3001"/>
      <c r="AK30" s="3001"/>
      <c r="AL30" s="3001"/>
      <c r="AM30" s="3001"/>
      <c r="AN30" s="3001"/>
      <c r="AO30" s="3001"/>
      <c r="AP30" s="3001"/>
      <c r="AQ30" s="3001"/>
      <c r="AR30" s="3001"/>
      <c r="AS30" s="3001"/>
      <c r="AT30" s="3001"/>
      <c r="AU30" s="3001"/>
    </row>
    <row r="31" spans="1:47" ht="25.05" customHeight="1">
      <c r="A31" s="3008" t="s">
        <v>6548</v>
      </c>
      <c r="B31" s="3008" t="s">
        <v>6548</v>
      </c>
      <c r="C31" s="3001">
        <v>45</v>
      </c>
      <c r="D31" s="3001">
        <v>45</v>
      </c>
      <c r="E31" s="3001">
        <f t="shared" si="7"/>
        <v>840.7</v>
      </c>
      <c r="F31" s="3001"/>
      <c r="G31" s="3001"/>
      <c r="H31" s="3001"/>
      <c r="I31" s="3020" t="s">
        <v>501</v>
      </c>
      <c r="J31" s="3020" t="s">
        <v>501</v>
      </c>
      <c r="K31" s="3001">
        <v>1</v>
      </c>
      <c r="L31" s="3001"/>
      <c r="M31" s="3001"/>
      <c r="N31" s="3001"/>
      <c r="O31" s="3001"/>
      <c r="P31" s="3001"/>
      <c r="Q31" s="3001"/>
      <c r="R31" s="3001"/>
      <c r="S31" s="3001"/>
      <c r="T31" s="3001"/>
      <c r="U31" s="3001">
        <v>1</v>
      </c>
      <c r="V31" s="3001"/>
      <c r="W31" s="3001"/>
      <c r="X31" s="2998"/>
      <c r="Y31" s="2999"/>
      <c r="Z31" s="2999"/>
      <c r="AA31" s="2998">
        <v>3</v>
      </c>
      <c r="AB31" s="2998"/>
      <c r="AC31" s="2998"/>
      <c r="AD31" s="2998"/>
      <c r="AE31" s="3001"/>
      <c r="AF31" s="3001"/>
      <c r="AG31" s="3001"/>
      <c r="AH31" s="3001">
        <v>3</v>
      </c>
      <c r="AI31" s="3001"/>
      <c r="AJ31" s="3001"/>
      <c r="AK31" s="3001"/>
      <c r="AL31" s="3001"/>
      <c r="AM31" s="3001"/>
      <c r="AN31" s="3001"/>
      <c r="AO31" s="3001"/>
      <c r="AP31" s="3001"/>
      <c r="AQ31" s="3001"/>
      <c r="AR31" s="3001"/>
      <c r="AS31" s="3001"/>
      <c r="AT31" s="3001"/>
      <c r="AU31" s="3001"/>
    </row>
    <row r="32" spans="1:47" ht="25.05" customHeight="1">
      <c r="A32" s="3008" t="s">
        <v>6549</v>
      </c>
      <c r="B32" s="3008" t="s">
        <v>6549</v>
      </c>
      <c r="C32" s="3001">
        <v>45</v>
      </c>
      <c r="D32" s="3001">
        <v>45</v>
      </c>
      <c r="E32" s="3001">
        <f t="shared" si="7"/>
        <v>885.7</v>
      </c>
      <c r="F32" s="3001"/>
      <c r="G32" s="3001"/>
      <c r="H32" s="3001"/>
      <c r="I32" s="3020" t="s">
        <v>501</v>
      </c>
      <c r="J32" s="3020" t="s">
        <v>501</v>
      </c>
      <c r="K32" s="3001">
        <v>1</v>
      </c>
      <c r="L32" s="3001"/>
      <c r="M32" s="3001"/>
      <c r="N32" s="3001"/>
      <c r="O32" s="3001"/>
      <c r="P32" s="3001"/>
      <c r="Q32" s="3001"/>
      <c r="R32" s="3001"/>
      <c r="S32" s="3001"/>
      <c r="T32" s="3001"/>
      <c r="U32" s="3001">
        <v>1</v>
      </c>
      <c r="V32" s="3001"/>
      <c r="W32" s="3001"/>
      <c r="X32" s="2998"/>
      <c r="Y32" s="2999"/>
      <c r="Z32" s="2999"/>
      <c r="AA32" s="2998">
        <v>3</v>
      </c>
      <c r="AB32" s="2998"/>
      <c r="AC32" s="2998"/>
      <c r="AD32" s="2998"/>
      <c r="AE32" s="3001"/>
      <c r="AF32" s="3001"/>
      <c r="AG32" s="3001"/>
      <c r="AH32" s="3001">
        <v>3</v>
      </c>
      <c r="AI32" s="3001"/>
      <c r="AJ32" s="3001"/>
      <c r="AK32" s="3001"/>
      <c r="AL32" s="3001"/>
      <c r="AM32" s="3001"/>
      <c r="AN32" s="3001"/>
      <c r="AO32" s="3001"/>
      <c r="AP32" s="3001"/>
      <c r="AQ32" s="3001"/>
      <c r="AR32" s="3001"/>
      <c r="AS32" s="3001"/>
      <c r="AT32" s="3001"/>
      <c r="AU32" s="3001"/>
    </row>
    <row r="33" spans="1:47" ht="25.05" customHeight="1">
      <c r="A33" s="3008" t="s">
        <v>6550</v>
      </c>
      <c r="B33" s="3008" t="s">
        <v>6550</v>
      </c>
      <c r="C33" s="3001">
        <v>45</v>
      </c>
      <c r="D33" s="3001">
        <v>45</v>
      </c>
      <c r="E33" s="3001">
        <f t="shared" si="7"/>
        <v>930.7</v>
      </c>
      <c r="F33" s="3001"/>
      <c r="G33" s="3001"/>
      <c r="H33" s="3001"/>
      <c r="I33" s="3020" t="s">
        <v>501</v>
      </c>
      <c r="J33" s="3020" t="s">
        <v>501</v>
      </c>
      <c r="K33" s="3001">
        <v>1</v>
      </c>
      <c r="L33" s="3001"/>
      <c r="M33" s="3001"/>
      <c r="N33" s="3001"/>
      <c r="O33" s="3001"/>
      <c r="P33" s="3001"/>
      <c r="Q33" s="3001"/>
      <c r="R33" s="3001"/>
      <c r="S33" s="3001"/>
      <c r="T33" s="3001"/>
      <c r="U33" s="3001">
        <v>1</v>
      </c>
      <c r="V33" s="3001"/>
      <c r="W33" s="3001"/>
      <c r="X33" s="2998"/>
      <c r="Y33" s="2999"/>
      <c r="Z33" s="2999"/>
      <c r="AA33" s="2998">
        <v>3</v>
      </c>
      <c r="AB33" s="2998"/>
      <c r="AC33" s="2998"/>
      <c r="AD33" s="2998"/>
      <c r="AE33" s="3001"/>
      <c r="AF33" s="3001"/>
      <c r="AG33" s="3001"/>
      <c r="AH33" s="3001">
        <v>3</v>
      </c>
      <c r="AI33" s="3001"/>
      <c r="AJ33" s="3001"/>
      <c r="AK33" s="3001"/>
      <c r="AL33" s="3001"/>
      <c r="AM33" s="3001"/>
      <c r="AN33" s="3001"/>
      <c r="AO33" s="3001"/>
      <c r="AP33" s="3001"/>
      <c r="AQ33" s="3001"/>
      <c r="AR33" s="3001"/>
      <c r="AS33" s="3001"/>
      <c r="AT33" s="3001"/>
      <c r="AU33" s="3001"/>
    </row>
    <row r="34" spans="1:47" ht="25.05" customHeight="1">
      <c r="A34" s="3008" t="s">
        <v>6551</v>
      </c>
      <c r="B34" s="3008" t="s">
        <v>6551</v>
      </c>
      <c r="C34" s="3001">
        <v>40</v>
      </c>
      <c r="D34" s="3001">
        <v>40</v>
      </c>
      <c r="E34" s="3001">
        <f t="shared" si="7"/>
        <v>970.7</v>
      </c>
      <c r="F34" s="3001"/>
      <c r="G34" s="3001"/>
      <c r="H34" s="3001"/>
      <c r="I34" s="3020" t="s">
        <v>6571</v>
      </c>
      <c r="J34" s="3020" t="s">
        <v>6571</v>
      </c>
      <c r="K34" s="3001">
        <v>2</v>
      </c>
      <c r="L34" s="3001"/>
      <c r="M34" s="3001"/>
      <c r="N34" s="3001"/>
      <c r="O34" s="3001"/>
      <c r="P34" s="3001"/>
      <c r="Q34" s="3001"/>
      <c r="R34" s="3001"/>
      <c r="S34" s="3001"/>
      <c r="T34" s="3001"/>
      <c r="U34" s="3001"/>
      <c r="V34" s="3001"/>
      <c r="W34" s="3001"/>
      <c r="X34" s="2998"/>
      <c r="Y34" s="2999">
        <v>1</v>
      </c>
      <c r="Z34" s="2999">
        <v>1</v>
      </c>
      <c r="AA34" s="2998"/>
      <c r="AB34" s="2998">
        <v>3</v>
      </c>
      <c r="AC34" s="2998"/>
      <c r="AD34" s="2998"/>
      <c r="AE34" s="3001"/>
      <c r="AF34" s="3001">
        <v>1</v>
      </c>
      <c r="AG34" s="3001"/>
      <c r="AH34" s="3001"/>
      <c r="AI34" s="3001"/>
      <c r="AJ34" s="3001"/>
      <c r="AK34" s="3001"/>
      <c r="AL34" s="3001"/>
      <c r="AM34" s="3001"/>
      <c r="AN34" s="3001"/>
      <c r="AO34" s="3001"/>
      <c r="AP34" s="3001"/>
      <c r="AQ34" s="3001"/>
      <c r="AR34" s="3001"/>
      <c r="AS34" s="3001"/>
      <c r="AT34" s="3001"/>
      <c r="AU34" s="3001"/>
    </row>
    <row r="35" spans="1:47" ht="25.05" customHeight="1">
      <c r="A35" s="3009" t="s">
        <v>6555</v>
      </c>
      <c r="B35" s="3008"/>
      <c r="C35" s="2995">
        <f>SUM(C11:C34)</f>
        <v>970.7</v>
      </c>
      <c r="D35" s="2995">
        <f t="shared" ref="D35:AT35" si="8">SUM(D11:D34)</f>
        <v>970.7</v>
      </c>
      <c r="E35" s="2995">
        <f>E34</f>
        <v>970.7</v>
      </c>
      <c r="F35" s="2995">
        <f t="shared" ref="F35" si="9">SUM(F11:F34)</f>
        <v>0</v>
      </c>
      <c r="G35" s="2995">
        <f t="shared" ref="G35" si="10">SUM(G11:G34)</f>
        <v>10</v>
      </c>
      <c r="H35" s="2995">
        <f t="shared" ref="H35" si="11">SUM(H11:H34)</f>
        <v>15</v>
      </c>
      <c r="I35" s="3022">
        <f t="shared" si="8"/>
        <v>0</v>
      </c>
      <c r="J35" s="3022">
        <f t="shared" si="8"/>
        <v>0</v>
      </c>
      <c r="K35" s="2995">
        <f t="shared" si="8"/>
        <v>26</v>
      </c>
      <c r="L35" s="2995">
        <f t="shared" si="8"/>
        <v>1</v>
      </c>
      <c r="M35" s="2995">
        <f t="shared" si="8"/>
        <v>7</v>
      </c>
      <c r="N35" s="2995">
        <f t="shared" si="8"/>
        <v>1</v>
      </c>
      <c r="O35" s="2995">
        <f t="shared" si="8"/>
        <v>0</v>
      </c>
      <c r="P35" s="2995">
        <f t="shared" si="8"/>
        <v>1</v>
      </c>
      <c r="Q35" s="2995">
        <f t="shared" si="8"/>
        <v>3</v>
      </c>
      <c r="R35" s="2995">
        <f t="shared" si="8"/>
        <v>1</v>
      </c>
      <c r="S35" s="2995">
        <f t="shared" si="8"/>
        <v>0</v>
      </c>
      <c r="T35" s="2995">
        <f t="shared" si="8"/>
        <v>1</v>
      </c>
      <c r="U35" s="2995">
        <f t="shared" si="8"/>
        <v>13</v>
      </c>
      <c r="V35" s="2995">
        <f t="shared" si="8"/>
        <v>2</v>
      </c>
      <c r="W35" s="2995">
        <f t="shared" si="8"/>
        <v>1</v>
      </c>
      <c r="X35" s="2995">
        <f t="shared" si="8"/>
        <v>1</v>
      </c>
      <c r="Y35" s="2995">
        <f t="shared" si="8"/>
        <v>5</v>
      </c>
      <c r="Z35" s="2995">
        <f t="shared" si="8"/>
        <v>5</v>
      </c>
      <c r="AA35" s="2995">
        <f t="shared" si="8"/>
        <v>91</v>
      </c>
      <c r="AB35" s="2995">
        <f t="shared" si="8"/>
        <v>33</v>
      </c>
      <c r="AC35" s="2995">
        <f t="shared" si="8"/>
        <v>6</v>
      </c>
      <c r="AD35" s="2995">
        <f t="shared" si="8"/>
        <v>1</v>
      </c>
      <c r="AE35" s="2995">
        <f t="shared" si="8"/>
        <v>0</v>
      </c>
      <c r="AF35" s="2995">
        <f t="shared" si="8"/>
        <v>5</v>
      </c>
      <c r="AG35" s="2995">
        <f t="shared" si="8"/>
        <v>4</v>
      </c>
      <c r="AH35" s="2995">
        <f t="shared" si="8"/>
        <v>50</v>
      </c>
      <c r="AI35" s="2995">
        <f t="shared" si="8"/>
        <v>36</v>
      </c>
      <c r="AJ35" s="2995">
        <f t="shared" si="8"/>
        <v>8</v>
      </c>
      <c r="AK35" s="2995">
        <f t="shared" si="8"/>
        <v>8</v>
      </c>
      <c r="AL35" s="2995">
        <f t="shared" si="8"/>
        <v>0</v>
      </c>
      <c r="AM35" s="2995">
        <f t="shared" si="8"/>
        <v>28</v>
      </c>
      <c r="AN35" s="2995">
        <f t="shared" si="8"/>
        <v>3</v>
      </c>
      <c r="AO35" s="2995">
        <f t="shared" si="8"/>
        <v>6</v>
      </c>
      <c r="AP35" s="2995">
        <f t="shared" si="8"/>
        <v>2</v>
      </c>
      <c r="AQ35" s="2995">
        <f t="shared" si="8"/>
        <v>1</v>
      </c>
      <c r="AR35" s="2995">
        <f t="shared" si="8"/>
        <v>1</v>
      </c>
      <c r="AS35" s="2995">
        <f t="shared" si="8"/>
        <v>3</v>
      </c>
      <c r="AT35" s="2995">
        <f t="shared" si="8"/>
        <v>6</v>
      </c>
      <c r="AU35" s="2995"/>
    </row>
    <row r="36" spans="1:47" ht="25.05" customHeight="1">
      <c r="A36" s="3010" t="s">
        <v>6556</v>
      </c>
      <c r="B36" s="2999"/>
      <c r="C36" s="3001"/>
      <c r="D36" s="3001"/>
      <c r="E36" s="3001"/>
      <c r="F36" s="3001"/>
      <c r="G36" s="3001"/>
      <c r="H36" s="3001"/>
      <c r="I36" s="3020"/>
      <c r="J36" s="3020"/>
      <c r="K36" s="3001"/>
      <c r="L36" s="3001"/>
      <c r="M36" s="3001"/>
      <c r="N36" s="3001"/>
      <c r="O36" s="3001"/>
      <c r="P36" s="3001"/>
      <c r="Q36" s="3001"/>
      <c r="R36" s="3001"/>
      <c r="S36" s="3001"/>
      <c r="T36" s="3001"/>
      <c r="U36" s="3001"/>
      <c r="V36" s="3001"/>
      <c r="W36" s="3001"/>
      <c r="X36" s="2998"/>
      <c r="Y36" s="2999"/>
      <c r="Z36" s="2999"/>
      <c r="AA36" s="2998"/>
      <c r="AB36" s="2998"/>
      <c r="AC36" s="2998"/>
      <c r="AD36" s="2998"/>
      <c r="AE36" s="2998"/>
      <c r="AF36" s="2998"/>
      <c r="AG36" s="2998"/>
      <c r="AH36" s="2998"/>
      <c r="AI36" s="2998"/>
      <c r="AJ36" s="2998"/>
      <c r="AK36" s="2998"/>
      <c r="AL36" s="2998"/>
      <c r="AM36" s="2998"/>
      <c r="AN36" s="2998"/>
      <c r="AO36" s="2998"/>
      <c r="AP36" s="2998"/>
      <c r="AQ36" s="2998"/>
      <c r="AR36" s="2998"/>
      <c r="AS36" s="2998"/>
      <c r="AT36" s="2998"/>
      <c r="AU36" s="2998"/>
    </row>
    <row r="37" spans="1:47" ht="25.05" customHeight="1">
      <c r="A37" s="3008" t="s">
        <v>6551</v>
      </c>
      <c r="B37" s="3008" t="s">
        <v>6551</v>
      </c>
      <c r="C37" s="3001"/>
      <c r="D37" s="3001"/>
      <c r="E37" s="3001"/>
      <c r="F37" s="3001"/>
      <c r="G37" s="3001"/>
      <c r="H37" s="3001"/>
      <c r="I37" s="3020" t="s">
        <v>6571</v>
      </c>
      <c r="J37" s="3020" t="s">
        <v>6571</v>
      </c>
      <c r="K37" s="3001"/>
      <c r="L37" s="3001"/>
      <c r="M37" s="3001"/>
      <c r="N37" s="3001"/>
      <c r="O37" s="3001"/>
      <c r="P37" s="3001"/>
      <c r="Q37" s="3001"/>
      <c r="R37" s="3001"/>
      <c r="S37" s="3001"/>
      <c r="T37" s="3001"/>
      <c r="U37" s="3001"/>
      <c r="V37" s="3001"/>
      <c r="W37" s="3001"/>
      <c r="X37" s="2998"/>
      <c r="Y37" s="2999"/>
      <c r="Z37" s="2999"/>
      <c r="AA37" s="2998">
        <v>6</v>
      </c>
      <c r="AB37" s="2998">
        <v>3</v>
      </c>
      <c r="AC37" s="2998"/>
      <c r="AD37" s="2998"/>
      <c r="AE37" s="2998"/>
      <c r="AF37" s="2998"/>
      <c r="AG37" s="2998">
        <v>1</v>
      </c>
      <c r="AH37" s="2998"/>
      <c r="AI37" s="2998">
        <v>6</v>
      </c>
      <c r="AJ37" s="2998"/>
      <c r="AK37" s="2998"/>
      <c r="AL37" s="2998"/>
      <c r="AM37" s="2998">
        <v>8</v>
      </c>
      <c r="AN37" s="2998"/>
      <c r="AO37" s="2998"/>
      <c r="AP37" s="2998">
        <v>1</v>
      </c>
      <c r="AQ37" s="2998"/>
      <c r="AR37" s="2998"/>
      <c r="AS37" s="2998"/>
      <c r="AT37" s="2998"/>
      <c r="AU37" s="2998"/>
    </row>
    <row r="38" spans="1:47" ht="25.05" customHeight="1">
      <c r="A38" s="3008" t="s">
        <v>6557</v>
      </c>
      <c r="B38" s="3008" t="s">
        <v>6557</v>
      </c>
      <c r="C38" s="3001">
        <v>45</v>
      </c>
      <c r="D38" s="3001">
        <v>30</v>
      </c>
      <c r="E38" s="3001"/>
      <c r="F38" s="3001">
        <f>D38+F37</f>
        <v>30</v>
      </c>
      <c r="G38" s="3001"/>
      <c r="H38" s="3001"/>
      <c r="I38" s="3020" t="s">
        <v>501</v>
      </c>
      <c r="J38" s="3020" t="s">
        <v>501</v>
      </c>
      <c r="K38" s="3001">
        <v>1</v>
      </c>
      <c r="L38" s="3001"/>
      <c r="M38" s="3001"/>
      <c r="N38" s="3001"/>
      <c r="O38" s="3001"/>
      <c r="P38" s="3001"/>
      <c r="Q38" s="3001"/>
      <c r="R38" s="3001"/>
      <c r="S38" s="3001"/>
      <c r="T38" s="3001"/>
      <c r="U38" s="3001">
        <v>1</v>
      </c>
      <c r="V38" s="3001"/>
      <c r="W38" s="3001"/>
      <c r="X38" s="2998"/>
      <c r="Y38" s="2999"/>
      <c r="Z38" s="2999"/>
      <c r="AA38" s="2998">
        <v>3</v>
      </c>
      <c r="AB38" s="2998"/>
      <c r="AC38" s="2998"/>
      <c r="AD38" s="2998"/>
      <c r="AE38" s="2998"/>
      <c r="AF38" s="2998"/>
      <c r="AG38" s="2998"/>
      <c r="AH38" s="2998">
        <v>3</v>
      </c>
      <c r="AI38" s="2998"/>
      <c r="AJ38" s="2998"/>
      <c r="AK38" s="2998"/>
      <c r="AL38" s="2998"/>
      <c r="AM38" s="2998"/>
      <c r="AN38" s="2998"/>
      <c r="AO38" s="2998"/>
      <c r="AP38" s="2998"/>
      <c r="AQ38" s="2998"/>
      <c r="AR38" s="2998"/>
      <c r="AS38" s="2998"/>
      <c r="AT38" s="2998"/>
      <c r="AU38" s="2998"/>
    </row>
    <row r="39" spans="1:47" ht="25.05" customHeight="1">
      <c r="A39" s="3008"/>
      <c r="B39" s="3008" t="s">
        <v>6562</v>
      </c>
      <c r="C39" s="3001"/>
      <c r="D39" s="3001">
        <v>30</v>
      </c>
      <c r="E39" s="3001"/>
      <c r="F39" s="3001">
        <f t="shared" ref="F39:F43" si="12">D39+F38</f>
        <v>60</v>
      </c>
      <c r="G39" s="3001"/>
      <c r="H39" s="3001"/>
      <c r="I39" s="3020"/>
      <c r="J39" s="3020" t="s">
        <v>546</v>
      </c>
      <c r="K39" s="3001"/>
      <c r="L39" s="3001">
        <v>2</v>
      </c>
      <c r="M39" s="3001"/>
      <c r="N39" s="3001"/>
      <c r="O39" s="3001">
        <v>1</v>
      </c>
      <c r="P39" s="3001"/>
      <c r="Q39" s="3001"/>
      <c r="R39" s="3001"/>
      <c r="S39" s="3001"/>
      <c r="T39" s="3001"/>
      <c r="U39" s="3001"/>
      <c r="V39" s="3001"/>
      <c r="W39" s="3001"/>
      <c r="X39" s="2998"/>
      <c r="Y39" s="2999"/>
      <c r="Z39" s="2999">
        <v>1</v>
      </c>
      <c r="AA39" s="2998">
        <v>6</v>
      </c>
      <c r="AB39" s="2998">
        <v>6</v>
      </c>
      <c r="AC39" s="2998"/>
      <c r="AD39" s="2998"/>
      <c r="AE39" s="2998"/>
      <c r="AF39" s="2998">
        <v>2</v>
      </c>
      <c r="AG39" s="2998"/>
      <c r="AH39" s="2998">
        <v>6</v>
      </c>
      <c r="AI39" s="2998"/>
      <c r="AJ39" s="2998"/>
      <c r="AK39" s="2998"/>
      <c r="AL39" s="2998"/>
      <c r="AM39" s="2998"/>
      <c r="AN39" s="2998"/>
      <c r="AO39" s="2998"/>
      <c r="AP39" s="2998"/>
      <c r="AQ39" s="2998"/>
      <c r="AR39" s="2998"/>
      <c r="AS39" s="2998"/>
      <c r="AT39" s="2998"/>
      <c r="AU39" s="2998"/>
    </row>
    <row r="40" spans="1:47" ht="25.05" customHeight="1">
      <c r="A40" s="3008" t="s">
        <v>6558</v>
      </c>
      <c r="B40" s="3008" t="s">
        <v>6558</v>
      </c>
      <c r="C40" s="3001">
        <v>45</v>
      </c>
      <c r="D40" s="3001">
        <v>30</v>
      </c>
      <c r="E40" s="3001"/>
      <c r="F40" s="3001">
        <f t="shared" si="12"/>
        <v>90</v>
      </c>
      <c r="G40" s="3001"/>
      <c r="H40" s="3001"/>
      <c r="I40" s="3020" t="s">
        <v>501</v>
      </c>
      <c r="J40" s="3020" t="s">
        <v>501</v>
      </c>
      <c r="K40" s="3001">
        <v>1</v>
      </c>
      <c r="L40" s="3001"/>
      <c r="M40" s="3001"/>
      <c r="N40" s="3001"/>
      <c r="O40" s="3001"/>
      <c r="P40" s="3001"/>
      <c r="Q40" s="3001"/>
      <c r="R40" s="3001"/>
      <c r="S40" s="3001"/>
      <c r="T40" s="3001"/>
      <c r="U40" s="3001">
        <v>1</v>
      </c>
      <c r="V40" s="3001"/>
      <c r="W40" s="3001"/>
      <c r="X40" s="2998"/>
      <c r="Y40" s="2999"/>
      <c r="Z40" s="2999"/>
      <c r="AA40" s="2998">
        <v>3</v>
      </c>
      <c r="AB40" s="2998"/>
      <c r="AC40" s="2998"/>
      <c r="AD40" s="2998"/>
      <c r="AE40" s="2998"/>
      <c r="AF40" s="2998"/>
      <c r="AG40" s="2998"/>
      <c r="AH40" s="2998">
        <v>3</v>
      </c>
      <c r="AI40" s="2998"/>
      <c r="AJ40" s="2998"/>
      <c r="AK40" s="2998"/>
      <c r="AL40" s="2998"/>
      <c r="AM40" s="2998"/>
      <c r="AN40" s="2998"/>
      <c r="AO40" s="2998"/>
      <c r="AP40" s="2998"/>
      <c r="AQ40" s="2998"/>
      <c r="AR40" s="2998"/>
      <c r="AS40" s="2998"/>
      <c r="AT40" s="2998"/>
      <c r="AU40" s="2998"/>
    </row>
    <row r="41" spans="1:47" ht="25.05" customHeight="1">
      <c r="A41" s="3008" t="s">
        <v>6559</v>
      </c>
      <c r="B41" s="3008" t="s">
        <v>6559</v>
      </c>
      <c r="C41" s="3001">
        <v>45</v>
      </c>
      <c r="D41" s="3001">
        <v>45</v>
      </c>
      <c r="E41" s="3001"/>
      <c r="F41" s="3001">
        <f t="shared" si="12"/>
        <v>135</v>
      </c>
      <c r="G41" s="3001"/>
      <c r="H41" s="3001"/>
      <c r="I41" s="3020" t="s">
        <v>501</v>
      </c>
      <c r="J41" s="3020" t="s">
        <v>501</v>
      </c>
      <c r="K41" s="3001">
        <v>1</v>
      </c>
      <c r="L41" s="3001"/>
      <c r="M41" s="3001"/>
      <c r="N41" s="3001"/>
      <c r="O41" s="3001"/>
      <c r="P41" s="3001"/>
      <c r="Q41" s="3001"/>
      <c r="R41" s="3001"/>
      <c r="S41" s="3001"/>
      <c r="T41" s="3001"/>
      <c r="U41" s="3001">
        <v>1</v>
      </c>
      <c r="V41" s="3001"/>
      <c r="W41" s="3001"/>
      <c r="X41" s="3001"/>
      <c r="Y41" s="2999"/>
      <c r="Z41" s="2999"/>
      <c r="AA41" s="2998">
        <v>3</v>
      </c>
      <c r="AB41" s="2998"/>
      <c r="AC41" s="2998"/>
      <c r="AD41" s="2998"/>
      <c r="AE41" s="2998"/>
      <c r="AF41" s="2998"/>
      <c r="AG41" s="2998"/>
      <c r="AH41" s="2998">
        <v>3</v>
      </c>
      <c r="AI41" s="2998"/>
      <c r="AJ41" s="2998"/>
      <c r="AK41" s="2998"/>
      <c r="AL41" s="2998"/>
      <c r="AM41" s="2998"/>
      <c r="AN41" s="2998"/>
      <c r="AO41" s="2998"/>
      <c r="AP41" s="2998"/>
      <c r="AQ41" s="2998"/>
      <c r="AR41" s="2998"/>
      <c r="AS41" s="2998"/>
      <c r="AT41" s="2998"/>
      <c r="AU41" s="2998"/>
    </row>
    <row r="42" spans="1:47" ht="25.05" customHeight="1">
      <c r="A42" s="3008" t="s">
        <v>6560</v>
      </c>
      <c r="B42" s="3008" t="s">
        <v>6560</v>
      </c>
      <c r="C42" s="3001">
        <v>45</v>
      </c>
      <c r="D42" s="3001">
        <v>45</v>
      </c>
      <c r="E42" s="3001"/>
      <c r="F42" s="3001">
        <f t="shared" si="12"/>
        <v>180</v>
      </c>
      <c r="G42" s="3001"/>
      <c r="H42" s="3001"/>
      <c r="I42" s="3020" t="s">
        <v>501</v>
      </c>
      <c r="J42" s="3020" t="s">
        <v>501</v>
      </c>
      <c r="K42" s="3001">
        <v>1</v>
      </c>
      <c r="L42" s="3001"/>
      <c r="M42" s="3001"/>
      <c r="N42" s="3001"/>
      <c r="O42" s="3001"/>
      <c r="P42" s="3001"/>
      <c r="Q42" s="3001"/>
      <c r="R42" s="3001"/>
      <c r="S42" s="3001"/>
      <c r="T42" s="3001"/>
      <c r="U42" s="3001">
        <v>1</v>
      </c>
      <c r="V42" s="3001"/>
      <c r="W42" s="3001"/>
      <c r="X42" s="3001"/>
      <c r="Y42" s="2999"/>
      <c r="Z42" s="2999"/>
      <c r="AA42" s="2998">
        <v>3</v>
      </c>
      <c r="AB42" s="2998"/>
      <c r="AC42" s="2998"/>
      <c r="AD42" s="2998"/>
      <c r="AE42" s="2998"/>
      <c r="AF42" s="2998"/>
      <c r="AG42" s="2998"/>
      <c r="AH42" s="2998">
        <v>3</v>
      </c>
      <c r="AI42" s="2998"/>
      <c r="AJ42" s="2998"/>
      <c r="AK42" s="2998"/>
      <c r="AL42" s="2998">
        <v>2</v>
      </c>
      <c r="AM42" s="2998"/>
      <c r="AN42" s="2998"/>
      <c r="AO42" s="2998"/>
      <c r="AP42" s="2998"/>
      <c r="AQ42" s="2998"/>
      <c r="AR42" s="2998"/>
      <c r="AS42" s="2998"/>
      <c r="AT42" s="2998"/>
      <c r="AU42" s="2998"/>
    </row>
    <row r="43" spans="1:47" ht="25.05" customHeight="1">
      <c r="A43" s="3008" t="s">
        <v>6561</v>
      </c>
      <c r="B43" s="3008" t="s">
        <v>6561</v>
      </c>
      <c r="C43" s="3001">
        <v>45</v>
      </c>
      <c r="D43" s="3001">
        <v>45</v>
      </c>
      <c r="E43" s="3001"/>
      <c r="F43" s="3001">
        <f t="shared" si="12"/>
        <v>225</v>
      </c>
      <c r="G43" s="3001"/>
      <c r="H43" s="3001"/>
      <c r="I43" s="3020" t="s">
        <v>4318</v>
      </c>
      <c r="J43" s="3020" t="s">
        <v>658</v>
      </c>
      <c r="K43" s="3001">
        <v>1</v>
      </c>
      <c r="L43" s="3001"/>
      <c r="M43" s="3001"/>
      <c r="N43" s="3001"/>
      <c r="O43" s="3001"/>
      <c r="P43" s="3001"/>
      <c r="Q43" s="3001"/>
      <c r="R43" s="3001"/>
      <c r="S43" s="3001"/>
      <c r="T43" s="3001"/>
      <c r="U43" s="3001">
        <v>1</v>
      </c>
      <c r="V43" s="3001"/>
      <c r="W43" s="3001"/>
      <c r="X43" s="2998"/>
      <c r="Y43" s="2999"/>
      <c r="Z43" s="2999"/>
      <c r="AA43" s="2998">
        <v>3</v>
      </c>
      <c r="AB43" s="2998"/>
      <c r="AC43" s="2998"/>
      <c r="AD43" s="2998"/>
      <c r="AE43" s="2998"/>
      <c r="AF43" s="2998">
        <v>1</v>
      </c>
      <c r="AG43" s="2998"/>
      <c r="AH43" s="2998">
        <v>3</v>
      </c>
      <c r="AI43" s="2998"/>
      <c r="AJ43" s="2998">
        <v>1</v>
      </c>
      <c r="AK43" s="2998">
        <v>1</v>
      </c>
      <c r="AL43" s="2998"/>
      <c r="AM43" s="2998"/>
      <c r="AN43" s="2998"/>
      <c r="AO43" s="2998"/>
      <c r="AP43" s="2998"/>
      <c r="AQ43" s="2998"/>
      <c r="AR43" s="2998"/>
      <c r="AS43" s="2998"/>
      <c r="AT43" s="2998"/>
      <c r="AU43" s="2998"/>
    </row>
    <row r="44" spans="1:47" ht="25.05" customHeight="1">
      <c r="A44" s="3009" t="s">
        <v>6563</v>
      </c>
      <c r="B44" s="3004"/>
      <c r="C44" s="2995">
        <f>SUM(C37:C43)</f>
        <v>225</v>
      </c>
      <c r="D44" s="2995">
        <f>SUM(D37:D43)</f>
        <v>225</v>
      </c>
      <c r="E44" s="2995"/>
      <c r="F44" s="2995">
        <f>D44</f>
        <v>225</v>
      </c>
      <c r="G44" s="2995"/>
      <c r="H44" s="2995"/>
      <c r="I44" s="3022"/>
      <c r="J44" s="3022"/>
      <c r="K44" s="2995">
        <f>SUM(K37:K43)</f>
        <v>5</v>
      </c>
      <c r="L44" s="2995">
        <f t="shared" ref="L44:AS44" si="13">SUM(L37:L43)</f>
        <v>2</v>
      </c>
      <c r="M44" s="2995">
        <f t="shared" si="13"/>
        <v>0</v>
      </c>
      <c r="N44" s="2995">
        <f t="shared" si="13"/>
        <v>0</v>
      </c>
      <c r="O44" s="2995">
        <f t="shared" si="13"/>
        <v>1</v>
      </c>
      <c r="P44" s="2995">
        <f t="shared" si="13"/>
        <v>0</v>
      </c>
      <c r="Q44" s="2995">
        <f t="shared" si="13"/>
        <v>0</v>
      </c>
      <c r="R44" s="2995">
        <f t="shared" si="13"/>
        <v>0</v>
      </c>
      <c r="S44" s="2995">
        <f t="shared" si="13"/>
        <v>0</v>
      </c>
      <c r="T44" s="2995">
        <f t="shared" si="13"/>
        <v>0</v>
      </c>
      <c r="U44" s="2995">
        <f t="shared" si="13"/>
        <v>5</v>
      </c>
      <c r="V44" s="2995">
        <f t="shared" si="13"/>
        <v>0</v>
      </c>
      <c r="W44" s="2995">
        <f t="shared" si="13"/>
        <v>0</v>
      </c>
      <c r="X44" s="2995">
        <f t="shared" si="13"/>
        <v>0</v>
      </c>
      <c r="Y44" s="2995">
        <f t="shared" si="13"/>
        <v>0</v>
      </c>
      <c r="Z44" s="2995">
        <f t="shared" si="13"/>
        <v>1</v>
      </c>
      <c r="AA44" s="2995">
        <f t="shared" si="13"/>
        <v>27</v>
      </c>
      <c r="AB44" s="2995">
        <f t="shared" si="13"/>
        <v>9</v>
      </c>
      <c r="AC44" s="2995">
        <f t="shared" si="13"/>
        <v>0</v>
      </c>
      <c r="AD44" s="2995">
        <f t="shared" si="13"/>
        <v>0</v>
      </c>
      <c r="AE44" s="2995">
        <f t="shared" si="13"/>
        <v>0</v>
      </c>
      <c r="AF44" s="2995">
        <f t="shared" si="13"/>
        <v>3</v>
      </c>
      <c r="AG44" s="2995">
        <f t="shared" si="13"/>
        <v>1</v>
      </c>
      <c r="AH44" s="2995">
        <f t="shared" si="13"/>
        <v>21</v>
      </c>
      <c r="AI44" s="2995">
        <f t="shared" si="13"/>
        <v>6</v>
      </c>
      <c r="AJ44" s="2995">
        <f t="shared" si="13"/>
        <v>1</v>
      </c>
      <c r="AK44" s="2995">
        <f t="shared" si="13"/>
        <v>1</v>
      </c>
      <c r="AL44" s="2995">
        <f t="shared" si="13"/>
        <v>2</v>
      </c>
      <c r="AM44" s="2995">
        <f t="shared" si="13"/>
        <v>8</v>
      </c>
      <c r="AN44" s="2995">
        <f t="shared" si="13"/>
        <v>0</v>
      </c>
      <c r="AO44" s="2995">
        <f t="shared" si="13"/>
        <v>0</v>
      </c>
      <c r="AP44" s="2995">
        <f t="shared" si="13"/>
        <v>1</v>
      </c>
      <c r="AQ44" s="2995">
        <f t="shared" si="13"/>
        <v>0</v>
      </c>
      <c r="AR44" s="2995">
        <f t="shared" si="13"/>
        <v>0</v>
      </c>
      <c r="AS44" s="2995">
        <f t="shared" si="13"/>
        <v>0</v>
      </c>
      <c r="AT44" s="2995"/>
      <c r="AU44" s="2995"/>
    </row>
    <row r="45" spans="1:47" ht="25.05" customHeight="1">
      <c r="A45" s="3010" t="s">
        <v>6599</v>
      </c>
      <c r="B45" s="2999"/>
      <c r="C45" s="3001"/>
      <c r="D45" s="3001"/>
      <c r="E45" s="3001"/>
      <c r="F45" s="3001"/>
      <c r="G45" s="3001"/>
      <c r="H45" s="3001"/>
      <c r="I45" s="3020"/>
      <c r="J45" s="3020"/>
      <c r="K45" s="3001"/>
      <c r="L45" s="3001"/>
      <c r="M45" s="3001"/>
      <c r="N45" s="3001"/>
      <c r="O45" s="3001"/>
      <c r="P45" s="3001"/>
      <c r="Q45" s="3001"/>
      <c r="R45" s="3001"/>
      <c r="S45" s="3001"/>
      <c r="T45" s="3001"/>
      <c r="U45" s="3001"/>
      <c r="V45" s="3001"/>
      <c r="W45" s="3001"/>
      <c r="X45" s="2998"/>
      <c r="Y45" s="2999"/>
      <c r="Z45" s="2999"/>
      <c r="AA45" s="2998"/>
      <c r="AB45" s="2998"/>
      <c r="AC45" s="2998"/>
      <c r="AD45" s="2998"/>
      <c r="AE45" s="2998"/>
      <c r="AF45" s="2998"/>
      <c r="AG45" s="2998"/>
      <c r="AH45" s="2998"/>
      <c r="AI45" s="2998"/>
      <c r="AJ45" s="2998"/>
      <c r="AK45" s="2998"/>
      <c r="AL45" s="2998"/>
      <c r="AM45" s="2998"/>
      <c r="AN45" s="2998"/>
      <c r="AO45" s="2998"/>
      <c r="AP45" s="2998"/>
      <c r="AQ45" s="2998"/>
      <c r="AR45" s="2998"/>
      <c r="AS45" s="2998"/>
      <c r="AT45" s="2998"/>
      <c r="AU45" s="2998"/>
    </row>
    <row r="46" spans="1:47" ht="25.05" customHeight="1">
      <c r="A46" s="3008" t="s">
        <v>6561</v>
      </c>
      <c r="B46" s="3008" t="s">
        <v>6561</v>
      </c>
      <c r="C46" s="3001"/>
      <c r="D46" s="3005"/>
      <c r="E46" s="3005"/>
      <c r="F46" s="3005"/>
      <c r="G46" s="3005"/>
      <c r="H46" s="3005"/>
      <c r="I46" s="3021"/>
      <c r="J46" s="3021" t="s">
        <v>658</v>
      </c>
      <c r="K46" s="3005"/>
      <c r="L46" s="3005"/>
      <c r="M46" s="3005"/>
      <c r="N46" s="3005"/>
      <c r="O46" s="3005"/>
      <c r="P46" s="3005"/>
      <c r="Q46" s="3005"/>
      <c r="R46" s="3005"/>
      <c r="S46" s="3005">
        <v>1</v>
      </c>
      <c r="T46" s="3005"/>
      <c r="U46" s="3005"/>
      <c r="V46" s="3005"/>
      <c r="W46" s="3005"/>
      <c r="X46" s="3005"/>
      <c r="Y46" s="3005"/>
      <c r="Z46" s="3005"/>
      <c r="AA46" s="3005"/>
      <c r="AB46" s="3005"/>
      <c r="AC46" s="3005"/>
      <c r="AD46" s="3005"/>
      <c r="AE46" s="3005"/>
      <c r="AF46" s="3005"/>
      <c r="AG46" s="3005"/>
      <c r="AH46" s="3005"/>
      <c r="AI46" s="3005"/>
      <c r="AJ46" s="3005"/>
      <c r="AK46" s="3005"/>
      <c r="AL46" s="3005"/>
      <c r="AM46" s="3005"/>
      <c r="AN46" s="3005"/>
      <c r="AO46" s="3005"/>
      <c r="AP46" s="3005"/>
      <c r="AQ46" s="3005"/>
      <c r="AR46" s="3005"/>
      <c r="AS46" s="3005"/>
      <c r="AT46" s="3005"/>
      <c r="AU46" s="3005"/>
    </row>
    <row r="47" spans="1:47" ht="25.05" customHeight="1">
      <c r="A47" s="3007"/>
      <c r="B47" s="3008" t="s">
        <v>6538</v>
      </c>
      <c r="C47" s="3001"/>
      <c r="D47" s="3001">
        <v>34</v>
      </c>
      <c r="E47" s="3001"/>
      <c r="F47" s="3001">
        <f>F46+D47</f>
        <v>34</v>
      </c>
      <c r="G47" s="3001"/>
      <c r="H47" s="3001"/>
      <c r="I47" s="3020"/>
      <c r="J47" s="3020" t="s">
        <v>6571</v>
      </c>
      <c r="K47" s="3001"/>
      <c r="L47" s="3001">
        <v>2</v>
      </c>
      <c r="M47" s="3001"/>
      <c r="N47" s="3001"/>
      <c r="O47" s="3001">
        <v>1</v>
      </c>
      <c r="P47" s="3001"/>
      <c r="Q47" s="3001"/>
      <c r="R47" s="3001"/>
      <c r="S47" s="3001"/>
      <c r="T47" s="3001"/>
      <c r="U47" s="3001"/>
      <c r="V47" s="3001"/>
      <c r="W47" s="3001"/>
      <c r="X47" s="3001"/>
      <c r="Y47" s="2999">
        <v>1</v>
      </c>
      <c r="Z47" s="2999">
        <v>1</v>
      </c>
      <c r="AA47" s="2999">
        <v>6</v>
      </c>
      <c r="AB47" s="2999">
        <v>6</v>
      </c>
      <c r="AC47" s="2999"/>
      <c r="AD47" s="3001"/>
      <c r="AE47" s="3001"/>
      <c r="AF47" s="3001">
        <v>2</v>
      </c>
      <c r="AG47" s="3001"/>
      <c r="AH47" s="3001"/>
      <c r="AI47" s="3001">
        <v>6</v>
      </c>
      <c r="AJ47" s="3001"/>
      <c r="AK47" s="3001"/>
      <c r="AL47" s="3001">
        <v>2</v>
      </c>
      <c r="AM47" s="3001">
        <v>6</v>
      </c>
      <c r="AN47" s="3001"/>
      <c r="AO47" s="3001"/>
      <c r="AP47" s="3001">
        <v>1</v>
      </c>
      <c r="AQ47" s="3001"/>
      <c r="AR47" s="3001"/>
      <c r="AS47" s="3001"/>
      <c r="AT47" s="3001"/>
      <c r="AU47" s="3001"/>
    </row>
    <row r="48" spans="1:47" ht="25.05" customHeight="1">
      <c r="A48" s="3011"/>
      <c r="B48" s="3008" t="s">
        <v>6539</v>
      </c>
      <c r="C48" s="3001"/>
      <c r="D48" s="3001">
        <v>30</v>
      </c>
      <c r="E48" s="3001"/>
      <c r="F48" s="3001">
        <f t="shared" ref="F48:F55" si="14">F47+D48</f>
        <v>64</v>
      </c>
      <c r="G48" s="3001"/>
      <c r="H48" s="3001"/>
      <c r="I48" s="3020"/>
      <c r="J48" s="3020" t="s">
        <v>658</v>
      </c>
      <c r="K48" s="3001"/>
      <c r="L48" s="3001">
        <v>1</v>
      </c>
      <c r="M48" s="3001"/>
      <c r="N48" s="3001">
        <v>1</v>
      </c>
      <c r="O48" s="3001"/>
      <c r="P48" s="3001"/>
      <c r="Q48" s="3001"/>
      <c r="R48" s="3001"/>
      <c r="S48" s="3001"/>
      <c r="T48" s="3001"/>
      <c r="U48" s="3001">
        <v>1</v>
      </c>
      <c r="V48" s="3001"/>
      <c r="W48" s="3001"/>
      <c r="X48" s="3001"/>
      <c r="Y48" s="2999"/>
      <c r="Z48" s="2999"/>
      <c r="AA48" s="2999">
        <v>3</v>
      </c>
      <c r="AB48" s="2999"/>
      <c r="AC48" s="2999"/>
      <c r="AD48" s="3001">
        <v>1</v>
      </c>
      <c r="AE48" s="3001"/>
      <c r="AF48" s="3001"/>
      <c r="AG48" s="3001"/>
      <c r="AH48" s="3001">
        <v>3</v>
      </c>
      <c r="AI48" s="3001"/>
      <c r="AJ48" s="3001"/>
      <c r="AK48" s="3001"/>
      <c r="AL48" s="3001"/>
      <c r="AM48" s="3001"/>
      <c r="AN48" s="3001"/>
      <c r="AO48" s="3001"/>
      <c r="AP48" s="3001"/>
      <c r="AQ48" s="3001"/>
      <c r="AR48" s="3001"/>
      <c r="AS48" s="3001"/>
      <c r="AT48" s="3001"/>
      <c r="AU48" s="3001"/>
    </row>
    <row r="49" spans="1:47" ht="25.05" customHeight="1">
      <c r="A49" s="3011"/>
      <c r="B49" s="3008" t="s">
        <v>6540</v>
      </c>
      <c r="C49" s="3001"/>
      <c r="D49" s="3001">
        <v>30</v>
      </c>
      <c r="E49" s="3001"/>
      <c r="F49" s="3001">
        <f t="shared" si="14"/>
        <v>94</v>
      </c>
      <c r="G49" s="3001"/>
      <c r="H49" s="3001"/>
      <c r="I49" s="3020"/>
      <c r="J49" s="3020" t="s">
        <v>658</v>
      </c>
      <c r="K49" s="3001"/>
      <c r="L49" s="3001">
        <v>1</v>
      </c>
      <c r="M49" s="3001"/>
      <c r="N49" s="3001">
        <v>1</v>
      </c>
      <c r="O49" s="3001">
        <v>1</v>
      </c>
      <c r="P49" s="3001"/>
      <c r="Q49" s="3001"/>
      <c r="R49" s="3001"/>
      <c r="S49" s="3001"/>
      <c r="T49" s="3001"/>
      <c r="U49" s="3001">
        <v>1</v>
      </c>
      <c r="V49" s="3001"/>
      <c r="W49" s="3001"/>
      <c r="X49" s="3001"/>
      <c r="Y49" s="2999"/>
      <c r="Z49" s="2999"/>
      <c r="AA49" s="3001">
        <v>3</v>
      </c>
      <c r="AB49" s="2999"/>
      <c r="AC49" s="2999"/>
      <c r="AD49" s="3005">
        <v>1</v>
      </c>
      <c r="AE49" s="3005"/>
      <c r="AF49" s="3005"/>
      <c r="AG49" s="3005"/>
      <c r="AH49" s="3005"/>
      <c r="AI49" s="3005"/>
      <c r="AJ49" s="3005"/>
      <c r="AK49" s="3005"/>
      <c r="AL49" s="3005"/>
      <c r="AM49" s="3005"/>
      <c r="AN49" s="3005"/>
      <c r="AO49" s="3005">
        <v>3</v>
      </c>
      <c r="AP49" s="3005"/>
      <c r="AQ49" s="3005"/>
      <c r="AR49" s="3005"/>
      <c r="AS49" s="3005"/>
      <c r="AT49" s="3005"/>
      <c r="AU49" s="3005"/>
    </row>
    <row r="50" spans="1:47" ht="25.05" customHeight="1">
      <c r="A50" s="3011"/>
      <c r="B50" s="3008" t="s">
        <v>6541</v>
      </c>
      <c r="C50" s="3001"/>
      <c r="D50" s="3001">
        <v>30</v>
      </c>
      <c r="E50" s="3001"/>
      <c r="F50" s="3001">
        <f t="shared" si="14"/>
        <v>124</v>
      </c>
      <c r="G50" s="3001"/>
      <c r="H50" s="3001"/>
      <c r="I50" s="3020"/>
      <c r="J50" s="3020" t="s">
        <v>4318</v>
      </c>
      <c r="K50" s="3001"/>
      <c r="L50" s="3001">
        <v>2</v>
      </c>
      <c r="M50" s="3001"/>
      <c r="N50" s="3001"/>
      <c r="O50" s="3001"/>
      <c r="P50" s="3001"/>
      <c r="Q50" s="3001"/>
      <c r="R50" s="3001"/>
      <c r="S50" s="3001"/>
      <c r="T50" s="3001"/>
      <c r="U50" s="3001"/>
      <c r="V50" s="3001">
        <v>1</v>
      </c>
      <c r="W50" s="3001"/>
      <c r="X50" s="2998"/>
      <c r="Y50" s="2999"/>
      <c r="Z50" s="2999"/>
      <c r="AA50" s="2998">
        <v>6</v>
      </c>
      <c r="AB50" s="2998"/>
      <c r="AC50" s="2998"/>
      <c r="AD50" s="2998"/>
      <c r="AE50" s="2998">
        <v>1</v>
      </c>
      <c r="AF50" s="2998"/>
      <c r="AG50" s="2998"/>
      <c r="AH50" s="2998"/>
      <c r="AI50" s="2998">
        <v>6</v>
      </c>
      <c r="AJ50" s="2998"/>
      <c r="AK50" s="2998"/>
      <c r="AL50" s="2998"/>
      <c r="AM50" s="2998"/>
      <c r="AN50" s="2998"/>
      <c r="AO50" s="2998"/>
      <c r="AP50" s="2998"/>
      <c r="AQ50" s="2998"/>
      <c r="AR50" s="2998"/>
      <c r="AS50" s="2998"/>
      <c r="AT50" s="2998"/>
      <c r="AU50" s="2998"/>
    </row>
    <row r="51" spans="1:47" ht="25.05" customHeight="1">
      <c r="A51" s="3011"/>
      <c r="B51" s="3008" t="s">
        <v>6542</v>
      </c>
      <c r="C51" s="3001"/>
      <c r="D51" s="3001">
        <v>30</v>
      </c>
      <c r="E51" s="3001"/>
      <c r="F51" s="3001">
        <f t="shared" si="14"/>
        <v>154</v>
      </c>
      <c r="G51" s="3001"/>
      <c r="H51" s="3001"/>
      <c r="I51" s="3020"/>
      <c r="J51" s="3020" t="s">
        <v>501</v>
      </c>
      <c r="K51" s="3001"/>
      <c r="L51" s="3001">
        <v>1</v>
      </c>
      <c r="M51" s="3001"/>
      <c r="N51" s="3001">
        <v>1</v>
      </c>
      <c r="O51" s="3001">
        <v>1</v>
      </c>
      <c r="P51" s="3001"/>
      <c r="Q51" s="3001"/>
      <c r="R51" s="3001"/>
      <c r="S51" s="3001">
        <v>1</v>
      </c>
      <c r="T51" s="3001"/>
      <c r="U51" s="3001">
        <v>1</v>
      </c>
      <c r="V51" s="3001"/>
      <c r="W51" s="3001"/>
      <c r="X51" s="2998"/>
      <c r="Y51" s="2999"/>
      <c r="Z51" s="2999"/>
      <c r="AA51" s="2998">
        <v>3</v>
      </c>
      <c r="AB51" s="2998"/>
      <c r="AC51" s="2998"/>
      <c r="AD51" s="2998">
        <v>1</v>
      </c>
      <c r="AE51" s="2998"/>
      <c r="AF51" s="2998"/>
      <c r="AG51" s="2998"/>
      <c r="AH51" s="2998">
        <v>3</v>
      </c>
      <c r="AI51" s="2998"/>
      <c r="AJ51" s="2998"/>
      <c r="AK51" s="2998"/>
      <c r="AL51" s="2998"/>
      <c r="AM51" s="2998"/>
      <c r="AN51" s="2998"/>
      <c r="AO51" s="2998"/>
      <c r="AP51" s="2998"/>
      <c r="AQ51" s="2998"/>
      <c r="AR51" s="2998"/>
      <c r="AS51" s="2998"/>
      <c r="AT51" s="2998"/>
      <c r="AU51" s="2998"/>
    </row>
    <row r="52" spans="1:47" ht="25.05" customHeight="1">
      <c r="A52" s="3011"/>
      <c r="B52" s="3008" t="s">
        <v>6543</v>
      </c>
      <c r="C52" s="3001"/>
      <c r="D52" s="3001">
        <v>40</v>
      </c>
      <c r="E52" s="3001"/>
      <c r="F52" s="3001">
        <f t="shared" si="14"/>
        <v>194</v>
      </c>
      <c r="G52" s="3001"/>
      <c r="H52" s="3001"/>
      <c r="I52" s="3020"/>
      <c r="J52" s="3020" t="s">
        <v>546</v>
      </c>
      <c r="K52" s="3001"/>
      <c r="L52" s="3001">
        <v>2</v>
      </c>
      <c r="M52" s="3001"/>
      <c r="N52" s="3001"/>
      <c r="O52" s="3001"/>
      <c r="P52" s="3001"/>
      <c r="Q52" s="3001"/>
      <c r="R52" s="3001"/>
      <c r="S52" s="3001"/>
      <c r="T52" s="3001"/>
      <c r="U52" s="3001"/>
      <c r="V52" s="3001"/>
      <c r="W52" s="3001"/>
      <c r="X52" s="2998"/>
      <c r="Y52" s="2999"/>
      <c r="Z52" s="2999">
        <v>1</v>
      </c>
      <c r="AA52" s="2998">
        <v>6</v>
      </c>
      <c r="AB52" s="2998">
        <v>6</v>
      </c>
      <c r="AC52" s="2998"/>
      <c r="AD52" s="2998"/>
      <c r="AE52" s="2998"/>
      <c r="AF52" s="2998">
        <v>2</v>
      </c>
      <c r="AG52" s="2998"/>
      <c r="AH52" s="2998">
        <v>6</v>
      </c>
      <c r="AI52" s="2998"/>
      <c r="AJ52" s="2998"/>
      <c r="AK52" s="2998"/>
      <c r="AL52" s="2998"/>
      <c r="AM52" s="2998"/>
      <c r="AN52" s="2998"/>
      <c r="AO52" s="2998"/>
      <c r="AP52" s="2998"/>
      <c r="AQ52" s="2998"/>
      <c r="AR52" s="2998"/>
      <c r="AS52" s="2998"/>
      <c r="AT52" s="2998"/>
      <c r="AU52" s="2998"/>
    </row>
    <row r="53" spans="1:47" ht="25.05" customHeight="1">
      <c r="A53" s="3011"/>
      <c r="B53" s="3008" t="s">
        <v>6544</v>
      </c>
      <c r="C53" s="3001"/>
      <c r="D53" s="3001">
        <v>40</v>
      </c>
      <c r="E53" s="3001"/>
      <c r="F53" s="3001">
        <f t="shared" si="14"/>
        <v>234</v>
      </c>
      <c r="G53" s="3001"/>
      <c r="H53" s="3001"/>
      <c r="I53" s="3020"/>
      <c r="J53" s="3020" t="s">
        <v>501</v>
      </c>
      <c r="K53" s="3001"/>
      <c r="L53" s="3001">
        <v>1</v>
      </c>
      <c r="M53" s="3001"/>
      <c r="N53" s="3001">
        <v>1</v>
      </c>
      <c r="O53" s="3001"/>
      <c r="P53" s="3001"/>
      <c r="Q53" s="3001"/>
      <c r="R53" s="3001"/>
      <c r="S53" s="3001"/>
      <c r="T53" s="3001"/>
      <c r="U53" s="3001">
        <v>1</v>
      </c>
      <c r="V53" s="3001"/>
      <c r="W53" s="3001"/>
      <c r="X53" s="2998"/>
      <c r="Y53" s="2999"/>
      <c r="Z53" s="2999"/>
      <c r="AA53" s="2998">
        <v>3</v>
      </c>
      <c r="AB53" s="2998"/>
      <c r="AC53" s="2998"/>
      <c r="AD53" s="2998">
        <v>1</v>
      </c>
      <c r="AE53" s="2998"/>
      <c r="AF53" s="2998"/>
      <c r="AG53" s="2998"/>
      <c r="AH53" s="2998">
        <v>3</v>
      </c>
      <c r="AI53" s="2998"/>
      <c r="AJ53" s="2998"/>
      <c r="AK53" s="2998"/>
      <c r="AL53" s="2998"/>
      <c r="AM53" s="2998"/>
      <c r="AN53" s="2998"/>
      <c r="AO53" s="2998"/>
      <c r="AP53" s="2998"/>
      <c r="AQ53" s="2998"/>
      <c r="AR53" s="2998"/>
      <c r="AS53" s="2998"/>
      <c r="AT53" s="2998"/>
      <c r="AU53" s="2998"/>
    </row>
    <row r="54" spans="1:47" ht="25.05" customHeight="1">
      <c r="A54" s="3011"/>
      <c r="B54" s="3008" t="s">
        <v>6545</v>
      </c>
      <c r="C54" s="3001"/>
      <c r="D54" s="3001">
        <v>45</v>
      </c>
      <c r="E54" s="3001"/>
      <c r="F54" s="3001">
        <f t="shared" si="14"/>
        <v>279</v>
      </c>
      <c r="G54" s="3001"/>
      <c r="H54" s="3001"/>
      <c r="I54" s="3020"/>
      <c r="J54" s="3020" t="s">
        <v>6571</v>
      </c>
      <c r="K54" s="3001"/>
      <c r="L54" s="3001">
        <v>2</v>
      </c>
      <c r="M54" s="3001"/>
      <c r="N54" s="3001"/>
      <c r="O54" s="3001">
        <v>1</v>
      </c>
      <c r="P54" s="3001"/>
      <c r="Q54" s="3001"/>
      <c r="R54" s="3001"/>
      <c r="S54" s="3001">
        <v>1</v>
      </c>
      <c r="T54" s="3001"/>
      <c r="U54" s="3001"/>
      <c r="V54" s="3001"/>
      <c r="W54" s="3001"/>
      <c r="X54" s="2998"/>
      <c r="Y54" s="2999">
        <v>1</v>
      </c>
      <c r="Z54" s="2999">
        <v>1</v>
      </c>
      <c r="AA54" s="2998">
        <v>6</v>
      </c>
      <c r="AB54" s="2998">
        <v>6</v>
      </c>
      <c r="AC54" s="2998"/>
      <c r="AD54" s="2998"/>
      <c r="AE54" s="2998"/>
      <c r="AF54" s="2998">
        <v>1</v>
      </c>
      <c r="AG54" s="2998">
        <v>1</v>
      </c>
      <c r="AH54" s="2998"/>
      <c r="AI54" s="2998">
        <v>6</v>
      </c>
      <c r="AJ54" s="2998"/>
      <c r="AK54" s="2998"/>
      <c r="AL54" s="2998"/>
      <c r="AM54" s="2998"/>
      <c r="AN54" s="2998"/>
      <c r="AO54" s="2998"/>
      <c r="AP54" s="2998"/>
      <c r="AQ54" s="2998"/>
      <c r="AR54" s="2998"/>
      <c r="AS54" s="2998"/>
      <c r="AT54" s="2998"/>
      <c r="AU54" s="2998"/>
    </row>
    <row r="55" spans="1:47" ht="25.05" customHeight="1">
      <c r="A55" s="3011"/>
      <c r="B55" s="3008" t="s">
        <v>6546</v>
      </c>
      <c r="C55" s="3001"/>
      <c r="D55" s="3001">
        <v>35</v>
      </c>
      <c r="E55" s="3001"/>
      <c r="F55" s="3001">
        <f t="shared" si="14"/>
        <v>314</v>
      </c>
      <c r="G55" s="3001"/>
      <c r="H55" s="3001"/>
      <c r="I55" s="3020"/>
      <c r="J55" s="3020" t="s">
        <v>1107</v>
      </c>
      <c r="K55" s="3001"/>
      <c r="L55" s="3001">
        <v>2</v>
      </c>
      <c r="M55" s="3001"/>
      <c r="N55" s="3001"/>
      <c r="O55" s="3001">
        <v>1</v>
      </c>
      <c r="P55" s="3001"/>
      <c r="Q55" s="3001"/>
      <c r="R55" s="3001"/>
      <c r="S55" s="3001"/>
      <c r="T55" s="3001"/>
      <c r="U55" s="3001"/>
      <c r="V55" s="3001"/>
      <c r="W55" s="3001"/>
      <c r="X55" s="2998"/>
      <c r="Y55" s="2999"/>
      <c r="Z55" s="2999">
        <v>1</v>
      </c>
      <c r="AA55" s="2998"/>
      <c r="AB55" s="2998">
        <v>3</v>
      </c>
      <c r="AC55" s="2998"/>
      <c r="AD55" s="2998"/>
      <c r="AE55" s="2998"/>
      <c r="AF55" s="2998">
        <v>1</v>
      </c>
      <c r="AG55" s="2998"/>
      <c r="AH55" s="2998"/>
      <c r="AI55" s="2998"/>
      <c r="AJ55" s="2998"/>
      <c r="AK55" s="2998"/>
      <c r="AL55" s="2998"/>
      <c r="AM55" s="2998"/>
      <c r="AN55" s="2998"/>
      <c r="AO55" s="2998"/>
      <c r="AP55" s="2998"/>
      <c r="AQ55" s="2998"/>
      <c r="AR55" s="2998"/>
      <c r="AS55" s="2998"/>
      <c r="AT55" s="2998"/>
      <c r="AU55" s="2998"/>
    </row>
    <row r="56" spans="1:47" ht="25.05" customHeight="1">
      <c r="A56" s="3012" t="s">
        <v>6564</v>
      </c>
      <c r="B56" s="2992"/>
      <c r="C56" s="2995">
        <f>SUM(C49:C55)</f>
        <v>0</v>
      </c>
      <c r="D56" s="2995">
        <f>SUM(D47:D55)</f>
        <v>314</v>
      </c>
      <c r="E56" s="2995"/>
      <c r="F56" s="2995">
        <f>D56</f>
        <v>314</v>
      </c>
      <c r="G56" s="3001"/>
      <c r="H56" s="3001"/>
      <c r="I56" s="3020"/>
      <c r="J56" s="3020"/>
      <c r="K56" s="2995">
        <f>I56</f>
        <v>0</v>
      </c>
      <c r="L56" s="2995">
        <f>SUM(L46:L55)</f>
        <v>14</v>
      </c>
      <c r="M56" s="2995">
        <f t="shared" ref="M56:AT56" si="15">SUM(M46:M55)</f>
        <v>0</v>
      </c>
      <c r="N56" s="2995">
        <f t="shared" si="15"/>
        <v>4</v>
      </c>
      <c r="O56" s="2995">
        <f t="shared" si="15"/>
        <v>5</v>
      </c>
      <c r="P56" s="2995">
        <f t="shared" si="15"/>
        <v>0</v>
      </c>
      <c r="Q56" s="2995">
        <f t="shared" si="15"/>
        <v>0</v>
      </c>
      <c r="R56" s="2995">
        <f t="shared" si="15"/>
        <v>0</v>
      </c>
      <c r="S56" s="2995">
        <f t="shared" si="15"/>
        <v>3</v>
      </c>
      <c r="T56" s="2995">
        <f t="shared" si="15"/>
        <v>0</v>
      </c>
      <c r="U56" s="2995">
        <f t="shared" si="15"/>
        <v>4</v>
      </c>
      <c r="V56" s="2995">
        <f t="shared" si="15"/>
        <v>1</v>
      </c>
      <c r="W56" s="2995">
        <f t="shared" si="15"/>
        <v>0</v>
      </c>
      <c r="X56" s="2995">
        <f t="shared" si="15"/>
        <v>0</v>
      </c>
      <c r="Y56" s="2995">
        <f t="shared" si="15"/>
        <v>2</v>
      </c>
      <c r="Z56" s="2995">
        <f t="shared" si="15"/>
        <v>4</v>
      </c>
      <c r="AA56" s="2995">
        <f t="shared" si="15"/>
        <v>36</v>
      </c>
      <c r="AB56" s="2995">
        <f t="shared" si="15"/>
        <v>21</v>
      </c>
      <c r="AC56" s="2995">
        <f t="shared" si="15"/>
        <v>0</v>
      </c>
      <c r="AD56" s="2995">
        <f t="shared" si="15"/>
        <v>4</v>
      </c>
      <c r="AE56" s="2995">
        <f t="shared" si="15"/>
        <v>1</v>
      </c>
      <c r="AF56" s="2995">
        <f t="shared" si="15"/>
        <v>6</v>
      </c>
      <c r="AG56" s="2995">
        <f t="shared" si="15"/>
        <v>1</v>
      </c>
      <c r="AH56" s="2995">
        <f t="shared" si="15"/>
        <v>15</v>
      </c>
      <c r="AI56" s="2995">
        <f t="shared" si="15"/>
        <v>18</v>
      </c>
      <c r="AJ56" s="2995">
        <f t="shared" si="15"/>
        <v>0</v>
      </c>
      <c r="AK56" s="2995">
        <f t="shared" si="15"/>
        <v>0</v>
      </c>
      <c r="AL56" s="2995">
        <f t="shared" si="15"/>
        <v>2</v>
      </c>
      <c r="AM56" s="2995">
        <f t="shared" si="15"/>
        <v>6</v>
      </c>
      <c r="AN56" s="2995">
        <f t="shared" si="15"/>
        <v>0</v>
      </c>
      <c r="AO56" s="2995">
        <f t="shared" si="15"/>
        <v>3</v>
      </c>
      <c r="AP56" s="2995">
        <f t="shared" si="15"/>
        <v>1</v>
      </c>
      <c r="AQ56" s="2995">
        <f t="shared" si="15"/>
        <v>0</v>
      </c>
      <c r="AR56" s="2995">
        <f t="shared" si="15"/>
        <v>0</v>
      </c>
      <c r="AS56" s="2995">
        <f t="shared" si="15"/>
        <v>0</v>
      </c>
      <c r="AT56" s="2995">
        <f t="shared" si="15"/>
        <v>0</v>
      </c>
      <c r="AU56" s="2995"/>
    </row>
    <row r="57" spans="1:47" ht="25.05" hidden="1" customHeight="1">
      <c r="A57" s="3013"/>
      <c r="B57" s="2992"/>
      <c r="C57" s="3001"/>
      <c r="D57" s="3001"/>
      <c r="E57" s="3001"/>
      <c r="F57" s="3001"/>
      <c r="G57" s="3001"/>
      <c r="H57" s="3001"/>
      <c r="I57" s="3020"/>
      <c r="J57" s="3020"/>
      <c r="K57" s="3001"/>
      <c r="L57" s="3001"/>
      <c r="M57" s="3001"/>
      <c r="N57" s="3001"/>
      <c r="O57" s="3001"/>
      <c r="P57" s="3001"/>
      <c r="Q57" s="3001"/>
      <c r="R57" s="3001"/>
      <c r="S57" s="3001"/>
      <c r="T57" s="2994"/>
      <c r="U57" s="2994"/>
      <c r="V57" s="2994"/>
      <c r="W57" s="2994"/>
      <c r="X57" s="2998"/>
      <c r="Y57" s="2999"/>
      <c r="Z57" s="2999"/>
      <c r="AA57" s="3000"/>
      <c r="AB57" s="3000"/>
      <c r="AC57" s="3000"/>
      <c r="AD57" s="3000"/>
      <c r="AE57" s="3000"/>
      <c r="AF57" s="3000"/>
      <c r="AG57" s="3000"/>
      <c r="AH57" s="3000"/>
      <c r="AI57" s="3000"/>
      <c r="AJ57" s="3000"/>
      <c r="AK57" s="3000"/>
      <c r="AL57" s="3000"/>
      <c r="AM57" s="3000"/>
      <c r="AN57" s="3000"/>
      <c r="AO57" s="3000"/>
      <c r="AP57" s="3000"/>
      <c r="AQ57" s="3000"/>
      <c r="AR57" s="3000"/>
      <c r="AS57" s="3000"/>
      <c r="AT57" s="3000"/>
      <c r="AU57" s="3000"/>
    </row>
    <row r="58" spans="1:47" ht="25.05" hidden="1" customHeight="1">
      <c r="A58" s="3013"/>
      <c r="B58" s="2992"/>
      <c r="C58" s="3001"/>
      <c r="D58" s="3001"/>
      <c r="E58" s="3001"/>
      <c r="F58" s="3001"/>
      <c r="G58" s="3001"/>
      <c r="H58" s="3001"/>
      <c r="I58" s="3020"/>
      <c r="J58" s="3020"/>
      <c r="K58" s="3001"/>
      <c r="L58" s="3001"/>
      <c r="M58" s="3001"/>
      <c r="N58" s="3001"/>
      <c r="O58" s="3001"/>
      <c r="P58" s="3001"/>
      <c r="Q58" s="3001"/>
      <c r="R58" s="3001"/>
      <c r="S58" s="3001"/>
      <c r="T58" s="2994"/>
      <c r="U58" s="2994"/>
      <c r="V58" s="2994"/>
      <c r="W58" s="2994"/>
      <c r="X58" s="2994"/>
      <c r="Y58" s="2999"/>
      <c r="Z58" s="2999"/>
      <c r="AA58" s="3000"/>
      <c r="AB58" s="3000"/>
      <c r="AC58" s="3000"/>
      <c r="AD58" s="3000"/>
      <c r="AE58" s="3000"/>
      <c r="AF58" s="3000"/>
      <c r="AG58" s="3000"/>
      <c r="AH58" s="3000"/>
      <c r="AI58" s="3000"/>
      <c r="AJ58" s="3000"/>
      <c r="AK58" s="3000"/>
      <c r="AL58" s="3000"/>
      <c r="AM58" s="3000"/>
      <c r="AN58" s="3000"/>
      <c r="AO58" s="3000"/>
      <c r="AP58" s="3000"/>
      <c r="AQ58" s="3000"/>
      <c r="AR58" s="3000"/>
      <c r="AS58" s="3000"/>
      <c r="AT58" s="3000"/>
      <c r="AU58" s="3000"/>
    </row>
    <row r="59" spans="1:47" ht="25.05" hidden="1" customHeight="1">
      <c r="A59" s="3013"/>
      <c r="B59" s="2992"/>
      <c r="C59" s="3001"/>
      <c r="D59" s="3001"/>
      <c r="E59" s="3001"/>
      <c r="F59" s="3001"/>
      <c r="G59" s="3001"/>
      <c r="H59" s="3001"/>
      <c r="I59" s="3020"/>
      <c r="J59" s="3020"/>
      <c r="K59" s="3001"/>
      <c r="L59" s="3001"/>
      <c r="M59" s="3001"/>
      <c r="N59" s="3001"/>
      <c r="O59" s="3001"/>
      <c r="P59" s="3001"/>
      <c r="Q59" s="3001"/>
      <c r="R59" s="3001"/>
      <c r="S59" s="3001"/>
      <c r="T59" s="2994"/>
      <c r="U59" s="2994"/>
      <c r="V59" s="2994"/>
      <c r="W59" s="2994"/>
      <c r="X59" s="2994"/>
      <c r="Y59" s="2999"/>
      <c r="Z59" s="2999"/>
      <c r="AA59" s="3000"/>
      <c r="AB59" s="3000"/>
      <c r="AC59" s="3000"/>
      <c r="AD59" s="3000"/>
      <c r="AE59" s="3000"/>
      <c r="AF59" s="3000"/>
      <c r="AG59" s="3000"/>
      <c r="AH59" s="3000"/>
      <c r="AI59" s="3000"/>
      <c r="AJ59" s="3000"/>
      <c r="AK59" s="3000"/>
      <c r="AL59" s="3000"/>
      <c r="AM59" s="3000"/>
      <c r="AN59" s="3000"/>
      <c r="AO59" s="3000"/>
      <c r="AP59" s="3000"/>
      <c r="AQ59" s="3000"/>
      <c r="AR59" s="3000"/>
      <c r="AS59" s="3000"/>
      <c r="AT59" s="3000"/>
      <c r="AU59" s="3000"/>
    </row>
    <row r="60" spans="1:47" ht="25.05" hidden="1" customHeight="1">
      <c r="A60" s="3013"/>
      <c r="B60" s="2992"/>
      <c r="C60" s="3001"/>
      <c r="D60" s="3001"/>
      <c r="E60" s="3001"/>
      <c r="F60" s="3001"/>
      <c r="G60" s="3001"/>
      <c r="H60" s="3001"/>
      <c r="I60" s="3020"/>
      <c r="J60" s="3020"/>
      <c r="K60" s="3001"/>
      <c r="L60" s="3001"/>
      <c r="M60" s="3001"/>
      <c r="N60" s="3001"/>
      <c r="O60" s="3001"/>
      <c r="P60" s="3001"/>
      <c r="Q60" s="3001"/>
      <c r="R60" s="3001"/>
      <c r="S60" s="3001"/>
      <c r="T60" s="2994"/>
      <c r="U60" s="2994"/>
      <c r="V60" s="2994"/>
      <c r="W60" s="2994"/>
      <c r="X60" s="2998"/>
      <c r="Y60" s="2999"/>
      <c r="Z60" s="2999"/>
      <c r="AA60" s="2998"/>
      <c r="AB60" s="2998"/>
      <c r="AC60" s="2998"/>
      <c r="AD60" s="2998"/>
      <c r="AE60" s="2998"/>
      <c r="AF60" s="2998"/>
      <c r="AG60" s="2998"/>
      <c r="AH60" s="2998"/>
      <c r="AI60" s="2998"/>
      <c r="AJ60" s="2998"/>
      <c r="AK60" s="2998"/>
      <c r="AL60" s="2998"/>
      <c r="AM60" s="2998"/>
      <c r="AN60" s="2998"/>
      <c r="AO60" s="2998"/>
      <c r="AP60" s="2998"/>
      <c r="AQ60" s="2998"/>
      <c r="AR60" s="2998"/>
      <c r="AS60" s="2998"/>
      <c r="AT60" s="2998"/>
      <c r="AU60" s="2998"/>
    </row>
    <row r="61" spans="1:47" ht="25.05" hidden="1" customHeight="1">
      <c r="A61" s="2997"/>
      <c r="B61" s="2997"/>
      <c r="C61" s="2997"/>
      <c r="D61" s="2997"/>
      <c r="E61" s="2997"/>
      <c r="F61" s="2997"/>
      <c r="G61" s="2997"/>
      <c r="H61" s="2997"/>
      <c r="I61" s="3023"/>
      <c r="J61" s="3023"/>
      <c r="K61" s="2997"/>
      <c r="L61" s="2997"/>
      <c r="M61" s="2997"/>
      <c r="N61" s="2997"/>
      <c r="O61" s="2997"/>
      <c r="P61" s="2997"/>
      <c r="Q61" s="2997"/>
      <c r="R61" s="2997"/>
      <c r="S61" s="2997"/>
      <c r="T61" s="2997"/>
      <c r="U61" s="2997"/>
      <c r="V61" s="2997"/>
      <c r="W61" s="2997"/>
      <c r="X61" s="2997"/>
      <c r="Y61" s="2997"/>
      <c r="Z61" s="2997"/>
      <c r="AA61" s="2997"/>
      <c r="AB61" s="2997"/>
      <c r="AC61" s="2997"/>
      <c r="AD61" s="2997"/>
      <c r="AE61" s="2997"/>
      <c r="AF61" s="2997"/>
      <c r="AG61" s="2997"/>
      <c r="AH61" s="2997"/>
      <c r="AI61" s="2997"/>
      <c r="AJ61" s="2997"/>
      <c r="AK61" s="2997"/>
      <c r="AL61" s="2997"/>
      <c r="AM61" s="2997"/>
      <c r="AN61" s="2997"/>
      <c r="AO61" s="2997"/>
      <c r="AP61" s="2997"/>
      <c r="AQ61" s="2997"/>
      <c r="AR61" s="2997"/>
      <c r="AS61" s="2997"/>
      <c r="AT61" s="2997"/>
      <c r="AU61" s="2997"/>
    </row>
    <row r="62" spans="1:47" ht="25.05" hidden="1" customHeight="1">
      <c r="A62" s="3002"/>
      <c r="B62" s="3003"/>
      <c r="C62" s="2993"/>
      <c r="D62" s="2993"/>
      <c r="E62" s="2993"/>
      <c r="F62" s="2993"/>
      <c r="G62" s="2993"/>
      <c r="H62" s="2993"/>
      <c r="I62" s="3024"/>
      <c r="J62" s="3024"/>
      <c r="K62" s="2993"/>
      <c r="L62" s="2993"/>
      <c r="M62" s="2993"/>
      <c r="N62" s="2993"/>
      <c r="O62" s="2993"/>
      <c r="P62" s="2993"/>
      <c r="Q62" s="2993"/>
      <c r="R62" s="2993"/>
      <c r="S62" s="2993"/>
      <c r="T62" s="2993"/>
      <c r="U62" s="2993"/>
      <c r="V62" s="2993"/>
      <c r="W62" s="2993"/>
      <c r="X62" s="2993"/>
      <c r="Y62" s="3003"/>
      <c r="Z62" s="3003"/>
      <c r="AA62" s="3003"/>
      <c r="AB62" s="3003"/>
      <c r="AC62" s="3003"/>
      <c r="AD62" s="2993"/>
      <c r="AE62" s="2993"/>
      <c r="AF62" s="2993"/>
      <c r="AG62" s="2993"/>
      <c r="AH62" s="2993"/>
      <c r="AI62" s="2993"/>
      <c r="AJ62" s="2993"/>
      <c r="AK62" s="2993"/>
      <c r="AL62" s="2993"/>
      <c r="AM62" s="2993"/>
      <c r="AN62" s="2993"/>
      <c r="AO62" s="2993"/>
      <c r="AP62" s="2993"/>
      <c r="AQ62" s="2993"/>
      <c r="AR62" s="2993"/>
      <c r="AS62" s="2993"/>
      <c r="AT62" s="2993"/>
      <c r="AU62" s="2993"/>
    </row>
    <row r="63" spans="1:47" ht="25.05" hidden="1" customHeight="1">
      <c r="A63" s="3013"/>
      <c r="B63" s="2992"/>
      <c r="C63" s="3001"/>
      <c r="D63" s="3001"/>
      <c r="E63" s="3001"/>
      <c r="F63" s="3001"/>
      <c r="G63" s="3001"/>
      <c r="H63" s="3001"/>
      <c r="I63" s="3020"/>
      <c r="J63" s="3020"/>
      <c r="K63" s="3001"/>
      <c r="L63" s="3001"/>
      <c r="M63" s="3001"/>
      <c r="N63" s="3001"/>
      <c r="O63" s="3001"/>
      <c r="P63" s="3001"/>
      <c r="Q63" s="3001"/>
      <c r="R63" s="3001"/>
      <c r="S63" s="3001"/>
      <c r="T63" s="2994"/>
      <c r="U63" s="2994"/>
      <c r="V63" s="2994"/>
      <c r="W63" s="2994"/>
      <c r="X63" s="2998"/>
      <c r="Y63" s="2998"/>
      <c r="Z63" s="2998"/>
      <c r="AA63" s="2998"/>
      <c r="AB63" s="2998"/>
      <c r="AC63" s="2998"/>
      <c r="AD63" s="2998"/>
      <c r="AE63" s="2998"/>
      <c r="AF63" s="2998"/>
      <c r="AG63" s="2998"/>
      <c r="AH63" s="2998"/>
      <c r="AI63" s="2998"/>
      <c r="AJ63" s="2998"/>
      <c r="AK63" s="2998"/>
      <c r="AL63" s="2998"/>
      <c r="AM63" s="2998"/>
      <c r="AN63" s="2998"/>
      <c r="AO63" s="2998"/>
      <c r="AP63" s="2998"/>
      <c r="AQ63" s="2998"/>
      <c r="AR63" s="2998"/>
      <c r="AS63" s="2998"/>
      <c r="AT63" s="2998"/>
      <c r="AU63" s="2998"/>
    </row>
    <row r="64" spans="1:47" ht="25.05" hidden="1" customHeight="1">
      <c r="A64" s="3013"/>
      <c r="B64" s="2992"/>
      <c r="C64" s="3001"/>
      <c r="D64" s="3001"/>
      <c r="E64" s="3001"/>
      <c r="F64" s="3001"/>
      <c r="G64" s="3001"/>
      <c r="H64" s="3001"/>
      <c r="I64" s="3020"/>
      <c r="J64" s="3020"/>
      <c r="K64" s="3001"/>
      <c r="L64" s="3001"/>
      <c r="M64" s="3001"/>
      <c r="N64" s="3001"/>
      <c r="O64" s="3001"/>
      <c r="P64" s="3001"/>
      <c r="Q64" s="3001"/>
      <c r="R64" s="3001"/>
      <c r="S64" s="3001"/>
      <c r="T64" s="2994"/>
      <c r="U64" s="2994"/>
      <c r="V64" s="2994"/>
      <c r="W64" s="2994"/>
      <c r="X64" s="2998"/>
      <c r="Y64" s="2998"/>
      <c r="Z64" s="2998"/>
      <c r="AA64" s="2998"/>
      <c r="AB64" s="2998"/>
      <c r="AC64" s="2998"/>
      <c r="AD64" s="2998"/>
      <c r="AE64" s="2998"/>
      <c r="AF64" s="2998"/>
      <c r="AG64" s="2998"/>
      <c r="AH64" s="2998"/>
      <c r="AI64" s="2998"/>
      <c r="AJ64" s="2998"/>
      <c r="AK64" s="2998"/>
      <c r="AL64" s="2998"/>
      <c r="AM64" s="2998"/>
      <c r="AN64" s="2998"/>
      <c r="AO64" s="2998"/>
      <c r="AP64" s="2998"/>
      <c r="AQ64" s="2998"/>
      <c r="AR64" s="2998"/>
      <c r="AS64" s="2998"/>
      <c r="AT64" s="2998"/>
      <c r="AU64" s="2998"/>
    </row>
    <row r="65" spans="1:47" ht="25.05" hidden="1" customHeight="1">
      <c r="A65" s="3013"/>
      <c r="B65" s="2992"/>
      <c r="C65" s="3001"/>
      <c r="D65" s="3001"/>
      <c r="E65" s="3001"/>
      <c r="F65" s="3001"/>
      <c r="G65" s="3001"/>
      <c r="H65" s="3001"/>
      <c r="I65" s="3020"/>
      <c r="J65" s="3020"/>
      <c r="K65" s="3001"/>
      <c r="L65" s="3001"/>
      <c r="M65" s="3001"/>
      <c r="N65" s="3001"/>
      <c r="O65" s="3001"/>
      <c r="P65" s="3001"/>
      <c r="Q65" s="3001"/>
      <c r="R65" s="3001"/>
      <c r="S65" s="3001"/>
      <c r="T65" s="2994"/>
      <c r="U65" s="2994"/>
      <c r="V65" s="2994"/>
      <c r="W65" s="2994"/>
      <c r="X65" s="2998"/>
      <c r="Y65" s="2998"/>
      <c r="Z65" s="2998"/>
      <c r="AA65" s="2998"/>
      <c r="AB65" s="2998"/>
      <c r="AC65" s="2998"/>
      <c r="AD65" s="2998"/>
      <c r="AE65" s="2998"/>
      <c r="AF65" s="2998"/>
      <c r="AG65" s="2998"/>
      <c r="AH65" s="2998"/>
      <c r="AI65" s="2998"/>
      <c r="AJ65" s="2998"/>
      <c r="AK65" s="2998"/>
      <c r="AL65" s="2998"/>
      <c r="AM65" s="2998"/>
      <c r="AN65" s="2998"/>
      <c r="AO65" s="2998"/>
      <c r="AP65" s="2998"/>
      <c r="AQ65" s="2998"/>
      <c r="AR65" s="2998"/>
      <c r="AS65" s="2998"/>
      <c r="AT65" s="2998"/>
      <c r="AU65" s="2998"/>
    </row>
    <row r="66" spans="1:47" ht="25.05" hidden="1" customHeight="1">
      <c r="A66" s="3013"/>
      <c r="B66" s="2992"/>
      <c r="C66" s="3001"/>
      <c r="D66" s="3001"/>
      <c r="E66" s="3001"/>
      <c r="F66" s="3001"/>
      <c r="G66" s="3001"/>
      <c r="H66" s="3001"/>
      <c r="I66" s="3020"/>
      <c r="J66" s="3020"/>
      <c r="K66" s="3001"/>
      <c r="L66" s="3001"/>
      <c r="M66" s="3001"/>
      <c r="N66" s="3001"/>
      <c r="O66" s="3001"/>
      <c r="P66" s="3001"/>
      <c r="Q66" s="3001"/>
      <c r="R66" s="3001"/>
      <c r="S66" s="3001"/>
      <c r="T66" s="2994"/>
      <c r="U66" s="2994"/>
      <c r="V66" s="2994"/>
      <c r="W66" s="2994"/>
      <c r="X66" s="2998"/>
      <c r="Y66" s="2998"/>
      <c r="Z66" s="2998"/>
      <c r="AA66" s="2998"/>
      <c r="AB66" s="2998"/>
      <c r="AC66" s="2998"/>
      <c r="AD66" s="2998"/>
      <c r="AE66" s="2998"/>
      <c r="AF66" s="2998"/>
      <c r="AG66" s="2998"/>
      <c r="AH66" s="2998"/>
      <c r="AI66" s="2998"/>
      <c r="AJ66" s="2998"/>
      <c r="AK66" s="2998"/>
      <c r="AL66" s="2998"/>
      <c r="AM66" s="2998"/>
      <c r="AN66" s="2998"/>
      <c r="AO66" s="2998"/>
      <c r="AP66" s="2998"/>
      <c r="AQ66" s="2998"/>
      <c r="AR66" s="2998"/>
      <c r="AS66" s="2998"/>
      <c r="AT66" s="2998"/>
      <c r="AU66" s="2998"/>
    </row>
    <row r="67" spans="1:47" ht="25.05" hidden="1" customHeight="1">
      <c r="A67" s="3013"/>
      <c r="B67" s="2992"/>
      <c r="C67" s="3001"/>
      <c r="D67" s="3001"/>
      <c r="E67" s="3001"/>
      <c r="F67" s="3001"/>
      <c r="G67" s="3001"/>
      <c r="H67" s="3001"/>
      <c r="I67" s="3020"/>
      <c r="J67" s="3020"/>
      <c r="K67" s="3001"/>
      <c r="L67" s="3001"/>
      <c r="M67" s="3001"/>
      <c r="N67" s="3001"/>
      <c r="O67" s="3001"/>
      <c r="P67" s="3001"/>
      <c r="Q67" s="3001"/>
      <c r="R67" s="3001"/>
      <c r="S67" s="3001"/>
      <c r="T67" s="2994"/>
      <c r="U67" s="2994"/>
      <c r="V67" s="2994"/>
      <c r="W67" s="2994"/>
      <c r="X67" s="2998"/>
      <c r="Y67" s="2998"/>
      <c r="Z67" s="2998"/>
      <c r="AA67" s="2998"/>
      <c r="AB67" s="2998"/>
      <c r="AC67" s="2998"/>
      <c r="AD67" s="2998"/>
      <c r="AE67" s="2998"/>
      <c r="AF67" s="2998"/>
      <c r="AG67" s="2998"/>
      <c r="AH67" s="2998"/>
      <c r="AI67" s="2998"/>
      <c r="AJ67" s="2998"/>
      <c r="AK67" s="2998"/>
      <c r="AL67" s="2998"/>
      <c r="AM67" s="2998"/>
      <c r="AN67" s="2998"/>
      <c r="AO67" s="2998"/>
      <c r="AP67" s="2998"/>
      <c r="AQ67" s="2998"/>
      <c r="AR67" s="2998"/>
      <c r="AS67" s="2998"/>
      <c r="AT67" s="2998"/>
      <c r="AU67" s="2998"/>
    </row>
    <row r="68" spans="1:47" ht="25.05" hidden="1" customHeight="1">
      <c r="A68" s="3013"/>
      <c r="B68" s="2992"/>
      <c r="C68" s="3001"/>
      <c r="D68" s="3001"/>
      <c r="E68" s="3001"/>
      <c r="F68" s="3001"/>
      <c r="G68" s="3001"/>
      <c r="H68" s="3001"/>
      <c r="I68" s="3020"/>
      <c r="J68" s="3020"/>
      <c r="K68" s="3001"/>
      <c r="L68" s="3001"/>
      <c r="M68" s="3001"/>
      <c r="N68" s="3001"/>
      <c r="O68" s="3001"/>
      <c r="P68" s="3001"/>
      <c r="Q68" s="3001"/>
      <c r="R68" s="3001"/>
      <c r="S68" s="3001"/>
      <c r="T68" s="2994"/>
      <c r="U68" s="2994"/>
      <c r="V68" s="2994"/>
      <c r="W68" s="2994"/>
      <c r="X68" s="2998"/>
      <c r="Y68" s="2998"/>
      <c r="Z68" s="2998"/>
      <c r="AA68" s="2998"/>
      <c r="AB68" s="2998"/>
      <c r="AC68" s="2998"/>
      <c r="AD68" s="2998"/>
      <c r="AE68" s="2998"/>
      <c r="AF68" s="2998"/>
      <c r="AG68" s="2998"/>
      <c r="AH68" s="2998"/>
      <c r="AI68" s="2998"/>
      <c r="AJ68" s="2998"/>
      <c r="AK68" s="2998"/>
      <c r="AL68" s="2998"/>
      <c r="AM68" s="2998"/>
      <c r="AN68" s="2998"/>
      <c r="AO68" s="2998"/>
      <c r="AP68" s="2998"/>
      <c r="AQ68" s="2998"/>
      <c r="AR68" s="2998"/>
      <c r="AS68" s="2998"/>
      <c r="AT68" s="2998"/>
      <c r="AU68" s="2998"/>
    </row>
    <row r="69" spans="1:47" ht="25.05" hidden="1" customHeight="1">
      <c r="A69" s="3013"/>
      <c r="B69" s="2992"/>
      <c r="C69" s="3001"/>
      <c r="D69" s="3001"/>
      <c r="E69" s="3001"/>
      <c r="F69" s="3001"/>
      <c r="G69" s="3001"/>
      <c r="H69" s="3001"/>
      <c r="I69" s="3020"/>
      <c r="J69" s="3020"/>
      <c r="K69" s="3001"/>
      <c r="L69" s="3001"/>
      <c r="M69" s="3001"/>
      <c r="N69" s="3001"/>
      <c r="O69" s="3001"/>
      <c r="P69" s="3001"/>
      <c r="Q69" s="3001"/>
      <c r="R69" s="3001"/>
      <c r="S69" s="3001"/>
      <c r="T69" s="2994"/>
      <c r="U69" s="2994"/>
      <c r="V69" s="2994"/>
      <c r="W69" s="2994"/>
      <c r="X69" s="2998"/>
      <c r="Y69" s="2998"/>
      <c r="Z69" s="2998"/>
      <c r="AA69" s="2998"/>
      <c r="AB69" s="2998"/>
      <c r="AC69" s="2998"/>
      <c r="AD69" s="2998"/>
      <c r="AE69" s="2998"/>
      <c r="AF69" s="2998"/>
      <c r="AG69" s="2998"/>
      <c r="AH69" s="2998"/>
      <c r="AI69" s="2998"/>
      <c r="AJ69" s="2998"/>
      <c r="AK69" s="2998"/>
      <c r="AL69" s="2998"/>
      <c r="AM69" s="2998"/>
      <c r="AN69" s="2998"/>
      <c r="AO69" s="2998"/>
      <c r="AP69" s="2998"/>
      <c r="AQ69" s="2998"/>
      <c r="AR69" s="2998"/>
      <c r="AS69" s="2998"/>
      <c r="AT69" s="2998"/>
      <c r="AU69" s="2998"/>
    </row>
    <row r="70" spans="1:47" ht="25.05" hidden="1" customHeight="1">
      <c r="A70" s="3013"/>
      <c r="B70" s="2992"/>
      <c r="C70" s="3001"/>
      <c r="D70" s="3001"/>
      <c r="E70" s="3001"/>
      <c r="F70" s="3001"/>
      <c r="G70" s="3001"/>
      <c r="H70" s="3001"/>
      <c r="I70" s="3020"/>
      <c r="J70" s="3020"/>
      <c r="K70" s="3001"/>
      <c r="L70" s="3001"/>
      <c r="M70" s="3001"/>
      <c r="N70" s="3001"/>
      <c r="O70" s="3001"/>
      <c r="P70" s="3001"/>
      <c r="Q70" s="3001"/>
      <c r="R70" s="3001"/>
      <c r="S70" s="3001"/>
      <c r="T70" s="2994"/>
      <c r="U70" s="2994"/>
      <c r="V70" s="2994"/>
      <c r="W70" s="2994"/>
      <c r="X70" s="2998"/>
      <c r="Y70" s="2998"/>
      <c r="Z70" s="2998"/>
      <c r="AA70" s="2998"/>
      <c r="AB70" s="2998"/>
      <c r="AC70" s="2998"/>
      <c r="AD70" s="2998"/>
      <c r="AE70" s="2998"/>
      <c r="AF70" s="2998"/>
      <c r="AG70" s="2998"/>
      <c r="AH70" s="2998"/>
      <c r="AI70" s="2998"/>
      <c r="AJ70" s="2998"/>
      <c r="AK70" s="2998"/>
      <c r="AL70" s="2998"/>
      <c r="AM70" s="2998"/>
      <c r="AN70" s="2998"/>
      <c r="AO70" s="2998"/>
      <c r="AP70" s="2998"/>
      <c r="AQ70" s="2998"/>
      <c r="AR70" s="2998"/>
      <c r="AS70" s="2998"/>
      <c r="AT70" s="2998"/>
      <c r="AU70" s="2998"/>
    </row>
    <row r="71" spans="1:47" ht="25.05" hidden="1" customHeight="1">
      <c r="A71" s="3013"/>
      <c r="B71" s="2992"/>
      <c r="C71" s="3001"/>
      <c r="D71" s="3001"/>
      <c r="E71" s="3001"/>
      <c r="F71" s="3001"/>
      <c r="G71" s="3001"/>
      <c r="H71" s="3001"/>
      <c r="I71" s="3020"/>
      <c r="J71" s="3020"/>
      <c r="K71" s="3001"/>
      <c r="L71" s="3001"/>
      <c r="M71" s="3001"/>
      <c r="N71" s="3001"/>
      <c r="O71" s="3001"/>
      <c r="P71" s="3001"/>
      <c r="Q71" s="3001"/>
      <c r="R71" s="3001"/>
      <c r="S71" s="3001"/>
      <c r="T71" s="2994"/>
      <c r="U71" s="2994"/>
      <c r="V71" s="2994"/>
      <c r="W71" s="2994"/>
      <c r="X71" s="2998"/>
      <c r="Y71" s="2998"/>
      <c r="Z71" s="2998"/>
      <c r="AA71" s="2998"/>
      <c r="AB71" s="2998"/>
      <c r="AC71" s="2998"/>
      <c r="AD71" s="2998"/>
      <c r="AE71" s="2998"/>
      <c r="AF71" s="2998"/>
      <c r="AG71" s="2998"/>
      <c r="AH71" s="2998"/>
      <c r="AI71" s="2998"/>
      <c r="AJ71" s="2998"/>
      <c r="AK71" s="2998"/>
      <c r="AL71" s="2998"/>
      <c r="AM71" s="2998"/>
      <c r="AN71" s="2998"/>
      <c r="AO71" s="2998"/>
      <c r="AP71" s="2998"/>
      <c r="AQ71" s="2998"/>
      <c r="AR71" s="2998"/>
      <c r="AS71" s="2998"/>
      <c r="AT71" s="2998"/>
      <c r="AU71" s="2998"/>
    </row>
    <row r="72" spans="1:47" ht="25.05" hidden="1" customHeight="1">
      <c r="A72" s="3013"/>
      <c r="B72" s="2992"/>
      <c r="C72" s="3001"/>
      <c r="D72" s="3001"/>
      <c r="E72" s="3001"/>
      <c r="F72" s="3001"/>
      <c r="G72" s="3001"/>
      <c r="H72" s="3001"/>
      <c r="I72" s="3020"/>
      <c r="J72" s="3020"/>
      <c r="K72" s="3001"/>
      <c r="L72" s="3001"/>
      <c r="M72" s="3001"/>
      <c r="N72" s="3001"/>
      <c r="O72" s="3001"/>
      <c r="P72" s="3001"/>
      <c r="Q72" s="3001"/>
      <c r="R72" s="3001"/>
      <c r="S72" s="3001"/>
      <c r="T72" s="2994"/>
      <c r="U72" s="2994"/>
      <c r="V72" s="2994"/>
      <c r="W72" s="2994"/>
      <c r="X72" s="2998"/>
      <c r="Y72" s="2998"/>
      <c r="Z72" s="2998"/>
      <c r="AA72" s="2998"/>
      <c r="AB72" s="2998"/>
      <c r="AC72" s="2998"/>
      <c r="AD72" s="2998"/>
      <c r="AE72" s="2998"/>
      <c r="AF72" s="2998"/>
      <c r="AG72" s="2998"/>
      <c r="AH72" s="2998"/>
      <c r="AI72" s="2998"/>
      <c r="AJ72" s="2998"/>
      <c r="AK72" s="2998"/>
      <c r="AL72" s="2998"/>
      <c r="AM72" s="2998"/>
      <c r="AN72" s="2998"/>
      <c r="AO72" s="2998"/>
      <c r="AP72" s="2998"/>
      <c r="AQ72" s="2998"/>
      <c r="AR72" s="2998"/>
      <c r="AS72" s="2998"/>
      <c r="AT72" s="2998"/>
      <c r="AU72" s="2998"/>
    </row>
    <row r="73" spans="1:47" ht="25.05" hidden="1" customHeight="1">
      <c r="A73" s="3013"/>
      <c r="B73" s="2992"/>
      <c r="C73" s="3001"/>
      <c r="D73" s="3001"/>
      <c r="E73" s="3001"/>
      <c r="F73" s="3001"/>
      <c r="G73" s="3001"/>
      <c r="H73" s="3001"/>
      <c r="I73" s="3020"/>
      <c r="J73" s="3020"/>
      <c r="K73" s="3001"/>
      <c r="L73" s="3001"/>
      <c r="M73" s="3001"/>
      <c r="N73" s="3001"/>
      <c r="O73" s="3001"/>
      <c r="P73" s="3001"/>
      <c r="Q73" s="3001"/>
      <c r="R73" s="3001"/>
      <c r="S73" s="3001"/>
      <c r="T73" s="2994"/>
      <c r="U73" s="2994"/>
      <c r="V73" s="2994"/>
      <c r="W73" s="2994"/>
      <c r="X73" s="2998"/>
      <c r="Y73" s="2998"/>
      <c r="Z73" s="2998"/>
      <c r="AA73" s="2998"/>
      <c r="AB73" s="2998"/>
      <c r="AC73" s="2998"/>
      <c r="AD73" s="2998"/>
      <c r="AE73" s="2998"/>
      <c r="AF73" s="2998"/>
      <c r="AG73" s="2998"/>
      <c r="AH73" s="2998"/>
      <c r="AI73" s="2998"/>
      <c r="AJ73" s="2998"/>
      <c r="AK73" s="2998"/>
      <c r="AL73" s="2998"/>
      <c r="AM73" s="2998"/>
      <c r="AN73" s="2998"/>
      <c r="AO73" s="2998"/>
      <c r="AP73" s="2998"/>
      <c r="AQ73" s="2998"/>
      <c r="AR73" s="2998"/>
      <c r="AS73" s="2998"/>
      <c r="AT73" s="2998"/>
      <c r="AU73" s="2998"/>
    </row>
    <row r="74" spans="1:47" ht="25.05" hidden="1" customHeight="1">
      <c r="A74" s="3013"/>
      <c r="B74" s="2992"/>
      <c r="C74" s="3001"/>
      <c r="D74" s="3001"/>
      <c r="E74" s="3001"/>
      <c r="F74" s="3001"/>
      <c r="G74" s="3001"/>
      <c r="H74" s="3001"/>
      <c r="I74" s="3020"/>
      <c r="J74" s="3020"/>
      <c r="K74" s="3001"/>
      <c r="L74" s="3001"/>
      <c r="M74" s="3001"/>
      <c r="N74" s="3001"/>
      <c r="O74" s="3001"/>
      <c r="P74" s="3001"/>
      <c r="Q74" s="3001"/>
      <c r="R74" s="3001"/>
      <c r="S74" s="3001"/>
      <c r="T74" s="2994"/>
      <c r="U74" s="2994"/>
      <c r="V74" s="2994"/>
      <c r="W74" s="2994"/>
      <c r="X74" s="2998"/>
      <c r="Y74" s="2998"/>
      <c r="Z74" s="2998"/>
      <c r="AA74" s="2998"/>
      <c r="AB74" s="2998"/>
      <c r="AC74" s="2998"/>
      <c r="AD74" s="2998"/>
      <c r="AE74" s="2998"/>
      <c r="AF74" s="2998"/>
      <c r="AG74" s="2998"/>
      <c r="AH74" s="2998"/>
      <c r="AI74" s="2998"/>
      <c r="AJ74" s="2998"/>
      <c r="AK74" s="2998"/>
      <c r="AL74" s="2998"/>
      <c r="AM74" s="2998"/>
      <c r="AN74" s="2998"/>
      <c r="AO74" s="2998"/>
      <c r="AP74" s="2998"/>
      <c r="AQ74" s="2998"/>
      <c r="AR74" s="2998"/>
      <c r="AS74" s="2998"/>
      <c r="AT74" s="2998"/>
      <c r="AU74" s="2998"/>
    </row>
    <row r="75" spans="1:47" ht="25.05" hidden="1" customHeight="1">
      <c r="A75" s="3013"/>
      <c r="B75" s="2992"/>
      <c r="C75" s="3001"/>
      <c r="D75" s="3001"/>
      <c r="E75" s="3001"/>
      <c r="F75" s="3001"/>
      <c r="G75" s="3001"/>
      <c r="H75" s="3001"/>
      <c r="I75" s="3020"/>
      <c r="J75" s="3020"/>
      <c r="K75" s="3001"/>
      <c r="L75" s="3001"/>
      <c r="M75" s="3001"/>
      <c r="N75" s="3001"/>
      <c r="O75" s="3001"/>
      <c r="P75" s="3001"/>
      <c r="Q75" s="3001"/>
      <c r="R75" s="3001"/>
      <c r="S75" s="3001"/>
      <c r="T75" s="2994"/>
      <c r="U75" s="2994"/>
      <c r="V75" s="2994"/>
      <c r="W75" s="2994"/>
      <c r="X75" s="2998"/>
      <c r="Y75" s="2998"/>
      <c r="Z75" s="2998"/>
      <c r="AA75" s="2998"/>
      <c r="AB75" s="2998"/>
      <c r="AC75" s="2998"/>
      <c r="AD75" s="2998"/>
      <c r="AE75" s="2998"/>
      <c r="AF75" s="2998"/>
      <c r="AG75" s="2998"/>
      <c r="AH75" s="2998"/>
      <c r="AI75" s="2998"/>
      <c r="AJ75" s="2998"/>
      <c r="AK75" s="2998"/>
      <c r="AL75" s="2998"/>
      <c r="AM75" s="2998"/>
      <c r="AN75" s="2998"/>
      <c r="AO75" s="2998"/>
      <c r="AP75" s="2998"/>
      <c r="AQ75" s="2998"/>
      <c r="AR75" s="2998"/>
      <c r="AS75" s="2998"/>
      <c r="AT75" s="2998"/>
      <c r="AU75" s="2998"/>
    </row>
    <row r="76" spans="1:47" ht="25.05" hidden="1" customHeight="1">
      <c r="A76" s="3013"/>
      <c r="B76" s="2992"/>
      <c r="C76" s="3001"/>
      <c r="D76" s="3001"/>
      <c r="E76" s="3001"/>
      <c r="F76" s="3001"/>
      <c r="G76" s="3001"/>
      <c r="H76" s="3001"/>
      <c r="I76" s="3020"/>
      <c r="J76" s="3020"/>
      <c r="K76" s="3001"/>
      <c r="L76" s="3001"/>
      <c r="M76" s="3001"/>
      <c r="N76" s="3001"/>
      <c r="O76" s="3001"/>
      <c r="P76" s="3001"/>
      <c r="Q76" s="3001"/>
      <c r="R76" s="3001"/>
      <c r="S76" s="3001"/>
      <c r="T76" s="2994"/>
      <c r="U76" s="2994"/>
      <c r="V76" s="2994"/>
      <c r="W76" s="2994"/>
      <c r="X76" s="2998"/>
      <c r="Y76" s="2998"/>
      <c r="Z76" s="2998"/>
      <c r="AA76" s="2998"/>
      <c r="AB76" s="2998"/>
      <c r="AC76" s="2998"/>
      <c r="AD76" s="2998"/>
      <c r="AE76" s="2998"/>
      <c r="AF76" s="2998"/>
      <c r="AG76" s="2998"/>
      <c r="AH76" s="2998"/>
      <c r="AI76" s="2998"/>
      <c r="AJ76" s="2998"/>
      <c r="AK76" s="2998"/>
      <c r="AL76" s="2998"/>
      <c r="AM76" s="2998"/>
      <c r="AN76" s="2998"/>
      <c r="AO76" s="2998"/>
      <c r="AP76" s="2998"/>
      <c r="AQ76" s="2998"/>
      <c r="AR76" s="2998"/>
      <c r="AS76" s="2998"/>
      <c r="AT76" s="2998"/>
      <c r="AU76" s="2998"/>
    </row>
    <row r="77" spans="1:47" ht="25.05" hidden="1" customHeight="1">
      <c r="A77" s="3013"/>
      <c r="B77" s="2992"/>
      <c r="C77" s="3001"/>
      <c r="D77" s="3001"/>
      <c r="E77" s="3001"/>
      <c r="F77" s="3001"/>
      <c r="G77" s="3001"/>
      <c r="H77" s="3001"/>
      <c r="I77" s="3020"/>
      <c r="J77" s="3020"/>
      <c r="K77" s="3001"/>
      <c r="L77" s="3001"/>
      <c r="M77" s="3001"/>
      <c r="N77" s="3001"/>
      <c r="O77" s="3001"/>
      <c r="P77" s="3001"/>
      <c r="Q77" s="3001"/>
      <c r="R77" s="3001"/>
      <c r="S77" s="3001"/>
      <c r="T77" s="2994"/>
      <c r="U77" s="2994"/>
      <c r="V77" s="2994"/>
      <c r="W77" s="2994"/>
      <c r="X77" s="2998"/>
      <c r="Y77" s="2998"/>
      <c r="Z77" s="2998"/>
      <c r="AA77" s="2998"/>
      <c r="AB77" s="2998"/>
      <c r="AC77" s="2998"/>
      <c r="AD77" s="2998"/>
      <c r="AE77" s="2998"/>
      <c r="AF77" s="2998"/>
      <c r="AG77" s="2998"/>
      <c r="AH77" s="2998"/>
      <c r="AI77" s="2998"/>
      <c r="AJ77" s="2998"/>
      <c r="AK77" s="2998"/>
      <c r="AL77" s="2998"/>
      <c r="AM77" s="2998"/>
      <c r="AN77" s="2998"/>
      <c r="AO77" s="2998"/>
      <c r="AP77" s="2998"/>
      <c r="AQ77" s="2998"/>
      <c r="AR77" s="2998"/>
      <c r="AS77" s="2998"/>
      <c r="AT77" s="2998"/>
      <c r="AU77" s="2998"/>
    </row>
    <row r="78" spans="1:47" ht="25.05" hidden="1" customHeight="1">
      <c r="A78" s="3013"/>
      <c r="B78" s="2992"/>
      <c r="C78" s="3001"/>
      <c r="D78" s="3001"/>
      <c r="E78" s="3001"/>
      <c r="F78" s="3001"/>
      <c r="G78" s="3001"/>
      <c r="H78" s="3001"/>
      <c r="I78" s="3020"/>
      <c r="J78" s="3020"/>
      <c r="K78" s="3001"/>
      <c r="L78" s="3001"/>
      <c r="M78" s="3001"/>
      <c r="N78" s="3001"/>
      <c r="O78" s="3001"/>
      <c r="P78" s="3001"/>
      <c r="Q78" s="3001"/>
      <c r="R78" s="3001"/>
      <c r="S78" s="3001"/>
      <c r="T78" s="2994"/>
      <c r="U78" s="2994"/>
      <c r="V78" s="2994"/>
      <c r="W78" s="2994"/>
      <c r="X78" s="2998"/>
      <c r="Y78" s="2998"/>
      <c r="Z78" s="2998"/>
      <c r="AA78" s="2998"/>
      <c r="AB78" s="2998"/>
      <c r="AC78" s="2998"/>
      <c r="AD78" s="2998"/>
      <c r="AE78" s="2998"/>
      <c r="AF78" s="2998"/>
      <c r="AG78" s="2998"/>
      <c r="AH78" s="2998"/>
      <c r="AI78" s="2998"/>
      <c r="AJ78" s="2998"/>
      <c r="AK78" s="2998"/>
      <c r="AL78" s="2998"/>
      <c r="AM78" s="2998"/>
      <c r="AN78" s="2998"/>
      <c r="AO78" s="2998"/>
      <c r="AP78" s="2998"/>
      <c r="AQ78" s="2998"/>
      <c r="AR78" s="2998"/>
      <c r="AS78" s="2998"/>
      <c r="AT78" s="2998"/>
      <c r="AU78" s="2998"/>
    </row>
    <row r="79" spans="1:47" ht="25.05" hidden="1" customHeight="1">
      <c r="A79" s="3013"/>
      <c r="B79" s="2992"/>
      <c r="C79" s="3001"/>
      <c r="D79" s="3001"/>
      <c r="E79" s="3001"/>
      <c r="F79" s="3001"/>
      <c r="G79" s="3001"/>
      <c r="H79" s="3001"/>
      <c r="I79" s="3020"/>
      <c r="J79" s="3020"/>
      <c r="K79" s="3001"/>
      <c r="L79" s="3001"/>
      <c r="M79" s="3001"/>
      <c r="N79" s="3001"/>
      <c r="O79" s="3001"/>
      <c r="P79" s="3001"/>
      <c r="Q79" s="3001"/>
      <c r="R79" s="3001"/>
      <c r="S79" s="3001"/>
      <c r="T79" s="2994"/>
      <c r="U79" s="2994"/>
      <c r="V79" s="2994"/>
      <c r="W79" s="2994"/>
      <c r="X79" s="2998"/>
      <c r="Y79" s="2998"/>
      <c r="Z79" s="2998"/>
      <c r="AA79" s="2998"/>
      <c r="AB79" s="2998"/>
      <c r="AC79" s="2998"/>
      <c r="AD79" s="2998"/>
      <c r="AE79" s="2998"/>
      <c r="AF79" s="2998"/>
      <c r="AG79" s="2998"/>
      <c r="AH79" s="2998"/>
      <c r="AI79" s="2998"/>
      <c r="AJ79" s="2998"/>
      <c r="AK79" s="2998"/>
      <c r="AL79" s="2998"/>
      <c r="AM79" s="2998"/>
      <c r="AN79" s="2998"/>
      <c r="AO79" s="2998"/>
      <c r="AP79" s="2998"/>
      <c r="AQ79" s="2998"/>
      <c r="AR79" s="2998"/>
      <c r="AS79" s="2998"/>
      <c r="AT79" s="2998"/>
      <c r="AU79" s="2998"/>
    </row>
    <row r="80" spans="1:47" ht="25.05" hidden="1" customHeight="1">
      <c r="A80" s="3013"/>
      <c r="B80" s="2992"/>
      <c r="C80" s="3001"/>
      <c r="D80" s="3001"/>
      <c r="E80" s="3001"/>
      <c r="F80" s="3001"/>
      <c r="G80" s="3001"/>
      <c r="H80" s="3001"/>
      <c r="I80" s="3020"/>
      <c r="J80" s="3020"/>
      <c r="K80" s="3001"/>
      <c r="L80" s="3001"/>
      <c r="M80" s="3001"/>
      <c r="N80" s="3001"/>
      <c r="O80" s="3001"/>
      <c r="P80" s="3001"/>
      <c r="Q80" s="3001"/>
      <c r="R80" s="3001"/>
      <c r="S80" s="3001"/>
      <c r="T80" s="2994"/>
      <c r="U80" s="2994"/>
      <c r="V80" s="2994"/>
      <c r="W80" s="2994"/>
      <c r="X80" s="2998"/>
      <c r="Y80" s="2998"/>
      <c r="Z80" s="2998"/>
      <c r="AA80" s="2998"/>
      <c r="AB80" s="2998"/>
      <c r="AC80" s="2998"/>
      <c r="AD80" s="2998"/>
      <c r="AE80" s="2998"/>
      <c r="AF80" s="2998"/>
      <c r="AG80" s="2998"/>
      <c r="AH80" s="2998"/>
      <c r="AI80" s="2998"/>
      <c r="AJ80" s="2998"/>
      <c r="AK80" s="2998"/>
      <c r="AL80" s="2998"/>
      <c r="AM80" s="2998"/>
      <c r="AN80" s="2998"/>
      <c r="AO80" s="2998"/>
      <c r="AP80" s="2998"/>
      <c r="AQ80" s="2998"/>
      <c r="AR80" s="2998"/>
      <c r="AS80" s="2998"/>
      <c r="AT80" s="2998"/>
      <c r="AU80" s="2998"/>
    </row>
    <row r="81" spans="1:47" ht="25.05" hidden="1" customHeight="1">
      <c r="A81" s="3013"/>
      <c r="B81" s="2992"/>
      <c r="C81" s="3001"/>
      <c r="D81" s="3001"/>
      <c r="E81" s="3001"/>
      <c r="F81" s="3001"/>
      <c r="G81" s="3001"/>
      <c r="H81" s="3001"/>
      <c r="I81" s="3020"/>
      <c r="J81" s="3020"/>
      <c r="K81" s="3001"/>
      <c r="L81" s="3001"/>
      <c r="M81" s="3001"/>
      <c r="N81" s="3001"/>
      <c r="O81" s="3001"/>
      <c r="P81" s="3001"/>
      <c r="Q81" s="3001"/>
      <c r="R81" s="3001"/>
      <c r="S81" s="3001"/>
      <c r="T81" s="2994"/>
      <c r="U81" s="2994"/>
      <c r="V81" s="2994"/>
      <c r="W81" s="2994"/>
      <c r="X81" s="2998"/>
      <c r="Y81" s="2998"/>
      <c r="Z81" s="2998"/>
      <c r="AA81" s="2998"/>
      <c r="AB81" s="2998"/>
      <c r="AC81" s="2998"/>
      <c r="AD81" s="2998"/>
      <c r="AE81" s="2998"/>
      <c r="AF81" s="2998"/>
      <c r="AG81" s="2998"/>
      <c r="AH81" s="2998"/>
      <c r="AI81" s="2998"/>
      <c r="AJ81" s="2998"/>
      <c r="AK81" s="2998"/>
      <c r="AL81" s="2998"/>
      <c r="AM81" s="2998"/>
      <c r="AN81" s="2998"/>
      <c r="AO81" s="2998"/>
      <c r="AP81" s="2998"/>
      <c r="AQ81" s="2998"/>
      <c r="AR81" s="2998"/>
      <c r="AS81" s="2998"/>
      <c r="AT81" s="2998"/>
      <c r="AU81" s="2998"/>
    </row>
    <row r="82" spans="1:47" ht="25.05" hidden="1" customHeight="1">
      <c r="A82" s="3013"/>
      <c r="B82" s="2992"/>
      <c r="C82" s="3001"/>
      <c r="D82" s="3001"/>
      <c r="E82" s="3001"/>
      <c r="F82" s="3001"/>
      <c r="G82" s="3001"/>
      <c r="H82" s="3001"/>
      <c r="I82" s="3020"/>
      <c r="J82" s="3020"/>
      <c r="K82" s="3001"/>
      <c r="L82" s="3001"/>
      <c r="M82" s="3001"/>
      <c r="N82" s="3001"/>
      <c r="O82" s="3001"/>
      <c r="P82" s="3001"/>
      <c r="Q82" s="3001"/>
      <c r="R82" s="3001"/>
      <c r="S82" s="3001"/>
      <c r="T82" s="2994"/>
      <c r="U82" s="2994"/>
      <c r="V82" s="2994"/>
      <c r="W82" s="2994"/>
      <c r="X82" s="2998"/>
      <c r="Y82" s="2998"/>
      <c r="Z82" s="2998"/>
      <c r="AA82" s="2998"/>
      <c r="AB82" s="2998"/>
      <c r="AC82" s="2998"/>
      <c r="AD82" s="2998"/>
      <c r="AE82" s="2998"/>
      <c r="AF82" s="2998"/>
      <c r="AG82" s="2998"/>
      <c r="AH82" s="2998"/>
      <c r="AI82" s="2998"/>
      <c r="AJ82" s="2998"/>
      <c r="AK82" s="2998"/>
      <c r="AL82" s="2998"/>
      <c r="AM82" s="2998"/>
      <c r="AN82" s="2998"/>
      <c r="AO82" s="2998"/>
      <c r="AP82" s="2998"/>
      <c r="AQ82" s="2998"/>
      <c r="AR82" s="2998"/>
      <c r="AS82" s="2998"/>
      <c r="AT82" s="2998"/>
      <c r="AU82" s="2998"/>
    </row>
    <row r="83" spans="1:47" ht="25.05" hidden="1" customHeight="1">
      <c r="A83" s="3013"/>
      <c r="B83" s="2992"/>
      <c r="C83" s="3001"/>
      <c r="D83" s="3001"/>
      <c r="E83" s="3001"/>
      <c r="F83" s="3001"/>
      <c r="G83" s="3001"/>
      <c r="H83" s="3001"/>
      <c r="I83" s="3020"/>
      <c r="J83" s="3020"/>
      <c r="K83" s="3001"/>
      <c r="L83" s="3001"/>
      <c r="M83" s="3001"/>
      <c r="N83" s="3001"/>
      <c r="O83" s="3001"/>
      <c r="P83" s="3001"/>
      <c r="Q83" s="3001"/>
      <c r="R83" s="3001"/>
      <c r="S83" s="3001"/>
      <c r="T83" s="2994"/>
      <c r="U83" s="2994"/>
      <c r="V83" s="2994"/>
      <c r="W83" s="2994"/>
      <c r="X83" s="2998"/>
      <c r="Y83" s="2998"/>
      <c r="Z83" s="2998"/>
      <c r="AA83" s="2998"/>
      <c r="AB83" s="2998"/>
      <c r="AC83" s="2998"/>
      <c r="AD83" s="2998"/>
      <c r="AE83" s="2998"/>
      <c r="AF83" s="2998"/>
      <c r="AG83" s="2998"/>
      <c r="AH83" s="2998"/>
      <c r="AI83" s="2998"/>
      <c r="AJ83" s="2998"/>
      <c r="AK83" s="2998"/>
      <c r="AL83" s="2998"/>
      <c r="AM83" s="2998"/>
      <c r="AN83" s="2998"/>
      <c r="AO83" s="2998"/>
      <c r="AP83" s="2998"/>
      <c r="AQ83" s="2998"/>
      <c r="AR83" s="2998"/>
      <c r="AS83" s="2998"/>
      <c r="AT83" s="2998"/>
      <c r="AU83" s="2998"/>
    </row>
    <row r="84" spans="1:47" ht="25.05" hidden="1" customHeight="1">
      <c r="A84" s="3013"/>
      <c r="B84" s="2992"/>
      <c r="C84" s="3001"/>
      <c r="D84" s="3001"/>
      <c r="E84" s="3001"/>
      <c r="F84" s="3001"/>
      <c r="G84" s="3001"/>
      <c r="H84" s="3001"/>
      <c r="I84" s="3020"/>
      <c r="J84" s="3020"/>
      <c r="K84" s="3001"/>
      <c r="L84" s="3001"/>
      <c r="M84" s="3001"/>
      <c r="N84" s="3001"/>
      <c r="O84" s="3001"/>
      <c r="P84" s="3001"/>
      <c r="Q84" s="3001"/>
      <c r="R84" s="3001"/>
      <c r="S84" s="3001"/>
      <c r="T84" s="2994"/>
      <c r="U84" s="2994"/>
      <c r="V84" s="2994"/>
      <c r="W84" s="2994"/>
      <c r="X84" s="2998"/>
      <c r="Y84" s="2998"/>
      <c r="Z84" s="2998"/>
      <c r="AA84" s="2998"/>
      <c r="AB84" s="2998"/>
      <c r="AC84" s="2998"/>
      <c r="AD84" s="2998"/>
      <c r="AE84" s="2998"/>
      <c r="AF84" s="2998"/>
      <c r="AG84" s="2998"/>
      <c r="AH84" s="2998"/>
      <c r="AI84" s="2998"/>
      <c r="AJ84" s="2998"/>
      <c r="AK84" s="2998"/>
      <c r="AL84" s="2998"/>
      <c r="AM84" s="2998"/>
      <c r="AN84" s="2998"/>
      <c r="AO84" s="2998"/>
      <c r="AP84" s="2998"/>
      <c r="AQ84" s="2998"/>
      <c r="AR84" s="2998"/>
      <c r="AS84" s="2998"/>
      <c r="AT84" s="2998"/>
      <c r="AU84" s="2998"/>
    </row>
    <row r="85" spans="1:47" ht="25.05" hidden="1" customHeight="1">
      <c r="A85" s="2997"/>
      <c r="B85" s="2997"/>
      <c r="C85" s="2997"/>
      <c r="D85" s="2997"/>
      <c r="E85" s="2997"/>
      <c r="F85" s="2997"/>
      <c r="G85" s="2997"/>
      <c r="H85" s="2997"/>
      <c r="I85" s="3023"/>
      <c r="J85" s="3023"/>
      <c r="K85" s="2997"/>
      <c r="L85" s="2997"/>
      <c r="M85" s="2997"/>
      <c r="N85" s="2997"/>
      <c r="O85" s="2997"/>
      <c r="P85" s="2997"/>
      <c r="Q85" s="2997"/>
      <c r="R85" s="2997"/>
      <c r="S85" s="2997"/>
      <c r="T85" s="2996"/>
      <c r="U85" s="2996"/>
      <c r="V85" s="2996"/>
      <c r="W85" s="2996"/>
      <c r="X85" s="2996"/>
      <c r="Y85" s="2996"/>
      <c r="Z85" s="2996"/>
      <c r="AA85" s="2996"/>
      <c r="AB85" s="2996"/>
      <c r="AC85" s="2996"/>
      <c r="AD85" s="2996"/>
      <c r="AE85" s="2996"/>
      <c r="AF85" s="2996"/>
      <c r="AG85" s="2996"/>
      <c r="AH85" s="2996"/>
      <c r="AI85" s="2996"/>
      <c r="AJ85" s="2996"/>
      <c r="AK85" s="2996"/>
      <c r="AL85" s="2996"/>
      <c r="AM85" s="2996"/>
      <c r="AN85" s="2996"/>
      <c r="AO85" s="2996"/>
      <c r="AP85" s="2996"/>
      <c r="AQ85" s="2996"/>
      <c r="AR85" s="2996"/>
      <c r="AS85" s="2996"/>
      <c r="AT85" s="2996"/>
      <c r="AU85" s="2996"/>
    </row>
    <row r="86" spans="1:47" ht="25.05" hidden="1" customHeight="1">
      <c r="A86" s="3002"/>
      <c r="B86" s="3003"/>
      <c r="C86" s="2993"/>
      <c r="D86" s="2993"/>
      <c r="E86" s="2993"/>
      <c r="F86" s="2993"/>
      <c r="G86" s="2993"/>
      <c r="H86" s="2993"/>
      <c r="I86" s="3024"/>
      <c r="J86" s="3024"/>
      <c r="K86" s="2993"/>
      <c r="L86" s="2993"/>
      <c r="M86" s="2993"/>
      <c r="N86" s="2993"/>
      <c r="O86" s="2993"/>
      <c r="P86" s="2993"/>
      <c r="Q86" s="2993"/>
      <c r="R86" s="2993"/>
      <c r="S86" s="2993"/>
      <c r="T86" s="2993"/>
      <c r="U86" s="2993"/>
      <c r="V86" s="2993"/>
      <c r="W86" s="2993"/>
      <c r="X86" s="2993"/>
      <c r="Y86" s="3003"/>
      <c r="Z86" s="3003"/>
      <c r="AA86" s="3003"/>
      <c r="AB86" s="3003"/>
      <c r="AC86" s="3003"/>
      <c r="AD86" s="2993"/>
      <c r="AE86" s="2993"/>
      <c r="AF86" s="2993"/>
      <c r="AG86" s="2993"/>
      <c r="AH86" s="2993"/>
      <c r="AI86" s="2993"/>
      <c r="AJ86" s="2993"/>
      <c r="AK86" s="2993"/>
      <c r="AL86" s="2993"/>
      <c r="AM86" s="2993"/>
      <c r="AN86" s="2993"/>
      <c r="AO86" s="2993"/>
      <c r="AP86" s="2993"/>
      <c r="AQ86" s="2993"/>
      <c r="AR86" s="2993"/>
      <c r="AS86" s="2993"/>
      <c r="AT86" s="2993"/>
      <c r="AU86" s="2993"/>
    </row>
    <row r="87" spans="1:47" ht="25.05" hidden="1" customHeight="1">
      <c r="A87" s="3013"/>
      <c r="B87" s="2992"/>
      <c r="C87" s="3001"/>
      <c r="D87" s="3001"/>
      <c r="E87" s="3001"/>
      <c r="F87" s="3001"/>
      <c r="G87" s="3001"/>
      <c r="H87" s="3001"/>
      <c r="I87" s="3020"/>
      <c r="J87" s="3020"/>
      <c r="K87" s="3001"/>
      <c r="L87" s="3001"/>
      <c r="M87" s="3001"/>
      <c r="N87" s="3001"/>
      <c r="O87" s="3001"/>
      <c r="P87" s="3001"/>
      <c r="Q87" s="3001"/>
      <c r="R87" s="3001"/>
      <c r="S87" s="3001"/>
      <c r="T87" s="2994"/>
      <c r="U87" s="2994"/>
      <c r="V87" s="2994"/>
      <c r="W87" s="2994"/>
      <c r="X87" s="2998"/>
      <c r="Y87" s="2998"/>
      <c r="Z87" s="2998"/>
      <c r="AA87" s="2998"/>
      <c r="AB87" s="2998"/>
      <c r="AC87" s="2998"/>
      <c r="AD87" s="2998"/>
      <c r="AE87" s="2998"/>
      <c r="AF87" s="2998"/>
      <c r="AG87" s="2998"/>
      <c r="AH87" s="2998"/>
      <c r="AI87" s="2998"/>
      <c r="AJ87" s="2998"/>
      <c r="AK87" s="2998"/>
      <c r="AL87" s="2998"/>
      <c r="AM87" s="2998"/>
      <c r="AN87" s="2998"/>
      <c r="AO87" s="2998"/>
      <c r="AP87" s="2998"/>
      <c r="AQ87" s="2998"/>
      <c r="AR87" s="2998"/>
      <c r="AS87" s="2998"/>
      <c r="AT87" s="2998"/>
      <c r="AU87" s="2998"/>
    </row>
    <row r="88" spans="1:47" ht="25.05" hidden="1" customHeight="1">
      <c r="A88" s="3013"/>
      <c r="B88" s="2992"/>
      <c r="C88" s="3001"/>
      <c r="D88" s="3001"/>
      <c r="E88" s="3001"/>
      <c r="F88" s="3001"/>
      <c r="G88" s="3001"/>
      <c r="H88" s="3001"/>
      <c r="I88" s="3020"/>
      <c r="J88" s="3020"/>
      <c r="K88" s="3001"/>
      <c r="L88" s="3001"/>
      <c r="M88" s="3001"/>
      <c r="N88" s="3001"/>
      <c r="O88" s="3001"/>
      <c r="P88" s="3001"/>
      <c r="Q88" s="3001"/>
      <c r="R88" s="3001"/>
      <c r="S88" s="3001"/>
      <c r="T88" s="2994"/>
      <c r="U88" s="2994"/>
      <c r="V88" s="2994"/>
      <c r="W88" s="2994"/>
      <c r="X88" s="2998"/>
      <c r="Y88" s="2998"/>
      <c r="Z88" s="2998"/>
      <c r="AA88" s="2998"/>
      <c r="AB88" s="2998"/>
      <c r="AC88" s="2998"/>
      <c r="AD88" s="2998"/>
      <c r="AE88" s="2998"/>
      <c r="AF88" s="2998"/>
      <c r="AG88" s="2998"/>
      <c r="AH88" s="2998"/>
      <c r="AI88" s="2998"/>
      <c r="AJ88" s="2998"/>
      <c r="AK88" s="2998"/>
      <c r="AL88" s="2998"/>
      <c r="AM88" s="2998"/>
      <c r="AN88" s="2998"/>
      <c r="AO88" s="2998"/>
      <c r="AP88" s="2998"/>
      <c r="AQ88" s="2998"/>
      <c r="AR88" s="2998"/>
      <c r="AS88" s="2998"/>
      <c r="AT88" s="2998"/>
      <c r="AU88" s="2998"/>
    </row>
    <row r="89" spans="1:47" ht="25.05" hidden="1" customHeight="1">
      <c r="A89" s="3013"/>
      <c r="B89" s="2992"/>
      <c r="C89" s="3001"/>
      <c r="D89" s="3001"/>
      <c r="E89" s="3001"/>
      <c r="F89" s="3001"/>
      <c r="G89" s="3001"/>
      <c r="H89" s="3001"/>
      <c r="I89" s="3020"/>
      <c r="J89" s="3020"/>
      <c r="K89" s="3001"/>
      <c r="L89" s="3001"/>
      <c r="M89" s="3001"/>
      <c r="N89" s="3001"/>
      <c r="O89" s="3001"/>
      <c r="P89" s="3001"/>
      <c r="Q89" s="3001"/>
      <c r="R89" s="3001"/>
      <c r="S89" s="3001"/>
      <c r="T89" s="2994"/>
      <c r="U89" s="2994"/>
      <c r="V89" s="2994"/>
      <c r="W89" s="2994"/>
      <c r="X89" s="2998"/>
      <c r="Y89" s="2998"/>
      <c r="Z89" s="2998"/>
      <c r="AA89" s="2998"/>
      <c r="AB89" s="2998"/>
      <c r="AC89" s="2998"/>
      <c r="AD89" s="2998"/>
      <c r="AE89" s="2998"/>
      <c r="AF89" s="2998"/>
      <c r="AG89" s="2998"/>
      <c r="AH89" s="2998"/>
      <c r="AI89" s="2998"/>
      <c r="AJ89" s="2998"/>
      <c r="AK89" s="2998"/>
      <c r="AL89" s="2998"/>
      <c r="AM89" s="2998"/>
      <c r="AN89" s="2998"/>
      <c r="AO89" s="2998"/>
      <c r="AP89" s="2998"/>
      <c r="AQ89" s="2998"/>
      <c r="AR89" s="2998"/>
      <c r="AS89" s="2998"/>
      <c r="AT89" s="2998"/>
      <c r="AU89" s="2998"/>
    </row>
    <row r="90" spans="1:47" ht="25.05" hidden="1" customHeight="1">
      <c r="A90" s="3013"/>
      <c r="B90" s="2992"/>
      <c r="C90" s="3001"/>
      <c r="D90" s="3001"/>
      <c r="E90" s="3001"/>
      <c r="F90" s="3001"/>
      <c r="G90" s="3001"/>
      <c r="H90" s="3001"/>
      <c r="I90" s="3020"/>
      <c r="J90" s="3020"/>
      <c r="K90" s="3001"/>
      <c r="L90" s="3001"/>
      <c r="M90" s="3001"/>
      <c r="N90" s="3001"/>
      <c r="O90" s="3001"/>
      <c r="P90" s="3001"/>
      <c r="Q90" s="3001"/>
      <c r="R90" s="3001"/>
      <c r="S90" s="3001"/>
      <c r="T90" s="2994"/>
      <c r="U90" s="2994"/>
      <c r="V90" s="2994"/>
      <c r="W90" s="2994"/>
      <c r="X90" s="2998"/>
      <c r="Y90" s="2998"/>
      <c r="Z90" s="2998"/>
      <c r="AA90" s="2998"/>
      <c r="AB90" s="2998"/>
      <c r="AC90" s="2998"/>
      <c r="AD90" s="2998"/>
      <c r="AE90" s="2998"/>
      <c r="AF90" s="2998"/>
      <c r="AG90" s="2998"/>
      <c r="AH90" s="2998"/>
      <c r="AI90" s="2998"/>
      <c r="AJ90" s="2998"/>
      <c r="AK90" s="2998"/>
      <c r="AL90" s="2998"/>
      <c r="AM90" s="2998"/>
      <c r="AN90" s="2998"/>
      <c r="AO90" s="2998"/>
      <c r="AP90" s="2998"/>
      <c r="AQ90" s="2998"/>
      <c r="AR90" s="2998"/>
      <c r="AS90" s="2998"/>
      <c r="AT90" s="2998"/>
      <c r="AU90" s="2998"/>
    </row>
    <row r="91" spans="1:47" ht="25.05" hidden="1" customHeight="1">
      <c r="A91" s="3013"/>
      <c r="B91" s="2992"/>
      <c r="C91" s="3001"/>
      <c r="D91" s="3001"/>
      <c r="E91" s="3001"/>
      <c r="F91" s="3001"/>
      <c r="G91" s="3001"/>
      <c r="H91" s="3001"/>
      <c r="I91" s="3020"/>
      <c r="J91" s="3020"/>
      <c r="K91" s="3001"/>
      <c r="L91" s="3001"/>
      <c r="M91" s="3001"/>
      <c r="N91" s="3001"/>
      <c r="O91" s="3001"/>
      <c r="P91" s="3001"/>
      <c r="Q91" s="3001"/>
      <c r="R91" s="3001"/>
      <c r="S91" s="3001"/>
      <c r="T91" s="2994"/>
      <c r="U91" s="2994"/>
      <c r="V91" s="2994"/>
      <c r="W91" s="2994"/>
      <c r="X91" s="2998"/>
      <c r="Y91" s="2998"/>
      <c r="Z91" s="2998"/>
      <c r="AA91" s="2998"/>
      <c r="AB91" s="2998"/>
      <c r="AC91" s="2998"/>
      <c r="AD91" s="2998"/>
      <c r="AE91" s="2998"/>
      <c r="AF91" s="2998"/>
      <c r="AG91" s="2998"/>
      <c r="AH91" s="2998"/>
      <c r="AI91" s="2998"/>
      <c r="AJ91" s="2998"/>
      <c r="AK91" s="2998"/>
      <c r="AL91" s="2998"/>
      <c r="AM91" s="2998"/>
      <c r="AN91" s="2998"/>
      <c r="AO91" s="2998"/>
      <c r="AP91" s="2998"/>
      <c r="AQ91" s="2998"/>
      <c r="AR91" s="2998"/>
      <c r="AS91" s="2998"/>
      <c r="AT91" s="2998"/>
      <c r="AU91" s="2998"/>
    </row>
    <row r="92" spans="1:47" ht="25.05" hidden="1" customHeight="1">
      <c r="A92" s="3013"/>
      <c r="B92" s="2992"/>
      <c r="C92" s="3001"/>
      <c r="D92" s="3001"/>
      <c r="E92" s="3001"/>
      <c r="F92" s="3001"/>
      <c r="G92" s="3001"/>
      <c r="H92" s="3001"/>
      <c r="I92" s="3020"/>
      <c r="J92" s="3020"/>
      <c r="K92" s="3001"/>
      <c r="L92" s="3001"/>
      <c r="M92" s="3001"/>
      <c r="N92" s="3001"/>
      <c r="O92" s="3001"/>
      <c r="P92" s="3001"/>
      <c r="Q92" s="3001"/>
      <c r="R92" s="3001"/>
      <c r="S92" s="3001"/>
      <c r="T92" s="2994"/>
      <c r="U92" s="2994"/>
      <c r="V92" s="2994"/>
      <c r="W92" s="2994"/>
      <c r="X92" s="2998"/>
      <c r="Y92" s="2998"/>
      <c r="Z92" s="2998"/>
      <c r="AA92" s="2998"/>
      <c r="AB92" s="2998"/>
      <c r="AC92" s="2998"/>
      <c r="AD92" s="2998"/>
      <c r="AE92" s="2998"/>
      <c r="AF92" s="2998"/>
      <c r="AG92" s="2998"/>
      <c r="AH92" s="2998"/>
      <c r="AI92" s="2998"/>
      <c r="AJ92" s="2998"/>
      <c r="AK92" s="2998"/>
      <c r="AL92" s="2998"/>
      <c r="AM92" s="2998"/>
      <c r="AN92" s="2998"/>
      <c r="AO92" s="2998"/>
      <c r="AP92" s="2998"/>
      <c r="AQ92" s="2998"/>
      <c r="AR92" s="2998"/>
      <c r="AS92" s="2998"/>
      <c r="AT92" s="2998"/>
      <c r="AU92" s="2998"/>
    </row>
    <row r="93" spans="1:47" ht="25.05" hidden="1" customHeight="1">
      <c r="A93" s="3013"/>
      <c r="B93" s="2992"/>
      <c r="C93" s="3001"/>
      <c r="D93" s="3001"/>
      <c r="E93" s="3001"/>
      <c r="F93" s="3001"/>
      <c r="G93" s="3001"/>
      <c r="H93" s="3001"/>
      <c r="I93" s="3020"/>
      <c r="J93" s="3020"/>
      <c r="K93" s="3001"/>
      <c r="L93" s="3001"/>
      <c r="M93" s="3001"/>
      <c r="N93" s="3001"/>
      <c r="O93" s="3001"/>
      <c r="P93" s="3001"/>
      <c r="Q93" s="3001"/>
      <c r="R93" s="3001"/>
      <c r="S93" s="3001"/>
      <c r="T93" s="2994"/>
      <c r="U93" s="2994"/>
      <c r="V93" s="2994"/>
      <c r="W93" s="2994"/>
      <c r="X93" s="2998"/>
      <c r="Y93" s="2998"/>
      <c r="Z93" s="2998"/>
      <c r="AA93" s="2998"/>
      <c r="AB93" s="2998"/>
      <c r="AC93" s="2998"/>
      <c r="AD93" s="2998"/>
      <c r="AE93" s="2998"/>
      <c r="AF93" s="2998"/>
      <c r="AG93" s="2998"/>
      <c r="AH93" s="2998"/>
      <c r="AI93" s="2998"/>
      <c r="AJ93" s="2998"/>
      <c r="AK93" s="2998"/>
      <c r="AL93" s="2998"/>
      <c r="AM93" s="2998"/>
      <c r="AN93" s="2998"/>
      <c r="AO93" s="2998"/>
      <c r="AP93" s="2998"/>
      <c r="AQ93" s="2998"/>
      <c r="AR93" s="2998"/>
      <c r="AS93" s="2998"/>
      <c r="AT93" s="2998"/>
      <c r="AU93" s="2998"/>
    </row>
    <row r="94" spans="1:47" ht="25.05" hidden="1" customHeight="1">
      <c r="A94" s="3013"/>
      <c r="B94" s="2992"/>
      <c r="C94" s="3001"/>
      <c r="D94" s="3001"/>
      <c r="E94" s="3001"/>
      <c r="F94" s="3001"/>
      <c r="G94" s="3001"/>
      <c r="H94" s="3001"/>
      <c r="I94" s="3020"/>
      <c r="J94" s="3020"/>
      <c r="K94" s="3001"/>
      <c r="L94" s="3001"/>
      <c r="M94" s="3001"/>
      <c r="N94" s="3001"/>
      <c r="O94" s="3001"/>
      <c r="P94" s="3001"/>
      <c r="Q94" s="3001"/>
      <c r="R94" s="3001"/>
      <c r="S94" s="3001"/>
      <c r="T94" s="2994"/>
      <c r="U94" s="2994"/>
      <c r="V94" s="2994"/>
      <c r="W94" s="2994"/>
      <c r="X94" s="2998"/>
      <c r="Y94" s="2998"/>
      <c r="Z94" s="2998"/>
      <c r="AA94" s="2998"/>
      <c r="AB94" s="2998"/>
      <c r="AC94" s="2998"/>
      <c r="AD94" s="2998"/>
      <c r="AE94" s="2998"/>
      <c r="AF94" s="2998"/>
      <c r="AG94" s="2998"/>
      <c r="AH94" s="2998"/>
      <c r="AI94" s="2998"/>
      <c r="AJ94" s="2998"/>
      <c r="AK94" s="2998"/>
      <c r="AL94" s="2998"/>
      <c r="AM94" s="2998"/>
      <c r="AN94" s="2998"/>
      <c r="AO94" s="2998"/>
      <c r="AP94" s="2998"/>
      <c r="AQ94" s="2998"/>
      <c r="AR94" s="2998"/>
      <c r="AS94" s="2998"/>
      <c r="AT94" s="2998"/>
      <c r="AU94" s="2998"/>
    </row>
    <row r="95" spans="1:47" ht="25.05" hidden="1" customHeight="1">
      <c r="A95" s="3013"/>
      <c r="B95" s="2992"/>
      <c r="C95" s="3001"/>
      <c r="D95" s="3001"/>
      <c r="E95" s="3001"/>
      <c r="F95" s="3001"/>
      <c r="G95" s="3001"/>
      <c r="H95" s="3001"/>
      <c r="I95" s="3020"/>
      <c r="J95" s="3020"/>
      <c r="K95" s="3001"/>
      <c r="L95" s="3001"/>
      <c r="M95" s="3001"/>
      <c r="N95" s="3001"/>
      <c r="O95" s="3001"/>
      <c r="P95" s="3001"/>
      <c r="Q95" s="3001"/>
      <c r="R95" s="3001"/>
      <c r="S95" s="3001"/>
      <c r="T95" s="2994"/>
      <c r="U95" s="2994"/>
      <c r="V95" s="2994"/>
      <c r="W95" s="2994"/>
      <c r="X95" s="2998"/>
      <c r="Y95" s="2998"/>
      <c r="Z95" s="2998"/>
      <c r="AA95" s="2998"/>
      <c r="AB95" s="2998"/>
      <c r="AC95" s="2998"/>
      <c r="AD95" s="2998"/>
      <c r="AE95" s="2998"/>
      <c r="AF95" s="2998"/>
      <c r="AG95" s="2998"/>
      <c r="AH95" s="2998"/>
      <c r="AI95" s="2998"/>
      <c r="AJ95" s="2998"/>
      <c r="AK95" s="2998"/>
      <c r="AL95" s="2998"/>
      <c r="AM95" s="2998"/>
      <c r="AN95" s="2998"/>
      <c r="AO95" s="2998"/>
      <c r="AP95" s="2998"/>
      <c r="AQ95" s="2998"/>
      <c r="AR95" s="2998"/>
      <c r="AS95" s="2998"/>
      <c r="AT95" s="2998"/>
      <c r="AU95" s="2998"/>
    </row>
    <row r="96" spans="1:47" ht="25.05" hidden="1" customHeight="1">
      <c r="A96" s="3013"/>
      <c r="B96" s="2992"/>
      <c r="C96" s="3001"/>
      <c r="D96" s="3001"/>
      <c r="E96" s="3001"/>
      <c r="F96" s="3001"/>
      <c r="G96" s="3001"/>
      <c r="H96" s="3001"/>
      <c r="I96" s="3020"/>
      <c r="J96" s="3020"/>
      <c r="K96" s="3001"/>
      <c r="L96" s="3001"/>
      <c r="M96" s="3001"/>
      <c r="N96" s="3001"/>
      <c r="O96" s="3001"/>
      <c r="P96" s="3001"/>
      <c r="Q96" s="3001"/>
      <c r="R96" s="3001"/>
      <c r="S96" s="3001"/>
      <c r="T96" s="2994"/>
      <c r="U96" s="2994"/>
      <c r="V96" s="2994"/>
      <c r="W96" s="2994"/>
      <c r="X96" s="2998"/>
      <c r="Y96" s="2998"/>
      <c r="Z96" s="2998"/>
      <c r="AA96" s="2998"/>
      <c r="AB96" s="2998"/>
      <c r="AC96" s="2998"/>
      <c r="AD96" s="2998"/>
      <c r="AE96" s="2998"/>
      <c r="AF96" s="2998"/>
      <c r="AG96" s="2998"/>
      <c r="AH96" s="2998"/>
      <c r="AI96" s="2998"/>
      <c r="AJ96" s="2998"/>
      <c r="AK96" s="2998"/>
      <c r="AL96" s="2998"/>
      <c r="AM96" s="2998"/>
      <c r="AN96" s="2998"/>
      <c r="AO96" s="2998"/>
      <c r="AP96" s="2998"/>
      <c r="AQ96" s="2998"/>
      <c r="AR96" s="2998"/>
      <c r="AS96" s="2998"/>
      <c r="AT96" s="2998"/>
      <c r="AU96" s="2998"/>
    </row>
    <row r="97" spans="1:47" ht="25.05" hidden="1" customHeight="1">
      <c r="A97" s="3013"/>
      <c r="B97" s="2992"/>
      <c r="C97" s="3001"/>
      <c r="D97" s="3001"/>
      <c r="E97" s="3001"/>
      <c r="F97" s="3001"/>
      <c r="G97" s="3001"/>
      <c r="H97" s="3001"/>
      <c r="I97" s="3020"/>
      <c r="J97" s="3020"/>
      <c r="K97" s="3001"/>
      <c r="L97" s="3001"/>
      <c r="M97" s="3001"/>
      <c r="N97" s="3001"/>
      <c r="O97" s="3001"/>
      <c r="P97" s="3001"/>
      <c r="Q97" s="3001"/>
      <c r="R97" s="3001"/>
      <c r="S97" s="3001"/>
      <c r="T97" s="2994"/>
      <c r="U97" s="2994"/>
      <c r="V97" s="2994"/>
      <c r="W97" s="2994"/>
      <c r="X97" s="2998"/>
      <c r="Y97" s="2998"/>
      <c r="Z97" s="2998"/>
      <c r="AA97" s="2998"/>
      <c r="AB97" s="2998"/>
      <c r="AC97" s="2998"/>
      <c r="AD97" s="2998"/>
      <c r="AE97" s="2998"/>
      <c r="AF97" s="2998"/>
      <c r="AG97" s="2998"/>
      <c r="AH97" s="2998"/>
      <c r="AI97" s="2998"/>
      <c r="AJ97" s="2998"/>
      <c r="AK97" s="2998"/>
      <c r="AL97" s="2998"/>
      <c r="AM97" s="2998"/>
      <c r="AN97" s="2998"/>
      <c r="AO97" s="2998"/>
      <c r="AP97" s="2998"/>
      <c r="AQ97" s="2998"/>
      <c r="AR97" s="2998"/>
      <c r="AS97" s="2998"/>
      <c r="AT97" s="2998"/>
      <c r="AU97" s="2998"/>
    </row>
    <row r="98" spans="1:47" ht="25.05" hidden="1" customHeight="1">
      <c r="A98" s="2997"/>
      <c r="B98" s="2997"/>
      <c r="C98" s="2997"/>
      <c r="D98" s="2997"/>
      <c r="E98" s="2997"/>
      <c r="F98" s="2997"/>
      <c r="G98" s="2997"/>
      <c r="H98" s="2997"/>
      <c r="I98" s="3023"/>
      <c r="J98" s="3023"/>
      <c r="K98" s="2997"/>
      <c r="L98" s="2997"/>
      <c r="M98" s="2997"/>
      <c r="N98" s="2997"/>
      <c r="O98" s="2997"/>
      <c r="P98" s="2997"/>
      <c r="Q98" s="2997"/>
      <c r="R98" s="2997"/>
      <c r="S98" s="2997"/>
      <c r="T98" s="2996"/>
      <c r="U98" s="2996"/>
      <c r="V98" s="2996"/>
      <c r="W98" s="2996"/>
      <c r="X98" s="2996"/>
      <c r="Y98" s="2996"/>
      <c r="Z98" s="2996"/>
      <c r="AA98" s="2996"/>
      <c r="AB98" s="2996"/>
      <c r="AC98" s="2996"/>
      <c r="AD98" s="2996"/>
      <c r="AE98" s="2996"/>
      <c r="AF98" s="2996"/>
      <c r="AG98" s="2996"/>
      <c r="AH98" s="2996"/>
      <c r="AI98" s="2996"/>
      <c r="AJ98" s="2996"/>
      <c r="AK98" s="2996"/>
      <c r="AL98" s="2996"/>
      <c r="AM98" s="2996"/>
      <c r="AN98" s="2996"/>
      <c r="AO98" s="2996"/>
      <c r="AP98" s="2996"/>
      <c r="AQ98" s="2996"/>
      <c r="AR98" s="2996"/>
      <c r="AS98" s="2996"/>
      <c r="AT98" s="2996"/>
      <c r="AU98" s="2996"/>
    </row>
    <row r="99" spans="1:47" ht="25.05" customHeight="1">
      <c r="A99" s="3006" t="s">
        <v>2321</v>
      </c>
      <c r="B99" s="3006"/>
      <c r="C99" s="3014">
        <f>C44+C56+C35</f>
        <v>1195.7</v>
      </c>
      <c r="D99" s="3014">
        <f>D44+D56+D35</f>
        <v>1509.7</v>
      </c>
      <c r="E99" s="3014">
        <f t="shared" ref="E99:H99" si="16">E44+E56+E35</f>
        <v>970.7</v>
      </c>
      <c r="F99" s="3014">
        <f t="shared" si="16"/>
        <v>539</v>
      </c>
      <c r="G99" s="3014">
        <f t="shared" si="16"/>
        <v>10</v>
      </c>
      <c r="H99" s="3014">
        <f t="shared" si="16"/>
        <v>15</v>
      </c>
      <c r="I99" s="3025">
        <f t="shared" ref="I99:J99" si="17">SUM(I11:I98)</f>
        <v>0</v>
      </c>
      <c r="J99" s="3025">
        <f t="shared" si="17"/>
        <v>0</v>
      </c>
      <c r="K99" s="3014">
        <f t="shared" ref="K99:AT99" si="18">K44+K56+K35</f>
        <v>31</v>
      </c>
      <c r="L99" s="3014">
        <f t="shared" si="18"/>
        <v>17</v>
      </c>
      <c r="M99" s="3014">
        <f t="shared" si="18"/>
        <v>7</v>
      </c>
      <c r="N99" s="3014">
        <f t="shared" si="18"/>
        <v>5</v>
      </c>
      <c r="O99" s="3014">
        <f t="shared" si="18"/>
        <v>6</v>
      </c>
      <c r="P99" s="3014">
        <f t="shared" si="18"/>
        <v>1</v>
      </c>
      <c r="Q99" s="3014">
        <f t="shared" si="18"/>
        <v>3</v>
      </c>
      <c r="R99" s="3014">
        <f t="shared" si="18"/>
        <v>1</v>
      </c>
      <c r="S99" s="3014">
        <f t="shared" si="18"/>
        <v>3</v>
      </c>
      <c r="T99" s="3014">
        <f t="shared" si="18"/>
        <v>1</v>
      </c>
      <c r="U99" s="3014">
        <f t="shared" si="18"/>
        <v>22</v>
      </c>
      <c r="V99" s="3014">
        <f t="shared" si="18"/>
        <v>3</v>
      </c>
      <c r="W99" s="3014">
        <f t="shared" si="18"/>
        <v>1</v>
      </c>
      <c r="X99" s="3014">
        <f t="shared" si="18"/>
        <v>1</v>
      </c>
      <c r="Y99" s="3014">
        <f t="shared" si="18"/>
        <v>7</v>
      </c>
      <c r="Z99" s="3014">
        <f t="shared" si="18"/>
        <v>10</v>
      </c>
      <c r="AA99" s="3014">
        <f t="shared" si="18"/>
        <v>154</v>
      </c>
      <c r="AB99" s="3014">
        <f t="shared" si="18"/>
        <v>63</v>
      </c>
      <c r="AC99" s="3014">
        <f t="shared" si="18"/>
        <v>6</v>
      </c>
      <c r="AD99" s="3014">
        <f t="shared" si="18"/>
        <v>5</v>
      </c>
      <c r="AE99" s="3014">
        <f t="shared" si="18"/>
        <v>1</v>
      </c>
      <c r="AF99" s="3014">
        <f t="shared" si="18"/>
        <v>14</v>
      </c>
      <c r="AG99" s="3014">
        <f t="shared" si="18"/>
        <v>6</v>
      </c>
      <c r="AH99" s="3014">
        <f t="shared" si="18"/>
        <v>86</v>
      </c>
      <c r="AI99" s="3014">
        <f t="shared" si="18"/>
        <v>60</v>
      </c>
      <c r="AJ99" s="3014">
        <f t="shared" si="18"/>
        <v>9</v>
      </c>
      <c r="AK99" s="3014">
        <f t="shared" si="18"/>
        <v>9</v>
      </c>
      <c r="AL99" s="3014">
        <f t="shared" si="18"/>
        <v>4</v>
      </c>
      <c r="AM99" s="3014">
        <f t="shared" si="18"/>
        <v>42</v>
      </c>
      <c r="AN99" s="3014">
        <f t="shared" si="18"/>
        <v>3</v>
      </c>
      <c r="AO99" s="3014">
        <f t="shared" si="18"/>
        <v>9</v>
      </c>
      <c r="AP99" s="3014">
        <f t="shared" si="18"/>
        <v>4</v>
      </c>
      <c r="AQ99" s="3014">
        <f t="shared" si="18"/>
        <v>1</v>
      </c>
      <c r="AR99" s="3014">
        <f t="shared" si="18"/>
        <v>1</v>
      </c>
      <c r="AS99" s="3014">
        <f t="shared" si="18"/>
        <v>3</v>
      </c>
      <c r="AT99" s="3014">
        <f t="shared" si="18"/>
        <v>6</v>
      </c>
      <c r="AU99" s="3014"/>
    </row>
    <row r="100" spans="1:47" ht="25.05" customHeight="1">
      <c r="W100" s="458"/>
      <c r="X100" s="458"/>
      <c r="Y100" s="458"/>
      <c r="Z100" s="458"/>
      <c r="AA100" s="458"/>
      <c r="AB100" s="458"/>
      <c r="AC100" s="458"/>
    </row>
    <row r="101" spans="1:47" ht="25.05" customHeight="1">
      <c r="W101" s="458"/>
      <c r="X101" s="458"/>
      <c r="Y101" s="458"/>
      <c r="Z101" s="458"/>
      <c r="AA101" s="458"/>
      <c r="AB101" s="458"/>
      <c r="AC101" s="458"/>
    </row>
    <row r="102" spans="1:47" ht="25.05" customHeight="1">
      <c r="B102" s="755"/>
      <c r="C102" s="757"/>
      <c r="W102" s="458"/>
      <c r="X102" s="458"/>
      <c r="Y102" s="458"/>
      <c r="Z102" s="458"/>
      <c r="AA102" s="458"/>
      <c r="AB102" s="458"/>
      <c r="AC102" s="458"/>
    </row>
    <row r="103" spans="1:47" ht="25.05" customHeight="1">
      <c r="B103" s="755"/>
      <c r="C103" s="757"/>
      <c r="W103" s="458"/>
      <c r="X103" s="458"/>
      <c r="Y103" s="458"/>
      <c r="Z103" s="458"/>
      <c r="AA103" s="458"/>
      <c r="AB103" s="458"/>
      <c r="AC103" s="458"/>
    </row>
    <row r="104" spans="1:47" ht="25.05" customHeight="1">
      <c r="B104" s="755"/>
      <c r="C104" s="757"/>
      <c r="W104" s="458"/>
      <c r="X104" s="458"/>
      <c r="Y104" s="458"/>
      <c r="Z104" s="458"/>
      <c r="AA104" s="458"/>
      <c r="AB104" s="458"/>
      <c r="AC104" s="458"/>
    </row>
    <row r="105" spans="1:47" ht="25.05" customHeight="1">
      <c r="W105" s="458"/>
      <c r="X105" s="458"/>
      <c r="Y105" s="458"/>
      <c r="Z105" s="458"/>
      <c r="AA105" s="458"/>
      <c r="AB105" s="458"/>
      <c r="AC105" s="458"/>
    </row>
    <row r="106" spans="1:47" ht="25.05" customHeight="1">
      <c r="W106" s="458"/>
      <c r="X106" s="458"/>
      <c r="Y106" s="458"/>
      <c r="Z106" s="458"/>
      <c r="AA106" s="458"/>
      <c r="AB106" s="458"/>
      <c r="AC106" s="458"/>
    </row>
    <row r="107" spans="1:47" ht="25.05" customHeight="1">
      <c r="W107" s="458"/>
      <c r="X107" s="458"/>
      <c r="Y107" s="458"/>
      <c r="Z107" s="458"/>
      <c r="AA107" s="458"/>
      <c r="AB107" s="458"/>
      <c r="AC107" s="458"/>
    </row>
    <row r="108" spans="1:47" ht="25.05" customHeight="1">
      <c r="W108" s="458"/>
      <c r="X108" s="458"/>
      <c r="Y108" s="458"/>
      <c r="Z108" s="458"/>
      <c r="AA108" s="458"/>
      <c r="AB108" s="458"/>
      <c r="AC108" s="458"/>
    </row>
    <row r="109" spans="1:47" ht="25.05" customHeight="1">
      <c r="W109" s="458"/>
      <c r="X109" s="458"/>
      <c r="Y109" s="458"/>
      <c r="Z109" s="458"/>
      <c r="AA109" s="458"/>
      <c r="AB109" s="458"/>
      <c r="AC109" s="458"/>
    </row>
    <row r="110" spans="1:47" ht="25.05" customHeight="1">
      <c r="W110" s="458"/>
      <c r="X110" s="458"/>
      <c r="Y110" s="458"/>
      <c r="Z110" s="458"/>
      <c r="AA110" s="458"/>
      <c r="AB110" s="458"/>
      <c r="AC110" s="458"/>
    </row>
    <row r="111" spans="1:47" ht="25.05" customHeight="1">
      <c r="W111" s="458"/>
      <c r="X111" s="458"/>
      <c r="Y111" s="458"/>
      <c r="Z111" s="458"/>
      <c r="AA111" s="458"/>
      <c r="AB111" s="458"/>
      <c r="AC111" s="458"/>
    </row>
    <row r="112" spans="1:47" ht="25.05" customHeight="1">
      <c r="W112" s="458"/>
      <c r="X112" s="458"/>
      <c r="Y112" s="458"/>
      <c r="Z112" s="458"/>
      <c r="AA112" s="458"/>
      <c r="AB112" s="458"/>
      <c r="AC112" s="458"/>
    </row>
    <row r="113" spans="23:29" ht="25.05" customHeight="1">
      <c r="W113" s="458"/>
      <c r="X113" s="458"/>
      <c r="Y113" s="458"/>
      <c r="Z113" s="458"/>
      <c r="AA113" s="458"/>
      <c r="AB113" s="458"/>
      <c r="AC113" s="458"/>
    </row>
    <row r="114" spans="23:29" ht="25.05" customHeight="1">
      <c r="W114" s="458"/>
      <c r="X114" s="458"/>
      <c r="Y114" s="458"/>
      <c r="Z114" s="458"/>
      <c r="AA114" s="458"/>
      <c r="AB114" s="458"/>
      <c r="AC114" s="458"/>
    </row>
    <row r="115" spans="23:29" ht="25.05" customHeight="1">
      <c r="W115" s="458"/>
      <c r="X115" s="458"/>
      <c r="Y115" s="458"/>
      <c r="Z115" s="458"/>
      <c r="AA115" s="458"/>
      <c r="AB115" s="458"/>
      <c r="AC115" s="458"/>
    </row>
    <row r="116" spans="23:29" ht="25.05" customHeight="1">
      <c r="W116" s="458"/>
      <c r="X116" s="458"/>
      <c r="Y116" s="458"/>
      <c r="Z116" s="458"/>
      <c r="AA116" s="458"/>
      <c r="AB116" s="458"/>
      <c r="AC116" s="458"/>
    </row>
    <row r="117" spans="23:29" ht="25.05" customHeight="1">
      <c r="W117" s="458"/>
      <c r="X117" s="458"/>
      <c r="Y117" s="458"/>
      <c r="Z117" s="458"/>
      <c r="AA117" s="458"/>
      <c r="AB117" s="458"/>
      <c r="AC117" s="458"/>
    </row>
    <row r="118" spans="23:29" ht="25.05" customHeight="1">
      <c r="W118" s="458"/>
      <c r="X118" s="458"/>
      <c r="Y118" s="458"/>
      <c r="Z118" s="458"/>
      <c r="AA118" s="458"/>
      <c r="AB118" s="458"/>
      <c r="AC118" s="458"/>
    </row>
    <row r="119" spans="23:29" ht="25.05" customHeight="1">
      <c r="W119" s="458"/>
      <c r="X119" s="458"/>
      <c r="Y119" s="458"/>
      <c r="Z119" s="458"/>
      <c r="AA119" s="458"/>
      <c r="AB119" s="458"/>
      <c r="AC119" s="458"/>
    </row>
    <row r="120" spans="23:29" ht="25.05" customHeight="1">
      <c r="W120" s="458"/>
      <c r="X120" s="458"/>
      <c r="Y120" s="458"/>
      <c r="Z120" s="458"/>
      <c r="AA120" s="458"/>
      <c r="AB120" s="458"/>
      <c r="AC120" s="458"/>
    </row>
    <row r="121" spans="23:29" ht="25.05" customHeight="1">
      <c r="W121" s="458"/>
      <c r="X121" s="458"/>
      <c r="Y121" s="458"/>
      <c r="Z121" s="458"/>
      <c r="AA121" s="458"/>
      <c r="AB121" s="458"/>
      <c r="AC121" s="458"/>
    </row>
    <row r="122" spans="23:29" ht="25.05" customHeight="1">
      <c r="W122" s="458"/>
      <c r="X122" s="458"/>
      <c r="Y122" s="458"/>
      <c r="Z122" s="458"/>
      <c r="AA122" s="458"/>
      <c r="AB122" s="458"/>
      <c r="AC122" s="458"/>
    </row>
    <row r="123" spans="23:29" ht="25.05" customHeight="1">
      <c r="W123" s="458"/>
      <c r="X123" s="458"/>
      <c r="Y123" s="458"/>
      <c r="Z123" s="458"/>
      <c r="AA123" s="458"/>
      <c r="AB123" s="458"/>
      <c r="AC123" s="458"/>
    </row>
    <row r="124" spans="23:29" ht="25.05" customHeight="1">
      <c r="W124" s="458"/>
      <c r="X124" s="458"/>
      <c r="Y124" s="458"/>
      <c r="Z124" s="458"/>
      <c r="AA124" s="458"/>
      <c r="AB124" s="458"/>
      <c r="AC124" s="458"/>
    </row>
    <row r="125" spans="23:29" ht="25.05" customHeight="1">
      <c r="W125" s="458"/>
      <c r="X125" s="458"/>
      <c r="Y125" s="458"/>
      <c r="Z125" s="458"/>
      <c r="AA125" s="458"/>
      <c r="AB125" s="458"/>
      <c r="AC125" s="458"/>
    </row>
    <row r="126" spans="23:29" ht="25.05" customHeight="1">
      <c r="W126" s="458"/>
      <c r="X126" s="458"/>
      <c r="Y126" s="458"/>
      <c r="Z126" s="458"/>
      <c r="AA126" s="458"/>
      <c r="AB126" s="458"/>
      <c r="AC126" s="458"/>
    </row>
    <row r="127" spans="23:29" ht="25.05" customHeight="1">
      <c r="W127" s="458"/>
      <c r="X127" s="458"/>
      <c r="Y127" s="458"/>
      <c r="Z127" s="458"/>
      <c r="AA127" s="458"/>
      <c r="AB127" s="458"/>
      <c r="AC127" s="458"/>
    </row>
    <row r="128" spans="23:29" ht="25.05" customHeight="1">
      <c r="W128" s="458"/>
      <c r="X128" s="458"/>
      <c r="Y128" s="458"/>
      <c r="Z128" s="458"/>
      <c r="AA128" s="458"/>
      <c r="AB128" s="458"/>
      <c r="AC128" s="458"/>
    </row>
    <row r="129" spans="23:29" ht="25.05" customHeight="1">
      <c r="W129" s="458"/>
      <c r="X129" s="458"/>
      <c r="Y129" s="458"/>
      <c r="Z129" s="458"/>
      <c r="AA129" s="458"/>
      <c r="AB129" s="458"/>
      <c r="AC129" s="458"/>
    </row>
    <row r="130" spans="23:29" ht="25.05" customHeight="1">
      <c r="W130" s="458"/>
      <c r="X130" s="458"/>
      <c r="Y130" s="458"/>
      <c r="Z130" s="458"/>
      <c r="AA130" s="458"/>
      <c r="AB130" s="458"/>
      <c r="AC130" s="458"/>
    </row>
    <row r="131" spans="23:29" ht="25.05" customHeight="1">
      <c r="W131" s="458"/>
      <c r="X131" s="458"/>
      <c r="Y131" s="458"/>
      <c r="Z131" s="458"/>
      <c r="AA131" s="458"/>
      <c r="AB131" s="458"/>
      <c r="AC131" s="458"/>
    </row>
    <row r="132" spans="23:29" ht="25.05" customHeight="1">
      <c r="W132" s="458"/>
      <c r="X132" s="458"/>
      <c r="Y132" s="458"/>
      <c r="Z132" s="458"/>
      <c r="AA132" s="458"/>
      <c r="AB132" s="458"/>
      <c r="AC132" s="458"/>
    </row>
    <row r="133" spans="23:29" ht="25.05" customHeight="1">
      <c r="W133" s="458"/>
      <c r="X133" s="458"/>
      <c r="Y133" s="458"/>
      <c r="Z133" s="458"/>
      <c r="AA133" s="458"/>
      <c r="AB133" s="458"/>
      <c r="AC133" s="458"/>
    </row>
    <row r="134" spans="23:29" ht="25.05" customHeight="1">
      <c r="W134" s="458"/>
      <c r="X134" s="458"/>
      <c r="Y134" s="458"/>
      <c r="Z134" s="458"/>
      <c r="AA134" s="458"/>
      <c r="AB134" s="458"/>
      <c r="AC134" s="458"/>
    </row>
    <row r="135" spans="23:29" ht="25.05" customHeight="1">
      <c r="W135" s="458"/>
      <c r="X135" s="458"/>
      <c r="Y135" s="458"/>
      <c r="Z135" s="458"/>
      <c r="AA135" s="458"/>
      <c r="AB135" s="458"/>
      <c r="AC135" s="458"/>
    </row>
    <row r="136" spans="23:29" ht="25.05" customHeight="1">
      <c r="W136" s="458"/>
      <c r="X136" s="458"/>
      <c r="Y136" s="458"/>
      <c r="Z136" s="458"/>
      <c r="AA136" s="458"/>
      <c r="AB136" s="458"/>
      <c r="AC136" s="458"/>
    </row>
    <row r="137" spans="23:29" ht="25.05" customHeight="1">
      <c r="W137" s="458"/>
      <c r="X137" s="458"/>
      <c r="Y137" s="458"/>
      <c r="Z137" s="458"/>
      <c r="AA137" s="458"/>
      <c r="AB137" s="458"/>
      <c r="AC137" s="458"/>
    </row>
    <row r="138" spans="23:29" ht="25.05" customHeight="1">
      <c r="W138" s="458"/>
      <c r="X138" s="458"/>
      <c r="Y138" s="458"/>
      <c r="Z138" s="458"/>
      <c r="AA138" s="458"/>
      <c r="AB138" s="458"/>
      <c r="AC138" s="458"/>
    </row>
    <row r="139" spans="23:29" ht="25.05" customHeight="1">
      <c r="W139" s="458"/>
      <c r="X139" s="458"/>
      <c r="Y139" s="458"/>
      <c r="Z139" s="458"/>
      <c r="AA139" s="458"/>
      <c r="AB139" s="458"/>
      <c r="AC139" s="458"/>
    </row>
    <row r="140" spans="23:29" ht="25.05" customHeight="1">
      <c r="W140" s="458"/>
      <c r="X140" s="458"/>
      <c r="Y140" s="458"/>
      <c r="Z140" s="458"/>
      <c r="AA140" s="458"/>
      <c r="AB140" s="458"/>
      <c r="AC140" s="458"/>
    </row>
    <row r="141" spans="23:29" ht="25.05" customHeight="1">
      <c r="W141" s="458"/>
      <c r="X141" s="458"/>
      <c r="Y141" s="458"/>
      <c r="Z141" s="458"/>
      <c r="AA141" s="458"/>
      <c r="AB141" s="458"/>
      <c r="AC141" s="458"/>
    </row>
    <row r="142" spans="23:29" ht="25.05" customHeight="1">
      <c r="W142" s="458"/>
      <c r="X142" s="458"/>
      <c r="Y142" s="458"/>
      <c r="Z142" s="458"/>
      <c r="AA142" s="458"/>
      <c r="AB142" s="458"/>
      <c r="AC142" s="458"/>
    </row>
    <row r="143" spans="23:29" ht="25.05" customHeight="1">
      <c r="W143" s="458"/>
      <c r="X143" s="458"/>
      <c r="Y143" s="458"/>
      <c r="Z143" s="458"/>
      <c r="AA143" s="458"/>
      <c r="AB143" s="458"/>
      <c r="AC143" s="458"/>
    </row>
    <row r="144" spans="23:29" ht="25.05" customHeight="1">
      <c r="W144" s="458"/>
      <c r="X144" s="458"/>
      <c r="Y144" s="458"/>
      <c r="Z144" s="458"/>
      <c r="AA144" s="458"/>
      <c r="AB144" s="458"/>
      <c r="AC144" s="458"/>
    </row>
    <row r="145" spans="23:29" ht="25.05" customHeight="1">
      <c r="W145" s="458"/>
      <c r="X145" s="458"/>
      <c r="Y145" s="458"/>
      <c r="Z145" s="458"/>
      <c r="AA145" s="458"/>
      <c r="AB145" s="458"/>
      <c r="AC145" s="458"/>
    </row>
    <row r="146" spans="23:29" ht="25.05" customHeight="1">
      <c r="W146" s="458"/>
      <c r="X146" s="458"/>
      <c r="Y146" s="458"/>
      <c r="Z146" s="458"/>
      <c r="AA146" s="458"/>
      <c r="AB146" s="458"/>
      <c r="AC146" s="458"/>
    </row>
    <row r="147" spans="23:29" ht="25.05" customHeight="1">
      <c r="W147" s="458"/>
      <c r="X147" s="458"/>
      <c r="Y147" s="458"/>
      <c r="Z147" s="458"/>
      <c r="AA147" s="458"/>
      <c r="AB147" s="458"/>
      <c r="AC147" s="458"/>
    </row>
    <row r="148" spans="23:29" ht="25.05" customHeight="1">
      <c r="W148" s="458"/>
      <c r="X148" s="458"/>
      <c r="Y148" s="458"/>
      <c r="Z148" s="458"/>
      <c r="AA148" s="458"/>
      <c r="AB148" s="458"/>
      <c r="AC148" s="458"/>
    </row>
    <row r="149" spans="23:29" ht="25.05" customHeight="1">
      <c r="W149" s="458"/>
      <c r="X149" s="458"/>
      <c r="Y149" s="458"/>
      <c r="Z149" s="458"/>
      <c r="AA149" s="458"/>
      <c r="AB149" s="458"/>
      <c r="AC149" s="458"/>
    </row>
    <row r="150" spans="23:29" ht="25.05" customHeight="1">
      <c r="W150" s="458"/>
      <c r="X150" s="458"/>
      <c r="Y150" s="458"/>
      <c r="Z150" s="458"/>
      <c r="AA150" s="458"/>
      <c r="AB150" s="458"/>
      <c r="AC150" s="458"/>
    </row>
    <row r="151" spans="23:29" ht="25.05" customHeight="1">
      <c r="W151" s="458"/>
      <c r="X151" s="458"/>
      <c r="Y151" s="458"/>
      <c r="Z151" s="458"/>
      <c r="AA151" s="458"/>
      <c r="AB151" s="458"/>
      <c r="AC151" s="458"/>
    </row>
    <row r="152" spans="23:29" ht="25.05" customHeight="1">
      <c r="W152" s="458"/>
      <c r="X152" s="458"/>
      <c r="Y152" s="458"/>
      <c r="Z152" s="458"/>
      <c r="AA152" s="458"/>
      <c r="AB152" s="458"/>
      <c r="AC152" s="458"/>
    </row>
    <row r="153" spans="23:29" ht="25.05" customHeight="1">
      <c r="W153" s="458"/>
      <c r="X153" s="458"/>
      <c r="Y153" s="458"/>
      <c r="Z153" s="458"/>
      <c r="AA153" s="458"/>
      <c r="AB153" s="458"/>
      <c r="AC153" s="458"/>
    </row>
    <row r="154" spans="23:29" ht="25.05" customHeight="1">
      <c r="W154" s="458"/>
      <c r="X154" s="458"/>
      <c r="Y154" s="458"/>
      <c r="Z154" s="458"/>
      <c r="AA154" s="458"/>
      <c r="AB154" s="458"/>
      <c r="AC154" s="458"/>
    </row>
    <row r="155" spans="23:29" ht="25.05" customHeight="1">
      <c r="W155" s="458"/>
      <c r="X155" s="458"/>
      <c r="Y155" s="458"/>
      <c r="Z155" s="458"/>
      <c r="AA155" s="458"/>
      <c r="AB155" s="458"/>
      <c r="AC155" s="458"/>
    </row>
    <row r="156" spans="23:29" ht="25.05" customHeight="1">
      <c r="W156" s="458"/>
      <c r="X156" s="458"/>
      <c r="Y156" s="458"/>
      <c r="Z156" s="458"/>
      <c r="AA156" s="458"/>
      <c r="AB156" s="458"/>
      <c r="AC156" s="458"/>
    </row>
    <row r="157" spans="23:29" ht="25.05" customHeight="1">
      <c r="W157" s="458"/>
      <c r="X157" s="458"/>
      <c r="Y157" s="458"/>
      <c r="Z157" s="458"/>
      <c r="AA157" s="458"/>
      <c r="AB157" s="458"/>
      <c r="AC157" s="458"/>
    </row>
    <row r="158" spans="23:29" ht="25.05" customHeight="1">
      <c r="W158" s="458"/>
      <c r="X158" s="458"/>
      <c r="Y158" s="458"/>
      <c r="Z158" s="458"/>
      <c r="AA158" s="458"/>
      <c r="AB158" s="458"/>
      <c r="AC158" s="458"/>
    </row>
    <row r="159" spans="23:29" ht="25.05" customHeight="1">
      <c r="W159" s="458"/>
      <c r="X159" s="458"/>
      <c r="Y159" s="458"/>
      <c r="Z159" s="458"/>
      <c r="AA159" s="458"/>
      <c r="AB159" s="458"/>
      <c r="AC159" s="458"/>
    </row>
    <row r="160" spans="23:29" ht="25.05" customHeight="1">
      <c r="W160" s="458"/>
      <c r="X160" s="458"/>
      <c r="Y160" s="458"/>
      <c r="Z160" s="458"/>
      <c r="AA160" s="458"/>
      <c r="AB160" s="458"/>
      <c r="AC160" s="458"/>
    </row>
    <row r="161" spans="23:29" ht="25.05" customHeight="1">
      <c r="W161" s="458"/>
      <c r="X161" s="458"/>
      <c r="Y161" s="458"/>
      <c r="Z161" s="458"/>
      <c r="AA161" s="458"/>
      <c r="AB161" s="458"/>
      <c r="AC161" s="458"/>
    </row>
    <row r="162" spans="23:29" ht="25.05" customHeight="1">
      <c r="W162" s="458"/>
      <c r="X162" s="458"/>
      <c r="Y162" s="458"/>
      <c r="Z162" s="458"/>
      <c r="AA162" s="458"/>
      <c r="AB162" s="458"/>
      <c r="AC162" s="458"/>
    </row>
    <row r="163" spans="23:29" ht="25.05" customHeight="1">
      <c r="W163" s="458"/>
      <c r="X163" s="458"/>
      <c r="Y163" s="458"/>
      <c r="Z163" s="458"/>
      <c r="AA163" s="458"/>
      <c r="AB163" s="458"/>
      <c r="AC163" s="458"/>
    </row>
    <row r="164" spans="23:29" ht="25.05" customHeight="1">
      <c r="W164" s="458"/>
      <c r="X164" s="458"/>
      <c r="Y164" s="458"/>
      <c r="Z164" s="458"/>
      <c r="AA164" s="458"/>
      <c r="AB164" s="458"/>
      <c r="AC164" s="458"/>
    </row>
    <row r="165" spans="23:29" ht="25.05" customHeight="1">
      <c r="W165" s="458"/>
      <c r="X165" s="458"/>
      <c r="Y165" s="458"/>
      <c r="Z165" s="458"/>
      <c r="AA165" s="458"/>
      <c r="AB165" s="458"/>
      <c r="AC165" s="458"/>
    </row>
    <row r="166" spans="23:29" ht="25.05" customHeight="1">
      <c r="W166" s="458"/>
      <c r="X166" s="458"/>
      <c r="Y166" s="458"/>
      <c r="Z166" s="458"/>
      <c r="AA166" s="458"/>
      <c r="AB166" s="458"/>
      <c r="AC166" s="458"/>
    </row>
    <row r="167" spans="23:29" ht="25.05" customHeight="1">
      <c r="W167" s="458"/>
      <c r="X167" s="458"/>
      <c r="Y167" s="458"/>
      <c r="Z167" s="458"/>
      <c r="AA167" s="458"/>
      <c r="AB167" s="458"/>
      <c r="AC167" s="458"/>
    </row>
    <row r="168" spans="23:29" ht="25.05" customHeight="1">
      <c r="W168" s="458"/>
      <c r="X168" s="458"/>
      <c r="Y168" s="458"/>
      <c r="Z168" s="458"/>
      <c r="AA168" s="458"/>
      <c r="AB168" s="458"/>
      <c r="AC168" s="458"/>
    </row>
    <row r="169" spans="23:29" ht="25.05" customHeight="1">
      <c r="W169" s="458"/>
      <c r="X169" s="458"/>
      <c r="Y169" s="458"/>
      <c r="Z169" s="458"/>
      <c r="AA169" s="458"/>
      <c r="AB169" s="458"/>
      <c r="AC169" s="458"/>
    </row>
    <row r="170" spans="23:29" ht="25.05" customHeight="1">
      <c r="W170" s="458"/>
      <c r="X170" s="458"/>
      <c r="Y170" s="458"/>
      <c r="Z170" s="458"/>
      <c r="AA170" s="458"/>
      <c r="AB170" s="458"/>
      <c r="AC170" s="458"/>
    </row>
    <row r="171" spans="23:29" ht="25.05" customHeight="1">
      <c r="W171" s="458"/>
      <c r="X171" s="458"/>
      <c r="Y171" s="458"/>
      <c r="Z171" s="458"/>
      <c r="AA171" s="458"/>
      <c r="AB171" s="458"/>
      <c r="AC171" s="458"/>
    </row>
    <row r="172" spans="23:29" ht="25.05" customHeight="1">
      <c r="W172" s="458"/>
      <c r="X172" s="458"/>
      <c r="Y172" s="458"/>
      <c r="Z172" s="458"/>
      <c r="AA172" s="458"/>
      <c r="AB172" s="458"/>
      <c r="AC172" s="458"/>
    </row>
    <row r="173" spans="23:29" ht="25.05" customHeight="1">
      <c r="W173" s="458"/>
      <c r="X173" s="458"/>
      <c r="Y173" s="458"/>
      <c r="Z173" s="458"/>
      <c r="AA173" s="458"/>
      <c r="AB173" s="458"/>
      <c r="AC173" s="458"/>
    </row>
    <row r="174" spans="23:29" ht="25.05" customHeight="1">
      <c r="W174" s="458"/>
      <c r="X174" s="458"/>
      <c r="Y174" s="458"/>
      <c r="Z174" s="458"/>
      <c r="AA174" s="458"/>
      <c r="AB174" s="458"/>
      <c r="AC174" s="458"/>
    </row>
    <row r="175" spans="23:29" ht="25.05" customHeight="1">
      <c r="W175" s="458"/>
      <c r="X175" s="458"/>
      <c r="Y175" s="458"/>
      <c r="Z175" s="458"/>
      <c r="AA175" s="458"/>
      <c r="AB175" s="458"/>
      <c r="AC175" s="458"/>
    </row>
    <row r="176" spans="23:29" ht="25.05" customHeight="1">
      <c r="W176" s="458"/>
      <c r="X176" s="458"/>
      <c r="Y176" s="458"/>
      <c r="Z176" s="458"/>
      <c r="AA176" s="458"/>
      <c r="AB176" s="458"/>
      <c r="AC176" s="458"/>
    </row>
    <row r="177" spans="23:29" ht="25.05" customHeight="1">
      <c r="W177" s="458"/>
      <c r="X177" s="458"/>
      <c r="Y177" s="458"/>
      <c r="Z177" s="458"/>
      <c r="AA177" s="458"/>
      <c r="AB177" s="458"/>
      <c r="AC177" s="458"/>
    </row>
    <row r="178" spans="23:29" ht="25.05" customHeight="1">
      <c r="W178" s="458"/>
      <c r="X178" s="458"/>
      <c r="Y178" s="458"/>
      <c r="Z178" s="458"/>
      <c r="AA178" s="458"/>
      <c r="AB178" s="458"/>
      <c r="AC178" s="458"/>
    </row>
    <row r="179" spans="23:29" ht="25.05" customHeight="1">
      <c r="W179" s="458"/>
      <c r="X179" s="458"/>
      <c r="Y179" s="458"/>
      <c r="Z179" s="458"/>
      <c r="AA179" s="458"/>
      <c r="AB179" s="458"/>
      <c r="AC179" s="458"/>
    </row>
    <row r="180" spans="23:29" ht="25.05" customHeight="1">
      <c r="W180" s="458"/>
      <c r="X180" s="458"/>
      <c r="Y180" s="458"/>
      <c r="Z180" s="458"/>
      <c r="AA180" s="458"/>
      <c r="AB180" s="458"/>
      <c r="AC180" s="458"/>
    </row>
    <row r="181" spans="23:29" ht="25.05" customHeight="1">
      <c r="W181" s="458"/>
      <c r="X181" s="458"/>
      <c r="Y181" s="458"/>
      <c r="Z181" s="458"/>
      <c r="AA181" s="458"/>
      <c r="AB181" s="458"/>
      <c r="AC181" s="458"/>
    </row>
    <row r="182" spans="23:29" ht="25.05" customHeight="1">
      <c r="W182" s="458"/>
      <c r="X182" s="458"/>
      <c r="Y182" s="458"/>
      <c r="Z182" s="458"/>
      <c r="AA182" s="458"/>
      <c r="AB182" s="458"/>
      <c r="AC182" s="458"/>
    </row>
    <row r="183" spans="23:29" ht="25.05" customHeight="1">
      <c r="W183" s="458"/>
      <c r="X183" s="458"/>
      <c r="Y183" s="458"/>
      <c r="Z183" s="458"/>
      <c r="AA183" s="458"/>
      <c r="AB183" s="458"/>
      <c r="AC183" s="458"/>
    </row>
    <row r="184" spans="23:29" ht="25.05" customHeight="1">
      <c r="W184" s="458"/>
      <c r="X184" s="458"/>
      <c r="Y184" s="458"/>
      <c r="Z184" s="458"/>
      <c r="AA184" s="458"/>
      <c r="AB184" s="458"/>
      <c r="AC184" s="458"/>
    </row>
    <row r="185" spans="23:29" ht="25.05" customHeight="1">
      <c r="W185" s="458"/>
      <c r="X185" s="458"/>
      <c r="Y185" s="458"/>
      <c r="Z185" s="458"/>
      <c r="AA185" s="458"/>
      <c r="AB185" s="458"/>
      <c r="AC185" s="458"/>
    </row>
    <row r="186" spans="23:29" ht="25.05" customHeight="1">
      <c r="W186" s="458"/>
      <c r="X186" s="458"/>
      <c r="Y186" s="458"/>
      <c r="Z186" s="458"/>
      <c r="AA186" s="458"/>
      <c r="AB186" s="458"/>
      <c r="AC186" s="458"/>
    </row>
    <row r="187" spans="23:29" ht="25.05" customHeight="1">
      <c r="W187" s="458"/>
      <c r="X187" s="458"/>
      <c r="Y187" s="458"/>
      <c r="Z187" s="458"/>
      <c r="AA187" s="458"/>
      <c r="AB187" s="458"/>
      <c r="AC187" s="458"/>
    </row>
    <row r="188" spans="23:29" ht="25.05" customHeight="1">
      <c r="W188" s="458"/>
      <c r="X188" s="458"/>
      <c r="Y188" s="458"/>
      <c r="Z188" s="458"/>
      <c r="AA188" s="458"/>
      <c r="AB188" s="458"/>
      <c r="AC188" s="458"/>
    </row>
    <row r="189" spans="23:29" ht="25.05" customHeight="1">
      <c r="W189" s="458"/>
      <c r="X189" s="458"/>
      <c r="Y189" s="458"/>
      <c r="Z189" s="458"/>
      <c r="AA189" s="458"/>
      <c r="AB189" s="458"/>
      <c r="AC189" s="458"/>
    </row>
    <row r="190" spans="23:29" ht="25.05" customHeight="1">
      <c r="W190" s="458"/>
      <c r="X190" s="458"/>
      <c r="Y190" s="458"/>
      <c r="Z190" s="458"/>
      <c r="AA190" s="458"/>
      <c r="AB190" s="458"/>
      <c r="AC190" s="458"/>
    </row>
    <row r="191" spans="23:29" ht="25.05" customHeight="1">
      <c r="W191" s="458"/>
      <c r="X191" s="458"/>
      <c r="Y191" s="458"/>
      <c r="Z191" s="458"/>
      <c r="AA191" s="458"/>
      <c r="AB191" s="458"/>
      <c r="AC191" s="458"/>
    </row>
    <row r="192" spans="23:29" ht="25.05" customHeight="1">
      <c r="W192" s="458"/>
      <c r="X192" s="458"/>
      <c r="Y192" s="458"/>
      <c r="Z192" s="458"/>
      <c r="AA192" s="458"/>
      <c r="AB192" s="458"/>
      <c r="AC192" s="458"/>
    </row>
    <row r="193" spans="23:29" ht="25.05" customHeight="1">
      <c r="W193" s="458"/>
      <c r="X193" s="458"/>
      <c r="Y193" s="458"/>
      <c r="Z193" s="458"/>
      <c r="AA193" s="458"/>
      <c r="AB193" s="458"/>
      <c r="AC193" s="458"/>
    </row>
    <row r="194" spans="23:29" ht="25.05" customHeight="1">
      <c r="W194" s="458"/>
      <c r="X194" s="458"/>
      <c r="Y194" s="458"/>
      <c r="Z194" s="458"/>
      <c r="AA194" s="458"/>
      <c r="AB194" s="458"/>
      <c r="AC194" s="458"/>
    </row>
    <row r="195" spans="23:29" ht="25.05" customHeight="1">
      <c r="W195" s="458"/>
      <c r="X195" s="458"/>
      <c r="Y195" s="458"/>
      <c r="Z195" s="458"/>
      <c r="AA195" s="458"/>
      <c r="AB195" s="458"/>
      <c r="AC195" s="458"/>
    </row>
    <row r="196" spans="23:29" ht="25.05" customHeight="1">
      <c r="W196" s="458"/>
      <c r="X196" s="458"/>
      <c r="Y196" s="458"/>
      <c r="Z196" s="458"/>
      <c r="AA196" s="458"/>
      <c r="AB196" s="458"/>
      <c r="AC196" s="458"/>
    </row>
    <row r="197" spans="23:29" ht="25.05" customHeight="1">
      <c r="W197" s="458"/>
      <c r="X197" s="458"/>
      <c r="Y197" s="458"/>
      <c r="Z197" s="458"/>
      <c r="AA197" s="458"/>
      <c r="AB197" s="458"/>
      <c r="AC197" s="458"/>
    </row>
    <row r="198" spans="23:29" ht="25.05" customHeight="1">
      <c r="W198" s="458"/>
      <c r="X198" s="458"/>
      <c r="Y198" s="458"/>
      <c r="Z198" s="458"/>
      <c r="AA198" s="458"/>
      <c r="AB198" s="458"/>
      <c r="AC198" s="458"/>
    </row>
    <row r="199" spans="23:29" ht="25.05" customHeight="1">
      <c r="W199" s="458"/>
      <c r="X199" s="458"/>
      <c r="Y199" s="458"/>
      <c r="Z199" s="458"/>
      <c r="AA199" s="458"/>
      <c r="AB199" s="458"/>
      <c r="AC199" s="458"/>
    </row>
    <row r="200" spans="23:29" ht="25.05" customHeight="1">
      <c r="W200" s="458"/>
      <c r="X200" s="458"/>
      <c r="Y200" s="458"/>
      <c r="Z200" s="458"/>
      <c r="AA200" s="458"/>
      <c r="AB200" s="458"/>
      <c r="AC200" s="458"/>
    </row>
    <row r="201" spans="23:29" ht="25.05" customHeight="1">
      <c r="W201" s="458"/>
      <c r="X201" s="458"/>
      <c r="Y201" s="458"/>
      <c r="Z201" s="458"/>
      <c r="AA201" s="458"/>
      <c r="AB201" s="458"/>
      <c r="AC201" s="458"/>
    </row>
    <row r="202" spans="23:29" ht="25.05" customHeight="1">
      <c r="W202" s="458"/>
      <c r="X202" s="458"/>
      <c r="Y202" s="458"/>
      <c r="Z202" s="458"/>
      <c r="AA202" s="458"/>
      <c r="AB202" s="458"/>
      <c r="AC202" s="458"/>
    </row>
    <row r="203" spans="23:29" ht="25.05" customHeight="1">
      <c r="W203" s="458"/>
      <c r="X203" s="458"/>
      <c r="Y203" s="458"/>
      <c r="Z203" s="458"/>
      <c r="AA203" s="458"/>
      <c r="AB203" s="458"/>
      <c r="AC203" s="458"/>
    </row>
    <row r="204" spans="23:29" ht="25.05" customHeight="1">
      <c r="W204" s="458"/>
      <c r="X204" s="458"/>
      <c r="Y204" s="458"/>
      <c r="Z204" s="458"/>
      <c r="AA204" s="458"/>
      <c r="AB204" s="458"/>
      <c r="AC204" s="458"/>
    </row>
    <row r="205" spans="23:29" ht="25.05" customHeight="1">
      <c r="W205" s="458"/>
      <c r="X205" s="458"/>
      <c r="Y205" s="458"/>
      <c r="Z205" s="458"/>
      <c r="AA205" s="458"/>
      <c r="AB205" s="458"/>
      <c r="AC205" s="458"/>
    </row>
    <row r="206" spans="23:29" ht="25.05" customHeight="1">
      <c r="W206" s="458"/>
      <c r="X206" s="458"/>
      <c r="Y206" s="458"/>
      <c r="Z206" s="458"/>
      <c r="AA206" s="458"/>
      <c r="AB206" s="458"/>
      <c r="AC206" s="458"/>
    </row>
    <row r="207" spans="23:29" ht="25.05" customHeight="1">
      <c r="W207" s="458"/>
      <c r="X207" s="458"/>
      <c r="Y207" s="458"/>
      <c r="Z207" s="458"/>
      <c r="AA207" s="458"/>
      <c r="AB207" s="458"/>
      <c r="AC207" s="458"/>
    </row>
    <row r="208" spans="23:29" ht="25.05" customHeight="1">
      <c r="W208" s="458"/>
      <c r="X208" s="458"/>
      <c r="Y208" s="458"/>
      <c r="Z208" s="458"/>
      <c r="AA208" s="458"/>
      <c r="AB208" s="458"/>
      <c r="AC208" s="458"/>
    </row>
    <row r="209" spans="23:29" ht="25.05" customHeight="1">
      <c r="W209" s="458"/>
      <c r="X209" s="458"/>
      <c r="Y209" s="458"/>
      <c r="Z209" s="458"/>
      <c r="AA209" s="458"/>
      <c r="AB209" s="458"/>
      <c r="AC209" s="458"/>
    </row>
    <row r="210" spans="23:29" ht="25.05" customHeight="1">
      <c r="W210" s="458"/>
      <c r="X210" s="458"/>
      <c r="Y210" s="458"/>
      <c r="Z210" s="458"/>
      <c r="AA210" s="458"/>
      <c r="AB210" s="458"/>
      <c r="AC210" s="458"/>
    </row>
    <row r="211" spans="23:29" ht="25.05" customHeight="1">
      <c r="W211" s="458"/>
      <c r="X211" s="458"/>
      <c r="Y211" s="458"/>
      <c r="Z211" s="458"/>
      <c r="AA211" s="458"/>
      <c r="AB211" s="458"/>
      <c r="AC211" s="458"/>
    </row>
    <row r="212" spans="23:29" ht="25.05" customHeight="1">
      <c r="W212" s="458"/>
      <c r="X212" s="458"/>
      <c r="Y212" s="458"/>
      <c r="Z212" s="458"/>
      <c r="AA212" s="458"/>
      <c r="AB212" s="458"/>
      <c r="AC212" s="458"/>
    </row>
    <row r="213" spans="23:29" ht="25.05" customHeight="1">
      <c r="W213" s="458"/>
      <c r="X213" s="458"/>
      <c r="Y213" s="458"/>
      <c r="Z213" s="458"/>
      <c r="AA213" s="458"/>
      <c r="AB213" s="458"/>
      <c r="AC213" s="458"/>
    </row>
    <row r="214" spans="23:29" ht="25.05" customHeight="1">
      <c r="W214" s="458"/>
      <c r="X214" s="458"/>
      <c r="Y214" s="458"/>
      <c r="Z214" s="458"/>
      <c r="AA214" s="458"/>
      <c r="AB214" s="458"/>
      <c r="AC214" s="458"/>
    </row>
    <row r="215" spans="23:29" ht="25.05" customHeight="1">
      <c r="W215" s="458"/>
      <c r="X215" s="458"/>
      <c r="Y215" s="458"/>
      <c r="Z215" s="458"/>
      <c r="AA215" s="458"/>
      <c r="AB215" s="458"/>
      <c r="AC215" s="458"/>
    </row>
    <row r="216" spans="23:29" ht="25.05" customHeight="1">
      <c r="W216" s="458"/>
      <c r="X216" s="458"/>
      <c r="Y216" s="458"/>
      <c r="Z216" s="458"/>
      <c r="AA216" s="458"/>
      <c r="AB216" s="458"/>
      <c r="AC216" s="458"/>
    </row>
    <row r="217" spans="23:29" ht="25.05" customHeight="1">
      <c r="W217" s="458"/>
      <c r="X217" s="458"/>
      <c r="Y217" s="458"/>
      <c r="Z217" s="458"/>
      <c r="AA217" s="458"/>
      <c r="AB217" s="458"/>
      <c r="AC217" s="458"/>
    </row>
    <row r="218" spans="23:29" ht="25.05" customHeight="1">
      <c r="W218" s="458"/>
      <c r="X218" s="458"/>
      <c r="Y218" s="458"/>
      <c r="Z218" s="458"/>
      <c r="AA218" s="458"/>
      <c r="AB218" s="458"/>
      <c r="AC218" s="458"/>
    </row>
    <row r="219" spans="23:29" ht="25.05" customHeight="1">
      <c r="W219" s="458"/>
      <c r="X219" s="458"/>
      <c r="Y219" s="458"/>
      <c r="Z219" s="458"/>
      <c r="AA219" s="458"/>
      <c r="AB219" s="458"/>
      <c r="AC219" s="458"/>
    </row>
    <row r="220" spans="23:29" ht="25.05" customHeight="1">
      <c r="W220" s="458"/>
      <c r="X220" s="458"/>
      <c r="Y220" s="458"/>
      <c r="Z220" s="458"/>
      <c r="AA220" s="458"/>
      <c r="AB220" s="458"/>
      <c r="AC220" s="458"/>
    </row>
    <row r="221" spans="23:29" ht="25.05" customHeight="1">
      <c r="W221" s="458"/>
      <c r="X221" s="458"/>
      <c r="Y221" s="458"/>
      <c r="Z221" s="458"/>
      <c r="AA221" s="458"/>
      <c r="AB221" s="458"/>
      <c r="AC221" s="458"/>
    </row>
    <row r="222" spans="23:29" ht="25.05" customHeight="1">
      <c r="W222" s="458"/>
      <c r="X222" s="458"/>
      <c r="Y222" s="458"/>
      <c r="Z222" s="458"/>
      <c r="AA222" s="458"/>
      <c r="AB222" s="458"/>
      <c r="AC222" s="458"/>
    </row>
    <row r="223" spans="23:29" ht="25.05" customHeight="1">
      <c r="W223" s="458"/>
      <c r="X223" s="458"/>
      <c r="Y223" s="458"/>
      <c r="Z223" s="458"/>
      <c r="AA223" s="458"/>
      <c r="AB223" s="458"/>
      <c r="AC223" s="458"/>
    </row>
    <row r="224" spans="23:29" ht="25.05" customHeight="1">
      <c r="W224" s="458"/>
      <c r="X224" s="458"/>
      <c r="Y224" s="458"/>
      <c r="Z224" s="458"/>
      <c r="AA224" s="458"/>
      <c r="AB224" s="458"/>
      <c r="AC224" s="458"/>
    </row>
    <row r="225" spans="23:29" ht="25.05" customHeight="1">
      <c r="W225" s="458"/>
      <c r="X225" s="458"/>
      <c r="Y225" s="458"/>
      <c r="Z225" s="458"/>
      <c r="AA225" s="458"/>
      <c r="AB225" s="458"/>
      <c r="AC225" s="458"/>
    </row>
    <row r="226" spans="23:29" ht="25.05" customHeight="1">
      <c r="W226" s="458"/>
      <c r="X226" s="458"/>
      <c r="Y226" s="458"/>
      <c r="Z226" s="458"/>
      <c r="AA226" s="458"/>
      <c r="AB226" s="458"/>
      <c r="AC226" s="458"/>
    </row>
    <row r="227" spans="23:29" ht="25.05" customHeight="1">
      <c r="W227" s="458"/>
      <c r="X227" s="458"/>
      <c r="Y227" s="458"/>
      <c r="Z227" s="458"/>
      <c r="AA227" s="458"/>
      <c r="AB227" s="458"/>
      <c r="AC227" s="458"/>
    </row>
    <row r="228" spans="23:29" ht="25.05" customHeight="1">
      <c r="W228" s="458"/>
      <c r="X228" s="458"/>
      <c r="Y228" s="458"/>
      <c r="Z228" s="458"/>
      <c r="AA228" s="458"/>
      <c r="AB228" s="458"/>
      <c r="AC228" s="458"/>
    </row>
    <row r="229" spans="23:29" ht="25.05" customHeight="1">
      <c r="W229" s="458"/>
      <c r="X229" s="458"/>
      <c r="Y229" s="458"/>
      <c r="Z229" s="458"/>
      <c r="AA229" s="458"/>
      <c r="AB229" s="458"/>
      <c r="AC229" s="458"/>
    </row>
    <row r="230" spans="23:29" ht="25.05" customHeight="1">
      <c r="W230" s="458"/>
      <c r="X230" s="458"/>
      <c r="Y230" s="458"/>
      <c r="Z230" s="458"/>
      <c r="AA230" s="458"/>
      <c r="AB230" s="458"/>
      <c r="AC230" s="458"/>
    </row>
    <row r="231" spans="23:29" ht="25.05" customHeight="1">
      <c r="W231" s="458"/>
      <c r="X231" s="458"/>
      <c r="Y231" s="458"/>
      <c r="Z231" s="458"/>
      <c r="AA231" s="458"/>
      <c r="AB231" s="458"/>
      <c r="AC231" s="458"/>
    </row>
    <row r="232" spans="23:29" ht="25.05" customHeight="1">
      <c r="W232" s="458"/>
      <c r="X232" s="458"/>
      <c r="Y232" s="458"/>
      <c r="Z232" s="458"/>
      <c r="AA232" s="458"/>
      <c r="AB232" s="458"/>
      <c r="AC232" s="458"/>
    </row>
    <row r="233" spans="23:29" ht="25.05" customHeight="1">
      <c r="W233" s="458"/>
      <c r="X233" s="458"/>
      <c r="Y233" s="458"/>
      <c r="Z233" s="458"/>
      <c r="AA233" s="458"/>
      <c r="AB233" s="458"/>
      <c r="AC233" s="458"/>
    </row>
    <row r="234" spans="23:29" ht="25.05" customHeight="1">
      <c r="W234" s="458"/>
      <c r="X234" s="458"/>
      <c r="Y234" s="458"/>
      <c r="Z234" s="458"/>
      <c r="AA234" s="458"/>
      <c r="AB234" s="458"/>
      <c r="AC234" s="458"/>
    </row>
    <row r="235" spans="23:29" ht="25.05" customHeight="1">
      <c r="W235" s="458"/>
      <c r="X235" s="458"/>
      <c r="Y235" s="458"/>
      <c r="Z235" s="458"/>
      <c r="AA235" s="458"/>
      <c r="AB235" s="458"/>
      <c r="AC235" s="458"/>
    </row>
    <row r="236" spans="23:29" ht="25.05" customHeight="1">
      <c r="W236" s="458"/>
      <c r="X236" s="458"/>
      <c r="Y236" s="458"/>
      <c r="Z236" s="458"/>
      <c r="AA236" s="458"/>
      <c r="AB236" s="458"/>
      <c r="AC236" s="458"/>
    </row>
    <row r="237" spans="23:29" ht="25.05" customHeight="1">
      <c r="W237" s="458"/>
      <c r="X237" s="458"/>
      <c r="Y237" s="458"/>
      <c r="Z237" s="458"/>
      <c r="AA237" s="458"/>
      <c r="AB237" s="458"/>
      <c r="AC237" s="458"/>
    </row>
    <row r="238" spans="23:29" ht="25.05" customHeight="1">
      <c r="W238" s="458"/>
      <c r="X238" s="458"/>
      <c r="Y238" s="458"/>
      <c r="Z238" s="458"/>
      <c r="AA238" s="458"/>
      <c r="AB238" s="458"/>
      <c r="AC238" s="458"/>
    </row>
    <row r="239" spans="23:29" ht="25.05" customHeight="1">
      <c r="W239" s="458"/>
      <c r="X239" s="458"/>
      <c r="Y239" s="458"/>
      <c r="Z239" s="458"/>
      <c r="AA239" s="458"/>
      <c r="AB239" s="458"/>
      <c r="AC239" s="458"/>
    </row>
    <row r="240" spans="23:29" ht="25.05" customHeight="1">
      <c r="W240" s="458"/>
      <c r="X240" s="458"/>
      <c r="Y240" s="458"/>
      <c r="Z240" s="458"/>
      <c r="AA240" s="458"/>
      <c r="AB240" s="458"/>
      <c r="AC240" s="458"/>
    </row>
    <row r="241" spans="23:29" ht="25.05" customHeight="1">
      <c r="W241" s="458"/>
      <c r="X241" s="458"/>
      <c r="Y241" s="458"/>
      <c r="Z241" s="458"/>
      <c r="AA241" s="458"/>
      <c r="AB241" s="458"/>
      <c r="AC241" s="458"/>
    </row>
    <row r="242" spans="23:29" ht="25.05" customHeight="1">
      <c r="W242" s="458"/>
      <c r="X242" s="458"/>
      <c r="Y242" s="458"/>
      <c r="Z242" s="458"/>
      <c r="AA242" s="458"/>
      <c r="AB242" s="458"/>
      <c r="AC242" s="458"/>
    </row>
    <row r="243" spans="23:29" ht="25.05" customHeight="1">
      <c r="W243" s="458"/>
      <c r="X243" s="458"/>
      <c r="Y243" s="458"/>
      <c r="Z243" s="458"/>
      <c r="AA243" s="458"/>
      <c r="AB243" s="458"/>
      <c r="AC243" s="458"/>
    </row>
    <row r="244" spans="23:29" ht="25.05" customHeight="1">
      <c r="W244" s="458"/>
      <c r="X244" s="458"/>
      <c r="Y244" s="458"/>
      <c r="Z244" s="458"/>
      <c r="AA244" s="458"/>
      <c r="AB244" s="458"/>
      <c r="AC244" s="458"/>
    </row>
    <row r="245" spans="23:29" ht="25.05" customHeight="1">
      <c r="W245" s="458"/>
      <c r="X245" s="458"/>
      <c r="Y245" s="458"/>
      <c r="Z245" s="458"/>
      <c r="AA245" s="458"/>
      <c r="AB245" s="458"/>
      <c r="AC245" s="458"/>
    </row>
    <row r="246" spans="23:29" ht="25.05" customHeight="1">
      <c r="W246" s="458"/>
      <c r="X246" s="458"/>
      <c r="Y246" s="458"/>
      <c r="Z246" s="458"/>
      <c r="AA246" s="458"/>
      <c r="AB246" s="458"/>
      <c r="AC246" s="458"/>
    </row>
    <row r="247" spans="23:29" ht="25.05" customHeight="1">
      <c r="W247" s="458"/>
      <c r="X247" s="458"/>
      <c r="Y247" s="458"/>
      <c r="Z247" s="458"/>
      <c r="AA247" s="458"/>
      <c r="AB247" s="458"/>
      <c r="AC247" s="458"/>
    </row>
    <row r="248" spans="23:29" ht="25.05" customHeight="1">
      <c r="W248" s="458"/>
      <c r="X248" s="458"/>
      <c r="Y248" s="458"/>
      <c r="Z248" s="458"/>
      <c r="AA248" s="458"/>
      <c r="AB248" s="458"/>
      <c r="AC248" s="458"/>
    </row>
    <row r="249" spans="23:29" ht="25.05" customHeight="1">
      <c r="W249" s="458"/>
      <c r="X249" s="458"/>
      <c r="Y249" s="458"/>
      <c r="Z249" s="458"/>
      <c r="AA249" s="458"/>
      <c r="AB249" s="458"/>
      <c r="AC249" s="458"/>
    </row>
    <row r="250" spans="23:29" ht="25.05" customHeight="1">
      <c r="W250" s="458"/>
      <c r="X250" s="458"/>
      <c r="Y250" s="458"/>
      <c r="Z250" s="458"/>
      <c r="AA250" s="458"/>
      <c r="AB250" s="458"/>
      <c r="AC250" s="458"/>
    </row>
    <row r="251" spans="23:29" ht="25.05" customHeight="1">
      <c r="W251" s="458"/>
      <c r="X251" s="458"/>
      <c r="Y251" s="458"/>
      <c r="Z251" s="458"/>
      <c r="AA251" s="458"/>
      <c r="AB251" s="458"/>
      <c r="AC251" s="458"/>
    </row>
    <row r="252" spans="23:29" ht="25.05" customHeight="1">
      <c r="W252" s="458"/>
      <c r="X252" s="458"/>
      <c r="Y252" s="458"/>
      <c r="Z252" s="458"/>
      <c r="AA252" s="458"/>
      <c r="AB252" s="458"/>
      <c r="AC252" s="458"/>
    </row>
    <row r="253" spans="23:29" ht="25.05" customHeight="1">
      <c r="W253" s="458"/>
      <c r="X253" s="458"/>
      <c r="Y253" s="458"/>
      <c r="Z253" s="458"/>
      <c r="AA253" s="458"/>
      <c r="AB253" s="458"/>
      <c r="AC253" s="458"/>
    </row>
    <row r="254" spans="23:29" ht="25.05" customHeight="1">
      <c r="W254" s="458"/>
      <c r="X254" s="458"/>
      <c r="Y254" s="458"/>
      <c r="Z254" s="458"/>
      <c r="AA254" s="458"/>
      <c r="AB254" s="458"/>
      <c r="AC254" s="458"/>
    </row>
    <row r="255" spans="23:29" ht="25.05" customHeight="1">
      <c r="W255" s="458"/>
      <c r="X255" s="458"/>
      <c r="Y255" s="458"/>
      <c r="Z255" s="458"/>
      <c r="AA255" s="458"/>
      <c r="AB255" s="458"/>
      <c r="AC255" s="458"/>
    </row>
    <row r="256" spans="23:29" ht="25.05" customHeight="1">
      <c r="W256" s="458"/>
      <c r="X256" s="458"/>
      <c r="Y256" s="458"/>
      <c r="Z256" s="458"/>
      <c r="AA256" s="458"/>
      <c r="AB256" s="458"/>
      <c r="AC256" s="458"/>
    </row>
    <row r="257" spans="23:29" ht="25.05" customHeight="1">
      <c r="W257" s="458"/>
      <c r="X257" s="458"/>
      <c r="Y257" s="458"/>
      <c r="Z257" s="458"/>
      <c r="AA257" s="458"/>
      <c r="AB257" s="458"/>
      <c r="AC257" s="458"/>
    </row>
    <row r="258" spans="23:29" ht="25.05" customHeight="1">
      <c r="W258" s="458"/>
      <c r="X258" s="458"/>
      <c r="Y258" s="458"/>
      <c r="Z258" s="458"/>
      <c r="AA258" s="458"/>
      <c r="AB258" s="458"/>
      <c r="AC258" s="458"/>
    </row>
    <row r="259" spans="23:29" ht="25.05" customHeight="1">
      <c r="W259" s="458"/>
      <c r="X259" s="458"/>
      <c r="Y259" s="458"/>
      <c r="Z259" s="458"/>
      <c r="AA259" s="458"/>
      <c r="AB259" s="458"/>
      <c r="AC259" s="458"/>
    </row>
    <row r="260" spans="23:29" ht="25.05" customHeight="1">
      <c r="W260" s="458"/>
      <c r="X260" s="458"/>
      <c r="Y260" s="458"/>
      <c r="Z260" s="458"/>
      <c r="AA260" s="458"/>
      <c r="AB260" s="458"/>
      <c r="AC260" s="458"/>
    </row>
    <row r="261" spans="23:29" ht="25.05" customHeight="1">
      <c r="W261" s="458"/>
      <c r="X261" s="458"/>
      <c r="Y261" s="458"/>
      <c r="Z261" s="458"/>
      <c r="AA261" s="458"/>
      <c r="AB261" s="458"/>
      <c r="AC261" s="458"/>
    </row>
    <row r="262" spans="23:29" ht="25.05" customHeight="1">
      <c r="W262" s="458"/>
      <c r="X262" s="458"/>
      <c r="Y262" s="458"/>
      <c r="Z262" s="458"/>
      <c r="AA262" s="458"/>
      <c r="AB262" s="458"/>
      <c r="AC262" s="458"/>
    </row>
    <row r="263" spans="23:29" ht="25.05" customHeight="1">
      <c r="W263" s="458"/>
      <c r="X263" s="458"/>
      <c r="Y263" s="458"/>
      <c r="Z263" s="458"/>
      <c r="AA263" s="458"/>
      <c r="AB263" s="458"/>
      <c r="AC263" s="458"/>
    </row>
    <row r="264" spans="23:29" ht="25.05" customHeight="1">
      <c r="W264" s="458"/>
      <c r="X264" s="458"/>
      <c r="Y264" s="458"/>
      <c r="Z264" s="458"/>
      <c r="AA264" s="458"/>
      <c r="AB264" s="458"/>
      <c r="AC264" s="458"/>
    </row>
    <row r="265" spans="23:29" ht="25.05" customHeight="1">
      <c r="W265" s="458"/>
      <c r="X265" s="458"/>
      <c r="Y265" s="458"/>
      <c r="Z265" s="458"/>
      <c r="AA265" s="458"/>
      <c r="AB265" s="458"/>
      <c r="AC265" s="458"/>
    </row>
    <row r="266" spans="23:29" ht="25.05" customHeight="1">
      <c r="W266" s="458"/>
      <c r="X266" s="458"/>
      <c r="Y266" s="458"/>
      <c r="Z266" s="458"/>
      <c r="AA266" s="458"/>
      <c r="AB266" s="458"/>
      <c r="AC266" s="458"/>
    </row>
    <row r="267" spans="23:29" ht="25.05" customHeight="1">
      <c r="W267" s="458"/>
      <c r="X267" s="458"/>
      <c r="Y267" s="458"/>
      <c r="Z267" s="458"/>
      <c r="AA267" s="458"/>
      <c r="AB267" s="458"/>
      <c r="AC267" s="458"/>
    </row>
    <row r="268" spans="23:29" ht="25.05" customHeight="1">
      <c r="W268" s="458"/>
      <c r="X268" s="458"/>
      <c r="Y268" s="458"/>
      <c r="Z268" s="458"/>
      <c r="AA268" s="458"/>
      <c r="AB268" s="458"/>
      <c r="AC268" s="458"/>
    </row>
    <row r="269" spans="23:29" ht="25.05" customHeight="1">
      <c r="W269" s="458"/>
      <c r="X269" s="458"/>
      <c r="Y269" s="458"/>
      <c r="Z269" s="458"/>
      <c r="AA269" s="458"/>
      <c r="AB269" s="458"/>
      <c r="AC269" s="458"/>
    </row>
    <row r="270" spans="23:29" ht="25.05" customHeight="1">
      <c r="W270" s="458"/>
      <c r="X270" s="458"/>
      <c r="Y270" s="458"/>
      <c r="Z270" s="458"/>
      <c r="AA270" s="458"/>
      <c r="AB270" s="458"/>
      <c r="AC270" s="458"/>
    </row>
    <row r="271" spans="23:29" ht="25.05" customHeight="1">
      <c r="W271" s="458"/>
      <c r="X271" s="458"/>
      <c r="Y271" s="458"/>
      <c r="Z271" s="458"/>
      <c r="AA271" s="458"/>
      <c r="AB271" s="458"/>
      <c r="AC271" s="458"/>
    </row>
    <row r="272" spans="23:29" ht="25.05" customHeight="1">
      <c r="W272" s="458"/>
      <c r="X272" s="458"/>
      <c r="Y272" s="458"/>
      <c r="Z272" s="458"/>
      <c r="AA272" s="458"/>
      <c r="AB272" s="458"/>
      <c r="AC272" s="458"/>
    </row>
    <row r="273" spans="23:29" ht="25.05" customHeight="1">
      <c r="W273" s="458"/>
      <c r="X273" s="458"/>
      <c r="Y273" s="458"/>
      <c r="Z273" s="458"/>
      <c r="AA273" s="458"/>
      <c r="AB273" s="458"/>
      <c r="AC273" s="458"/>
    </row>
    <row r="274" spans="23:29" ht="25.05" customHeight="1">
      <c r="W274" s="458"/>
      <c r="X274" s="458"/>
      <c r="Y274" s="458"/>
      <c r="Z274" s="458"/>
      <c r="AA274" s="458"/>
      <c r="AB274" s="458"/>
      <c r="AC274" s="458"/>
    </row>
    <row r="275" spans="23:29" ht="25.05" customHeight="1">
      <c r="W275" s="458"/>
      <c r="X275" s="458"/>
      <c r="Y275" s="458"/>
      <c r="Z275" s="458"/>
      <c r="AA275" s="458"/>
      <c r="AB275" s="458"/>
      <c r="AC275" s="458"/>
    </row>
    <row r="276" spans="23:29" ht="25.05" customHeight="1">
      <c r="W276" s="458"/>
      <c r="X276" s="458"/>
      <c r="Y276" s="458"/>
      <c r="Z276" s="458"/>
      <c r="AA276" s="458"/>
      <c r="AB276" s="458"/>
      <c r="AC276" s="458"/>
    </row>
    <row r="277" spans="23:29" ht="25.05" customHeight="1">
      <c r="W277" s="458"/>
      <c r="X277" s="458"/>
      <c r="Y277" s="458"/>
      <c r="Z277" s="458"/>
      <c r="AA277" s="458"/>
      <c r="AB277" s="458"/>
      <c r="AC277" s="458"/>
    </row>
    <row r="278" spans="23:29" ht="25.05" customHeight="1">
      <c r="W278" s="458"/>
      <c r="X278" s="458"/>
      <c r="Y278" s="458"/>
      <c r="Z278" s="458"/>
      <c r="AA278" s="458"/>
      <c r="AB278" s="458"/>
      <c r="AC278" s="458"/>
    </row>
    <row r="279" spans="23:29" ht="25.05" customHeight="1">
      <c r="W279" s="458"/>
      <c r="X279" s="458"/>
      <c r="Y279" s="458"/>
      <c r="Z279" s="458"/>
      <c r="AA279" s="458"/>
      <c r="AB279" s="458"/>
      <c r="AC279" s="458"/>
    </row>
    <row r="280" spans="23:29" ht="25.05" customHeight="1">
      <c r="W280" s="458"/>
      <c r="X280" s="458"/>
      <c r="Y280" s="458"/>
      <c r="Z280" s="458"/>
      <c r="AA280" s="458"/>
      <c r="AB280" s="458"/>
      <c r="AC280" s="458"/>
    </row>
    <row r="281" spans="23:29" ht="25.05" customHeight="1">
      <c r="W281" s="458"/>
      <c r="X281" s="458"/>
      <c r="Y281" s="458"/>
      <c r="Z281" s="458"/>
      <c r="AA281" s="458"/>
      <c r="AB281" s="458"/>
      <c r="AC281" s="458"/>
    </row>
    <row r="282" spans="23:29" ht="25.05" customHeight="1">
      <c r="W282" s="458"/>
      <c r="X282" s="458"/>
      <c r="Y282" s="458"/>
      <c r="Z282" s="458"/>
      <c r="AA282" s="458"/>
      <c r="AB282" s="458"/>
      <c r="AC282" s="458"/>
    </row>
    <row r="283" spans="23:29" ht="25.05" customHeight="1">
      <c r="W283" s="458"/>
      <c r="X283" s="458"/>
      <c r="Y283" s="458"/>
      <c r="Z283" s="458"/>
      <c r="AA283" s="458"/>
      <c r="AB283" s="458"/>
      <c r="AC283" s="458"/>
    </row>
    <row r="284" spans="23:29" ht="25.05" customHeight="1">
      <c r="W284" s="458"/>
      <c r="X284" s="458"/>
      <c r="Y284" s="458"/>
      <c r="Z284" s="458"/>
      <c r="AA284" s="458"/>
      <c r="AB284" s="458"/>
      <c r="AC284" s="458"/>
    </row>
    <row r="285" spans="23:29" ht="25.05" customHeight="1">
      <c r="W285" s="458"/>
      <c r="X285" s="458"/>
      <c r="Y285" s="458"/>
      <c r="Z285" s="458"/>
      <c r="AA285" s="458"/>
      <c r="AB285" s="458"/>
      <c r="AC285" s="458"/>
    </row>
    <row r="286" spans="23:29" ht="25.05" customHeight="1">
      <c r="W286" s="458"/>
      <c r="X286" s="458"/>
      <c r="Y286" s="458"/>
      <c r="Z286" s="458"/>
      <c r="AA286" s="458"/>
      <c r="AB286" s="458"/>
      <c r="AC286" s="458"/>
    </row>
    <row r="287" spans="23:29" ht="25.05" customHeight="1">
      <c r="W287" s="458"/>
      <c r="X287" s="458"/>
      <c r="Y287" s="458"/>
      <c r="Z287" s="458"/>
      <c r="AA287" s="458"/>
      <c r="AB287" s="458"/>
      <c r="AC287" s="458"/>
    </row>
    <row r="288" spans="23:29" ht="25.05" customHeight="1">
      <c r="W288" s="458"/>
      <c r="X288" s="458"/>
      <c r="Y288" s="458"/>
      <c r="Z288" s="458"/>
      <c r="AA288" s="458"/>
      <c r="AB288" s="458"/>
      <c r="AC288" s="458"/>
    </row>
    <row r="289" spans="23:29" ht="25.05" customHeight="1">
      <c r="W289" s="458"/>
      <c r="X289" s="458"/>
      <c r="Y289" s="458"/>
      <c r="Z289" s="458"/>
      <c r="AA289" s="458"/>
      <c r="AB289" s="458"/>
      <c r="AC289" s="458"/>
    </row>
    <row r="290" spans="23:29" ht="25.05" customHeight="1">
      <c r="W290" s="458"/>
      <c r="X290" s="458"/>
      <c r="Y290" s="458"/>
      <c r="Z290" s="458"/>
      <c r="AA290" s="458"/>
      <c r="AB290" s="458"/>
      <c r="AC290" s="458"/>
    </row>
    <row r="291" spans="23:29" ht="25.05" customHeight="1">
      <c r="W291" s="458"/>
      <c r="X291" s="458"/>
      <c r="Y291" s="458"/>
      <c r="Z291" s="458"/>
      <c r="AA291" s="458"/>
      <c r="AB291" s="458"/>
      <c r="AC291" s="458"/>
    </row>
    <row r="292" spans="23:29" ht="25.05" customHeight="1">
      <c r="W292" s="458"/>
      <c r="X292" s="458"/>
      <c r="Y292" s="458"/>
      <c r="Z292" s="458"/>
      <c r="AA292" s="458"/>
      <c r="AB292" s="458"/>
      <c r="AC292" s="458"/>
    </row>
    <row r="293" spans="23:29" ht="25.05" customHeight="1">
      <c r="W293" s="458"/>
      <c r="X293" s="458"/>
      <c r="Y293" s="458"/>
      <c r="Z293" s="458"/>
      <c r="AA293" s="458"/>
      <c r="AB293" s="458"/>
      <c r="AC293" s="458"/>
    </row>
    <row r="294" spans="23:29" ht="25.05" customHeight="1">
      <c r="W294" s="458"/>
      <c r="X294" s="458"/>
      <c r="Y294" s="458"/>
      <c r="Z294" s="458"/>
      <c r="AA294" s="458"/>
      <c r="AB294" s="458"/>
      <c r="AC294" s="458"/>
    </row>
    <row r="295" spans="23:29" ht="25.05" customHeight="1">
      <c r="W295" s="458"/>
      <c r="X295" s="458"/>
      <c r="Y295" s="458"/>
      <c r="Z295" s="458"/>
      <c r="AA295" s="458"/>
      <c r="AB295" s="458"/>
      <c r="AC295" s="458"/>
    </row>
    <row r="296" spans="23:29" ht="25.05" customHeight="1">
      <c r="W296" s="458"/>
      <c r="X296" s="458"/>
      <c r="Y296" s="458"/>
      <c r="Z296" s="458"/>
      <c r="AA296" s="458"/>
      <c r="AB296" s="458"/>
      <c r="AC296" s="458"/>
    </row>
    <row r="297" spans="23:29" ht="25.05" customHeight="1">
      <c r="W297" s="458"/>
      <c r="X297" s="458"/>
      <c r="Y297" s="458"/>
      <c r="Z297" s="458"/>
      <c r="AA297" s="458"/>
      <c r="AB297" s="458"/>
      <c r="AC297" s="458"/>
    </row>
    <row r="298" spans="23:29" ht="25.05" customHeight="1">
      <c r="W298" s="458"/>
      <c r="X298" s="458"/>
      <c r="Y298" s="458"/>
      <c r="Z298" s="458"/>
      <c r="AA298" s="458"/>
      <c r="AB298" s="458"/>
      <c r="AC298" s="458"/>
    </row>
    <row r="299" spans="23:29" ht="25.05" customHeight="1">
      <c r="W299" s="458"/>
      <c r="X299" s="458"/>
      <c r="Y299" s="458"/>
      <c r="Z299" s="458"/>
      <c r="AA299" s="458"/>
      <c r="AB299" s="458"/>
      <c r="AC299" s="458"/>
    </row>
    <row r="300" spans="23:29" ht="25.05" customHeight="1">
      <c r="W300" s="458"/>
      <c r="X300" s="458"/>
      <c r="Y300" s="458"/>
      <c r="Z300" s="458"/>
      <c r="AA300" s="458"/>
      <c r="AB300" s="458"/>
      <c r="AC300" s="458"/>
    </row>
    <row r="301" spans="23:29" ht="25.05" customHeight="1">
      <c r="W301" s="458"/>
      <c r="X301" s="458"/>
      <c r="Y301" s="458"/>
      <c r="Z301" s="458"/>
      <c r="AA301" s="458"/>
      <c r="AB301" s="458"/>
      <c r="AC301" s="458"/>
    </row>
    <row r="302" spans="23:29" ht="25.05" customHeight="1">
      <c r="W302" s="458"/>
      <c r="X302" s="458"/>
      <c r="Y302" s="458"/>
      <c r="Z302" s="458"/>
      <c r="AA302" s="458"/>
      <c r="AB302" s="458"/>
      <c r="AC302" s="458"/>
    </row>
    <row r="303" spans="23:29" ht="25.05" customHeight="1">
      <c r="W303" s="458"/>
      <c r="X303" s="458"/>
      <c r="Y303" s="458"/>
      <c r="Z303" s="458"/>
      <c r="AA303" s="458"/>
      <c r="AB303" s="458"/>
      <c r="AC303" s="458"/>
    </row>
    <row r="304" spans="23:29" ht="25.05" customHeight="1">
      <c r="W304" s="458"/>
      <c r="X304" s="458"/>
      <c r="Y304" s="458"/>
      <c r="Z304" s="458"/>
      <c r="AA304" s="458"/>
      <c r="AB304" s="458"/>
      <c r="AC304" s="458"/>
    </row>
    <row r="305" spans="23:29" ht="25.05" customHeight="1">
      <c r="W305" s="458"/>
      <c r="X305" s="458"/>
      <c r="Y305" s="458"/>
      <c r="Z305" s="458"/>
      <c r="AA305" s="458"/>
      <c r="AB305" s="458"/>
      <c r="AC305" s="458"/>
    </row>
    <row r="306" spans="23:29" ht="25.05" customHeight="1">
      <c r="W306" s="458"/>
      <c r="X306" s="458"/>
      <c r="Y306" s="458"/>
      <c r="Z306" s="458"/>
      <c r="AA306" s="458"/>
      <c r="AB306" s="458"/>
      <c r="AC306" s="458"/>
    </row>
    <row r="307" spans="23:29" ht="25.05" customHeight="1">
      <c r="W307" s="458"/>
      <c r="X307" s="458"/>
      <c r="Y307" s="458"/>
      <c r="Z307" s="458"/>
      <c r="AA307" s="458"/>
      <c r="AB307" s="458"/>
      <c r="AC307" s="458"/>
    </row>
    <row r="308" spans="23:29" ht="25.05" customHeight="1">
      <c r="W308" s="458"/>
      <c r="X308" s="458"/>
      <c r="Y308" s="458"/>
      <c r="Z308" s="458"/>
      <c r="AA308" s="458"/>
      <c r="AB308" s="458"/>
      <c r="AC308" s="458"/>
    </row>
    <row r="309" spans="23:29" ht="25.05" customHeight="1">
      <c r="W309" s="458"/>
      <c r="X309" s="458"/>
      <c r="Y309" s="458"/>
      <c r="Z309" s="458"/>
      <c r="AA309" s="458"/>
      <c r="AB309" s="458"/>
      <c r="AC309" s="458"/>
    </row>
    <row r="310" spans="23:29" ht="25.05" customHeight="1">
      <c r="W310" s="458"/>
      <c r="X310" s="458"/>
      <c r="Y310" s="458"/>
      <c r="Z310" s="458"/>
      <c r="AA310" s="458"/>
      <c r="AB310" s="458"/>
      <c r="AC310" s="458"/>
    </row>
    <row r="311" spans="23:29" ht="25.05" customHeight="1">
      <c r="W311" s="458"/>
      <c r="X311" s="458"/>
      <c r="Y311" s="458"/>
      <c r="Z311" s="458"/>
      <c r="AA311" s="458"/>
      <c r="AB311" s="458"/>
      <c r="AC311" s="458"/>
    </row>
    <row r="312" spans="23:29" ht="25.05" customHeight="1">
      <c r="W312" s="458"/>
      <c r="X312" s="458"/>
      <c r="Y312" s="458"/>
      <c r="Z312" s="458"/>
      <c r="AA312" s="458"/>
      <c r="AB312" s="458"/>
      <c r="AC312" s="458"/>
    </row>
    <row r="313" spans="23:29" ht="25.05" customHeight="1">
      <c r="W313" s="458"/>
      <c r="X313" s="458"/>
      <c r="Y313" s="458"/>
      <c r="Z313" s="458"/>
      <c r="AA313" s="458"/>
      <c r="AB313" s="458"/>
      <c r="AC313" s="458"/>
    </row>
    <row r="314" spans="23:29" ht="25.05" customHeight="1">
      <c r="W314" s="458"/>
      <c r="X314" s="458"/>
      <c r="Y314" s="458"/>
      <c r="Z314" s="458"/>
      <c r="AA314" s="458"/>
      <c r="AB314" s="458"/>
      <c r="AC314" s="458"/>
    </row>
    <row r="315" spans="23:29" ht="25.05" customHeight="1">
      <c r="W315" s="458"/>
      <c r="X315" s="458"/>
      <c r="Y315" s="458"/>
      <c r="Z315" s="458"/>
      <c r="AA315" s="458"/>
      <c r="AB315" s="458"/>
      <c r="AC315" s="458"/>
    </row>
    <row r="316" spans="23:29" ht="25.05" customHeight="1">
      <c r="W316" s="458"/>
      <c r="X316" s="458"/>
      <c r="Y316" s="458"/>
      <c r="Z316" s="458"/>
      <c r="AA316" s="458"/>
      <c r="AB316" s="458"/>
      <c r="AC316" s="458"/>
    </row>
    <row r="317" spans="23:29" ht="25.05" customHeight="1">
      <c r="W317" s="458"/>
      <c r="X317" s="458"/>
      <c r="Y317" s="458"/>
      <c r="Z317" s="458"/>
      <c r="AA317" s="458"/>
      <c r="AB317" s="458"/>
      <c r="AC317" s="458"/>
    </row>
    <row r="318" spans="23:29" ht="25.05" customHeight="1">
      <c r="W318" s="458"/>
      <c r="X318" s="458"/>
      <c r="Y318" s="458"/>
      <c r="Z318" s="458"/>
      <c r="AA318" s="458"/>
      <c r="AB318" s="458"/>
      <c r="AC318" s="458"/>
    </row>
    <row r="319" spans="23:29" ht="25.05" customHeight="1">
      <c r="W319" s="458"/>
      <c r="X319" s="458"/>
      <c r="Y319" s="458"/>
      <c r="Z319" s="458"/>
      <c r="AA319" s="458"/>
      <c r="AB319" s="458"/>
      <c r="AC319" s="458"/>
    </row>
    <row r="320" spans="23:29" ht="25.05" customHeight="1">
      <c r="W320" s="458"/>
      <c r="X320" s="458"/>
      <c r="Y320" s="458"/>
      <c r="Z320" s="458"/>
      <c r="AA320" s="458"/>
      <c r="AB320" s="458"/>
      <c r="AC320" s="458"/>
    </row>
    <row r="321" spans="23:29" ht="25.05" customHeight="1">
      <c r="W321" s="458"/>
      <c r="X321" s="458"/>
      <c r="Y321" s="458"/>
      <c r="Z321" s="458"/>
      <c r="AA321" s="458"/>
      <c r="AB321" s="458"/>
      <c r="AC321" s="458"/>
    </row>
    <row r="322" spans="23:29" ht="25.05" customHeight="1">
      <c r="W322" s="458"/>
      <c r="X322" s="458"/>
      <c r="Y322" s="458"/>
      <c r="Z322" s="458"/>
      <c r="AA322" s="458"/>
      <c r="AB322" s="458"/>
      <c r="AC322" s="458"/>
    </row>
    <row r="323" spans="23:29" ht="25.05" customHeight="1">
      <c r="W323" s="458"/>
      <c r="X323" s="458"/>
      <c r="Y323" s="458"/>
      <c r="Z323" s="458"/>
      <c r="AA323" s="458"/>
      <c r="AB323" s="458"/>
      <c r="AC323" s="458"/>
    </row>
    <row r="324" spans="23:29" ht="25.05" customHeight="1">
      <c r="W324" s="458"/>
      <c r="X324" s="458"/>
      <c r="Y324" s="458"/>
      <c r="Z324" s="458"/>
      <c r="AA324" s="458"/>
      <c r="AB324" s="458"/>
      <c r="AC324" s="458"/>
    </row>
    <row r="325" spans="23:29" ht="25.05" customHeight="1">
      <c r="W325" s="458"/>
      <c r="X325" s="458"/>
      <c r="Y325" s="458"/>
      <c r="Z325" s="458"/>
      <c r="AA325" s="458"/>
      <c r="AB325" s="458"/>
      <c r="AC325" s="458"/>
    </row>
    <row r="326" spans="23:29" ht="25.05" customHeight="1">
      <c r="W326" s="458"/>
      <c r="X326" s="458"/>
      <c r="Y326" s="458"/>
      <c r="Z326" s="458"/>
      <c r="AA326" s="458"/>
      <c r="AB326" s="458"/>
      <c r="AC326" s="458"/>
    </row>
    <row r="327" spans="23:29" ht="25.05" customHeight="1">
      <c r="W327" s="458"/>
      <c r="X327" s="458"/>
      <c r="Y327" s="458"/>
      <c r="Z327" s="458"/>
      <c r="AA327" s="458"/>
      <c r="AB327" s="458"/>
      <c r="AC327" s="458"/>
    </row>
    <row r="328" spans="23:29" ht="25.05" customHeight="1">
      <c r="W328" s="458"/>
      <c r="X328" s="458"/>
      <c r="Y328" s="458"/>
      <c r="Z328" s="458"/>
      <c r="AA328" s="458"/>
      <c r="AB328" s="458"/>
      <c r="AC328" s="458"/>
    </row>
    <row r="329" spans="23:29" ht="25.05" customHeight="1">
      <c r="W329" s="458"/>
      <c r="X329" s="458"/>
      <c r="Y329" s="458"/>
      <c r="Z329" s="458"/>
      <c r="AA329" s="458"/>
      <c r="AB329" s="458"/>
      <c r="AC329" s="458"/>
    </row>
    <row r="330" spans="23:29" ht="25.05" customHeight="1">
      <c r="W330" s="458"/>
      <c r="X330" s="458"/>
      <c r="Y330" s="458"/>
      <c r="Z330" s="458"/>
      <c r="AA330" s="458"/>
      <c r="AB330" s="458"/>
      <c r="AC330" s="458"/>
    </row>
    <row r="331" spans="23:29" ht="25.05" customHeight="1">
      <c r="W331" s="458"/>
      <c r="X331" s="458"/>
      <c r="Y331" s="458"/>
      <c r="Z331" s="458"/>
      <c r="AA331" s="458"/>
      <c r="AB331" s="458"/>
      <c r="AC331" s="458"/>
    </row>
    <row r="332" spans="23:29" ht="25.05" customHeight="1">
      <c r="W332" s="458"/>
      <c r="X332" s="458"/>
      <c r="Y332" s="458"/>
      <c r="Z332" s="458"/>
      <c r="AA332" s="458"/>
      <c r="AB332" s="458"/>
      <c r="AC332" s="458"/>
    </row>
    <row r="333" spans="23:29" ht="25.05" customHeight="1">
      <c r="W333" s="458"/>
      <c r="X333" s="458"/>
      <c r="Y333" s="458"/>
      <c r="Z333" s="458"/>
      <c r="AA333" s="458"/>
      <c r="AB333" s="458"/>
      <c r="AC333" s="458"/>
    </row>
    <row r="334" spans="23:29" ht="25.05" customHeight="1">
      <c r="W334" s="458"/>
      <c r="X334" s="458"/>
      <c r="Y334" s="458"/>
      <c r="Z334" s="458"/>
      <c r="AA334" s="458"/>
      <c r="AB334" s="458"/>
      <c r="AC334" s="458"/>
    </row>
    <row r="335" spans="23:29" ht="25.05" customHeight="1">
      <c r="W335" s="458"/>
      <c r="X335" s="458"/>
      <c r="Y335" s="458"/>
      <c r="Z335" s="458"/>
      <c r="AA335" s="458"/>
      <c r="AB335" s="458"/>
      <c r="AC335" s="458"/>
    </row>
    <row r="336" spans="23:29" ht="25.05" customHeight="1">
      <c r="W336" s="458"/>
      <c r="X336" s="458"/>
      <c r="Y336" s="458"/>
      <c r="Z336" s="458"/>
      <c r="AA336" s="458"/>
      <c r="AB336" s="458"/>
      <c r="AC336" s="458"/>
    </row>
    <row r="337" spans="23:29" ht="25.05" customHeight="1">
      <c r="W337" s="458"/>
      <c r="X337" s="458"/>
      <c r="Y337" s="458"/>
      <c r="Z337" s="458"/>
      <c r="AA337" s="458"/>
      <c r="AB337" s="458"/>
      <c r="AC337" s="458"/>
    </row>
    <row r="338" spans="23:29" ht="25.05" customHeight="1">
      <c r="W338" s="458"/>
      <c r="X338" s="458"/>
      <c r="Y338" s="458"/>
      <c r="Z338" s="458"/>
      <c r="AA338" s="458"/>
      <c r="AB338" s="458"/>
      <c r="AC338" s="458"/>
    </row>
    <row r="339" spans="23:29" ht="25.05" customHeight="1">
      <c r="W339" s="458"/>
      <c r="X339" s="458"/>
      <c r="Y339" s="458"/>
      <c r="Z339" s="458"/>
      <c r="AA339" s="458"/>
      <c r="AB339" s="458"/>
      <c r="AC339" s="458"/>
    </row>
    <row r="340" spans="23:29" ht="25.05" customHeight="1">
      <c r="W340" s="458"/>
      <c r="X340" s="458"/>
      <c r="Y340" s="458"/>
      <c r="Z340" s="458"/>
      <c r="AA340" s="458"/>
      <c r="AB340" s="458"/>
      <c r="AC340" s="458"/>
    </row>
    <row r="341" spans="23:29" ht="25.05" customHeight="1">
      <c r="W341" s="458"/>
      <c r="X341" s="458"/>
      <c r="Y341" s="458"/>
      <c r="Z341" s="458"/>
      <c r="AA341" s="458"/>
      <c r="AB341" s="458"/>
      <c r="AC341" s="458"/>
    </row>
    <row r="342" spans="23:29" ht="25.05" customHeight="1">
      <c r="W342" s="458"/>
      <c r="X342" s="458"/>
      <c r="Y342" s="458"/>
      <c r="Z342" s="458"/>
      <c r="AA342" s="458"/>
      <c r="AB342" s="458"/>
      <c r="AC342" s="458"/>
    </row>
    <row r="343" spans="23:29" ht="25.05" customHeight="1">
      <c r="W343" s="458"/>
      <c r="X343" s="458"/>
      <c r="Y343" s="458"/>
      <c r="Z343" s="458"/>
      <c r="AA343" s="458"/>
      <c r="AB343" s="458"/>
      <c r="AC343" s="458"/>
    </row>
    <row r="344" spans="23:29" ht="25.05" customHeight="1">
      <c r="W344" s="458"/>
      <c r="X344" s="458"/>
      <c r="Y344" s="458"/>
      <c r="Z344" s="458"/>
      <c r="AA344" s="458"/>
      <c r="AB344" s="458"/>
      <c r="AC344" s="458"/>
    </row>
    <row r="345" spans="23:29" ht="25.05" customHeight="1">
      <c r="W345" s="458"/>
      <c r="X345" s="458"/>
      <c r="Y345" s="458"/>
      <c r="Z345" s="458"/>
      <c r="AA345" s="458"/>
      <c r="AB345" s="458"/>
      <c r="AC345" s="458"/>
    </row>
    <row r="346" spans="23:29" ht="25.05" customHeight="1">
      <c r="W346" s="458"/>
      <c r="X346" s="458"/>
      <c r="Y346" s="458"/>
      <c r="Z346" s="458"/>
      <c r="AA346" s="458"/>
      <c r="AB346" s="458"/>
      <c r="AC346" s="458"/>
    </row>
    <row r="347" spans="23:29" ht="25.05" customHeight="1">
      <c r="W347" s="458"/>
      <c r="X347" s="458"/>
      <c r="Y347" s="458"/>
      <c r="Z347" s="458"/>
      <c r="AA347" s="458"/>
      <c r="AB347" s="458"/>
      <c r="AC347" s="458"/>
    </row>
    <row r="348" spans="23:29" ht="25.05" customHeight="1">
      <c r="W348" s="458"/>
      <c r="X348" s="458"/>
      <c r="Y348" s="458"/>
      <c r="Z348" s="458"/>
      <c r="AA348" s="458"/>
      <c r="AB348" s="458"/>
      <c r="AC348" s="458"/>
    </row>
    <row r="349" spans="23:29" ht="25.05" customHeight="1">
      <c r="W349" s="458"/>
      <c r="X349" s="458"/>
      <c r="Y349" s="458"/>
      <c r="Z349" s="458"/>
      <c r="AA349" s="458"/>
      <c r="AB349" s="458"/>
      <c r="AC349" s="458"/>
    </row>
    <row r="350" spans="23:29" ht="25.05" customHeight="1">
      <c r="W350" s="458"/>
      <c r="X350" s="458"/>
      <c r="Y350" s="458"/>
      <c r="Z350" s="458"/>
      <c r="AA350" s="458"/>
      <c r="AB350" s="458"/>
      <c r="AC350" s="458"/>
    </row>
    <row r="351" spans="23:29" ht="25.05" customHeight="1">
      <c r="W351" s="458"/>
      <c r="X351" s="458"/>
      <c r="Y351" s="458"/>
      <c r="Z351" s="458"/>
      <c r="AA351" s="458"/>
      <c r="AB351" s="458"/>
      <c r="AC351" s="458"/>
    </row>
    <row r="352" spans="23:29" ht="25.05" customHeight="1">
      <c r="W352" s="458"/>
      <c r="X352" s="458"/>
      <c r="Y352" s="458"/>
      <c r="Z352" s="458"/>
      <c r="AA352" s="458"/>
      <c r="AB352" s="458"/>
      <c r="AC352" s="458"/>
    </row>
    <row r="353" spans="23:29" ht="25.05" customHeight="1">
      <c r="W353" s="458"/>
      <c r="X353" s="458"/>
      <c r="Y353" s="458"/>
      <c r="Z353" s="458"/>
      <c r="AA353" s="458"/>
      <c r="AB353" s="458"/>
      <c r="AC353" s="458"/>
    </row>
    <row r="354" spans="23:29" ht="25.05" customHeight="1">
      <c r="W354" s="458"/>
      <c r="X354" s="458"/>
      <c r="Y354" s="458"/>
      <c r="Z354" s="458"/>
      <c r="AA354" s="458"/>
      <c r="AB354" s="458"/>
      <c r="AC354" s="458"/>
    </row>
    <row r="355" spans="23:29" ht="25.05" customHeight="1">
      <c r="W355" s="458"/>
      <c r="X355" s="458"/>
      <c r="Y355" s="458"/>
      <c r="Z355" s="458"/>
      <c r="AA355" s="458"/>
      <c r="AB355" s="458"/>
      <c r="AC355" s="458"/>
    </row>
    <row r="356" spans="23:29" ht="25.05" customHeight="1">
      <c r="W356" s="458"/>
      <c r="X356" s="458"/>
      <c r="Y356" s="458"/>
      <c r="Z356" s="458"/>
      <c r="AA356" s="458"/>
      <c r="AB356" s="458"/>
      <c r="AC356" s="458"/>
    </row>
    <row r="357" spans="23:29" ht="25.05" customHeight="1">
      <c r="W357" s="458"/>
      <c r="X357" s="458"/>
      <c r="Y357" s="458"/>
      <c r="Z357" s="458"/>
      <c r="AA357" s="458"/>
      <c r="AB357" s="458"/>
      <c r="AC357" s="458"/>
    </row>
    <row r="358" spans="23:29" ht="25.05" customHeight="1">
      <c r="W358" s="458"/>
      <c r="X358" s="458"/>
      <c r="Y358" s="458"/>
      <c r="Z358" s="458"/>
      <c r="AA358" s="458"/>
      <c r="AB358" s="458"/>
      <c r="AC358" s="458"/>
    </row>
    <row r="359" spans="23:29" ht="25.05" customHeight="1">
      <c r="W359" s="458"/>
      <c r="X359" s="458"/>
      <c r="Y359" s="458"/>
      <c r="Z359" s="458"/>
      <c r="AA359" s="458"/>
      <c r="AB359" s="458"/>
      <c r="AC359" s="458"/>
    </row>
    <row r="360" spans="23:29" ht="25.05" customHeight="1">
      <c r="W360" s="458"/>
      <c r="X360" s="458"/>
      <c r="Y360" s="458"/>
      <c r="Z360" s="458"/>
      <c r="AA360" s="458"/>
      <c r="AB360" s="458"/>
      <c r="AC360" s="458"/>
    </row>
    <row r="361" spans="23:29" ht="25.05" customHeight="1">
      <c r="W361" s="458"/>
      <c r="X361" s="458"/>
      <c r="Y361" s="458"/>
      <c r="Z361" s="458"/>
      <c r="AA361" s="458"/>
      <c r="AB361" s="458"/>
      <c r="AC361" s="458"/>
    </row>
    <row r="362" spans="23:29" ht="25.05" customHeight="1">
      <c r="W362" s="458"/>
      <c r="X362" s="458"/>
      <c r="Y362" s="458"/>
      <c r="Z362" s="458"/>
      <c r="AA362" s="458"/>
      <c r="AB362" s="458"/>
      <c r="AC362" s="458"/>
    </row>
    <row r="363" spans="23:29" ht="25.05" customHeight="1">
      <c r="W363" s="458"/>
      <c r="X363" s="458"/>
      <c r="Y363" s="458"/>
      <c r="Z363" s="458"/>
      <c r="AA363" s="458"/>
      <c r="AB363" s="458"/>
      <c r="AC363" s="458"/>
    </row>
    <row r="364" spans="23:29" ht="25.05" customHeight="1">
      <c r="W364" s="458"/>
      <c r="X364" s="458"/>
      <c r="Y364" s="458"/>
      <c r="Z364" s="458"/>
      <c r="AA364" s="458"/>
      <c r="AB364" s="458"/>
      <c r="AC364" s="458"/>
    </row>
    <row r="365" spans="23:29" ht="25.05" customHeight="1">
      <c r="W365" s="458"/>
      <c r="X365" s="458"/>
      <c r="Y365" s="458"/>
      <c r="Z365" s="458"/>
      <c r="AA365" s="458"/>
      <c r="AB365" s="458"/>
      <c r="AC365" s="458"/>
    </row>
    <row r="366" spans="23:29" ht="25.05" customHeight="1">
      <c r="W366" s="458"/>
      <c r="X366" s="458"/>
      <c r="Y366" s="458"/>
      <c r="Z366" s="458"/>
      <c r="AA366" s="458"/>
      <c r="AB366" s="458"/>
      <c r="AC366" s="458"/>
    </row>
    <row r="367" spans="23:29" ht="25.05" customHeight="1">
      <c r="W367" s="458"/>
      <c r="X367" s="458"/>
      <c r="Y367" s="458"/>
      <c r="Z367" s="458"/>
      <c r="AA367" s="458"/>
      <c r="AB367" s="458"/>
      <c r="AC367" s="458"/>
    </row>
    <row r="368" spans="23:29" ht="25.05" customHeight="1">
      <c r="W368" s="458"/>
      <c r="X368" s="458"/>
      <c r="Y368" s="458"/>
      <c r="Z368" s="458"/>
      <c r="AA368" s="458"/>
      <c r="AB368" s="458"/>
      <c r="AC368" s="458"/>
    </row>
    <row r="369" spans="23:29" ht="25.05" customHeight="1">
      <c r="W369" s="458"/>
      <c r="X369" s="458"/>
      <c r="Y369" s="458"/>
      <c r="Z369" s="458"/>
      <c r="AA369" s="458"/>
      <c r="AB369" s="458"/>
      <c r="AC369" s="458"/>
    </row>
    <row r="370" spans="23:29" ht="25.05" customHeight="1">
      <c r="W370" s="458"/>
      <c r="X370" s="458"/>
      <c r="Y370" s="458"/>
      <c r="Z370" s="458"/>
      <c r="AA370" s="458"/>
      <c r="AB370" s="458"/>
      <c r="AC370" s="458"/>
    </row>
    <row r="371" spans="23:29" ht="25.05" customHeight="1">
      <c r="W371" s="458"/>
      <c r="X371" s="458"/>
      <c r="Y371" s="458"/>
      <c r="Z371" s="458"/>
      <c r="AA371" s="458"/>
      <c r="AB371" s="458"/>
      <c r="AC371" s="458"/>
    </row>
    <row r="372" spans="23:29" ht="25.05" customHeight="1">
      <c r="W372" s="458"/>
      <c r="X372" s="458"/>
      <c r="Y372" s="458"/>
      <c r="Z372" s="458"/>
      <c r="AA372" s="458"/>
      <c r="AB372" s="458"/>
      <c r="AC372" s="458"/>
    </row>
    <row r="373" spans="23:29" ht="25.05" customHeight="1">
      <c r="W373" s="458"/>
      <c r="X373" s="458"/>
      <c r="Y373" s="458"/>
      <c r="Z373" s="458"/>
      <c r="AA373" s="458"/>
      <c r="AB373" s="458"/>
      <c r="AC373" s="458"/>
    </row>
    <row r="374" spans="23:29" ht="25.05" customHeight="1">
      <c r="W374" s="458"/>
      <c r="X374" s="458"/>
      <c r="Y374" s="458"/>
      <c r="Z374" s="458"/>
      <c r="AA374" s="458"/>
      <c r="AB374" s="458"/>
      <c r="AC374" s="458"/>
    </row>
    <row r="375" spans="23:29" ht="25.05" customHeight="1">
      <c r="W375" s="458"/>
      <c r="X375" s="458"/>
      <c r="Y375" s="458"/>
      <c r="Z375" s="458"/>
      <c r="AA375" s="458"/>
      <c r="AB375" s="458"/>
      <c r="AC375" s="458"/>
    </row>
    <row r="376" spans="23:29" ht="25.05" customHeight="1">
      <c r="W376" s="458"/>
      <c r="X376" s="458"/>
      <c r="Y376" s="458"/>
      <c r="Z376" s="458"/>
      <c r="AA376" s="458"/>
      <c r="AB376" s="458"/>
      <c r="AC376" s="458"/>
    </row>
    <row r="377" spans="23:29" ht="25.05" customHeight="1">
      <c r="W377" s="458"/>
      <c r="X377" s="458"/>
      <c r="Y377" s="458"/>
      <c r="Z377" s="458"/>
      <c r="AA377" s="458"/>
      <c r="AB377" s="458"/>
      <c r="AC377" s="458"/>
    </row>
    <row r="378" spans="23:29" ht="25.05" customHeight="1">
      <c r="W378" s="458"/>
      <c r="X378" s="458"/>
      <c r="Y378" s="458"/>
      <c r="Z378" s="458"/>
      <c r="AA378" s="458"/>
      <c r="AB378" s="458"/>
      <c r="AC378" s="458"/>
    </row>
    <row r="379" spans="23:29" ht="25.05" customHeight="1">
      <c r="W379" s="458"/>
      <c r="X379" s="458"/>
      <c r="Y379" s="458"/>
      <c r="Z379" s="458"/>
      <c r="AA379" s="458"/>
      <c r="AB379" s="458"/>
      <c r="AC379" s="458"/>
    </row>
    <row r="380" spans="23:29" ht="25.05" customHeight="1">
      <c r="W380" s="458"/>
      <c r="X380" s="458"/>
      <c r="Y380" s="458"/>
      <c r="Z380" s="458"/>
      <c r="AA380" s="458"/>
      <c r="AB380" s="458"/>
      <c r="AC380" s="458"/>
    </row>
    <row r="381" spans="23:29" ht="25.05" customHeight="1">
      <c r="W381" s="458"/>
      <c r="X381" s="458"/>
      <c r="Y381" s="458"/>
      <c r="Z381" s="458"/>
      <c r="AA381" s="458"/>
      <c r="AB381" s="458"/>
      <c r="AC381" s="458"/>
    </row>
    <row r="382" spans="23:29" ht="25.05" customHeight="1">
      <c r="W382" s="458"/>
      <c r="X382" s="458"/>
      <c r="Y382" s="458"/>
      <c r="Z382" s="458"/>
      <c r="AA382" s="458"/>
      <c r="AB382" s="458"/>
      <c r="AC382" s="458"/>
    </row>
    <row r="383" spans="23:29" ht="25.05" customHeight="1">
      <c r="W383" s="458"/>
      <c r="X383" s="458"/>
      <c r="Y383" s="458"/>
      <c r="Z383" s="458"/>
      <c r="AA383" s="458"/>
      <c r="AB383" s="458"/>
      <c r="AC383" s="458"/>
    </row>
    <row r="384" spans="23:29" ht="25.05" customHeight="1">
      <c r="W384" s="458"/>
      <c r="X384" s="458"/>
      <c r="Y384" s="458"/>
      <c r="Z384" s="458"/>
      <c r="AA384" s="458"/>
      <c r="AB384" s="458"/>
      <c r="AC384" s="458"/>
    </row>
    <row r="385" spans="23:29" ht="25.05" customHeight="1">
      <c r="W385" s="458"/>
      <c r="X385" s="458"/>
      <c r="Y385" s="458"/>
      <c r="Z385" s="458"/>
      <c r="AA385" s="458"/>
      <c r="AB385" s="458"/>
      <c r="AC385" s="458"/>
    </row>
    <row r="386" spans="23:29" ht="25.05" customHeight="1">
      <c r="W386" s="458"/>
      <c r="X386" s="458"/>
      <c r="Y386" s="458"/>
      <c r="Z386" s="458"/>
      <c r="AA386" s="458"/>
      <c r="AB386" s="458"/>
      <c r="AC386" s="458"/>
    </row>
    <row r="387" spans="23:29" ht="25.05" customHeight="1">
      <c r="W387" s="458"/>
      <c r="X387" s="458"/>
      <c r="Y387" s="458"/>
      <c r="Z387" s="458"/>
      <c r="AA387" s="458"/>
      <c r="AB387" s="458"/>
      <c r="AC387" s="458"/>
    </row>
    <row r="388" spans="23:29" ht="25.05" customHeight="1">
      <c r="W388" s="458"/>
      <c r="X388" s="458"/>
      <c r="Y388" s="458"/>
      <c r="Z388" s="458"/>
      <c r="AA388" s="458"/>
      <c r="AB388" s="458"/>
      <c r="AC388" s="458"/>
    </row>
    <row r="389" spans="23:29" ht="25.05" customHeight="1">
      <c r="W389" s="458"/>
      <c r="X389" s="458"/>
      <c r="Y389" s="458"/>
      <c r="Z389" s="458"/>
      <c r="AA389" s="458"/>
      <c r="AB389" s="458"/>
      <c r="AC389" s="458"/>
    </row>
    <row r="390" spans="23:29" ht="25.05" customHeight="1">
      <c r="W390" s="458"/>
      <c r="X390" s="458"/>
      <c r="Y390" s="458"/>
      <c r="Z390" s="458"/>
      <c r="AA390" s="458"/>
      <c r="AB390" s="458"/>
      <c r="AC390" s="458"/>
    </row>
    <row r="391" spans="23:29" ht="25.05" customHeight="1">
      <c r="W391" s="458"/>
      <c r="X391" s="458"/>
      <c r="Y391" s="458"/>
      <c r="Z391" s="458"/>
      <c r="AA391" s="458"/>
      <c r="AB391" s="458"/>
      <c r="AC391" s="458"/>
    </row>
    <row r="392" spans="23:29" ht="25.05" customHeight="1">
      <c r="W392" s="458"/>
      <c r="X392" s="458"/>
      <c r="Y392" s="458"/>
      <c r="Z392" s="458"/>
      <c r="AA392" s="458"/>
      <c r="AB392" s="458"/>
      <c r="AC392" s="458"/>
    </row>
    <row r="393" spans="23:29" ht="25.05" customHeight="1">
      <c r="W393" s="458"/>
      <c r="X393" s="458"/>
      <c r="Y393" s="458"/>
      <c r="Z393" s="458"/>
      <c r="AA393" s="458"/>
      <c r="AB393" s="458"/>
      <c r="AC393" s="458"/>
    </row>
    <row r="394" spans="23:29" ht="25.05" customHeight="1">
      <c r="W394" s="458"/>
      <c r="X394" s="458"/>
      <c r="Y394" s="458"/>
      <c r="Z394" s="458"/>
      <c r="AA394" s="458"/>
      <c r="AB394" s="458"/>
      <c r="AC394" s="458"/>
    </row>
    <row r="395" spans="23:29" ht="25.05" customHeight="1">
      <c r="W395" s="458"/>
      <c r="X395" s="458"/>
      <c r="Y395" s="458"/>
      <c r="Z395" s="458"/>
      <c r="AA395" s="458"/>
      <c r="AB395" s="458"/>
      <c r="AC395" s="458"/>
    </row>
    <row r="396" spans="23:29" ht="25.05" customHeight="1">
      <c r="W396" s="458"/>
      <c r="X396" s="458"/>
      <c r="Y396" s="458"/>
      <c r="Z396" s="458"/>
      <c r="AA396" s="458"/>
      <c r="AB396" s="458"/>
      <c r="AC396" s="458"/>
    </row>
    <row r="397" spans="23:29" ht="25.05" customHeight="1">
      <c r="W397" s="458"/>
      <c r="X397" s="458"/>
      <c r="Y397" s="458"/>
      <c r="Z397" s="458"/>
      <c r="AA397" s="458"/>
      <c r="AB397" s="458"/>
      <c r="AC397" s="458"/>
    </row>
    <row r="398" spans="23:29" ht="25.05" customHeight="1">
      <c r="W398" s="458"/>
      <c r="X398" s="458"/>
      <c r="Y398" s="458"/>
      <c r="Z398" s="458"/>
      <c r="AA398" s="458"/>
      <c r="AB398" s="458"/>
      <c r="AC398" s="458"/>
    </row>
    <row r="399" spans="23:29" ht="25.05" customHeight="1">
      <c r="W399" s="458"/>
      <c r="X399" s="458"/>
      <c r="Y399" s="458"/>
      <c r="Z399" s="458"/>
      <c r="AA399" s="458"/>
      <c r="AB399" s="458"/>
      <c r="AC399" s="458"/>
    </row>
    <row r="400" spans="23:29" ht="25.05" customHeight="1">
      <c r="W400" s="458"/>
      <c r="X400" s="458"/>
      <c r="Y400" s="458"/>
      <c r="Z400" s="458"/>
      <c r="AA400" s="458"/>
      <c r="AB400" s="458"/>
      <c r="AC400" s="458"/>
    </row>
    <row r="401" spans="23:29" ht="25.05" customHeight="1">
      <c r="W401" s="458"/>
      <c r="X401" s="458"/>
      <c r="Y401" s="458"/>
      <c r="Z401" s="458"/>
      <c r="AA401" s="458"/>
      <c r="AB401" s="458"/>
      <c r="AC401" s="458"/>
    </row>
    <row r="402" spans="23:29" ht="25.05" customHeight="1">
      <c r="W402" s="458"/>
      <c r="X402" s="458"/>
      <c r="Y402" s="458"/>
      <c r="Z402" s="458"/>
      <c r="AA402" s="458"/>
      <c r="AB402" s="458"/>
      <c r="AC402" s="458"/>
    </row>
    <row r="403" spans="23:29" ht="25.05" customHeight="1">
      <c r="W403" s="458"/>
      <c r="X403" s="458"/>
      <c r="Y403" s="458"/>
      <c r="Z403" s="458"/>
      <c r="AA403" s="458"/>
      <c r="AB403" s="458"/>
      <c r="AC403" s="458"/>
    </row>
    <row r="404" spans="23:29" ht="25.05" customHeight="1">
      <c r="W404" s="458"/>
      <c r="X404" s="458"/>
      <c r="Y404" s="458"/>
      <c r="Z404" s="458"/>
      <c r="AA404" s="458"/>
      <c r="AB404" s="458"/>
      <c r="AC404" s="458"/>
    </row>
    <row r="405" spans="23:29" ht="25.05" customHeight="1">
      <c r="W405" s="458"/>
      <c r="X405" s="458"/>
      <c r="Y405" s="458"/>
      <c r="Z405" s="458"/>
      <c r="AA405" s="458"/>
      <c r="AB405" s="458"/>
      <c r="AC405" s="458"/>
    </row>
    <row r="406" spans="23:29" ht="25.05" customHeight="1">
      <c r="W406" s="458"/>
      <c r="X406" s="458"/>
      <c r="Y406" s="458"/>
      <c r="Z406" s="458"/>
      <c r="AA406" s="458"/>
      <c r="AB406" s="458"/>
      <c r="AC406" s="458"/>
    </row>
    <row r="407" spans="23:29" ht="25.05" customHeight="1">
      <c r="W407" s="458"/>
      <c r="X407" s="458"/>
      <c r="Y407" s="458"/>
      <c r="Z407" s="458"/>
      <c r="AA407" s="458"/>
      <c r="AB407" s="458"/>
      <c r="AC407" s="458"/>
    </row>
    <row r="408" spans="23:29" ht="25.05" customHeight="1">
      <c r="W408" s="458"/>
      <c r="X408" s="458"/>
      <c r="Y408" s="458"/>
      <c r="Z408" s="458"/>
      <c r="AA408" s="458"/>
      <c r="AB408" s="458"/>
      <c r="AC408" s="458"/>
    </row>
    <row r="409" spans="23:29" ht="25.05" customHeight="1">
      <c r="W409" s="458"/>
      <c r="X409" s="458"/>
      <c r="Y409" s="458"/>
      <c r="Z409" s="458"/>
      <c r="AA409" s="458"/>
      <c r="AB409" s="458"/>
      <c r="AC409" s="458"/>
    </row>
    <row r="410" spans="23:29" ht="25.05" customHeight="1">
      <c r="W410" s="458"/>
      <c r="X410" s="458"/>
      <c r="Y410" s="458"/>
      <c r="Z410" s="458"/>
      <c r="AA410" s="458"/>
      <c r="AB410" s="458"/>
      <c r="AC410" s="458"/>
    </row>
    <row r="411" spans="23:29" ht="25.05" customHeight="1">
      <c r="W411" s="458"/>
      <c r="X411" s="458"/>
      <c r="Y411" s="458"/>
      <c r="Z411" s="458"/>
      <c r="AA411" s="458"/>
      <c r="AB411" s="458"/>
      <c r="AC411" s="458"/>
    </row>
    <row r="412" spans="23:29" ht="25.05" customHeight="1">
      <c r="W412" s="458"/>
      <c r="X412" s="458"/>
      <c r="Y412" s="458"/>
      <c r="Z412" s="458"/>
      <c r="AA412" s="458"/>
      <c r="AB412" s="458"/>
      <c r="AC412" s="458"/>
    </row>
    <row r="413" spans="23:29" ht="25.05" customHeight="1">
      <c r="W413" s="458"/>
      <c r="X413" s="458"/>
      <c r="Y413" s="458"/>
      <c r="Z413" s="458"/>
      <c r="AA413" s="458"/>
      <c r="AB413" s="458"/>
      <c r="AC413" s="458"/>
    </row>
    <row r="414" spans="23:29" ht="25.05" customHeight="1">
      <c r="W414" s="458"/>
      <c r="X414" s="458"/>
      <c r="Y414" s="458"/>
      <c r="Z414" s="458"/>
      <c r="AA414" s="458"/>
      <c r="AB414" s="458"/>
      <c r="AC414" s="458"/>
    </row>
    <row r="415" spans="23:29" ht="25.05" customHeight="1">
      <c r="W415" s="458"/>
      <c r="X415" s="458"/>
      <c r="Y415" s="458"/>
      <c r="Z415" s="458"/>
      <c r="AA415" s="458"/>
      <c r="AB415" s="458"/>
      <c r="AC415" s="458"/>
    </row>
    <row r="416" spans="23:29" ht="25.05" customHeight="1">
      <c r="W416" s="458"/>
      <c r="X416" s="458"/>
      <c r="Y416" s="458"/>
      <c r="Z416" s="458"/>
      <c r="AA416" s="458"/>
      <c r="AB416" s="458"/>
      <c r="AC416" s="458"/>
    </row>
    <row r="417" spans="23:29" ht="25.05" customHeight="1">
      <c r="W417" s="458"/>
      <c r="X417" s="458"/>
      <c r="Y417" s="458"/>
      <c r="Z417" s="458"/>
      <c r="AA417" s="458"/>
      <c r="AB417" s="458"/>
      <c r="AC417" s="458"/>
    </row>
    <row r="418" spans="23:29" ht="25.05" customHeight="1">
      <c r="W418" s="458"/>
      <c r="X418" s="458"/>
      <c r="Y418" s="458"/>
      <c r="Z418" s="458"/>
      <c r="AA418" s="458"/>
      <c r="AB418" s="458"/>
      <c r="AC418" s="458"/>
    </row>
    <row r="419" spans="23:29" ht="25.05" customHeight="1">
      <c r="W419" s="458"/>
      <c r="X419" s="458"/>
      <c r="Y419" s="458"/>
      <c r="Z419" s="458"/>
      <c r="AA419" s="458"/>
      <c r="AB419" s="458"/>
      <c r="AC419" s="458"/>
    </row>
    <row r="420" spans="23:29" ht="25.05" customHeight="1">
      <c r="W420" s="458"/>
      <c r="X420" s="458"/>
      <c r="Y420" s="458"/>
      <c r="Z420" s="458"/>
      <c r="AA420" s="458"/>
      <c r="AB420" s="458"/>
      <c r="AC420" s="458"/>
    </row>
    <row r="421" spans="23:29" ht="25.05" customHeight="1">
      <c r="W421" s="458"/>
      <c r="X421" s="458"/>
      <c r="Y421" s="458"/>
      <c r="Z421" s="458"/>
      <c r="AA421" s="458"/>
      <c r="AB421" s="458"/>
      <c r="AC421" s="458"/>
    </row>
    <row r="422" spans="23:29" ht="25.05" customHeight="1">
      <c r="W422" s="458"/>
      <c r="X422" s="458"/>
      <c r="Y422" s="458"/>
      <c r="Z422" s="458"/>
      <c r="AA422" s="458"/>
      <c r="AB422" s="458"/>
      <c r="AC422" s="458"/>
    </row>
    <row r="423" spans="23:29" ht="25.05" customHeight="1">
      <c r="W423" s="458"/>
      <c r="X423" s="458"/>
      <c r="Y423" s="458"/>
      <c r="Z423" s="458"/>
      <c r="AA423" s="458"/>
      <c r="AB423" s="458"/>
      <c r="AC423" s="458"/>
    </row>
    <row r="424" spans="23:29" ht="25.05" customHeight="1">
      <c r="W424" s="458"/>
      <c r="X424" s="458"/>
      <c r="Y424" s="458"/>
      <c r="Z424" s="458"/>
      <c r="AA424" s="458"/>
      <c r="AB424" s="458"/>
      <c r="AC424" s="458"/>
    </row>
    <row r="425" spans="23:29" ht="25.05" customHeight="1">
      <c r="W425" s="458"/>
      <c r="X425" s="458"/>
      <c r="Y425" s="458"/>
      <c r="Z425" s="458"/>
      <c r="AA425" s="458"/>
      <c r="AB425" s="458"/>
      <c r="AC425" s="458"/>
    </row>
    <row r="426" spans="23:29" ht="25.05" customHeight="1">
      <c r="W426" s="458"/>
      <c r="X426" s="458"/>
      <c r="Y426" s="458"/>
      <c r="Z426" s="458"/>
      <c r="AA426" s="458"/>
      <c r="AB426" s="458"/>
      <c r="AC426" s="458"/>
    </row>
    <row r="427" spans="23:29" ht="25.05" customHeight="1">
      <c r="W427" s="458"/>
      <c r="X427" s="458"/>
      <c r="Y427" s="458"/>
      <c r="Z427" s="458"/>
      <c r="AA427" s="458"/>
      <c r="AB427" s="458"/>
      <c r="AC427" s="458"/>
    </row>
    <row r="428" spans="23:29" ht="25.05" customHeight="1">
      <c r="W428" s="458"/>
      <c r="X428" s="458"/>
      <c r="Y428" s="458"/>
      <c r="Z428" s="458"/>
      <c r="AA428" s="458"/>
      <c r="AB428" s="458"/>
      <c r="AC428" s="458"/>
    </row>
    <row r="429" spans="23:29" ht="25.05" customHeight="1">
      <c r="W429" s="458"/>
      <c r="X429" s="458"/>
      <c r="Y429" s="458"/>
      <c r="Z429" s="458"/>
      <c r="AA429" s="458"/>
      <c r="AB429" s="458"/>
      <c r="AC429" s="458"/>
    </row>
    <row r="430" spans="23:29" ht="25.05" customHeight="1">
      <c r="W430" s="458"/>
      <c r="X430" s="458"/>
      <c r="Y430" s="458"/>
      <c r="Z430" s="458"/>
      <c r="AA430" s="458"/>
      <c r="AB430" s="458"/>
      <c r="AC430" s="458"/>
    </row>
    <row r="431" spans="23:29" ht="25.05" customHeight="1">
      <c r="W431" s="458"/>
      <c r="X431" s="458"/>
      <c r="Y431" s="458"/>
      <c r="Z431" s="458"/>
      <c r="AA431" s="458"/>
      <c r="AB431" s="458"/>
      <c r="AC431" s="458"/>
    </row>
    <row r="432" spans="23:29" ht="25.05" customHeight="1">
      <c r="W432" s="458"/>
      <c r="X432" s="458"/>
      <c r="Y432" s="458"/>
      <c r="Z432" s="458"/>
      <c r="AA432" s="458"/>
      <c r="AB432" s="458"/>
      <c r="AC432" s="458"/>
    </row>
    <row r="433" spans="23:29" ht="25.05" customHeight="1">
      <c r="W433" s="458"/>
      <c r="X433" s="458"/>
      <c r="Y433" s="458"/>
      <c r="Z433" s="458"/>
      <c r="AA433" s="458"/>
      <c r="AB433" s="458"/>
      <c r="AC433" s="458"/>
    </row>
    <row r="434" spans="23:29" ht="25.05" customHeight="1">
      <c r="W434" s="458"/>
      <c r="X434" s="458"/>
      <c r="Y434" s="458"/>
      <c r="Z434" s="458"/>
      <c r="AA434" s="458"/>
      <c r="AB434" s="458"/>
      <c r="AC434" s="458"/>
    </row>
    <row r="435" spans="23:29" ht="25.05" customHeight="1">
      <c r="W435" s="458"/>
      <c r="X435" s="458"/>
      <c r="Y435" s="458"/>
      <c r="Z435" s="458"/>
      <c r="AA435" s="458"/>
      <c r="AB435" s="458"/>
      <c r="AC435" s="458"/>
    </row>
    <row r="436" spans="23:29" ht="25.05" customHeight="1">
      <c r="W436" s="458"/>
      <c r="X436" s="458"/>
      <c r="Y436" s="458"/>
      <c r="Z436" s="458"/>
      <c r="AA436" s="458"/>
      <c r="AB436" s="458"/>
      <c r="AC436" s="458"/>
    </row>
    <row r="437" spans="23:29" ht="25.05" customHeight="1">
      <c r="W437" s="458"/>
      <c r="X437" s="458"/>
      <c r="Y437" s="458"/>
      <c r="Z437" s="458"/>
      <c r="AA437" s="458"/>
      <c r="AB437" s="458"/>
      <c r="AC437" s="458"/>
    </row>
    <row r="438" spans="23:29" ht="25.05" customHeight="1">
      <c r="W438" s="458"/>
      <c r="X438" s="458"/>
      <c r="Y438" s="458"/>
      <c r="Z438" s="458"/>
      <c r="AA438" s="458"/>
      <c r="AB438" s="458"/>
      <c r="AC438" s="458"/>
    </row>
    <row r="439" spans="23:29" ht="25.05" customHeight="1">
      <c r="W439" s="458"/>
      <c r="X439" s="458"/>
      <c r="Y439" s="458"/>
      <c r="Z439" s="458"/>
      <c r="AA439" s="458"/>
      <c r="AB439" s="458"/>
      <c r="AC439" s="458"/>
    </row>
    <row r="440" spans="23:29" ht="25.05" customHeight="1">
      <c r="W440" s="458"/>
      <c r="X440" s="458"/>
      <c r="Y440" s="458"/>
      <c r="Z440" s="458"/>
      <c r="AA440" s="458"/>
      <c r="AB440" s="458"/>
      <c r="AC440" s="458"/>
    </row>
    <row r="441" spans="23:29" ht="25.05" customHeight="1">
      <c r="W441" s="458"/>
      <c r="X441" s="458"/>
      <c r="Y441" s="458"/>
      <c r="Z441" s="458"/>
      <c r="AA441" s="458"/>
      <c r="AB441" s="458"/>
      <c r="AC441" s="458"/>
    </row>
    <row r="442" spans="23:29" ht="25.05" customHeight="1">
      <c r="W442" s="458"/>
      <c r="X442" s="458"/>
      <c r="Y442" s="458"/>
      <c r="Z442" s="458"/>
      <c r="AA442" s="458"/>
      <c r="AB442" s="458"/>
      <c r="AC442" s="458"/>
    </row>
    <row r="443" spans="23:29" ht="25.05" customHeight="1">
      <c r="W443" s="458"/>
      <c r="X443" s="458"/>
      <c r="Y443" s="458"/>
      <c r="Z443" s="458"/>
      <c r="AA443" s="458"/>
      <c r="AB443" s="458"/>
      <c r="AC443" s="458"/>
    </row>
    <row r="444" spans="23:29" ht="25.05" customHeight="1">
      <c r="W444" s="458"/>
      <c r="X444" s="458"/>
      <c r="Y444" s="458"/>
      <c r="Z444" s="458"/>
      <c r="AA444" s="458"/>
      <c r="AB444" s="458"/>
      <c r="AC444" s="458"/>
    </row>
    <row r="445" spans="23:29" ht="25.05" customHeight="1">
      <c r="W445" s="458"/>
      <c r="X445" s="458"/>
      <c r="Y445" s="458"/>
      <c r="Z445" s="458"/>
      <c r="AA445" s="458"/>
      <c r="AB445" s="458"/>
      <c r="AC445" s="458"/>
    </row>
    <row r="446" spans="23:29" ht="25.05" customHeight="1">
      <c r="W446" s="458"/>
      <c r="X446" s="458"/>
      <c r="Y446" s="458"/>
      <c r="Z446" s="458"/>
      <c r="AA446" s="458"/>
      <c r="AB446" s="458"/>
      <c r="AC446" s="458"/>
    </row>
  </sheetData>
  <autoFilter ref="A9:AU99" xr:uid="{AA67CA8C-7BAB-4AFC-B885-6AC270A51C7C}"/>
  <phoneticPr fontId="0" type="noConversion"/>
  <conditionalFormatting sqref="A99:AU99">
    <cfRule type="cellIs" dxfId="139" priority="26" operator="greaterThan">
      <formula>0</formula>
    </cfRule>
    <cfRule type="cellIs" dxfId="138" priority="27" operator="greaterThan">
      <formula>0</formula>
    </cfRule>
    <cfRule type="cellIs" dxfId="137" priority="28" operator="greaterThan">
      <formula>"0$L$5"</formula>
    </cfRule>
  </conditionalFormatting>
  <conditionalFormatting sqref="A2:AW3">
    <cfRule type="cellIs" dxfId="136" priority="16" operator="greaterThan">
      <formula>0</formula>
    </cfRule>
  </conditionalFormatting>
  <printOptions horizontalCentered="1"/>
  <pageMargins left="0.27559055118110198" right="0.196850393700787" top="0.71" bottom="0.28999999999999998" header="0.23622047244094499" footer="0.15748031496063"/>
  <pageSetup paperSize="8" scale="75" orientation="landscape" blackAndWhite="1" useFirstPageNumber="1" r:id="rId1"/>
  <headerFooter alignWithMargins="0"/>
  <drawing r:id="rId2"/>
  <extLst>
    <ext xmlns:x14="http://schemas.microsoft.com/office/spreadsheetml/2009/9/main" uri="{78C0D931-6437-407d-A8EE-F0AAD7539E65}">
      <x14:conditionalFormattings>
        <x14:conditionalFormatting xmlns:xm="http://schemas.microsoft.com/office/excel/2006/main">
          <x14:cfRule type="containsText" priority="6" operator="containsText" id="{47A78B02-9D4E-40D8-9AAD-16BB624C1678}">
            <xm:f>NOT(ISERROR(SEARCH($D$1,U8)))</xm:f>
            <xm:f>$D$1</xm:f>
            <x14:dxf>
              <font>
                <color rgb="FF9C0006"/>
              </font>
              <fill>
                <patternFill>
                  <bgColor rgb="FFFFC7CE"/>
                </patternFill>
              </fill>
            </x14:dxf>
          </x14:cfRule>
          <xm:sqref>U8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4113</v>
      </c>
      <c r="C5" s="87"/>
      <c r="D5" s="87"/>
      <c r="E5" s="87"/>
    </row>
    <row r="6" spans="1:13">
      <c r="F6" s="90"/>
      <c r="G6" s="89"/>
      <c r="H6" s="90"/>
      <c r="I6" s="90"/>
    </row>
    <row r="7" spans="1:13" ht="27.6">
      <c r="A7" s="91"/>
      <c r="B7" s="758" t="s">
        <v>1708</v>
      </c>
      <c r="C7" s="758" t="s">
        <v>2281</v>
      </c>
      <c r="D7" s="759" t="s">
        <v>4114</v>
      </c>
      <c r="E7" s="759" t="s">
        <v>4115</v>
      </c>
      <c r="F7" s="92">
        <f>pp_NC!GV5</f>
        <v>0</v>
      </c>
      <c r="G7" s="92" t="str">
        <f>'pp3p2m '!ED6</f>
        <v>B</v>
      </c>
      <c r="H7" s="92" t="s">
        <v>1038</v>
      </c>
      <c r="I7" s="92" t="s">
        <v>1038</v>
      </c>
      <c r="J7" s="93"/>
      <c r="K7" s="89"/>
      <c r="L7" s="89"/>
      <c r="M7" s="89"/>
    </row>
    <row r="8" spans="1:13" ht="13.8">
      <c r="A8" s="79" t="s">
        <v>2284</v>
      </c>
      <c r="B8" s="80"/>
      <c r="C8" s="80" t="s">
        <v>4116</v>
      </c>
      <c r="D8" s="80"/>
      <c r="E8" s="80"/>
      <c r="F8" s="81"/>
      <c r="G8" s="94"/>
      <c r="H8" s="91"/>
      <c r="I8" s="91"/>
      <c r="J8" s="91"/>
    </row>
    <row r="9" spans="1:13" ht="13.8">
      <c r="A9" s="95"/>
      <c r="B9" s="96" t="s">
        <v>501</v>
      </c>
      <c r="C9" s="82" t="s">
        <v>2288</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939</v>
      </c>
      <c r="C56" s="83" t="s">
        <v>2289</v>
      </c>
      <c r="D56" s="84"/>
      <c r="E56" s="765"/>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1615</v>
      </c>
      <c r="C64" s="83" t="s">
        <v>2290</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1646</v>
      </c>
      <c r="B115" s="104" t="s">
        <v>1908</v>
      </c>
      <c r="C115" s="83" t="s">
        <v>2300</v>
      </c>
      <c r="D115" s="84" t="s">
        <v>2301</v>
      </c>
      <c r="E115" s="766"/>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2764</v>
      </c>
      <c r="D118" s="19" t="s">
        <v>2248</v>
      </c>
      <c r="E118" s="19">
        <v>0</v>
      </c>
      <c r="F118" s="10">
        <f>chitiet!E1662</f>
        <v>0</v>
      </c>
      <c r="G118" s="7">
        <f t="shared" si="3"/>
        <v>0</v>
      </c>
      <c r="H118" s="4"/>
      <c r="I118" s="4"/>
      <c r="J118" s="4"/>
    </row>
    <row r="119" spans="1:10" s="1" customFormat="1" ht="13.8">
      <c r="A119" s="9" t="str">
        <f>chitiet!B1773</f>
        <v>AC120</v>
      </c>
      <c r="B119" s="18" t="str">
        <f>IF(E119=0,"",COUNTIF($E$116:$E119,"&gt;0"))</f>
        <v/>
      </c>
      <c r="C119" s="16" t="s">
        <v>5031</v>
      </c>
      <c r="D119" s="19" t="s">
        <v>2248</v>
      </c>
      <c r="E119" s="19">
        <v>0</v>
      </c>
      <c r="F119" s="10">
        <f>chitiet!E1773</f>
        <v>0</v>
      </c>
      <c r="G119" s="7">
        <f t="shared" si="3"/>
        <v>0</v>
      </c>
      <c r="H119" s="4"/>
      <c r="I119" s="4"/>
      <c r="J119" s="4"/>
    </row>
    <row r="120" spans="1:10" s="1" customFormat="1" ht="13.8">
      <c r="A120" s="9" t="str">
        <f>chitiet!B1774</f>
        <v>AC95</v>
      </c>
      <c r="B120" s="18" t="str">
        <f>IF(E120=0,"",COUNTIF($E$116:$E120,"&gt;0"))</f>
        <v/>
      </c>
      <c r="C120" s="16" t="s">
        <v>5032</v>
      </c>
      <c r="D120" s="19" t="s">
        <v>2248</v>
      </c>
      <c r="E120" s="19">
        <v>0</v>
      </c>
      <c r="F120" s="10"/>
      <c r="G120" s="7">
        <f t="shared" si="3"/>
        <v>0</v>
      </c>
      <c r="H120" s="4"/>
      <c r="I120" s="4"/>
      <c r="J120" s="4"/>
    </row>
    <row r="121" spans="1:10" s="1" customFormat="1" ht="13.8">
      <c r="A121" s="9" t="str">
        <f>chitiet!B1775</f>
        <v>AC70</v>
      </c>
      <c r="B121" s="18" t="str">
        <f>IF(E121=0,"",COUNTIF($E$116:$E121,"&gt;0"))</f>
        <v/>
      </c>
      <c r="C121" s="16" t="s">
        <v>5033</v>
      </c>
      <c r="D121" s="19" t="s">
        <v>2248</v>
      </c>
      <c r="E121" s="19">
        <v>0</v>
      </c>
      <c r="F121" s="10">
        <f>chitiet!E1665</f>
        <v>0</v>
      </c>
      <c r="G121" s="7">
        <f t="shared" si="3"/>
        <v>0</v>
      </c>
      <c r="H121" s="4"/>
      <c r="I121" s="4"/>
      <c r="J121" s="4"/>
    </row>
    <row r="122" spans="1:10" s="1" customFormat="1" ht="13.8">
      <c r="A122" s="9" t="str">
        <f>chitiet!B1776</f>
        <v>AC50</v>
      </c>
      <c r="B122" s="18">
        <f>IF(E122=0,"",COUNTIF($E$116:$E122,"&gt;0"))</f>
        <v>1</v>
      </c>
      <c r="C122" s="16" t="s">
        <v>2760</v>
      </c>
      <c r="D122" s="19" t="s">
        <v>2248</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chitiet!B1780</f>
        <v>cxv95</v>
      </c>
      <c r="B124" s="18" t="str">
        <f>IF(E124=0,"",COUNTIF($E$116:$E124,"&gt;0"))</f>
        <v/>
      </c>
      <c r="C124" s="16" t="s">
        <v>2724</v>
      </c>
      <c r="D124" s="19" t="s">
        <v>2532</v>
      </c>
      <c r="E124" s="19">
        <v>0</v>
      </c>
      <c r="F124" s="10">
        <f>chitiet!E1674</f>
        <v>0</v>
      </c>
      <c r="G124" s="7">
        <f t="shared" si="3"/>
        <v>0</v>
      </c>
      <c r="H124" s="4"/>
      <c r="I124" s="4"/>
      <c r="J124" s="4"/>
    </row>
    <row r="125" spans="1:10" s="1" customFormat="1" ht="13.8">
      <c r="A125" s="9" t="str">
        <f>chitiet!B1781</f>
        <v>XLPE185A</v>
      </c>
      <c r="B125" s="18" t="str">
        <f>IF(E125=0,"",COUNTIF($E$116:$E125,"&gt;0"))</f>
        <v/>
      </c>
      <c r="C125" s="16" t="s">
        <v>2723</v>
      </c>
      <c r="D125" s="19" t="s">
        <v>2532</v>
      </c>
      <c r="E125" s="19">
        <v>0</v>
      </c>
      <c r="F125" s="10">
        <f>chitiet!E1675</f>
        <v>0</v>
      </c>
      <c r="G125" s="7">
        <f>IF(E125&lt;&gt;0,1,0)</f>
        <v>0</v>
      </c>
      <c r="H125" s="4"/>
      <c r="I125" s="4"/>
      <c r="J125" s="4"/>
    </row>
    <row r="126" spans="1:10" s="1" customFormat="1" ht="13.8">
      <c r="A126" s="9" t="str">
        <f>chitiet!B1781</f>
        <v>XLPE185A</v>
      </c>
      <c r="B126" s="18" t="str">
        <f>IF(E126=0,"",COUNTIF($E$116:$E126,"&gt;0"))</f>
        <v/>
      </c>
      <c r="C126" s="16" t="s">
        <v>2723</v>
      </c>
      <c r="D126" s="19" t="s">
        <v>2532</v>
      </c>
      <c r="E126" s="19">
        <v>0</v>
      </c>
      <c r="F126" s="10">
        <f>chitiet!E1658</f>
        <v>0</v>
      </c>
      <c r="G126" s="7">
        <f t="shared" si="3"/>
        <v>0</v>
      </c>
      <c r="H126" s="4"/>
      <c r="I126" s="4"/>
      <c r="J126" s="4"/>
    </row>
    <row r="127" spans="1:10" s="1" customFormat="1" ht="13.8">
      <c r="A127" s="9" t="str">
        <f>chitiet!B1782</f>
        <v>XLPE150A</v>
      </c>
      <c r="B127" s="18" t="str">
        <f>IF(E127=0,"",COUNTIF($E$116:$E127,"&gt;0"))</f>
        <v/>
      </c>
      <c r="C127" s="16" t="s">
        <v>2722</v>
      </c>
      <c r="D127" s="19" t="s">
        <v>2532</v>
      </c>
      <c r="E127" s="19">
        <v>0</v>
      </c>
      <c r="F127" s="10"/>
      <c r="G127" s="7">
        <f t="shared" si="3"/>
        <v>0</v>
      </c>
      <c r="H127" s="4"/>
      <c r="I127" s="4"/>
      <c r="J127" s="4"/>
    </row>
    <row r="128" spans="1:10" s="1" customFormat="1" ht="13.8">
      <c r="A128" s="9" t="str">
        <f>chitiet!B1783</f>
        <v>XLPE120A</v>
      </c>
      <c r="B128" s="18" t="str">
        <f>IF(E128=0,"",COUNTIF($E$116:$E128,"&gt;0"))</f>
        <v/>
      </c>
      <c r="C128" s="16" t="s">
        <v>2721</v>
      </c>
      <c r="D128" s="19" t="s">
        <v>2532</v>
      </c>
      <c r="E128" s="19">
        <v>0</v>
      </c>
      <c r="F128" s="10">
        <f>chitiet!E1677</f>
        <v>0</v>
      </c>
      <c r="G128" s="7">
        <f t="shared" si="3"/>
        <v>0</v>
      </c>
      <c r="H128" s="4"/>
      <c r="I128" s="4"/>
      <c r="J128" s="4"/>
    </row>
    <row r="129" spans="1:10" s="1" customFormat="1" ht="13.8">
      <c r="A129" s="9" t="str">
        <f>chitiet!B1784</f>
        <v>XLPE95A</v>
      </c>
      <c r="B129" s="18" t="str">
        <f>IF(E129=0,"",COUNTIF($E$116:$E129,"&gt;0"))</f>
        <v/>
      </c>
      <c r="C129" s="16" t="s">
        <v>2720</v>
      </c>
      <c r="D129" s="19" t="s">
        <v>2532</v>
      </c>
      <c r="E129" s="19">
        <v>0</v>
      </c>
      <c r="F129" s="10">
        <f>chitiet!E1661</f>
        <v>0</v>
      </c>
      <c r="G129" s="7">
        <f t="shared" si="3"/>
        <v>0</v>
      </c>
      <c r="H129" s="4"/>
      <c r="I129" s="4"/>
      <c r="J129" s="4"/>
    </row>
    <row r="130" spans="1:10" s="1" customFormat="1" ht="13.8">
      <c r="A130" s="9" t="str">
        <f>chitiet!B1786</f>
        <v>XLPE50A</v>
      </c>
      <c r="B130" s="18" t="str">
        <f>IF(E130=0,"",COUNTIF($E$116:$E130,"&gt;0"))</f>
        <v/>
      </c>
      <c r="C130" s="16" t="s">
        <v>5034</v>
      </c>
      <c r="D130" s="19" t="s">
        <v>2532</v>
      </c>
      <c r="E130" s="35">
        <v>0</v>
      </c>
      <c r="F130" s="10"/>
      <c r="G130" s="7">
        <f>IF(E130&lt;&gt;0,1,0)</f>
        <v>0</v>
      </c>
      <c r="H130" s="4"/>
      <c r="I130" s="4"/>
      <c r="J130" s="4"/>
    </row>
    <row r="131" spans="1:10" ht="13.8">
      <c r="A131" s="106" t="str">
        <f>chitiet!B1787</f>
        <v>XLPE50A</v>
      </c>
      <c r="B131" s="100" t="str">
        <f>IF(E131=0,"",COUNTIF($E$116:$E131,"&gt;0"))</f>
        <v/>
      </c>
      <c r="C131" s="101" t="s">
        <v>5034</v>
      </c>
      <c r="D131" s="84" t="s">
        <v>2532</v>
      </c>
      <c r="E131" s="767">
        <v>0</v>
      </c>
      <c r="F131" s="107"/>
      <c r="G131" s="99">
        <f>IF(E131&lt;&gt;0,1,0)</f>
        <v>0</v>
      </c>
      <c r="H131" s="91"/>
      <c r="I131" s="91"/>
      <c r="J131" s="91"/>
    </row>
    <row r="132" spans="1:10" s="1" customFormat="1" ht="13.8">
      <c r="A132" s="9" t="str">
        <f>chitiet!B1788</f>
        <v>XLPE50</v>
      </c>
      <c r="B132" s="18" t="str">
        <f>IF(E132=0,"",COUNTIF($E$116:$E132,"&gt;0"))</f>
        <v/>
      </c>
      <c r="C132" s="16" t="s">
        <v>5035</v>
      </c>
      <c r="D132" s="19" t="s">
        <v>5030</v>
      </c>
      <c r="E132" s="35">
        <v>0</v>
      </c>
      <c r="F132" s="10"/>
      <c r="G132" s="7">
        <f>IF(E132&lt;&gt;0,1,0)</f>
        <v>0</v>
      </c>
      <c r="H132" s="4"/>
      <c r="I132" s="4"/>
      <c r="J132" s="4"/>
    </row>
    <row r="133" spans="1:10" s="1" customFormat="1" ht="13.8">
      <c r="A133" s="9" t="str">
        <f>chitiet!B1789</f>
        <v>M25</v>
      </c>
      <c r="B133" s="18" t="str">
        <f>IF(E133=0,"",COUNTIF($E$116:$E133,"&gt;0"))</f>
        <v/>
      </c>
      <c r="C133" s="16" t="s">
        <v>2700</v>
      </c>
      <c r="D133" s="19" t="s">
        <v>2248</v>
      </c>
      <c r="E133" s="35">
        <v>0</v>
      </c>
      <c r="F133" s="10"/>
      <c r="G133" s="7">
        <f t="shared" si="3"/>
        <v>0</v>
      </c>
      <c r="H133" s="4"/>
      <c r="I133" s="4"/>
      <c r="J133" s="4"/>
    </row>
    <row r="134" spans="1:10" s="1" customFormat="1" ht="13.8">
      <c r="A134" s="9" t="str">
        <f>chitiet!B1790</f>
        <v>M38</v>
      </c>
      <c r="B134" s="18" t="str">
        <f>IF(E134=0,"",COUNTIF($E$116:$E134,"&gt;0"))</f>
        <v/>
      </c>
      <c r="C134" s="16" t="s">
        <v>2701</v>
      </c>
      <c r="D134" s="19" t="s">
        <v>2248</v>
      </c>
      <c r="E134" s="35">
        <v>0</v>
      </c>
      <c r="F134" s="10"/>
      <c r="G134" s="7">
        <f>IF(E134&lt;&gt;0,1,0)</f>
        <v>0</v>
      </c>
      <c r="H134" s="4"/>
      <c r="I134" s="4"/>
      <c r="J134" s="4"/>
    </row>
    <row r="135" spans="1:10" ht="13.8">
      <c r="A135" s="106" t="str">
        <f>chitiet!B1791</f>
        <v>Đth-U</v>
      </c>
      <c r="B135" s="100" t="e">
        <f>IF(E135=0,"",COUNTIF($E$116:$E135,"&gt;0"))</f>
        <v>#N/A</v>
      </c>
      <c r="C135" s="108" t="e">
        <v>#N/A</v>
      </c>
      <c r="D135" s="109" t="e">
        <v>#N/A</v>
      </c>
      <c r="E135" s="109" t="e">
        <v>#N/A</v>
      </c>
      <c r="F135" s="91"/>
      <c r="G135" s="99" t="e">
        <f t="shared" si="3"/>
        <v>#N/A</v>
      </c>
      <c r="H135" s="91"/>
      <c r="I135" s="91"/>
      <c r="J135" s="91"/>
    </row>
    <row r="136" spans="1:10" ht="13.8">
      <c r="A136" s="106" t="str">
        <f>chitiet!B1792</f>
        <v>R1</v>
      </c>
      <c r="B136" s="100"/>
      <c r="C136" s="101" t="s">
        <v>2932</v>
      </c>
      <c r="D136" s="84" t="s">
        <v>2439</v>
      </c>
      <c r="E136" s="112" t="e">
        <f>E135</f>
        <v>#N/A</v>
      </c>
      <c r="F136" s="91"/>
      <c r="G136" s="99" t="e">
        <f>G135</f>
        <v>#N/A</v>
      </c>
      <c r="H136" s="91"/>
      <c r="I136" s="91"/>
      <c r="J136" s="91"/>
    </row>
    <row r="137" spans="1:10" ht="13.8">
      <c r="A137" s="106" t="str">
        <f>chitiet!B1793</f>
        <v>B16300</v>
      </c>
      <c r="B137" s="100"/>
      <c r="C137" s="101" t="s">
        <v>2649</v>
      </c>
      <c r="D137" s="84" t="s">
        <v>2439</v>
      </c>
      <c r="E137" s="112" t="e">
        <f>E136</f>
        <v>#N/A</v>
      </c>
      <c r="F137" s="91"/>
      <c r="G137" s="99" t="e">
        <f>G136</f>
        <v>#N/A</v>
      </c>
      <c r="H137" s="91"/>
      <c r="I137" s="91"/>
      <c r="J137" s="91"/>
    </row>
    <row r="138" spans="1:10" s="1" customFormat="1" ht="14.4">
      <c r="A138" s="9" t="str">
        <f>chitiet!B1794</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chitiet!B1795</f>
        <v>R1</v>
      </c>
      <c r="B139" s="18"/>
      <c r="C139" s="16" t="s">
        <v>2932</v>
      </c>
      <c r="D139" s="19" t="s">
        <v>2439</v>
      </c>
      <c r="E139" s="29" t="e">
        <f>E138</f>
        <v>#N/A</v>
      </c>
      <c r="F139" s="4"/>
      <c r="G139" s="7" t="e">
        <f>G138</f>
        <v>#N/A</v>
      </c>
      <c r="H139" s="4"/>
      <c r="I139" s="4"/>
      <c r="J139" s="4"/>
    </row>
    <row r="140" spans="1:10" s="1" customFormat="1" ht="13.8">
      <c r="A140" s="9" t="str">
        <f>chitiet!B1796</f>
        <v>B16550</v>
      </c>
      <c r="B140" s="18"/>
      <c r="C140" s="16" t="s">
        <v>5026</v>
      </c>
      <c r="D140" s="19" t="s">
        <v>2439</v>
      </c>
      <c r="E140" s="29" t="e">
        <f>E139</f>
        <v>#N/A</v>
      </c>
      <c r="F140" s="4"/>
      <c r="G140" s="7" t="e">
        <f>G139</f>
        <v>#N/A</v>
      </c>
      <c r="H140" s="4"/>
      <c r="I140" s="4"/>
      <c r="J140" s="4"/>
    </row>
    <row r="141" spans="1:10" s="1" customFormat="1" ht="14.4">
      <c r="A141" s="9" t="str">
        <f>chitiet!B1797</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chitiet!B1798</f>
        <v>R1</v>
      </c>
      <c r="B142" s="18"/>
      <c r="C142" s="16" t="s">
        <v>2932</v>
      </c>
      <c r="D142" s="19" t="s">
        <v>2439</v>
      </c>
      <c r="E142" s="29" t="e">
        <f>E141</f>
        <v>#N/A</v>
      </c>
      <c r="F142" s="4"/>
      <c r="G142" s="7" t="e">
        <f>G141</f>
        <v>#N/A</v>
      </c>
      <c r="H142" s="4"/>
      <c r="I142" s="4"/>
      <c r="J142" s="4"/>
    </row>
    <row r="143" spans="1:10" s="1" customFormat="1" ht="13.8">
      <c r="A143" s="9" t="str">
        <f>chitiet!B1799</f>
        <v>B16100</v>
      </c>
      <c r="B143" s="18"/>
      <c r="C143" s="16" t="s">
        <v>2640</v>
      </c>
      <c r="D143" s="19" t="s">
        <v>2439</v>
      </c>
      <c r="E143" s="29" t="e">
        <f>E142</f>
        <v>#N/A</v>
      </c>
      <c r="F143" s="4"/>
      <c r="G143" s="7" t="e">
        <f>G142</f>
        <v>#N/A</v>
      </c>
      <c r="H143" s="4"/>
      <c r="I143" s="4"/>
      <c r="J143" s="4"/>
    </row>
    <row r="144" spans="1:10" s="1" customFormat="1" ht="14.4">
      <c r="A144" s="9" t="str">
        <f>chitiet!B1800</f>
        <v>Nth-U</v>
      </c>
      <c r="B144" s="18" t="str">
        <f>IF(E144=0,"",COUNTIF($B$116:$B137,"&gt;0")+1)</f>
        <v/>
      </c>
      <c r="C144" s="21" t="s">
        <v>5008</v>
      </c>
      <c r="D144" s="22" t="s">
        <v>5006</v>
      </c>
      <c r="E144" s="22">
        <v>0</v>
      </c>
      <c r="F144" s="4"/>
      <c r="G144" s="7">
        <f>IF(E144&lt;&gt;0,1,0)</f>
        <v>0</v>
      </c>
      <c r="H144" s="4"/>
      <c r="I144" s="4"/>
      <c r="J144" s="4"/>
    </row>
    <row r="145" spans="1:10" s="1" customFormat="1" ht="13.8">
      <c r="A145" s="9" t="str">
        <f>chitiet!B1801</f>
        <v>R1</v>
      </c>
      <c r="B145" s="18"/>
      <c r="C145" s="16" t="s">
        <v>2932</v>
      </c>
      <c r="D145" s="19" t="s">
        <v>2439</v>
      </c>
      <c r="E145" s="19">
        <f>E144</f>
        <v>0</v>
      </c>
      <c r="F145" s="4"/>
      <c r="G145" s="7">
        <f>G144</f>
        <v>0</v>
      </c>
      <c r="H145" s="4"/>
      <c r="I145" s="4"/>
      <c r="J145" s="4"/>
    </row>
    <row r="146" spans="1:10" s="1" customFormat="1" ht="13.8">
      <c r="A146" s="9" t="str">
        <f>chitiet!B1802</f>
        <v>B16300</v>
      </c>
      <c r="B146" s="18"/>
      <c r="C146" s="16" t="s">
        <v>2649</v>
      </c>
      <c r="D146" s="19" t="s">
        <v>2439</v>
      </c>
      <c r="E146" s="19">
        <f>E145</f>
        <v>0</v>
      </c>
      <c r="F146" s="4"/>
      <c r="G146" s="7">
        <f>G145</f>
        <v>0</v>
      </c>
      <c r="H146" s="4"/>
      <c r="I146" s="4"/>
      <c r="J146" s="4"/>
    </row>
    <row r="147" spans="1:10" s="1" customFormat="1" ht="14.4">
      <c r="A147" s="9" t="str">
        <f>chitiet!B1803</f>
        <v>ke50</v>
      </c>
      <c r="B147" s="18"/>
      <c r="C147" s="16" t="s">
        <v>2873</v>
      </c>
      <c r="D147" s="19" t="s">
        <v>2555</v>
      </c>
      <c r="E147" s="32">
        <f>E146*2</f>
        <v>0</v>
      </c>
      <c r="F147" s="4"/>
      <c r="G147" s="7">
        <f>G146</f>
        <v>0</v>
      </c>
      <c r="H147" s="4"/>
      <c r="I147" s="4"/>
      <c r="J147" s="4"/>
    </row>
    <row r="148" spans="1:10" ht="13.8">
      <c r="A148" s="106" t="str">
        <f>chitiet!B1804</f>
        <v>Nth-T</v>
      </c>
      <c r="B148" s="100">
        <f>IF(E148=0,"",COUNTIF($B$116:$B147,"&gt;0")+1)</f>
        <v>2</v>
      </c>
      <c r="C148" s="108" t="s">
        <v>5010</v>
      </c>
      <c r="D148" s="109" t="s">
        <v>5006</v>
      </c>
      <c r="E148" s="109">
        <v>7</v>
      </c>
      <c r="F148" s="91"/>
      <c r="G148" s="99">
        <f>IF(E148&lt;&gt;0,1,0)</f>
        <v>1</v>
      </c>
      <c r="H148" s="91"/>
      <c r="I148" s="91"/>
      <c r="J148" s="91"/>
    </row>
    <row r="149" spans="1:10" ht="13.8">
      <c r="A149" s="106" t="str">
        <f>chitiet!B1805</f>
        <v>kn50</v>
      </c>
      <c r="B149" s="100"/>
      <c r="C149" s="101" t="s">
        <v>2900</v>
      </c>
      <c r="D149" s="84" t="s">
        <v>2555</v>
      </c>
      <c r="E149" s="112">
        <f>E148</f>
        <v>7</v>
      </c>
      <c r="F149" s="91"/>
      <c r="G149" s="99">
        <f>IF(E149&lt;&gt;0,1,0)</f>
        <v>1</v>
      </c>
      <c r="H149" s="91"/>
      <c r="I149" s="91"/>
      <c r="J149" s="91"/>
    </row>
    <row r="150" spans="1:10" ht="13.8">
      <c r="A150" s="106" t="str">
        <f>chitiet!B1806</f>
        <v>BM16300</v>
      </c>
      <c r="B150" s="100"/>
      <c r="C150" s="101" t="s">
        <v>4975</v>
      </c>
      <c r="D150" s="84" t="s">
        <v>2439</v>
      </c>
      <c r="E150" s="112">
        <f>E148</f>
        <v>7</v>
      </c>
      <c r="F150" s="91"/>
      <c r="G150" s="99">
        <f>IF(E150&lt;&gt;0,1,0)</f>
        <v>1</v>
      </c>
      <c r="H150" s="91"/>
      <c r="I150" s="91"/>
      <c r="J150" s="91"/>
    </row>
    <row r="151" spans="1:10" s="1" customFormat="1" ht="13.8">
      <c r="A151" s="9" t="str">
        <f>chitiet!B1807</f>
        <v>ke50</v>
      </c>
      <c r="B151" s="18"/>
      <c r="C151" s="16" t="s">
        <v>2873</v>
      </c>
      <c r="D151" s="19" t="s">
        <v>2555</v>
      </c>
      <c r="E151" s="29">
        <f>E148*0</f>
        <v>0</v>
      </c>
      <c r="F151" s="4"/>
      <c r="G151" s="7">
        <f>IF(E151&lt;&gt;0,1,0)</f>
        <v>0</v>
      </c>
      <c r="H151" s="4"/>
      <c r="I151" s="4"/>
      <c r="J151" s="4"/>
    </row>
    <row r="152" spans="1:10" s="1" customFormat="1" ht="14.4">
      <c r="A152" s="9" t="str">
        <f>chitiet!B1812</f>
        <v>Nth-X</v>
      </c>
      <c r="B152" s="18" t="str">
        <f>IF(E152=0,"",COUNTIF($B$116:$B151,"&gt;0")+1)</f>
        <v/>
      </c>
      <c r="C152" s="21" t="s">
        <v>5027</v>
      </c>
      <c r="D152" s="36" t="s">
        <v>5006</v>
      </c>
      <c r="E152" s="22">
        <v>0</v>
      </c>
      <c r="F152" s="4"/>
      <c r="G152" s="7">
        <f>IF(E152&lt;&gt;0,1,0)</f>
        <v>0</v>
      </c>
      <c r="H152" s="4"/>
      <c r="I152" s="4"/>
      <c r="J152" s="4"/>
    </row>
    <row r="153" spans="1:10" s="1" customFormat="1" ht="13.8">
      <c r="A153" s="9" t="str">
        <f>chitiet!B1813</f>
        <v>kn50</v>
      </c>
      <c r="B153" s="18"/>
      <c r="C153" s="16" t="s">
        <v>2900</v>
      </c>
      <c r="D153" s="19" t="s">
        <v>2555</v>
      </c>
      <c r="E153" s="29">
        <f>E152</f>
        <v>0</v>
      </c>
      <c r="F153" s="4"/>
      <c r="G153" s="7">
        <f>G152</f>
        <v>0</v>
      </c>
      <c r="H153" s="4"/>
      <c r="I153" s="4"/>
      <c r="J153" s="4"/>
    </row>
    <row r="154" spans="1:10" s="1" customFormat="1" ht="13.8">
      <c r="A154" s="9" t="str">
        <f>chitiet!B1814</f>
        <v>MT</v>
      </c>
      <c r="B154" s="18"/>
      <c r="C154" s="16" t="s">
        <v>5011</v>
      </c>
      <c r="D154" s="19" t="s">
        <v>2555</v>
      </c>
      <c r="E154" s="29">
        <f>E153*2</f>
        <v>0</v>
      </c>
      <c r="F154" s="4"/>
      <c r="G154" s="7">
        <f>G153</f>
        <v>0</v>
      </c>
      <c r="H154" s="4"/>
      <c r="I154" s="4"/>
      <c r="J154" s="4"/>
    </row>
    <row r="155" spans="1:10" s="1" customFormat="1" ht="13.8">
      <c r="A155" s="9" t="str">
        <f>chitiet!B1815</f>
        <v>KE50</v>
      </c>
      <c r="B155" s="18"/>
      <c r="C155" s="16" t="s">
        <v>2873</v>
      </c>
      <c r="D155" s="19" t="s">
        <v>2555</v>
      </c>
      <c r="E155" s="29">
        <f>E153*0</f>
        <v>0</v>
      </c>
      <c r="F155" s="4"/>
      <c r="G155" s="7"/>
      <c r="H155" s="4"/>
      <c r="I155" s="4"/>
      <c r="J155" s="4"/>
    </row>
    <row r="156" spans="1:10" ht="13.8">
      <c r="A156" s="106" t="str">
        <f>chitiet!B1816</f>
        <v>SĐU</v>
      </c>
      <c r="B156" s="100" t="e">
        <f>IF(E156=0,"",COUNTIF($B$116:$B155,"&gt;0")+1)</f>
        <v>#N/A</v>
      </c>
      <c r="C156" s="108" t="e">
        <v>#N/A</v>
      </c>
      <c r="D156" s="109" t="e">
        <v>#N/A</v>
      </c>
      <c r="E156" s="109" t="e">
        <v>#N/A</v>
      </c>
      <c r="F156" s="91"/>
      <c r="G156" s="99" t="e">
        <f>IF(E156&lt;&gt;0,1,0)</f>
        <v>#N/A</v>
      </c>
      <c r="H156" s="91"/>
      <c r="I156" s="91"/>
      <c r="J156" s="91"/>
    </row>
    <row r="157" spans="1:10" ht="13.8">
      <c r="A157" s="106" t="str">
        <f>chitiet!B1817</f>
        <v>SD</v>
      </c>
      <c r="B157" s="100"/>
      <c r="C157" s="111" t="s">
        <v>4976</v>
      </c>
      <c r="D157" s="112" t="s">
        <v>2555</v>
      </c>
      <c r="E157" s="112" t="e">
        <v>#N/A</v>
      </c>
      <c r="F157" s="91"/>
      <c r="G157" s="99" t="e">
        <f>G156</f>
        <v>#N/A</v>
      </c>
      <c r="H157" s="91"/>
      <c r="I157" s="91"/>
      <c r="J157" s="91"/>
    </row>
    <row r="158" spans="1:10" ht="13.8">
      <c r="A158" s="106" t="str">
        <f>chitiet!B1818</f>
        <v>CSD</v>
      </c>
      <c r="B158" s="100"/>
      <c r="C158" s="111" t="s">
        <v>4977</v>
      </c>
      <c r="D158" s="112" t="s">
        <v>2555</v>
      </c>
      <c r="E158" s="112" t="e">
        <v>#N/A</v>
      </c>
      <c r="F158" s="91"/>
      <c r="G158" s="99" t="e">
        <f>G157</f>
        <v>#N/A</v>
      </c>
      <c r="H158" s="91"/>
      <c r="I158" s="91"/>
      <c r="J158" s="91"/>
    </row>
    <row r="159" spans="1:10" s="1" customFormat="1" ht="14.4">
      <c r="A159" s="9" t="str">
        <f>chitiet!B1819</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chitiet!B1820</f>
        <v>SD</v>
      </c>
      <c r="B160" s="18"/>
      <c r="C160" s="37" t="s">
        <v>4976</v>
      </c>
      <c r="D160" s="29" t="s">
        <v>2555</v>
      </c>
      <c r="E160" s="29" t="e">
        <v>#N/A</v>
      </c>
      <c r="F160" s="4"/>
      <c r="G160" s="7" t="e">
        <f>G159</f>
        <v>#N/A</v>
      </c>
      <c r="H160" s="4"/>
      <c r="I160" s="4"/>
      <c r="J160" s="4"/>
    </row>
    <row r="161" spans="1:10" s="1" customFormat="1" ht="13.8">
      <c r="A161" s="9" t="str">
        <f>chitiet!B1821</f>
        <v>CSDI</v>
      </c>
      <c r="B161" s="18"/>
      <c r="C161" s="37" t="e">
        <v>#N/A</v>
      </c>
      <c r="D161" s="29" t="e">
        <v>#N/A</v>
      </c>
      <c r="E161" s="29" t="e">
        <v>#N/A</v>
      </c>
      <c r="F161" s="4"/>
      <c r="G161" s="7" t="e">
        <f>G160</f>
        <v>#N/A</v>
      </c>
      <c r="H161" s="4"/>
      <c r="I161" s="4"/>
      <c r="J161" s="4"/>
    </row>
    <row r="162" spans="1:10" s="1" customFormat="1" ht="13.8">
      <c r="A162" s="9" t="str">
        <f>chitiet!B1822</f>
        <v>B16250</v>
      </c>
      <c r="B162" s="18"/>
      <c r="C162" s="37" t="s">
        <v>2645</v>
      </c>
      <c r="D162" s="29" t="s">
        <v>2439</v>
      </c>
      <c r="E162" s="29">
        <v>0</v>
      </c>
      <c r="F162" s="4"/>
      <c r="G162" s="7" t="e">
        <f>G161</f>
        <v>#N/A</v>
      </c>
      <c r="H162" s="4"/>
      <c r="I162" s="4"/>
      <c r="J162" s="4"/>
    </row>
    <row r="163" spans="1:10" s="1" customFormat="1" ht="14.4">
      <c r="A163" s="9" t="str">
        <f>chitiet!B1823</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chitiet!B1824</f>
        <v>SD</v>
      </c>
      <c r="B164" s="18"/>
      <c r="C164" s="37" t="s">
        <v>4976</v>
      </c>
      <c r="D164" s="32" t="s">
        <v>2555</v>
      </c>
      <c r="E164" s="29" t="e">
        <v>#N/A</v>
      </c>
      <c r="F164" s="4"/>
      <c r="G164" s="7" t="e">
        <f>G163</f>
        <v>#N/A</v>
      </c>
      <c r="H164" s="4"/>
      <c r="I164" s="4"/>
      <c r="J164" s="4"/>
    </row>
    <row r="165" spans="1:10" s="1" customFormat="1" ht="14.4">
      <c r="A165" s="9" t="str">
        <f>chitiet!B1825</f>
        <v>CSDG</v>
      </c>
      <c r="B165" s="18"/>
      <c r="C165" s="37" t="s">
        <v>5028</v>
      </c>
      <c r="D165" s="32" t="s">
        <v>2555</v>
      </c>
      <c r="E165" s="29">
        <v>0</v>
      </c>
      <c r="F165" s="4"/>
      <c r="G165" s="7" t="e">
        <f>G164</f>
        <v>#N/A</v>
      </c>
      <c r="H165" s="4"/>
      <c r="I165" s="4"/>
      <c r="J165" s="4"/>
    </row>
    <row r="166" spans="1:10" s="1" customFormat="1" ht="14.4">
      <c r="A166" s="9" t="str">
        <f>chitiet!B1826</f>
        <v>B16250</v>
      </c>
      <c r="B166" s="18"/>
      <c r="C166" s="37" t="s">
        <v>2645</v>
      </c>
      <c r="D166" s="32" t="s">
        <v>2439</v>
      </c>
      <c r="E166" s="29" t="e">
        <f>E163*2</f>
        <v>#N/A</v>
      </c>
      <c r="F166" s="4"/>
      <c r="G166" s="7" t="e">
        <f>G165</f>
        <v>#N/A</v>
      </c>
      <c r="H166" s="4"/>
      <c r="I166" s="4"/>
      <c r="J166" s="4"/>
    </row>
    <row r="167" spans="1:10" s="1" customFormat="1" ht="14.4">
      <c r="A167" s="9" t="str">
        <f>chitiet!B1827</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chitiet!B1828</f>
        <v>St</v>
      </c>
      <c r="B168" s="18"/>
      <c r="C168" s="37" t="s">
        <v>2942</v>
      </c>
      <c r="D168" s="29" t="s">
        <v>2943</v>
      </c>
      <c r="E168" s="29"/>
      <c r="F168" s="4"/>
      <c r="G168" s="7" t="e">
        <f>G167</f>
        <v>#N/A</v>
      </c>
      <c r="H168" s="4"/>
      <c r="I168" s="4"/>
      <c r="J168" s="4"/>
    </row>
    <row r="169" spans="1:10" s="1" customFormat="1" ht="13.8">
      <c r="A169" s="9" t="str">
        <f>chitiet!B1829</f>
        <v>MT</v>
      </c>
      <c r="B169" s="18"/>
      <c r="C169" s="37" t="s">
        <v>5011</v>
      </c>
      <c r="D169" s="29" t="s">
        <v>2555</v>
      </c>
      <c r="E169" s="29"/>
      <c r="F169" s="4"/>
      <c r="G169" s="7" t="e">
        <f>G168</f>
        <v>#N/A</v>
      </c>
      <c r="H169" s="4"/>
      <c r="I169" s="4"/>
      <c r="J169" s="4"/>
    </row>
    <row r="170" spans="1:10" s="1" customFormat="1" ht="13.8">
      <c r="A170" s="9" t="str">
        <f>chitiet!B1830</f>
        <v>VT</v>
      </c>
      <c r="B170" s="18"/>
      <c r="C170" s="37" t="s">
        <v>2915</v>
      </c>
      <c r="D170" s="29" t="s">
        <v>2555</v>
      </c>
      <c r="E170" s="29"/>
      <c r="F170" s="4"/>
      <c r="G170" s="7" t="e">
        <f>G169</f>
        <v>#N/A</v>
      </c>
      <c r="H170" s="4"/>
      <c r="I170" s="4"/>
      <c r="J170" s="4"/>
    </row>
    <row r="171" spans="1:10" s="1" customFormat="1" ht="13.8">
      <c r="A171" s="9" t="str">
        <f>chitiet!B1831</f>
        <v>MND</v>
      </c>
      <c r="B171" s="18"/>
      <c r="C171" s="37" t="s">
        <v>2911</v>
      </c>
      <c r="D171" s="29" t="s">
        <v>2555</v>
      </c>
      <c r="E171" s="29"/>
      <c r="F171" s="4"/>
      <c r="G171" s="7" t="e">
        <f>G170</f>
        <v>#N/A</v>
      </c>
      <c r="H171" s="4"/>
      <c r="I171" s="4"/>
      <c r="J171" s="4"/>
    </row>
    <row r="172" spans="1:10" s="1" customFormat="1" ht="13.8">
      <c r="A172" s="9" t="str">
        <f>chitiet!B1832</f>
        <v>Bm16300</v>
      </c>
      <c r="B172" s="18"/>
      <c r="C172" s="37" t="s">
        <v>4975</v>
      </c>
      <c r="D172" s="29" t="s">
        <v>2439</v>
      </c>
      <c r="E172" s="29"/>
      <c r="F172" s="4"/>
      <c r="G172" s="7" t="e">
        <f>G171</f>
        <v>#N/A</v>
      </c>
      <c r="H172" s="4"/>
      <c r="I172" s="4"/>
      <c r="J172" s="4"/>
    </row>
    <row r="173" spans="1:10" ht="13.8">
      <c r="A173" s="106" t="str">
        <f>chitiet!B1836</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chitiet!B1837</f>
        <v>Stply</v>
      </c>
      <c r="B174" s="100"/>
      <c r="C174" s="111" t="s">
        <v>4871</v>
      </c>
      <c r="D174" s="112" t="s">
        <v>2555</v>
      </c>
      <c r="E174" s="112">
        <f>chitiet!D1837</f>
        <v>1</v>
      </c>
      <c r="F174" s="91"/>
      <c r="G174" s="99">
        <f t="shared" si="4"/>
        <v>1</v>
      </c>
      <c r="H174" s="91"/>
      <c r="I174" s="91"/>
      <c r="J174" s="91"/>
    </row>
    <row r="175" spans="1:10" ht="13.8">
      <c r="A175" s="106" t="str">
        <f>chitiet!B1838</f>
        <v>MT</v>
      </c>
      <c r="B175" s="100"/>
      <c r="C175" s="111" t="s">
        <v>5011</v>
      </c>
      <c r="D175" s="112" t="s">
        <v>2555</v>
      </c>
      <c r="E175" s="112">
        <f>chitiet!D1838</f>
        <v>2</v>
      </c>
      <c r="F175" s="91"/>
      <c r="G175" s="99">
        <f t="shared" si="4"/>
        <v>1</v>
      </c>
      <c r="H175" s="91"/>
      <c r="I175" s="91"/>
      <c r="J175" s="91"/>
    </row>
    <row r="176" spans="1:10" ht="13.8">
      <c r="A176" s="106" t="str">
        <f>chitiet!B1840</f>
        <v>khanhkep</v>
      </c>
      <c r="B176" s="100"/>
      <c r="C176" s="111" t="e">
        <v>#N/A</v>
      </c>
      <c r="D176" s="112" t="e">
        <v>#N/A</v>
      </c>
      <c r="E176" s="112">
        <f>chitiet!D1840</f>
        <v>0</v>
      </c>
      <c r="F176" s="91"/>
      <c r="G176" s="99">
        <f t="shared" si="4"/>
        <v>0</v>
      </c>
      <c r="H176" s="91"/>
      <c r="I176" s="91"/>
      <c r="J176" s="91"/>
    </row>
    <row r="177" spans="1:10" s="1" customFormat="1" ht="13.8">
      <c r="A177" s="9" t="str">
        <f>chitiet!B1841</f>
        <v>GNIU95b</v>
      </c>
      <c r="B177" s="18"/>
      <c r="C177" s="37" t="e">
        <v>#N/A</v>
      </c>
      <c r="D177" s="29" t="e">
        <v>#N/A</v>
      </c>
      <c r="E177" s="29">
        <f>chitiet!D1841</f>
        <v>1</v>
      </c>
      <c r="F177" s="4"/>
      <c r="G177" s="7">
        <f>IF(E177&lt;&gt;0,1,0)</f>
        <v>1</v>
      </c>
      <c r="H177" s="4"/>
      <c r="I177" s="4"/>
      <c r="J177" s="4"/>
    </row>
    <row r="178" spans="1:10" s="1" customFormat="1" ht="13.8">
      <c r="A178" s="9" t="str">
        <f>chitiet!B1842</f>
        <v>k240</v>
      </c>
      <c r="B178" s="18"/>
      <c r="C178" s="37" t="e">
        <v>#N/A</v>
      </c>
      <c r="D178" s="29" t="e">
        <v>#N/A</v>
      </c>
      <c r="E178" s="29">
        <f>chitiet!D1842</f>
        <v>0</v>
      </c>
      <c r="F178" s="4"/>
      <c r="G178" s="7">
        <f t="shared" ref="G178:G183" si="5">IF(E178&lt;&gt;0,1,0)</f>
        <v>0</v>
      </c>
      <c r="H178" s="4"/>
      <c r="I178" s="4"/>
      <c r="J178" s="4"/>
    </row>
    <row r="179" spans="1:10" s="1" customFormat="1" ht="14.4">
      <c r="A179" s="9" t="str">
        <f>chitiet!B1850</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chitiet!B1851</f>
        <v>Stply</v>
      </c>
      <c r="B180" s="18"/>
      <c r="C180" s="37" t="s">
        <v>4871</v>
      </c>
      <c r="D180" s="29" t="s">
        <v>2555</v>
      </c>
      <c r="E180" s="29">
        <f>chitiet!D1851</f>
        <v>0</v>
      </c>
      <c r="F180" s="4"/>
      <c r="G180" s="7">
        <f t="shared" si="5"/>
        <v>0</v>
      </c>
      <c r="H180" s="4"/>
      <c r="I180" s="4"/>
      <c r="J180" s="4"/>
    </row>
    <row r="181" spans="1:10" s="1" customFormat="1" ht="13.8">
      <c r="A181" s="9" t="str">
        <f>chitiet!B1852</f>
        <v>MT</v>
      </c>
      <c r="B181" s="18"/>
      <c r="C181" s="37" t="s">
        <v>5011</v>
      </c>
      <c r="D181" s="29" t="s">
        <v>2555</v>
      </c>
      <c r="E181" s="29">
        <f>chitiet!D1852</f>
        <v>0</v>
      </c>
      <c r="F181" s="4"/>
      <c r="G181" s="7">
        <f t="shared" si="5"/>
        <v>0</v>
      </c>
      <c r="H181" s="4"/>
      <c r="I181" s="4"/>
      <c r="J181" s="4"/>
    </row>
    <row r="182" spans="1:10" s="1" customFormat="1" ht="13.8">
      <c r="A182" s="9" t="str">
        <f>chitiet!B1853</f>
        <v>KN185</v>
      </c>
      <c r="B182" s="18"/>
      <c r="C182" s="37" t="e">
        <v>#N/A</v>
      </c>
      <c r="D182" s="29" t="e">
        <v>#N/A</v>
      </c>
      <c r="E182" s="29">
        <f>chitiet!D1853</f>
        <v>0</v>
      </c>
      <c r="F182" s="4"/>
      <c r="G182" s="7">
        <f t="shared" si="5"/>
        <v>0</v>
      </c>
      <c r="H182" s="4"/>
      <c r="I182" s="4"/>
      <c r="J182" s="4"/>
    </row>
    <row r="183" spans="1:10" s="1" customFormat="1" ht="13.8">
      <c r="A183" s="9" t="str">
        <f>chitiet!B1854</f>
        <v>BM16300</v>
      </c>
      <c r="B183" s="18"/>
      <c r="C183" s="37" t="s">
        <v>4975</v>
      </c>
      <c r="D183" s="29" t="s">
        <v>2439</v>
      </c>
      <c r="E183" s="29">
        <f>chitiet!D1854</f>
        <v>0</v>
      </c>
      <c r="F183" s="4"/>
      <c r="G183" s="7">
        <f t="shared" si="5"/>
        <v>0</v>
      </c>
      <c r="H183" s="4"/>
      <c r="I183" s="4"/>
      <c r="J183" s="4"/>
    </row>
    <row r="184" spans="1:10" s="1" customFormat="1" ht="13.8">
      <c r="A184" s="9" t="str">
        <f>chitiet!B1855</f>
        <v>CD bắt xà</v>
      </c>
      <c r="B184" s="18" t="str">
        <f>IF(E184=0,"",COUNTIF($B$116:$B176,"&gt;0")+1)</f>
        <v/>
      </c>
      <c r="C184" s="37" t="e">
        <v>#N/A</v>
      </c>
      <c r="D184" s="29" t="e">
        <v>#N/A</v>
      </c>
      <c r="E184" s="29">
        <f>chitiet!D1855</f>
        <v>0</v>
      </c>
      <c r="F184" s="4"/>
      <c r="G184" s="7">
        <f t="shared" si="4"/>
        <v>0</v>
      </c>
      <c r="H184" s="4"/>
      <c r="I184" s="4"/>
      <c r="J184" s="4"/>
    </row>
    <row r="185" spans="1:10" s="1" customFormat="1" ht="13.8">
      <c r="A185" s="9" t="str">
        <f>chitiet!B1856</f>
        <v>cdtru140</v>
      </c>
      <c r="B185" s="18" t="str">
        <f>IF(E185=0,"",COUNTIF($B$116:$B184,"&gt;0")+1)</f>
        <v/>
      </c>
      <c r="C185" s="37" t="s">
        <v>5037</v>
      </c>
      <c r="D185" s="29" t="s">
        <v>5006</v>
      </c>
      <c r="E185" s="29">
        <f>chitiet!D1856</f>
        <v>0</v>
      </c>
      <c r="F185" s="4"/>
      <c r="G185" s="7">
        <f t="shared" si="4"/>
        <v>0</v>
      </c>
      <c r="H185" s="4"/>
      <c r="I185" s="4"/>
      <c r="J185" s="4"/>
    </row>
    <row r="186" spans="1:10" ht="13.8">
      <c r="A186" s="106">
        <f>chitiet!B1860</f>
        <v>0</v>
      </c>
      <c r="B186" s="100">
        <f>IF(E186=0,"",COUNTIF($B$116:$B184,"&gt;0")+1)</f>
        <v>3</v>
      </c>
      <c r="C186" s="108" t="s">
        <v>4117</v>
      </c>
      <c r="D186" s="108"/>
      <c r="E186" s="108">
        <v>1</v>
      </c>
      <c r="F186" s="91"/>
      <c r="G186" s="99">
        <v>1</v>
      </c>
      <c r="H186" s="91"/>
      <c r="I186" s="91"/>
      <c r="J186" s="91"/>
    </row>
    <row r="187" spans="1:10" s="1" customFormat="1" ht="13.8">
      <c r="A187" s="9" t="str">
        <f>chitiet!B1890</f>
        <v>KD240</v>
      </c>
      <c r="B187" s="18" t="str">
        <f>IF(E187=0,"",COUNTIF($B$116:$B186,"&gt;0")+1)</f>
        <v/>
      </c>
      <c r="C187" s="37" t="s">
        <v>2895</v>
      </c>
      <c r="D187" s="29" t="s">
        <v>2555</v>
      </c>
      <c r="E187" s="29">
        <f>chitiet!D1890</f>
        <v>0</v>
      </c>
      <c r="F187" s="4"/>
      <c r="G187" s="7">
        <f>IF(E187&lt;&gt;0,1,0)</f>
        <v>0</v>
      </c>
      <c r="H187" s="4"/>
      <c r="I187" s="4"/>
      <c r="J187" s="4"/>
    </row>
    <row r="188" spans="1:10" s="1" customFormat="1" ht="13.8">
      <c r="A188" s="9" t="str">
        <f>chitiet!B1891</f>
        <v>KD185</v>
      </c>
      <c r="B188" s="18" t="str">
        <f>IF(E188=0,"",COUNTIF($B$116:$B187,"&gt;0")+1)</f>
        <v/>
      </c>
      <c r="C188" s="37" t="s">
        <v>2894</v>
      </c>
      <c r="D188" s="29" t="s">
        <v>2555</v>
      </c>
      <c r="E188" s="29">
        <f>chitiet!D1891</f>
        <v>0</v>
      </c>
      <c r="F188" s="4"/>
      <c r="G188" s="7">
        <f t="shared" ref="G188:G200" si="6">IF(E188&lt;&gt;0,1,0)</f>
        <v>0</v>
      </c>
      <c r="H188" s="4"/>
      <c r="I188" s="4"/>
      <c r="J188" s="4"/>
    </row>
    <row r="189" spans="1:10" s="1" customFormat="1" ht="13.8">
      <c r="A189" s="9" t="str">
        <f>chitiet!B1892</f>
        <v>KD150</v>
      </c>
      <c r="B189" s="18" t="str">
        <f>IF(E189=0,"",COUNTIF($B$116:$B188,"&gt;0")+1)</f>
        <v/>
      </c>
      <c r="C189" s="37" t="s">
        <v>2893</v>
      </c>
      <c r="D189" s="29" t="s">
        <v>2555</v>
      </c>
      <c r="E189" s="29">
        <f>chitiet!D1892</f>
        <v>0</v>
      </c>
      <c r="F189" s="4"/>
      <c r="G189" s="7">
        <f t="shared" si="6"/>
        <v>0</v>
      </c>
      <c r="H189" s="4"/>
      <c r="I189" s="4"/>
      <c r="J189" s="4"/>
    </row>
    <row r="190" spans="1:10" s="1" customFormat="1" ht="13.8">
      <c r="A190" s="9" t="str">
        <f>chitiet!B1893</f>
        <v>KD120</v>
      </c>
      <c r="B190" s="18" t="str">
        <f>IF(E190=0,"",COUNTIF($B$116:$B189,"&gt;0")+1)</f>
        <v/>
      </c>
      <c r="C190" s="37" t="s">
        <v>2892</v>
      </c>
      <c r="D190" s="29" t="s">
        <v>2555</v>
      </c>
      <c r="E190" s="29">
        <f>chitiet!D1893</f>
        <v>0</v>
      </c>
      <c r="F190" s="4"/>
      <c r="G190" s="7">
        <f t="shared" si="6"/>
        <v>0</v>
      </c>
      <c r="H190" s="4"/>
      <c r="I190" s="4"/>
      <c r="J190" s="4"/>
    </row>
    <row r="191" spans="1:10" s="1" customFormat="1" ht="13.8">
      <c r="A191" s="9" t="str">
        <f>chitiet!B1894</f>
        <v>KD95</v>
      </c>
      <c r="B191" s="18" t="str">
        <f>IF(E191=0,"",COUNTIF($B$116:$B190,"&gt;0")+1)</f>
        <v/>
      </c>
      <c r="C191" s="37" t="s">
        <v>2891</v>
      </c>
      <c r="D191" s="29" t="s">
        <v>2555</v>
      </c>
      <c r="E191" s="29">
        <f>chitiet!D1894</f>
        <v>0</v>
      </c>
      <c r="F191" s="4"/>
      <c r="G191" s="7">
        <f t="shared" si="6"/>
        <v>0</v>
      </c>
      <c r="H191" s="4"/>
      <c r="I191" s="4"/>
      <c r="J191" s="4"/>
    </row>
    <row r="192" spans="1:10" s="1" customFormat="1" ht="13.8">
      <c r="A192" s="9" t="str">
        <f>chitiet!B1895</f>
        <v>KD70</v>
      </c>
      <c r="B192" s="18" t="str">
        <f>IF(E192=0,"",COUNTIF($B$116:$B191,"&gt;0")+1)</f>
        <v/>
      </c>
      <c r="C192" s="37" t="s">
        <v>2890</v>
      </c>
      <c r="D192" s="29" t="s">
        <v>2555</v>
      </c>
      <c r="E192" s="29">
        <f>chitiet!D1895</f>
        <v>0</v>
      </c>
      <c r="F192" s="4"/>
      <c r="G192" s="7">
        <f t="shared" si="6"/>
        <v>0</v>
      </c>
      <c r="H192" s="4"/>
      <c r="I192" s="4"/>
      <c r="J192" s="4"/>
    </row>
    <row r="193" spans="1:10" s="1" customFormat="1" ht="13.8">
      <c r="A193" s="9" t="str">
        <f>chitiet!B1896</f>
        <v>KD50</v>
      </c>
      <c r="B193" s="18" t="str">
        <f>IF(E193=0,"",COUNTIF($B$116:$B192,"&gt;0")+1)</f>
        <v/>
      </c>
      <c r="C193" s="37" t="s">
        <v>2889</v>
      </c>
      <c r="D193" s="29" t="s">
        <v>2555</v>
      </c>
      <c r="E193" s="29">
        <f>chitiet!D1896</f>
        <v>0</v>
      </c>
      <c r="F193" s="4"/>
      <c r="G193" s="7">
        <f t="shared" si="6"/>
        <v>0</v>
      </c>
      <c r="H193" s="4"/>
      <c r="I193" s="4"/>
      <c r="J193" s="4"/>
    </row>
    <row r="194" spans="1:10" s="1" customFormat="1" ht="13.8">
      <c r="A194" s="9" t="str">
        <f>chitiet!B1897</f>
        <v>KN240</v>
      </c>
      <c r="B194" s="18" t="str">
        <f>IF(E194=0,"",COUNTIF($B$116:$B193,"&gt;0")+1)</f>
        <v/>
      </c>
      <c r="C194" s="37" t="s">
        <v>2906</v>
      </c>
      <c r="D194" s="29" t="s">
        <v>2555</v>
      </c>
      <c r="E194" s="29">
        <f>chitiet!D1897</f>
        <v>0</v>
      </c>
      <c r="F194" s="4"/>
      <c r="G194" s="7">
        <f t="shared" si="6"/>
        <v>0</v>
      </c>
      <c r="H194" s="4"/>
      <c r="I194" s="4"/>
      <c r="J194" s="4"/>
    </row>
    <row r="195" spans="1:10" s="1" customFormat="1" ht="13.8">
      <c r="A195" s="9" t="str">
        <f>chitiet!B1898</f>
        <v>kn50</v>
      </c>
      <c r="B195" s="18" t="str">
        <f>IF(E195=0,"",COUNTIF($B$116:$B194,"&gt;0")+1)</f>
        <v/>
      </c>
      <c r="C195" s="37" t="s">
        <v>2900</v>
      </c>
      <c r="D195" s="29" t="s">
        <v>2555</v>
      </c>
      <c r="E195" s="29">
        <f>chitiet!D1898</f>
        <v>0</v>
      </c>
      <c r="F195" s="4"/>
      <c r="G195" s="7">
        <f t="shared" si="6"/>
        <v>0</v>
      </c>
      <c r="H195" s="4"/>
      <c r="I195" s="4"/>
      <c r="J195" s="4"/>
    </row>
    <row r="196" spans="1:10" s="1" customFormat="1" ht="13.8">
      <c r="A196" s="9" t="str">
        <f>chitiet!B1899</f>
        <v>KN150</v>
      </c>
      <c r="B196" s="18" t="str">
        <f>IF(E196=0,"",COUNTIF($B$116:$B195,"&gt;0")+1)</f>
        <v/>
      </c>
      <c r="C196" s="37" t="s">
        <v>2904</v>
      </c>
      <c r="D196" s="29" t="s">
        <v>2555</v>
      </c>
      <c r="E196" s="29">
        <f>chitiet!D1899</f>
        <v>0</v>
      </c>
      <c r="F196" s="4"/>
      <c r="G196" s="7">
        <f t="shared" si="6"/>
        <v>0</v>
      </c>
      <c r="H196" s="4"/>
      <c r="I196" s="4"/>
      <c r="J196" s="4"/>
    </row>
    <row r="197" spans="1:10" s="1" customFormat="1" ht="13.8">
      <c r="A197" s="9" t="str">
        <f>chitiet!B1900</f>
        <v>KN120</v>
      </c>
      <c r="B197" s="18" t="str">
        <f>IF(E197=0,"",COUNTIF($B$116:$B196,"&gt;0")+1)</f>
        <v/>
      </c>
      <c r="C197" s="37" t="s">
        <v>2903</v>
      </c>
      <c r="D197" s="29" t="s">
        <v>2555</v>
      </c>
      <c r="E197" s="29">
        <f>chitiet!D1900</f>
        <v>0</v>
      </c>
      <c r="F197" s="4"/>
      <c r="G197" s="7">
        <f t="shared" si="6"/>
        <v>0</v>
      </c>
      <c r="H197" s="4"/>
      <c r="I197" s="4"/>
      <c r="J197" s="4"/>
    </row>
    <row r="198" spans="1:10" s="1" customFormat="1" ht="13.8">
      <c r="A198" s="9" t="str">
        <f>chitiet!B1901</f>
        <v>KN95</v>
      </c>
      <c r="B198" s="18" t="str">
        <f>IF(E198=0,"",COUNTIF($B$116:$B197,"&gt;0")+1)</f>
        <v/>
      </c>
      <c r="C198" s="37" t="s">
        <v>2902</v>
      </c>
      <c r="D198" s="29" t="s">
        <v>2555</v>
      </c>
      <c r="E198" s="29">
        <f>chitiet!D1901</f>
        <v>0</v>
      </c>
      <c r="F198" s="4"/>
      <c r="G198" s="7">
        <f t="shared" si="6"/>
        <v>0</v>
      </c>
      <c r="H198" s="4"/>
      <c r="I198" s="4"/>
      <c r="J198" s="4"/>
    </row>
    <row r="199" spans="1:10" s="1" customFormat="1" ht="13.8">
      <c r="A199" s="9" t="str">
        <f>chitiet!B1902</f>
        <v>KN70</v>
      </c>
      <c r="B199" s="18" t="str">
        <f>IF(E199=0,"",COUNTIF($B$116:$B198,"&gt;0")+1)</f>
        <v/>
      </c>
      <c r="C199" s="37" t="s">
        <v>2901</v>
      </c>
      <c r="D199" s="29" t="s">
        <v>2555</v>
      </c>
      <c r="E199" s="29">
        <f>chitiet!D1902</f>
        <v>0</v>
      </c>
      <c r="F199" s="4"/>
      <c r="G199" s="7">
        <f t="shared" si="6"/>
        <v>0</v>
      </c>
      <c r="H199" s="4"/>
      <c r="I199" s="4"/>
      <c r="J199" s="4"/>
    </row>
    <row r="200" spans="1:10" s="1" customFormat="1" ht="13.8">
      <c r="A200" s="9" t="str">
        <f>chitiet!B1903</f>
        <v>KN50</v>
      </c>
      <c r="B200" s="18" t="str">
        <f>IF(E200=0,"",COUNTIF($B$116:$B199,"&gt;0")+1)</f>
        <v/>
      </c>
      <c r="C200" s="37" t="s">
        <v>2900</v>
      </c>
      <c r="D200" s="29" t="s">
        <v>2555</v>
      </c>
      <c r="E200" s="29">
        <f>chitiet!D1903</f>
        <v>0</v>
      </c>
      <c r="F200" s="4"/>
      <c r="G200" s="7">
        <f t="shared" si="6"/>
        <v>0</v>
      </c>
      <c r="H200" s="4"/>
      <c r="I200" s="4"/>
      <c r="J200" s="4"/>
    </row>
    <row r="201" spans="1:10" s="1" customFormat="1" ht="13.8">
      <c r="A201" s="9" t="str">
        <f>chitiet!B1904</f>
        <v>oxc25</v>
      </c>
      <c r="B201" s="18" t="str">
        <f>IF(E201=0,"",COUNTIF($B$116:$B200,"&gt;0")+1)</f>
        <v/>
      </c>
      <c r="C201" s="37" t="s">
        <v>5029</v>
      </c>
      <c r="D201" s="29" t="s">
        <v>2555</v>
      </c>
      <c r="E201" s="29">
        <f>chitiet!D1904</f>
        <v>0</v>
      </c>
      <c r="F201" s="4"/>
      <c r="G201" s="7">
        <f t="shared" ref="G201:G247" si="7">IF(E201&lt;&gt;0,1,0)</f>
        <v>0</v>
      </c>
      <c r="H201" s="4"/>
      <c r="I201" s="4"/>
      <c r="J201" s="4"/>
    </row>
    <row r="202" spans="1:10" s="1" customFormat="1" ht="13.8">
      <c r="A202" s="9" t="str">
        <f>chitiet!B1906</f>
        <v>ke35</v>
      </c>
      <c r="B202" s="18" t="str">
        <f>IF(E202=0,"",COUNTIF($B$116:$B201,"&gt;0")+1)</f>
        <v/>
      </c>
      <c r="C202" s="37" t="e">
        <v>#N/A</v>
      </c>
      <c r="D202" s="29" t="e">
        <v>#N/A</v>
      </c>
      <c r="E202" s="29">
        <f>chitiet!D1906</f>
        <v>0</v>
      </c>
      <c r="F202" s="4"/>
      <c r="G202" s="7">
        <f t="shared" si="7"/>
        <v>0</v>
      </c>
      <c r="H202" s="4"/>
      <c r="I202" s="4"/>
      <c r="J202" s="4"/>
    </row>
    <row r="203" spans="1:10" ht="13.8">
      <c r="A203" s="106" t="str">
        <f>chitiet!B1907</f>
        <v>ke50</v>
      </c>
      <c r="B203" s="100"/>
      <c r="C203" s="111" t="s">
        <v>2873</v>
      </c>
      <c r="D203" s="112" t="s">
        <v>2555</v>
      </c>
      <c r="E203" s="112">
        <f>chitiet!D1907</f>
        <v>0</v>
      </c>
      <c r="F203" s="91"/>
      <c r="G203" s="99">
        <f t="shared" si="7"/>
        <v>0</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3.8">
      <c r="A207" s="9" t="str">
        <f>chitiet!B1909</f>
        <v>ke150</v>
      </c>
      <c r="B207" s="18" t="str">
        <f>IF(E207=0,"",COUNTIF($B$116:$B206,"&gt;0")+1)</f>
        <v/>
      </c>
      <c r="C207" s="37" t="s">
        <v>2877</v>
      </c>
      <c r="D207" s="29" t="s">
        <v>2555</v>
      </c>
      <c r="E207" s="29">
        <f>chitiet!D1909</f>
        <v>0</v>
      </c>
      <c r="F207" s="4"/>
      <c r="G207" s="7">
        <f t="shared" si="8"/>
        <v>0</v>
      </c>
      <c r="H207" s="4"/>
      <c r="I207" s="4"/>
      <c r="J207" s="4"/>
    </row>
    <row r="208" spans="1:10" s="1" customFormat="1" ht="13.8">
      <c r="A208" s="9" t="str">
        <f>chitiet!B1910</f>
        <v>ke185</v>
      </c>
      <c r="B208" s="18" t="str">
        <f>IF(E208=0,"",COUNTIF($B$116:$B207,"&gt;0")+1)</f>
        <v/>
      </c>
      <c r="C208" s="37" t="s">
        <v>2878</v>
      </c>
      <c r="D208" s="29" t="s">
        <v>2555</v>
      </c>
      <c r="E208" s="29">
        <f>chitiet!D1910</f>
        <v>0</v>
      </c>
      <c r="F208" s="4"/>
      <c r="G208" s="7">
        <f t="shared" si="8"/>
        <v>0</v>
      </c>
      <c r="H208" s="4"/>
      <c r="I208" s="4"/>
      <c r="J208" s="4"/>
    </row>
    <row r="209" spans="1:10" s="1" customFormat="1" ht="13.8">
      <c r="A209" s="9" t="str">
        <f>chitiet!B1911</f>
        <v>ke240</v>
      </c>
      <c r="B209" s="18" t="str">
        <f>IF(E209=0,"",COUNTIF($B$116:$B207,"&gt;0")+1)</f>
        <v/>
      </c>
      <c r="C209" s="37" t="s">
        <v>2879</v>
      </c>
      <c r="D209" s="29" t="s">
        <v>2555</v>
      </c>
      <c r="E209" s="29">
        <f>chitiet!D1911</f>
        <v>0</v>
      </c>
      <c r="F209" s="4"/>
      <c r="G209" s="7">
        <f t="shared" si="8"/>
        <v>0</v>
      </c>
      <c r="H209" s="4"/>
      <c r="I209" s="4"/>
      <c r="J209" s="4"/>
    </row>
    <row r="210" spans="1:10" s="1" customFormat="1" ht="13.8">
      <c r="A210" s="9" t="str">
        <f>chitiet!B1912</f>
        <v>k50</v>
      </c>
      <c r="B210" s="18" t="str">
        <f>IF(E210=0,"",COUNTIF($B$116:$B202,"&gt;0")+1)</f>
        <v/>
      </c>
      <c r="C210" s="37" t="s">
        <v>5009</v>
      </c>
      <c r="D210" s="29" t="s">
        <v>2555</v>
      </c>
      <c r="E210" s="29">
        <f>chitiet!D1912</f>
        <v>0</v>
      </c>
      <c r="F210" s="4"/>
      <c r="G210" s="7">
        <f t="shared" si="7"/>
        <v>0</v>
      </c>
      <c r="H210" s="4"/>
      <c r="I210" s="4"/>
      <c r="J210" s="4"/>
    </row>
    <row r="211" spans="1:10" s="1" customFormat="1" ht="13.8">
      <c r="A211" s="9" t="str">
        <f>chitiet!B1913</f>
        <v>k70</v>
      </c>
      <c r="B211" s="18" t="str">
        <f>IF(E211=0,"",COUNTIF($B$116:$B210,"&gt;0")+1)</f>
        <v/>
      </c>
      <c r="C211" s="37" t="s">
        <v>5038</v>
      </c>
      <c r="D211" s="29" t="s">
        <v>2555</v>
      </c>
      <c r="E211" s="29">
        <f>chitiet!D1913</f>
        <v>0</v>
      </c>
      <c r="F211" s="4"/>
      <c r="G211" s="7">
        <f t="shared" si="7"/>
        <v>0</v>
      </c>
      <c r="H211" s="4"/>
      <c r="I211" s="4"/>
      <c r="J211" s="4"/>
    </row>
    <row r="212" spans="1:10" s="1" customFormat="1" ht="13.8">
      <c r="A212" s="9" t="str">
        <f>chitiet!B1914</f>
        <v>k95</v>
      </c>
      <c r="B212" s="18" t="str">
        <f>IF(E212=0,"",COUNTIF($B$116:$B211,"&gt;0")+1)</f>
        <v/>
      </c>
      <c r="C212" s="37" t="e">
        <v>#N/A</v>
      </c>
      <c r="D212" s="29" t="e">
        <v>#N/A</v>
      </c>
      <c r="E212" s="29">
        <f>chitiet!D1914</f>
        <v>0</v>
      </c>
      <c r="F212" s="4"/>
      <c r="G212" s="7">
        <f t="shared" si="7"/>
        <v>0</v>
      </c>
      <c r="H212" s="4"/>
      <c r="I212" s="4"/>
      <c r="J212" s="4"/>
    </row>
    <row r="213" spans="1:10" s="1" customFormat="1" ht="13.8">
      <c r="A213" s="9" t="str">
        <f>chitiet!B1915</f>
        <v>k150</v>
      </c>
      <c r="B213" s="18" t="str">
        <f>IF(E213=0,"",COUNTIF($B$116:$B212,"&gt;0")+1)</f>
        <v/>
      </c>
      <c r="C213" s="37" t="e">
        <v>#N/A</v>
      </c>
      <c r="D213" s="29" t="e">
        <v>#N/A</v>
      </c>
      <c r="E213" s="29">
        <f>chitiet!D1915</f>
        <v>0</v>
      </c>
      <c r="F213" s="4"/>
      <c r="G213" s="7">
        <f t="shared" si="7"/>
        <v>0</v>
      </c>
      <c r="H213" s="4"/>
      <c r="I213" s="4"/>
      <c r="J213" s="4"/>
    </row>
    <row r="214" spans="1:10" s="1" customFormat="1" ht="13.8">
      <c r="A214" s="9" t="str">
        <f>chitiet!B1916</f>
        <v>k185</v>
      </c>
      <c r="B214" s="18" t="str">
        <f>IF(E214=0,"",COUNTIF($B$116:$B213,"&gt;0")+1)</f>
        <v/>
      </c>
      <c r="C214" s="37" t="e">
        <v>#N/A</v>
      </c>
      <c r="D214" s="29" t="e">
        <v>#N/A</v>
      </c>
      <c r="E214" s="29">
        <f>chitiet!D1929</f>
        <v>0</v>
      </c>
      <c r="F214" s="4"/>
      <c r="G214" s="7">
        <f t="shared" si="7"/>
        <v>0</v>
      </c>
      <c r="H214" s="4"/>
      <c r="I214" s="4"/>
      <c r="J214" s="4"/>
    </row>
    <row r="215" spans="1:10" s="1" customFormat="1" ht="13.8">
      <c r="A215" s="9" t="str">
        <f>chitiet!B1917</f>
        <v>k50</v>
      </c>
      <c r="B215" s="18" t="str">
        <f>IF(E215=0,"",COUNTIF($B$116:$B214,"&gt;0")+1)</f>
        <v/>
      </c>
      <c r="C215" s="37" t="s">
        <v>5009</v>
      </c>
      <c r="D215" s="29" t="s">
        <v>2555</v>
      </c>
      <c r="E215" s="29">
        <f>chitiet!D1917</f>
        <v>0</v>
      </c>
      <c r="F215" s="4"/>
      <c r="G215" s="7">
        <f t="shared" si="7"/>
        <v>0</v>
      </c>
      <c r="H215" s="4"/>
      <c r="I215" s="4"/>
      <c r="J215" s="4"/>
    </row>
    <row r="216" spans="1:10" s="1" customFormat="1" ht="13.8">
      <c r="A216" s="9" t="str">
        <f>chitiet!B1918</f>
        <v>cose50</v>
      </c>
      <c r="B216" s="18" t="str">
        <f>IF(E216=0,"",COUNTIF($B$116:$B215,"&gt;0")+1)</f>
        <v/>
      </c>
      <c r="C216" s="37" t="s">
        <v>4978</v>
      </c>
      <c r="D216" s="29" t="s">
        <v>2555</v>
      </c>
      <c r="E216" s="29">
        <f>chitiet!D1918</f>
        <v>0</v>
      </c>
      <c r="F216" s="4"/>
      <c r="G216" s="7">
        <f>IF(E216&lt;&gt;0,1,0)</f>
        <v>0</v>
      </c>
      <c r="H216" s="4"/>
      <c r="I216" s="4"/>
      <c r="J216" s="4"/>
    </row>
    <row r="217" spans="1:10" s="1" customFormat="1" ht="13.8">
      <c r="A217" s="9" t="str">
        <f>chitiet!B1919</f>
        <v>cos95</v>
      </c>
      <c r="B217" s="18" t="str">
        <f>IF(E217=0,"",COUNTIF($B$116:$B215,"&gt;0")+1)</f>
        <v/>
      </c>
      <c r="C217" s="37" t="e">
        <v>#N/A</v>
      </c>
      <c r="D217" s="29" t="e">
        <v>#N/A</v>
      </c>
      <c r="E217" s="29">
        <f>chitiet!D1919</f>
        <v>0</v>
      </c>
      <c r="F217" s="4"/>
      <c r="G217" s="7">
        <f t="shared" si="7"/>
        <v>0</v>
      </c>
      <c r="H217" s="4"/>
      <c r="I217" s="4"/>
      <c r="J217" s="4"/>
    </row>
    <row r="218" spans="1:10" s="1" customFormat="1" ht="13.8">
      <c r="A218" s="9" t="str">
        <f>chitiet!B1920</f>
        <v>cos120</v>
      </c>
      <c r="B218" s="18" t="str">
        <f>IF(E218=0,"",COUNTIF($B$116:$B217,"&gt;0")+1)</f>
        <v/>
      </c>
      <c r="C218" s="37" t="e">
        <v>#N/A</v>
      </c>
      <c r="D218" s="29" t="e">
        <v>#N/A</v>
      </c>
      <c r="E218" s="29">
        <f>chitiet!D1920</f>
        <v>0</v>
      </c>
      <c r="F218" s="4"/>
      <c r="G218" s="7">
        <f t="shared" si="7"/>
        <v>0</v>
      </c>
      <c r="H218" s="4"/>
      <c r="I218" s="4"/>
      <c r="J218" s="4"/>
    </row>
    <row r="219" spans="1:10" s="1" customFormat="1" ht="13.8">
      <c r="A219" s="9" t="str">
        <f>chitiet!B1921</f>
        <v>cos150</v>
      </c>
      <c r="B219" s="18" t="str">
        <f>IF(E219=0,"",COUNTIF($B$116:$B218,"&gt;0")+1)</f>
        <v/>
      </c>
      <c r="C219" s="37" t="e">
        <v>#N/A</v>
      </c>
      <c r="D219" s="29" t="e">
        <v>#N/A</v>
      </c>
      <c r="E219" s="29">
        <f>chitiet!D1921</f>
        <v>0</v>
      </c>
      <c r="F219" s="4"/>
      <c r="G219" s="7">
        <f t="shared" si="7"/>
        <v>0</v>
      </c>
      <c r="H219" s="4"/>
      <c r="I219" s="4"/>
      <c r="J219" s="4"/>
    </row>
    <row r="220" spans="1:10" s="1" customFormat="1" ht="13.8">
      <c r="A220" s="9" t="str">
        <f>chitiet!B1924</f>
        <v>ttf</v>
      </c>
      <c r="B220" s="18" t="str">
        <f>IF(E220=0,"",COUNTIF($B$116:$B219,"&gt;0")+1)</f>
        <v/>
      </c>
      <c r="C220" s="37" t="e">
        <v>#N/A</v>
      </c>
      <c r="D220" s="29" t="e">
        <v>#N/A</v>
      </c>
      <c r="E220" s="29">
        <f>chitiet!D1924</f>
        <v>0</v>
      </c>
      <c r="F220" s="4"/>
      <c r="G220" s="7">
        <f t="shared" si="7"/>
        <v>0</v>
      </c>
      <c r="H220" s="4"/>
      <c r="I220" s="4"/>
      <c r="J220" s="4"/>
    </row>
    <row r="221" spans="1:10" s="1" customFormat="1" ht="13.8">
      <c r="A221" s="9" t="str">
        <f>chitiet!B1925</f>
        <v>ssf</v>
      </c>
      <c r="B221" s="18" t="str">
        <f>IF(E221=0,"",COUNTIF($B$116:$B220,"&gt;0")+1)</f>
        <v/>
      </c>
      <c r="C221" s="37" t="e">
        <v>#N/A</v>
      </c>
      <c r="D221" s="29" t="e">
        <v>#N/A</v>
      </c>
      <c r="E221" s="29">
        <f>chitiet!D1925</f>
        <v>0</v>
      </c>
      <c r="F221" s="4"/>
      <c r="G221" s="7">
        <f t="shared" si="7"/>
        <v>0</v>
      </c>
      <c r="H221" s="4"/>
      <c r="I221" s="4"/>
      <c r="J221" s="4"/>
    </row>
    <row r="222" spans="1:10" s="1" customFormat="1" ht="13.8">
      <c r="A222" s="9" t="str">
        <f>chitiet!B1926</f>
        <v>B1230</v>
      </c>
      <c r="B222" s="18" t="str">
        <f>IF(E222=0,"",COUNTIF($B$116:$B221,"&gt;0")+1)</f>
        <v/>
      </c>
      <c r="C222" s="37" t="s">
        <v>2626</v>
      </c>
      <c r="D222" s="29" t="s">
        <v>2439</v>
      </c>
      <c r="E222" s="29">
        <f>chitiet!D1926</f>
        <v>0</v>
      </c>
      <c r="F222" s="4"/>
      <c r="G222" s="7">
        <f t="shared" si="7"/>
        <v>0</v>
      </c>
      <c r="H222" s="4"/>
      <c r="I222" s="4"/>
      <c r="J222" s="4"/>
    </row>
    <row r="223" spans="1:10" ht="13.8">
      <c r="A223" s="106" t="str">
        <f>chitiet!B1927</f>
        <v xml:space="preserve">KQ2/0 </v>
      </c>
      <c r="B223" s="100"/>
      <c r="C223" s="111" t="e">
        <v>#N/A</v>
      </c>
      <c r="D223" s="112" t="e">
        <v>#N/A</v>
      </c>
      <c r="E223" s="112">
        <f>chitiet!D1927</f>
        <v>0</v>
      </c>
      <c r="F223" s="91"/>
      <c r="G223" s="99">
        <f t="shared" si="7"/>
        <v>0</v>
      </c>
      <c r="H223" s="91"/>
      <c r="I223" s="91"/>
      <c r="J223" s="91"/>
    </row>
    <row r="224" spans="1:10" s="1" customFormat="1" ht="13.8">
      <c r="A224" s="9" t="e">
        <f>chitiet!#REF!</f>
        <v>#REF!</v>
      </c>
      <c r="B224" s="18" t="e">
        <f>IF(E224=0,"",COUNTIF($B$116:$B223,"&gt;0")+1)</f>
        <v>#REF!</v>
      </c>
      <c r="C224" s="37" t="s">
        <v>5039</v>
      </c>
      <c r="D224" s="29" t="s">
        <v>2555</v>
      </c>
      <c r="E224" s="29" t="e">
        <f>chitiet!#REF!</f>
        <v>#REF!</v>
      </c>
      <c r="F224" s="4"/>
      <c r="G224" s="7" t="e">
        <f t="shared" si="7"/>
        <v>#REF!</v>
      </c>
      <c r="H224" s="4"/>
      <c r="I224" s="4"/>
      <c r="J224" s="4"/>
    </row>
    <row r="225" spans="1:10" ht="13.8">
      <c r="A225" s="106" t="str">
        <f>chitiet!B1928</f>
        <v>KH2/0</v>
      </c>
      <c r="B225" s="100"/>
      <c r="C225" s="111" t="s">
        <v>4335</v>
      </c>
      <c r="D225" s="112" t="s">
        <v>2555</v>
      </c>
      <c r="E225" s="112">
        <f>chitiet!D1928</f>
        <v>0</v>
      </c>
      <c r="F225" s="91"/>
      <c r="G225" s="99">
        <f t="shared" si="7"/>
        <v>0</v>
      </c>
      <c r="H225" s="91"/>
      <c r="I225" s="91"/>
      <c r="J225" s="91"/>
    </row>
    <row r="226" spans="1:10" s="1" customFormat="1" ht="13.8">
      <c r="A226" s="9" t="e">
        <f>chitiet!#REF!</f>
        <v>#REF!</v>
      </c>
      <c r="B226" s="18" t="e">
        <f>IF(E226=0,"",COUNTIF($B$116:$B225,"&gt;0")+1)</f>
        <v>#REF!</v>
      </c>
      <c r="C226" s="37" t="s">
        <v>2883</v>
      </c>
      <c r="D226" s="29" t="s">
        <v>2555</v>
      </c>
      <c r="E226" s="29" t="e">
        <f>chitiet!#REF!</f>
        <v>#REF!</v>
      </c>
      <c r="F226" s="4"/>
      <c r="G226" s="7" t="e">
        <f t="shared" si="7"/>
        <v>#REF!</v>
      </c>
      <c r="H226" s="4"/>
      <c r="I226" s="4"/>
      <c r="J226" s="4"/>
    </row>
    <row r="227" spans="1:10" ht="13.8">
      <c r="A227" s="106" t="str">
        <f>chitiet!B1930</f>
        <v>XLPE25</v>
      </c>
      <c r="B227" s="100"/>
      <c r="C227" s="106" t="s">
        <v>4868</v>
      </c>
      <c r="D227" s="112" t="s">
        <v>2532</v>
      </c>
      <c r="E227" s="112">
        <f>chitiet!D1930</f>
        <v>0</v>
      </c>
      <c r="F227" s="91"/>
      <c r="G227" s="99">
        <f>IF(E227&lt;&gt;0,1,0)</f>
        <v>0</v>
      </c>
      <c r="H227" s="91"/>
      <c r="I227" s="91"/>
      <c r="J227" s="91"/>
    </row>
    <row r="228" spans="1:10" s="1" customFormat="1" ht="13.8">
      <c r="A228" s="9" t="str">
        <f>chitiet!B1931</f>
        <v>XLPE25</v>
      </c>
      <c r="B228" s="18" t="str">
        <f>IF(E228=0,"",COUNTIF($B$116:$B227,"&gt;0")+1)</f>
        <v/>
      </c>
      <c r="C228" s="9" t="s">
        <v>5040</v>
      </c>
      <c r="D228" s="29" t="s">
        <v>2532</v>
      </c>
      <c r="E228" s="29">
        <f>chitiet!D1931</f>
        <v>0</v>
      </c>
      <c r="F228" s="4"/>
      <c r="G228" s="7">
        <f>IF(E228&lt;&gt;0,1,0)</f>
        <v>0</v>
      </c>
      <c r="H228" s="4"/>
      <c r="I228" s="4"/>
      <c r="J228" s="4"/>
    </row>
    <row r="229" spans="1:10" s="1" customFormat="1" ht="13.8">
      <c r="A229" s="9" t="str">
        <f>chitiet!B1935</f>
        <v>ON50</v>
      </c>
      <c r="B229" s="18" t="str">
        <f>IF(E229=0,"",COUNTIF($B$116:$B227,"&gt;0")+1)</f>
        <v/>
      </c>
      <c r="C229" s="37" t="s">
        <v>2924</v>
      </c>
      <c r="D229" s="29" t="s">
        <v>2555</v>
      </c>
      <c r="E229" s="29">
        <f>chitiet!D1935</f>
        <v>0</v>
      </c>
      <c r="F229" s="4"/>
      <c r="G229" s="7">
        <f t="shared" si="7"/>
        <v>0</v>
      </c>
      <c r="H229" s="4"/>
      <c r="I229" s="4"/>
      <c r="J229" s="4"/>
    </row>
    <row r="230" spans="1:10" s="1" customFormat="1" ht="13.8">
      <c r="A230" s="9" t="e">
        <f>chitiet!#REF!</f>
        <v>#REF!</v>
      </c>
      <c r="B230" s="18" t="e">
        <f>IF(E230=0,"",COUNTIF($B$116:$B229,"&gt;0")+1)</f>
        <v>#REF!</v>
      </c>
      <c r="C230" s="37" t="s">
        <v>2925</v>
      </c>
      <c r="D230" s="29" t="s">
        <v>2555</v>
      </c>
      <c r="E230" s="29" t="e">
        <f>chitiet!#REF!</f>
        <v>#REF!</v>
      </c>
      <c r="F230" s="4"/>
      <c r="G230" s="7" t="e">
        <f t="shared" si="7"/>
        <v>#REF!</v>
      </c>
      <c r="H230" s="4"/>
      <c r="I230" s="4"/>
      <c r="J230" s="4"/>
    </row>
    <row r="231" spans="1:10" s="1" customFormat="1" ht="13.8">
      <c r="A231" s="9" t="str">
        <f>chitiet!B1936</f>
        <v>ON95</v>
      </c>
      <c r="B231" s="18" t="str">
        <f>IF(E231=0,"",COUNTIF($B$116:$B230,"&gt;0")+1)</f>
        <v/>
      </c>
      <c r="C231" s="37" t="s">
        <v>2926</v>
      </c>
      <c r="D231" s="29" t="s">
        <v>2555</v>
      </c>
      <c r="E231" s="29">
        <f>chitiet!D1936</f>
        <v>0</v>
      </c>
      <c r="F231" s="4"/>
      <c r="G231" s="7">
        <f t="shared" si="7"/>
        <v>0</v>
      </c>
      <c r="H231" s="4"/>
      <c r="I231" s="4"/>
      <c r="J231" s="4"/>
    </row>
    <row r="232" spans="1:10" s="1" customFormat="1" ht="13.8">
      <c r="A232" s="9" t="str">
        <f>chitiet!B1937</f>
        <v>ON120</v>
      </c>
      <c r="B232" s="18" t="str">
        <f>IF(E232=0,"",COUNTIF($B$116:$B231,"&gt;0")+1)</f>
        <v/>
      </c>
      <c r="C232" s="37" t="s">
        <v>2927</v>
      </c>
      <c r="D232" s="29" t="s">
        <v>2555</v>
      </c>
      <c r="E232" s="29">
        <f>chitiet!D1937</f>
        <v>0</v>
      </c>
      <c r="F232" s="4"/>
      <c r="G232" s="7">
        <f t="shared" si="7"/>
        <v>0</v>
      </c>
      <c r="H232" s="4"/>
      <c r="I232" s="4"/>
      <c r="J232" s="4"/>
    </row>
    <row r="233" spans="1:10" s="1" customFormat="1" ht="13.8">
      <c r="A233" s="9" t="str">
        <f>chitiet!B1938</f>
        <v>ON150</v>
      </c>
      <c r="B233" s="18" t="str">
        <f>IF(E233=0,"",COUNTIF($B$116:$B232,"&gt;0")+1)</f>
        <v/>
      </c>
      <c r="C233" s="37" t="s">
        <v>2928</v>
      </c>
      <c r="D233" s="29" t="s">
        <v>2555</v>
      </c>
      <c r="E233" s="29">
        <f>chitiet!D1938</f>
        <v>0</v>
      </c>
      <c r="F233" s="4"/>
      <c r="G233" s="7">
        <f t="shared" si="7"/>
        <v>0</v>
      </c>
      <c r="H233" s="4"/>
      <c r="I233" s="4"/>
      <c r="J233" s="4"/>
    </row>
    <row r="234" spans="1:10" s="1" customFormat="1" ht="13.8">
      <c r="A234" s="9" t="e">
        <f>chitiet!#REF!</f>
        <v>#REF!</v>
      </c>
      <c r="B234" s="18" t="e">
        <f>IF(E234=0,"",COUNTIF($B$116:$B233,"&gt;0")+1)</f>
        <v>#REF!</v>
      </c>
      <c r="C234" s="37" t="s">
        <v>2929</v>
      </c>
      <c r="D234" s="29" t="s">
        <v>2555</v>
      </c>
      <c r="E234" s="29" t="e">
        <f>chitiet!#REF!</f>
        <v>#REF!</v>
      </c>
      <c r="F234" s="4"/>
      <c r="G234" s="7" t="e">
        <f t="shared" si="7"/>
        <v>#REF!</v>
      </c>
      <c r="H234" s="4"/>
      <c r="I234" s="4"/>
      <c r="J234" s="4"/>
    </row>
    <row r="235" spans="1:10" s="1" customFormat="1" ht="13.8">
      <c r="A235" s="9" t="str">
        <f>chitiet!B1939</f>
        <v>ON240</v>
      </c>
      <c r="B235" s="18" t="str">
        <f>IF(E235=0,"",COUNTIF($B$116:$B234,"&gt;0")+1)</f>
        <v/>
      </c>
      <c r="C235" s="37" t="e">
        <v>#N/A</v>
      </c>
      <c r="D235" s="29" t="e">
        <v>#N/A</v>
      </c>
      <c r="E235" s="29">
        <f>chitiet!D1939</f>
        <v>0</v>
      </c>
      <c r="F235" s="4"/>
      <c r="G235" s="7">
        <f t="shared" si="7"/>
        <v>0</v>
      </c>
      <c r="H235" s="4"/>
      <c r="I235" s="4"/>
      <c r="J235" s="4"/>
    </row>
    <row r="236" spans="1:10" s="1" customFormat="1" ht="13.8">
      <c r="A236" s="9" t="str">
        <f>chitiet!B1940</f>
        <v>CDTRUDOI</v>
      </c>
      <c r="B236" s="18" t="str">
        <f>IF(E236=0,"",COUNTIF($B$116:$B235,"&gt;0")+1)</f>
        <v/>
      </c>
      <c r="C236" s="37" t="s">
        <v>2970</v>
      </c>
      <c r="D236" s="29" t="s">
        <v>2439</v>
      </c>
      <c r="E236" s="29">
        <f>chitiet!D1940</f>
        <v>0</v>
      </c>
      <c r="F236" s="4"/>
      <c r="G236" s="7">
        <f t="shared" ref="G236:G241" si="9">IF(E236&lt;&gt;0,1,0)</f>
        <v>0</v>
      </c>
      <c r="H236" s="4"/>
      <c r="I236" s="4"/>
      <c r="J236" s="4"/>
    </row>
    <row r="237" spans="1:10" s="1" customFormat="1" ht="13.8">
      <c r="A237" s="9" t="str">
        <f>chitiet!B1942</f>
        <v>B16450V</v>
      </c>
      <c r="B237" s="18" t="str">
        <f>IF(E237=0,"",COUNTIF($B$116:$B236,"&gt;0")+1)</f>
        <v/>
      </c>
      <c r="C237" s="37" t="e">
        <v>#N/A</v>
      </c>
      <c r="D237" s="29" t="e">
        <v>#N/A</v>
      </c>
      <c r="E237" s="29">
        <f>chitiet!D1942</f>
        <v>0</v>
      </c>
      <c r="F237" s="4"/>
      <c r="G237" s="7">
        <f t="shared" si="9"/>
        <v>0</v>
      </c>
      <c r="H237" s="4"/>
      <c r="I237" s="4"/>
      <c r="J237" s="4"/>
    </row>
    <row r="238" spans="1:10" s="1" customFormat="1" ht="13.8">
      <c r="A238" s="9" t="str">
        <f>chitiet!B1943</f>
        <v>B16550v</v>
      </c>
      <c r="B238" s="18" t="str">
        <f>IF(E238=0,"",COUNTIF($B$116:$B237,"&gt;0")+1)</f>
        <v/>
      </c>
      <c r="C238" s="37" t="s">
        <v>5025</v>
      </c>
      <c r="D238" s="29" t="s">
        <v>2439</v>
      </c>
      <c r="E238" s="29">
        <f>chitiet!D1943</f>
        <v>0</v>
      </c>
      <c r="F238" s="4"/>
      <c r="G238" s="7">
        <f t="shared" si="9"/>
        <v>0</v>
      </c>
      <c r="H238" s="4"/>
      <c r="I238" s="4"/>
      <c r="J238" s="4"/>
    </row>
    <row r="239" spans="1:10" s="1" customFormat="1" ht="13.8">
      <c r="A239" s="9" t="str">
        <f>chitiet!B1944</f>
        <v>B16600v</v>
      </c>
      <c r="B239" s="18" t="str">
        <f>IF(E239=0,"",COUNTIF($B$116:$B238,"&gt;0")+1)</f>
        <v/>
      </c>
      <c r="C239" s="37" t="s">
        <v>5026</v>
      </c>
      <c r="D239" s="29" t="s">
        <v>2439</v>
      </c>
      <c r="E239" s="29">
        <f>chitiet!D1944</f>
        <v>0</v>
      </c>
      <c r="F239" s="4"/>
      <c r="G239" s="7">
        <f t="shared" si="9"/>
        <v>0</v>
      </c>
      <c r="H239" s="4"/>
      <c r="I239" s="4"/>
      <c r="J239" s="4"/>
    </row>
    <row r="240" spans="1:10" s="1" customFormat="1" ht="13.8">
      <c r="A240" s="9" t="str">
        <f>chitiet!B1945</f>
        <v>BM16250</v>
      </c>
      <c r="B240" s="18" t="str">
        <f>IF(E240=0,"",COUNTIF($B$116:$B239,"&gt;0")+1)</f>
        <v/>
      </c>
      <c r="C240" s="37" t="s">
        <v>5042</v>
      </c>
      <c r="D240" s="29" t="s">
        <v>2439</v>
      </c>
      <c r="E240" s="29">
        <f>chitiet!D1945</f>
        <v>0</v>
      </c>
      <c r="F240" s="4"/>
      <c r="G240" s="7">
        <f t="shared" si="9"/>
        <v>0</v>
      </c>
      <c r="H240" s="4"/>
      <c r="I240" s="4"/>
      <c r="J240" s="4"/>
    </row>
    <row r="241" spans="1:10" s="1" customFormat="1" ht="13.8">
      <c r="A241" s="9" t="str">
        <f>chitiet!B1947</f>
        <v>R2</v>
      </c>
      <c r="B241" s="18" t="str">
        <f>IF(E241=0,"",COUNTIF($B$116:$B240,"&gt;0")+1)</f>
        <v/>
      </c>
      <c r="C241" s="37" t="s">
        <v>5043</v>
      </c>
      <c r="D241" s="29" t="s">
        <v>2439</v>
      </c>
      <c r="E241" s="29">
        <f>chitiet!D1947</f>
        <v>0</v>
      </c>
      <c r="F241" s="4"/>
      <c r="G241" s="7">
        <f t="shared" si="9"/>
        <v>0</v>
      </c>
      <c r="H241" s="4"/>
      <c r="I241" s="4"/>
      <c r="J241" s="4"/>
    </row>
    <row r="242" spans="1:10" ht="13.8">
      <c r="A242" s="106" t="str">
        <f>chitiet!B1948</f>
        <v>R3</v>
      </c>
      <c r="B242" s="100" t="str">
        <f>IF(E242=0,"",COUNTIF($B$116:$B241,"&gt;0")+1)</f>
        <v/>
      </c>
      <c r="C242" s="111" t="s">
        <v>5044</v>
      </c>
      <c r="D242" s="112" t="s">
        <v>2439</v>
      </c>
      <c r="E242" s="112">
        <f>chitiet!D1948</f>
        <v>0</v>
      </c>
      <c r="F242" s="91"/>
      <c r="G242" s="99">
        <f>IF(E242&lt;&gt;0,1,0)</f>
        <v>0</v>
      </c>
      <c r="H242" s="91"/>
      <c r="I242" s="91"/>
      <c r="J242" s="91"/>
    </row>
    <row r="243" spans="1:10" s="1" customFormat="1" ht="13.8">
      <c r="A243" s="9" t="str">
        <f>chitiet!B1949</f>
        <v>R4</v>
      </c>
      <c r="B243" s="18" t="str">
        <f>IF(E243=0,"",COUNTIF($B$116:$B241,"&gt;0")+1)</f>
        <v/>
      </c>
      <c r="C243" s="37" t="s">
        <v>5045</v>
      </c>
      <c r="D243" s="29" t="s">
        <v>2439</v>
      </c>
      <c r="E243" s="29">
        <f>chitiet!D1949</f>
        <v>0</v>
      </c>
      <c r="F243" s="4"/>
      <c r="G243" s="7">
        <f>IF(E243&lt;&gt;0,1,0)</f>
        <v>0</v>
      </c>
      <c r="H243" s="4"/>
      <c r="I243" s="4"/>
      <c r="J243" s="4"/>
    </row>
    <row r="244" spans="1:10" s="1" customFormat="1" ht="13.8">
      <c r="A244" s="9" t="str">
        <f>chitiet!B1950</f>
        <v>b16350</v>
      </c>
      <c r="B244" s="18" t="str">
        <f>IF(E244=0,"",COUNTIF($B$116:$B243,"&gt;0")+1)</f>
        <v/>
      </c>
      <c r="C244" s="37" t="e">
        <v>#N/A</v>
      </c>
      <c r="D244" s="29" t="e">
        <v>#N/A</v>
      </c>
      <c r="E244" s="29">
        <f>chitiet!D1950</f>
        <v>0</v>
      </c>
      <c r="F244" s="4"/>
      <c r="G244" s="7">
        <f>IF(E244&lt;&gt;0,1,0)</f>
        <v>0</v>
      </c>
      <c r="H244" s="4"/>
      <c r="I244" s="4"/>
      <c r="J244" s="4"/>
    </row>
    <row r="245" spans="1:10" s="1" customFormat="1" ht="13.8">
      <c r="A245" s="9" t="str">
        <f>chitiet!B1951</f>
        <v>batli</v>
      </c>
      <c r="B245" s="18" t="str">
        <f>IF(E245=0,"",COUNTIF($B$116:$B241,"&gt;0")+1)</f>
        <v/>
      </c>
      <c r="C245" s="37" t="s">
        <v>2691</v>
      </c>
      <c r="D245" s="29" t="s">
        <v>2385</v>
      </c>
      <c r="E245" s="43">
        <f>chitiet!D1951</f>
        <v>0</v>
      </c>
      <c r="F245" s="4"/>
      <c r="G245" s="7">
        <f>IF(E245&lt;&gt;0,1,0)</f>
        <v>0</v>
      </c>
      <c r="H245" s="4"/>
      <c r="I245" s="4"/>
      <c r="J245" s="4"/>
    </row>
    <row r="246" spans="1:10" s="1" customFormat="1" ht="13.8">
      <c r="A246" s="9" t="str">
        <f>chitiet!B1952</f>
        <v>batlA</v>
      </c>
      <c r="B246" s="18" t="str">
        <f>IF(E246=0,"",COUNTIF($B$116:$B242,"&gt;0")+1)</f>
        <v/>
      </c>
      <c r="C246" s="37" t="e">
        <v>#N/A</v>
      </c>
      <c r="D246" s="29" t="e">
        <v>#N/A</v>
      </c>
      <c r="E246" s="43">
        <f>chitiet!D1952</f>
        <v>0</v>
      </c>
      <c r="F246" s="4"/>
      <c r="G246" s="7">
        <f>IF(E246&lt;&gt;0,1,0)</f>
        <v>0</v>
      </c>
      <c r="H246" s="4"/>
      <c r="I246" s="4"/>
      <c r="J246" s="4"/>
    </row>
    <row r="247" spans="1:10" ht="13.8">
      <c r="A247" s="106" t="str">
        <f>chitiet!B1953</f>
        <v>DAYA70</v>
      </c>
      <c r="B247" s="100"/>
      <c r="C247" s="111" t="e">
        <v>#N/A</v>
      </c>
      <c r="D247" s="112" t="e">
        <v>#N/A</v>
      </c>
      <c r="E247" s="768">
        <f>chitiet!D1953</f>
        <v>0</v>
      </c>
      <c r="F247" s="91"/>
      <c r="G247" s="99">
        <f t="shared" si="7"/>
        <v>0</v>
      </c>
      <c r="H247" s="91"/>
      <c r="I247" s="91"/>
      <c r="J247" s="91"/>
    </row>
    <row r="248" spans="1:10" s="1" customFormat="1" ht="13.8">
      <c r="A248" s="9" t="str">
        <f>chitiet!B1958</f>
        <v>bnh</v>
      </c>
      <c r="B248" s="18" t="str">
        <f>IF(E248=0,"",COUNTIF($B$116:$B247,"&gt;0")+1)</f>
        <v/>
      </c>
      <c r="C248" s="37" t="s">
        <v>5046</v>
      </c>
      <c r="D248" s="29" t="s">
        <v>2248</v>
      </c>
      <c r="E248" s="29">
        <f>chitiet!D1958</f>
        <v>0</v>
      </c>
      <c r="F248" s="4"/>
      <c r="G248" s="7">
        <f>IF(E248&lt;&gt;0,1,0)</f>
        <v>0</v>
      </c>
      <c r="H248" s="4"/>
      <c r="I248" s="4"/>
      <c r="J248" s="4"/>
    </row>
    <row r="249" spans="1:10" s="1" customFormat="1" ht="13.8">
      <c r="A249" s="12" t="s">
        <v>1896</v>
      </c>
      <c r="B249" s="15" t="s">
        <v>1897</v>
      </c>
      <c r="C249" s="83" t="s">
        <v>4118</v>
      </c>
      <c r="D249" s="84" t="s">
        <v>2301</v>
      </c>
      <c r="E249" s="29"/>
      <c r="F249" s="4"/>
      <c r="G249" s="7"/>
      <c r="H249" s="4"/>
      <c r="I249" s="4"/>
      <c r="J249" s="4"/>
    </row>
    <row r="250" spans="1:10" s="1" customFormat="1" ht="13.8">
      <c r="A250" s="13">
        <f>chitiet!B2290</f>
        <v>0</v>
      </c>
      <c r="B250" s="18" t="str">
        <f>IF(E250=0,"",COUNTIF($E$250:$E250,"&gt;0"))</f>
        <v/>
      </c>
      <c r="C250" s="16" t="s">
        <v>3283</v>
      </c>
      <c r="D250" s="19" t="s">
        <v>2439</v>
      </c>
      <c r="E250" s="29">
        <f>chitiet!D2290</f>
        <v>0</v>
      </c>
      <c r="F250" s="4"/>
      <c r="G250" s="7">
        <f t="shared" ref="G250:G256" si="10">IF(E250&lt;&gt;0,1,0)</f>
        <v>0</v>
      </c>
      <c r="H250" s="4"/>
      <c r="I250" s="4"/>
      <c r="J250" s="4"/>
    </row>
    <row r="251" spans="1:10" s="1" customFormat="1" ht="13.8">
      <c r="A251" s="13">
        <f>chitiet!B2291</f>
        <v>0</v>
      </c>
      <c r="B251" s="18" t="str">
        <f>IF(E251=0,"",COUNTIF($E$250:$E251,"&gt;0"))</f>
        <v/>
      </c>
      <c r="C251" s="16" t="s">
        <v>3284</v>
      </c>
      <c r="D251" s="19" t="s">
        <v>2439</v>
      </c>
      <c r="E251" s="29">
        <f>chitiet!D2291</f>
        <v>0</v>
      </c>
      <c r="F251" s="4"/>
      <c r="G251" s="7">
        <f t="shared" si="10"/>
        <v>0</v>
      </c>
      <c r="H251" s="4"/>
      <c r="I251" s="4"/>
      <c r="J251" s="4"/>
    </row>
    <row r="252" spans="1:10" s="1" customFormat="1" ht="13.8">
      <c r="A252" s="13">
        <f>chitiet!B2292</f>
        <v>0</v>
      </c>
      <c r="B252" s="18" t="str">
        <f>IF(E252=0,"",COUNTIF($E$250:$E252,"&gt;0"))</f>
        <v/>
      </c>
      <c r="C252" s="16" t="s">
        <v>3285</v>
      </c>
      <c r="D252" s="19" t="s">
        <v>3286</v>
      </c>
      <c r="E252" s="29">
        <f>chitiet!D2292</f>
        <v>0</v>
      </c>
      <c r="F252" s="4"/>
      <c r="G252" s="7">
        <f t="shared" si="10"/>
        <v>0</v>
      </c>
      <c r="H252" s="4"/>
      <c r="I252" s="4"/>
      <c r="J252" s="4"/>
    </row>
    <row r="253" spans="1:10" s="1" customFormat="1" ht="13.8">
      <c r="A253" s="13">
        <f>chitiet!B2293</f>
        <v>0</v>
      </c>
      <c r="B253" s="18" t="str">
        <f>IF(E253=0,"",COUNTIF($E$250:$E253,"&gt;0"))</f>
        <v/>
      </c>
      <c r="C253" s="16" t="s">
        <v>3287</v>
      </c>
      <c r="D253" s="19" t="s">
        <v>2439</v>
      </c>
      <c r="E253" s="29">
        <f>chitiet!D2293</f>
        <v>0</v>
      </c>
      <c r="F253" s="4"/>
      <c r="G253" s="7">
        <f t="shared" si="10"/>
        <v>0</v>
      </c>
      <c r="H253" s="4"/>
      <c r="I253" s="4"/>
      <c r="J253" s="4"/>
    </row>
    <row r="254" spans="1:10" s="1" customFormat="1" ht="13.8">
      <c r="A254" s="13">
        <f>chitiet!B2294</f>
        <v>0</v>
      </c>
      <c r="B254" s="18" t="str">
        <f>IF(E254=0,"",COUNTIF($E$250:$E254,"&gt;0"))</f>
        <v/>
      </c>
      <c r="C254" s="16" t="s">
        <v>3288</v>
      </c>
      <c r="D254" s="19" t="s">
        <v>2439</v>
      </c>
      <c r="E254" s="29">
        <f>chitiet!D2294</f>
        <v>0</v>
      </c>
      <c r="F254" s="4"/>
      <c r="G254" s="7">
        <f t="shared" si="10"/>
        <v>0</v>
      </c>
      <c r="H254" s="4"/>
      <c r="I254" s="4"/>
      <c r="J254" s="4"/>
    </row>
    <row r="255" spans="1:10" s="1" customFormat="1" ht="13.8">
      <c r="A255" s="13">
        <f>chitiet!B2295</f>
        <v>0</v>
      </c>
      <c r="B255" s="18" t="str">
        <f>IF(E255=0,"",COUNTIF($E$250:$E255,"&gt;0"))</f>
        <v/>
      </c>
      <c r="C255" s="16" t="s">
        <v>3289</v>
      </c>
      <c r="D255" s="19" t="s">
        <v>2439</v>
      </c>
      <c r="E255" s="29">
        <f>chitiet!D2295</f>
        <v>0</v>
      </c>
      <c r="F255" s="4"/>
      <c r="G255" s="7">
        <f t="shared" si="10"/>
        <v>0</v>
      </c>
      <c r="H255" s="4"/>
      <c r="I255" s="4"/>
      <c r="J255" s="4"/>
    </row>
    <row r="256" spans="1:10" s="1" customFormat="1" ht="13.8">
      <c r="A256" s="13">
        <f>chitiet!B2296</f>
        <v>0</v>
      </c>
      <c r="B256" s="18" t="str">
        <f>IF(E256=0,"",COUNTIF($E$250:$E256,"&gt;0"))</f>
        <v/>
      </c>
      <c r="C256" s="16" t="s">
        <v>3290</v>
      </c>
      <c r="D256" s="19" t="s">
        <v>2555</v>
      </c>
      <c r="E256" s="29">
        <f>chitiet!D2296</f>
        <v>0</v>
      </c>
      <c r="F256" s="4"/>
      <c r="G256" s="7">
        <f t="shared" si="10"/>
        <v>0</v>
      </c>
      <c r="H256" s="4"/>
      <c r="I256" s="4"/>
      <c r="J256" s="4"/>
    </row>
    <row r="257" spans="1:10" s="1" customFormat="1" ht="13.8">
      <c r="A257" s="12" t="s">
        <v>1896</v>
      </c>
      <c r="B257" s="15" t="s">
        <v>1897</v>
      </c>
      <c r="C257" s="83" t="s">
        <v>2302</v>
      </c>
      <c r="D257" s="84" t="s">
        <v>2301</v>
      </c>
      <c r="E257" s="29"/>
      <c r="F257" s="4"/>
      <c r="G257" s="7">
        <f>IF(E257&lt;&gt;0,1,0)</f>
        <v>0</v>
      </c>
      <c r="H257" s="4"/>
      <c r="I257" s="4"/>
      <c r="J257" s="4"/>
    </row>
    <row r="258" spans="1:10" s="1" customFormat="1" ht="13.8">
      <c r="A258" s="13" t="str">
        <f>chitiet!B2320</f>
        <v>LTD</v>
      </c>
      <c r="B258" s="18" t="str">
        <f>IF(E258=0,"",COUNTIF($B$257:$B257,"&gt;0")+1)</f>
        <v/>
      </c>
      <c r="C258" s="16" t="s">
        <v>1187</v>
      </c>
      <c r="D258" s="19" t="s">
        <v>2555</v>
      </c>
      <c r="E258" s="29">
        <f>chitiet!D2320</f>
        <v>0</v>
      </c>
      <c r="F258" s="4"/>
      <c r="G258" s="7">
        <f t="shared" ref="G258:G274" si="11">IF(E258&lt;&gt;0,1,0)</f>
        <v>0</v>
      </c>
      <c r="H258" s="4"/>
      <c r="I258" s="4"/>
      <c r="J258" s="4"/>
    </row>
    <row r="259" spans="1:10" s="1" customFormat="1" ht="13.8">
      <c r="A259" s="13" t="str">
        <f>chitiet!B2321</f>
        <v>lbfco100-22</v>
      </c>
      <c r="B259" s="18" t="str">
        <f>IF(E259=0,"",COUNTIF($B$257:$B258,"&gt;0")+1)</f>
        <v/>
      </c>
      <c r="C259" s="16" t="s">
        <v>1256</v>
      </c>
      <c r="D259" s="19" t="s">
        <v>2555</v>
      </c>
      <c r="E259" s="29">
        <f>chitiet!D2321</f>
        <v>0</v>
      </c>
      <c r="F259" s="4"/>
      <c r="G259" s="7">
        <f>IF(E259&lt;&gt;0,1,0)</f>
        <v>0</v>
      </c>
      <c r="H259" s="4"/>
      <c r="I259" s="4"/>
      <c r="J259" s="4"/>
    </row>
    <row r="260" spans="1:10" s="1" customFormat="1" ht="13.8">
      <c r="A260" s="13" t="str">
        <f>chitiet!B2323</f>
        <v>lbfco200-22</v>
      </c>
      <c r="B260" s="18" t="str">
        <f>IF(E260=0,"",COUNTIF($B$257:$B259,"&gt;0")+1)</f>
        <v/>
      </c>
      <c r="C260" s="16" t="s">
        <v>1255</v>
      </c>
      <c r="D260" s="19" t="s">
        <v>2555</v>
      </c>
      <c r="E260" s="29">
        <f>chitiet!D2323</f>
        <v>0</v>
      </c>
      <c r="F260" s="4"/>
      <c r="G260" s="7">
        <f>IF(E260&lt;&gt;0,1,0)</f>
        <v>0</v>
      </c>
      <c r="H260" s="4"/>
      <c r="I260" s="4"/>
      <c r="J260" s="4"/>
    </row>
    <row r="261" spans="1:10" s="1" customFormat="1" ht="13.8">
      <c r="A261" s="13" t="str">
        <f>chitiet!B2324</f>
        <v>chi100K</v>
      </c>
      <c r="B261" s="18" t="str">
        <f>IF(E261=0,"",COUNTIF($B$257:$B260,"&gt;0")+1)</f>
        <v/>
      </c>
      <c r="C261" s="16" t="s">
        <v>3435</v>
      </c>
      <c r="D261" s="19" t="s">
        <v>2600</v>
      </c>
      <c r="E261" s="29">
        <f>(chitiet!D2324)</f>
        <v>0</v>
      </c>
      <c r="F261" s="4"/>
      <c r="G261" s="7">
        <f t="shared" si="11"/>
        <v>0</v>
      </c>
      <c r="H261" s="4"/>
      <c r="I261" s="4"/>
      <c r="J261" s="4"/>
    </row>
    <row r="262" spans="1:10" s="1" customFormat="1" ht="13.8">
      <c r="A262" s="13" t="str">
        <f>chitiet!B2325</f>
        <v>FCO200-22</v>
      </c>
      <c r="B262" s="18">
        <f>IF(E262=0,"",COUNTIF($B$257:$B261,"&gt;0")+1)</f>
        <v>1</v>
      </c>
      <c r="C262" s="16" t="s">
        <v>2030</v>
      </c>
      <c r="D262" s="19" t="s">
        <v>2555</v>
      </c>
      <c r="E262" s="29">
        <f>chitiet!D2325</f>
        <v>3</v>
      </c>
      <c r="F262" s="4"/>
      <c r="G262" s="7">
        <f t="shared" si="11"/>
        <v>1</v>
      </c>
      <c r="H262" s="4"/>
      <c r="I262" s="4"/>
      <c r="J262" s="4"/>
    </row>
    <row r="263" spans="1:10" s="1" customFormat="1" ht="13.8">
      <c r="A263" s="13" t="str">
        <f>chitiet!B2326</f>
        <v>FCO100-22</v>
      </c>
      <c r="B263" s="18">
        <f>IF(E263=0,"",COUNTIF($B$116:$B261,"&gt;0")+1)</f>
        <v>4</v>
      </c>
      <c r="C263" s="16" t="s">
        <v>95</v>
      </c>
      <c r="D263" s="19" t="s">
        <v>2555</v>
      </c>
      <c r="E263" s="29">
        <f>chitiet!D2326</f>
        <v>1</v>
      </c>
      <c r="F263" s="4"/>
      <c r="G263" s="7">
        <f t="shared" si="11"/>
        <v>1</v>
      </c>
      <c r="H263" s="4"/>
      <c r="I263" s="4"/>
      <c r="J263" s="4"/>
    </row>
    <row r="264" spans="1:10" s="1" customFormat="1" ht="13.8">
      <c r="A264" s="13" t="str">
        <f>chitiet!B2327</f>
        <v>chi3k</v>
      </c>
      <c r="B264" s="18">
        <f>IF(E264=0,"",COUNTIF($B$116:$B263,"&gt;0")+1)</f>
        <v>6</v>
      </c>
      <c r="C264" s="16" t="s">
        <v>3424</v>
      </c>
      <c r="D264" s="19" t="s">
        <v>2600</v>
      </c>
      <c r="E264" s="29">
        <f>chitiet!D2327</f>
        <v>1</v>
      </c>
      <c r="F264" s="4"/>
      <c r="G264" s="7">
        <f t="shared" si="11"/>
        <v>1</v>
      </c>
      <c r="H264" s="4"/>
      <c r="I264" s="4"/>
      <c r="J264" s="4"/>
    </row>
    <row r="265" spans="1:10" s="1" customFormat="1" ht="13.8">
      <c r="A265" s="13" t="str">
        <f>chitiet!B2329</f>
        <v>chi50k</v>
      </c>
      <c r="B265" s="18" t="str">
        <f>IF(E265=0,"",COUNTIF($B$116:$B264,"&gt;0")+1)</f>
        <v/>
      </c>
      <c r="C265" s="16" t="s">
        <v>3426</v>
      </c>
      <c r="D265" s="19" t="s">
        <v>2600</v>
      </c>
      <c r="E265" s="29">
        <f>chitiet!D2329</f>
        <v>0</v>
      </c>
      <c r="F265" s="4"/>
      <c r="G265" s="7">
        <f>IF(E265&lt;&gt;0,1,0)</f>
        <v>0</v>
      </c>
      <c r="H265" s="4"/>
      <c r="I265" s="4"/>
      <c r="J265" s="4"/>
    </row>
    <row r="266" spans="1:10" s="1" customFormat="1" ht="13.8">
      <c r="A266" s="13" t="str">
        <f>chitiet!B2330</f>
        <v>tu22</v>
      </c>
      <c r="B266" s="18" t="str">
        <f>IF(E266=0,"",COUNTIF($B$257:$B264,"&gt;0")+1)</f>
        <v/>
      </c>
      <c r="C266" s="16" t="s">
        <v>3367</v>
      </c>
      <c r="D266" s="19" t="s">
        <v>2555</v>
      </c>
      <c r="E266" s="29">
        <f>(chitiet!D2330)</f>
        <v>0</v>
      </c>
      <c r="F266" s="4"/>
      <c r="G266" s="7">
        <f>IF(E266&lt;&gt;0,1,0)</f>
        <v>0</v>
      </c>
      <c r="H266" s="4"/>
      <c r="I266" s="4"/>
      <c r="J266" s="4"/>
    </row>
    <row r="267" spans="1:10" s="1" customFormat="1" ht="13.8">
      <c r="A267" s="13" t="str">
        <f>chitiet!B2331</f>
        <v>ti20</v>
      </c>
      <c r="B267" s="18" t="str">
        <f>IF(E267=0,"",COUNTIF($B$257:$B266,"&gt;0")+1)</f>
        <v/>
      </c>
      <c r="C267" s="16" t="s">
        <v>3346</v>
      </c>
      <c r="D267" s="19" t="s">
        <v>2555</v>
      </c>
      <c r="E267" s="29">
        <f>chitiet!D2331</f>
        <v>0</v>
      </c>
      <c r="F267" s="4"/>
      <c r="G267" s="7">
        <f>IF(E267&lt;&gt;0,1,0)</f>
        <v>0</v>
      </c>
      <c r="H267" s="4"/>
      <c r="I267" s="4"/>
      <c r="J267" s="4"/>
    </row>
    <row r="268" spans="1:10" s="1" customFormat="1" ht="13.8">
      <c r="A268" s="13" t="str">
        <f>chitiet!B2332</f>
        <v>dk3dt</v>
      </c>
      <c r="B268" s="18" t="str">
        <f>IF(E268=0,"",COUNTIF($B$257:$B267,"&gt;0")+1)</f>
        <v/>
      </c>
      <c r="C268" s="16" t="s">
        <v>3442</v>
      </c>
      <c r="D268" s="19" t="s">
        <v>2555</v>
      </c>
      <c r="E268" s="29">
        <f>chitiet!D2332</f>
        <v>0</v>
      </c>
      <c r="F268" s="4"/>
      <c r="G268" s="7">
        <f>IF(E268&lt;&gt;0,1,0)</f>
        <v>0</v>
      </c>
      <c r="H268" s="4"/>
      <c r="I268" s="4"/>
      <c r="J268" s="4"/>
    </row>
    <row r="269" spans="1:10" s="1" customFormat="1" ht="13.8">
      <c r="A269" s="13" t="str">
        <f>chitiet!B2333</f>
        <v>DS1P</v>
      </c>
      <c r="B269" s="18" t="str">
        <f>IF(E269=0,"",COUNTIF($B$257:$B268,"&gt;0")+1)</f>
        <v/>
      </c>
      <c r="C269" s="16" t="s">
        <v>1218</v>
      </c>
      <c r="D269" s="19" t="s">
        <v>2439</v>
      </c>
      <c r="E269" s="29">
        <f>chitiet!D2333</f>
        <v>0</v>
      </c>
      <c r="F269" s="4"/>
      <c r="G269" s="7">
        <f t="shared" si="11"/>
        <v>0</v>
      </c>
      <c r="H269" s="4"/>
      <c r="I269" s="4"/>
      <c r="J269" s="4"/>
    </row>
    <row r="270" spans="1:10" s="1" customFormat="1" ht="13.8">
      <c r="A270" s="13" t="str">
        <f>chitiet!B2334</f>
        <v>DS3P</v>
      </c>
      <c r="B270" s="18" t="str">
        <f>IF(E270=0,"",COUNTIF($B$257:$B269,"&gt;0")+1)</f>
        <v/>
      </c>
      <c r="C270" s="16" t="s">
        <v>1593</v>
      </c>
      <c r="D270" s="19" t="s">
        <v>2439</v>
      </c>
      <c r="E270" s="29">
        <f>chitiet!D2334</f>
        <v>0</v>
      </c>
      <c r="F270" s="4"/>
      <c r="G270" s="7">
        <f t="shared" si="11"/>
        <v>0</v>
      </c>
      <c r="H270" s="4"/>
      <c r="I270" s="4"/>
      <c r="J270" s="4"/>
    </row>
    <row r="271" spans="1:10" s="1" customFormat="1" ht="13.8">
      <c r="A271" s="13" t="str">
        <f>chitiet!B2335</f>
        <v>LBS 16</v>
      </c>
      <c r="B271" s="18" t="str">
        <f>IF(E271=0,"",COUNTIF($B$257:$B270,"&gt;0")+1)</f>
        <v/>
      </c>
      <c r="C271" s="16" t="s">
        <v>1702</v>
      </c>
      <c r="D271" s="19" t="s">
        <v>2439</v>
      </c>
      <c r="E271" s="29">
        <f>chitiet!D2335</f>
        <v>0</v>
      </c>
      <c r="F271" s="4"/>
      <c r="G271" s="7">
        <f t="shared" si="11"/>
        <v>0</v>
      </c>
      <c r="H271" s="4"/>
      <c r="I271" s="4"/>
      <c r="J271" s="4"/>
    </row>
    <row r="272" spans="1:10" s="1" customFormat="1" ht="13.8">
      <c r="A272" s="13" t="str">
        <f>chitiet!B2336</f>
        <v>Rec</v>
      </c>
      <c r="B272" s="18" t="str">
        <f>IF(E272=0,"",COUNTIF($B$257:$B271,"&gt;0")+1)</f>
        <v/>
      </c>
      <c r="C272" s="38" t="s">
        <v>2057</v>
      </c>
      <c r="D272" s="39" t="s">
        <v>2439</v>
      </c>
      <c r="E272" s="29">
        <f>chitiet!D2336</f>
        <v>0</v>
      </c>
      <c r="F272" s="4"/>
      <c r="G272" s="7">
        <f t="shared" si="11"/>
        <v>0</v>
      </c>
      <c r="H272" s="4"/>
      <c r="I272" s="4"/>
      <c r="J272" s="4"/>
    </row>
    <row r="273" spans="1:10" s="1" customFormat="1" ht="13.8">
      <c r="A273" s="13" t="str">
        <f>chitiet!B2339</f>
        <v>batLI</v>
      </c>
      <c r="B273" s="18" t="str">
        <f>IF(E273=0,"",COUNTIF($B$257:$B272,"&gt;0")+1)</f>
        <v/>
      </c>
      <c r="C273" s="16" t="s">
        <v>2691</v>
      </c>
      <c r="D273" s="19" t="s">
        <v>2385</v>
      </c>
      <c r="E273" s="29">
        <f>chitiet!D2339</f>
        <v>0</v>
      </c>
      <c r="F273" s="4"/>
      <c r="G273" s="7">
        <f t="shared" si="11"/>
        <v>0</v>
      </c>
      <c r="H273" s="4"/>
      <c r="I273" s="4"/>
      <c r="J273" s="4"/>
    </row>
    <row r="274" spans="1:10" s="1" customFormat="1" ht="13.8">
      <c r="A274" s="13" t="str">
        <f>chitiet!B2340</f>
        <v>chfco</v>
      </c>
      <c r="B274" s="18" t="str">
        <f>IF(E274=0,"",COUNTIF($B$257:$B273,"&gt;0")+1)</f>
        <v/>
      </c>
      <c r="C274" s="38" t="s">
        <v>3503</v>
      </c>
      <c r="D274" s="39" t="s">
        <v>2439</v>
      </c>
      <c r="E274" s="29">
        <f>chitiet!D2340</f>
        <v>0</v>
      </c>
      <c r="F274" s="4"/>
      <c r="G274" s="7">
        <f t="shared" si="11"/>
        <v>0</v>
      </c>
      <c r="H274" s="4"/>
      <c r="I274" s="4"/>
      <c r="J274" s="4"/>
    </row>
    <row r="275" spans="1:10" s="1" customFormat="1" ht="13.8">
      <c r="A275" s="13">
        <f>chitiet!A2341</f>
        <v>159</v>
      </c>
      <c r="B275" s="15" t="s">
        <v>1663</v>
      </c>
      <c r="C275" s="83" t="s">
        <v>2570</v>
      </c>
      <c r="D275" s="84" t="s">
        <v>2301</v>
      </c>
      <c r="E275" s="29"/>
      <c r="F275" s="4"/>
      <c r="G275" s="7"/>
      <c r="H275" s="4"/>
      <c r="I275" s="4"/>
      <c r="J275" s="4"/>
    </row>
    <row r="276" spans="1:10" s="1" customFormat="1" ht="13.8">
      <c r="A276" s="13" t="str">
        <f>chitiet!B2342</f>
        <v>CVV4X4</v>
      </c>
      <c r="B276" s="18">
        <f>IF(E276=0,"",COUNTIF($B$275:$B275,"&gt;0")+1)</f>
        <v>1</v>
      </c>
      <c r="C276" s="16" t="s">
        <v>2784</v>
      </c>
      <c r="D276" s="19" t="s">
        <v>2532</v>
      </c>
      <c r="E276" s="29">
        <f>chitiet!D2342</f>
        <v>26</v>
      </c>
      <c r="F276" s="4"/>
      <c r="G276" s="7">
        <f>IF(E276&lt;&gt;0,1,0)</f>
        <v>1</v>
      </c>
      <c r="H276" s="4"/>
      <c r="I276" s="4"/>
      <c r="J276" s="4"/>
    </row>
    <row r="277" spans="1:10" s="1" customFormat="1" ht="13.8">
      <c r="A277" s="13" t="str">
        <f>chitiet!B2343</f>
        <v>xAtuti</v>
      </c>
      <c r="B277" s="18">
        <f>IF(E277=0,"",COUNTIF($B$275:$B276,"&gt;0")+1)</f>
        <v>2</v>
      </c>
      <c r="C277" s="16" t="s">
        <v>3594</v>
      </c>
      <c r="D277" s="19" t="s">
        <v>2385</v>
      </c>
      <c r="E277" s="29">
        <f>chitiet!D2343</f>
        <v>24</v>
      </c>
      <c r="F277" s="4"/>
      <c r="G277" s="7">
        <f>IF(E277&lt;&gt;0,1,0)</f>
        <v>1</v>
      </c>
      <c r="H277" s="4"/>
      <c r="I277" s="4"/>
      <c r="J277" s="4"/>
    </row>
    <row r="278" spans="1:10" s="1" customFormat="1" ht="13.8">
      <c r="A278" s="13" t="str">
        <f>chitiet!B2344</f>
        <v>batLI</v>
      </c>
      <c r="B278" s="18" t="str">
        <f>IF(E278=0,"",COUNTIF($B$275:$B277,"&gt;0")+1)</f>
        <v/>
      </c>
      <c r="C278" s="16" t="s">
        <v>2691</v>
      </c>
      <c r="D278" s="19" t="s">
        <v>2385</v>
      </c>
      <c r="E278" s="29">
        <f>chitiet!D2344</f>
        <v>0</v>
      </c>
      <c r="F278" s="4"/>
      <c r="G278" s="7">
        <f>IF(E278&lt;&gt;0,1,0)</f>
        <v>0</v>
      </c>
      <c r="H278" s="4"/>
      <c r="I278" s="4"/>
      <c r="J278" s="4"/>
    </row>
    <row r="279" spans="1:10" s="1" customFormat="1" ht="13.8">
      <c r="A279" s="13" t="str">
        <f>chitiet!B2345</f>
        <v>COS2,5</v>
      </c>
      <c r="B279" s="18">
        <f>IF(E279=0,"",COUNTIF($B$275:$B277,"&gt;0")+1)</f>
        <v>3</v>
      </c>
      <c r="C279" s="16" t="s">
        <v>3471</v>
      </c>
      <c r="D279" s="19" t="s">
        <v>2555</v>
      </c>
      <c r="E279" s="29">
        <f>chitiet!D2345</f>
        <v>16</v>
      </c>
      <c r="F279" s="4"/>
      <c r="G279" s="7">
        <f t="shared" ref="G279:G299" si="12">IF(E279&lt;&gt;0,1,0)</f>
        <v>1</v>
      </c>
      <c r="H279" s="4"/>
      <c r="I279" s="4"/>
      <c r="J279" s="4"/>
    </row>
    <row r="280" spans="1:10" s="1" customFormat="1" ht="13.8">
      <c r="A280" s="13" t="str">
        <f>chitiet!B2346</f>
        <v>D16/10</v>
      </c>
      <c r="B280" s="18">
        <f>IF(E280=0,"",COUNTIF($B$275:$B279,"&gt;0")+1)</f>
        <v>4</v>
      </c>
      <c r="C280" s="16" t="s">
        <v>3515</v>
      </c>
      <c r="D280" s="19" t="s">
        <v>2532</v>
      </c>
      <c r="E280" s="29">
        <f>chitiet!D2346</f>
        <v>6</v>
      </c>
      <c r="F280" s="4"/>
      <c r="G280" s="7">
        <f t="shared" si="12"/>
        <v>1</v>
      </c>
      <c r="H280" s="4"/>
      <c r="I280" s="4"/>
      <c r="J280" s="4"/>
    </row>
    <row r="281" spans="1:10" s="1" customFormat="1" ht="13.8">
      <c r="A281" s="13" t="str">
        <f>chitiet!B2347</f>
        <v>oxc25</v>
      </c>
      <c r="B281" s="18">
        <f>IF(E281=0,"",COUNTIF($B$275:$B280,"&gt;0")+1)</f>
        <v>5</v>
      </c>
      <c r="C281" s="16" t="s">
        <v>3581</v>
      </c>
      <c r="D281" s="19" t="s">
        <v>2555</v>
      </c>
      <c r="E281" s="29">
        <f>chitiet!D2347</f>
        <v>3</v>
      </c>
      <c r="F281" s="4"/>
      <c r="G281" s="7">
        <f t="shared" si="12"/>
        <v>1</v>
      </c>
      <c r="H281" s="4"/>
      <c r="I281" s="4"/>
      <c r="J281" s="4"/>
    </row>
    <row r="282" spans="1:10" s="1" customFormat="1" ht="13.8">
      <c r="A282" s="13" t="str">
        <f>chitiet!B2348</f>
        <v>PVC42</v>
      </c>
      <c r="B282" s="18">
        <f>IF(E282=0,"",COUNTIF($B$275:$B281,"&gt;0")+1)</f>
        <v>6</v>
      </c>
      <c r="C282" s="16" t="s">
        <v>3535</v>
      </c>
      <c r="D282" s="19" t="s">
        <v>1823</v>
      </c>
      <c r="E282" s="29">
        <f>chitiet!D2348</f>
        <v>18</v>
      </c>
      <c r="F282" s="4"/>
      <c r="G282" s="7">
        <f t="shared" si="12"/>
        <v>1</v>
      </c>
      <c r="H282" s="4"/>
      <c r="I282" s="4"/>
      <c r="J282" s="4"/>
    </row>
    <row r="283" spans="1:10" s="1" customFormat="1" ht="13.8">
      <c r="A283" s="13" t="str">
        <f>chitiet!B2349</f>
        <v>CD25x2</v>
      </c>
      <c r="B283" s="18">
        <f>IF(E283=0,"",COUNTIF($B$275:$B282,"&gt;0")+1)</f>
        <v>7</v>
      </c>
      <c r="C283" s="16" t="s">
        <v>2978</v>
      </c>
      <c r="D283" s="19" t="s">
        <v>2439</v>
      </c>
      <c r="E283" s="29">
        <f>chitiet!D2349</f>
        <v>4</v>
      </c>
      <c r="F283" s="4"/>
      <c r="G283" s="7">
        <f t="shared" si="12"/>
        <v>1</v>
      </c>
      <c r="H283" s="4"/>
      <c r="I283" s="4"/>
      <c r="J283" s="4"/>
    </row>
    <row r="284" spans="1:10" s="1" customFormat="1" ht="13.8">
      <c r="A284" s="13" t="str">
        <f>chitiet!B2350</f>
        <v>CUT42</v>
      </c>
      <c r="B284" s="18">
        <f>IF(E284=0,"",COUNTIF($B$275:$B283,"&gt;0")+1)</f>
        <v>8</v>
      </c>
      <c r="C284" s="16" t="s">
        <v>3542</v>
      </c>
      <c r="D284" s="19" t="s">
        <v>2555</v>
      </c>
      <c r="E284" s="29">
        <f>chitiet!D2350</f>
        <v>8</v>
      </c>
      <c r="F284" s="4"/>
      <c r="G284" s="7">
        <f t="shared" si="12"/>
        <v>1</v>
      </c>
      <c r="H284" s="4"/>
      <c r="I284" s="4"/>
      <c r="J284" s="4"/>
    </row>
    <row r="285" spans="1:10" s="1" customFormat="1" ht="13.8">
      <c r="A285" s="13" t="str">
        <f>chitiet!B2351</f>
        <v>CUT42T</v>
      </c>
      <c r="B285" s="18">
        <f>IF(E285=0,"",COUNTIF($B$275:$B284,"&gt;0")+1)</f>
        <v>9</v>
      </c>
      <c r="C285" s="38" t="s">
        <v>3543</v>
      </c>
      <c r="D285" s="39" t="s">
        <v>2555</v>
      </c>
      <c r="E285" s="29">
        <f>chitiet!D2351</f>
        <v>4</v>
      </c>
      <c r="F285" s="4"/>
      <c r="G285" s="7">
        <f t="shared" si="12"/>
        <v>1</v>
      </c>
      <c r="H285" s="4"/>
      <c r="I285" s="4"/>
      <c r="J285" s="4"/>
    </row>
    <row r="286" spans="1:10" s="1" customFormat="1" ht="13.8">
      <c r="A286" s="13" t="str">
        <f>chitiet!B2352</f>
        <v>NPVC42</v>
      </c>
      <c r="B286" s="18">
        <f>IF(E286=0,"",COUNTIF($B$275:$B285,"&gt;0")+1)</f>
        <v>10</v>
      </c>
      <c r="C286" s="16" t="s">
        <v>3556</v>
      </c>
      <c r="D286" s="19" t="s">
        <v>2555</v>
      </c>
      <c r="E286" s="29">
        <f>chitiet!D2352</f>
        <v>2</v>
      </c>
      <c r="F286" s="4"/>
      <c r="G286" s="7">
        <f t="shared" si="12"/>
        <v>1</v>
      </c>
      <c r="H286" s="4"/>
      <c r="I286" s="4"/>
      <c r="J286" s="4"/>
    </row>
    <row r="287" spans="1:10" s="1" customFormat="1" ht="13.8">
      <c r="A287" s="13" t="str">
        <f>chitiet!B2353</f>
        <v>XLPE25</v>
      </c>
      <c r="B287" s="18">
        <f>IF(E287=0,"",COUNTIF($B$275:$B286,"&gt;0")+1)</f>
        <v>11</v>
      </c>
      <c r="C287" s="16" t="s">
        <v>2706</v>
      </c>
      <c r="D287" s="19" t="s">
        <v>2532</v>
      </c>
      <c r="E287" s="29">
        <f>chitiet!D2353</f>
        <v>6</v>
      </c>
      <c r="F287" s="4"/>
      <c r="G287" s="7">
        <f t="shared" si="12"/>
        <v>1</v>
      </c>
      <c r="H287" s="4"/>
      <c r="I287" s="4"/>
      <c r="J287" s="4"/>
    </row>
    <row r="288" spans="1:10" s="1" customFormat="1" ht="13.8">
      <c r="A288" s="13" t="str">
        <f>chitiet!B2354</f>
        <v>KEO</v>
      </c>
      <c r="B288" s="18">
        <f>IF(E288=0,"",COUNTIF($B$275:$B287,"&gt;0")+1)</f>
        <v>12</v>
      </c>
      <c r="C288" s="16" t="s">
        <v>3572</v>
      </c>
      <c r="D288" s="19" t="s">
        <v>388</v>
      </c>
      <c r="E288" s="29">
        <f>chitiet!D2354</f>
        <v>2</v>
      </c>
      <c r="F288" s="4"/>
      <c r="G288" s="7">
        <f t="shared" si="12"/>
        <v>1</v>
      </c>
      <c r="H288" s="4"/>
      <c r="I288" s="4"/>
      <c r="J288" s="4"/>
    </row>
    <row r="289" spans="1:10" s="1" customFormat="1" ht="13.8">
      <c r="A289" s="13" t="str">
        <f>chitiet!B2355</f>
        <v>BANGKEO</v>
      </c>
      <c r="B289" s="18">
        <f>IF(E289=0,"",COUNTIF($B$275:$B288,"&gt;0")+1)</f>
        <v>13</v>
      </c>
      <c r="C289" s="16" t="s">
        <v>3565</v>
      </c>
      <c r="D289" s="19" t="s">
        <v>3566</v>
      </c>
      <c r="E289" s="29">
        <f>chitiet!D2355</f>
        <v>2</v>
      </c>
      <c r="F289" s="4"/>
      <c r="G289" s="7">
        <f t="shared" si="12"/>
        <v>1</v>
      </c>
      <c r="H289" s="4"/>
      <c r="I289" s="4"/>
      <c r="J289" s="4"/>
    </row>
    <row r="290" spans="1:10" s="1" customFormat="1" ht="13.8">
      <c r="A290" s="13" t="str">
        <f>chitiet!B2356</f>
        <v>KVRT42</v>
      </c>
      <c r="B290" s="18">
        <f>IF(E290=0,"",COUNTIF($B$275:$B289,"&gt;0")+1)</f>
        <v>14</v>
      </c>
      <c r="C290" s="16" t="s">
        <v>3573</v>
      </c>
      <c r="D290" s="19" t="s">
        <v>2555</v>
      </c>
      <c r="E290" s="29">
        <f>chitiet!D2356</f>
        <v>4</v>
      </c>
      <c r="F290" s="4"/>
      <c r="G290" s="7">
        <f t="shared" si="12"/>
        <v>1</v>
      </c>
      <c r="H290" s="4"/>
      <c r="I290" s="4"/>
      <c r="J290" s="4"/>
    </row>
    <row r="291" spans="1:10" s="1" customFormat="1" ht="13.8">
      <c r="A291" s="13" t="str">
        <f>chitiet!B2357</f>
        <v>KVRN42</v>
      </c>
      <c r="B291" s="18">
        <f>IF(E291=0,"",COUNTIF($B$275:$B290,"&gt;0")+1)</f>
        <v>15</v>
      </c>
      <c r="C291" s="38" t="s">
        <v>3577</v>
      </c>
      <c r="D291" s="39" t="s">
        <v>2555</v>
      </c>
      <c r="E291" s="29">
        <f>chitiet!D2357</f>
        <v>4</v>
      </c>
      <c r="F291" s="4"/>
      <c r="G291" s="7">
        <f t="shared" si="12"/>
        <v>1</v>
      </c>
      <c r="H291" s="4"/>
      <c r="I291" s="4"/>
      <c r="J291" s="4"/>
    </row>
    <row r="292" spans="1:10" s="1" customFormat="1" ht="13.8">
      <c r="A292" s="13" t="str">
        <f>chitiet!B2358</f>
        <v>bangnhua</v>
      </c>
      <c r="B292" s="18">
        <f>IF(E292=0,"",COUNTIF($B$275:$B291,"&gt;0")+1)</f>
        <v>16</v>
      </c>
      <c r="C292" s="16" t="s">
        <v>3564</v>
      </c>
      <c r="D292" s="19" t="s">
        <v>2555</v>
      </c>
      <c r="E292" s="29">
        <f>chitiet!D2358</f>
        <v>2</v>
      </c>
      <c r="F292" s="4"/>
      <c r="G292" s="7">
        <f t="shared" si="12"/>
        <v>1</v>
      </c>
      <c r="H292" s="4"/>
      <c r="I292" s="4"/>
      <c r="J292" s="4"/>
    </row>
    <row r="293" spans="1:10" s="1" customFormat="1" ht="13.8">
      <c r="A293" s="13" t="str">
        <f>chitiet!B2359</f>
        <v>TUDKDT</v>
      </c>
      <c r="B293" s="18">
        <f>IF(E293=0,"",COUNTIF($B$275:$B292,"&gt;0")+1)</f>
        <v>17</v>
      </c>
      <c r="C293" s="38" t="s">
        <v>3394</v>
      </c>
      <c r="D293" s="39" t="s">
        <v>2555</v>
      </c>
      <c r="E293" s="29">
        <f>chitiet!D2359</f>
        <v>1</v>
      </c>
      <c r="F293" s="4"/>
      <c r="G293" s="7">
        <f t="shared" si="12"/>
        <v>1</v>
      </c>
      <c r="H293" s="4"/>
      <c r="I293" s="4"/>
      <c r="J293" s="4"/>
    </row>
    <row r="294" spans="1:10" s="1" customFormat="1" ht="13.8">
      <c r="A294" s="13" t="str">
        <f>chitiet!B2360</f>
        <v>cd320</v>
      </c>
      <c r="B294" s="18">
        <f>IF(E294=0,"",COUNTIF($B$275:$B293,"&gt;0")+1)</f>
        <v>18</v>
      </c>
      <c r="C294" s="38" t="s">
        <v>2969</v>
      </c>
      <c r="D294" s="39" t="s">
        <v>2439</v>
      </c>
      <c r="E294" s="29">
        <f>chitiet!D2360</f>
        <v>2</v>
      </c>
      <c r="F294" s="4"/>
      <c r="G294" s="7">
        <f>IF(E294&lt;&gt;0,1,0)</f>
        <v>1</v>
      </c>
      <c r="H294" s="4"/>
      <c r="I294" s="4"/>
      <c r="J294" s="4"/>
    </row>
    <row r="295" spans="1:10" s="1" customFormat="1" ht="13.8">
      <c r="A295" s="13" t="str">
        <f>chitiet!B2361</f>
        <v>keobit</v>
      </c>
      <c r="B295" s="18">
        <f>IF(E295=0,"",COUNTIF($B$275:$B293,"&gt;0")+1)</f>
        <v>18</v>
      </c>
      <c r="C295" s="38" t="s">
        <v>3567</v>
      </c>
      <c r="D295" s="39" t="s">
        <v>3568</v>
      </c>
      <c r="E295" s="29">
        <f>chitiet!D2361</f>
        <v>4</v>
      </c>
      <c r="F295" s="4"/>
      <c r="G295" s="7">
        <f t="shared" si="12"/>
        <v>1</v>
      </c>
      <c r="H295" s="4"/>
      <c r="I295" s="4"/>
      <c r="J295" s="4"/>
    </row>
    <row r="296" spans="1:10" s="1" customFormat="1" ht="13.8">
      <c r="A296" s="13" t="str">
        <f>chitiet!B2362</f>
        <v>M5M</v>
      </c>
      <c r="B296" s="18">
        <f>IF(E296=0,"",COUNTIF($B$275:$B295,"&gt;0")+1)</f>
        <v>20</v>
      </c>
      <c r="C296" s="16" t="s">
        <v>2785</v>
      </c>
      <c r="D296" s="19" t="s">
        <v>2532</v>
      </c>
      <c r="E296" s="29">
        <f>chitiet!D2362</f>
        <v>4</v>
      </c>
      <c r="F296" s="4"/>
      <c r="G296" s="7">
        <f t="shared" si="12"/>
        <v>1</v>
      </c>
      <c r="H296" s="4"/>
      <c r="I296" s="4"/>
      <c r="J296" s="4"/>
    </row>
    <row r="297" spans="1:10" s="1" customFormat="1" ht="13.8">
      <c r="A297" s="13" t="str">
        <f>chitiet!B2363</f>
        <v>b12150</v>
      </c>
      <c r="B297" s="18">
        <f>IF(E297=0,"",COUNTIF($B$275:$B296,"&gt;0")+1)</f>
        <v>21</v>
      </c>
      <c r="C297" s="16" t="s">
        <v>2632</v>
      </c>
      <c r="D297" s="19" t="s">
        <v>2439</v>
      </c>
      <c r="E297" s="29">
        <f>chitiet!D2363</f>
        <v>48</v>
      </c>
      <c r="F297" s="4"/>
      <c r="G297" s="7">
        <f t="shared" si="12"/>
        <v>1</v>
      </c>
      <c r="H297" s="4"/>
      <c r="I297" s="4"/>
      <c r="J297" s="4"/>
    </row>
    <row r="298" spans="1:10" s="1" customFormat="1" ht="13.8">
      <c r="A298" s="13" t="str">
        <f>chitiet!B2364</f>
        <v>sl50</v>
      </c>
      <c r="B298" s="18" t="str">
        <f>IF(E298=0,"",COUNTIF($B$275:$B297,"&gt;0")+1)</f>
        <v/>
      </c>
      <c r="C298" s="16" t="s">
        <v>2956</v>
      </c>
      <c r="D298" s="19" t="s">
        <v>2248</v>
      </c>
      <c r="E298" s="29">
        <f>chitiet!D2364</f>
        <v>0</v>
      </c>
      <c r="F298" s="4"/>
      <c r="G298" s="7">
        <f t="shared" si="12"/>
        <v>0</v>
      </c>
      <c r="H298" s="4"/>
      <c r="I298" s="4"/>
      <c r="J298" s="4"/>
    </row>
    <row r="299" spans="1:10" s="1" customFormat="1" ht="13.8">
      <c r="A299" s="13" t="str">
        <f>chitiet!B2365</f>
        <v>b1260</v>
      </c>
      <c r="B299" s="40" t="str">
        <f>IF(E299=0,"",COUNTIF($B$275:$B298,"&gt;0")+1)</f>
        <v/>
      </c>
      <c r="C299" s="38" t="s">
        <v>2629</v>
      </c>
      <c r="D299" s="39" t="s">
        <v>2439</v>
      </c>
      <c r="E299" s="41">
        <f>chitiet!D2365</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60" t="s">
        <v>4119</v>
      </c>
      <c r="D301" s="47"/>
      <c r="E301" s="48"/>
      <c r="F301" s="4"/>
      <c r="G301" s="4"/>
      <c r="H301" s="4"/>
      <c r="I301" s="4"/>
      <c r="J301" s="4"/>
    </row>
    <row r="302" spans="1:10" s="1" customFormat="1" ht="13.8">
      <c r="A302" s="9" t="str">
        <f>chitiet!B1986</f>
        <v xml:space="preserve">FCO100-22 </v>
      </c>
      <c r="B302" s="44" t="str">
        <f>IF(E302=0,"",COUNTIF($B$116:$B301,"&gt;0")+1)</f>
        <v/>
      </c>
      <c r="C302" s="761" t="s">
        <v>4120</v>
      </c>
      <c r="D302" s="45" t="s">
        <v>2555</v>
      </c>
      <c r="E302" s="45"/>
      <c r="F302" s="4"/>
      <c r="G302" s="7">
        <f>IF(E302&lt;&gt;0,1,0)</f>
        <v>0</v>
      </c>
      <c r="H302" s="4"/>
      <c r="I302" s="4"/>
      <c r="J302" s="4"/>
    </row>
    <row r="303" spans="1:10" s="1" customFormat="1" ht="13.8">
      <c r="A303" s="13" t="str">
        <f>chitiet!B1977</f>
        <v>LCHSNply</v>
      </c>
      <c r="B303" s="18" t="str">
        <f>IF(E303=0,"",COUNTIF($B$116:$B302,"&gt;0")+1)</f>
        <v/>
      </c>
      <c r="C303" s="111" t="s">
        <v>4121</v>
      </c>
      <c r="D303" s="29" t="s">
        <v>2512</v>
      </c>
      <c r="E303" s="29">
        <f>chitiet!D1977</f>
        <v>0</v>
      </c>
      <c r="F303" s="4"/>
      <c r="G303" s="7">
        <f>IF(E303&lt;&gt;0,1,0)</f>
        <v>0</v>
      </c>
      <c r="H303" s="4"/>
      <c r="I303" s="4"/>
      <c r="J303" s="4"/>
    </row>
    <row r="304" spans="1:10" s="1" customFormat="1" ht="13.8">
      <c r="A304" s="9" t="str">
        <f>chitiet!B1996</f>
        <v>LSOC</v>
      </c>
      <c r="B304" s="18" t="str">
        <f>IF(E304=0,"",COUNTIF($B$116:$B303,"&gt;0")+1)</f>
        <v/>
      </c>
      <c r="C304" s="111" t="s">
        <v>4122</v>
      </c>
      <c r="D304" s="29" t="s">
        <v>2439</v>
      </c>
      <c r="E304" s="29">
        <f>chitiet!D1996</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62" t="s">
        <v>4123</v>
      </c>
      <c r="D311" s="50"/>
      <c r="E311" s="50"/>
      <c r="F311" s="4"/>
      <c r="G311" s="7">
        <f>IF(E311&lt;&gt;0,1,0)</f>
        <v>0</v>
      </c>
      <c r="H311" s="4"/>
      <c r="I311" s="4"/>
      <c r="J311" s="4"/>
    </row>
    <row r="312" spans="1:10" s="1" customFormat="1" ht="13.8">
      <c r="A312" s="9"/>
      <c r="B312" s="44" t="str">
        <f>IF(E312=0,"",COUNTIF($B$116:$B311,"&gt;0")+1)</f>
        <v/>
      </c>
      <c r="C312" s="761" t="s">
        <v>4124</v>
      </c>
      <c r="D312" s="763" t="s">
        <v>2385</v>
      </c>
      <c r="E312" s="45"/>
      <c r="F312" s="4"/>
      <c r="G312" s="7">
        <f>IF(E312&lt;&gt;0,1,0)</f>
        <v>0</v>
      </c>
      <c r="H312" s="4"/>
      <c r="I312" s="4"/>
      <c r="J312" s="4"/>
    </row>
    <row r="313" spans="1:10" s="1" customFormat="1" ht="13.8">
      <c r="A313" s="4"/>
      <c r="B313" s="14"/>
      <c r="C313" s="134" t="s">
        <v>4125</v>
      </c>
      <c r="D313" s="764" t="s">
        <v>2439</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4126</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96" t="s">
        <v>501</v>
      </c>
      <c r="C10" s="82" t="s">
        <v>2288</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939</v>
      </c>
      <c r="C39" s="83" t="s">
        <v>2289</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1615</v>
      </c>
      <c r="C46" s="83" t="s">
        <v>2290</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69" t="e">
        <v>#REF!</v>
      </c>
      <c r="D51" s="84" t="e">
        <v>#REF!</v>
      </c>
      <c r="E51" s="770"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69" t="e">
        <v>#REF!</v>
      </c>
      <c r="D55" s="84" t="e">
        <v>#REF!</v>
      </c>
      <c r="E55" s="770"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69" t="e">
        <v>#REF!</v>
      </c>
      <c r="D59" s="771" t="e">
        <v>#REF!</v>
      </c>
      <c r="E59" s="770" t="e">
        <v>#REF!</v>
      </c>
      <c r="F59" s="91"/>
      <c r="G59" s="99" t="e">
        <f t="shared" si="0"/>
        <v>#REF!</v>
      </c>
      <c r="H59" s="91"/>
      <c r="I59" s="91"/>
      <c r="J59" s="91"/>
    </row>
    <row r="60" spans="1:10" ht="13.8">
      <c r="A60" s="95" t="e">
        <f>#REF!</f>
        <v>#REF!</v>
      </c>
      <c r="B60" s="100" t="e">
        <f>IF(E60=0,"",COUNTIF($E$47:$E60,"&gt;0"))</f>
        <v>#REF!</v>
      </c>
      <c r="C60" s="769" t="e">
        <v>#REF!</v>
      </c>
      <c r="D60" s="84" t="e">
        <v>#REF!</v>
      </c>
      <c r="E60" s="770"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69" t="e">
        <v>#REF!</v>
      </c>
      <c r="D67" s="771" t="e">
        <v>#REF!</v>
      </c>
      <c r="E67" s="770" t="e">
        <v>#REF!</v>
      </c>
      <c r="F67" s="129"/>
      <c r="G67" s="130" t="e">
        <f t="shared" si="0"/>
        <v>#REF!</v>
      </c>
      <c r="H67" s="129"/>
      <c r="I67" s="129"/>
      <c r="J67" s="129"/>
    </row>
    <row r="68" spans="1:10" ht="13.8">
      <c r="A68" s="95" t="e">
        <f>#REF!</f>
        <v>#REF!</v>
      </c>
      <c r="B68" s="100" t="e">
        <f>IF(E68=0,"",COUNTIF($E$47:$E68,"&gt;0"))</f>
        <v>#REF!</v>
      </c>
      <c r="C68" s="769" t="e">
        <v>#REF!</v>
      </c>
      <c r="D68" s="84" t="e">
        <v>#REF!</v>
      </c>
      <c r="E68" s="770"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1978</v>
      </c>
      <c r="B77" s="104" t="s">
        <v>1908</v>
      </c>
      <c r="C77" s="83" t="s">
        <v>2300</v>
      </c>
      <c r="D77" s="84" t="s">
        <v>2301</v>
      </c>
      <c r="E77" s="105"/>
      <c r="F77" s="91"/>
      <c r="G77" s="99">
        <v>1</v>
      </c>
      <c r="H77" s="91"/>
      <c r="I77" s="91"/>
      <c r="J77" s="91"/>
    </row>
    <row r="78" spans="1:10" s="1" customFormat="1" ht="13.8" hidden="1">
      <c r="A78" s="9" t="str">
        <f>chitiet!B2011</f>
        <v>AC70</v>
      </c>
      <c r="B78" s="18">
        <f>IF(E78=0,,1)</f>
        <v>0</v>
      </c>
      <c r="C78" s="16" t="str">
        <f>chitiet!F2011</f>
        <v>Cáp nhôm lõi thép AC-70/11</v>
      </c>
      <c r="D78" s="19" t="str">
        <f>chitiet!G2011</f>
        <v>kg</v>
      </c>
      <c r="E78" s="16">
        <f>chitiet!D2011</f>
        <v>0</v>
      </c>
      <c r="F78" s="10">
        <f>chitiet!E2011</f>
        <v>0</v>
      </c>
      <c r="G78" s="7">
        <f t="shared" si="0"/>
        <v>0</v>
      </c>
      <c r="H78" s="4"/>
      <c r="I78" s="4"/>
      <c r="J78" s="4"/>
    </row>
    <row r="79" spans="1:10" ht="13.8">
      <c r="A79" s="106" t="str">
        <f>chitiet!B2012</f>
        <v>AC50</v>
      </c>
      <c r="B79" s="100">
        <f>IF(E79=0,,COUNTIF($B$78:$B78,"&gt;0")+1)</f>
        <v>0</v>
      </c>
      <c r="C79" s="101" t="str">
        <f>chitiet!F2012</f>
        <v>Cáp nhôm lõi thép AC-50/8</v>
      </c>
      <c r="D79" s="84" t="str">
        <f>chitiet!G2012</f>
        <v>kg</v>
      </c>
      <c r="E79" s="101">
        <f>chitiet!D2012</f>
        <v>0</v>
      </c>
      <c r="F79" s="107">
        <f>chitiet!E2012</f>
        <v>0</v>
      </c>
      <c r="G79" s="99">
        <f t="shared" si="0"/>
        <v>0</v>
      </c>
      <c r="H79" s="91"/>
      <c r="I79" s="91"/>
      <c r="J79" s="91"/>
    </row>
    <row r="80" spans="1:10" ht="13.8">
      <c r="A80" s="106" t="str">
        <f>chitiet!B2013</f>
        <v>ACXV50</v>
      </c>
      <c r="B80" s="100">
        <f>IF(E80=0,,COUNTIF($B$78:$B79,"&gt;0")+1)</f>
        <v>0</v>
      </c>
      <c r="C80" s="101" t="str">
        <f>chitiet!F2013</f>
        <v>Cáp 24KV ACX 50mm2</v>
      </c>
      <c r="D80" s="84" t="str">
        <f>chitiet!G2013</f>
        <v>mét</v>
      </c>
      <c r="E80" s="101">
        <f>chitiet!D2013</f>
        <v>0</v>
      </c>
      <c r="F80" s="107">
        <f>chitiet!E2013</f>
        <v>0</v>
      </c>
      <c r="G80" s="99">
        <f t="shared" si="0"/>
        <v>0</v>
      </c>
      <c r="H80" s="91"/>
      <c r="I80" s="91"/>
      <c r="J80" s="91"/>
    </row>
    <row r="81" spans="1:10" s="131" customFormat="1" ht="13.8">
      <c r="A81" s="106" t="str">
        <f>chitiet!B2014</f>
        <v>Đth-U</v>
      </c>
      <c r="B81" s="772">
        <f>IF(E81=0,,COUNTIF($B$78:$B80,"&gt;0")+1)</f>
        <v>0</v>
      </c>
      <c r="C81" s="114" t="str">
        <f>chitiet!F2014</f>
        <v>Bộ Uclevis đỡ dây trung hòa: Đth-U</v>
      </c>
      <c r="D81" s="115" t="str">
        <f>chitiet!G2014</f>
        <v>bộ</v>
      </c>
      <c r="E81" s="114">
        <f>chitiet!D2014</f>
        <v>0</v>
      </c>
      <c r="F81" s="129"/>
      <c r="G81" s="99">
        <f t="shared" si="0"/>
        <v>0</v>
      </c>
      <c r="H81" s="129"/>
      <c r="I81" s="129"/>
      <c r="J81" s="129"/>
    </row>
    <row r="82" spans="1:10" ht="13.8">
      <c r="A82" s="106" t="str">
        <f>chitiet!B2015</f>
        <v>R1</v>
      </c>
      <c r="B82" s="100"/>
      <c r="C82" s="101" t="str">
        <f>chitiet!F2015</f>
        <v>Uclevis + sứ ống chỉ</v>
      </c>
      <c r="D82" s="84" t="str">
        <f>chitiet!G2015</f>
        <v>bộ</v>
      </c>
      <c r="E82" s="101">
        <f>chitiet!D2015</f>
        <v>0</v>
      </c>
      <c r="F82" s="91"/>
      <c r="G82" s="99">
        <f t="shared" si="0"/>
        <v>0</v>
      </c>
      <c r="H82" s="91"/>
      <c r="I82" s="91"/>
      <c r="J82" s="91"/>
    </row>
    <row r="83" spans="1:10" ht="13.8">
      <c r="A83" s="106" t="str">
        <f>chitiet!B2016</f>
        <v>B16300</v>
      </c>
      <c r="B83" s="100"/>
      <c r="C83" s="101" t="str">
        <f>chitiet!F2016</f>
        <v>Boulon 16x300+ 2 long đền vuông D18-50x50x3/Zn</v>
      </c>
      <c r="D83" s="84" t="str">
        <f>chitiet!G2016</f>
        <v>bộ</v>
      </c>
      <c r="E83" s="101">
        <f>chitiet!D2016</f>
        <v>0</v>
      </c>
      <c r="F83" s="91"/>
      <c r="G83" s="99">
        <f t="shared" si="0"/>
        <v>0</v>
      </c>
      <c r="H83" s="91"/>
      <c r="I83" s="91"/>
      <c r="J83" s="91"/>
    </row>
    <row r="84" spans="1:10" s="2" customFormat="1" ht="13.8" hidden="1">
      <c r="A84" s="9" t="str">
        <f>chitiet!B2017</f>
        <v>Nth-U</v>
      </c>
      <c r="B84" s="42">
        <f>IF(E84=0,,COUNTIF($B$78:$B83,"&gt;0")+1)</f>
        <v>0</v>
      </c>
      <c r="C84" s="33" t="str">
        <f>chitiet!F2017</f>
        <v>Bộ Uclevis néo dây trung hòa vào trụ: Nth-U</v>
      </c>
      <c r="D84" s="34" t="str">
        <f>chitiet!G2017</f>
        <v>bộ</v>
      </c>
      <c r="E84" s="33">
        <f>chitiet!D2017</f>
        <v>0</v>
      </c>
      <c r="F84" s="31"/>
      <c r="G84" s="7">
        <f t="shared" si="0"/>
        <v>0</v>
      </c>
      <c r="H84" s="31"/>
      <c r="I84" s="31"/>
      <c r="J84" s="31"/>
    </row>
    <row r="85" spans="1:10" s="1" customFormat="1" ht="13.8" hidden="1">
      <c r="A85" s="9" t="str">
        <f>chitiet!B2018</f>
        <v>R1</v>
      </c>
      <c r="B85" s="18"/>
      <c r="C85" s="16" t="str">
        <f>chitiet!F2018</f>
        <v>Uclevis + sứ ống chỉ</v>
      </c>
      <c r="D85" s="19" t="str">
        <f>chitiet!G2018</f>
        <v>bộ</v>
      </c>
      <c r="E85" s="16">
        <f>chitiet!D2018</f>
        <v>0</v>
      </c>
      <c r="F85" s="4"/>
      <c r="G85" s="7">
        <f t="shared" si="0"/>
        <v>0</v>
      </c>
      <c r="H85" s="4"/>
      <c r="I85" s="4"/>
      <c r="J85" s="4"/>
    </row>
    <row r="86" spans="1:10" s="1" customFormat="1" ht="13.8" hidden="1">
      <c r="A86" s="9" t="str">
        <f>chitiet!B2019</f>
        <v>B16300</v>
      </c>
      <c r="B86" s="18"/>
      <c r="C86" s="16" t="str">
        <f>chitiet!F2019</f>
        <v>Boulon 16x300+ 2 long đền vuông D18-50x50x3/Zn</v>
      </c>
      <c r="D86" s="19" t="str">
        <f>chitiet!G2019</f>
        <v>bộ</v>
      </c>
      <c r="E86" s="16">
        <f>chitiet!D2019</f>
        <v>0</v>
      </c>
      <c r="F86" s="4"/>
      <c r="G86" s="7">
        <f t="shared" si="0"/>
        <v>0</v>
      </c>
      <c r="H86" s="4"/>
      <c r="I86" s="4"/>
      <c r="J86" s="4"/>
    </row>
    <row r="87" spans="1:10" s="1" customFormat="1" ht="13.8" hidden="1">
      <c r="A87" s="9" t="str">
        <f>chitiet!B2020</f>
        <v>K50</v>
      </c>
      <c r="B87" s="18"/>
      <c r="C87" s="16" t="str">
        <f>chitiet!F2020</f>
        <v>Kẹp 2 rãnh cỡ dây 50mm2</v>
      </c>
      <c r="D87" s="19" t="str">
        <f>chitiet!G2020</f>
        <v>cái</v>
      </c>
      <c r="E87" s="16">
        <f>chitiet!D2020</f>
        <v>0</v>
      </c>
      <c r="F87" s="4"/>
      <c r="G87" s="7">
        <f t="shared" si="0"/>
        <v>0</v>
      </c>
      <c r="H87" s="4"/>
      <c r="I87" s="4"/>
      <c r="J87" s="4"/>
    </row>
    <row r="88" spans="1:10" ht="13.8">
      <c r="A88" s="106" t="str">
        <f>chitiet!B2021</f>
        <v>Nth-T</v>
      </c>
      <c r="B88" s="772">
        <f>IF(E88=0,,COUNTIF($B$78:$B87,"&gt;0")+1)</f>
        <v>0</v>
      </c>
      <c r="C88" s="114" t="str">
        <f>chitiet!F2021</f>
        <v>Bộ khóa néo dây trung hòa vào trụ: Nth-T</v>
      </c>
      <c r="D88" s="115" t="str">
        <f>chitiet!G2021</f>
        <v>bộ</v>
      </c>
      <c r="E88" s="114">
        <f>chitiet!D2021</f>
        <v>0</v>
      </c>
      <c r="F88" s="91"/>
      <c r="G88" s="99">
        <f t="shared" si="0"/>
        <v>0</v>
      </c>
      <c r="H88" s="91"/>
      <c r="I88" s="91"/>
      <c r="J88" s="91"/>
    </row>
    <row r="89" spans="1:10" ht="13.8">
      <c r="A89" s="106" t="str">
        <f>chitiet!B2022</f>
        <v>kn50</v>
      </c>
      <c r="B89" s="100"/>
      <c r="C89" s="101" t="str">
        <f>chitiet!F2022</f>
        <v>Khóa néo dây cỡ dây 50</v>
      </c>
      <c r="D89" s="84" t="str">
        <f>chitiet!G2022</f>
        <v>cái</v>
      </c>
      <c r="E89" s="101">
        <f>chitiet!D2022</f>
        <v>0</v>
      </c>
      <c r="F89" s="91"/>
      <c r="G89" s="99">
        <f t="shared" si="0"/>
        <v>0</v>
      </c>
      <c r="H89" s="91"/>
      <c r="I89" s="91"/>
      <c r="J89" s="91"/>
    </row>
    <row r="90" spans="1:10" ht="13.8">
      <c r="A90" s="106" t="str">
        <f>chitiet!B2023</f>
        <v>MT</v>
      </c>
      <c r="B90" s="100"/>
      <c r="C90" s="101" t="str">
        <f>chitiet!F2023</f>
        <v xml:space="preserve">Móc treo chữ U </v>
      </c>
      <c r="D90" s="84" t="str">
        <f>chitiet!G2023</f>
        <v>cái</v>
      </c>
      <c r="E90" s="101">
        <f>chitiet!D2023</f>
        <v>0</v>
      </c>
      <c r="F90" s="91"/>
      <c r="G90" s="99">
        <f t="shared" si="0"/>
        <v>0</v>
      </c>
      <c r="H90" s="91"/>
      <c r="I90" s="91"/>
      <c r="J90" s="91"/>
    </row>
    <row r="91" spans="1:10" ht="13.8">
      <c r="A91" s="106" t="str">
        <f>chitiet!B2024</f>
        <v>BM16300</v>
      </c>
      <c r="B91" s="100"/>
      <c r="C91" s="101" t="str">
        <f>chitiet!F2024</f>
        <v>Boulon mắt 16x300+ 2 long đền vuông D18-50x50x3/Zn</v>
      </c>
      <c r="D91" s="84" t="str">
        <f>chitiet!G2024</f>
        <v>bộ</v>
      </c>
      <c r="E91" s="101">
        <f>chitiet!D2024</f>
        <v>0</v>
      </c>
      <c r="F91" s="91"/>
      <c r="G91" s="99">
        <f t="shared" si="0"/>
        <v>0</v>
      </c>
      <c r="H91" s="91"/>
      <c r="I91" s="91"/>
      <c r="J91" s="91"/>
    </row>
    <row r="92" spans="1:10" ht="13.8">
      <c r="A92" s="106" t="str">
        <f>chitiet!B2025</f>
        <v>KE50</v>
      </c>
      <c r="B92" s="100"/>
      <c r="C92" s="101" t="str">
        <f>chitiet!F2025</f>
        <v>Kẹp ép WR cỡ dây 50mm2</v>
      </c>
      <c r="D92" s="84" t="str">
        <f>chitiet!G2025</f>
        <v>cái</v>
      </c>
      <c r="E92" s="101">
        <f>chitiet!D2025</f>
        <v>0</v>
      </c>
      <c r="F92" s="91"/>
      <c r="G92" s="99">
        <f t="shared" si="0"/>
        <v>0</v>
      </c>
      <c r="H92" s="91"/>
      <c r="I92" s="91"/>
      <c r="J92" s="91"/>
    </row>
    <row r="93" spans="1:10" s="1" customFormat="1" ht="13.8" hidden="1">
      <c r="A93" s="9" t="str">
        <f>chitiet!B2026</f>
        <v>SĐU</v>
      </c>
      <c r="B93" s="42">
        <f>IF(E93=0,,COUNTIF($B$78:$B92,"&gt;0")+1)</f>
        <v>0</v>
      </c>
      <c r="C93" s="33" t="str">
        <f>chitiet!F2026</f>
        <v>Bộ cách điện đứng+ty sứ : SĐU</v>
      </c>
      <c r="D93" s="34" t="str">
        <f>chitiet!G2026</f>
        <v>bộ</v>
      </c>
      <c r="E93" s="33">
        <f>chitiet!D2026</f>
        <v>0</v>
      </c>
      <c r="F93" s="4"/>
      <c r="G93" s="7">
        <f t="shared" si="0"/>
        <v>0</v>
      </c>
      <c r="H93" s="4"/>
      <c r="I93" s="4"/>
      <c r="J93" s="4"/>
    </row>
    <row r="94" spans="1:10" s="1" customFormat="1" ht="13.8" hidden="1">
      <c r="A94" s="9" t="str">
        <f>chitiet!B2027</f>
        <v>SD</v>
      </c>
      <c r="B94" s="18"/>
      <c r="C94" s="16" t="str">
        <f>chitiet!F2027</f>
        <v xml:space="preserve">Sứ đứng 24KV </v>
      </c>
      <c r="D94" s="19" t="str">
        <f>chitiet!G2027</f>
        <v>cái</v>
      </c>
      <c r="E94" s="16">
        <f>chitiet!D2027</f>
        <v>0</v>
      </c>
      <c r="F94" s="4"/>
      <c r="G94" s="7">
        <f t="shared" si="0"/>
        <v>0</v>
      </c>
      <c r="H94" s="4"/>
      <c r="I94" s="4"/>
      <c r="J94" s="4"/>
    </row>
    <row r="95" spans="1:10" s="2" customFormat="1" ht="13.8" hidden="1">
      <c r="A95" s="9" t="str">
        <f>chitiet!B2028</f>
        <v>CSD</v>
      </c>
      <c r="B95" s="18"/>
      <c r="C95" s="16" t="str">
        <f>chitiet!F2028</f>
        <v>Chân sứ đứng D20</v>
      </c>
      <c r="D95" s="19" t="str">
        <f>chitiet!G2028</f>
        <v>cái</v>
      </c>
      <c r="E95" s="16">
        <f>chitiet!D2028</f>
        <v>0</v>
      </c>
      <c r="F95" s="31"/>
      <c r="G95" s="7">
        <f t="shared" si="0"/>
        <v>0</v>
      </c>
      <c r="H95" s="31"/>
      <c r="I95" s="31"/>
      <c r="J95" s="31"/>
    </row>
    <row r="96" spans="1:10" ht="13.8">
      <c r="A96" s="106" t="str">
        <f>chitiet!B2029</f>
        <v>SĐI</v>
      </c>
      <c r="B96" s="772">
        <f>IF(E96=0,,COUNTIF($B$78:$B95,"&gt;0")+1)</f>
        <v>0</v>
      </c>
      <c r="C96" s="114" t="str">
        <f>chitiet!F2029</f>
        <v>Bộ cách điện đỉnh+ty sứ đơn : SĐI</v>
      </c>
      <c r="D96" s="115" t="str">
        <f>chitiet!G2029</f>
        <v>bộ</v>
      </c>
      <c r="E96" s="114">
        <f>chitiet!D2029</f>
        <v>0</v>
      </c>
      <c r="F96" s="91"/>
      <c r="G96" s="99">
        <f t="shared" si="0"/>
        <v>0</v>
      </c>
      <c r="H96" s="91"/>
      <c r="I96" s="91"/>
      <c r="J96" s="91"/>
    </row>
    <row r="97" spans="1:10" ht="13.8">
      <c r="A97" s="106" t="str">
        <f>chitiet!B2030</f>
        <v>SD</v>
      </c>
      <c r="B97" s="100"/>
      <c r="C97" s="101" t="str">
        <f>chitiet!F2030</f>
        <v xml:space="preserve">Sứ đứng 24KV </v>
      </c>
      <c r="D97" s="84" t="str">
        <f>chitiet!G2030</f>
        <v>cái</v>
      </c>
      <c r="E97" s="101">
        <f>chitiet!D2030</f>
        <v>0</v>
      </c>
      <c r="F97" s="91"/>
      <c r="G97" s="99">
        <f t="shared" si="0"/>
        <v>0</v>
      </c>
      <c r="H97" s="91"/>
      <c r="I97" s="91"/>
      <c r="J97" s="91"/>
    </row>
    <row r="98" spans="1:10" ht="13.8">
      <c r="A98" s="106" t="str">
        <f>chitiet!B2031</f>
        <v>CSDI</v>
      </c>
      <c r="B98" s="100"/>
      <c r="C98" s="101" t="str">
        <f>chitiet!F2031</f>
        <v>Chân sứ đỉnh thẳng dài 870mm</v>
      </c>
      <c r="D98" s="84" t="str">
        <f>chitiet!G2031</f>
        <v>cái</v>
      </c>
      <c r="E98" s="101">
        <f>chitiet!D2031</f>
        <v>0</v>
      </c>
      <c r="F98" s="91"/>
      <c r="G98" s="99">
        <f t="shared" si="0"/>
        <v>0</v>
      </c>
      <c r="H98" s="91"/>
      <c r="I98" s="91"/>
      <c r="J98" s="91"/>
    </row>
    <row r="99" spans="1:10" s="131" customFormat="1" ht="13.8">
      <c r="A99" s="106" t="str">
        <f>chitiet!B2032</f>
        <v>B16300</v>
      </c>
      <c r="B99" s="100"/>
      <c r="C99" s="101" t="str">
        <f>chitiet!F2032</f>
        <v>Boulon 16x300+ 2 long đền vuông D18-50x50x3/Zn</v>
      </c>
      <c r="D99" s="84" t="str">
        <f>chitiet!G2032</f>
        <v>bộ</v>
      </c>
      <c r="E99" s="101">
        <f>chitiet!D2032</f>
        <v>0</v>
      </c>
      <c r="F99" s="129"/>
      <c r="G99" s="99">
        <f t="shared" si="0"/>
        <v>0</v>
      </c>
      <c r="H99" s="129"/>
      <c r="I99" s="129"/>
      <c r="J99" s="129"/>
    </row>
    <row r="100" spans="1:10" ht="13.8">
      <c r="A100" s="106" t="str">
        <f>chitiet!B2033</f>
        <v>SĐG</v>
      </c>
      <c r="B100" s="772">
        <f>IF(E100=0,,COUNTIF($B$78:$B99,"&gt;0")+1)</f>
        <v>0</v>
      </c>
      <c r="C100" s="114" t="str">
        <f>chitiet!F2033</f>
        <v>Bộ cách điện đỉnh góc + ty sứ đơn : SĐG</v>
      </c>
      <c r="D100" s="115" t="str">
        <f>chitiet!G2033</f>
        <v>bộ</v>
      </c>
      <c r="E100" s="114">
        <f>chitiet!D2033</f>
        <v>0</v>
      </c>
      <c r="F100" s="91"/>
      <c r="G100" s="99">
        <f t="shared" ref="G100:G150" si="3">IF(E100&lt;&gt;0,1,0)</f>
        <v>0</v>
      </c>
      <c r="H100" s="91"/>
      <c r="I100" s="91"/>
      <c r="J100" s="91"/>
    </row>
    <row r="101" spans="1:10" ht="13.8">
      <c r="A101" s="106" t="str">
        <f>chitiet!B2034</f>
        <v>SD</v>
      </c>
      <c r="B101" s="100"/>
      <c r="C101" s="101" t="str">
        <f>chitiet!F2034</f>
        <v xml:space="preserve">Sứ đứng 24KV </v>
      </c>
      <c r="D101" s="84" t="str">
        <f>chitiet!G2034</f>
        <v>cái</v>
      </c>
      <c r="E101" s="101">
        <f>chitiet!D2034</f>
        <v>0</v>
      </c>
      <c r="F101" s="91"/>
      <c r="G101" s="99">
        <f t="shared" si="3"/>
        <v>0</v>
      </c>
      <c r="H101" s="91"/>
      <c r="I101" s="91"/>
      <c r="J101" s="91"/>
    </row>
    <row r="102" spans="1:10" ht="13.8">
      <c r="A102" s="106" t="str">
        <f>chitiet!B2035</f>
        <v>CSDG</v>
      </c>
      <c r="B102" s="100"/>
      <c r="C102" s="101" t="str">
        <f>chitiet!F2035</f>
        <v>Chân sứ đỉnh đỡ góc dài 870mm</v>
      </c>
      <c r="D102" s="84" t="str">
        <f>chitiet!G2035</f>
        <v>cái</v>
      </c>
      <c r="E102" s="101">
        <f>chitiet!D2035</f>
        <v>0</v>
      </c>
      <c r="F102" s="91"/>
      <c r="G102" s="99">
        <f t="shared" si="3"/>
        <v>0</v>
      </c>
      <c r="H102" s="91"/>
      <c r="I102" s="91"/>
      <c r="J102" s="91"/>
    </row>
    <row r="103" spans="1:10" s="131" customFormat="1" ht="13.8">
      <c r="A103" s="106" t="str">
        <f>chitiet!B2036</f>
        <v>B16300</v>
      </c>
      <c r="B103" s="100"/>
      <c r="C103" s="101" t="str">
        <f>chitiet!F2036</f>
        <v>Boulon 16x300+ 2 long đền vuông D18-50x50x3/Zn</v>
      </c>
      <c r="D103" s="84" t="str">
        <f>chitiet!G2036</f>
        <v>bộ</v>
      </c>
      <c r="E103" s="101">
        <f>chitiet!D2036</f>
        <v>0</v>
      </c>
      <c r="F103" s="129"/>
      <c r="G103" s="99">
        <f t="shared" si="3"/>
        <v>0</v>
      </c>
      <c r="H103" s="129"/>
      <c r="I103" s="129"/>
      <c r="J103" s="129"/>
    </row>
    <row r="104" spans="1:10" s="1" customFormat="1" ht="13.8" hidden="1">
      <c r="A104" s="9" t="str">
        <f>chitiet!B2037</f>
        <v>CĐT 2BAT-T</v>
      </c>
      <c r="B104" s="42">
        <f>IF(E104=0,,COUNTIF($B$78:$B103,"&gt;0")+1)</f>
        <v>0</v>
      </c>
      <c r="C104" s="33" t="str">
        <f>chitiet!F2037</f>
        <v>Chuỗi sứ treo 2bát 25kV lắp vào trụ : CĐT 2BAT-T</v>
      </c>
      <c r="D104" s="34" t="str">
        <f>chitiet!G2037</f>
        <v>chuỗi</v>
      </c>
      <c r="E104" s="33">
        <f>chitiet!D2037</f>
        <v>0</v>
      </c>
      <c r="F104" s="4"/>
      <c r="G104" s="7">
        <f t="shared" si="3"/>
        <v>0</v>
      </c>
      <c r="H104" s="4"/>
      <c r="I104" s="4"/>
      <c r="J104" s="4"/>
    </row>
    <row r="105" spans="1:10" s="1" customFormat="1" ht="13.8" hidden="1">
      <c r="A105" s="9" t="str">
        <f>chitiet!B2038</f>
        <v>St</v>
      </c>
      <c r="B105" s="18"/>
      <c r="C105" s="16" t="str">
        <f>chitiet!F2038</f>
        <v>Sứ treo loại 70kN</v>
      </c>
      <c r="D105" s="19" t="str">
        <f>chitiet!G2038</f>
        <v>bát</v>
      </c>
      <c r="E105" s="16">
        <f>chitiet!D2038</f>
        <v>0</v>
      </c>
      <c r="F105" s="4"/>
      <c r="G105" s="7">
        <f t="shared" si="3"/>
        <v>0</v>
      </c>
      <c r="H105" s="4"/>
      <c r="I105" s="4"/>
      <c r="J105" s="4"/>
    </row>
    <row r="106" spans="1:10" s="1" customFormat="1" ht="13.8" hidden="1">
      <c r="A106" s="9" t="str">
        <f>chitiet!B2039</f>
        <v>MT</v>
      </c>
      <c r="B106" s="18"/>
      <c r="C106" s="16" t="str">
        <f>chitiet!F2039</f>
        <v xml:space="preserve">Móc treo chữ U </v>
      </c>
      <c r="D106" s="19" t="str">
        <f>chitiet!G2039</f>
        <v>cái</v>
      </c>
      <c r="E106" s="16">
        <f>chitiet!D2039</f>
        <v>0</v>
      </c>
      <c r="F106" s="4"/>
      <c r="G106" s="7">
        <f t="shared" si="3"/>
        <v>0</v>
      </c>
      <c r="H106" s="4"/>
      <c r="I106" s="4"/>
      <c r="J106" s="4"/>
    </row>
    <row r="107" spans="1:10" s="1" customFormat="1" ht="13.8" hidden="1">
      <c r="A107" s="9" t="str">
        <f>chitiet!B2040</f>
        <v>VT</v>
      </c>
      <c r="B107" s="18"/>
      <c r="C107" s="16" t="str">
        <f>chitiet!F2040</f>
        <v>Vòng treo đầu tròn</v>
      </c>
      <c r="D107" s="19" t="str">
        <f>chitiet!G2040</f>
        <v>cái</v>
      </c>
      <c r="E107" s="16">
        <f>chitiet!D2040</f>
        <v>0</v>
      </c>
      <c r="F107" s="4"/>
      <c r="G107" s="7">
        <f t="shared" si="3"/>
        <v>0</v>
      </c>
      <c r="H107" s="4"/>
      <c r="I107" s="4"/>
      <c r="J107" s="4"/>
    </row>
    <row r="108" spans="1:10" s="1" customFormat="1" ht="13.8" hidden="1">
      <c r="A108" s="9" t="str">
        <f>chitiet!B2041</f>
        <v>MND</v>
      </c>
      <c r="B108" s="18"/>
      <c r="C108" s="16" t="str">
        <f>chitiet!F2041</f>
        <v>Mắt nối đơn</v>
      </c>
      <c r="D108" s="19" t="str">
        <f>chitiet!G2041</f>
        <v>cái</v>
      </c>
      <c r="E108" s="16">
        <f>chitiet!D2041</f>
        <v>0</v>
      </c>
      <c r="F108" s="4"/>
      <c r="G108" s="7">
        <f t="shared" si="3"/>
        <v>0</v>
      </c>
      <c r="H108" s="4"/>
      <c r="I108" s="4"/>
      <c r="J108" s="4"/>
    </row>
    <row r="109" spans="1:10" s="1" customFormat="1" ht="13.8" hidden="1">
      <c r="A109" s="9" t="str">
        <f>chitiet!B2042</f>
        <v>Bm16300</v>
      </c>
      <c r="B109" s="18"/>
      <c r="C109" s="16" t="str">
        <f>chitiet!F2042</f>
        <v>Boulon mắt 16x300+ 2 long đền vuông D18-50x50x3/Zn</v>
      </c>
      <c r="D109" s="19" t="str">
        <f>chitiet!G2042</f>
        <v>bộ</v>
      </c>
      <c r="E109" s="16">
        <f>chitiet!D2042</f>
        <v>0</v>
      </c>
      <c r="F109" s="4"/>
      <c r="G109" s="7">
        <f t="shared" si="3"/>
        <v>0</v>
      </c>
      <c r="H109" s="4"/>
      <c r="I109" s="4"/>
      <c r="J109" s="4"/>
    </row>
    <row r="110" spans="1:10" ht="13.8">
      <c r="A110" s="106" t="str">
        <f>chitiet!B2043</f>
        <v>CĐTply-X</v>
      </c>
      <c r="B110" s="772">
        <f>IF(E110=0,,COUNTIF($B$78:$B109,"&gt;0")+1)</f>
        <v>0</v>
      </c>
      <c r="C110" s="114" t="str">
        <f>chitiet!F2043</f>
        <v>Chuỗi sứ treo Polymer 25kV lắp vào xà : CĐT ply-X</v>
      </c>
      <c r="D110" s="115" t="str">
        <f>chitiet!G2043</f>
        <v>chuỗi</v>
      </c>
      <c r="E110" s="114">
        <f>chitiet!D2043</f>
        <v>0</v>
      </c>
      <c r="F110" s="91"/>
      <c r="G110" s="99">
        <f t="shared" si="3"/>
        <v>0</v>
      </c>
      <c r="H110" s="91"/>
      <c r="I110" s="91"/>
      <c r="J110" s="91"/>
    </row>
    <row r="111" spans="1:10" ht="13.8">
      <c r="A111" s="106" t="str">
        <f>chitiet!B2044</f>
        <v>Stply</v>
      </c>
      <c r="B111" s="100"/>
      <c r="C111" s="101" t="str">
        <f>chitiet!F2044</f>
        <v>Sứ treo polymer</v>
      </c>
      <c r="D111" s="84" t="str">
        <f>chitiet!G2044</f>
        <v>chuỗi</v>
      </c>
      <c r="E111" s="101">
        <f>chitiet!D2044</f>
        <v>0</v>
      </c>
      <c r="F111" s="91"/>
      <c r="G111" s="99">
        <f t="shared" si="3"/>
        <v>0</v>
      </c>
      <c r="H111" s="91"/>
      <c r="I111" s="91"/>
      <c r="J111" s="91"/>
    </row>
    <row r="112" spans="1:10" ht="13.8">
      <c r="A112" s="106" t="str">
        <f>chitiet!B2045</f>
        <v>MT</v>
      </c>
      <c r="B112" s="100"/>
      <c r="C112" s="101" t="str">
        <f>chitiet!F2045</f>
        <v xml:space="preserve">Móc treo chữ U </v>
      </c>
      <c r="D112" s="84" t="str">
        <f>chitiet!G2045</f>
        <v>cái</v>
      </c>
      <c r="E112" s="101">
        <f>chitiet!D2045</f>
        <v>0</v>
      </c>
      <c r="F112" s="91"/>
      <c r="G112" s="99">
        <f t="shared" si="3"/>
        <v>0</v>
      </c>
      <c r="H112" s="91"/>
      <c r="I112" s="91"/>
      <c r="J112" s="91"/>
    </row>
    <row r="113" spans="1:10" ht="13.8">
      <c r="A113" s="106" t="str">
        <f>chitiet!B2046</f>
        <v>kn185</v>
      </c>
      <c r="B113" s="100"/>
      <c r="C113" s="101" t="str">
        <f>chitiet!F2046</f>
        <v>Khóa néo dây cỡ dây 185</v>
      </c>
      <c r="D113" s="84" t="str">
        <f>chitiet!G2046</f>
        <v>cái</v>
      </c>
      <c r="E113" s="101">
        <f>chitiet!D2046</f>
        <v>0</v>
      </c>
      <c r="F113" s="91"/>
      <c r="G113" s="99">
        <f t="shared" si="3"/>
        <v>0</v>
      </c>
      <c r="H113" s="91"/>
      <c r="I113" s="91"/>
      <c r="J113" s="91"/>
    </row>
    <row r="114" spans="1:10" ht="13.8">
      <c r="A114" s="106" t="str">
        <f>chitiet!B2047</f>
        <v>CĐTply-T</v>
      </c>
      <c r="B114" s="772">
        <f>IF(E114=0,,COUNTIF($B$78:$B113,"&gt;0")+1)</f>
        <v>0</v>
      </c>
      <c r="C114" s="114" t="str">
        <f>chitiet!F2047</f>
        <v>Chuỗi sứ treo Polymer 25kV lắp vào trụ : CĐT ply-T</v>
      </c>
      <c r="D114" s="115" t="str">
        <f>chitiet!G2047</f>
        <v>chuỗi</v>
      </c>
      <c r="E114" s="114">
        <f>chitiet!D2047</f>
        <v>0</v>
      </c>
      <c r="F114" s="91"/>
      <c r="G114" s="99">
        <f t="shared" si="3"/>
        <v>0</v>
      </c>
      <c r="H114" s="91"/>
      <c r="I114" s="91"/>
      <c r="J114" s="91"/>
    </row>
    <row r="115" spans="1:10" ht="13.8">
      <c r="A115" s="106" t="str">
        <f>chitiet!B2048</f>
        <v>Stply</v>
      </c>
      <c r="B115" s="100"/>
      <c r="C115" s="101" t="str">
        <f>chitiet!F2048</f>
        <v>Sứ treo polymer</v>
      </c>
      <c r="D115" s="84" t="str">
        <f>chitiet!G2048</f>
        <v>chuỗi</v>
      </c>
      <c r="E115" s="101">
        <f>chitiet!D2048</f>
        <v>0</v>
      </c>
      <c r="F115" s="91"/>
      <c r="G115" s="99">
        <f t="shared" si="3"/>
        <v>0</v>
      </c>
      <c r="H115" s="91"/>
      <c r="I115" s="91"/>
      <c r="J115" s="91"/>
    </row>
    <row r="116" spans="1:10" ht="13.8">
      <c r="A116" s="106" t="str">
        <f>chitiet!B2049</f>
        <v>KN50</v>
      </c>
      <c r="B116" s="100"/>
      <c r="C116" s="101" t="str">
        <f>chitiet!F2049</f>
        <v>Khóa néo dây cỡ dây 50</v>
      </c>
      <c r="D116" s="84" t="str">
        <f>chitiet!G2049</f>
        <v>chuỗi</v>
      </c>
      <c r="E116" s="101">
        <f>chitiet!D2049</f>
        <v>0</v>
      </c>
      <c r="F116" s="91"/>
      <c r="G116" s="99">
        <f t="shared" si="3"/>
        <v>0</v>
      </c>
      <c r="H116" s="91"/>
      <c r="I116" s="91"/>
      <c r="J116" s="91"/>
    </row>
    <row r="117" spans="1:10" ht="13.8">
      <c r="A117" s="106" t="str">
        <f>chitiet!B2050</f>
        <v>MT</v>
      </c>
      <c r="B117" s="100"/>
      <c r="C117" s="101" t="str">
        <f>chitiet!F2050</f>
        <v xml:space="preserve">Móc treo chữ U </v>
      </c>
      <c r="D117" s="84" t="str">
        <f>chitiet!G2050</f>
        <v>cái</v>
      </c>
      <c r="E117" s="101">
        <f>chitiet!D2050</f>
        <v>0</v>
      </c>
      <c r="F117" s="91"/>
      <c r="G117" s="99">
        <f t="shared" si="3"/>
        <v>0</v>
      </c>
      <c r="H117" s="91"/>
      <c r="I117" s="91"/>
      <c r="J117" s="91"/>
    </row>
    <row r="118" spans="1:10" s="1" customFormat="1" ht="13.8" hidden="1">
      <c r="A118" s="9" t="str">
        <f>chitiet!B2051</f>
        <v>KDPLY</v>
      </c>
      <c r="B118" s="18"/>
      <c r="C118" s="16" t="str">
        <f>chitiet!F2051</f>
        <v>Khánh bắt sứ kép polymer</v>
      </c>
      <c r="D118" s="19" t="str">
        <f>chitiet!G2051</f>
        <v>cái</v>
      </c>
      <c r="E118" s="16">
        <f>chitiet!D2051</f>
        <v>0</v>
      </c>
      <c r="F118" s="4"/>
      <c r="G118" s="7">
        <f>IF(E118&lt;&gt;0,1,0)</f>
        <v>0</v>
      </c>
      <c r="H118" s="4"/>
      <c r="I118" s="4"/>
      <c r="J118" s="4"/>
    </row>
    <row r="119" spans="1:10" ht="13.8">
      <c r="A119" s="106" t="str">
        <f>chitiet!B2052</f>
        <v>Bm16300</v>
      </c>
      <c r="B119" s="100"/>
      <c r="C119" s="101" t="str">
        <f>chitiet!F2052</f>
        <v>Boulon mắt 16x300+ 2 long đền vuông D18-50x50x3/Zn</v>
      </c>
      <c r="D119" s="84" t="str">
        <f>chitiet!G2052</f>
        <v>bộ</v>
      </c>
      <c r="E119" s="101">
        <f>chitiet!D2052</f>
        <v>0</v>
      </c>
      <c r="F119" s="91"/>
      <c r="G119" s="99">
        <f t="shared" si="3"/>
        <v>0</v>
      </c>
      <c r="H119" s="91"/>
      <c r="I119" s="91"/>
      <c r="J119" s="91"/>
    </row>
    <row r="120" spans="1:10" s="1" customFormat="1" ht="13.8" hidden="1">
      <c r="A120" s="9" t="str">
        <f>chitiet!B2053</f>
        <v>CĐT 2BAT-X</v>
      </c>
      <c r="B120" s="42">
        <f>IF(E120=0,,COUNTIF($B$78:$B119,"&gt;0")+1)</f>
        <v>0</v>
      </c>
      <c r="C120" s="33" t="str">
        <f>chitiet!F2053</f>
        <v>Chuỗi sứ đỡ 2bát 25kV lắp vào xà : CĐT 2BAT-X</v>
      </c>
      <c r="D120" s="34" t="str">
        <f>chitiet!G2053</f>
        <v>chuỗi</v>
      </c>
      <c r="E120" s="33">
        <f>chitiet!D2053</f>
        <v>0</v>
      </c>
      <c r="F120" s="4"/>
      <c r="G120" s="7">
        <f t="shared" si="3"/>
        <v>0</v>
      </c>
      <c r="H120" s="4"/>
      <c r="I120" s="4"/>
      <c r="J120" s="4"/>
    </row>
    <row r="121" spans="1:10" s="1" customFormat="1" ht="13.8" hidden="1">
      <c r="A121" s="9" t="str">
        <f>chitiet!B2054</f>
        <v>ST</v>
      </c>
      <c r="B121" s="18"/>
      <c r="C121" s="16" t="str">
        <f>chitiet!F2054</f>
        <v>Sứ treo loại 70kN</v>
      </c>
      <c r="D121" s="19" t="str">
        <f>chitiet!G2054</f>
        <v>bát</v>
      </c>
      <c r="E121" s="16">
        <f>chitiet!D2054</f>
        <v>0</v>
      </c>
      <c r="F121" s="4"/>
      <c r="G121" s="7">
        <f t="shared" si="3"/>
        <v>0</v>
      </c>
      <c r="H121" s="4"/>
      <c r="I121" s="4"/>
      <c r="J121" s="4"/>
    </row>
    <row r="122" spans="1:10" s="1" customFormat="1" ht="13.8" hidden="1">
      <c r="A122" s="9" t="str">
        <f>chitiet!B2055</f>
        <v>MT</v>
      </c>
      <c r="B122" s="18"/>
      <c r="C122" s="16" t="str">
        <f>chitiet!F2055</f>
        <v xml:space="preserve">Móc treo chữ U </v>
      </c>
      <c r="D122" s="19" t="str">
        <f>chitiet!G2055</f>
        <v>cái</v>
      </c>
      <c r="E122" s="16">
        <f>chitiet!D2055</f>
        <v>0</v>
      </c>
      <c r="F122" s="4"/>
      <c r="G122" s="7">
        <f t="shared" si="3"/>
        <v>0</v>
      </c>
      <c r="H122" s="4"/>
      <c r="I122" s="4"/>
      <c r="J122" s="4"/>
    </row>
    <row r="123" spans="1:10" s="1" customFormat="1" ht="13.8" hidden="1">
      <c r="A123" s="9" t="str">
        <f>chitiet!B2056</f>
        <v>VT</v>
      </c>
      <c r="B123" s="18"/>
      <c r="C123" s="16" t="str">
        <f>chitiet!F2056</f>
        <v>Vòng treo đầu tròn</v>
      </c>
      <c r="D123" s="19" t="str">
        <f>chitiet!G2056</f>
        <v>cái</v>
      </c>
      <c r="E123" s="16">
        <f>chitiet!D2056</f>
        <v>0</v>
      </c>
      <c r="F123" s="4"/>
      <c r="G123" s="7">
        <f t="shared" si="3"/>
        <v>0</v>
      </c>
      <c r="H123" s="4"/>
      <c r="I123" s="4"/>
      <c r="J123" s="4"/>
    </row>
    <row r="124" spans="1:10" s="1" customFormat="1" ht="13.8" hidden="1">
      <c r="A124" s="9" t="str">
        <f>chitiet!B2057</f>
        <v>MND</v>
      </c>
      <c r="B124" s="18"/>
      <c r="C124" s="16" t="str">
        <f>chitiet!F2057</f>
        <v>Mắt nối đơn</v>
      </c>
      <c r="D124" s="19" t="str">
        <f>chitiet!G2057</f>
        <v>cái</v>
      </c>
      <c r="E124" s="16">
        <f>chitiet!D2057</f>
        <v>0</v>
      </c>
      <c r="F124" s="4"/>
      <c r="G124" s="7">
        <f t="shared" si="3"/>
        <v>0</v>
      </c>
      <c r="H124" s="4"/>
      <c r="I124" s="4"/>
      <c r="J124" s="4"/>
    </row>
    <row r="125" spans="1:10" ht="13.8">
      <c r="A125" s="106">
        <f>chitiet!B2058</f>
        <v>0</v>
      </c>
      <c r="B125" s="128">
        <f>IF(E125=0,,COUNTIF($B$78:$B124,"&gt;0")+1)</f>
        <v>1</v>
      </c>
      <c r="C125" s="114" t="str">
        <f>chitiet!F2058</f>
        <v>Phụ kiện đấu nối đầu đường dây</v>
      </c>
      <c r="D125" s="115">
        <f>chitiet!G2058</f>
        <v>0</v>
      </c>
      <c r="E125" s="101">
        <v>1</v>
      </c>
      <c r="F125" s="91"/>
      <c r="G125" s="99">
        <v>1</v>
      </c>
      <c r="H125" s="91"/>
      <c r="I125" s="91"/>
      <c r="J125" s="91"/>
    </row>
    <row r="126" spans="1:10" s="1" customFormat="1" ht="13.8" hidden="1">
      <c r="A126" s="9" t="str">
        <f>chitiet!B2059</f>
        <v>KD50</v>
      </c>
      <c r="B126" s="28">
        <f>IF(E126=0,,COUNTIF($B$78:$B125,"&gt;0")+1)</f>
        <v>0</v>
      </c>
      <c r="C126" s="16" t="str">
        <f>chitiet!F2059</f>
        <v>Khóa đỡ dây cỡ dây 50</v>
      </c>
      <c r="D126" s="19" t="str">
        <f>chitiet!G2059</f>
        <v>cái</v>
      </c>
      <c r="E126" s="16">
        <f>chitiet!D2059</f>
        <v>0</v>
      </c>
      <c r="F126" s="4"/>
      <c r="G126" s="7">
        <f t="shared" si="3"/>
        <v>0</v>
      </c>
      <c r="H126" s="4"/>
      <c r="I126" s="4"/>
      <c r="J126" s="4"/>
    </row>
    <row r="127" spans="1:10" s="1" customFormat="1" ht="13.8" hidden="1">
      <c r="A127" s="9" t="str">
        <f>chitiet!B2060</f>
        <v>KN50</v>
      </c>
      <c r="B127" s="28">
        <f>IF(E127=0,,COUNTIF($B$78:$B126,"&gt;0")+1)</f>
        <v>0</v>
      </c>
      <c r="C127" s="16" t="str">
        <f>chitiet!F2060</f>
        <v>Khóa néo dây cỡ dây 50</v>
      </c>
      <c r="D127" s="19" t="str">
        <f>chitiet!G2060</f>
        <v>cái</v>
      </c>
      <c r="E127" s="16">
        <f>chitiet!D2060</f>
        <v>0</v>
      </c>
      <c r="F127" s="4"/>
      <c r="G127" s="7">
        <f t="shared" si="3"/>
        <v>0</v>
      </c>
      <c r="H127" s="4"/>
      <c r="I127" s="4"/>
      <c r="J127" s="4"/>
    </row>
    <row r="128" spans="1:10" s="1" customFormat="1" ht="13.8" hidden="1">
      <c r="A128" s="9" t="str">
        <f>chitiet!B2061</f>
        <v>kn70</v>
      </c>
      <c r="B128" s="28">
        <f>IF(E128=0,,COUNTIF($B$78:$B127,"&gt;0")+1)</f>
        <v>0</v>
      </c>
      <c r="C128" s="16" t="str">
        <f>chitiet!F2061</f>
        <v>Khóa néo dây cỡ dây 70</v>
      </c>
      <c r="D128" s="19" t="str">
        <f>chitiet!G2061</f>
        <v>cái</v>
      </c>
      <c r="E128" s="16">
        <f>chitiet!D2061</f>
        <v>0</v>
      </c>
      <c r="F128" s="4"/>
      <c r="G128" s="7">
        <f t="shared" si="3"/>
        <v>0</v>
      </c>
      <c r="H128" s="4"/>
      <c r="I128" s="4"/>
      <c r="J128" s="4"/>
    </row>
    <row r="129" spans="1:10" ht="13.8">
      <c r="A129" s="106" t="str">
        <f>chitiet!B2062</f>
        <v>kE50</v>
      </c>
      <c r="B129" s="128"/>
      <c r="C129" s="101" t="str">
        <f>chitiet!F2062</f>
        <v>Kẹp ép WR cỡ dây 50mm2</v>
      </c>
      <c r="D129" s="84" t="str">
        <f>chitiet!G2062</f>
        <v>cái</v>
      </c>
      <c r="E129" s="101">
        <f>chitiet!D2062</f>
        <v>0</v>
      </c>
      <c r="F129" s="91"/>
      <c r="G129" s="99">
        <f t="shared" si="3"/>
        <v>0</v>
      </c>
      <c r="H129" s="91"/>
      <c r="I129" s="91"/>
      <c r="J129" s="91"/>
    </row>
    <row r="130" spans="1:10" s="1" customFormat="1" ht="13.8" hidden="1">
      <c r="A130" s="9" t="str">
        <f>chitiet!B2063</f>
        <v>ke70</v>
      </c>
      <c r="B130" s="28">
        <f>IF(E130=0,,COUNTIF($B$78:$B129,"&gt;0")+1)</f>
        <v>0</v>
      </c>
      <c r="C130" s="16" t="str">
        <f>chitiet!F2063</f>
        <v>Kẹp ép WR cỡ dây 70mm2</v>
      </c>
      <c r="D130" s="19" t="str">
        <f>chitiet!G2063</f>
        <v>cái</v>
      </c>
      <c r="E130" s="16">
        <f>chitiet!D2063</f>
        <v>0</v>
      </c>
      <c r="F130" s="4"/>
      <c r="G130" s="7">
        <f t="shared" si="3"/>
        <v>0</v>
      </c>
      <c r="H130" s="4"/>
      <c r="I130" s="4"/>
      <c r="J130" s="4"/>
    </row>
    <row r="131" spans="1:10" s="1" customFormat="1" ht="13.8" hidden="1">
      <c r="A131" s="9" t="str">
        <f>chitiet!B2064</f>
        <v>ke95</v>
      </c>
      <c r="B131" s="28">
        <f>IF(E131=0,,COUNTIF($B$78:$B130,"&gt;0")+1)</f>
        <v>0</v>
      </c>
      <c r="C131" s="16" t="str">
        <f>chitiet!F2064</f>
        <v>Kẹp ép WR cỡ dây 95mm2</v>
      </c>
      <c r="D131" s="19" t="str">
        <f>chitiet!G2064</f>
        <v>cái</v>
      </c>
      <c r="E131" s="16">
        <f>chitiet!D2064</f>
        <v>0</v>
      </c>
      <c r="F131" s="4"/>
      <c r="G131" s="7">
        <f t="shared" si="3"/>
        <v>0</v>
      </c>
      <c r="H131" s="4"/>
      <c r="I131" s="4"/>
      <c r="J131" s="4"/>
    </row>
    <row r="132" spans="1:10" s="1" customFormat="1" ht="13.8" hidden="1">
      <c r="A132" s="9" t="str">
        <f>chitiet!B2065</f>
        <v>ke120</v>
      </c>
      <c r="B132" s="28">
        <f>IF(E132=0,,COUNTIF($B$78:$B131,"&gt;0")+1)</f>
        <v>0</v>
      </c>
      <c r="C132" s="16" t="str">
        <f>chitiet!F2065</f>
        <v>Kẹp ép WR cỡ dây 120mm2</v>
      </c>
      <c r="D132" s="19" t="str">
        <f>chitiet!G2065</f>
        <v>cái</v>
      </c>
      <c r="E132" s="16">
        <f>chitiet!D2065</f>
        <v>0</v>
      </c>
      <c r="F132" s="4"/>
      <c r="G132" s="7">
        <f t="shared" si="3"/>
        <v>0</v>
      </c>
      <c r="H132" s="4"/>
      <c r="I132" s="4"/>
      <c r="J132" s="4"/>
    </row>
    <row r="133" spans="1:10" s="1" customFormat="1" ht="13.8" hidden="1">
      <c r="A133" s="9" t="str">
        <f>chitiet!B2066</f>
        <v>ke150</v>
      </c>
      <c r="B133" s="28">
        <f>IF(E133=0,,COUNTIF($B$78:$B132,"&gt;0")+1)</f>
        <v>0</v>
      </c>
      <c r="C133" s="16" t="str">
        <f>chitiet!F2066</f>
        <v>Kẹp ép WR cỡ dây 150mm2</v>
      </c>
      <c r="D133" s="19" t="str">
        <f>chitiet!G2066</f>
        <v>cái</v>
      </c>
      <c r="E133" s="16">
        <f>chitiet!D2066</f>
        <v>0</v>
      </c>
      <c r="F133" s="4"/>
      <c r="G133" s="7">
        <f t="shared" si="3"/>
        <v>0</v>
      </c>
      <c r="H133" s="4"/>
      <c r="I133" s="4"/>
      <c r="J133" s="4"/>
    </row>
    <row r="134" spans="1:10" s="1" customFormat="1" ht="13.8" hidden="1">
      <c r="A134" s="9" t="str">
        <f>chitiet!B2067</f>
        <v>ke185</v>
      </c>
      <c r="B134" s="28">
        <f>IF(E134=0,,COUNTIF($B$78:$B133,"&gt;0")+1)</f>
        <v>0</v>
      </c>
      <c r="C134" s="16" t="str">
        <f>chitiet!F2067</f>
        <v>Kẹp ép WR cỡ dây 185mm2</v>
      </c>
      <c r="D134" s="19" t="str">
        <f>chitiet!G2067</f>
        <v>cái</v>
      </c>
      <c r="E134" s="16">
        <f>chitiet!D2067</f>
        <v>0</v>
      </c>
      <c r="F134" s="4"/>
      <c r="G134" s="7">
        <f t="shared" si="3"/>
        <v>0</v>
      </c>
      <c r="H134" s="4"/>
      <c r="I134" s="4"/>
      <c r="J134" s="4"/>
    </row>
    <row r="135" spans="1:10" s="1" customFormat="1" ht="13.8" hidden="1">
      <c r="A135" s="9" t="str">
        <f>chitiet!B2068</f>
        <v>ke240</v>
      </c>
      <c r="B135" s="28">
        <f>IF(E135=0,,COUNTIF($B$78:$B134,"&gt;0")+1)</f>
        <v>0</v>
      </c>
      <c r="C135" s="16" t="str">
        <f>chitiet!F2068</f>
        <v>Kẹp ép WR cỡ dây 240mm2</v>
      </c>
      <c r="D135" s="19" t="str">
        <f>chitiet!G2068</f>
        <v>cái</v>
      </c>
      <c r="E135" s="16">
        <f>chitiet!D2068</f>
        <v>0</v>
      </c>
      <c r="F135" s="4"/>
      <c r="G135" s="7">
        <f t="shared" si="3"/>
        <v>0</v>
      </c>
      <c r="H135" s="4"/>
      <c r="I135" s="4"/>
      <c r="J135" s="4"/>
    </row>
    <row r="136" spans="1:10" s="1" customFormat="1" ht="13.8" hidden="1">
      <c r="A136" s="9" t="str">
        <f>chitiet!B2069</f>
        <v>cose70</v>
      </c>
      <c r="B136" s="28">
        <f>IF(E136=0,,COUNTIF($B$78:$B135,"&gt;0")+1)</f>
        <v>0</v>
      </c>
      <c r="C136" s="16" t="str">
        <f>chitiet!F2069</f>
        <v>Đầu cosse ép Cu-Al 70mm2</v>
      </c>
      <c r="D136" s="19" t="str">
        <f>chitiet!G2069</f>
        <v>cái</v>
      </c>
      <c r="E136" s="16">
        <f>chitiet!D2069</f>
        <v>0</v>
      </c>
      <c r="F136" s="4"/>
      <c r="G136" s="7">
        <f t="shared" si="3"/>
        <v>0</v>
      </c>
      <c r="H136" s="4"/>
      <c r="I136" s="4"/>
      <c r="J136" s="4"/>
    </row>
    <row r="137" spans="1:10" s="1" customFormat="1" ht="13.8" hidden="1">
      <c r="A137" s="9" t="str">
        <f>chitiet!B2070</f>
        <v>cose95</v>
      </c>
      <c r="B137" s="28">
        <f>IF(E137=0,,COUNTIF($B$78:$B136,"&gt;0")+1)</f>
        <v>0</v>
      </c>
      <c r="C137" s="16" t="str">
        <f>chitiet!F2070</f>
        <v>Đầu cosse ép Cu-Al 95mm2</v>
      </c>
      <c r="D137" s="19" t="str">
        <f>chitiet!G2070</f>
        <v>cái</v>
      </c>
      <c r="E137" s="16">
        <f>chitiet!D2070</f>
        <v>0</v>
      </c>
      <c r="F137" s="4"/>
      <c r="G137" s="7">
        <f t="shared" si="3"/>
        <v>0</v>
      </c>
      <c r="H137" s="4"/>
      <c r="I137" s="4"/>
      <c r="J137" s="4"/>
    </row>
    <row r="138" spans="1:10" s="1" customFormat="1" ht="13.8" hidden="1">
      <c r="A138" s="9" t="str">
        <f>chitiet!B2071</f>
        <v>cose120</v>
      </c>
      <c r="B138" s="28">
        <f>IF(E138=0,,COUNTIF($B$78:$B137,"&gt;0")+1)</f>
        <v>0</v>
      </c>
      <c r="C138" s="16" t="str">
        <f>chitiet!F2071</f>
        <v>Đầu cosse ép Cu-Al 120mm2</v>
      </c>
      <c r="D138" s="19" t="str">
        <f>chitiet!G2071</f>
        <v>cái</v>
      </c>
      <c r="E138" s="16">
        <f>chitiet!D2071</f>
        <v>0</v>
      </c>
      <c r="F138" s="4"/>
      <c r="G138" s="7">
        <f t="shared" si="3"/>
        <v>0</v>
      </c>
      <c r="H138" s="4"/>
      <c r="I138" s="4"/>
      <c r="J138" s="4"/>
    </row>
    <row r="139" spans="1:10" s="1" customFormat="1" ht="13.8" hidden="1">
      <c r="A139" s="9" t="str">
        <f>chitiet!B2072</f>
        <v>cose150</v>
      </c>
      <c r="B139" s="28">
        <f>IF(E139=0,,COUNTIF($B$78:$B138,"&gt;0")+1)</f>
        <v>0</v>
      </c>
      <c r="C139" s="16" t="str">
        <f>chitiet!F2072</f>
        <v>Đầu cosse ép Cu-Al 150mm2</v>
      </c>
      <c r="D139" s="19" t="str">
        <f>chitiet!G2072</f>
        <v>cái</v>
      </c>
      <c r="E139" s="16">
        <f>chitiet!D2072</f>
        <v>0</v>
      </c>
      <c r="F139" s="4"/>
      <c r="G139" s="7">
        <f t="shared" si="3"/>
        <v>0</v>
      </c>
      <c r="H139" s="4"/>
      <c r="I139" s="4"/>
      <c r="J139" s="4"/>
    </row>
    <row r="140" spans="1:10" s="1" customFormat="1" ht="13.8" hidden="1">
      <c r="A140" s="9" t="str">
        <f>chitiet!B2073</f>
        <v>cose185</v>
      </c>
      <c r="B140" s="28">
        <f>IF(E140=0,,COUNTIF($B$78:$B139,"&gt;0")+1)</f>
        <v>0</v>
      </c>
      <c r="C140" s="16" t="str">
        <f>chitiet!F2073</f>
        <v>Đầu cosse ép Cu-Al 185mm2</v>
      </c>
      <c r="D140" s="19" t="str">
        <f>chitiet!G2073</f>
        <v>cái</v>
      </c>
      <c r="E140" s="16">
        <f>chitiet!D2073</f>
        <v>0</v>
      </c>
      <c r="F140" s="4"/>
      <c r="G140" s="7">
        <f t="shared" si="3"/>
        <v>0</v>
      </c>
      <c r="H140" s="4"/>
      <c r="I140" s="4"/>
      <c r="J140" s="4"/>
    </row>
    <row r="141" spans="1:10" s="1" customFormat="1" ht="13.8" hidden="1">
      <c r="A141" s="9" t="str">
        <f>chitiet!B2074</f>
        <v>cose240</v>
      </c>
      <c r="B141" s="28">
        <f>IF(E141=0,,COUNTIF($B$78:$B140,"&gt;0")+1)</f>
        <v>0</v>
      </c>
      <c r="C141" s="16" t="str">
        <f>chitiet!F2074</f>
        <v>Đầu cosse ép Cu-Al 240mm2</v>
      </c>
      <c r="D141" s="19" t="str">
        <f>chitiet!G2074</f>
        <v>cái</v>
      </c>
      <c r="E141" s="16">
        <f>chitiet!D2074</f>
        <v>0</v>
      </c>
      <c r="F141" s="4"/>
      <c r="G141" s="7">
        <f t="shared" si="3"/>
        <v>0</v>
      </c>
      <c r="H141" s="4"/>
      <c r="I141" s="4"/>
      <c r="J141" s="4"/>
    </row>
    <row r="142" spans="1:10" s="1" customFormat="1" ht="13.8" hidden="1">
      <c r="A142" s="9" t="str">
        <f>chitiet!B2075</f>
        <v>B1230</v>
      </c>
      <c r="B142" s="28">
        <f>IF(E142=0,,COUNTIF($B$78:$B141,"&gt;0")+1)</f>
        <v>0</v>
      </c>
      <c r="C142" s="16" t="str">
        <f>chitiet!F2075</f>
        <v>Boulon 12x30+ 2 long đền vuông D14-50x50x3/Zn</v>
      </c>
      <c r="D142" s="19" t="str">
        <f>chitiet!G2075</f>
        <v>bộ</v>
      </c>
      <c r="E142" s="16">
        <f>chitiet!D2075</f>
        <v>0</v>
      </c>
      <c r="F142" s="4"/>
      <c r="G142" s="7">
        <f t="shared" si="3"/>
        <v>0</v>
      </c>
      <c r="H142" s="4"/>
      <c r="I142" s="4"/>
      <c r="J142" s="4"/>
    </row>
    <row r="143" spans="1:10" s="1" customFormat="1" ht="13.8" hidden="1">
      <c r="A143" s="9" t="str">
        <f>chitiet!B2076</f>
        <v>KQ2/0</v>
      </c>
      <c r="B143" s="28">
        <f>IF(E143=0,,COUNTIF($B$78:$B142,"&gt;0")+1)</f>
        <v>0</v>
      </c>
      <c r="C143" s="16" t="str">
        <f>chitiet!F2076</f>
        <v>Kẹp quai 2/0</v>
      </c>
      <c r="D143" s="19" t="str">
        <f>chitiet!G2076</f>
        <v>cái</v>
      </c>
      <c r="E143" s="16">
        <f>chitiet!D2076</f>
        <v>0</v>
      </c>
      <c r="F143" s="4"/>
      <c r="G143" s="7">
        <f t="shared" si="3"/>
        <v>0</v>
      </c>
      <c r="H143" s="4"/>
      <c r="I143" s="4"/>
      <c r="J143" s="4"/>
    </row>
    <row r="144" spans="1:10" s="1" customFormat="1" ht="13.8" hidden="1">
      <c r="A144" s="9" t="str">
        <f>chitiet!B2078</f>
        <v>ccdqu</v>
      </c>
      <c r="B144" s="28">
        <f>IF(E144=0,,COUNTIF($B$78:$B143,"&gt;0")+1)</f>
        <v>0</v>
      </c>
      <c r="C144" s="16" t="str">
        <f>chitiet!F2078</f>
        <v>Chụp cách điện kẹp quai</v>
      </c>
      <c r="D144" s="19" t="str">
        <f>chitiet!G2078</f>
        <v>cái</v>
      </c>
      <c r="E144" s="16">
        <f>chitiet!D2078</f>
        <v>0</v>
      </c>
      <c r="F144" s="4"/>
      <c r="G144" s="7">
        <f t="shared" si="3"/>
        <v>0</v>
      </c>
      <c r="H144" s="4"/>
      <c r="I144" s="4"/>
      <c r="J144" s="4"/>
    </row>
    <row r="145" spans="1:10" ht="13.8">
      <c r="A145" s="106" t="str">
        <f>chitiet!B2079</f>
        <v>XLPE25</v>
      </c>
      <c r="B145" s="128">
        <f>IF(E145=0,,COUNTIF($B$78:$B144,"&gt;0")+1)</f>
        <v>0</v>
      </c>
      <c r="C145" s="101" t="str">
        <f>chitiet!F2079</f>
        <v>Cáp 24KV C/XLPE/PVC 25mm2</v>
      </c>
      <c r="D145" s="84" t="str">
        <f>chitiet!G2079</f>
        <v>mét</v>
      </c>
      <c r="E145" s="101">
        <f>chitiet!D2079</f>
        <v>0</v>
      </c>
      <c r="F145" s="91"/>
      <c r="G145" s="99">
        <f t="shared" si="3"/>
        <v>0</v>
      </c>
      <c r="H145" s="91"/>
      <c r="I145" s="91"/>
      <c r="J145" s="91"/>
    </row>
    <row r="146" spans="1:10" s="1" customFormat="1" ht="13.8" hidden="1">
      <c r="A146" s="9" t="str">
        <f>chitiet!B2080</f>
        <v>c3/8</v>
      </c>
      <c r="B146" s="28">
        <f>IF(E146=0,,COUNTIF($B$78:$B145,"&gt;0")+1)</f>
        <v>0</v>
      </c>
      <c r="C146" s="16" t="str">
        <f>chitiet!F2080</f>
        <v>Cáp thép 3/8"</v>
      </c>
      <c r="D146" s="19" t="str">
        <f>chitiet!G2080</f>
        <v>kg</v>
      </c>
      <c r="E146" s="16">
        <f>chitiet!D2080</f>
        <v>0</v>
      </c>
      <c r="F146" s="4"/>
      <c r="G146" s="7">
        <f t="shared" si="3"/>
        <v>0</v>
      </c>
      <c r="H146" s="4"/>
      <c r="I146" s="4"/>
      <c r="J146" s="4"/>
    </row>
    <row r="147" spans="1:10" ht="13.8">
      <c r="A147" s="106" t="str">
        <f>chitiet!B2082</f>
        <v>ON50</v>
      </c>
      <c r="B147" s="128"/>
      <c r="C147" s="101" t="str">
        <f>chitiet!F2082</f>
        <v>Ống nối dây cỡ 50mm2</v>
      </c>
      <c r="D147" s="84" t="str">
        <f>chitiet!G2082</f>
        <v>cái</v>
      </c>
      <c r="E147" s="101">
        <f>chitiet!D2082</f>
        <v>0</v>
      </c>
      <c r="F147" s="91"/>
      <c r="G147" s="99">
        <f t="shared" si="3"/>
        <v>0</v>
      </c>
      <c r="H147" s="91"/>
      <c r="I147" s="91"/>
      <c r="J147" s="91"/>
    </row>
    <row r="148" spans="1:10" ht="13.8">
      <c r="A148" s="106" t="str">
        <f>chitiet!B2083</f>
        <v>ON70</v>
      </c>
      <c r="B148" s="128"/>
      <c r="C148" s="101" t="str">
        <f>chitiet!F2083</f>
        <v>Ống nối dây cỡ 70mm2</v>
      </c>
      <c r="D148" s="84" t="str">
        <f>chitiet!G2083</f>
        <v>cái</v>
      </c>
      <c r="E148" s="101">
        <f>chitiet!D2083</f>
        <v>0</v>
      </c>
      <c r="F148" s="91"/>
      <c r="G148" s="99">
        <f t="shared" si="3"/>
        <v>0</v>
      </c>
      <c r="H148" s="91"/>
      <c r="I148" s="91"/>
      <c r="J148" s="91"/>
    </row>
    <row r="149" spans="1:10" ht="13.8">
      <c r="A149" s="106" t="str">
        <f>chitiet!B2084</f>
        <v>DAYA</v>
      </c>
      <c r="B149" s="128"/>
      <c r="C149" s="101" t="str">
        <f>chitiet!F2084</f>
        <v xml:space="preserve">Dây nhôm buộc </v>
      </c>
      <c r="D149" s="84" t="str">
        <f>chitiet!G2084</f>
        <v>kg</v>
      </c>
      <c r="E149" s="773">
        <f>chitiet!D2084</f>
        <v>0</v>
      </c>
      <c r="F149" s="91"/>
      <c r="G149" s="99">
        <f t="shared" si="3"/>
        <v>0</v>
      </c>
      <c r="H149" s="91"/>
      <c r="I149" s="91"/>
      <c r="J149" s="91"/>
    </row>
    <row r="150" spans="1:10" s="1" customFormat="1" ht="13.8" hidden="1">
      <c r="A150" s="9" t="str">
        <f>chitiet!B2087</f>
        <v>bnh</v>
      </c>
      <c r="B150" s="28">
        <f>IF(E150=0,,COUNTIF($B$78:$B149,"&gt;0")+1)</f>
        <v>0</v>
      </c>
      <c r="C150" s="16" t="str">
        <f>chitiet!F2087</f>
        <v>Biển số - Bảng nguy hiểm</v>
      </c>
      <c r="D150" s="19" t="str">
        <f>chitiet!G2087</f>
        <v>cái</v>
      </c>
      <c r="E150" s="16">
        <f>chitiet!D2087</f>
        <v>0</v>
      </c>
      <c r="F150" s="4"/>
      <c r="G150" s="7">
        <f t="shared" si="3"/>
        <v>0</v>
      </c>
      <c r="H150" s="4"/>
      <c r="I150" s="4"/>
      <c r="J150" s="4"/>
    </row>
    <row r="151" spans="1:10" ht="13.8">
      <c r="A151" s="774" t="s">
        <v>1899</v>
      </c>
      <c r="B151" s="104" t="s">
        <v>1900</v>
      </c>
      <c r="C151" s="83" t="s">
        <v>2302</v>
      </c>
      <c r="D151" s="84" t="s">
        <v>2301</v>
      </c>
      <c r="E151" s="105"/>
      <c r="F151" s="91"/>
      <c r="G151" s="99">
        <v>1</v>
      </c>
      <c r="H151" s="91"/>
      <c r="I151" s="91"/>
      <c r="J151" s="91"/>
    </row>
    <row r="152" spans="1:10" ht="13.8">
      <c r="A152" s="775" t="str">
        <f>chitiet!B2367</f>
        <v>FCO100-22</v>
      </c>
      <c r="B152" s="100">
        <v>1</v>
      </c>
      <c r="C152" s="101" t="str">
        <f>chitiet!F2367</f>
        <v>FCO 24kV - 100A</v>
      </c>
      <c r="D152" s="84" t="str">
        <f>chitiet!G2367</f>
        <v>cái</v>
      </c>
      <c r="E152" s="776">
        <f>chitiet!D2367</f>
        <v>0</v>
      </c>
      <c r="F152" s="91"/>
      <c r="G152" s="99">
        <f>IF(E152&lt;&gt;0,1,0)</f>
        <v>0</v>
      </c>
      <c r="H152" s="91"/>
      <c r="I152" s="91"/>
      <c r="J152" s="91"/>
    </row>
    <row r="153" spans="1:10" ht="13.8">
      <c r="A153" s="775" t="str">
        <f>chitiet!B2369</f>
        <v>chi8K</v>
      </c>
      <c r="B153" s="100">
        <v>2</v>
      </c>
      <c r="C153" s="101" t="str">
        <f>chitiet!F2369</f>
        <v>Dây chảy 8K</v>
      </c>
      <c r="D153" s="84" t="str">
        <f>chitiet!G2369</f>
        <v>Sợi</v>
      </c>
      <c r="E153" s="776">
        <f>chitiet!D2369</f>
        <v>0</v>
      </c>
      <c r="F153" s="91"/>
      <c r="G153" s="99">
        <f>IF(E153&lt;&gt;0,1,0)</f>
        <v>0</v>
      </c>
      <c r="H153" s="91"/>
      <c r="I153" s="91"/>
      <c r="J153" s="91"/>
    </row>
    <row r="154" spans="1:10" ht="13.8">
      <c r="A154" s="775" t="str">
        <f>chitiet!B2371</f>
        <v>chi12K</v>
      </c>
      <c r="B154" s="100">
        <v>3</v>
      </c>
      <c r="C154" s="101" t="str">
        <f>chitiet!F2371</f>
        <v>Dây chảy 12K</v>
      </c>
      <c r="D154" s="84" t="str">
        <f>chitiet!G2371</f>
        <v>Sợi</v>
      </c>
      <c r="E154" s="776">
        <f>chitiet!D2371</f>
        <v>0</v>
      </c>
      <c r="F154" s="91"/>
      <c r="G154" s="99">
        <f>IF(E154&lt;&gt;0,1,0)</f>
        <v>0</v>
      </c>
      <c r="H154" s="91"/>
      <c r="I154" s="91"/>
      <c r="J154" s="91"/>
    </row>
    <row r="155" spans="1:10" ht="13.8">
      <c r="A155" s="95"/>
      <c r="B155" s="133" t="s">
        <v>890</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91" customWidth="1"/>
    <col min="2" max="2" width="14.81640625" style="2091" customWidth="1"/>
    <col min="3" max="3" width="3.81640625" style="2091" customWidth="1"/>
    <col min="4" max="4" width="10.1796875" style="2091" customWidth="1"/>
    <col min="5" max="5" width="43.453125" style="2092" customWidth="1"/>
    <col min="6" max="6" width="8.6328125" style="2091" customWidth="1"/>
    <col min="7" max="7" width="8.08984375" style="2095" customWidth="1"/>
    <col min="8" max="8" width="11.54296875" style="2091" customWidth="1" outlineLevel="1"/>
    <col min="9" max="9" width="9.1796875" style="2091" customWidth="1" outlineLevel="1"/>
    <col min="10" max="10" width="11.08984375" style="2091" customWidth="1" outlineLevel="1"/>
    <col min="11" max="11" width="9.90625" style="2091" customWidth="1" outlineLevel="1"/>
    <col min="12" max="12" width="11.54296875" style="2091" customWidth="1" outlineLevel="1"/>
    <col min="13" max="13" width="8.1796875" style="2091" customWidth="1" outlineLevel="1"/>
    <col min="14" max="14" width="10.90625" style="2091" customWidth="1" outlineLevel="1"/>
    <col min="15" max="15" width="9" style="2091" customWidth="1" outlineLevel="1"/>
    <col min="16" max="16" width="11.54296875" style="2101" customWidth="1"/>
    <col min="17" max="17" width="10.6328125" style="2091" customWidth="1"/>
    <col min="18" max="18" width="10.1796875" style="2091" hidden="1" customWidth="1"/>
    <col min="19" max="20" width="8.54296875" style="2091" customWidth="1"/>
    <col min="21" max="21" width="12.1796875" style="2091" customWidth="1"/>
    <col min="22" max="23" width="8.54296875" style="2091" customWidth="1"/>
    <col min="24" max="24" width="9.81640625" style="2091" customWidth="1"/>
    <col min="25" max="25" width="11.81640625" style="2091" customWidth="1"/>
    <col min="26" max="26" width="7.453125" style="2091"/>
    <col min="27" max="27" width="10.6328125" style="2091" customWidth="1"/>
    <col min="28" max="16384" width="7.453125" style="2091"/>
  </cols>
  <sheetData>
    <row r="1" spans="3:16" outlineLevel="1">
      <c r="G1" s="2091"/>
      <c r="P1" s="2091"/>
    </row>
    <row r="2" spans="3:16" outlineLevel="1">
      <c r="E2" s="2573" t="s">
        <v>4415</v>
      </c>
      <c r="F2" s="2574" t="s">
        <v>6303</v>
      </c>
      <c r="G2" s="2574"/>
      <c r="H2" s="2575">
        <v>9</v>
      </c>
      <c r="I2" s="2575" t="s">
        <v>4409</v>
      </c>
      <c r="J2" s="2574" t="s">
        <v>4417</v>
      </c>
      <c r="K2" s="2574"/>
      <c r="L2" s="2575"/>
      <c r="M2" s="2575" t="s">
        <v>4418</v>
      </c>
      <c r="N2" s="2575"/>
      <c r="O2" s="2575" t="s">
        <v>4419</v>
      </c>
      <c r="P2" s="2091"/>
    </row>
    <row r="3" spans="3:16" outlineLevel="1">
      <c r="E3" s="2576">
        <f>IF(H2=12,51,IF(H2=9,36,93))</f>
        <v>36</v>
      </c>
      <c r="F3" s="2577" t="s">
        <v>4420</v>
      </c>
      <c r="G3" s="2574"/>
      <c r="H3" s="2578">
        <f>53</f>
        <v>53</v>
      </c>
      <c r="I3" s="2575" t="s">
        <v>1823</v>
      </c>
      <c r="J3" s="2574" t="s">
        <v>4421</v>
      </c>
      <c r="K3" s="2574"/>
      <c r="L3" s="2575">
        <v>0</v>
      </c>
      <c r="M3" s="2575" t="s">
        <v>4422</v>
      </c>
      <c r="N3" s="2105"/>
      <c r="O3" s="2105"/>
      <c r="P3" s="2091"/>
    </row>
    <row r="4" spans="3:16" outlineLevel="1">
      <c r="E4" s="2579" t="s">
        <v>6304</v>
      </c>
      <c r="F4" s="2577" t="s">
        <v>4423</v>
      </c>
      <c r="G4" s="2574"/>
      <c r="H4" s="2578">
        <f>E3*0.8*0.3</f>
        <v>8.64</v>
      </c>
      <c r="I4" s="2575" t="s">
        <v>856</v>
      </c>
      <c r="J4" s="2580" t="s">
        <v>4424</v>
      </c>
      <c r="K4" s="2574"/>
      <c r="L4" s="2575">
        <v>0</v>
      </c>
      <c r="M4" s="2581"/>
      <c r="N4" s="2105"/>
      <c r="O4" s="2105"/>
      <c r="P4" s="2091"/>
    </row>
    <row r="5" spans="3:16" outlineLevel="1">
      <c r="E5" s="2576"/>
      <c r="F5" s="2582" t="s">
        <v>4425</v>
      </c>
      <c r="G5" s="2575" t="s">
        <v>4426</v>
      </c>
      <c r="H5" s="2575" t="s">
        <v>4427</v>
      </c>
      <c r="I5" s="2582" t="s">
        <v>4428</v>
      </c>
      <c r="J5" s="2582" t="s">
        <v>4429</v>
      </c>
      <c r="K5" s="2575" t="s">
        <v>4427</v>
      </c>
      <c r="L5" s="2582" t="s">
        <v>4430</v>
      </c>
      <c r="M5" s="2583" t="s">
        <v>4431</v>
      </c>
      <c r="N5" s="2105"/>
      <c r="O5" s="2105"/>
      <c r="P5" s="2091"/>
    </row>
    <row r="6" spans="3:16" outlineLevel="1">
      <c r="E6" s="2584"/>
      <c r="F6" s="2585">
        <v>18</v>
      </c>
      <c r="G6" s="2586" t="s">
        <v>2051</v>
      </c>
      <c r="H6" s="2585">
        <v>0</v>
      </c>
      <c r="I6" s="2585">
        <f>H6*15</f>
        <v>0</v>
      </c>
      <c r="J6" s="2587" t="s">
        <v>4432</v>
      </c>
      <c r="K6" s="2585">
        <v>0</v>
      </c>
      <c r="L6" s="2588">
        <f>K6*3*15</f>
        <v>0</v>
      </c>
      <c r="M6" s="2660">
        <f>H21+K21</f>
        <v>0</v>
      </c>
      <c r="N6" s="2105"/>
      <c r="O6" s="2105"/>
      <c r="P6" s="2091"/>
    </row>
    <row r="7" spans="3:16" outlineLevel="1">
      <c r="C7" s="2094"/>
      <c r="E7" s="2589"/>
      <c r="F7" s="2585" t="s">
        <v>4433</v>
      </c>
      <c r="G7" s="2590" t="s">
        <v>2052</v>
      </c>
      <c r="H7" s="2585">
        <v>0</v>
      </c>
      <c r="I7" s="2585">
        <f>H7*25</f>
        <v>0</v>
      </c>
      <c r="J7" s="2587" t="s">
        <v>4434</v>
      </c>
      <c r="K7" s="2585">
        <v>0</v>
      </c>
      <c r="L7" s="2588">
        <f>K7*3*25</f>
        <v>0</v>
      </c>
      <c r="M7" s="2661"/>
      <c r="N7" s="2105"/>
      <c r="O7" s="2591"/>
      <c r="P7" s="2091"/>
    </row>
    <row r="8" spans="3:16" outlineLevel="1">
      <c r="D8" s="2095"/>
      <c r="E8" s="2576"/>
      <c r="F8" s="2585">
        <v>22</v>
      </c>
      <c r="G8" s="2590" t="s">
        <v>4435</v>
      </c>
      <c r="H8" s="2585">
        <v>0</v>
      </c>
      <c r="I8" s="2585">
        <f>H8*37.5</f>
        <v>0</v>
      </c>
      <c r="J8" s="2587" t="s">
        <v>4436</v>
      </c>
      <c r="K8" s="2585">
        <v>0</v>
      </c>
      <c r="L8" s="2588">
        <f>K8*3*37.5</f>
        <v>0</v>
      </c>
      <c r="M8" s="2583" t="s">
        <v>4437</v>
      </c>
      <c r="N8" s="2105"/>
      <c r="O8" s="2105"/>
      <c r="P8" s="2091"/>
    </row>
    <row r="9" spans="3:16" outlineLevel="1">
      <c r="D9" s="2094"/>
      <c r="E9" s="2576"/>
      <c r="F9" s="2592"/>
      <c r="G9" s="2590" t="s">
        <v>2053</v>
      </c>
      <c r="H9" s="2585">
        <v>0</v>
      </c>
      <c r="I9" s="2585">
        <f>H9*50</f>
        <v>0</v>
      </c>
      <c r="J9" s="2587" t="s">
        <v>4438</v>
      </c>
      <c r="K9" s="2585">
        <v>0</v>
      </c>
      <c r="L9" s="2588">
        <f>K9*3*50</f>
        <v>0</v>
      </c>
      <c r="M9" s="2660">
        <f>I24+L24</f>
        <v>750</v>
      </c>
      <c r="N9" s="2105"/>
      <c r="O9" s="2105"/>
      <c r="P9" s="2091"/>
    </row>
    <row r="10" spans="3:16" outlineLevel="1">
      <c r="D10" s="2094"/>
      <c r="E10" s="2576"/>
      <c r="F10" s="2593"/>
      <c r="G10" s="2594" t="s">
        <v>2054</v>
      </c>
      <c r="H10" s="2585">
        <v>0</v>
      </c>
      <c r="I10" s="2585">
        <f>H10*75</f>
        <v>0</v>
      </c>
      <c r="J10" s="2595" t="s">
        <v>4439</v>
      </c>
      <c r="K10" s="2585">
        <v>0</v>
      </c>
      <c r="L10" s="2588">
        <f>K10*160</f>
        <v>0</v>
      </c>
      <c r="M10" s="2662"/>
      <c r="N10" s="2105"/>
      <c r="O10" s="2105"/>
      <c r="P10" s="2091"/>
    </row>
    <row r="11" spans="3:16" outlineLevel="1">
      <c r="D11" s="2094"/>
      <c r="E11" s="2576"/>
      <c r="F11" s="2593"/>
      <c r="G11" s="2594" t="s">
        <v>2055</v>
      </c>
      <c r="H11" s="2585">
        <v>0</v>
      </c>
      <c r="I11" s="2585">
        <f>H11*100</f>
        <v>0</v>
      </c>
      <c r="J11" s="2595" t="s">
        <v>4440</v>
      </c>
      <c r="K11" s="2585">
        <v>0</v>
      </c>
      <c r="L11" s="2588">
        <f>K11*250</f>
        <v>0</v>
      </c>
      <c r="M11" s="2662"/>
      <c r="N11" s="2105"/>
      <c r="O11" s="2105"/>
      <c r="P11" s="2091"/>
    </row>
    <row r="12" spans="3:16" outlineLevel="1">
      <c r="D12" s="2094"/>
      <c r="E12" s="2576"/>
      <c r="F12" s="2593"/>
      <c r="G12" s="2596"/>
      <c r="H12" s="2585"/>
      <c r="I12" s="2597"/>
      <c r="J12" s="2595" t="s">
        <v>4441</v>
      </c>
      <c r="K12" s="2585">
        <v>0</v>
      </c>
      <c r="L12" s="2588">
        <f>K12*320</f>
        <v>0</v>
      </c>
      <c r="M12" s="2662"/>
      <c r="N12" s="2105"/>
      <c r="O12" s="2105"/>
      <c r="P12" s="2091"/>
    </row>
    <row r="13" spans="3:16" outlineLevel="1">
      <c r="D13" s="2094"/>
      <c r="E13" s="2576"/>
      <c r="F13" s="2593"/>
      <c r="G13" s="2596"/>
      <c r="H13" s="2585"/>
      <c r="I13" s="2597"/>
      <c r="J13" s="2595" t="s">
        <v>4442</v>
      </c>
      <c r="K13" s="2585">
        <v>0</v>
      </c>
      <c r="L13" s="2588">
        <f>K13*400</f>
        <v>0</v>
      </c>
      <c r="M13" s="2662"/>
      <c r="N13" s="2105"/>
      <c r="O13" s="2105"/>
      <c r="P13" s="2091"/>
    </row>
    <row r="14" spans="3:16" outlineLevel="1">
      <c r="D14" s="2094"/>
      <c r="E14" s="2576"/>
      <c r="F14" s="2593"/>
      <c r="G14" s="2596"/>
      <c r="H14" s="2585"/>
      <c r="I14" s="2597"/>
      <c r="J14" s="2595" t="s">
        <v>4443</v>
      </c>
      <c r="K14" s="2585">
        <v>0</v>
      </c>
      <c r="L14" s="2588">
        <f>K14*560</f>
        <v>0</v>
      </c>
      <c r="M14" s="2662"/>
      <c r="N14" s="2105"/>
      <c r="O14" s="2105"/>
      <c r="P14" s="2091"/>
    </row>
    <row r="15" spans="3:16" outlineLevel="1">
      <c r="D15" s="2094"/>
      <c r="E15" s="2576"/>
      <c r="F15" s="2593"/>
      <c r="G15" s="2596"/>
      <c r="H15" s="2585"/>
      <c r="I15" s="2597"/>
      <c r="J15" s="2595" t="s">
        <v>4444</v>
      </c>
      <c r="K15" s="2585">
        <v>0</v>
      </c>
      <c r="L15" s="2588">
        <f>K15*630</f>
        <v>0</v>
      </c>
      <c r="M15" s="2662"/>
      <c r="N15" s="2105"/>
      <c r="O15" s="2105"/>
      <c r="P15" s="2091"/>
    </row>
    <row r="16" spans="3:16" outlineLevel="1">
      <c r="D16" s="2094"/>
      <c r="E16" s="2576"/>
      <c r="F16" s="2593"/>
      <c r="G16" s="2596"/>
      <c r="H16" s="2585"/>
      <c r="I16" s="2597"/>
      <c r="J16" s="2595" t="s">
        <v>6109</v>
      </c>
      <c r="K16" s="2585">
        <v>1</v>
      </c>
      <c r="L16" s="2588">
        <f>K16*750</f>
        <v>750</v>
      </c>
      <c r="M16" s="2662"/>
      <c r="N16" s="2105"/>
      <c r="O16" s="2105"/>
      <c r="P16" s="2091"/>
    </row>
    <row r="17" spans="1:26" outlineLevel="1">
      <c r="D17" s="2094"/>
      <c r="E17" s="2576"/>
      <c r="F17" s="2598"/>
      <c r="G17" s="2594"/>
      <c r="H17" s="2585"/>
      <c r="I17" s="2597"/>
      <c r="J17" s="2599">
        <v>1000</v>
      </c>
      <c r="K17" s="2585">
        <v>0</v>
      </c>
      <c r="L17" s="2588">
        <f>K17*1000</f>
        <v>0</v>
      </c>
      <c r="M17" s="2663"/>
      <c r="N17" s="2105"/>
      <c r="O17" s="2105"/>
      <c r="P17" s="2091"/>
    </row>
    <row r="18" spans="1:26" outlineLevel="1">
      <c r="D18" s="2094"/>
      <c r="E18" s="2576"/>
      <c r="F18" s="2598"/>
      <c r="G18" s="2594"/>
      <c r="H18" s="2585"/>
      <c r="I18" s="2597"/>
      <c r="J18" s="2599">
        <v>1250</v>
      </c>
      <c r="K18" s="2585"/>
      <c r="L18" s="2588">
        <f>K18*1000</f>
        <v>0</v>
      </c>
      <c r="M18" s="2663"/>
      <c r="N18" s="2105"/>
      <c r="O18" s="2105"/>
      <c r="P18" s="2091"/>
    </row>
    <row r="19" spans="1:26" outlineLevel="1">
      <c r="D19" s="2094"/>
      <c r="E19" s="2576"/>
      <c r="F19" s="2598"/>
      <c r="G19" s="2594"/>
      <c r="H19" s="2585"/>
      <c r="I19" s="2597"/>
      <c r="J19" s="2599">
        <v>1500</v>
      </c>
      <c r="K19" s="2585">
        <v>0</v>
      </c>
      <c r="L19" s="2588">
        <f>K19*1500</f>
        <v>0</v>
      </c>
      <c r="M19" s="2663"/>
      <c r="N19" s="2105"/>
      <c r="O19" s="2105"/>
      <c r="P19" s="2091"/>
    </row>
    <row r="20" spans="1:26" outlineLevel="1">
      <c r="D20" s="2094"/>
      <c r="E20" s="2576"/>
      <c r="F20" s="2598"/>
      <c r="G20" s="2594"/>
      <c r="H20" s="2585"/>
      <c r="I20" s="2597"/>
      <c r="J20" s="2599">
        <v>1600</v>
      </c>
      <c r="K20" s="2585">
        <v>0</v>
      </c>
      <c r="L20" s="2588">
        <f>K20*1600</f>
        <v>0</v>
      </c>
      <c r="M20" s="2663"/>
      <c r="N20" s="2105"/>
      <c r="O20" s="2105"/>
      <c r="P20" s="2091"/>
    </row>
    <row r="21" spans="1:26" outlineLevel="1">
      <c r="E21" s="2576"/>
      <c r="F21" s="2600"/>
      <c r="G21" s="2601"/>
      <c r="H21" s="2585"/>
      <c r="I21" s="2602"/>
      <c r="J21" s="2603">
        <v>2000</v>
      </c>
      <c r="K21" s="2585">
        <v>0</v>
      </c>
      <c r="L21" s="2588">
        <f>K21*2000</f>
        <v>0</v>
      </c>
      <c r="M21" s="2661"/>
      <c r="N21" s="2105"/>
      <c r="O21" s="2105"/>
      <c r="P21" s="2091"/>
    </row>
    <row r="22" spans="1:26" outlineLevel="1">
      <c r="E22" s="2604"/>
      <c r="F22" s="2605"/>
      <c r="G22" s="2606"/>
      <c r="H22" s="2607"/>
      <c r="I22" s="2602"/>
      <c r="J22" s="2603">
        <v>2500</v>
      </c>
      <c r="K22" s="2585">
        <v>0</v>
      </c>
      <c r="L22" s="2588">
        <f>K22*2500</f>
        <v>0</v>
      </c>
      <c r="M22" s="2608"/>
      <c r="N22" s="2105"/>
      <c r="O22" s="2105"/>
      <c r="P22" s="2091"/>
    </row>
    <row r="23" spans="1:26" outlineLevel="1">
      <c r="E23" s="2604">
        <f>750*1.5</f>
        <v>1125</v>
      </c>
      <c r="F23" s="2605"/>
      <c r="G23" s="2606"/>
      <c r="H23" s="2607"/>
      <c r="I23" s="2602">
        <f>SUM(I6:I11)</f>
        <v>0</v>
      </c>
      <c r="J23" s="2609" t="s">
        <v>6110</v>
      </c>
      <c r="K23" s="2585">
        <v>0</v>
      </c>
      <c r="L23" s="2588">
        <f>+K23*180</f>
        <v>0</v>
      </c>
      <c r="M23" s="2608"/>
      <c r="N23" s="2105"/>
      <c r="O23" s="2105"/>
      <c r="P23" s="2091"/>
    </row>
    <row r="24" spans="1:26" ht="13.95" hidden="1" customHeight="1">
      <c r="A24" s="2091" t="s">
        <v>512</v>
      </c>
      <c r="F24" s="2097"/>
      <c r="G24" s="2098"/>
      <c r="H24" s="2099"/>
      <c r="I24" s="2093">
        <f>+SUM(I6:I23)</f>
        <v>0</v>
      </c>
      <c r="J24" s="2100"/>
      <c r="K24" s="2099"/>
      <c r="L24" s="2093">
        <f>+SUM(L6:L23)</f>
        <v>750</v>
      </c>
      <c r="M24" s="2096"/>
    </row>
    <row r="25" spans="1:26" ht="13.95" hidden="1" customHeight="1">
      <c r="F25" s="2097"/>
      <c r="G25" s="2098"/>
      <c r="H25" s="2099"/>
      <c r="I25" s="2102"/>
      <c r="J25" s="2100"/>
      <c r="K25" s="2099"/>
      <c r="L25" s="2102"/>
      <c r="M25" s="2096"/>
    </row>
    <row r="26" spans="1:26" s="2103" customFormat="1" ht="16.95" hidden="1" customHeight="1">
      <c r="A26" s="2103" t="s">
        <v>1016</v>
      </c>
      <c r="C26" s="2610" t="s">
        <v>6406</v>
      </c>
      <c r="D26" s="2611"/>
      <c r="E26" s="2611"/>
      <c r="F26" s="2611"/>
      <c r="G26" s="2612"/>
      <c r="H26" s="2611"/>
      <c r="I26" s="2611"/>
      <c r="J26" s="2611"/>
      <c r="K26" s="2611"/>
      <c r="L26" s="2611"/>
      <c r="M26" s="2611"/>
      <c r="N26" s="2611"/>
      <c r="O26" s="2611"/>
      <c r="P26" s="2613"/>
      <c r="R26" s="2104"/>
    </row>
    <row r="27" spans="1:26" s="2105" customFormat="1" ht="16.95" customHeight="1">
      <c r="C27" s="2610" t="s">
        <v>6111</v>
      </c>
      <c r="D27" s="2144"/>
      <c r="E27" s="2144"/>
      <c r="F27" s="2144"/>
      <c r="G27" s="2144"/>
      <c r="H27" s="2144"/>
      <c r="I27" s="2144"/>
      <c r="J27" s="2144"/>
      <c r="K27" s="2144"/>
      <c r="L27" s="2144"/>
      <c r="M27" s="2144"/>
      <c r="N27" s="2149"/>
      <c r="O27" s="2149"/>
      <c r="P27" s="2614"/>
      <c r="R27" s="2091"/>
    </row>
    <row r="28" spans="1:26" ht="13.95" customHeight="1">
      <c r="A28" s="2102" t="str">
        <f>IF(G34&lt;&gt;0,1," ")</f>
        <v xml:space="preserve"> </v>
      </c>
      <c r="C28" s="2615"/>
      <c r="D28" s="2616"/>
      <c r="E28" s="2107"/>
      <c r="G28" s="2091"/>
      <c r="P28" s="2091"/>
      <c r="Q28" s="2106"/>
      <c r="R28" s="2106"/>
      <c r="S28" s="2106"/>
      <c r="T28" s="2106"/>
      <c r="U28" s="2106"/>
      <c r="V28" s="2106"/>
      <c r="W28" s="2106"/>
      <c r="X28" s="2106"/>
      <c r="Y28" s="2106"/>
      <c r="Z28" s="2106"/>
    </row>
    <row r="29" spans="1:26" outlineLevel="1">
      <c r="A29" s="2102" t="str">
        <f>A28</f>
        <v xml:space="preserve"> </v>
      </c>
      <c r="C29" s="2107" t="str">
        <f>"BẢNG TỔNG HỢP VẬT LIỆU, NHÂN CÔNG, MÁY THI CÔNG: "&amp;H6&amp;" TRẠM 1P15KVA"</f>
        <v>BẢNG TỔNG HỢP VẬT LIỆU, NHÂN CÔNG, MÁY THI CÔNG: 0 TRẠM 1P15KVA</v>
      </c>
      <c r="D29" s="2617"/>
      <c r="E29" s="2618"/>
      <c r="F29" s="2144"/>
      <c r="G29" s="2144"/>
      <c r="H29" s="2144"/>
      <c r="I29" s="2144"/>
      <c r="J29" s="2144"/>
      <c r="K29" s="2144"/>
      <c r="L29" s="2144"/>
      <c r="M29" s="2144"/>
      <c r="N29" s="2144"/>
      <c r="O29" s="2144"/>
      <c r="P29" s="2107"/>
      <c r="Q29" s="2106"/>
      <c r="R29" s="2106"/>
      <c r="S29" s="2106"/>
      <c r="T29" s="2106"/>
      <c r="U29" s="2106"/>
      <c r="V29" s="2106"/>
      <c r="W29" s="2106"/>
      <c r="X29" s="2106"/>
      <c r="Y29" s="2106"/>
      <c r="Z29" s="2106"/>
    </row>
    <row r="30" spans="1:26" outlineLevel="1">
      <c r="A30" s="2102"/>
      <c r="C30" s="2107"/>
      <c r="D30" s="2617"/>
      <c r="E30" s="2091"/>
      <c r="F30" s="2107"/>
      <c r="G30" s="2107"/>
      <c r="H30" s="2107"/>
      <c r="I30" s="2107"/>
      <c r="J30" s="2107"/>
      <c r="K30" s="2107"/>
      <c r="L30" s="2107"/>
      <c r="M30" s="2107"/>
      <c r="N30" s="2107"/>
      <c r="O30" s="2107"/>
      <c r="P30" s="2107"/>
      <c r="Q30" s="2106"/>
      <c r="R30" s="2106"/>
      <c r="S30" s="2106"/>
      <c r="T30" s="2106"/>
      <c r="U30" s="2106"/>
      <c r="V30" s="2106"/>
      <c r="W30" s="2106"/>
      <c r="X30" s="2106"/>
      <c r="Y30" s="2106"/>
      <c r="Z30" s="2106"/>
    </row>
    <row r="31" spans="1:26" s="2105" customFormat="1" outlineLevel="1">
      <c r="A31" s="2108" t="str">
        <f>A29</f>
        <v xml:space="preserve"> </v>
      </c>
      <c r="B31" s="2108" t="s">
        <v>6112</v>
      </c>
      <c r="C31" s="2648" t="s">
        <v>1708</v>
      </c>
      <c r="D31" s="2649" t="s">
        <v>2597</v>
      </c>
      <c r="E31" s="2651" t="s">
        <v>2598</v>
      </c>
      <c r="F31" s="2648" t="s">
        <v>2593</v>
      </c>
      <c r="G31" s="2109" t="s">
        <v>6113</v>
      </c>
      <c r="H31" s="2112" t="s">
        <v>6114</v>
      </c>
      <c r="I31" s="2619"/>
      <c r="J31" s="2619"/>
      <c r="K31" s="2620"/>
      <c r="L31" s="2112" t="s">
        <v>6115</v>
      </c>
      <c r="M31" s="2619"/>
      <c r="N31" s="2619"/>
      <c r="O31" s="2620"/>
      <c r="P31" s="2648" t="s">
        <v>2599</v>
      </c>
      <c r="Q31" s="2110"/>
      <c r="R31" s="2110"/>
      <c r="S31" s="2110"/>
      <c r="T31" s="2110"/>
      <c r="U31" s="2110"/>
      <c r="V31" s="2110"/>
      <c r="W31" s="2110"/>
      <c r="X31" s="2110"/>
      <c r="Y31" s="2110"/>
      <c r="Z31" s="2110"/>
    </row>
    <row r="32" spans="1:26" s="2105" customFormat="1" outlineLevel="1">
      <c r="A32" s="2108" t="str">
        <f>A31</f>
        <v xml:space="preserve"> </v>
      </c>
      <c r="B32" s="2108"/>
      <c r="C32" s="2648"/>
      <c r="D32" s="2650"/>
      <c r="E32" s="2652"/>
      <c r="F32" s="2648"/>
      <c r="G32" s="2111" t="s">
        <v>2286</v>
      </c>
      <c r="H32" s="2112" t="s">
        <v>6116</v>
      </c>
      <c r="I32" s="2112" t="s">
        <v>6117</v>
      </c>
      <c r="J32" s="2112" t="s">
        <v>6118</v>
      </c>
      <c r="K32" s="2112" t="s">
        <v>6119</v>
      </c>
      <c r="L32" s="2112" t="s">
        <v>6116</v>
      </c>
      <c r="M32" s="2112" t="s">
        <v>6117</v>
      </c>
      <c r="N32" s="2112" t="s">
        <v>6118</v>
      </c>
      <c r="O32" s="2112" t="s">
        <v>6119</v>
      </c>
      <c r="P32" s="2648"/>
      <c r="Q32" s="2110"/>
      <c r="R32" s="2110"/>
      <c r="S32" s="2110"/>
      <c r="T32" s="2110"/>
      <c r="U32" s="2110"/>
      <c r="V32" s="2110"/>
      <c r="W32" s="2110"/>
      <c r="X32" s="2110"/>
      <c r="Y32" s="2110"/>
      <c r="Z32" s="2110"/>
    </row>
    <row r="33" spans="1:27" s="2105" customFormat="1" outlineLevel="1">
      <c r="A33" s="2108" t="str">
        <f>A32</f>
        <v xml:space="preserve"> </v>
      </c>
      <c r="B33" s="2108"/>
      <c r="C33" s="2113"/>
      <c r="D33" s="2114"/>
      <c r="E33" s="2115" t="s">
        <v>3672</v>
      </c>
      <c r="F33" s="2116"/>
      <c r="G33" s="2116"/>
      <c r="H33" s="2116"/>
      <c r="I33" s="2116"/>
      <c r="J33" s="2116"/>
      <c r="K33" s="2116"/>
      <c r="L33" s="2116"/>
      <c r="M33" s="2116"/>
      <c r="N33" s="2116"/>
      <c r="O33" s="2114"/>
      <c r="P33" s="2117"/>
      <c r="Q33" s="2110"/>
      <c r="R33" s="2110"/>
      <c r="S33" s="2110"/>
      <c r="T33" s="2110"/>
      <c r="U33" s="2110"/>
      <c r="V33" s="2110"/>
      <c r="W33" s="2110"/>
      <c r="X33" s="2110"/>
      <c r="Y33" s="2110"/>
      <c r="Z33" s="2110"/>
    </row>
    <row r="34" spans="1:27" s="2105" customFormat="1" outlineLevel="1">
      <c r="A34" s="2108" t="str">
        <f t="shared" ref="A34:A65" si="0">VLOOKUP(B34,DonGia,3,0)</f>
        <v>Máy biến áp 12,7/0,22-0,44kV  15kVA</v>
      </c>
      <c r="B34" s="2118" t="str">
        <f>IF($F$8=22,"TR151","TR15")</f>
        <v>TR151</v>
      </c>
      <c r="C34" s="2119">
        <f>IF(G34&gt;0,1,0)</f>
        <v>0</v>
      </c>
      <c r="D34" s="2120" t="s">
        <v>5583</v>
      </c>
      <c r="E34" s="2121" t="s">
        <v>3306</v>
      </c>
      <c r="F34" s="2120" t="s">
        <v>3300</v>
      </c>
      <c r="G34" s="2122">
        <f>H6</f>
        <v>0</v>
      </c>
      <c r="H34" s="2123">
        <v>25444000</v>
      </c>
      <c r="I34" s="2123"/>
      <c r="J34" s="2123">
        <v>546322</v>
      </c>
      <c r="K34" s="2123">
        <v>284508</v>
      </c>
      <c r="L34" s="2124">
        <f t="shared" ref="L34:L41" si="1">H34*G34</f>
        <v>0</v>
      </c>
      <c r="M34" s="2124">
        <f t="shared" ref="M34:M41" si="2">I34*G34</f>
        <v>0</v>
      </c>
      <c r="N34" s="2124">
        <f t="shared" ref="N34:N41" si="3">J34*G34</f>
        <v>0</v>
      </c>
      <c r="O34" s="2125">
        <f t="shared" ref="O34:O41" si="4">K34*G34</f>
        <v>0</v>
      </c>
      <c r="P34" s="2126"/>
      <c r="R34" s="2110"/>
      <c r="S34" s="2110"/>
      <c r="T34" s="2110"/>
      <c r="U34" s="2110"/>
      <c r="V34" s="2110"/>
      <c r="W34" s="2110"/>
      <c r="X34" s="2110"/>
      <c r="Y34" s="2110"/>
      <c r="Z34" s="2110"/>
      <c r="AA34" s="2110"/>
    </row>
    <row r="35" spans="1:27" s="2105" customFormat="1" outlineLevel="1">
      <c r="A35" s="2108" t="str">
        <f t="shared" si="0"/>
        <v>FCO 24kV - 100A</v>
      </c>
      <c r="B35" s="2118" t="str">
        <f>"FCO100-"&amp;$F$8</f>
        <v>FCO100-22</v>
      </c>
      <c r="C35" s="2119">
        <f t="shared" ref="C35:C41" si="5">IF(G35&gt;0,C34+1,C34)</f>
        <v>0</v>
      </c>
      <c r="D35" s="2120" t="s">
        <v>5598</v>
      </c>
      <c r="E35" s="2121" t="s">
        <v>95</v>
      </c>
      <c r="F35" s="2120" t="s">
        <v>2555</v>
      </c>
      <c r="G35" s="2127">
        <f>+G34</f>
        <v>0</v>
      </c>
      <c r="H35" s="2123">
        <v>2244280</v>
      </c>
      <c r="I35" s="2123"/>
      <c r="J35" s="2123">
        <v>222639.99999999997</v>
      </c>
      <c r="K35" s="2128"/>
      <c r="L35" s="2129">
        <f t="shared" si="1"/>
        <v>0</v>
      </c>
      <c r="M35" s="2129">
        <f t="shared" si="2"/>
        <v>0</v>
      </c>
      <c r="N35" s="2129">
        <f t="shared" si="3"/>
        <v>0</v>
      </c>
      <c r="O35" s="2128">
        <f t="shared" si="4"/>
        <v>0</v>
      </c>
      <c r="P35" s="2127"/>
      <c r="R35" s="2110"/>
      <c r="S35" s="2110"/>
      <c r="T35" s="2110"/>
      <c r="U35" s="2110"/>
      <c r="V35" s="2110"/>
      <c r="W35" s="2110"/>
      <c r="X35" s="2110"/>
      <c r="Y35" s="2110"/>
      <c r="Z35" s="2110"/>
      <c r="AA35" s="2110"/>
    </row>
    <row r="36" spans="1:27" s="2105" customFormat="1" outlineLevel="1">
      <c r="A36" s="2108" t="str">
        <f t="shared" si="0"/>
        <v>Dây chảy 3K</v>
      </c>
      <c r="B36" s="2130" t="s">
        <v>888</v>
      </c>
      <c r="C36" s="2119">
        <f t="shared" si="5"/>
        <v>0</v>
      </c>
      <c r="D36" s="2120">
        <v>0</v>
      </c>
      <c r="E36" s="2121" t="s">
        <v>3422</v>
      </c>
      <c r="F36" s="2120" t="s">
        <v>2600</v>
      </c>
      <c r="G36" s="2127">
        <f>G35</f>
        <v>0</v>
      </c>
      <c r="H36" s="2123">
        <v>84000</v>
      </c>
      <c r="I36" s="2123"/>
      <c r="J36" s="2123">
        <v>0</v>
      </c>
      <c r="K36" s="2128"/>
      <c r="L36" s="2129">
        <f t="shared" si="1"/>
        <v>0</v>
      </c>
      <c r="M36" s="2129">
        <f t="shared" si="2"/>
        <v>0</v>
      </c>
      <c r="N36" s="2129">
        <f t="shared" si="3"/>
        <v>0</v>
      </c>
      <c r="O36" s="2128">
        <f t="shared" si="4"/>
        <v>0</v>
      </c>
      <c r="P36" s="2127"/>
      <c r="R36" s="2131"/>
    </row>
    <row r="37" spans="1:27" s="2105" customFormat="1" outlineLevel="1">
      <c r="A37" s="2108" t="str">
        <f t="shared" si="0"/>
        <v>Chống sét van LA-18KV-10KA</v>
      </c>
      <c r="B37" s="2130" t="str">
        <f>"LA"&amp;F6</f>
        <v>LA18</v>
      </c>
      <c r="C37" s="2119">
        <f t="shared" si="5"/>
        <v>0</v>
      </c>
      <c r="D37" s="2120" t="s">
        <v>5602</v>
      </c>
      <c r="E37" s="2121" t="s">
        <v>1193</v>
      </c>
      <c r="F37" s="2120" t="s">
        <v>2555</v>
      </c>
      <c r="G37" s="2127">
        <f>G35</f>
        <v>0</v>
      </c>
      <c r="H37" s="2123">
        <v>1106000</v>
      </c>
      <c r="I37" s="2123"/>
      <c r="J37" s="2123">
        <v>83490</v>
      </c>
      <c r="K37" s="2128"/>
      <c r="L37" s="2129">
        <f t="shared" si="1"/>
        <v>0</v>
      </c>
      <c r="M37" s="2129">
        <f t="shared" si="2"/>
        <v>0</v>
      </c>
      <c r="N37" s="2129">
        <f t="shared" si="3"/>
        <v>0</v>
      </c>
      <c r="O37" s="2128">
        <f t="shared" si="4"/>
        <v>0</v>
      </c>
      <c r="P37" s="2127"/>
      <c r="R37" s="2131"/>
    </row>
    <row r="38" spans="1:27" s="2105" customFormat="1" outlineLevel="1">
      <c r="A38" s="2108" t="str">
        <f t="shared" si="0"/>
        <v>MCCB 3 cực 400V-75A - 10KA</v>
      </c>
      <c r="B38" s="2132" t="s">
        <v>81</v>
      </c>
      <c r="C38" s="2119">
        <f t="shared" si="5"/>
        <v>0</v>
      </c>
      <c r="D38" s="2120">
        <v>0</v>
      </c>
      <c r="E38" s="2121" t="s">
        <v>5679</v>
      </c>
      <c r="F38" s="2120" t="s">
        <v>2555</v>
      </c>
      <c r="G38" s="2127">
        <f>G34</f>
        <v>0</v>
      </c>
      <c r="H38" s="2123">
        <v>2616000</v>
      </c>
      <c r="I38" s="2123"/>
      <c r="J38" s="2123">
        <v>0</v>
      </c>
      <c r="K38" s="2128"/>
      <c r="L38" s="2129">
        <f t="shared" si="1"/>
        <v>0</v>
      </c>
      <c r="M38" s="2129">
        <f>I38*G38</f>
        <v>0</v>
      </c>
      <c r="N38" s="2129">
        <f>J38*G38</f>
        <v>0</v>
      </c>
      <c r="O38" s="2128">
        <f>K38*G38</f>
        <v>0</v>
      </c>
      <c r="P38" s="2127"/>
      <c r="R38" s="2131"/>
    </row>
    <row r="39" spans="1:27" s="2105" customFormat="1" outlineLevel="1">
      <c r="A39" s="2108" t="str">
        <f t="shared" si="0"/>
        <v>Điện kế 1 pha 2 dây 220V-80A</v>
      </c>
      <c r="B39" s="2133" t="s">
        <v>2193</v>
      </c>
      <c r="C39" s="2119">
        <f t="shared" si="5"/>
        <v>0</v>
      </c>
      <c r="D39" s="2120">
        <v>0</v>
      </c>
      <c r="E39" s="2121" t="s">
        <v>3438</v>
      </c>
      <c r="F39" s="2120" t="s">
        <v>2555</v>
      </c>
      <c r="G39" s="2127">
        <f>G34</f>
        <v>0</v>
      </c>
      <c r="H39" s="2123"/>
      <c r="I39" s="2123"/>
      <c r="J39" s="2128"/>
      <c r="K39" s="2128"/>
      <c r="L39" s="2129">
        <f t="shared" si="1"/>
        <v>0</v>
      </c>
      <c r="M39" s="2129">
        <f t="shared" si="2"/>
        <v>0</v>
      </c>
      <c r="N39" s="2129">
        <f t="shared" si="3"/>
        <v>0</v>
      </c>
      <c r="O39" s="2128">
        <f t="shared" si="4"/>
        <v>0</v>
      </c>
      <c r="P39" s="2127" t="s">
        <v>6120</v>
      </c>
      <c r="R39" s="2131"/>
    </row>
    <row r="40" spans="1:27" s="2105" customFormat="1" outlineLevel="1">
      <c r="A40" s="2108" t="str">
        <f t="shared" si="0"/>
        <v xml:space="preserve">Ampe kế 100/5A-600v +AS </v>
      </c>
      <c r="B40" s="2130" t="s">
        <v>199</v>
      </c>
      <c r="C40" s="2119">
        <f t="shared" si="5"/>
        <v>0</v>
      </c>
      <c r="D40" s="2120">
        <v>0</v>
      </c>
      <c r="E40" s="2121" t="s">
        <v>3595</v>
      </c>
      <c r="F40" s="2120" t="s">
        <v>2385</v>
      </c>
      <c r="G40" s="2127">
        <f>G39</f>
        <v>0</v>
      </c>
      <c r="H40" s="2123"/>
      <c r="I40" s="2123"/>
      <c r="J40" s="2128"/>
      <c r="K40" s="2134"/>
      <c r="L40" s="2129">
        <f t="shared" si="1"/>
        <v>0</v>
      </c>
      <c r="M40" s="2129">
        <f t="shared" si="2"/>
        <v>0</v>
      </c>
      <c r="N40" s="2129">
        <f t="shared" si="3"/>
        <v>0</v>
      </c>
      <c r="O40" s="2128">
        <f t="shared" si="4"/>
        <v>0</v>
      </c>
      <c r="P40" s="2127" t="s">
        <v>6120</v>
      </c>
      <c r="R40" s="2131"/>
    </row>
    <row r="41" spans="1:27" s="2105" customFormat="1" outlineLevel="1">
      <c r="A41" s="2108" t="str">
        <f t="shared" si="0"/>
        <v>Volt kế 500V + VS + 2xChì ống 1A-230V</v>
      </c>
      <c r="B41" s="2130" t="s">
        <v>200</v>
      </c>
      <c r="C41" s="2119">
        <f t="shared" si="5"/>
        <v>0</v>
      </c>
      <c r="D41" s="2120">
        <v>0</v>
      </c>
      <c r="E41" s="2121" t="s">
        <v>3596</v>
      </c>
      <c r="F41" s="2120" t="s">
        <v>2385</v>
      </c>
      <c r="G41" s="2127">
        <f>G40</f>
        <v>0</v>
      </c>
      <c r="H41" s="2123"/>
      <c r="I41" s="2123"/>
      <c r="J41" s="2128"/>
      <c r="K41" s="2134"/>
      <c r="L41" s="2129">
        <f t="shared" si="1"/>
        <v>0</v>
      </c>
      <c r="M41" s="2129">
        <f t="shared" si="2"/>
        <v>0</v>
      </c>
      <c r="N41" s="2129">
        <f t="shared" si="3"/>
        <v>0</v>
      </c>
      <c r="O41" s="2128">
        <f t="shared" si="4"/>
        <v>0</v>
      </c>
      <c r="P41" s="2127" t="s">
        <v>6120</v>
      </c>
      <c r="R41" s="2131"/>
    </row>
    <row r="42" spans="1:27" s="2105" customFormat="1" outlineLevel="1">
      <c r="A42" s="2108" t="e">
        <f t="shared" si="0"/>
        <v>#N/A</v>
      </c>
      <c r="B42" s="2108"/>
      <c r="C42" s="2135"/>
      <c r="D42" s="2136"/>
      <c r="E42" s="2621"/>
      <c r="F42" s="2135"/>
      <c r="G42" s="2135"/>
      <c r="H42" s="2135"/>
      <c r="I42" s="2135"/>
      <c r="J42" s="2117" t="s">
        <v>6121</v>
      </c>
      <c r="K42" s="2135"/>
      <c r="L42" s="2117">
        <f>SUM(L34:L41)</f>
        <v>0</v>
      </c>
      <c r="M42" s="2117">
        <f>SUM(M34:M41)</f>
        <v>0</v>
      </c>
      <c r="N42" s="2117">
        <f>SUM(N34:N41)</f>
        <v>0</v>
      </c>
      <c r="O42" s="2117">
        <f>SUM(O34:O41)</f>
        <v>0</v>
      </c>
      <c r="P42" s="2135"/>
      <c r="R42" s="2131"/>
    </row>
    <row r="43" spans="1:27" s="2105" customFormat="1" outlineLevel="1">
      <c r="A43" s="2108" t="e">
        <f t="shared" si="0"/>
        <v>#N/A</v>
      </c>
      <c r="B43" s="2108"/>
      <c r="C43" s="2137"/>
      <c r="D43" s="2138"/>
      <c r="E43" s="2115" t="s">
        <v>3673</v>
      </c>
      <c r="F43" s="2139"/>
      <c r="G43" s="2139"/>
      <c r="H43" s="2139"/>
      <c r="I43" s="2139"/>
      <c r="J43" s="2139"/>
      <c r="K43" s="2139"/>
      <c r="L43" s="2139"/>
      <c r="M43" s="2139"/>
      <c r="N43" s="2139"/>
      <c r="O43" s="2138"/>
      <c r="P43" s="2135"/>
      <c r="R43" s="2131"/>
    </row>
    <row r="44" spans="1:27" s="2105" customFormat="1" outlineLevel="1">
      <c r="A44" s="2108" t="str">
        <f t="shared" si="0"/>
        <v>Boulon 16x300+ 2 long đền vuông D18-50x50x3/Zn</v>
      </c>
      <c r="B44" s="2130" t="s">
        <v>1610</v>
      </c>
      <c r="C44" s="2140">
        <f>IF(G45&gt;0,1,0)</f>
        <v>0</v>
      </c>
      <c r="D44" s="2141"/>
      <c r="E44" s="2121" t="s">
        <v>2649</v>
      </c>
      <c r="F44" s="2120" t="s">
        <v>2439</v>
      </c>
      <c r="G44" s="2142">
        <f>G34*2</f>
        <v>0</v>
      </c>
      <c r="H44" s="2123">
        <v>25400</v>
      </c>
      <c r="I44" s="2123"/>
      <c r="J44" s="2123"/>
      <c r="K44" s="2123">
        <v>0</v>
      </c>
      <c r="L44" s="2129">
        <f t="shared" ref="L44:L115" si="6">H44*G44</f>
        <v>0</v>
      </c>
      <c r="M44" s="2143"/>
      <c r="N44" s="2144"/>
      <c r="O44" s="2143"/>
      <c r="P44" s="2126"/>
      <c r="R44" s="2131"/>
    </row>
    <row r="45" spans="1:27" s="2105" customFormat="1" outlineLevel="1">
      <c r="A45" s="2108" t="e">
        <f t="shared" si="0"/>
        <v>#N/A</v>
      </c>
      <c r="B45" s="2130"/>
      <c r="C45" s="2145">
        <f>IF(G45&gt;0,C44+1,C44)</f>
        <v>0</v>
      </c>
      <c r="D45" s="2146"/>
      <c r="E45" s="2147" t="s">
        <v>6122</v>
      </c>
      <c r="F45" s="2142" t="s">
        <v>2385</v>
      </c>
      <c r="G45" s="2142"/>
      <c r="H45" s="2128"/>
      <c r="I45" s="2128"/>
      <c r="J45" s="2128"/>
      <c r="K45" s="2128"/>
      <c r="L45" s="2129">
        <f t="shared" si="6"/>
        <v>0</v>
      </c>
      <c r="M45" s="2129">
        <f t="shared" ref="M45:M115" si="7">I45*G45</f>
        <v>0</v>
      </c>
      <c r="N45" s="2129">
        <f>J45*G45</f>
        <v>0</v>
      </c>
      <c r="O45" s="2128">
        <f t="shared" ref="O45:O115" si="8">K45*G45</f>
        <v>0</v>
      </c>
      <c r="P45" s="2127"/>
    </row>
    <row r="46" spans="1:27" s="2105" customFormat="1" ht="14.4" outlineLevel="1">
      <c r="A46" s="2108" t="e">
        <f t="shared" si="0"/>
        <v>#N/A</v>
      </c>
      <c r="B46" s="2130"/>
      <c r="C46" s="2142"/>
      <c r="D46" s="2146"/>
      <c r="E46" s="2148" t="s">
        <v>2279</v>
      </c>
      <c r="F46" s="2127"/>
      <c r="G46" s="2127"/>
      <c r="H46" s="2128"/>
      <c r="I46" s="2128"/>
      <c r="J46" s="2128"/>
      <c r="K46" s="2128"/>
      <c r="L46" s="2129">
        <f t="shared" si="6"/>
        <v>0</v>
      </c>
      <c r="M46" s="2129">
        <f t="shared" si="7"/>
        <v>0</v>
      </c>
      <c r="N46" s="2129">
        <f>J46*G46</f>
        <v>0</v>
      </c>
      <c r="O46" s="2128">
        <f t="shared" si="8"/>
        <v>0</v>
      </c>
      <c r="P46" s="2127"/>
      <c r="R46" s="2149"/>
    </row>
    <row r="47" spans="1:27" s="2105" customFormat="1" outlineLevel="1">
      <c r="A47" s="2108" t="str">
        <f t="shared" si="0"/>
        <v>Trụ BTLT 12m F540 dự ứng lực</v>
      </c>
      <c r="B47" s="2133" t="s">
        <v>115</v>
      </c>
      <c r="C47" s="2127"/>
      <c r="D47" s="2120">
        <v>0</v>
      </c>
      <c r="E47" s="2121" t="s">
        <v>2992</v>
      </c>
      <c r="F47" s="2120" t="s">
        <v>2831</v>
      </c>
      <c r="G47" s="2127">
        <f>1*G45</f>
        <v>0</v>
      </c>
      <c r="H47" s="2123">
        <v>4400000</v>
      </c>
      <c r="I47" s="2123"/>
      <c r="J47" s="2123">
        <v>0</v>
      </c>
      <c r="K47" s="2123">
        <v>0</v>
      </c>
      <c r="L47" s="2129">
        <f t="shared" si="6"/>
        <v>0</v>
      </c>
      <c r="M47" s="2129">
        <f t="shared" si="7"/>
        <v>0</v>
      </c>
      <c r="N47" s="2129">
        <f>J47*G47</f>
        <v>0</v>
      </c>
      <c r="O47" s="2128">
        <f t="shared" si="8"/>
        <v>0</v>
      </c>
      <c r="P47" s="2127"/>
      <c r="R47" s="2149"/>
    </row>
    <row r="48" spans="1:27" s="2105" customFormat="1" outlineLevel="1">
      <c r="A48" s="2108" t="str">
        <f t="shared" si="0"/>
        <v>Vật liệu dựng trụ</v>
      </c>
      <c r="B48" s="2133" t="s">
        <v>1814</v>
      </c>
      <c r="C48" s="2127"/>
      <c r="D48" s="2150"/>
      <c r="E48" s="2121" t="s">
        <v>2830</v>
      </c>
      <c r="F48" s="2120" t="s">
        <v>2831</v>
      </c>
      <c r="G48" s="2127">
        <f>G47</f>
        <v>0</v>
      </c>
      <c r="H48" s="2123">
        <v>17400</v>
      </c>
      <c r="I48" s="2123"/>
      <c r="J48" s="2123">
        <v>0</v>
      </c>
      <c r="K48" s="2123">
        <v>0</v>
      </c>
      <c r="L48" s="2129">
        <f t="shared" si="6"/>
        <v>0</v>
      </c>
      <c r="M48" s="2129">
        <f t="shared" si="7"/>
        <v>0</v>
      </c>
      <c r="N48" s="2129">
        <f>J48*G48</f>
        <v>0</v>
      </c>
      <c r="O48" s="2128">
        <f t="shared" si="8"/>
        <v>0</v>
      </c>
      <c r="P48" s="2127"/>
      <c r="R48" s="2149"/>
    </row>
    <row r="49" spans="1:18" s="2105" customFormat="1" outlineLevel="1">
      <c r="A49" s="2108" t="str">
        <f t="shared" si="0"/>
        <v>Dựng trụ BTLT 12m trong TBA bằng thủ công + cơ giới</v>
      </c>
      <c r="B49" s="2133" t="s">
        <v>2126</v>
      </c>
      <c r="C49" s="2127"/>
      <c r="D49" s="2120" t="s">
        <v>2127</v>
      </c>
      <c r="E49" s="2121" t="s">
        <v>3167</v>
      </c>
      <c r="F49" s="2120" t="s">
        <v>2831</v>
      </c>
      <c r="G49" s="2127">
        <f>G47</f>
        <v>0</v>
      </c>
      <c r="H49" s="2123">
        <v>0</v>
      </c>
      <c r="I49" s="2123"/>
      <c r="J49" s="2123">
        <v>112286</v>
      </c>
      <c r="K49" s="2123">
        <v>105970</v>
      </c>
      <c r="L49" s="2129">
        <f t="shared" si="6"/>
        <v>0</v>
      </c>
      <c r="M49" s="2129">
        <f t="shared" si="7"/>
        <v>0</v>
      </c>
      <c r="N49" s="2129">
        <f>J49*G49</f>
        <v>0</v>
      </c>
      <c r="O49" s="2128">
        <f t="shared" si="8"/>
        <v>0</v>
      </c>
      <c r="P49" s="2127"/>
      <c r="R49" s="2149"/>
    </row>
    <row r="50" spans="1:18" s="2105" customFormat="1" outlineLevel="1">
      <c r="A50" s="2108" t="e">
        <f t="shared" si="0"/>
        <v>#N/A</v>
      </c>
      <c r="B50" s="2130"/>
      <c r="C50" s="2145">
        <f>IF(G50&gt;0,C45+1,C45)</f>
        <v>0</v>
      </c>
      <c r="D50" s="2146"/>
      <c r="E50" s="2147" t="s">
        <v>6123</v>
      </c>
      <c r="F50" s="2142" t="s">
        <v>2385</v>
      </c>
      <c r="G50" s="2142"/>
      <c r="H50" s="2128"/>
      <c r="I50" s="2128"/>
      <c r="J50" s="2128"/>
      <c r="K50" s="2128"/>
      <c r="L50" s="2129">
        <f t="shared" si="6"/>
        <v>0</v>
      </c>
      <c r="M50" s="2129">
        <f t="shared" si="7"/>
        <v>0</v>
      </c>
      <c r="N50" s="2129">
        <f t="shared" ref="N50:N64" si="9">J50*G50</f>
        <v>0</v>
      </c>
      <c r="O50" s="2128">
        <f t="shared" si="8"/>
        <v>0</v>
      </c>
      <c r="P50" s="2127"/>
    </row>
    <row r="51" spans="1:18" s="2105" customFormat="1" ht="14.4" outlineLevel="1">
      <c r="A51" s="2108" t="e">
        <f t="shared" si="0"/>
        <v>#N/A</v>
      </c>
      <c r="B51" s="2130"/>
      <c r="C51" s="2142"/>
      <c r="D51" s="2146"/>
      <c r="E51" s="2148" t="s">
        <v>2279</v>
      </c>
      <c r="F51" s="2127"/>
      <c r="G51" s="2127"/>
      <c r="H51" s="2128"/>
      <c r="I51" s="2128"/>
      <c r="J51" s="2128"/>
      <c r="K51" s="2128"/>
      <c r="L51" s="2129">
        <f t="shared" si="6"/>
        <v>0</v>
      </c>
      <c r="M51" s="2129">
        <f t="shared" si="7"/>
        <v>0</v>
      </c>
      <c r="N51" s="2129">
        <f t="shared" si="9"/>
        <v>0</v>
      </c>
      <c r="O51" s="2128">
        <f t="shared" si="8"/>
        <v>0</v>
      </c>
      <c r="P51" s="2127"/>
      <c r="R51" s="2149"/>
    </row>
    <row r="52" spans="1:18" s="2105" customFormat="1" outlineLevel="1">
      <c r="A52" s="2108" t="str">
        <f t="shared" si="0"/>
        <v>Đà cản BTCT 1,2m</v>
      </c>
      <c r="B52" s="2133" t="s">
        <v>636</v>
      </c>
      <c r="C52" s="2127"/>
      <c r="D52" s="2120" t="s">
        <v>5047</v>
      </c>
      <c r="E52" s="2121" t="s">
        <v>2607</v>
      </c>
      <c r="F52" s="2120" t="s">
        <v>2555</v>
      </c>
      <c r="G52" s="2127">
        <f>1*G50</f>
        <v>0</v>
      </c>
      <c r="H52" s="2123">
        <v>354545</v>
      </c>
      <c r="I52" s="2123"/>
      <c r="J52" s="2123">
        <v>37220.25</v>
      </c>
      <c r="K52" s="2123">
        <v>0</v>
      </c>
      <c r="L52" s="2129">
        <f t="shared" si="6"/>
        <v>0</v>
      </c>
      <c r="M52" s="2129">
        <f t="shared" si="7"/>
        <v>0</v>
      </c>
      <c r="N52" s="2129">
        <f t="shared" si="9"/>
        <v>0</v>
      </c>
      <c r="O52" s="2128">
        <f t="shared" si="8"/>
        <v>0</v>
      </c>
      <c r="P52" s="2127"/>
      <c r="R52" s="2149"/>
    </row>
    <row r="53" spans="1:18" s="2105" customFormat="1" outlineLevel="1">
      <c r="A53" s="2108" t="str">
        <f t="shared" si="0"/>
        <v>Boulon 22x650+ 2 long đền vuông D24-50x50x3/Zn</v>
      </c>
      <c r="B53" s="2133" t="s">
        <v>566</v>
      </c>
      <c r="C53" s="2127"/>
      <c r="D53" s="2120">
        <v>0</v>
      </c>
      <c r="E53" s="2121" t="s">
        <v>5072</v>
      </c>
      <c r="F53" s="2120" t="s">
        <v>2439</v>
      </c>
      <c r="G53" s="2127">
        <f>G50</f>
        <v>0</v>
      </c>
      <c r="H53" s="2123">
        <v>92200</v>
      </c>
      <c r="I53" s="2123"/>
      <c r="J53" s="2123">
        <v>0</v>
      </c>
      <c r="K53" s="2123">
        <v>0</v>
      </c>
      <c r="L53" s="2129">
        <f t="shared" si="6"/>
        <v>0</v>
      </c>
      <c r="M53" s="2129">
        <f t="shared" si="7"/>
        <v>0</v>
      </c>
      <c r="N53" s="2129">
        <f t="shared" si="9"/>
        <v>0</v>
      </c>
      <c r="O53" s="2128">
        <f t="shared" si="8"/>
        <v>0</v>
      </c>
      <c r="P53" s="2127"/>
      <c r="R53" s="2149"/>
    </row>
    <row r="54" spans="1:18" s="2105" customFormat="1" outlineLevel="1">
      <c r="A54" s="2108" t="str">
        <f t="shared" si="0"/>
        <v>Đào hố móng đất cấp 3 sâu &gt;1m</v>
      </c>
      <c r="B54" s="2133" t="s">
        <v>639</v>
      </c>
      <c r="C54" s="2127"/>
      <c r="D54" s="2120" t="s">
        <v>1747</v>
      </c>
      <c r="E54" s="2121" t="s">
        <v>5324</v>
      </c>
      <c r="F54" s="2120" t="s">
        <v>856</v>
      </c>
      <c r="G54" s="2151">
        <f>G50*1.45</f>
        <v>0</v>
      </c>
      <c r="H54" s="2123">
        <v>0</v>
      </c>
      <c r="I54" s="2123"/>
      <c r="J54" s="2123">
        <v>296500.89999999997</v>
      </c>
      <c r="K54" s="2123">
        <v>0</v>
      </c>
      <c r="L54" s="2129">
        <f>H54*G54</f>
        <v>0</v>
      </c>
      <c r="M54" s="2129">
        <f>I54*G54</f>
        <v>0</v>
      </c>
      <c r="N54" s="2129">
        <f>J54*G54</f>
        <v>0</v>
      </c>
      <c r="O54" s="2128">
        <f>K54*G54</f>
        <v>0</v>
      </c>
      <c r="P54" s="2127"/>
      <c r="R54" s="2149"/>
    </row>
    <row r="55" spans="1:18" s="2105" customFormat="1" outlineLevel="1">
      <c r="A55" s="2108" t="str">
        <f t="shared" si="0"/>
        <v>Đắp đất hố móng, độ chặt k=0,95</v>
      </c>
      <c r="B55" s="2133" t="s">
        <v>21</v>
      </c>
      <c r="C55" s="2127"/>
      <c r="D55" s="2120" t="s">
        <v>5325</v>
      </c>
      <c r="E55" s="2121" t="s">
        <v>5326</v>
      </c>
      <c r="F55" s="2120" t="s">
        <v>856</v>
      </c>
      <c r="G55" s="2151">
        <f>G50*1.37</f>
        <v>0</v>
      </c>
      <c r="H55" s="2123">
        <v>0</v>
      </c>
      <c r="I55" s="2123"/>
      <c r="J55" s="2123">
        <v>117703.6</v>
      </c>
      <c r="K55" s="2123">
        <v>0</v>
      </c>
      <c r="L55" s="2129">
        <f t="shared" si="6"/>
        <v>0</v>
      </c>
      <c r="M55" s="2129">
        <f t="shared" si="7"/>
        <v>0</v>
      </c>
      <c r="N55" s="2129">
        <f t="shared" si="9"/>
        <v>0</v>
      </c>
      <c r="O55" s="2128">
        <f t="shared" si="8"/>
        <v>0</v>
      </c>
      <c r="P55" s="2127"/>
      <c r="R55" s="2149"/>
    </row>
    <row r="56" spans="1:18" s="2105" customFormat="1" outlineLevel="1">
      <c r="A56" s="2108" t="e">
        <f t="shared" si="0"/>
        <v>#N/A</v>
      </c>
      <c r="B56" s="2130"/>
      <c r="C56" s="2145">
        <f>IF(G56&gt;0,C50+1,C50)</f>
        <v>0</v>
      </c>
      <c r="D56" s="2146"/>
      <c r="E56" s="2147" t="s">
        <v>6124</v>
      </c>
      <c r="F56" s="2142" t="s">
        <v>2385</v>
      </c>
      <c r="G56" s="2142">
        <f>SUM(G44:G44)</f>
        <v>0</v>
      </c>
      <c r="H56" s="2128"/>
      <c r="I56" s="2128"/>
      <c r="J56" s="2128"/>
      <c r="K56" s="2128"/>
      <c r="L56" s="2129">
        <f t="shared" si="6"/>
        <v>0</v>
      </c>
      <c r="M56" s="2129">
        <f t="shared" si="7"/>
        <v>0</v>
      </c>
      <c r="N56" s="2129">
        <f t="shared" si="9"/>
        <v>0</v>
      </c>
      <c r="O56" s="2128">
        <f t="shared" si="8"/>
        <v>0</v>
      </c>
      <c r="P56" s="2127"/>
    </row>
    <row r="57" spans="1:18" s="2105" customFormat="1" ht="14.4" outlineLevel="1">
      <c r="A57" s="2108" t="e">
        <f t="shared" si="0"/>
        <v>#N/A</v>
      </c>
      <c r="B57" s="2130"/>
      <c r="C57" s="2142"/>
      <c r="D57" s="2146"/>
      <c r="E57" s="2148" t="s">
        <v>2279</v>
      </c>
      <c r="F57" s="2127"/>
      <c r="G57" s="2127"/>
      <c r="H57" s="2128"/>
      <c r="I57" s="2128"/>
      <c r="J57" s="2128"/>
      <c r="K57" s="2128"/>
      <c r="L57" s="2129">
        <f t="shared" si="6"/>
        <v>0</v>
      </c>
      <c r="M57" s="2129">
        <f t="shared" si="7"/>
        <v>0</v>
      </c>
      <c r="N57" s="2129">
        <f t="shared" si="9"/>
        <v>0</v>
      </c>
      <c r="O57" s="2128">
        <f t="shared" si="8"/>
        <v>0</v>
      </c>
      <c r="P57" s="2127"/>
      <c r="R57" s="2149"/>
    </row>
    <row r="58" spans="1:18" s="2105" customFormat="1" outlineLevel="1">
      <c r="A58" s="2108" t="str">
        <f t="shared" si="0"/>
        <v>Đà Composite 110x80x5x800</v>
      </c>
      <c r="B58" s="2133" t="s">
        <v>5157</v>
      </c>
      <c r="C58" s="2127"/>
      <c r="D58" s="2120">
        <v>0</v>
      </c>
      <c r="E58" s="2121" t="s">
        <v>4865</v>
      </c>
      <c r="F58" s="2152" t="s">
        <v>2590</v>
      </c>
      <c r="G58" s="2127">
        <f>1*G56</f>
        <v>0</v>
      </c>
      <c r="H58" s="2123">
        <v>320000</v>
      </c>
      <c r="I58" s="2123"/>
      <c r="J58" s="2123">
        <v>0</v>
      </c>
      <c r="K58" s="2123">
        <v>0</v>
      </c>
      <c r="L58" s="2129">
        <f t="shared" si="6"/>
        <v>0</v>
      </c>
      <c r="M58" s="2129">
        <f t="shared" si="7"/>
        <v>0</v>
      </c>
      <c r="N58" s="2129">
        <f t="shared" si="9"/>
        <v>0</v>
      </c>
      <c r="O58" s="2128">
        <f t="shared" si="8"/>
        <v>0</v>
      </c>
      <c r="P58" s="2127"/>
      <c r="R58" s="2149"/>
    </row>
    <row r="59" spans="1:18" s="2105" customFormat="1" outlineLevel="1">
      <c r="A59" s="2108" t="str">
        <f t="shared" si="0"/>
        <v>Chống Composite 40x10x710</v>
      </c>
      <c r="B59" s="2133" t="s">
        <v>5161</v>
      </c>
      <c r="C59" s="2127"/>
      <c r="D59" s="2150"/>
      <c r="E59" s="2121" t="s">
        <v>5162</v>
      </c>
      <c r="F59" s="2120" t="s">
        <v>5160</v>
      </c>
      <c r="G59" s="2127">
        <f>1*G56</f>
        <v>0</v>
      </c>
      <c r="H59" s="2123">
        <v>95000</v>
      </c>
      <c r="I59" s="2123"/>
      <c r="J59" s="2123">
        <v>0</v>
      </c>
      <c r="K59" s="2123">
        <v>0</v>
      </c>
      <c r="L59" s="2129">
        <f t="shared" si="6"/>
        <v>0</v>
      </c>
      <c r="M59" s="2129">
        <f t="shared" si="7"/>
        <v>0</v>
      </c>
      <c r="N59" s="2129">
        <f t="shared" si="9"/>
        <v>0</v>
      </c>
      <c r="O59" s="2128">
        <f t="shared" si="8"/>
        <v>0</v>
      </c>
      <c r="P59" s="2127"/>
      <c r="R59" s="2149"/>
    </row>
    <row r="60" spans="1:18" s="2105" customFormat="1" outlineLevel="1">
      <c r="A60" s="2108" t="str">
        <f t="shared" si="0"/>
        <v>Bass LL bắt FCO, LA</v>
      </c>
      <c r="B60" s="2133" t="s">
        <v>2271</v>
      </c>
      <c r="C60" s="2127"/>
      <c r="D60" s="2150"/>
      <c r="E60" s="2121" t="s">
        <v>5078</v>
      </c>
      <c r="F60" s="2120" t="s">
        <v>2439</v>
      </c>
      <c r="G60" s="2127">
        <f>1*G56</f>
        <v>0</v>
      </c>
      <c r="H60" s="2123">
        <v>65000</v>
      </c>
      <c r="I60" s="2123"/>
      <c r="J60" s="2123">
        <v>0</v>
      </c>
      <c r="K60" s="2123">
        <v>0</v>
      </c>
      <c r="L60" s="2129">
        <f t="shared" si="6"/>
        <v>0</v>
      </c>
      <c r="M60" s="2129">
        <f t="shared" si="7"/>
        <v>0</v>
      </c>
      <c r="N60" s="2129">
        <f t="shared" si="9"/>
        <v>0</v>
      </c>
      <c r="O60" s="2128">
        <f t="shared" si="8"/>
        <v>0</v>
      </c>
      <c r="P60" s="2127"/>
      <c r="R60" s="2149"/>
    </row>
    <row r="61" spans="1:18" s="2105" customFormat="1" outlineLevel="1">
      <c r="A61" s="2108" t="str">
        <f t="shared" si="0"/>
        <v>Nắp che đầu cực FCO</v>
      </c>
      <c r="B61" s="2130" t="s">
        <v>6125</v>
      </c>
      <c r="C61" s="2127"/>
      <c r="D61" s="2150"/>
      <c r="E61" s="2121" t="s">
        <v>5700</v>
      </c>
      <c r="F61" s="2120" t="s">
        <v>2555</v>
      </c>
      <c r="G61" s="2127">
        <f>1*$G$35</f>
        <v>0</v>
      </c>
      <c r="H61" s="2123">
        <v>218200</v>
      </c>
      <c r="I61" s="2123"/>
      <c r="J61" s="2123">
        <v>0</v>
      </c>
      <c r="K61" s="2123">
        <v>0</v>
      </c>
      <c r="L61" s="2129">
        <f t="shared" si="6"/>
        <v>0</v>
      </c>
      <c r="M61" s="2129">
        <f t="shared" si="7"/>
        <v>0</v>
      </c>
      <c r="N61" s="2129">
        <f t="shared" si="9"/>
        <v>0</v>
      </c>
      <c r="O61" s="2128">
        <f t="shared" si="8"/>
        <v>0</v>
      </c>
      <c r="P61" s="2127"/>
      <c r="R61" s="2149"/>
    </row>
    <row r="62" spans="1:18" s="2105" customFormat="1" outlineLevel="1">
      <c r="A62" s="2108" t="str">
        <f t="shared" si="0"/>
        <v>Nắp che đầu cực LA</v>
      </c>
      <c r="B62" s="2130" t="s">
        <v>6126</v>
      </c>
      <c r="C62" s="2127"/>
      <c r="D62" s="2150"/>
      <c r="E62" s="2121" t="s">
        <v>5706</v>
      </c>
      <c r="F62" s="2120" t="s">
        <v>2555</v>
      </c>
      <c r="G62" s="2127">
        <f>1*$G$37</f>
        <v>0</v>
      </c>
      <c r="H62" s="2123">
        <v>39100</v>
      </c>
      <c r="I62" s="2123"/>
      <c r="J62" s="2123">
        <v>0</v>
      </c>
      <c r="K62" s="2123">
        <v>0</v>
      </c>
      <c r="L62" s="2129">
        <f t="shared" si="6"/>
        <v>0</v>
      </c>
      <c r="M62" s="2129">
        <f t="shared" si="7"/>
        <v>0</v>
      </c>
      <c r="N62" s="2129">
        <f t="shared" si="9"/>
        <v>0</v>
      </c>
      <c r="O62" s="2128">
        <f t="shared" si="8"/>
        <v>0</v>
      </c>
      <c r="P62" s="2127"/>
      <c r="R62" s="2149"/>
    </row>
    <row r="63" spans="1:18" s="2105" customFormat="1" outlineLevel="1">
      <c r="A63" s="2108" t="str">
        <f t="shared" si="0"/>
        <v>Boulon 16x350+ 2 long đền vuông D18-50x50x3/Zn</v>
      </c>
      <c r="B63" s="2130" t="s">
        <v>1079</v>
      </c>
      <c r="C63" s="2127"/>
      <c r="D63" s="2150"/>
      <c r="E63" s="2121" t="s">
        <v>2651</v>
      </c>
      <c r="F63" s="2120" t="s">
        <v>2439</v>
      </c>
      <c r="G63" s="2127">
        <f>2*G56</f>
        <v>0</v>
      </c>
      <c r="H63" s="2123">
        <v>27900</v>
      </c>
      <c r="I63" s="2123"/>
      <c r="J63" s="2123">
        <v>0</v>
      </c>
      <c r="K63" s="2123">
        <v>0</v>
      </c>
      <c r="L63" s="2129">
        <f t="shared" si="6"/>
        <v>0</v>
      </c>
      <c r="M63" s="2129">
        <f t="shared" si="7"/>
        <v>0</v>
      </c>
      <c r="N63" s="2129">
        <f t="shared" si="9"/>
        <v>0</v>
      </c>
      <c r="O63" s="2128">
        <f t="shared" si="8"/>
        <v>0</v>
      </c>
      <c r="P63" s="2127"/>
      <c r="R63" s="2149"/>
    </row>
    <row r="64" spans="1:18" s="2105" customFormat="1" outlineLevel="1">
      <c r="A64" s="2108" t="str">
        <f t="shared" si="0"/>
        <v>Boulon 16x150+ 2 long đền vuông D18-50x50x3/Zn</v>
      </c>
      <c r="B64" s="2130" t="s">
        <v>244</v>
      </c>
      <c r="C64" s="2127"/>
      <c r="D64" s="2150"/>
      <c r="E64" s="2121" t="s">
        <v>2641</v>
      </c>
      <c r="F64" s="2120" t="s">
        <v>2439</v>
      </c>
      <c r="G64" s="2127">
        <f>1*G56</f>
        <v>0</v>
      </c>
      <c r="H64" s="2123">
        <v>18900</v>
      </c>
      <c r="I64" s="2123"/>
      <c r="J64" s="2123">
        <v>0</v>
      </c>
      <c r="K64" s="2123">
        <v>0</v>
      </c>
      <c r="L64" s="2129">
        <f t="shared" si="6"/>
        <v>0</v>
      </c>
      <c r="M64" s="2129">
        <f t="shared" si="7"/>
        <v>0</v>
      </c>
      <c r="N64" s="2129">
        <f t="shared" si="9"/>
        <v>0</v>
      </c>
      <c r="O64" s="2128">
        <f t="shared" si="8"/>
        <v>0</v>
      </c>
      <c r="P64" s="2127"/>
      <c r="R64" s="2149"/>
    </row>
    <row r="65" spans="1:16" s="2105" customFormat="1" outlineLevel="1">
      <c r="A65" s="2108" t="str">
        <f t="shared" si="0"/>
        <v>Lắp xà đỡ ≤ 25kg</v>
      </c>
      <c r="B65" s="2133" t="s">
        <v>1995</v>
      </c>
      <c r="C65" s="2127"/>
      <c r="D65" s="2120" t="s">
        <v>5378</v>
      </c>
      <c r="E65" s="2121" t="s">
        <v>5379</v>
      </c>
      <c r="F65" s="2120" t="s">
        <v>2439</v>
      </c>
      <c r="G65" s="2127">
        <f>G56</f>
        <v>0</v>
      </c>
      <c r="H65" s="2123">
        <v>0</v>
      </c>
      <c r="I65" s="2128"/>
      <c r="J65" s="2153" t="s">
        <v>6306</v>
      </c>
      <c r="K65" s="2123">
        <v>0</v>
      </c>
      <c r="L65" s="2129">
        <f t="shared" si="6"/>
        <v>0</v>
      </c>
      <c r="M65" s="2129">
        <f t="shared" si="7"/>
        <v>0</v>
      </c>
      <c r="N65" s="2154">
        <v>0</v>
      </c>
      <c r="O65" s="2128">
        <f t="shared" si="8"/>
        <v>0</v>
      </c>
      <c r="P65" s="2155"/>
    </row>
    <row r="66" spans="1:16" s="2105" customFormat="1" outlineLevel="1">
      <c r="A66" s="2108" t="e">
        <f t="shared" ref="A66:A97" si="10">VLOOKUP(B66,DonGia,3,0)</f>
        <v>#N/A</v>
      </c>
      <c r="B66" s="2130"/>
      <c r="C66" s="2145">
        <f>IF(G66&gt;0,C56+1,C56)</f>
        <v>0</v>
      </c>
      <c r="D66" s="2146"/>
      <c r="E66" s="2147" t="s">
        <v>6127</v>
      </c>
      <c r="F66" s="2142" t="s">
        <v>2385</v>
      </c>
      <c r="G66" s="2142">
        <f>G34</f>
        <v>0</v>
      </c>
      <c r="H66" s="2128"/>
      <c r="I66" s="2128"/>
      <c r="J66" s="2128"/>
      <c r="K66" s="2128"/>
      <c r="L66" s="2129">
        <f t="shared" si="6"/>
        <v>0</v>
      </c>
      <c r="M66" s="2129">
        <f t="shared" si="7"/>
        <v>0</v>
      </c>
      <c r="N66" s="2129">
        <f t="shared" ref="N66:N72" si="11">J66*G66</f>
        <v>0</v>
      </c>
      <c r="O66" s="2128">
        <f t="shared" si="8"/>
        <v>0</v>
      </c>
      <c r="P66" s="2127"/>
    </row>
    <row r="67" spans="1:16" s="2105" customFormat="1" ht="14.4" outlineLevel="1">
      <c r="A67" s="2108" t="e">
        <f t="shared" si="10"/>
        <v>#N/A</v>
      </c>
      <c r="B67" s="2130"/>
      <c r="C67" s="2127"/>
      <c r="D67" s="2150"/>
      <c r="E67" s="2148" t="s">
        <v>2279</v>
      </c>
      <c r="F67" s="2127"/>
      <c r="G67" s="2127"/>
      <c r="H67" s="2128"/>
      <c r="I67" s="2128"/>
      <c r="J67" s="2128"/>
      <c r="K67" s="2128"/>
      <c r="L67" s="2129">
        <f t="shared" si="6"/>
        <v>0</v>
      </c>
      <c r="M67" s="2129">
        <f t="shared" si="7"/>
        <v>0</v>
      </c>
      <c r="N67" s="2129">
        <f t="shared" si="11"/>
        <v>0</v>
      </c>
      <c r="O67" s="2128">
        <f t="shared" si="8"/>
        <v>0</v>
      </c>
      <c r="P67" s="2127"/>
    </row>
    <row r="68" spans="1:16" s="2105" customFormat="1" outlineLevel="1">
      <c r="A68" s="2108" t="str">
        <f t="shared" si="10"/>
        <v>Cáp đồng trần M25mm2</v>
      </c>
      <c r="B68" s="2130" t="s">
        <v>1033</v>
      </c>
      <c r="C68" s="2127"/>
      <c r="D68" s="2120">
        <v>0</v>
      </c>
      <c r="E68" s="2121" t="s">
        <v>6307</v>
      </c>
      <c r="F68" s="2120" t="s">
        <v>2248</v>
      </c>
      <c r="G68" s="2156">
        <f>$H$3*G66*0.224</f>
        <v>0</v>
      </c>
      <c r="H68" s="2123">
        <v>255500</v>
      </c>
      <c r="I68" s="2123"/>
      <c r="J68" s="2123">
        <v>0</v>
      </c>
      <c r="K68" s="2123">
        <v>0</v>
      </c>
      <c r="L68" s="2129">
        <f t="shared" si="6"/>
        <v>0</v>
      </c>
      <c r="M68" s="2129">
        <f t="shared" si="7"/>
        <v>0</v>
      </c>
      <c r="N68" s="2129">
        <f t="shared" si="11"/>
        <v>0</v>
      </c>
      <c r="O68" s="2128">
        <f t="shared" si="8"/>
        <v>0</v>
      </c>
      <c r="P68" s="2127"/>
    </row>
    <row r="69" spans="1:16" s="2105" customFormat="1" outlineLevel="1">
      <c r="A69" s="2108" t="str">
        <f t="shared" si="10"/>
        <v>Cọc tiếp đất Þ 16- 2,4m + kẹp cọc mạ đồng</v>
      </c>
      <c r="B69" s="2133" t="s">
        <v>1508</v>
      </c>
      <c r="C69" s="2127"/>
      <c r="D69" s="2120">
        <v>0</v>
      </c>
      <c r="E69" s="2121" t="s">
        <v>5163</v>
      </c>
      <c r="F69" s="2120" t="s">
        <v>2439</v>
      </c>
      <c r="G69" s="2127">
        <f>$H$2*G66</f>
        <v>0</v>
      </c>
      <c r="H69" s="2123">
        <v>160000</v>
      </c>
      <c r="I69" s="2123"/>
      <c r="J69" s="2123">
        <v>0</v>
      </c>
      <c r="K69" s="2123">
        <v>0</v>
      </c>
      <c r="L69" s="2129">
        <f t="shared" si="6"/>
        <v>0</v>
      </c>
      <c r="M69" s="2129">
        <f t="shared" si="7"/>
        <v>0</v>
      </c>
      <c r="N69" s="2129">
        <f t="shared" si="11"/>
        <v>0</v>
      </c>
      <c r="O69" s="2128">
        <f t="shared" si="8"/>
        <v>0</v>
      </c>
      <c r="P69" s="2127"/>
    </row>
    <row r="70" spans="1:16" s="2105" customFormat="1" outlineLevel="1">
      <c r="A70" s="2108" t="str">
        <f t="shared" si="10"/>
        <v xml:space="preserve">Ống PVC D21x1,6mm </v>
      </c>
      <c r="B70" s="2133" t="s">
        <v>1490</v>
      </c>
      <c r="C70" s="2127"/>
      <c r="D70" s="2120">
        <v>0</v>
      </c>
      <c r="E70" s="2121" t="s">
        <v>3536</v>
      </c>
      <c r="F70" s="2120" t="s">
        <v>1823</v>
      </c>
      <c r="G70" s="2127">
        <f>6*G66</f>
        <v>0</v>
      </c>
      <c r="H70" s="2123">
        <v>6200</v>
      </c>
      <c r="I70" s="2123"/>
      <c r="J70" s="2123">
        <v>0</v>
      </c>
      <c r="K70" s="2123">
        <v>0</v>
      </c>
      <c r="L70" s="2129">
        <f t="shared" si="6"/>
        <v>0</v>
      </c>
      <c r="M70" s="2129">
        <f t="shared" si="7"/>
        <v>0</v>
      </c>
      <c r="N70" s="2129">
        <f t="shared" si="11"/>
        <v>0</v>
      </c>
      <c r="O70" s="2128">
        <f t="shared" si="8"/>
        <v>0</v>
      </c>
      <c r="P70" s="2127"/>
    </row>
    <row r="71" spans="1:16" s="2105" customFormat="1" outlineLevel="1">
      <c r="A71" s="2108" t="str">
        <f t="shared" si="10"/>
        <v>Kẹp ép WR cỡ dây 50mm2</v>
      </c>
      <c r="B71" s="2130" t="s">
        <v>905</v>
      </c>
      <c r="C71" s="2127"/>
      <c r="D71" s="2120">
        <v>0</v>
      </c>
      <c r="E71" s="2121" t="s">
        <v>2873</v>
      </c>
      <c r="F71" s="2120" t="s">
        <v>2555</v>
      </c>
      <c r="G71" s="2127">
        <f>2*G66</f>
        <v>0</v>
      </c>
      <c r="H71" s="2123">
        <v>8000</v>
      </c>
      <c r="I71" s="2123"/>
      <c r="J71" s="2123">
        <v>0</v>
      </c>
      <c r="K71" s="2123">
        <v>0</v>
      </c>
      <c r="L71" s="2129">
        <f t="shared" si="6"/>
        <v>0</v>
      </c>
      <c r="M71" s="2129">
        <f t="shared" si="7"/>
        <v>0</v>
      </c>
      <c r="N71" s="2129">
        <f t="shared" si="11"/>
        <v>0</v>
      </c>
      <c r="O71" s="2128">
        <f t="shared" si="8"/>
        <v>0</v>
      </c>
      <c r="P71" s="2127"/>
    </row>
    <row r="72" spans="1:16" s="2105" customFormat="1" outlineLevel="1">
      <c r="A72" s="2108" t="str">
        <f t="shared" si="10"/>
        <v>Kẹp ép cỡ dây 25mm2</v>
      </c>
      <c r="B72" s="2130" t="s">
        <v>1114</v>
      </c>
      <c r="C72" s="2127"/>
      <c r="D72" s="2120">
        <v>0</v>
      </c>
      <c r="E72" s="2121" t="s">
        <v>2871</v>
      </c>
      <c r="F72" s="2120" t="s">
        <v>2555</v>
      </c>
      <c r="G72" s="2127">
        <f>G66*14</f>
        <v>0</v>
      </c>
      <c r="H72" s="2123">
        <v>6000</v>
      </c>
      <c r="I72" s="2123"/>
      <c r="J72" s="2123">
        <v>0</v>
      </c>
      <c r="K72" s="2123">
        <v>0</v>
      </c>
      <c r="L72" s="2129">
        <f t="shared" si="6"/>
        <v>0</v>
      </c>
      <c r="M72" s="2129">
        <f t="shared" si="7"/>
        <v>0</v>
      </c>
      <c r="N72" s="2129">
        <f t="shared" si="11"/>
        <v>0</v>
      </c>
      <c r="O72" s="2128">
        <f t="shared" si="8"/>
        <v>0</v>
      </c>
      <c r="P72" s="2127"/>
    </row>
    <row r="73" spans="1:16" s="2105" customFormat="1" outlineLevel="1">
      <c r="A73" s="2108" t="str">
        <f t="shared" si="10"/>
        <v>Cổ dê kẹp ống PVC  21</v>
      </c>
      <c r="B73" s="2133" t="s">
        <v>525</v>
      </c>
      <c r="C73" s="2127"/>
      <c r="D73" s="2120">
        <v>0</v>
      </c>
      <c r="E73" s="2121" t="s">
        <v>6308</v>
      </c>
      <c r="F73" s="2120" t="s">
        <v>2439</v>
      </c>
      <c r="G73" s="2157">
        <f>G66*0.415</f>
        <v>0</v>
      </c>
      <c r="H73" s="2123">
        <v>43000</v>
      </c>
      <c r="I73" s="2128"/>
      <c r="J73" s="2123"/>
      <c r="K73" s="2123">
        <v>0</v>
      </c>
      <c r="L73" s="2129">
        <f t="shared" si="6"/>
        <v>0</v>
      </c>
      <c r="M73" s="2129">
        <f t="shared" si="7"/>
        <v>0</v>
      </c>
      <c r="N73" s="2123">
        <v>0</v>
      </c>
      <c r="O73" s="2128">
        <f t="shared" si="8"/>
        <v>0</v>
      </c>
      <c r="P73" s="2155"/>
    </row>
    <row r="74" spans="1:16" s="2105" customFormat="1" outlineLevel="1">
      <c r="A74" s="2108" t="str">
        <f t="shared" si="10"/>
        <v>Cổ dê kẹp ống PVC  21</v>
      </c>
      <c r="B74" s="2133" t="s">
        <v>525</v>
      </c>
      <c r="C74" s="2127"/>
      <c r="D74" s="2120">
        <v>0</v>
      </c>
      <c r="E74" s="2121" t="s">
        <v>6309</v>
      </c>
      <c r="F74" s="2120" t="s">
        <v>2439</v>
      </c>
      <c r="G74" s="2157">
        <f>G66*0.452</f>
        <v>0</v>
      </c>
      <c r="H74" s="2123">
        <v>43000</v>
      </c>
      <c r="I74" s="2128"/>
      <c r="J74" s="2123"/>
      <c r="K74" s="2123">
        <v>0</v>
      </c>
      <c r="L74" s="2129">
        <f t="shared" si="6"/>
        <v>0</v>
      </c>
      <c r="M74" s="2129"/>
      <c r="N74" s="2123">
        <v>0</v>
      </c>
      <c r="O74" s="2128">
        <f t="shared" si="8"/>
        <v>0</v>
      </c>
      <c r="P74" s="2155"/>
    </row>
    <row r="75" spans="1:16" s="2105" customFormat="1" outlineLevel="1">
      <c r="A75" s="2108" t="str">
        <f t="shared" si="10"/>
        <v>Cổ dê kẹp ống PVC  21</v>
      </c>
      <c r="B75" s="2133" t="s">
        <v>525</v>
      </c>
      <c r="C75" s="2127"/>
      <c r="D75" s="2120">
        <v>0</v>
      </c>
      <c r="E75" s="2121" t="s">
        <v>6310</v>
      </c>
      <c r="F75" s="2120" t="s">
        <v>2439</v>
      </c>
      <c r="G75" s="2157">
        <f>G66*0.501</f>
        <v>0</v>
      </c>
      <c r="H75" s="2123">
        <v>43000</v>
      </c>
      <c r="I75" s="2128"/>
      <c r="J75" s="2123"/>
      <c r="K75" s="2123">
        <v>0</v>
      </c>
      <c r="L75" s="2129">
        <f t="shared" si="6"/>
        <v>0</v>
      </c>
      <c r="M75" s="2129"/>
      <c r="N75" s="2123">
        <v>0</v>
      </c>
      <c r="O75" s="2128">
        <f t="shared" si="8"/>
        <v>0</v>
      </c>
      <c r="P75" s="2155"/>
    </row>
    <row r="76" spans="1:16" s="2105" customFormat="1" outlineLevel="1">
      <c r="A76" s="2108" t="str">
        <f t="shared" si="10"/>
        <v>Lắp cổ dê</v>
      </c>
      <c r="B76" s="2133" t="s">
        <v>1131</v>
      </c>
      <c r="C76" s="2127"/>
      <c r="D76" s="2120" t="s">
        <v>5272</v>
      </c>
      <c r="E76" s="2121" t="s">
        <v>6311</v>
      </c>
      <c r="F76" s="2120" t="s">
        <v>2555</v>
      </c>
      <c r="G76" s="2157">
        <f>G67*0.501</f>
        <v>0</v>
      </c>
      <c r="H76" s="2123"/>
      <c r="I76" s="2128"/>
      <c r="J76" s="2123">
        <v>77000</v>
      </c>
      <c r="K76" s="2123">
        <v>0</v>
      </c>
      <c r="L76" s="2129">
        <f t="shared" si="6"/>
        <v>0</v>
      </c>
      <c r="M76" s="2129"/>
      <c r="N76" s="2123">
        <v>0</v>
      </c>
      <c r="O76" s="2128">
        <f t="shared" si="8"/>
        <v>0</v>
      </c>
      <c r="P76" s="2155"/>
    </row>
    <row r="77" spans="1:16" s="2105" customFormat="1" outlineLevel="1">
      <c r="A77" s="2108" t="str">
        <f t="shared" si="10"/>
        <v>Boulon 12x40+ 2 long đền vuông D14-50x50x3/Zn</v>
      </c>
      <c r="B77" s="2133" t="s">
        <v>2019</v>
      </c>
      <c r="C77" s="2127"/>
      <c r="D77" s="2120">
        <v>0</v>
      </c>
      <c r="E77" s="2121" t="s">
        <v>2627</v>
      </c>
      <c r="F77" s="2120" t="s">
        <v>2439</v>
      </c>
      <c r="G77" s="2127">
        <f>G66*6</f>
        <v>0</v>
      </c>
      <c r="H77" s="2123">
        <v>8500</v>
      </c>
      <c r="I77" s="2128"/>
      <c r="J77" s="2123">
        <v>0</v>
      </c>
      <c r="K77" s="2123">
        <v>0</v>
      </c>
      <c r="L77" s="2129">
        <f t="shared" si="6"/>
        <v>0</v>
      </c>
      <c r="M77" s="2129"/>
      <c r="N77" s="2123">
        <v>0</v>
      </c>
      <c r="O77" s="2128">
        <f t="shared" si="8"/>
        <v>0</v>
      </c>
      <c r="P77" s="2155"/>
    </row>
    <row r="78" spans="1:16" s="2105" customFormat="1" outlineLevel="1">
      <c r="A78" s="2108" t="str">
        <f t="shared" si="10"/>
        <v>Đóng cọc tiếp địa trong TBA</v>
      </c>
      <c r="B78" s="2133" t="s">
        <v>902</v>
      </c>
      <c r="C78" s="2127"/>
      <c r="D78" s="2120" t="s">
        <v>5351</v>
      </c>
      <c r="E78" s="2121" t="s">
        <v>5352</v>
      </c>
      <c r="F78" s="2120" t="s">
        <v>2278</v>
      </c>
      <c r="G78" s="2127">
        <f>G69</f>
        <v>0</v>
      </c>
      <c r="H78" s="2123"/>
      <c r="I78" s="2123"/>
      <c r="J78" s="2123" t="s">
        <v>6312</v>
      </c>
      <c r="K78" s="2123">
        <v>1573.075</v>
      </c>
      <c r="L78" s="2129">
        <f t="shared" si="6"/>
        <v>0</v>
      </c>
      <c r="M78" s="2129">
        <f>I78*G78</f>
        <v>0</v>
      </c>
      <c r="N78" s="2123">
        <v>0</v>
      </c>
      <c r="O78" s="2128">
        <f t="shared" si="8"/>
        <v>0</v>
      </c>
      <c r="P78" s="2127"/>
    </row>
    <row r="79" spans="1:16" s="2105" customFormat="1" outlineLevel="1">
      <c r="A79" s="2108" t="str">
        <f t="shared" si="10"/>
        <v>Kéo dây tiếp địa trong TBA</v>
      </c>
      <c r="B79" s="2133" t="s">
        <v>2183</v>
      </c>
      <c r="C79" s="2127"/>
      <c r="D79" s="2120" t="s">
        <v>5346</v>
      </c>
      <c r="E79" s="2121" t="s">
        <v>5347</v>
      </c>
      <c r="F79" s="2120" t="s">
        <v>2532</v>
      </c>
      <c r="G79" s="2127">
        <f>G66*$H$3</f>
        <v>0</v>
      </c>
      <c r="H79" s="2123"/>
      <c r="I79" s="2123"/>
      <c r="J79" s="2123">
        <v>8070.7000000000007</v>
      </c>
      <c r="K79" s="2123">
        <v>2044.9974999999999</v>
      </c>
      <c r="L79" s="2129">
        <f t="shared" si="6"/>
        <v>0</v>
      </c>
      <c r="M79" s="2129">
        <f>I79*G79</f>
        <v>0</v>
      </c>
      <c r="N79" s="2129">
        <f t="shared" ref="N79:N103" si="12">J79*G79</f>
        <v>0</v>
      </c>
      <c r="O79" s="2128">
        <f t="shared" si="8"/>
        <v>0</v>
      </c>
      <c r="P79" s="2127"/>
    </row>
    <row r="80" spans="1:16" s="2105" customFormat="1" outlineLevel="1">
      <c r="A80" s="2108" t="str">
        <f t="shared" si="10"/>
        <v>Đào rãnh tiếp địa đất cấp 3</v>
      </c>
      <c r="B80" s="2130" t="s">
        <v>1055</v>
      </c>
      <c r="C80" s="2127"/>
      <c r="D80" s="2120" t="s">
        <v>5336</v>
      </c>
      <c r="E80" s="2121" t="s">
        <v>3068</v>
      </c>
      <c r="F80" s="2120" t="s">
        <v>856</v>
      </c>
      <c r="G80" s="2151">
        <f>G66*$H$4</f>
        <v>0</v>
      </c>
      <c r="H80" s="2123"/>
      <c r="I80" s="2123"/>
      <c r="J80" s="2123">
        <v>283749.75</v>
      </c>
      <c r="K80" s="2123">
        <v>0</v>
      </c>
      <c r="L80" s="2129">
        <f t="shared" si="6"/>
        <v>0</v>
      </c>
      <c r="M80" s="2129">
        <f>I80*G80</f>
        <v>0</v>
      </c>
      <c r="N80" s="2129">
        <f t="shared" si="12"/>
        <v>0</v>
      </c>
      <c r="O80" s="2128">
        <f t="shared" si="8"/>
        <v>0</v>
      </c>
      <c r="P80" s="2127"/>
    </row>
    <row r="81" spans="1:16" s="2105" customFormat="1" outlineLevel="1">
      <c r="A81" s="2108" t="str">
        <f t="shared" si="10"/>
        <v>Đắp đất rãnh tiếp độ chặt k=0,85</v>
      </c>
      <c r="B81" s="2133" t="s">
        <v>1056</v>
      </c>
      <c r="C81" s="2127"/>
      <c r="D81" s="2120" t="s">
        <v>5325</v>
      </c>
      <c r="E81" s="2121" t="s">
        <v>5337</v>
      </c>
      <c r="F81" s="2120" t="s">
        <v>856</v>
      </c>
      <c r="G81" s="2151">
        <f>G80</f>
        <v>0</v>
      </c>
      <c r="H81" s="2123"/>
      <c r="I81" s="2123"/>
      <c r="J81" s="2123">
        <v>117703.6</v>
      </c>
      <c r="K81" s="2123">
        <v>0</v>
      </c>
      <c r="L81" s="2129">
        <f t="shared" si="6"/>
        <v>0</v>
      </c>
      <c r="M81" s="2129">
        <f>I81*G81</f>
        <v>0</v>
      </c>
      <c r="N81" s="2129">
        <f t="shared" si="12"/>
        <v>0</v>
      </c>
      <c r="O81" s="2128">
        <f t="shared" si="8"/>
        <v>0</v>
      </c>
      <c r="P81" s="2127"/>
    </row>
    <row r="82" spans="1:16" s="2105" customFormat="1" outlineLevel="1">
      <c r="A82" s="2108" t="e">
        <f t="shared" si="10"/>
        <v>#N/A</v>
      </c>
      <c r="B82" s="2130"/>
      <c r="C82" s="2142">
        <f>IF(G82&gt;0,C66+1,C66)</f>
        <v>0</v>
      </c>
      <c r="D82" s="2146"/>
      <c r="E82" s="2158" t="s">
        <v>3683</v>
      </c>
      <c r="F82" s="2142" t="s">
        <v>2385</v>
      </c>
      <c r="G82" s="2142">
        <f>G34</f>
        <v>0</v>
      </c>
      <c r="H82" s="2128"/>
      <c r="I82" s="2128"/>
      <c r="J82" s="2128"/>
      <c r="K82" s="2128"/>
      <c r="L82" s="2129">
        <f t="shared" si="6"/>
        <v>0</v>
      </c>
      <c r="M82" s="2129">
        <f t="shared" si="7"/>
        <v>0</v>
      </c>
      <c r="N82" s="2129">
        <f t="shared" si="12"/>
        <v>0</v>
      </c>
      <c r="O82" s="2128">
        <f t="shared" si="8"/>
        <v>0</v>
      </c>
      <c r="P82" s="2127"/>
    </row>
    <row r="83" spans="1:16" s="2105" customFormat="1" ht="14.4" outlineLevel="1">
      <c r="A83" s="2108" t="e">
        <f t="shared" si="10"/>
        <v>#N/A</v>
      </c>
      <c r="B83" s="2130"/>
      <c r="C83" s="2142"/>
      <c r="D83" s="2146"/>
      <c r="E83" s="2148" t="s">
        <v>2279</v>
      </c>
      <c r="F83" s="2127"/>
      <c r="G83" s="2127"/>
      <c r="H83" s="2128"/>
      <c r="I83" s="2128"/>
      <c r="J83" s="2128"/>
      <c r="K83" s="2128"/>
      <c r="L83" s="2129">
        <f t="shared" si="6"/>
        <v>0</v>
      </c>
      <c r="M83" s="2129">
        <f t="shared" si="7"/>
        <v>0</v>
      </c>
      <c r="N83" s="2129">
        <f t="shared" si="12"/>
        <v>0</v>
      </c>
      <c r="O83" s="2128">
        <f t="shared" si="8"/>
        <v>0</v>
      </c>
      <c r="P83" s="2127"/>
    </row>
    <row r="84" spans="1:16" s="2105" customFormat="1" outlineLevel="1">
      <c r="A84" s="2108" t="str">
        <f t="shared" si="10"/>
        <v>Tủ CB trạm 1 pha + khóa + boulon</v>
      </c>
      <c r="B84" s="2133" t="s">
        <v>616</v>
      </c>
      <c r="C84" s="2127"/>
      <c r="D84" s="2120" t="s">
        <v>5655</v>
      </c>
      <c r="E84" s="2121" t="s">
        <v>3392</v>
      </c>
      <c r="F84" s="2120" t="s">
        <v>2555</v>
      </c>
      <c r="G84" s="2127">
        <f>G82</f>
        <v>0</v>
      </c>
      <c r="H84" s="2123">
        <v>3793194</v>
      </c>
      <c r="I84" s="2123"/>
      <c r="J84" s="2123">
        <v>599038</v>
      </c>
      <c r="K84" s="2123">
        <v>97369</v>
      </c>
      <c r="L84" s="2129">
        <f t="shared" si="6"/>
        <v>0</v>
      </c>
      <c r="M84" s="2129">
        <f t="shared" si="7"/>
        <v>0</v>
      </c>
      <c r="N84" s="2129">
        <f t="shared" si="12"/>
        <v>0</v>
      </c>
      <c r="O84" s="2128">
        <f t="shared" si="8"/>
        <v>0</v>
      </c>
      <c r="P84" s="2127"/>
    </row>
    <row r="85" spans="1:16" s="2105" customFormat="1" outlineLevel="1">
      <c r="A85" s="2108" t="str">
        <f t="shared" si="10"/>
        <v>Cổ dê bắt tủ</v>
      </c>
      <c r="B85" s="2130" t="s">
        <v>879</v>
      </c>
      <c r="C85" s="2127"/>
      <c r="D85" s="2150"/>
      <c r="E85" s="2121" t="s">
        <v>2982</v>
      </c>
      <c r="F85" s="2120" t="s">
        <v>2439</v>
      </c>
      <c r="G85" s="2127">
        <f>2*G82</f>
        <v>0</v>
      </c>
      <c r="H85" s="2123">
        <v>168000</v>
      </c>
      <c r="I85" s="2123"/>
      <c r="J85" s="2123">
        <v>0</v>
      </c>
      <c r="K85" s="2123">
        <v>0</v>
      </c>
      <c r="L85" s="2129">
        <f t="shared" si="6"/>
        <v>0</v>
      </c>
      <c r="M85" s="2129">
        <f t="shared" si="7"/>
        <v>0</v>
      </c>
      <c r="N85" s="2129">
        <f t="shared" si="12"/>
        <v>0</v>
      </c>
      <c r="O85" s="2128">
        <f t="shared" si="8"/>
        <v>0</v>
      </c>
      <c r="P85" s="2127"/>
    </row>
    <row r="86" spans="1:16" s="2105" customFormat="1" outlineLevel="1">
      <c r="A86" s="2108" t="str">
        <f t="shared" si="10"/>
        <v xml:space="preserve">Bakelit 550x450 dầy 10mm </v>
      </c>
      <c r="B86" s="2130" t="s">
        <v>880</v>
      </c>
      <c r="C86" s="2127"/>
      <c r="D86" s="2150"/>
      <c r="E86" s="2121" t="s">
        <v>5799</v>
      </c>
      <c r="F86" s="2120" t="s">
        <v>2555</v>
      </c>
      <c r="G86" s="2127">
        <f>G82</f>
        <v>0</v>
      </c>
      <c r="H86" s="2123">
        <v>284000</v>
      </c>
      <c r="I86" s="2123"/>
      <c r="J86" s="2123">
        <v>5404</v>
      </c>
      <c r="K86" s="2123">
        <v>0</v>
      </c>
      <c r="L86" s="2129">
        <f t="shared" si="6"/>
        <v>0</v>
      </c>
      <c r="M86" s="2129">
        <f t="shared" si="7"/>
        <v>0</v>
      </c>
      <c r="N86" s="2129">
        <f t="shared" si="12"/>
        <v>0</v>
      </c>
      <c r="O86" s="2128">
        <f t="shared" si="8"/>
        <v>0</v>
      </c>
      <c r="P86" s="2127"/>
    </row>
    <row r="87" spans="1:16" s="2105" customFormat="1" outlineLevel="1">
      <c r="A87" s="2108" t="e">
        <f t="shared" si="10"/>
        <v>#N/A</v>
      </c>
      <c r="B87" s="2130"/>
      <c r="C87" s="2142">
        <f>IF(G87&gt;0,C82+1,C82)</f>
        <v>0</v>
      </c>
      <c r="D87" s="2146"/>
      <c r="E87" s="2147" t="s">
        <v>6128</v>
      </c>
      <c r="F87" s="2142" t="s">
        <v>2385</v>
      </c>
      <c r="G87" s="2142">
        <f>G82</f>
        <v>0</v>
      </c>
      <c r="H87" s="2128"/>
      <c r="I87" s="2128"/>
      <c r="J87" s="2128"/>
      <c r="K87" s="2128"/>
      <c r="L87" s="2129">
        <f t="shared" si="6"/>
        <v>0</v>
      </c>
      <c r="M87" s="2129">
        <f t="shared" si="7"/>
        <v>0</v>
      </c>
      <c r="N87" s="2129">
        <f t="shared" si="12"/>
        <v>0</v>
      </c>
      <c r="O87" s="2128">
        <f t="shared" si="8"/>
        <v>0</v>
      </c>
      <c r="P87" s="2127"/>
    </row>
    <row r="88" spans="1:16" s="2105" customFormat="1" ht="14.4" outlineLevel="1">
      <c r="A88" s="2108" t="e">
        <f t="shared" si="10"/>
        <v>#N/A</v>
      </c>
      <c r="B88" s="2130"/>
      <c r="C88" s="2142"/>
      <c r="D88" s="2146"/>
      <c r="E88" s="2148" t="s">
        <v>2279</v>
      </c>
      <c r="F88" s="2127"/>
      <c r="G88" s="2127"/>
      <c r="H88" s="2128"/>
      <c r="I88" s="2128"/>
      <c r="J88" s="2128"/>
      <c r="K88" s="2128"/>
      <c r="L88" s="2129">
        <f t="shared" si="6"/>
        <v>0</v>
      </c>
      <c r="M88" s="2129">
        <f t="shared" si="7"/>
        <v>0</v>
      </c>
      <c r="N88" s="2129">
        <f t="shared" si="12"/>
        <v>0</v>
      </c>
      <c r="O88" s="2128">
        <f t="shared" si="8"/>
        <v>0</v>
      </c>
      <c r="P88" s="2127"/>
    </row>
    <row r="89" spans="1:16" s="2105" customFormat="1" outlineLevel="1">
      <c r="A89" s="2108" t="str">
        <f t="shared" si="10"/>
        <v>Cáp 24KV C/XLPE/PVC 25mm2</v>
      </c>
      <c r="B89" s="2159" t="s">
        <v>697</v>
      </c>
      <c r="C89" s="2127"/>
      <c r="D89" s="2120">
        <v>0</v>
      </c>
      <c r="E89" s="2121" t="s">
        <v>5087</v>
      </c>
      <c r="F89" s="2120" t="s">
        <v>2532</v>
      </c>
      <c r="G89" s="2127">
        <f>3*G87</f>
        <v>0</v>
      </c>
      <c r="H89" s="2123">
        <v>50996</v>
      </c>
      <c r="I89" s="2123"/>
      <c r="J89" s="2123">
        <v>0</v>
      </c>
      <c r="K89" s="2123">
        <v>0</v>
      </c>
      <c r="L89" s="2129">
        <f t="shared" si="6"/>
        <v>0</v>
      </c>
      <c r="M89" s="2129">
        <f t="shared" si="7"/>
        <v>0</v>
      </c>
      <c r="N89" s="2129">
        <f t="shared" si="12"/>
        <v>0</v>
      </c>
      <c r="O89" s="2128">
        <f t="shared" si="8"/>
        <v>0</v>
      </c>
      <c r="P89" s="2127"/>
    </row>
    <row r="90" spans="1:16" s="2105" customFormat="1" outlineLevel="1">
      <c r="A90" s="2108" t="str">
        <f t="shared" si="10"/>
        <v>Kẹp quai 2/0</v>
      </c>
      <c r="B90" s="2118" t="s">
        <v>1479</v>
      </c>
      <c r="C90" s="2127"/>
      <c r="D90" s="2120">
        <v>0</v>
      </c>
      <c r="E90" s="2121" t="s">
        <v>3791</v>
      </c>
      <c r="F90" s="2120" t="s">
        <v>2555</v>
      </c>
      <c r="G90" s="2127">
        <f>G87</f>
        <v>0</v>
      </c>
      <c r="H90" s="2123">
        <v>46000</v>
      </c>
      <c r="I90" s="2123"/>
      <c r="J90" s="2123">
        <v>0</v>
      </c>
      <c r="K90" s="2123">
        <v>0</v>
      </c>
      <c r="L90" s="2129">
        <f t="shared" si="6"/>
        <v>0</v>
      </c>
      <c r="M90" s="2129">
        <f t="shared" si="7"/>
        <v>0</v>
      </c>
      <c r="N90" s="2129">
        <f t="shared" si="12"/>
        <v>0</v>
      </c>
      <c r="O90" s="2128">
        <f t="shared" si="8"/>
        <v>0</v>
      </c>
      <c r="P90" s="2127"/>
    </row>
    <row r="91" spans="1:16" s="2105" customFormat="1" outlineLevel="1">
      <c r="A91" s="2108" t="str">
        <f t="shared" si="10"/>
        <v>Kẹp hotline 2/0</v>
      </c>
      <c r="B91" s="2118" t="s">
        <v>1477</v>
      </c>
      <c r="C91" s="2127"/>
      <c r="D91" s="2120">
        <v>0</v>
      </c>
      <c r="E91" s="2121" t="s">
        <v>4335</v>
      </c>
      <c r="F91" s="2120" t="s">
        <v>2555</v>
      </c>
      <c r="G91" s="2127">
        <f>G87</f>
        <v>0</v>
      </c>
      <c r="H91" s="2123">
        <v>77000</v>
      </c>
      <c r="I91" s="2123"/>
      <c r="J91" s="2123">
        <v>0</v>
      </c>
      <c r="K91" s="2123">
        <v>0</v>
      </c>
      <c r="L91" s="2129">
        <f t="shared" si="6"/>
        <v>0</v>
      </c>
      <c r="M91" s="2129">
        <f t="shared" si="7"/>
        <v>0</v>
      </c>
      <c r="N91" s="2129">
        <f t="shared" si="12"/>
        <v>0</v>
      </c>
      <c r="O91" s="2128">
        <f t="shared" si="8"/>
        <v>0</v>
      </c>
      <c r="P91" s="2127"/>
    </row>
    <row r="92" spans="1:16" s="2105" customFormat="1" outlineLevel="1">
      <c r="A92" s="2108" t="str">
        <f t="shared" si="10"/>
        <v>Lắp cáp đồng xuống thiết bị D ≤ 95mm2</v>
      </c>
      <c r="B92" s="2118" t="s">
        <v>1525</v>
      </c>
      <c r="C92" s="2127"/>
      <c r="D92" s="2120" t="s">
        <v>5571</v>
      </c>
      <c r="E92" s="2121" t="s">
        <v>3292</v>
      </c>
      <c r="F92" s="2120" t="s">
        <v>1823</v>
      </c>
      <c r="G92" s="2127">
        <f>G89</f>
        <v>0</v>
      </c>
      <c r="H92" s="2123">
        <v>0</v>
      </c>
      <c r="I92" s="2123"/>
      <c r="J92" s="2123">
        <v>13915</v>
      </c>
      <c r="K92" s="2123">
        <v>0</v>
      </c>
      <c r="L92" s="2129">
        <f>H92*G92</f>
        <v>0</v>
      </c>
      <c r="M92" s="2129">
        <f>I92*G92</f>
        <v>0</v>
      </c>
      <c r="N92" s="2129">
        <f t="shared" si="12"/>
        <v>0</v>
      </c>
      <c r="O92" s="2128">
        <f>K92*G92</f>
        <v>0</v>
      </c>
      <c r="P92" s="2127"/>
    </row>
    <row r="93" spans="1:16" s="2105" customFormat="1" outlineLevel="1">
      <c r="A93" s="2108" t="e">
        <f t="shared" si="10"/>
        <v>#N/A</v>
      </c>
      <c r="B93" s="2130"/>
      <c r="C93" s="2142">
        <f>IF(G93&gt;0,C87+1,C87)</f>
        <v>0</v>
      </c>
      <c r="D93" s="2146"/>
      <c r="E93" s="2147" t="s">
        <v>6129</v>
      </c>
      <c r="F93" s="2142" t="s">
        <v>2385</v>
      </c>
      <c r="G93" s="2142">
        <f>G34</f>
        <v>0</v>
      </c>
      <c r="H93" s="2128"/>
      <c r="I93" s="2128"/>
      <c r="J93" s="2128"/>
      <c r="K93" s="2128"/>
      <c r="L93" s="2129">
        <f t="shared" si="6"/>
        <v>0</v>
      </c>
      <c r="M93" s="2129">
        <f t="shared" si="7"/>
        <v>0</v>
      </c>
      <c r="N93" s="2129">
        <f t="shared" si="12"/>
        <v>0</v>
      </c>
      <c r="O93" s="2128">
        <f t="shared" si="8"/>
        <v>0</v>
      </c>
      <c r="P93" s="2127"/>
    </row>
    <row r="94" spans="1:16" s="2105" customFormat="1" ht="14.4" outlineLevel="1">
      <c r="A94" s="2108" t="e">
        <f t="shared" si="10"/>
        <v>#N/A</v>
      </c>
      <c r="B94" s="2130"/>
      <c r="C94" s="2142"/>
      <c r="D94" s="2146"/>
      <c r="E94" s="2148" t="s">
        <v>2279</v>
      </c>
      <c r="F94" s="2142"/>
      <c r="G94" s="2142"/>
      <c r="H94" s="2128"/>
      <c r="I94" s="2128"/>
      <c r="J94" s="2128"/>
      <c r="K94" s="2128"/>
      <c r="L94" s="2129">
        <f t="shared" si="6"/>
        <v>0</v>
      </c>
      <c r="M94" s="2129">
        <f t="shared" si="7"/>
        <v>0</v>
      </c>
      <c r="N94" s="2129">
        <f t="shared" si="12"/>
        <v>0</v>
      </c>
      <c r="O94" s="2128">
        <f t="shared" si="8"/>
        <v>0</v>
      </c>
      <c r="P94" s="2127"/>
    </row>
    <row r="95" spans="1:16" s="2105" customFormat="1" outlineLevel="1">
      <c r="A95" s="2108" t="str">
        <f t="shared" si="10"/>
        <v>Cáp đồng bọc CV50</v>
      </c>
      <c r="B95" s="2130" t="s">
        <v>82</v>
      </c>
      <c r="C95" s="2142"/>
      <c r="D95" s="2120">
        <v>0</v>
      </c>
      <c r="E95" s="2121" t="s">
        <v>2792</v>
      </c>
      <c r="F95" s="2120" t="s">
        <v>2532</v>
      </c>
      <c r="G95" s="2127">
        <f>G93*10</f>
        <v>0</v>
      </c>
      <c r="H95" s="2123">
        <v>91800</v>
      </c>
      <c r="I95" s="2123"/>
      <c r="J95" s="2123">
        <v>0</v>
      </c>
      <c r="K95" s="2123">
        <v>0</v>
      </c>
      <c r="L95" s="2129">
        <f t="shared" si="6"/>
        <v>0</v>
      </c>
      <c r="M95" s="2129">
        <f t="shared" si="7"/>
        <v>0</v>
      </c>
      <c r="N95" s="2129">
        <f t="shared" si="12"/>
        <v>0</v>
      </c>
      <c r="O95" s="2128">
        <f t="shared" si="8"/>
        <v>0</v>
      </c>
      <c r="P95" s="2127"/>
    </row>
    <row r="96" spans="1:16" s="2105" customFormat="1" outlineLevel="1">
      <c r="A96" s="2108" t="str">
        <f t="shared" si="10"/>
        <v>Cáp đồng bọc CV50</v>
      </c>
      <c r="B96" s="2130" t="s">
        <v>82</v>
      </c>
      <c r="C96" s="2142"/>
      <c r="D96" s="2120">
        <v>0</v>
      </c>
      <c r="E96" s="2121" t="s">
        <v>2792</v>
      </c>
      <c r="F96" s="2120" t="s">
        <v>2532</v>
      </c>
      <c r="G96" s="2127">
        <f>10*G93</f>
        <v>0</v>
      </c>
      <c r="H96" s="2123">
        <v>91800</v>
      </c>
      <c r="I96" s="2123"/>
      <c r="J96" s="2123">
        <v>0</v>
      </c>
      <c r="K96" s="2123">
        <v>0</v>
      </c>
      <c r="L96" s="2129">
        <f t="shared" si="6"/>
        <v>0</v>
      </c>
      <c r="M96" s="2129">
        <f t="shared" si="7"/>
        <v>0</v>
      </c>
      <c r="N96" s="2129">
        <f t="shared" si="12"/>
        <v>0</v>
      </c>
      <c r="O96" s="2128">
        <f t="shared" si="8"/>
        <v>0</v>
      </c>
      <c r="P96" s="2127"/>
    </row>
    <row r="97" spans="1:16" s="2105" customFormat="1" outlineLevel="1">
      <c r="A97" s="2108" t="str">
        <f t="shared" si="10"/>
        <v xml:space="preserve">Cáp CVV 4x2,5mm2  </v>
      </c>
      <c r="B97" s="2130" t="s">
        <v>1069</v>
      </c>
      <c r="C97" s="2142"/>
      <c r="D97" s="2120" t="s">
        <v>1527</v>
      </c>
      <c r="E97" s="2121" t="s">
        <v>2784</v>
      </c>
      <c r="F97" s="2120" t="s">
        <v>2532</v>
      </c>
      <c r="G97" s="2127">
        <f>4*G93</f>
        <v>0</v>
      </c>
      <c r="H97" s="2123">
        <v>28200</v>
      </c>
      <c r="I97" s="2128"/>
      <c r="J97" s="2123">
        <v>0</v>
      </c>
      <c r="K97" s="2123">
        <v>0</v>
      </c>
      <c r="L97" s="2129">
        <f>H97*G97</f>
        <v>0</v>
      </c>
      <c r="M97" s="2129">
        <f>I97*G97</f>
        <v>0</v>
      </c>
      <c r="N97" s="2129">
        <f t="shared" si="12"/>
        <v>0</v>
      </c>
      <c r="O97" s="2128">
        <f>K97*G97</f>
        <v>0</v>
      </c>
      <c r="P97" s="2155"/>
    </row>
    <row r="98" spans="1:16" s="2105" customFormat="1" outlineLevel="1">
      <c r="A98" s="2108" t="str">
        <f t="shared" ref="A98:A116" si="13">VLOOKUP(B98,DonGia,3,0)</f>
        <v>Đầu cosse ép Cu 50mm2</v>
      </c>
      <c r="B98" s="2130" t="str">
        <f>"Cos"&amp;RIGHT(B95,2)</f>
        <v>Cos50</v>
      </c>
      <c r="C98" s="2127"/>
      <c r="D98" s="2120" t="s">
        <v>5725</v>
      </c>
      <c r="E98" s="2121" t="s">
        <v>3479</v>
      </c>
      <c r="F98" s="2120" t="s">
        <v>2555</v>
      </c>
      <c r="G98" s="2127">
        <f>G93*1</f>
        <v>0</v>
      </c>
      <c r="H98" s="2123">
        <v>9100</v>
      </c>
      <c r="I98" s="2123"/>
      <c r="J98" s="2123">
        <v>10608.955000000002</v>
      </c>
      <c r="K98" s="2123">
        <v>2777.0232475000003</v>
      </c>
      <c r="L98" s="2129">
        <f t="shared" si="6"/>
        <v>0</v>
      </c>
      <c r="M98" s="2129">
        <f t="shared" si="7"/>
        <v>0</v>
      </c>
      <c r="N98" s="2129">
        <f t="shared" si="12"/>
        <v>0</v>
      </c>
      <c r="O98" s="2128">
        <f t="shared" si="8"/>
        <v>0</v>
      </c>
      <c r="P98" s="2127"/>
    </row>
    <row r="99" spans="1:16" s="2105" customFormat="1" outlineLevel="1">
      <c r="A99" s="2108" t="str">
        <f t="shared" si="13"/>
        <v>Đầu cosse ép Cu 50mm2</v>
      </c>
      <c r="B99" s="2130" t="str">
        <f>"Cos"&amp;RIGHT(B96,2)</f>
        <v>Cos50</v>
      </c>
      <c r="C99" s="2127"/>
      <c r="D99" s="2120" t="s">
        <v>5725</v>
      </c>
      <c r="E99" s="2121" t="s">
        <v>3479</v>
      </c>
      <c r="F99" s="2120" t="s">
        <v>2555</v>
      </c>
      <c r="G99" s="2127">
        <f>G93*1</f>
        <v>0</v>
      </c>
      <c r="H99" s="2123">
        <v>9100</v>
      </c>
      <c r="I99" s="2123"/>
      <c r="J99" s="2123">
        <v>10608.955000000002</v>
      </c>
      <c r="K99" s="2123">
        <v>2777.0232475000003</v>
      </c>
      <c r="L99" s="2129">
        <f t="shared" si="6"/>
        <v>0</v>
      </c>
      <c r="M99" s="2129">
        <f t="shared" si="7"/>
        <v>0</v>
      </c>
      <c r="N99" s="2129">
        <f t="shared" si="12"/>
        <v>0</v>
      </c>
      <c r="O99" s="2128">
        <f t="shared" si="8"/>
        <v>0</v>
      </c>
      <c r="P99" s="2127"/>
    </row>
    <row r="100" spans="1:16" s="2105" customFormat="1" outlineLevel="1">
      <c r="A100" s="2108" t="str">
        <f t="shared" si="13"/>
        <v>Chụp đầu cosse  50mm2</v>
      </c>
      <c r="B100" s="2130" t="str">
        <f>"chCos"&amp;RIGHT(B95,2)</f>
        <v>chCos50</v>
      </c>
      <c r="C100" s="2127"/>
      <c r="D100" s="2120">
        <v>0</v>
      </c>
      <c r="E100" s="2121" t="s">
        <v>3493</v>
      </c>
      <c r="F100" s="2120" t="s">
        <v>2555</v>
      </c>
      <c r="G100" s="2127">
        <f>G93*1</f>
        <v>0</v>
      </c>
      <c r="H100" s="2123">
        <v>1000</v>
      </c>
      <c r="I100" s="2123"/>
      <c r="J100" s="2123">
        <v>0</v>
      </c>
      <c r="K100" s="2123">
        <v>0</v>
      </c>
      <c r="L100" s="2129">
        <f t="shared" si="6"/>
        <v>0</v>
      </c>
      <c r="M100" s="2129">
        <f t="shared" si="7"/>
        <v>0</v>
      </c>
      <c r="N100" s="2129">
        <f t="shared" si="12"/>
        <v>0</v>
      </c>
      <c r="O100" s="2128">
        <f t="shared" si="8"/>
        <v>0</v>
      </c>
      <c r="P100" s="2127"/>
    </row>
    <row r="101" spans="1:16" s="2105" customFormat="1" outlineLevel="1">
      <c r="A101" s="2108" t="str">
        <f t="shared" si="13"/>
        <v>Chụp đầu cosse  50mm2</v>
      </c>
      <c r="B101" s="2130" t="str">
        <f>"chCos"&amp;RIGHT(B96,2)</f>
        <v>chCos50</v>
      </c>
      <c r="C101" s="2127"/>
      <c r="D101" s="2120">
        <v>0</v>
      </c>
      <c r="E101" s="2121" t="s">
        <v>3493</v>
      </c>
      <c r="F101" s="2120" t="s">
        <v>2555</v>
      </c>
      <c r="G101" s="2127">
        <f>G93*1</f>
        <v>0</v>
      </c>
      <c r="H101" s="2123">
        <v>1000</v>
      </c>
      <c r="I101" s="2123"/>
      <c r="J101" s="2123">
        <v>0</v>
      </c>
      <c r="K101" s="2123">
        <v>0</v>
      </c>
      <c r="L101" s="2129">
        <f>H101*G101</f>
        <v>0</v>
      </c>
      <c r="M101" s="2129">
        <f>I101*G101</f>
        <v>0</v>
      </c>
      <c r="N101" s="2129">
        <f t="shared" si="12"/>
        <v>0</v>
      </c>
      <c r="O101" s="2128">
        <f>K101*G101</f>
        <v>0</v>
      </c>
      <c r="P101" s="2127"/>
    </row>
    <row r="102" spans="1:16" s="2105" customFormat="1" outlineLevel="1">
      <c r="A102" s="2108" t="str">
        <f t="shared" si="13"/>
        <v>Nắp che đầu sứ MBA</v>
      </c>
      <c r="B102" s="2130" t="s">
        <v>6130</v>
      </c>
      <c r="C102" s="2127"/>
      <c r="D102" s="2120">
        <v>0</v>
      </c>
      <c r="E102" s="2121" t="s">
        <v>5708</v>
      </c>
      <c r="F102" s="2120" t="s">
        <v>2555</v>
      </c>
      <c r="G102" s="2127">
        <f>1*$G$34</f>
        <v>0</v>
      </c>
      <c r="H102" s="2123">
        <v>56700</v>
      </c>
      <c r="I102" s="2123"/>
      <c r="J102" s="2123">
        <v>0</v>
      </c>
      <c r="K102" s="2123">
        <v>0</v>
      </c>
      <c r="L102" s="2129">
        <f>H102*G102</f>
        <v>0</v>
      </c>
      <c r="M102" s="2129">
        <f>I102*G102</f>
        <v>0</v>
      </c>
      <c r="N102" s="2129">
        <f t="shared" si="12"/>
        <v>0</v>
      </c>
      <c r="O102" s="2128">
        <f>K102*G102</f>
        <v>0</v>
      </c>
      <c r="P102" s="2127"/>
    </row>
    <row r="103" spans="1:16" s="2105" customFormat="1" outlineLevel="1">
      <c r="A103" s="2108" t="str">
        <f t="shared" si="13"/>
        <v xml:space="preserve">Ống PVC D90x3,8mm </v>
      </c>
      <c r="B103" s="2130" t="s">
        <v>282</v>
      </c>
      <c r="C103" s="2127"/>
      <c r="D103" s="2120">
        <v>0</v>
      </c>
      <c r="E103" s="2121" t="s">
        <v>3532</v>
      </c>
      <c r="F103" s="2120" t="s">
        <v>1823</v>
      </c>
      <c r="G103" s="2127">
        <f>12*G93</f>
        <v>0</v>
      </c>
      <c r="H103" s="2123">
        <v>63200</v>
      </c>
      <c r="I103" s="2123"/>
      <c r="J103" s="2123">
        <v>0</v>
      </c>
      <c r="K103" s="2123">
        <v>0</v>
      </c>
      <c r="L103" s="2129">
        <f t="shared" si="6"/>
        <v>0</v>
      </c>
      <c r="M103" s="2129">
        <f t="shared" si="7"/>
        <v>0</v>
      </c>
      <c r="N103" s="2129">
        <f t="shared" si="12"/>
        <v>0</v>
      </c>
      <c r="O103" s="2128">
        <f t="shared" si="8"/>
        <v>0</v>
      </c>
      <c r="P103" s="2127"/>
    </row>
    <row r="104" spans="1:16" s="2105" customFormat="1" outlineLevel="1">
      <c r="A104" s="2108" t="str">
        <f t="shared" si="13"/>
        <v>Cổ dê kẹp ống PVC Ø 90</v>
      </c>
      <c r="B104" s="2133" t="s">
        <v>276</v>
      </c>
      <c r="C104" s="2127"/>
      <c r="D104" s="2120">
        <v>0</v>
      </c>
      <c r="E104" s="2121" t="s">
        <v>5257</v>
      </c>
      <c r="F104" s="2120" t="s">
        <v>2439</v>
      </c>
      <c r="G104" s="2157">
        <f>G93*0.965*2</f>
        <v>0</v>
      </c>
      <c r="H104" s="2123">
        <v>49000</v>
      </c>
      <c r="I104" s="2128"/>
      <c r="J104" s="2123"/>
      <c r="K104" s="2123">
        <v>0</v>
      </c>
      <c r="L104" s="2129">
        <f t="shared" si="6"/>
        <v>0</v>
      </c>
      <c r="M104" s="2129">
        <f t="shared" si="7"/>
        <v>0</v>
      </c>
      <c r="N104" s="2123">
        <v>0</v>
      </c>
      <c r="O104" s="2128">
        <f t="shared" si="8"/>
        <v>0</v>
      </c>
      <c r="P104" s="2155"/>
    </row>
    <row r="105" spans="1:16" s="2105" customFormat="1" outlineLevel="1">
      <c r="A105" s="2108" t="str">
        <f t="shared" si="13"/>
        <v>Cổ dê kẹp ống PVC Ø 90</v>
      </c>
      <c r="B105" s="2133" t="s">
        <v>276</v>
      </c>
      <c r="C105" s="2127"/>
      <c r="D105" s="2120">
        <v>0</v>
      </c>
      <c r="E105" s="2121" t="s">
        <v>5257</v>
      </c>
      <c r="F105" s="2120" t="s">
        <v>2439</v>
      </c>
      <c r="G105" s="2157">
        <f>G93*1.031*2</f>
        <v>0</v>
      </c>
      <c r="H105" s="2123">
        <v>49000</v>
      </c>
      <c r="I105" s="2128"/>
      <c r="J105" s="2123"/>
      <c r="K105" s="2123">
        <v>0</v>
      </c>
      <c r="L105" s="2129">
        <f>H105*G105</f>
        <v>0</v>
      </c>
      <c r="M105" s="2129"/>
      <c r="N105" s="2123">
        <v>0</v>
      </c>
      <c r="O105" s="2128">
        <f>K105*G105</f>
        <v>0</v>
      </c>
      <c r="P105" s="2155"/>
    </row>
    <row r="106" spans="1:16" s="2105" customFormat="1" outlineLevel="1">
      <c r="A106" s="2108" t="str">
        <f t="shared" si="13"/>
        <v>Cổ dê kẹp ống PVC Ø 90</v>
      </c>
      <c r="B106" s="2133" t="s">
        <v>276</v>
      </c>
      <c r="C106" s="2127"/>
      <c r="D106" s="2120">
        <v>0</v>
      </c>
      <c r="E106" s="2121" t="s">
        <v>5257</v>
      </c>
      <c r="F106" s="2120" t="s">
        <v>2439</v>
      </c>
      <c r="G106" s="2157">
        <f>G92*1.12*2</f>
        <v>0</v>
      </c>
      <c r="H106" s="2123">
        <v>49000</v>
      </c>
      <c r="I106" s="2128"/>
      <c r="J106" s="2123"/>
      <c r="K106" s="2123">
        <v>0</v>
      </c>
      <c r="L106" s="2129">
        <f>H106*G106</f>
        <v>0</v>
      </c>
      <c r="M106" s="2129"/>
      <c r="N106" s="2123">
        <v>0</v>
      </c>
      <c r="O106" s="2128">
        <f>K106*G106</f>
        <v>0</v>
      </c>
      <c r="P106" s="2155"/>
    </row>
    <row r="107" spans="1:16" s="2105" customFormat="1" outlineLevel="1">
      <c r="A107" s="2108" t="str">
        <f t="shared" si="13"/>
        <v>Lắp cổ dê</v>
      </c>
      <c r="B107" s="2133" t="s">
        <v>1131</v>
      </c>
      <c r="C107" s="2127"/>
      <c r="D107" s="2120" t="s">
        <v>5272</v>
      </c>
      <c r="E107" s="2121" t="s">
        <v>5470</v>
      </c>
      <c r="F107" s="2120" t="s">
        <v>2555</v>
      </c>
      <c r="G107" s="2157">
        <f>G93*1.12*2</f>
        <v>0</v>
      </c>
      <c r="H107" s="2123"/>
      <c r="I107" s="2128"/>
      <c r="J107" s="2123">
        <v>77000</v>
      </c>
      <c r="K107" s="2123">
        <v>0</v>
      </c>
      <c r="L107" s="2129">
        <f>H107*G107</f>
        <v>0</v>
      </c>
      <c r="M107" s="2129"/>
      <c r="N107" s="2123">
        <v>0</v>
      </c>
      <c r="O107" s="2128">
        <f>K107*G107</f>
        <v>0</v>
      </c>
      <c r="P107" s="2155"/>
    </row>
    <row r="108" spans="1:16" s="2105" customFormat="1" outlineLevel="1">
      <c r="A108" s="2108" t="str">
        <f t="shared" si="13"/>
        <v>Boulon 12x40+ 2 long đền vuông D14-50x50x3/Zn</v>
      </c>
      <c r="B108" s="2133" t="s">
        <v>2019</v>
      </c>
      <c r="C108" s="2127"/>
      <c r="D108" s="2120">
        <v>0</v>
      </c>
      <c r="E108" s="2121" t="s">
        <v>2627</v>
      </c>
      <c r="F108" s="2120" t="s">
        <v>2439</v>
      </c>
      <c r="G108" s="2127">
        <f>G93*12</f>
        <v>0</v>
      </c>
      <c r="H108" s="2123">
        <v>8500</v>
      </c>
      <c r="I108" s="2128"/>
      <c r="J108" s="2123">
        <v>0</v>
      </c>
      <c r="K108" s="2123">
        <v>0</v>
      </c>
      <c r="L108" s="2129">
        <f>H108*G108</f>
        <v>0</v>
      </c>
      <c r="M108" s="2129"/>
      <c r="N108" s="2123">
        <v>0</v>
      </c>
      <c r="O108" s="2128">
        <f>K108*G108</f>
        <v>0</v>
      </c>
      <c r="P108" s="2155"/>
    </row>
    <row r="109" spans="1:16" s="2105" customFormat="1" outlineLevel="1">
      <c r="A109" s="2108" t="str">
        <f t="shared" si="13"/>
        <v>Co  90 độ PVC 90</v>
      </c>
      <c r="B109" s="2130" t="s">
        <v>69</v>
      </c>
      <c r="C109" s="2127"/>
      <c r="D109" s="2120">
        <v>0</v>
      </c>
      <c r="E109" s="2121" t="s">
        <v>5797</v>
      </c>
      <c r="F109" s="2120" t="s">
        <v>2555</v>
      </c>
      <c r="G109" s="2127">
        <f>4*G93</f>
        <v>0</v>
      </c>
      <c r="H109" s="2123">
        <v>45400</v>
      </c>
      <c r="I109" s="2123"/>
      <c r="J109" s="2123">
        <v>0</v>
      </c>
      <c r="K109" s="2123">
        <v>0</v>
      </c>
      <c r="L109" s="2129">
        <f t="shared" si="6"/>
        <v>0</v>
      </c>
      <c r="M109" s="2129">
        <f t="shared" si="7"/>
        <v>0</v>
      </c>
      <c r="N109" s="2129">
        <f t="shared" ref="N109:N115" si="14">J109*G109</f>
        <v>0</v>
      </c>
      <c r="O109" s="2128">
        <f t="shared" si="8"/>
        <v>0</v>
      </c>
      <c r="P109" s="2127"/>
    </row>
    <row r="110" spans="1:16" s="2105" customFormat="1" outlineLevel="1">
      <c r="A110" s="2108" t="str">
        <f t="shared" si="13"/>
        <v xml:space="preserve">Nối thẳng ống PVC 90 </v>
      </c>
      <c r="B110" s="2130" t="s">
        <v>725</v>
      </c>
      <c r="C110" s="2127"/>
      <c r="D110" s="2120">
        <v>0</v>
      </c>
      <c r="E110" s="2121" t="s">
        <v>3555</v>
      </c>
      <c r="F110" s="2120" t="s">
        <v>2555</v>
      </c>
      <c r="G110" s="2127">
        <f>G93</f>
        <v>0</v>
      </c>
      <c r="H110" s="2123">
        <v>12400</v>
      </c>
      <c r="I110" s="2123"/>
      <c r="J110" s="2123">
        <v>0</v>
      </c>
      <c r="K110" s="2123">
        <v>0</v>
      </c>
      <c r="L110" s="2129">
        <f t="shared" si="6"/>
        <v>0</v>
      </c>
      <c r="M110" s="2129">
        <f t="shared" si="7"/>
        <v>0</v>
      </c>
      <c r="N110" s="2129">
        <f t="shared" si="14"/>
        <v>0</v>
      </c>
      <c r="O110" s="2128">
        <f t="shared" si="8"/>
        <v>0</v>
      </c>
      <c r="P110" s="2127"/>
    </row>
    <row r="111" spans="1:16" s="2105" customFormat="1" outlineLevel="1">
      <c r="A111" s="2108" t="str">
        <f t="shared" si="13"/>
        <v>Keo dán ống PVC (100gr)</v>
      </c>
      <c r="B111" s="2130" t="s">
        <v>2074</v>
      </c>
      <c r="C111" s="2127"/>
      <c r="D111" s="2120">
        <v>0</v>
      </c>
      <c r="E111" s="2121" t="s">
        <v>3570</v>
      </c>
      <c r="F111" s="2120" t="s">
        <v>3571</v>
      </c>
      <c r="G111" s="2127">
        <f>G93</f>
        <v>0</v>
      </c>
      <c r="H111" s="2123">
        <v>11500</v>
      </c>
      <c r="I111" s="2123"/>
      <c r="J111" s="2123">
        <v>0</v>
      </c>
      <c r="K111" s="2123">
        <v>0</v>
      </c>
      <c r="L111" s="2129">
        <f t="shared" si="6"/>
        <v>0</v>
      </c>
      <c r="M111" s="2129">
        <f t="shared" si="7"/>
        <v>0</v>
      </c>
      <c r="N111" s="2129">
        <f t="shared" si="14"/>
        <v>0</v>
      </c>
      <c r="O111" s="2128">
        <f t="shared" si="8"/>
        <v>0</v>
      </c>
      <c r="P111" s="2127"/>
    </row>
    <row r="112" spans="1:16" s="2105" customFormat="1" outlineLevel="1">
      <c r="A112" s="2108" t="str">
        <f t="shared" si="13"/>
        <v>Keo silicon bít miệng ống</v>
      </c>
      <c r="B112" s="2130" t="s">
        <v>489</v>
      </c>
      <c r="C112" s="2127"/>
      <c r="D112" s="2120">
        <v>0</v>
      </c>
      <c r="E112" s="2121" t="s">
        <v>3567</v>
      </c>
      <c r="F112" s="2120" t="s">
        <v>5806</v>
      </c>
      <c r="G112" s="2127">
        <f>G93</f>
        <v>0</v>
      </c>
      <c r="H112" s="2123">
        <v>45000</v>
      </c>
      <c r="I112" s="2123"/>
      <c r="J112" s="2123">
        <v>0</v>
      </c>
      <c r="K112" s="2123">
        <v>0</v>
      </c>
      <c r="L112" s="2129">
        <f>H112*G112</f>
        <v>0</v>
      </c>
      <c r="M112" s="2129">
        <f>I112*G112</f>
        <v>0</v>
      </c>
      <c r="N112" s="2129">
        <f t="shared" si="14"/>
        <v>0</v>
      </c>
      <c r="O112" s="2128">
        <f>K112*G112</f>
        <v>0</v>
      </c>
      <c r="P112" s="2127"/>
    </row>
    <row r="113" spans="1:18" s="2105" customFormat="1" outlineLevel="1">
      <c r="A113" s="2108" t="str">
        <f t="shared" si="13"/>
        <v>Lắp ống nhựa PVC D90</v>
      </c>
      <c r="B113" s="2130" t="s">
        <v>2182</v>
      </c>
      <c r="C113" s="2127"/>
      <c r="D113" s="2120" t="s">
        <v>5547</v>
      </c>
      <c r="E113" s="2121" t="s">
        <v>3252</v>
      </c>
      <c r="F113" s="2120" t="s">
        <v>2532</v>
      </c>
      <c r="G113" s="2127">
        <f>G103</f>
        <v>0</v>
      </c>
      <c r="H113" s="2123"/>
      <c r="I113" s="2123"/>
      <c r="J113" s="2123">
        <v>55493.02</v>
      </c>
      <c r="K113" s="2123">
        <v>0</v>
      </c>
      <c r="L113" s="2129">
        <f>H113*G113</f>
        <v>0</v>
      </c>
      <c r="M113" s="2129">
        <f>I113*G113</f>
        <v>0</v>
      </c>
      <c r="N113" s="2129">
        <f t="shared" si="14"/>
        <v>0</v>
      </c>
      <c r="O113" s="2128">
        <f>K113*G113</f>
        <v>0</v>
      </c>
      <c r="P113" s="2127"/>
    </row>
    <row r="114" spans="1:18" s="2105" customFormat="1" outlineLevel="1">
      <c r="A114" s="2108" t="str">
        <f t="shared" si="13"/>
        <v>Lắp cáp đồng xuống thiết bị D ≤ 95mm2</v>
      </c>
      <c r="B114" s="2130" t="s">
        <v>1525</v>
      </c>
      <c r="C114" s="2127"/>
      <c r="D114" s="2120" t="s">
        <v>5571</v>
      </c>
      <c r="E114" s="2121" t="s">
        <v>3292</v>
      </c>
      <c r="F114" s="2120" t="s">
        <v>1823</v>
      </c>
      <c r="G114" s="2127">
        <f>G95+G96</f>
        <v>0</v>
      </c>
      <c r="H114" s="2123">
        <v>0</v>
      </c>
      <c r="I114" s="2123"/>
      <c r="J114" s="2123">
        <v>13915</v>
      </c>
      <c r="K114" s="2123">
        <v>0</v>
      </c>
      <c r="L114" s="2129">
        <f>H114*G114</f>
        <v>0</v>
      </c>
      <c r="M114" s="2129">
        <f>I114*G114</f>
        <v>0</v>
      </c>
      <c r="N114" s="2129">
        <f t="shared" si="14"/>
        <v>0</v>
      </c>
      <c r="O114" s="2128">
        <f>K114*G114</f>
        <v>0</v>
      </c>
      <c r="P114" s="2127"/>
    </row>
    <row r="115" spans="1:18" s="2105" customFormat="1" outlineLevel="1">
      <c r="A115" s="2108" t="str">
        <f t="shared" si="13"/>
        <v>Bảng tên trạm, bảng báo nguy hiểm + đinh vít</v>
      </c>
      <c r="B115" s="2130" t="s">
        <v>289</v>
      </c>
      <c r="C115" s="2160">
        <f>IF(G115&gt;0,C93+1,C93)</f>
        <v>0</v>
      </c>
      <c r="D115" s="2161"/>
      <c r="E115" s="2121" t="s">
        <v>5712</v>
      </c>
      <c r="F115" s="2120" t="s">
        <v>2555</v>
      </c>
      <c r="G115" s="2160">
        <f>G34</f>
        <v>0</v>
      </c>
      <c r="H115" s="2123">
        <v>300000</v>
      </c>
      <c r="I115" s="2123"/>
      <c r="J115" s="2123">
        <v>0</v>
      </c>
      <c r="K115" s="2123">
        <v>0</v>
      </c>
      <c r="L115" s="2162">
        <f t="shared" si="6"/>
        <v>0</v>
      </c>
      <c r="M115" s="2162">
        <f t="shared" si="7"/>
        <v>0</v>
      </c>
      <c r="N115" s="2162">
        <f t="shared" si="14"/>
        <v>0</v>
      </c>
      <c r="O115" s="2163">
        <f t="shared" si="8"/>
        <v>0</v>
      </c>
      <c r="P115" s="2164"/>
    </row>
    <row r="116" spans="1:18" s="2105" customFormat="1" outlineLevel="1">
      <c r="A116" s="2108" t="e">
        <f t="shared" si="13"/>
        <v>#N/A</v>
      </c>
      <c r="B116" s="2130"/>
      <c r="C116" s="2165"/>
      <c r="D116" s="2166"/>
      <c r="E116" s="2115"/>
      <c r="F116" s="2622"/>
      <c r="G116" s="2622"/>
      <c r="H116" s="2622"/>
      <c r="I116" s="2622"/>
      <c r="J116" s="2658" t="s">
        <v>6131</v>
      </c>
      <c r="K116" s="2658"/>
      <c r="L116" s="2167">
        <f>SUM(L44:L115)</f>
        <v>0</v>
      </c>
      <c r="M116" s="2167"/>
      <c r="N116" s="2167">
        <f>SUM(N44:N115)</f>
        <v>0</v>
      </c>
      <c r="O116" s="2167">
        <f>SUM(O44:O115)</f>
        <v>0</v>
      </c>
      <c r="P116" s="2135"/>
    </row>
    <row r="117" spans="1:18" s="2105" customFormat="1" ht="13.95" customHeight="1">
      <c r="A117" s="2149" t="str">
        <f>IF(G122&lt;&gt;0,1,"")</f>
        <v/>
      </c>
      <c r="B117" s="2131"/>
      <c r="C117" s="2623"/>
      <c r="D117" s="2149"/>
    </row>
    <row r="118" spans="1:18" s="2105" customFormat="1" outlineLevel="1">
      <c r="A118" s="2108" t="e">
        <f t="shared" ref="A118:A149" si="15">VLOOKUP(B118,DonGia,3,0)</f>
        <v>#N/A</v>
      </c>
      <c r="B118" s="2131"/>
      <c r="C118" s="2659" t="s">
        <v>6132</v>
      </c>
      <c r="D118" s="2624"/>
      <c r="E118" s="2659"/>
      <c r="F118" s="2659"/>
      <c r="G118" s="2659"/>
      <c r="H118" s="2659"/>
      <c r="I118" s="2659"/>
      <c r="J118" s="2659"/>
      <c r="K118" s="2659"/>
      <c r="L118" s="2659"/>
      <c r="M118" s="2659"/>
      <c r="N118" s="2659"/>
      <c r="O118" s="2659"/>
      <c r="P118" s="2659"/>
    </row>
    <row r="119" spans="1:18" s="2105" customFormat="1" outlineLevel="1">
      <c r="A119" s="2108" t="e">
        <f t="shared" si="15"/>
        <v>#N/A</v>
      </c>
      <c r="B119" s="2130" t="s">
        <v>6112</v>
      </c>
      <c r="C119" s="2648" t="s">
        <v>1708</v>
      </c>
      <c r="D119" s="2649" t="s">
        <v>2597</v>
      </c>
      <c r="E119" s="2651" t="s">
        <v>2598</v>
      </c>
      <c r="F119" s="2648" t="s">
        <v>2593</v>
      </c>
      <c r="G119" s="2109" t="s">
        <v>6113</v>
      </c>
      <c r="H119" s="2112" t="s">
        <v>6114</v>
      </c>
      <c r="I119" s="2619"/>
      <c r="J119" s="2619"/>
      <c r="K119" s="2620"/>
      <c r="L119" s="2112" t="s">
        <v>6115</v>
      </c>
      <c r="M119" s="2619"/>
      <c r="N119" s="2619"/>
      <c r="O119" s="2620"/>
      <c r="P119" s="2648" t="s">
        <v>2599</v>
      </c>
    </row>
    <row r="120" spans="1:18" s="2105" customFormat="1" outlineLevel="1">
      <c r="A120" s="2108" t="e">
        <f t="shared" si="15"/>
        <v>#N/A</v>
      </c>
      <c r="B120" s="2130"/>
      <c r="C120" s="2648"/>
      <c r="D120" s="2650"/>
      <c r="E120" s="2652"/>
      <c r="F120" s="2648"/>
      <c r="G120" s="2111" t="s">
        <v>2286</v>
      </c>
      <c r="H120" s="2112" t="s">
        <v>6116</v>
      </c>
      <c r="I120" s="2112" t="s">
        <v>6117</v>
      </c>
      <c r="J120" s="2112" t="s">
        <v>6118</v>
      </c>
      <c r="K120" s="2112" t="s">
        <v>6119</v>
      </c>
      <c r="L120" s="2112" t="s">
        <v>6116</v>
      </c>
      <c r="M120" s="2112" t="s">
        <v>6117</v>
      </c>
      <c r="N120" s="2112" t="s">
        <v>6118</v>
      </c>
      <c r="O120" s="2112" t="s">
        <v>6119</v>
      </c>
      <c r="P120" s="2648"/>
    </row>
    <row r="121" spans="1:18" s="2105" customFormat="1" outlineLevel="1">
      <c r="A121" s="2108" t="e">
        <f t="shared" si="15"/>
        <v>#N/A</v>
      </c>
      <c r="B121" s="2130"/>
      <c r="C121" s="2113"/>
      <c r="D121" s="2114"/>
      <c r="E121" s="2115" t="s">
        <v>3672</v>
      </c>
      <c r="F121" s="2116"/>
      <c r="G121" s="2116"/>
      <c r="H121" s="2116"/>
      <c r="I121" s="2116"/>
      <c r="J121" s="2116"/>
      <c r="K121" s="2116"/>
      <c r="L121" s="2116"/>
      <c r="M121" s="2116"/>
      <c r="N121" s="2116"/>
      <c r="O121" s="2114"/>
      <c r="P121" s="2117"/>
    </row>
    <row r="122" spans="1:18" s="2105" customFormat="1" outlineLevel="1">
      <c r="A122" s="2108" t="str">
        <f t="shared" si="15"/>
        <v>Máy biến áp 12,7/0,22-0,44kV  25kVA</v>
      </c>
      <c r="B122" s="2118" t="str">
        <f>IF($F$8=22,"TR251","TR25")</f>
        <v>TR251</v>
      </c>
      <c r="C122" s="2119">
        <f>IF(G122&gt;0,1,0)</f>
        <v>0</v>
      </c>
      <c r="D122" s="2120" t="s">
        <v>5583</v>
      </c>
      <c r="E122" s="2121" t="s">
        <v>3307</v>
      </c>
      <c r="F122" s="2120" t="s">
        <v>3300</v>
      </c>
      <c r="G122" s="2168">
        <f>H7</f>
        <v>0</v>
      </c>
      <c r="H122" s="2123">
        <v>41513000</v>
      </c>
      <c r="I122" s="2123"/>
      <c r="J122" s="2123">
        <v>546322</v>
      </c>
      <c r="K122" s="2123">
        <v>284508</v>
      </c>
      <c r="L122" s="2129">
        <f t="shared" ref="L122:L130" si="16">H122*G122</f>
        <v>0</v>
      </c>
      <c r="M122" s="2129">
        <f t="shared" ref="M122:M130" si="17">I122*G122</f>
        <v>0</v>
      </c>
      <c r="N122" s="2129">
        <f t="shared" ref="N122:N130" si="18">J122*G122</f>
        <v>0</v>
      </c>
      <c r="O122" s="2128">
        <f t="shared" ref="O122:O130" si="19">K122*G122</f>
        <v>0</v>
      </c>
      <c r="P122" s="2169"/>
    </row>
    <row r="123" spans="1:18" s="2105" customFormat="1" outlineLevel="1">
      <c r="A123" s="2108" t="str">
        <f t="shared" si="15"/>
        <v>FCO 24kV - 100A</v>
      </c>
      <c r="B123" s="2118" t="str">
        <f>"FCO100-"&amp;$F$8</f>
        <v>FCO100-22</v>
      </c>
      <c r="C123" s="2119">
        <f t="shared" ref="C123:C130" si="20">IF(G123&gt;0,C122+1,C122)</f>
        <v>0</v>
      </c>
      <c r="D123" s="2120" t="s">
        <v>5598</v>
      </c>
      <c r="E123" s="2121" t="s">
        <v>95</v>
      </c>
      <c r="F123" s="2120" t="s">
        <v>2555</v>
      </c>
      <c r="G123" s="2127">
        <f>+G122</f>
        <v>0</v>
      </c>
      <c r="H123" s="2123">
        <v>2244280</v>
      </c>
      <c r="I123" s="2123"/>
      <c r="J123" s="2123">
        <v>222639.99999999997</v>
      </c>
      <c r="K123" s="2123">
        <v>0</v>
      </c>
      <c r="L123" s="2129">
        <f t="shared" si="16"/>
        <v>0</v>
      </c>
      <c r="M123" s="2129">
        <f t="shared" si="17"/>
        <v>0</v>
      </c>
      <c r="N123" s="2129">
        <f t="shared" si="18"/>
        <v>0</v>
      </c>
      <c r="O123" s="2128">
        <f t="shared" si="19"/>
        <v>0</v>
      </c>
      <c r="P123" s="2155"/>
    </row>
    <row r="124" spans="1:18" s="2105" customFormat="1" outlineLevel="1">
      <c r="A124" s="2108" t="str">
        <f t="shared" si="15"/>
        <v>Dây chảy 3K</v>
      </c>
      <c r="B124" s="2118" t="str">
        <f>IF($F$8=22,"CHI3K","CHI6K")</f>
        <v>CHI3K</v>
      </c>
      <c r="C124" s="2119">
        <f t="shared" si="20"/>
        <v>0</v>
      </c>
      <c r="D124" s="2120">
        <v>0</v>
      </c>
      <c r="E124" s="2121" t="s">
        <v>3422</v>
      </c>
      <c r="F124" s="2120" t="s">
        <v>2600</v>
      </c>
      <c r="G124" s="2127">
        <f>G123</f>
        <v>0</v>
      </c>
      <c r="H124" s="2123">
        <v>84000</v>
      </c>
      <c r="I124" s="2123"/>
      <c r="J124" s="2123">
        <v>0</v>
      </c>
      <c r="K124" s="2123">
        <v>0</v>
      </c>
      <c r="L124" s="2129">
        <f t="shared" si="16"/>
        <v>0</v>
      </c>
      <c r="M124" s="2129">
        <f t="shared" si="17"/>
        <v>0</v>
      </c>
      <c r="N124" s="2129">
        <f t="shared" si="18"/>
        <v>0</v>
      </c>
      <c r="O124" s="2128">
        <f t="shared" si="19"/>
        <v>0</v>
      </c>
      <c r="P124" s="2155"/>
    </row>
    <row r="125" spans="1:18" s="2105" customFormat="1" outlineLevel="1">
      <c r="A125" s="2108" t="str">
        <f t="shared" si="15"/>
        <v>Chống sét van LA-18KV-10KA</v>
      </c>
      <c r="B125" s="2130" t="str">
        <f>"LA"&amp;$F$6</f>
        <v>LA18</v>
      </c>
      <c r="C125" s="2119">
        <f>IF(G125&gt;0,C124+1,C124)</f>
        <v>0</v>
      </c>
      <c r="D125" s="2120" t="s">
        <v>5602</v>
      </c>
      <c r="E125" s="2121" t="s">
        <v>1193</v>
      </c>
      <c r="F125" s="2120" t="s">
        <v>2555</v>
      </c>
      <c r="G125" s="2127">
        <f>G123</f>
        <v>0</v>
      </c>
      <c r="H125" s="2123">
        <v>1106000</v>
      </c>
      <c r="I125" s="2123"/>
      <c r="J125" s="2123">
        <v>83490</v>
      </c>
      <c r="K125" s="2123">
        <v>0</v>
      </c>
      <c r="L125" s="2129">
        <f t="shared" si="16"/>
        <v>0</v>
      </c>
      <c r="M125" s="2129">
        <f t="shared" si="17"/>
        <v>0</v>
      </c>
      <c r="N125" s="2129">
        <f t="shared" si="18"/>
        <v>0</v>
      </c>
      <c r="O125" s="2128">
        <f t="shared" si="19"/>
        <v>0</v>
      </c>
      <c r="P125" s="2155"/>
    </row>
    <row r="126" spans="1:18" s="2105" customFormat="1" outlineLevel="1">
      <c r="A126" s="2108" t="str">
        <f t="shared" si="15"/>
        <v>MCCB 3 cực 400V -125A - 30KA</v>
      </c>
      <c r="B126" s="2132" t="s">
        <v>1419</v>
      </c>
      <c r="C126" s="2119">
        <f t="shared" si="20"/>
        <v>0</v>
      </c>
      <c r="D126" s="2120">
        <v>0</v>
      </c>
      <c r="E126" s="2121" t="s">
        <v>5680</v>
      </c>
      <c r="F126" s="2120" t="s">
        <v>2555</v>
      </c>
      <c r="G126" s="2127">
        <f>G122</f>
        <v>0</v>
      </c>
      <c r="H126" s="2123">
        <v>2440000</v>
      </c>
      <c r="I126" s="2123"/>
      <c r="J126" s="2123">
        <v>0</v>
      </c>
      <c r="K126" s="2123">
        <v>0</v>
      </c>
      <c r="L126" s="2129">
        <f t="shared" si="16"/>
        <v>0</v>
      </c>
      <c r="M126" s="2129">
        <f t="shared" si="17"/>
        <v>0</v>
      </c>
      <c r="N126" s="2129">
        <f t="shared" si="18"/>
        <v>0</v>
      </c>
      <c r="O126" s="2128">
        <f t="shared" si="19"/>
        <v>0</v>
      </c>
      <c r="P126" s="2155"/>
    </row>
    <row r="127" spans="1:18" s="2105" customFormat="1" outlineLevel="1">
      <c r="A127" s="2108" t="str">
        <f t="shared" si="15"/>
        <v>Biến dòng 24kV  100/5A</v>
      </c>
      <c r="B127" s="2159" t="s">
        <v>1471</v>
      </c>
      <c r="C127" s="2119">
        <f t="shared" si="20"/>
        <v>0</v>
      </c>
      <c r="D127" s="2120">
        <v>0</v>
      </c>
      <c r="E127" s="2121" t="s">
        <v>3353</v>
      </c>
      <c r="F127" s="2120" t="s">
        <v>2555</v>
      </c>
      <c r="G127" s="2127">
        <f>+G122*1</f>
        <v>0</v>
      </c>
      <c r="H127" s="2123">
        <v>0</v>
      </c>
      <c r="I127" s="2123"/>
      <c r="J127" s="2123">
        <v>0</v>
      </c>
      <c r="K127" s="2123">
        <v>0</v>
      </c>
      <c r="L127" s="2129">
        <f t="shared" si="16"/>
        <v>0</v>
      </c>
      <c r="M127" s="2129">
        <f>I127*G127</f>
        <v>0</v>
      </c>
      <c r="N127" s="2129">
        <f>J127*G127</f>
        <v>0</v>
      </c>
      <c r="O127" s="2128">
        <f>K127*G127</f>
        <v>0</v>
      </c>
      <c r="P127" s="2127" t="s">
        <v>2601</v>
      </c>
      <c r="R127" s="2131"/>
    </row>
    <row r="128" spans="1:18" s="2105" customFormat="1" outlineLevel="1">
      <c r="A128" s="2108" t="str">
        <f t="shared" si="15"/>
        <v>Điện kế 1 pha 2 dây 220V-5A</v>
      </c>
      <c r="B128" s="2133" t="s">
        <v>287</v>
      </c>
      <c r="C128" s="2119">
        <f t="shared" si="20"/>
        <v>0</v>
      </c>
      <c r="D128" s="2120">
        <v>0</v>
      </c>
      <c r="E128" s="2121" t="s">
        <v>3439</v>
      </c>
      <c r="F128" s="2120" t="s">
        <v>2555</v>
      </c>
      <c r="G128" s="2127">
        <f>G122*1</f>
        <v>0</v>
      </c>
      <c r="H128" s="2123">
        <v>0</v>
      </c>
      <c r="I128" s="2123"/>
      <c r="J128" s="2123">
        <v>0</v>
      </c>
      <c r="K128" s="2123">
        <v>0</v>
      </c>
      <c r="L128" s="2129">
        <f t="shared" si="16"/>
        <v>0</v>
      </c>
      <c r="M128" s="2129">
        <f t="shared" si="17"/>
        <v>0</v>
      </c>
      <c r="N128" s="2129">
        <f t="shared" si="18"/>
        <v>0</v>
      </c>
      <c r="O128" s="2128">
        <f t="shared" si="19"/>
        <v>0</v>
      </c>
      <c r="P128" s="2127" t="s">
        <v>2601</v>
      </c>
    </row>
    <row r="129" spans="1:18" s="2105" customFormat="1" outlineLevel="1">
      <c r="A129" s="2108" t="str">
        <f t="shared" si="15"/>
        <v xml:space="preserve">Ampe kế 100/5A-600v +AS </v>
      </c>
      <c r="B129" s="2130" t="s">
        <v>199</v>
      </c>
      <c r="C129" s="2119">
        <f t="shared" si="20"/>
        <v>0</v>
      </c>
      <c r="D129" s="2120">
        <v>0</v>
      </c>
      <c r="E129" s="2121" t="s">
        <v>3595</v>
      </c>
      <c r="F129" s="2120" t="s">
        <v>2385</v>
      </c>
      <c r="G129" s="2127"/>
      <c r="H129" s="2123"/>
      <c r="I129" s="2123"/>
      <c r="J129" s="2123">
        <v>0</v>
      </c>
      <c r="K129" s="2123">
        <v>0</v>
      </c>
      <c r="L129" s="2129">
        <f t="shared" si="16"/>
        <v>0</v>
      </c>
      <c r="M129" s="2129">
        <f t="shared" si="17"/>
        <v>0</v>
      </c>
      <c r="N129" s="2129">
        <f t="shared" si="18"/>
        <v>0</v>
      </c>
      <c r="O129" s="2128">
        <f t="shared" si="19"/>
        <v>0</v>
      </c>
      <c r="P129" s="2127" t="s">
        <v>2601</v>
      </c>
    </row>
    <row r="130" spans="1:18" s="2105" customFormat="1" outlineLevel="1">
      <c r="A130" s="2108" t="str">
        <f t="shared" si="15"/>
        <v>Volt kế 500V + VS + 2xChì ống 1A-230V</v>
      </c>
      <c r="B130" s="2130" t="s">
        <v>200</v>
      </c>
      <c r="C130" s="2119">
        <f t="shared" si="20"/>
        <v>0</v>
      </c>
      <c r="D130" s="2120">
        <v>0</v>
      </c>
      <c r="E130" s="2121" t="s">
        <v>3596</v>
      </c>
      <c r="F130" s="2120" t="s">
        <v>2385</v>
      </c>
      <c r="G130" s="2127"/>
      <c r="H130" s="2123"/>
      <c r="I130" s="2123"/>
      <c r="J130" s="2123">
        <v>0</v>
      </c>
      <c r="K130" s="2123">
        <v>0</v>
      </c>
      <c r="L130" s="2129">
        <f t="shared" si="16"/>
        <v>0</v>
      </c>
      <c r="M130" s="2129">
        <f t="shared" si="17"/>
        <v>0</v>
      </c>
      <c r="N130" s="2129">
        <f t="shared" si="18"/>
        <v>0</v>
      </c>
      <c r="O130" s="2128">
        <f t="shared" si="19"/>
        <v>0</v>
      </c>
      <c r="P130" s="2127" t="s">
        <v>2601</v>
      </c>
    </row>
    <row r="131" spans="1:18" s="2105" customFormat="1" outlineLevel="1">
      <c r="A131" s="2108" t="e">
        <f t="shared" si="15"/>
        <v>#N/A</v>
      </c>
      <c r="B131" s="2130"/>
      <c r="C131" s="2135"/>
      <c r="D131" s="2135"/>
      <c r="E131" s="2117"/>
      <c r="F131" s="2135"/>
      <c r="G131" s="2135"/>
      <c r="H131" s="2135"/>
      <c r="I131" s="2135"/>
      <c r="J131" s="2117" t="s">
        <v>6121</v>
      </c>
      <c r="K131" s="2135"/>
      <c r="L131" s="2117">
        <f>SUM(L122:L130)</f>
        <v>0</v>
      </c>
      <c r="M131" s="2117"/>
      <c r="N131" s="2117">
        <f>SUM(N122:N130)</f>
        <v>0</v>
      </c>
      <c r="O131" s="2117">
        <f>SUM(O122:O130)</f>
        <v>0</v>
      </c>
      <c r="P131" s="2170"/>
    </row>
    <row r="132" spans="1:18" s="2105" customFormat="1" outlineLevel="1">
      <c r="A132" s="2108" t="e">
        <f t="shared" si="15"/>
        <v>#N/A</v>
      </c>
      <c r="B132" s="2130"/>
      <c r="C132" s="2137"/>
      <c r="D132" s="2135"/>
      <c r="E132" s="2139" t="s">
        <v>3673</v>
      </c>
      <c r="F132" s="2139"/>
      <c r="G132" s="2139"/>
      <c r="H132" s="2139"/>
      <c r="I132" s="2139"/>
      <c r="J132" s="2139"/>
      <c r="K132" s="2139"/>
      <c r="L132" s="2139"/>
      <c r="M132" s="2139"/>
      <c r="N132" s="2139"/>
      <c r="O132" s="2138"/>
      <c r="P132" s="2170"/>
    </row>
    <row r="133" spans="1:18" s="2105" customFormat="1" outlineLevel="1">
      <c r="A133" s="2108" t="str">
        <f t="shared" si="15"/>
        <v>Boulon 16x300+ 2 long đền vuông D18-50x50x3/Zn</v>
      </c>
      <c r="B133" s="2130" t="s">
        <v>1610</v>
      </c>
      <c r="C133" s="2140">
        <f>IF(G145&gt;0,1,0)</f>
        <v>0</v>
      </c>
      <c r="D133" s="2120">
        <v>0</v>
      </c>
      <c r="E133" s="2121" t="s">
        <v>2649</v>
      </c>
      <c r="F133" s="2120" t="s">
        <v>2439</v>
      </c>
      <c r="G133" s="2142">
        <f>2*SUM(G122:G122)</f>
        <v>0</v>
      </c>
      <c r="H133" s="2123">
        <v>25400</v>
      </c>
      <c r="I133" s="2128"/>
      <c r="J133" s="2123">
        <v>0</v>
      </c>
      <c r="K133" s="2123">
        <v>0</v>
      </c>
      <c r="L133" s="2129">
        <f t="shared" ref="L133:L204" si="21">H133*G133</f>
        <v>0</v>
      </c>
      <c r="M133" s="2129">
        <f t="shared" ref="M133:M204" si="22">I133*G133</f>
        <v>0</v>
      </c>
      <c r="N133" s="2129">
        <f t="shared" ref="N133:N204" si="23">J133*G133</f>
        <v>0</v>
      </c>
      <c r="O133" s="2128">
        <f t="shared" ref="O133:O204" si="24">K133*G133</f>
        <v>0</v>
      </c>
      <c r="P133" s="2169"/>
    </row>
    <row r="134" spans="1:18" s="2105" customFormat="1" outlineLevel="1">
      <c r="A134" s="2108" t="e">
        <f t="shared" si="15"/>
        <v>#N/A</v>
      </c>
      <c r="B134" s="2130"/>
      <c r="C134" s="2145">
        <f>IF(G134&gt;0,C133+1,C133)</f>
        <v>0</v>
      </c>
      <c r="D134" s="2146"/>
      <c r="E134" s="2147" t="s">
        <v>3674</v>
      </c>
      <c r="F134" s="2142" t="s">
        <v>2385</v>
      </c>
      <c r="G134" s="2142">
        <f>G122*0</f>
        <v>0</v>
      </c>
      <c r="H134" s="2128"/>
      <c r="I134" s="2128"/>
      <c r="J134" s="2128"/>
      <c r="K134" s="2128"/>
      <c r="L134" s="2129">
        <f t="shared" si="21"/>
        <v>0</v>
      </c>
      <c r="M134" s="2129">
        <f t="shared" si="22"/>
        <v>0</v>
      </c>
      <c r="N134" s="2129">
        <f t="shared" si="23"/>
        <v>0</v>
      </c>
      <c r="O134" s="2128">
        <f t="shared" si="24"/>
        <v>0</v>
      </c>
      <c r="P134" s="2127"/>
    </row>
    <row r="135" spans="1:18" s="2105" customFormat="1" ht="14.4" outlineLevel="1">
      <c r="A135" s="2108" t="e">
        <f t="shared" si="15"/>
        <v>#N/A</v>
      </c>
      <c r="B135" s="2130"/>
      <c r="C135" s="2142"/>
      <c r="D135" s="2146"/>
      <c r="E135" s="2148" t="s">
        <v>6133</v>
      </c>
      <c r="F135" s="2127"/>
      <c r="G135" s="2127"/>
      <c r="H135" s="2128"/>
      <c r="I135" s="2128"/>
      <c r="J135" s="2128"/>
      <c r="K135" s="2128"/>
      <c r="L135" s="2129">
        <f t="shared" si="21"/>
        <v>0</v>
      </c>
      <c r="M135" s="2129">
        <f t="shared" si="22"/>
        <v>0</v>
      </c>
      <c r="N135" s="2129">
        <f t="shared" si="23"/>
        <v>0</v>
      </c>
      <c r="O135" s="2128">
        <f t="shared" si="24"/>
        <v>0</v>
      </c>
      <c r="P135" s="2127"/>
      <c r="R135" s="2149"/>
    </row>
    <row r="136" spans="1:18" s="2105" customFormat="1" outlineLevel="1">
      <c r="A136" s="2108" t="str">
        <f t="shared" si="15"/>
        <v>Trụ BTLT 12m F540 dự ứng lực</v>
      </c>
      <c r="B136" s="2133" t="s">
        <v>115</v>
      </c>
      <c r="C136" s="2127"/>
      <c r="D136" s="2120">
        <v>0</v>
      </c>
      <c r="E136" s="2121" t="s">
        <v>2992</v>
      </c>
      <c r="F136" s="2120" t="s">
        <v>2831</v>
      </c>
      <c r="G136" s="2127">
        <f>1*G134</f>
        <v>0</v>
      </c>
      <c r="H136" s="2123">
        <v>4400000</v>
      </c>
      <c r="I136" s="2123"/>
      <c r="J136" s="2123">
        <v>0</v>
      </c>
      <c r="K136" s="2123">
        <v>0</v>
      </c>
      <c r="L136" s="2129">
        <f t="shared" si="21"/>
        <v>0</v>
      </c>
      <c r="M136" s="2129">
        <f t="shared" si="22"/>
        <v>0</v>
      </c>
      <c r="N136" s="2129">
        <f t="shared" si="23"/>
        <v>0</v>
      </c>
      <c r="O136" s="2128">
        <f t="shared" si="24"/>
        <v>0</v>
      </c>
      <c r="P136" s="2127"/>
      <c r="R136" s="2149"/>
    </row>
    <row r="137" spans="1:18" s="2105" customFormat="1" outlineLevel="1">
      <c r="A137" s="2108" t="str">
        <f t="shared" si="15"/>
        <v>Vật liệu dựng trụ</v>
      </c>
      <c r="B137" s="2133" t="s">
        <v>1814</v>
      </c>
      <c r="C137" s="2127"/>
      <c r="D137" s="2150"/>
      <c r="E137" s="2121" t="s">
        <v>2830</v>
      </c>
      <c r="F137" s="2120" t="s">
        <v>2831</v>
      </c>
      <c r="G137" s="2127">
        <f>G136</f>
        <v>0</v>
      </c>
      <c r="H137" s="2123">
        <v>17400</v>
      </c>
      <c r="I137" s="2123"/>
      <c r="J137" s="2123">
        <v>0</v>
      </c>
      <c r="K137" s="2123">
        <v>0</v>
      </c>
      <c r="L137" s="2129">
        <f t="shared" si="21"/>
        <v>0</v>
      </c>
      <c r="M137" s="2129">
        <f t="shared" si="22"/>
        <v>0</v>
      </c>
      <c r="N137" s="2129">
        <f t="shared" si="23"/>
        <v>0</v>
      </c>
      <c r="O137" s="2128">
        <f t="shared" si="24"/>
        <v>0</v>
      </c>
      <c r="P137" s="2127"/>
      <c r="R137" s="2149"/>
    </row>
    <row r="138" spans="1:18" s="2105" customFormat="1" outlineLevel="1">
      <c r="A138" s="2108" t="str">
        <f t="shared" si="15"/>
        <v>Dựng trụ BTLT 12m trong TBA bằng thủ công + cơ giới</v>
      </c>
      <c r="B138" s="2133" t="s">
        <v>2126</v>
      </c>
      <c r="C138" s="2127"/>
      <c r="D138" s="2150"/>
      <c r="E138" s="2121" t="s">
        <v>3167</v>
      </c>
      <c r="F138" s="2120" t="s">
        <v>2831</v>
      </c>
      <c r="G138" s="2127">
        <f>G136</f>
        <v>0</v>
      </c>
      <c r="H138" s="2123">
        <v>0</v>
      </c>
      <c r="I138" s="2123"/>
      <c r="J138" s="2123">
        <v>112286</v>
      </c>
      <c r="K138" s="2123">
        <v>105970</v>
      </c>
      <c r="L138" s="2129">
        <f t="shared" si="21"/>
        <v>0</v>
      </c>
      <c r="M138" s="2129">
        <f t="shared" si="22"/>
        <v>0</v>
      </c>
      <c r="N138" s="2129">
        <f t="shared" si="23"/>
        <v>0</v>
      </c>
      <c r="O138" s="2128">
        <f t="shared" si="24"/>
        <v>0</v>
      </c>
      <c r="P138" s="2127"/>
      <c r="R138" s="2149"/>
    </row>
    <row r="139" spans="1:18" s="2105" customFormat="1" outlineLevel="1">
      <c r="A139" s="2108" t="e">
        <f t="shared" si="15"/>
        <v>#N/A</v>
      </c>
      <c r="B139" s="2130"/>
      <c r="C139" s="2145">
        <f>IF(G139&gt;0,C134+1,C134)</f>
        <v>0</v>
      </c>
      <c r="D139" s="2146"/>
      <c r="E139" s="2147" t="s">
        <v>2352</v>
      </c>
      <c r="F139" s="2142" t="s">
        <v>2385</v>
      </c>
      <c r="G139" s="2142">
        <f>G134</f>
        <v>0</v>
      </c>
      <c r="H139" s="2128"/>
      <c r="I139" s="2128"/>
      <c r="J139" s="2128"/>
      <c r="K139" s="2128"/>
      <c r="L139" s="2129">
        <f t="shared" si="21"/>
        <v>0</v>
      </c>
      <c r="M139" s="2129">
        <f t="shared" si="22"/>
        <v>0</v>
      </c>
      <c r="N139" s="2129">
        <f t="shared" si="23"/>
        <v>0</v>
      </c>
      <c r="O139" s="2128">
        <f t="shared" si="24"/>
        <v>0</v>
      </c>
      <c r="P139" s="2127"/>
    </row>
    <row r="140" spans="1:18" s="2105" customFormat="1" ht="14.4" outlineLevel="1">
      <c r="A140" s="2108" t="e">
        <f t="shared" si="15"/>
        <v>#N/A</v>
      </c>
      <c r="B140" s="2130"/>
      <c r="C140" s="2142"/>
      <c r="D140" s="2146"/>
      <c r="E140" s="2148" t="s">
        <v>6133</v>
      </c>
      <c r="F140" s="2127"/>
      <c r="G140" s="2127"/>
      <c r="H140" s="2128"/>
      <c r="I140" s="2128"/>
      <c r="J140" s="2128"/>
      <c r="K140" s="2128"/>
      <c r="L140" s="2129">
        <f t="shared" si="21"/>
        <v>0</v>
      </c>
      <c r="M140" s="2129">
        <f t="shared" si="22"/>
        <v>0</v>
      </c>
      <c r="N140" s="2129">
        <f t="shared" si="23"/>
        <v>0</v>
      </c>
      <c r="O140" s="2128">
        <f t="shared" si="24"/>
        <v>0</v>
      </c>
      <c r="P140" s="2127"/>
      <c r="R140" s="2149"/>
    </row>
    <row r="141" spans="1:18" s="2105" customFormat="1" outlineLevel="1">
      <c r="A141" s="2108" t="str">
        <f t="shared" si="15"/>
        <v>Đà cản BTCT 1,2m</v>
      </c>
      <c r="B141" s="2133" t="s">
        <v>636</v>
      </c>
      <c r="C141" s="2127"/>
      <c r="D141" s="2120" t="s">
        <v>5047</v>
      </c>
      <c r="E141" s="2121" t="s">
        <v>2607</v>
      </c>
      <c r="F141" s="2120" t="s">
        <v>2555</v>
      </c>
      <c r="G141" s="2127">
        <f>1*G139</f>
        <v>0</v>
      </c>
      <c r="H141" s="2123">
        <v>354545</v>
      </c>
      <c r="I141" s="2123"/>
      <c r="J141" s="2123">
        <v>37220.25</v>
      </c>
      <c r="K141" s="2123">
        <v>0</v>
      </c>
      <c r="L141" s="2129">
        <f t="shared" si="21"/>
        <v>0</v>
      </c>
      <c r="M141" s="2129">
        <f t="shared" si="22"/>
        <v>0</v>
      </c>
      <c r="N141" s="2129">
        <f t="shared" si="23"/>
        <v>0</v>
      </c>
      <c r="O141" s="2128">
        <f t="shared" si="24"/>
        <v>0</v>
      </c>
      <c r="P141" s="2127"/>
      <c r="R141" s="2149"/>
    </row>
    <row r="142" spans="1:18" s="2105" customFormat="1" outlineLevel="1">
      <c r="A142" s="2108" t="str">
        <f t="shared" si="15"/>
        <v>Boulon 22x550/100+ 2 long đền vuông D24-50x50x3/Zn</v>
      </c>
      <c r="B142" s="2133" t="s">
        <v>719</v>
      </c>
      <c r="C142" s="2127"/>
      <c r="D142" s="2120">
        <v>0</v>
      </c>
      <c r="E142" s="2121" t="s">
        <v>5071</v>
      </c>
      <c r="F142" s="2120" t="s">
        <v>2439</v>
      </c>
      <c r="G142" s="2127">
        <f>G139</f>
        <v>0</v>
      </c>
      <c r="H142" s="2123">
        <v>82400</v>
      </c>
      <c r="I142" s="2123"/>
      <c r="J142" s="2123">
        <v>0</v>
      </c>
      <c r="K142" s="2123">
        <v>0</v>
      </c>
      <c r="L142" s="2129">
        <f t="shared" si="21"/>
        <v>0</v>
      </c>
      <c r="M142" s="2129">
        <f t="shared" si="22"/>
        <v>0</v>
      </c>
      <c r="N142" s="2129">
        <f t="shared" si="23"/>
        <v>0</v>
      </c>
      <c r="O142" s="2128">
        <f t="shared" si="24"/>
        <v>0</v>
      </c>
      <c r="P142" s="2127"/>
      <c r="R142" s="2149"/>
    </row>
    <row r="143" spans="1:18" s="2105" customFormat="1" outlineLevel="1">
      <c r="A143" s="2108" t="str">
        <f t="shared" si="15"/>
        <v>Đào hố móng đất cấp 3 sâu &gt;1m</v>
      </c>
      <c r="B143" s="2133" t="s">
        <v>639</v>
      </c>
      <c r="C143" s="2127"/>
      <c r="D143" s="2120" t="s">
        <v>1747</v>
      </c>
      <c r="E143" s="2121" t="s">
        <v>5324</v>
      </c>
      <c r="F143" s="2120" t="s">
        <v>856</v>
      </c>
      <c r="G143" s="2151">
        <f>G139*1.45</f>
        <v>0</v>
      </c>
      <c r="H143" s="2123">
        <v>0</v>
      </c>
      <c r="I143" s="2123"/>
      <c r="J143" s="2123">
        <v>296500.89999999997</v>
      </c>
      <c r="K143" s="2123">
        <v>0</v>
      </c>
      <c r="L143" s="2129">
        <f t="shared" si="21"/>
        <v>0</v>
      </c>
      <c r="M143" s="2129">
        <f t="shared" si="22"/>
        <v>0</v>
      </c>
      <c r="N143" s="2129">
        <f t="shared" si="23"/>
        <v>0</v>
      </c>
      <c r="O143" s="2128">
        <f t="shared" si="24"/>
        <v>0</v>
      </c>
      <c r="P143" s="2127"/>
      <c r="R143" s="2149"/>
    </row>
    <row r="144" spans="1:18" s="2105" customFormat="1" outlineLevel="1">
      <c r="A144" s="2108" t="str">
        <f t="shared" si="15"/>
        <v>Đắp đất hố móng, độ chặt k=0,95</v>
      </c>
      <c r="B144" s="2133" t="s">
        <v>21</v>
      </c>
      <c r="C144" s="2127"/>
      <c r="D144" s="2120" t="s">
        <v>5325</v>
      </c>
      <c r="E144" s="2121" t="s">
        <v>5326</v>
      </c>
      <c r="F144" s="2120" t="s">
        <v>856</v>
      </c>
      <c r="G144" s="2151">
        <f>G139*1.37</f>
        <v>0</v>
      </c>
      <c r="H144" s="2123">
        <v>0</v>
      </c>
      <c r="I144" s="2123"/>
      <c r="J144" s="2123">
        <v>117703.6</v>
      </c>
      <c r="K144" s="2123">
        <v>0</v>
      </c>
      <c r="L144" s="2129">
        <f t="shared" si="21"/>
        <v>0</v>
      </c>
      <c r="M144" s="2129">
        <f t="shared" si="22"/>
        <v>0</v>
      </c>
      <c r="N144" s="2129">
        <f t="shared" si="23"/>
        <v>0</v>
      </c>
      <c r="O144" s="2128">
        <f t="shared" si="24"/>
        <v>0</v>
      </c>
      <c r="P144" s="2127"/>
      <c r="R144" s="2149"/>
    </row>
    <row r="145" spans="1:16" s="2105" customFormat="1" outlineLevel="1">
      <c r="A145" s="2108" t="e">
        <f t="shared" si="15"/>
        <v>#N/A</v>
      </c>
      <c r="B145" s="2130"/>
      <c r="C145" s="2145">
        <f>IF(G145&gt;0,C139+1,C139)</f>
        <v>0</v>
      </c>
      <c r="D145" s="2146"/>
      <c r="E145" s="2171" t="s">
        <v>3675</v>
      </c>
      <c r="F145" s="2142" t="s">
        <v>2385</v>
      </c>
      <c r="G145" s="2142">
        <f>SUM(G122:G122)</f>
        <v>0</v>
      </c>
      <c r="H145" s="2123"/>
      <c r="I145" s="2128"/>
      <c r="J145" s="2128"/>
      <c r="K145" s="2128"/>
      <c r="L145" s="2129">
        <f t="shared" si="21"/>
        <v>0</v>
      </c>
      <c r="M145" s="2129">
        <f t="shared" si="22"/>
        <v>0</v>
      </c>
      <c r="N145" s="2129">
        <f t="shared" si="23"/>
        <v>0</v>
      </c>
      <c r="O145" s="2128">
        <f t="shared" si="24"/>
        <v>0</v>
      </c>
      <c r="P145" s="2155"/>
    </row>
    <row r="146" spans="1:16" s="2105" customFormat="1" ht="14.4" outlineLevel="1">
      <c r="A146" s="2108" t="e">
        <f t="shared" si="15"/>
        <v>#N/A</v>
      </c>
      <c r="B146" s="2130"/>
      <c r="C146" s="2142"/>
      <c r="D146" s="2146"/>
      <c r="E146" s="2172" t="s">
        <v>6133</v>
      </c>
      <c r="F146" s="2127"/>
      <c r="G146" s="2127"/>
      <c r="H146" s="2128"/>
      <c r="I146" s="2128"/>
      <c r="J146" s="2128"/>
      <c r="K146" s="2128"/>
      <c r="L146" s="2129">
        <f t="shared" si="21"/>
        <v>0</v>
      </c>
      <c r="M146" s="2129">
        <f t="shared" si="22"/>
        <v>0</v>
      </c>
      <c r="N146" s="2129">
        <f t="shared" si="23"/>
        <v>0</v>
      </c>
      <c r="O146" s="2128">
        <f t="shared" si="24"/>
        <v>0</v>
      </c>
      <c r="P146" s="2155"/>
    </row>
    <row r="147" spans="1:16" s="2105" customFormat="1" outlineLevel="1">
      <c r="A147" s="2108" t="str">
        <f t="shared" si="15"/>
        <v>Đà Composite 110x80x5x800</v>
      </c>
      <c r="B147" s="2173" t="s">
        <v>5157</v>
      </c>
      <c r="C147" s="2127"/>
      <c r="D147" s="2120">
        <v>0</v>
      </c>
      <c r="E147" s="2121" t="s">
        <v>4865</v>
      </c>
      <c r="F147" s="2120" t="s">
        <v>2590</v>
      </c>
      <c r="G147" s="2156">
        <f>$G$145*1</f>
        <v>0</v>
      </c>
      <c r="H147" s="2123">
        <v>320000</v>
      </c>
      <c r="I147" s="2128"/>
      <c r="J147" s="2123">
        <v>0</v>
      </c>
      <c r="K147" s="2123">
        <v>0</v>
      </c>
      <c r="L147" s="2129">
        <f t="shared" si="21"/>
        <v>0</v>
      </c>
      <c r="M147" s="2129">
        <f>I147*G147</f>
        <v>0</v>
      </c>
      <c r="N147" s="2129">
        <f t="shared" si="23"/>
        <v>0</v>
      </c>
      <c r="O147" s="2128">
        <f t="shared" si="24"/>
        <v>0</v>
      </c>
      <c r="P147" s="2155"/>
    </row>
    <row r="148" spans="1:16" s="2105" customFormat="1" outlineLevel="1">
      <c r="A148" s="2108" t="str">
        <f t="shared" si="15"/>
        <v>Chống Composite 40x10x710</v>
      </c>
      <c r="B148" s="2133" t="s">
        <v>5161</v>
      </c>
      <c r="C148" s="2127"/>
      <c r="D148" s="2120">
        <v>0</v>
      </c>
      <c r="E148" s="2121" t="s">
        <v>5162</v>
      </c>
      <c r="F148" s="2120" t="s">
        <v>5160</v>
      </c>
      <c r="G148" s="2127">
        <f>$G$147*1</f>
        <v>0</v>
      </c>
      <c r="H148" s="2123">
        <v>95000</v>
      </c>
      <c r="I148" s="2128"/>
      <c r="J148" s="2123">
        <v>0</v>
      </c>
      <c r="K148" s="2123">
        <v>0</v>
      </c>
      <c r="L148" s="2129">
        <f t="shared" si="21"/>
        <v>0</v>
      </c>
      <c r="M148" s="2129">
        <f>I148*G148</f>
        <v>0</v>
      </c>
      <c r="N148" s="2129">
        <f t="shared" si="23"/>
        <v>0</v>
      </c>
      <c r="O148" s="2128">
        <f t="shared" si="24"/>
        <v>0</v>
      </c>
      <c r="P148" s="2155"/>
    </row>
    <row r="149" spans="1:16" s="2105" customFormat="1" outlineLevel="1">
      <c r="A149" s="2108" t="str">
        <f t="shared" si="15"/>
        <v>Bass LL bắt FCO, LA</v>
      </c>
      <c r="B149" s="2133" t="s">
        <v>1840</v>
      </c>
      <c r="C149" s="2127"/>
      <c r="D149" s="2120">
        <v>0</v>
      </c>
      <c r="E149" s="2121" t="s">
        <v>5078</v>
      </c>
      <c r="F149" s="2120" t="s">
        <v>2439</v>
      </c>
      <c r="G149" s="2127">
        <f>1*$G$123</f>
        <v>0</v>
      </c>
      <c r="H149" s="2123">
        <v>65000</v>
      </c>
      <c r="I149" s="2128"/>
      <c r="J149" s="2123">
        <v>0</v>
      </c>
      <c r="K149" s="2123">
        <v>0</v>
      </c>
      <c r="L149" s="2129">
        <f t="shared" si="21"/>
        <v>0</v>
      </c>
      <c r="M149" s="2129"/>
      <c r="N149" s="2129">
        <f t="shared" si="23"/>
        <v>0</v>
      </c>
      <c r="O149" s="2128">
        <f t="shared" si="24"/>
        <v>0</v>
      </c>
      <c r="P149" s="2155"/>
    </row>
    <row r="150" spans="1:16" s="2105" customFormat="1" outlineLevel="1">
      <c r="A150" s="2108" t="str">
        <f t="shared" ref="A150:A181" si="25">VLOOKUP(B150,DonGia,3,0)</f>
        <v>Nắp che đầu cực FCO</v>
      </c>
      <c r="B150" s="2133" t="s">
        <v>6125</v>
      </c>
      <c r="C150" s="2127"/>
      <c r="D150" s="2120">
        <v>0</v>
      </c>
      <c r="E150" s="2121" t="s">
        <v>5700</v>
      </c>
      <c r="F150" s="2120" t="s">
        <v>2555</v>
      </c>
      <c r="G150" s="2127">
        <f>1*$G$123</f>
        <v>0</v>
      </c>
      <c r="H150" s="2123">
        <v>218200</v>
      </c>
      <c r="I150" s="2128"/>
      <c r="J150" s="2123">
        <v>0</v>
      </c>
      <c r="K150" s="2123">
        <v>0</v>
      </c>
      <c r="L150" s="2129">
        <f>H150*G150</f>
        <v>0</v>
      </c>
      <c r="M150" s="2129"/>
      <c r="N150" s="2129">
        <f t="shared" si="23"/>
        <v>0</v>
      </c>
      <c r="O150" s="2128">
        <f>K150*G150</f>
        <v>0</v>
      </c>
      <c r="P150" s="2155"/>
    </row>
    <row r="151" spans="1:16" s="2105" customFormat="1" outlineLevel="1">
      <c r="A151" s="2108" t="str">
        <f t="shared" si="25"/>
        <v>Nắp che đầu cực LA</v>
      </c>
      <c r="B151" s="2133" t="s">
        <v>6126</v>
      </c>
      <c r="C151" s="2127"/>
      <c r="D151" s="2120">
        <v>0</v>
      </c>
      <c r="E151" s="2121" t="s">
        <v>5706</v>
      </c>
      <c r="F151" s="2120" t="s">
        <v>2555</v>
      </c>
      <c r="G151" s="2127">
        <f>1*$G$125</f>
        <v>0</v>
      </c>
      <c r="H151" s="2123">
        <v>39100</v>
      </c>
      <c r="I151" s="2128"/>
      <c r="J151" s="2123">
        <v>0</v>
      </c>
      <c r="K151" s="2123">
        <v>0</v>
      </c>
      <c r="L151" s="2129">
        <f>H151*G151</f>
        <v>0</v>
      </c>
      <c r="M151" s="2129"/>
      <c r="N151" s="2129">
        <f t="shared" si="23"/>
        <v>0</v>
      </c>
      <c r="O151" s="2128">
        <f>K151*G151</f>
        <v>0</v>
      </c>
      <c r="P151" s="2155"/>
    </row>
    <row r="152" spans="1:16" s="2105" customFormat="1" outlineLevel="1">
      <c r="A152" s="2108" t="str">
        <f t="shared" si="25"/>
        <v>Boulon 16x150+ 2 long đền vuông D18-50x50x3/Zn</v>
      </c>
      <c r="B152" s="2133" t="s">
        <v>244</v>
      </c>
      <c r="C152" s="2127"/>
      <c r="D152" s="2120">
        <v>0</v>
      </c>
      <c r="E152" s="2121" t="s">
        <v>2641</v>
      </c>
      <c r="F152" s="2120" t="s">
        <v>2439</v>
      </c>
      <c r="G152" s="2127">
        <f>$G$145*1</f>
        <v>0</v>
      </c>
      <c r="H152" s="2123">
        <v>18900</v>
      </c>
      <c r="I152" s="2128"/>
      <c r="J152" s="2123">
        <v>0</v>
      </c>
      <c r="K152" s="2123">
        <v>0</v>
      </c>
      <c r="L152" s="2129">
        <f t="shared" si="21"/>
        <v>0</v>
      </c>
      <c r="M152" s="2129">
        <f>I152*G152</f>
        <v>0</v>
      </c>
      <c r="N152" s="2129">
        <f t="shared" si="23"/>
        <v>0</v>
      </c>
      <c r="O152" s="2128">
        <f t="shared" si="24"/>
        <v>0</v>
      </c>
      <c r="P152" s="2155"/>
    </row>
    <row r="153" spans="1:16" s="2105" customFormat="1" outlineLevel="1">
      <c r="A153" s="2108" t="str">
        <f t="shared" si="25"/>
        <v>Boulon 16x350+ 2 long đền vuông D18-50x50x3/Zn</v>
      </c>
      <c r="B153" s="2133" t="s">
        <v>1079</v>
      </c>
      <c r="C153" s="2127"/>
      <c r="D153" s="2120">
        <v>0</v>
      </c>
      <c r="E153" s="2121" t="s">
        <v>2651</v>
      </c>
      <c r="F153" s="2120" t="s">
        <v>2439</v>
      </c>
      <c r="G153" s="2127">
        <f>$G$145*2</f>
        <v>0</v>
      </c>
      <c r="H153" s="2123">
        <v>27900</v>
      </c>
      <c r="I153" s="2128"/>
      <c r="J153" s="2123">
        <v>0</v>
      </c>
      <c r="K153" s="2123">
        <v>0</v>
      </c>
      <c r="L153" s="2129">
        <f t="shared" si="21"/>
        <v>0</v>
      </c>
      <c r="M153" s="2129">
        <f>I153*G153</f>
        <v>0</v>
      </c>
      <c r="N153" s="2129">
        <f t="shared" si="23"/>
        <v>0</v>
      </c>
      <c r="O153" s="2128">
        <f t="shared" si="24"/>
        <v>0</v>
      </c>
      <c r="P153" s="2155"/>
    </row>
    <row r="154" spans="1:16" s="2105" customFormat="1" outlineLevel="1">
      <c r="A154" s="2108" t="str">
        <f t="shared" si="25"/>
        <v>Lắp xà đỡ ≤ 25kg</v>
      </c>
      <c r="B154" s="2133" t="s">
        <v>1995</v>
      </c>
      <c r="C154" s="2127"/>
      <c r="D154" s="2120" t="s">
        <v>5378</v>
      </c>
      <c r="E154" s="2121" t="s">
        <v>5379</v>
      </c>
      <c r="F154" s="2120" t="s">
        <v>2439</v>
      </c>
      <c r="G154" s="2127">
        <f>G145</f>
        <v>0</v>
      </c>
      <c r="H154" s="2123">
        <v>0</v>
      </c>
      <c r="I154" s="2128"/>
      <c r="J154" s="2153" t="s">
        <v>6306</v>
      </c>
      <c r="K154" s="2123">
        <v>0</v>
      </c>
      <c r="L154" s="2129">
        <f t="shared" si="21"/>
        <v>0</v>
      </c>
      <c r="M154" s="2129">
        <f>I154*G154</f>
        <v>0</v>
      </c>
      <c r="N154" s="2154">
        <f>106640*G154*1.5</f>
        <v>0</v>
      </c>
      <c r="O154" s="2128">
        <f t="shared" si="24"/>
        <v>0</v>
      </c>
      <c r="P154" s="2155"/>
    </row>
    <row r="155" spans="1:16" s="2105" customFormat="1" outlineLevel="1">
      <c r="A155" s="2108" t="e">
        <f t="shared" si="25"/>
        <v>#N/A</v>
      </c>
      <c r="B155" s="2130"/>
      <c r="C155" s="2142">
        <f>IF(G155&gt;0,C145+1,C145)</f>
        <v>0</v>
      </c>
      <c r="D155" s="2146"/>
      <c r="E155" s="2171" t="s">
        <v>3676</v>
      </c>
      <c r="F155" s="2142" t="s">
        <v>2385</v>
      </c>
      <c r="G155" s="2142">
        <f>G145</f>
        <v>0</v>
      </c>
      <c r="H155" s="2128"/>
      <c r="I155" s="2128"/>
      <c r="J155" s="2128"/>
      <c r="K155" s="2128"/>
      <c r="L155" s="2129">
        <f t="shared" si="21"/>
        <v>0</v>
      </c>
      <c r="M155" s="2129">
        <f t="shared" si="22"/>
        <v>0</v>
      </c>
      <c r="N155" s="2129">
        <f t="shared" si="23"/>
        <v>0</v>
      </c>
      <c r="O155" s="2128">
        <f t="shared" si="24"/>
        <v>0</v>
      </c>
      <c r="P155" s="2155"/>
    </row>
    <row r="156" spans="1:16" s="2105" customFormat="1" ht="14.4" outlineLevel="1">
      <c r="A156" s="2108" t="e">
        <f t="shared" si="25"/>
        <v>#N/A</v>
      </c>
      <c r="B156" s="2130"/>
      <c r="C156" s="2127"/>
      <c r="D156" s="2150"/>
      <c r="E156" s="2172" t="s">
        <v>6133</v>
      </c>
      <c r="F156" s="2127"/>
      <c r="G156" s="2127"/>
      <c r="H156" s="2128"/>
      <c r="I156" s="2128"/>
      <c r="J156" s="2128"/>
      <c r="K156" s="2128"/>
      <c r="L156" s="2129">
        <f t="shared" si="21"/>
        <v>0</v>
      </c>
      <c r="M156" s="2129">
        <f t="shared" si="22"/>
        <v>0</v>
      </c>
      <c r="N156" s="2129">
        <f t="shared" si="23"/>
        <v>0</v>
      </c>
      <c r="O156" s="2128">
        <f t="shared" si="24"/>
        <v>0</v>
      </c>
      <c r="P156" s="2155"/>
    </row>
    <row r="157" spans="1:16" s="2105" customFormat="1" outlineLevel="1">
      <c r="A157" s="2108" t="str">
        <f t="shared" si="25"/>
        <v>Cáp đồng trần M25mm2</v>
      </c>
      <c r="B157" s="2130" t="s">
        <v>1033</v>
      </c>
      <c r="C157" s="2127"/>
      <c r="D157" s="2120">
        <v>0</v>
      </c>
      <c r="E157" s="2121" t="s">
        <v>2700</v>
      </c>
      <c r="F157" s="2120" t="s">
        <v>2248</v>
      </c>
      <c r="G157" s="2151">
        <f>$H$3*G155*0.224</f>
        <v>0</v>
      </c>
      <c r="H157" s="2123">
        <v>255500</v>
      </c>
      <c r="I157" s="2128"/>
      <c r="J157" s="2123">
        <v>0</v>
      </c>
      <c r="K157" s="2123">
        <v>0</v>
      </c>
      <c r="L157" s="2129">
        <f t="shared" si="21"/>
        <v>0</v>
      </c>
      <c r="M157" s="2129">
        <f t="shared" si="22"/>
        <v>0</v>
      </c>
      <c r="N157" s="2129">
        <f t="shared" si="23"/>
        <v>0</v>
      </c>
      <c r="O157" s="2128">
        <f t="shared" si="24"/>
        <v>0</v>
      </c>
      <c r="P157" s="2155"/>
    </row>
    <row r="158" spans="1:16" s="2105" customFormat="1" outlineLevel="1">
      <c r="A158" s="2108" t="str">
        <f t="shared" si="25"/>
        <v>Cọc tiếp đất Þ 16- 2,4m + kẹp cọc mạ đồng</v>
      </c>
      <c r="B158" s="2133" t="s">
        <v>1508</v>
      </c>
      <c r="C158" s="2127"/>
      <c r="D158" s="2120">
        <v>0</v>
      </c>
      <c r="E158" s="2121" t="s">
        <v>5163</v>
      </c>
      <c r="F158" s="2120" t="s">
        <v>2439</v>
      </c>
      <c r="G158" s="2127">
        <f>$H$2*G155</f>
        <v>0</v>
      </c>
      <c r="H158" s="2123">
        <v>160000</v>
      </c>
      <c r="I158" s="2128"/>
      <c r="J158" s="2123">
        <v>0</v>
      </c>
      <c r="K158" s="2123">
        <v>0</v>
      </c>
      <c r="L158" s="2129">
        <f t="shared" si="21"/>
        <v>0</v>
      </c>
      <c r="M158" s="2129">
        <f t="shared" si="22"/>
        <v>0</v>
      </c>
      <c r="N158" s="2129">
        <f t="shared" si="23"/>
        <v>0</v>
      </c>
      <c r="O158" s="2128">
        <f t="shared" si="24"/>
        <v>0</v>
      </c>
      <c r="P158" s="2155"/>
    </row>
    <row r="159" spans="1:16" s="2105" customFormat="1" outlineLevel="1">
      <c r="A159" s="2108" t="str">
        <f t="shared" si="25"/>
        <v xml:space="preserve">Ống PVC D21x1,6mm </v>
      </c>
      <c r="B159" s="2133" t="s">
        <v>1490</v>
      </c>
      <c r="C159" s="2127"/>
      <c r="D159" s="2120">
        <v>0</v>
      </c>
      <c r="E159" s="2121" t="s">
        <v>3536</v>
      </c>
      <c r="F159" s="2120" t="s">
        <v>1823</v>
      </c>
      <c r="G159" s="2127">
        <f>6*G155</f>
        <v>0</v>
      </c>
      <c r="H159" s="2123">
        <v>6200</v>
      </c>
      <c r="I159" s="2128"/>
      <c r="J159" s="2123"/>
      <c r="K159" s="2123">
        <v>0</v>
      </c>
      <c r="L159" s="2129">
        <f t="shared" si="21"/>
        <v>0</v>
      </c>
      <c r="M159" s="2129">
        <f t="shared" si="22"/>
        <v>0</v>
      </c>
      <c r="N159" s="2129">
        <f t="shared" si="23"/>
        <v>0</v>
      </c>
      <c r="O159" s="2128">
        <f t="shared" si="24"/>
        <v>0</v>
      </c>
      <c r="P159" s="2155"/>
    </row>
    <row r="160" spans="1:16" s="2105" customFormat="1" outlineLevel="1">
      <c r="A160" s="2108" t="str">
        <f t="shared" si="25"/>
        <v>Kẹp ép WR cỡ dây 50mm2</v>
      </c>
      <c r="B160" s="2130" t="s">
        <v>905</v>
      </c>
      <c r="C160" s="2127"/>
      <c r="D160" s="2120">
        <v>0</v>
      </c>
      <c r="E160" s="2121" t="s">
        <v>2873</v>
      </c>
      <c r="F160" s="2120" t="s">
        <v>2555</v>
      </c>
      <c r="G160" s="2127">
        <f>2*G155</f>
        <v>0</v>
      </c>
      <c r="H160" s="2123">
        <v>8000</v>
      </c>
      <c r="I160" s="2123"/>
      <c r="J160" s="2123">
        <v>0</v>
      </c>
      <c r="K160" s="2123">
        <v>0</v>
      </c>
      <c r="L160" s="2129">
        <f t="shared" si="21"/>
        <v>0</v>
      </c>
      <c r="M160" s="2129">
        <f t="shared" si="22"/>
        <v>0</v>
      </c>
      <c r="N160" s="2129">
        <f t="shared" si="23"/>
        <v>0</v>
      </c>
      <c r="O160" s="2128">
        <f t="shared" si="24"/>
        <v>0</v>
      </c>
      <c r="P160" s="2155"/>
    </row>
    <row r="161" spans="1:16" s="2105" customFormat="1" outlineLevel="1">
      <c r="A161" s="2108" t="str">
        <f t="shared" si="25"/>
        <v>Đầu cosse ép Cu 25mm2</v>
      </c>
      <c r="B161" s="2130" t="s">
        <v>1073</v>
      </c>
      <c r="C161" s="2127"/>
      <c r="D161" s="2120" t="s">
        <v>5724</v>
      </c>
      <c r="E161" s="2121" t="s">
        <v>3476</v>
      </c>
      <c r="F161" s="2120" t="s">
        <v>2555</v>
      </c>
      <c r="G161" s="2127">
        <f>G155*2</f>
        <v>0</v>
      </c>
      <c r="H161" s="2123">
        <v>6500</v>
      </c>
      <c r="I161" s="2123"/>
      <c r="J161" s="2123">
        <v>6062.26</v>
      </c>
      <c r="K161" s="2123">
        <v>2777.0232475000003</v>
      </c>
      <c r="L161" s="2129">
        <f t="shared" si="21"/>
        <v>0</v>
      </c>
      <c r="M161" s="2129">
        <f t="shared" si="22"/>
        <v>0</v>
      </c>
      <c r="N161" s="2129">
        <f t="shared" si="23"/>
        <v>0</v>
      </c>
      <c r="O161" s="2128">
        <f t="shared" si="24"/>
        <v>0</v>
      </c>
      <c r="P161" s="2155"/>
    </row>
    <row r="162" spans="1:16" s="2105" customFormat="1" outlineLevel="1">
      <c r="A162" s="2108" t="str">
        <f t="shared" si="25"/>
        <v>Boulon 12x40+ 2 long đền vuông D14-50x50x3/Zn</v>
      </c>
      <c r="B162" s="2130" t="s">
        <v>2019</v>
      </c>
      <c r="C162" s="2127"/>
      <c r="D162" s="2120">
        <v>0</v>
      </c>
      <c r="E162" s="2121" t="s">
        <v>2627</v>
      </c>
      <c r="F162" s="2120" t="s">
        <v>2439</v>
      </c>
      <c r="G162" s="2127">
        <f>G161/2</f>
        <v>0</v>
      </c>
      <c r="H162" s="2123">
        <v>8500</v>
      </c>
      <c r="I162" s="2123"/>
      <c r="J162" s="2123">
        <v>0</v>
      </c>
      <c r="K162" s="2123">
        <v>0</v>
      </c>
      <c r="L162" s="2129">
        <f t="shared" si="21"/>
        <v>0</v>
      </c>
      <c r="M162" s="2129"/>
      <c r="N162" s="2129">
        <f>J162*G162</f>
        <v>0</v>
      </c>
      <c r="O162" s="2128">
        <f t="shared" si="24"/>
        <v>0</v>
      </c>
      <c r="P162" s="2155"/>
    </row>
    <row r="163" spans="1:16" s="2105" customFormat="1" outlineLevel="1">
      <c r="A163" s="2108" t="str">
        <f t="shared" si="25"/>
        <v>Ốc siết cáp cỡ 25mm2</v>
      </c>
      <c r="B163" s="2130" t="s">
        <v>816</v>
      </c>
      <c r="C163" s="2127"/>
      <c r="D163" s="2120"/>
      <c r="E163" s="2121" t="s">
        <v>3581</v>
      </c>
      <c r="F163" s="2120" t="s">
        <v>2555</v>
      </c>
      <c r="G163" s="2127">
        <f>G155*12</f>
        <v>0</v>
      </c>
      <c r="H163" s="2123">
        <v>17600</v>
      </c>
      <c r="I163" s="2123"/>
      <c r="J163" s="2123"/>
      <c r="K163" s="2123">
        <v>0</v>
      </c>
      <c r="L163" s="2129">
        <f>H163*G163</f>
        <v>0</v>
      </c>
      <c r="M163" s="2129"/>
      <c r="N163" s="2129">
        <f>J163*G163</f>
        <v>0</v>
      </c>
      <c r="O163" s="2128">
        <f>K163*G163</f>
        <v>0</v>
      </c>
      <c r="P163" s="2155"/>
    </row>
    <row r="164" spans="1:16" s="2105" customFormat="1" outlineLevel="1">
      <c r="A164" s="2108" t="str">
        <f t="shared" si="25"/>
        <v>Cổ dê kẹp ống PVC  21</v>
      </c>
      <c r="B164" s="2133" t="s">
        <v>525</v>
      </c>
      <c r="C164" s="2127"/>
      <c r="D164" s="2120"/>
      <c r="E164" s="2121" t="s">
        <v>5252</v>
      </c>
      <c r="F164" s="2120" t="s">
        <v>2439</v>
      </c>
      <c r="G164" s="2127">
        <f>G155*2</f>
        <v>0</v>
      </c>
      <c r="H164" s="2123">
        <v>43000</v>
      </c>
      <c r="I164" s="2128"/>
      <c r="J164" s="2123"/>
      <c r="K164" s="2123">
        <v>0</v>
      </c>
      <c r="L164" s="2129">
        <f t="shared" si="21"/>
        <v>0</v>
      </c>
      <c r="M164" s="2129"/>
      <c r="N164" s="2129">
        <f>J164*G164</f>
        <v>0</v>
      </c>
      <c r="O164" s="2128">
        <f t="shared" si="24"/>
        <v>0</v>
      </c>
      <c r="P164" s="2155"/>
    </row>
    <row r="165" spans="1:16" s="2105" customFormat="1" outlineLevel="1">
      <c r="A165" s="2108" t="str">
        <f t="shared" si="25"/>
        <v>Lắp cổ dê</v>
      </c>
      <c r="B165" s="2133" t="s">
        <v>1130</v>
      </c>
      <c r="C165" s="2127"/>
      <c r="D165" s="2120" t="s">
        <v>5272</v>
      </c>
      <c r="E165" s="2121" t="s">
        <v>5470</v>
      </c>
      <c r="F165" s="2120" t="s">
        <v>2555</v>
      </c>
      <c r="G165" s="2127">
        <f>G164</f>
        <v>0</v>
      </c>
      <c r="H165" s="2123">
        <v>0</v>
      </c>
      <c r="I165" s="2128"/>
      <c r="J165" s="2123">
        <v>77000</v>
      </c>
      <c r="K165" s="2123">
        <v>0</v>
      </c>
      <c r="L165" s="2129">
        <f>H165*G165</f>
        <v>0</v>
      </c>
      <c r="M165" s="2129"/>
      <c r="N165" s="2129">
        <f>J165*G165</f>
        <v>0</v>
      </c>
      <c r="O165" s="2128">
        <f>K165*G165</f>
        <v>0</v>
      </c>
      <c r="P165" s="2155"/>
    </row>
    <row r="166" spans="1:16" s="2105" customFormat="1" outlineLevel="1">
      <c r="A166" s="2108" t="str">
        <f t="shared" si="25"/>
        <v>Đóng cọc tiếp địa trong TBA</v>
      </c>
      <c r="B166" s="2133" t="s">
        <v>902</v>
      </c>
      <c r="C166" s="2127"/>
      <c r="D166" s="2120" t="s">
        <v>5351</v>
      </c>
      <c r="E166" s="2121" t="s">
        <v>5352</v>
      </c>
      <c r="F166" s="2120" t="s">
        <v>2278</v>
      </c>
      <c r="G166" s="2127">
        <f>G158</f>
        <v>0</v>
      </c>
      <c r="H166" s="2123">
        <v>0</v>
      </c>
      <c r="I166" s="2128"/>
      <c r="J166" s="2123">
        <v>90355.896000000008</v>
      </c>
      <c r="K166" s="2123">
        <v>1573.075</v>
      </c>
      <c r="L166" s="2129">
        <f t="shared" si="21"/>
        <v>0</v>
      </c>
      <c r="M166" s="2129">
        <f>I166*G166</f>
        <v>0</v>
      </c>
      <c r="N166" s="2123">
        <v>0</v>
      </c>
      <c r="O166" s="2128">
        <f t="shared" si="24"/>
        <v>0</v>
      </c>
      <c r="P166" s="2155"/>
    </row>
    <row r="167" spans="1:16" s="2105" customFormat="1" outlineLevel="1">
      <c r="A167" s="2108" t="str">
        <f t="shared" si="25"/>
        <v>Kéo dây tiếp địa trong TBA</v>
      </c>
      <c r="B167" s="2133" t="s">
        <v>2183</v>
      </c>
      <c r="C167" s="2127"/>
      <c r="D167" s="2120" t="s">
        <v>5346</v>
      </c>
      <c r="E167" s="2121" t="s">
        <v>5347</v>
      </c>
      <c r="F167" s="2120" t="s">
        <v>2532</v>
      </c>
      <c r="G167" s="2127">
        <f>G155*$H$3</f>
        <v>0</v>
      </c>
      <c r="H167" s="2123">
        <v>0</v>
      </c>
      <c r="I167" s="2128"/>
      <c r="J167" s="2123">
        <v>8070.7000000000007</v>
      </c>
      <c r="K167" s="2123">
        <v>2044.9974999999999</v>
      </c>
      <c r="L167" s="2129">
        <f t="shared" si="21"/>
        <v>0</v>
      </c>
      <c r="M167" s="2129">
        <f>I167*G167</f>
        <v>0</v>
      </c>
      <c r="N167" s="2129">
        <f>J167*G167</f>
        <v>0</v>
      </c>
      <c r="O167" s="2128">
        <f t="shared" si="24"/>
        <v>0</v>
      </c>
      <c r="P167" s="2155"/>
    </row>
    <row r="168" spans="1:16" s="2105" customFormat="1" outlineLevel="1">
      <c r="A168" s="2108" t="str">
        <f t="shared" si="25"/>
        <v>Đào rãnh tiếp địa đất cấp 3</v>
      </c>
      <c r="B168" s="2130" t="s">
        <v>1055</v>
      </c>
      <c r="C168" s="2127"/>
      <c r="D168" s="2120" t="s">
        <v>5336</v>
      </c>
      <c r="E168" s="2121" t="s">
        <v>3068</v>
      </c>
      <c r="F168" s="2120" t="s">
        <v>856</v>
      </c>
      <c r="G168" s="2151">
        <f>G155*H4</f>
        <v>0</v>
      </c>
      <c r="H168" s="2123">
        <v>0</v>
      </c>
      <c r="I168" s="2123"/>
      <c r="J168" s="2123">
        <v>283749.75</v>
      </c>
      <c r="K168" s="2123">
        <v>0</v>
      </c>
      <c r="L168" s="2129">
        <f t="shared" si="21"/>
        <v>0</v>
      </c>
      <c r="M168" s="2129">
        <f>I168*G168</f>
        <v>0</v>
      </c>
      <c r="N168" s="2129">
        <f>J168*G168</f>
        <v>0</v>
      </c>
      <c r="O168" s="2128">
        <f t="shared" si="24"/>
        <v>0</v>
      </c>
      <c r="P168" s="2155"/>
    </row>
    <row r="169" spans="1:16" s="2105" customFormat="1" outlineLevel="1">
      <c r="A169" s="2108" t="str">
        <f t="shared" si="25"/>
        <v>Đắp đất rãnh tiếp độ chặt k=0,85</v>
      </c>
      <c r="B169" s="2133" t="s">
        <v>1056</v>
      </c>
      <c r="C169" s="2127"/>
      <c r="D169" s="2120" t="s">
        <v>5325</v>
      </c>
      <c r="E169" s="2121" t="s">
        <v>5337</v>
      </c>
      <c r="F169" s="2120" t="s">
        <v>856</v>
      </c>
      <c r="G169" s="2151">
        <f>G168</f>
        <v>0</v>
      </c>
      <c r="H169" s="2123">
        <v>0</v>
      </c>
      <c r="I169" s="2128"/>
      <c r="J169" s="2123">
        <v>117703.6</v>
      </c>
      <c r="K169" s="2123">
        <v>0</v>
      </c>
      <c r="L169" s="2129">
        <f t="shared" si="21"/>
        <v>0</v>
      </c>
      <c r="M169" s="2129">
        <f>I169*G169</f>
        <v>0</v>
      </c>
      <c r="N169" s="2129">
        <f>J169*G169</f>
        <v>0</v>
      </c>
      <c r="O169" s="2128">
        <f t="shared" si="24"/>
        <v>0</v>
      </c>
      <c r="P169" s="2155"/>
    </row>
    <row r="170" spans="1:16" s="2105" customFormat="1" outlineLevel="1">
      <c r="A170" s="2108" t="e">
        <f t="shared" si="25"/>
        <v>#N/A</v>
      </c>
      <c r="B170" s="2130"/>
      <c r="C170" s="2142">
        <f>IF(G170&gt;0,C155+1,C155)</f>
        <v>0</v>
      </c>
      <c r="D170" s="2146"/>
      <c r="E170" s="2158" t="s">
        <v>3680</v>
      </c>
      <c r="F170" s="2142" t="s">
        <v>2385</v>
      </c>
      <c r="G170" s="2142">
        <f>G145</f>
        <v>0</v>
      </c>
      <c r="H170" s="2128"/>
      <c r="I170" s="2128"/>
      <c r="J170" s="2128"/>
      <c r="K170" s="2128"/>
      <c r="L170" s="2129">
        <f t="shared" si="21"/>
        <v>0</v>
      </c>
      <c r="M170" s="2129">
        <f t="shared" si="22"/>
        <v>0</v>
      </c>
      <c r="N170" s="2129">
        <f t="shared" si="23"/>
        <v>0</v>
      </c>
      <c r="O170" s="2128">
        <f t="shared" si="24"/>
        <v>0</v>
      </c>
      <c r="P170" s="2155"/>
    </row>
    <row r="171" spans="1:16" s="2105" customFormat="1" ht="14.4" outlineLevel="1">
      <c r="A171" s="2108" t="e">
        <f t="shared" si="25"/>
        <v>#N/A</v>
      </c>
      <c r="B171" s="2130"/>
      <c r="C171" s="2142"/>
      <c r="D171" s="2146"/>
      <c r="E171" s="2172" t="s">
        <v>6133</v>
      </c>
      <c r="F171" s="2127"/>
      <c r="G171" s="2127"/>
      <c r="H171" s="2128"/>
      <c r="I171" s="2128"/>
      <c r="J171" s="2128"/>
      <c r="K171" s="2128"/>
      <c r="L171" s="2129">
        <f t="shared" si="21"/>
        <v>0</v>
      </c>
      <c r="M171" s="2129">
        <f t="shared" si="22"/>
        <v>0</v>
      </c>
      <c r="N171" s="2129">
        <f t="shared" si="23"/>
        <v>0</v>
      </c>
      <c r="O171" s="2128">
        <f t="shared" si="24"/>
        <v>0</v>
      </c>
      <c r="P171" s="2155"/>
    </row>
    <row r="172" spans="1:16" s="2105" customFormat="1" outlineLevel="1">
      <c r="A172" s="2108" t="str">
        <f t="shared" si="25"/>
        <v>Tủ MCCB trạm treo 1 pha</v>
      </c>
      <c r="B172" s="2130" t="s">
        <v>5654</v>
      </c>
      <c r="C172" s="2127"/>
      <c r="D172" s="2120" t="s">
        <v>5655</v>
      </c>
      <c r="E172" s="2121" t="s">
        <v>5656</v>
      </c>
      <c r="F172" s="2120" t="s">
        <v>2555</v>
      </c>
      <c r="G172" s="2127">
        <f>G170</f>
        <v>0</v>
      </c>
      <c r="H172" s="2123">
        <v>2971168</v>
      </c>
      <c r="I172" s="2123"/>
      <c r="J172" s="2123">
        <v>599038</v>
      </c>
      <c r="K172" s="2123">
        <v>97369</v>
      </c>
      <c r="L172" s="2129">
        <f t="shared" si="21"/>
        <v>0</v>
      </c>
      <c r="M172" s="2129">
        <f t="shared" si="22"/>
        <v>0</v>
      </c>
      <c r="N172" s="2129">
        <f t="shared" si="23"/>
        <v>0</v>
      </c>
      <c r="O172" s="2128">
        <f t="shared" si="24"/>
        <v>0</v>
      </c>
      <c r="P172" s="2155"/>
    </row>
    <row r="173" spans="1:16" s="2105" customFormat="1" outlineLevel="1">
      <c r="A173" s="2108" t="str">
        <f t="shared" si="25"/>
        <v>Cổ dê bắt tủ</v>
      </c>
      <c r="B173" s="2130" t="s">
        <v>879</v>
      </c>
      <c r="C173" s="2127"/>
      <c r="D173" s="2120">
        <v>0</v>
      </c>
      <c r="E173" s="2121" t="s">
        <v>2982</v>
      </c>
      <c r="F173" s="2120" t="s">
        <v>2439</v>
      </c>
      <c r="G173" s="2127">
        <f>G170*2</f>
        <v>0</v>
      </c>
      <c r="H173" s="2123">
        <v>168000</v>
      </c>
      <c r="I173" s="2128"/>
      <c r="J173" s="2123">
        <v>0</v>
      </c>
      <c r="K173" s="2123">
        <v>0</v>
      </c>
      <c r="L173" s="2129">
        <f t="shared" si="21"/>
        <v>0</v>
      </c>
      <c r="M173" s="2129">
        <f t="shared" si="22"/>
        <v>0</v>
      </c>
      <c r="N173" s="2129">
        <f t="shared" si="23"/>
        <v>0</v>
      </c>
      <c r="O173" s="2128">
        <f t="shared" si="24"/>
        <v>0</v>
      </c>
      <c r="P173" s="2155"/>
    </row>
    <row r="174" spans="1:16" s="2105" customFormat="1" outlineLevel="1">
      <c r="A174" s="2108" t="str">
        <f t="shared" si="25"/>
        <v xml:space="preserve">Bakelit 550x450 dầy 10mm </v>
      </c>
      <c r="B174" s="2130" t="s">
        <v>880</v>
      </c>
      <c r="C174" s="2127"/>
      <c r="D174" s="2120">
        <v>0</v>
      </c>
      <c r="E174" s="2121" t="s">
        <v>5799</v>
      </c>
      <c r="F174" s="2120" t="s">
        <v>2555</v>
      </c>
      <c r="G174" s="2127">
        <f>G170*2</f>
        <v>0</v>
      </c>
      <c r="H174" s="2123">
        <v>284000</v>
      </c>
      <c r="I174" s="2128"/>
      <c r="J174" s="2123">
        <v>5404</v>
      </c>
      <c r="K174" s="2123">
        <v>0</v>
      </c>
      <c r="L174" s="2129">
        <f t="shared" si="21"/>
        <v>0</v>
      </c>
      <c r="M174" s="2129">
        <f t="shared" si="22"/>
        <v>0</v>
      </c>
      <c r="N174" s="2129">
        <f t="shared" si="23"/>
        <v>0</v>
      </c>
      <c r="O174" s="2128">
        <f t="shared" si="24"/>
        <v>0</v>
      </c>
      <c r="P174" s="2155"/>
    </row>
    <row r="175" spans="1:16" s="2105" customFormat="1" outlineLevel="1">
      <c r="A175" s="2108" t="str">
        <f t="shared" si="25"/>
        <v>Boulon 12x40+ 2 long đền vuông D14-50x50x3/Zn</v>
      </c>
      <c r="B175" s="2130" t="s">
        <v>138</v>
      </c>
      <c r="C175" s="2127"/>
      <c r="D175" s="2120">
        <v>0</v>
      </c>
      <c r="E175" s="2121" t="s">
        <v>2627</v>
      </c>
      <c r="F175" s="2120" t="s">
        <v>2439</v>
      </c>
      <c r="G175" s="2127">
        <f>G170*4</f>
        <v>0</v>
      </c>
      <c r="H175" s="2123">
        <v>8500</v>
      </c>
      <c r="I175" s="2128"/>
      <c r="J175" s="2123">
        <v>0</v>
      </c>
      <c r="K175" s="2123">
        <v>0</v>
      </c>
      <c r="L175" s="2129">
        <f>H175*G175</f>
        <v>0</v>
      </c>
      <c r="M175" s="2129"/>
      <c r="N175" s="2129">
        <f>J175*G175</f>
        <v>0</v>
      </c>
      <c r="O175" s="2128">
        <f>K175*G175</f>
        <v>0</v>
      </c>
      <c r="P175" s="2155"/>
    </row>
    <row r="176" spans="1:16" s="2105" customFormat="1" outlineLevel="1">
      <c r="A176" s="2108" t="e">
        <f t="shared" si="25"/>
        <v>#N/A</v>
      </c>
      <c r="B176" s="2130"/>
      <c r="C176" s="2142">
        <f>IF(G176&gt;0,C170+1,C170)</f>
        <v>0</v>
      </c>
      <c r="D176" s="2146"/>
      <c r="E176" s="2171" t="s">
        <v>6134</v>
      </c>
      <c r="F176" s="2142" t="s">
        <v>2385</v>
      </c>
      <c r="G176" s="2142">
        <f>G170</f>
        <v>0</v>
      </c>
      <c r="H176" s="2128"/>
      <c r="I176" s="2128"/>
      <c r="J176" s="2128"/>
      <c r="K176" s="2128"/>
      <c r="L176" s="2129">
        <f t="shared" si="21"/>
        <v>0</v>
      </c>
      <c r="M176" s="2129">
        <f t="shared" si="22"/>
        <v>0</v>
      </c>
      <c r="N176" s="2129">
        <f t="shared" si="23"/>
        <v>0</v>
      </c>
      <c r="O176" s="2128">
        <f t="shared" si="24"/>
        <v>0</v>
      </c>
      <c r="P176" s="2155"/>
    </row>
    <row r="177" spans="1:16" s="2105" customFormat="1" ht="14.4" outlineLevel="1">
      <c r="A177" s="2108" t="e">
        <f t="shared" si="25"/>
        <v>#N/A</v>
      </c>
      <c r="B177" s="2130"/>
      <c r="C177" s="2142"/>
      <c r="D177" s="2146"/>
      <c r="E177" s="2172" t="s">
        <v>6133</v>
      </c>
      <c r="F177" s="2127"/>
      <c r="G177" s="2127"/>
      <c r="H177" s="2128"/>
      <c r="I177" s="2128"/>
      <c r="J177" s="2128"/>
      <c r="K177" s="2128"/>
      <c r="L177" s="2129">
        <f t="shared" si="21"/>
        <v>0</v>
      </c>
      <c r="M177" s="2129">
        <f t="shared" si="22"/>
        <v>0</v>
      </c>
      <c r="N177" s="2129">
        <f t="shared" si="23"/>
        <v>0</v>
      </c>
      <c r="O177" s="2128">
        <f t="shared" si="24"/>
        <v>0</v>
      </c>
      <c r="P177" s="2155"/>
    </row>
    <row r="178" spans="1:16" s="2105" customFormat="1" outlineLevel="1">
      <c r="A178" s="2108" t="str">
        <f t="shared" si="25"/>
        <v>Cáp 24KV C/XLPE/PVC 25mm2</v>
      </c>
      <c r="B178" s="2159" t="s">
        <v>697</v>
      </c>
      <c r="C178" s="2127"/>
      <c r="D178" s="2120">
        <v>0</v>
      </c>
      <c r="E178" s="2121" t="s">
        <v>5087</v>
      </c>
      <c r="F178" s="2120" t="s">
        <v>2532</v>
      </c>
      <c r="G178" s="2127">
        <f>3*G176</f>
        <v>0</v>
      </c>
      <c r="H178" s="2123">
        <v>50996</v>
      </c>
      <c r="I178" s="2123"/>
      <c r="J178" s="2123">
        <v>0</v>
      </c>
      <c r="K178" s="2123">
        <v>0</v>
      </c>
      <c r="L178" s="2129">
        <f t="shared" si="21"/>
        <v>0</v>
      </c>
      <c r="M178" s="2129">
        <f t="shared" si="22"/>
        <v>0</v>
      </c>
      <c r="N178" s="2129">
        <f t="shared" si="23"/>
        <v>0</v>
      </c>
      <c r="O178" s="2128">
        <f t="shared" si="24"/>
        <v>0</v>
      </c>
      <c r="P178" s="2155"/>
    </row>
    <row r="179" spans="1:16" s="2105" customFormat="1" outlineLevel="1">
      <c r="A179" s="2108" t="str">
        <f t="shared" si="25"/>
        <v>Kẹp ép WR cỡ dây 50mm2</v>
      </c>
      <c r="B179" s="2118" t="s">
        <v>1579</v>
      </c>
      <c r="C179" s="2127"/>
      <c r="D179" s="2120">
        <v>0</v>
      </c>
      <c r="E179" s="2121" t="s">
        <v>2873</v>
      </c>
      <c r="F179" s="2120" t="s">
        <v>2555</v>
      </c>
      <c r="G179" s="2127"/>
      <c r="H179" s="2123">
        <v>8000</v>
      </c>
      <c r="I179" s="2123"/>
      <c r="J179" s="2123">
        <v>0</v>
      </c>
      <c r="K179" s="2123">
        <v>0</v>
      </c>
      <c r="L179" s="2129">
        <f>H179*G179</f>
        <v>0</v>
      </c>
      <c r="M179" s="2129">
        <f>I179*G179</f>
        <v>0</v>
      </c>
      <c r="N179" s="2129">
        <f>J179*G179</f>
        <v>0</v>
      </c>
      <c r="O179" s="2128">
        <f>K179*G179</f>
        <v>0</v>
      </c>
      <c r="P179" s="2155"/>
    </row>
    <row r="180" spans="1:16" s="2105" customFormat="1" outlineLevel="1">
      <c r="A180" s="2108" t="str">
        <f t="shared" si="25"/>
        <v>Kẹp quai 2/0</v>
      </c>
      <c r="B180" s="2118" t="s">
        <v>1479</v>
      </c>
      <c r="C180" s="2127"/>
      <c r="D180" s="2120">
        <v>0</v>
      </c>
      <c r="E180" s="2121" t="s">
        <v>3791</v>
      </c>
      <c r="F180" s="2120" t="s">
        <v>2555</v>
      </c>
      <c r="G180" s="2127">
        <f>G176</f>
        <v>0</v>
      </c>
      <c r="H180" s="2123">
        <v>46000</v>
      </c>
      <c r="I180" s="2123"/>
      <c r="J180" s="2123">
        <v>0</v>
      </c>
      <c r="K180" s="2123">
        <v>0</v>
      </c>
      <c r="L180" s="2129">
        <f t="shared" si="21"/>
        <v>0</v>
      </c>
      <c r="M180" s="2129">
        <f t="shared" si="22"/>
        <v>0</v>
      </c>
      <c r="N180" s="2129">
        <f t="shared" si="23"/>
        <v>0</v>
      </c>
      <c r="O180" s="2128">
        <f t="shared" si="24"/>
        <v>0</v>
      </c>
      <c r="P180" s="2155"/>
    </row>
    <row r="181" spans="1:16" s="2105" customFormat="1" outlineLevel="1">
      <c r="A181" s="2108" t="str">
        <f t="shared" si="25"/>
        <v>Kẹp hotline 2/0</v>
      </c>
      <c r="B181" s="2118" t="s">
        <v>1477</v>
      </c>
      <c r="C181" s="2127"/>
      <c r="D181" s="2120">
        <v>0</v>
      </c>
      <c r="E181" s="2121" t="s">
        <v>4335</v>
      </c>
      <c r="F181" s="2120" t="s">
        <v>2555</v>
      </c>
      <c r="G181" s="2127">
        <f>G176</f>
        <v>0</v>
      </c>
      <c r="H181" s="2123">
        <v>77000</v>
      </c>
      <c r="I181" s="2123"/>
      <c r="J181" s="2123">
        <v>0</v>
      </c>
      <c r="K181" s="2123">
        <v>0</v>
      </c>
      <c r="L181" s="2129">
        <f t="shared" si="21"/>
        <v>0</v>
      </c>
      <c r="M181" s="2129">
        <f t="shared" si="22"/>
        <v>0</v>
      </c>
      <c r="N181" s="2129">
        <f t="shared" si="23"/>
        <v>0</v>
      </c>
      <c r="O181" s="2128">
        <f t="shared" si="24"/>
        <v>0</v>
      </c>
      <c r="P181" s="2155"/>
    </row>
    <row r="182" spans="1:16" s="2105" customFormat="1" outlineLevel="1">
      <c r="A182" s="2108" t="str">
        <f t="shared" ref="A182:A205" si="26">VLOOKUP(B182,DonGia,3,0)</f>
        <v xml:space="preserve">Sứ đứng 24KV </v>
      </c>
      <c r="B182" s="2118" t="s">
        <v>696</v>
      </c>
      <c r="C182" s="2127"/>
      <c r="D182" s="2120">
        <v>0</v>
      </c>
      <c r="E182" s="2121" t="s">
        <v>2936</v>
      </c>
      <c r="F182" s="2120" t="s">
        <v>2555</v>
      </c>
      <c r="G182" s="2127">
        <f>G176*2*0</f>
        <v>0</v>
      </c>
      <c r="H182" s="2123">
        <v>205000</v>
      </c>
      <c r="I182" s="2123"/>
      <c r="J182" s="2123">
        <v>0</v>
      </c>
      <c r="K182" s="2123">
        <v>0</v>
      </c>
      <c r="L182" s="2129">
        <f>H182*G182</f>
        <v>0</v>
      </c>
      <c r="M182" s="2129"/>
      <c r="N182" s="2129">
        <f>J182*G182</f>
        <v>0</v>
      </c>
      <c r="O182" s="2128">
        <f>K182*G182</f>
        <v>0</v>
      </c>
      <c r="P182" s="2155"/>
    </row>
    <row r="183" spans="1:16" s="2105" customFormat="1" outlineLevel="1">
      <c r="A183" s="2108" t="str">
        <f t="shared" si="26"/>
        <v>Chân sứ đứng D20</v>
      </c>
      <c r="B183" s="2118" t="s">
        <v>1265</v>
      </c>
      <c r="C183" s="2127"/>
      <c r="D183" s="2120">
        <v>0</v>
      </c>
      <c r="E183" s="2121" t="s">
        <v>2823</v>
      </c>
      <c r="F183" s="2120" t="s">
        <v>2555</v>
      </c>
      <c r="G183" s="2127">
        <f>G182</f>
        <v>0</v>
      </c>
      <c r="H183" s="2123">
        <v>65000</v>
      </c>
      <c r="I183" s="2123"/>
      <c r="J183" s="2123">
        <v>0</v>
      </c>
      <c r="K183" s="2123">
        <v>0</v>
      </c>
      <c r="L183" s="2129">
        <f>H183*G183</f>
        <v>0</v>
      </c>
      <c r="M183" s="2129"/>
      <c r="N183" s="2129">
        <f>J183*G183</f>
        <v>0</v>
      </c>
      <c r="O183" s="2128">
        <f>K183*G183</f>
        <v>0</v>
      </c>
      <c r="P183" s="2155"/>
    </row>
    <row r="184" spans="1:16" s="2105" customFormat="1" outlineLevel="1">
      <c r="A184" s="2108" t="str">
        <f t="shared" si="26"/>
        <v>Lắp sứ đứng 24KV</v>
      </c>
      <c r="B184" s="2118" t="s">
        <v>347</v>
      </c>
      <c r="C184" s="2127"/>
      <c r="D184" s="2120" t="s">
        <v>5560</v>
      </c>
      <c r="E184" s="2121" t="s">
        <v>3271</v>
      </c>
      <c r="F184" s="2120" t="s">
        <v>2439</v>
      </c>
      <c r="G184" s="2127">
        <f>G183</f>
        <v>0</v>
      </c>
      <c r="H184" s="2123"/>
      <c r="I184" s="2123"/>
      <c r="J184" s="2123">
        <v>58277.49</v>
      </c>
      <c r="K184" s="2123">
        <v>0</v>
      </c>
      <c r="L184" s="2129">
        <f>H184*G184</f>
        <v>0</v>
      </c>
      <c r="M184" s="2129"/>
      <c r="N184" s="2129">
        <f>J184*G184</f>
        <v>0</v>
      </c>
      <c r="O184" s="2128">
        <f>K184*G184</f>
        <v>0</v>
      </c>
      <c r="P184" s="2155"/>
    </row>
    <row r="185" spans="1:16" s="2105" customFormat="1" outlineLevel="1">
      <c r="A185" s="2108" t="str">
        <f t="shared" si="26"/>
        <v>Lắp cáp đồng xuống thiết bị D ≤ 95mm2</v>
      </c>
      <c r="B185" s="2118" t="s">
        <v>1525</v>
      </c>
      <c r="C185" s="2127"/>
      <c r="D185" s="2120" t="s">
        <v>5571</v>
      </c>
      <c r="E185" s="2121" t="s">
        <v>3292</v>
      </c>
      <c r="F185" s="2120" t="s">
        <v>1823</v>
      </c>
      <c r="G185" s="2127">
        <f>G178</f>
        <v>0</v>
      </c>
      <c r="H185" s="2123">
        <v>0</v>
      </c>
      <c r="I185" s="2123"/>
      <c r="J185" s="2123">
        <v>13915</v>
      </c>
      <c r="K185" s="2123">
        <v>0</v>
      </c>
      <c r="L185" s="2129">
        <f>H185*G185</f>
        <v>0</v>
      </c>
      <c r="M185" s="2129">
        <f>I185*G185</f>
        <v>0</v>
      </c>
      <c r="N185" s="2129">
        <f>J185*G185</f>
        <v>0</v>
      </c>
      <c r="O185" s="2128">
        <f>K185*G185</f>
        <v>0</v>
      </c>
      <c r="P185" s="2155"/>
    </row>
    <row r="186" spans="1:16" s="2105" customFormat="1" outlineLevel="1">
      <c r="A186" s="2108" t="e">
        <f t="shared" si="26"/>
        <v>#N/A</v>
      </c>
      <c r="B186" s="2130"/>
      <c r="C186" s="2142">
        <f>IF(G186&gt;0,C176+1,C176)</f>
        <v>0</v>
      </c>
      <c r="D186" s="2146"/>
      <c r="E186" s="2174" t="s">
        <v>6135</v>
      </c>
      <c r="F186" s="2142" t="s">
        <v>2385</v>
      </c>
      <c r="G186" s="2142">
        <f>G122</f>
        <v>0</v>
      </c>
      <c r="H186" s="2128"/>
      <c r="I186" s="2128"/>
      <c r="J186" s="2128"/>
      <c r="K186" s="2128"/>
      <c r="L186" s="2129">
        <f t="shared" si="21"/>
        <v>0</v>
      </c>
      <c r="M186" s="2129">
        <f t="shared" si="22"/>
        <v>0</v>
      </c>
      <c r="N186" s="2129">
        <f t="shared" si="23"/>
        <v>0</v>
      </c>
      <c r="O186" s="2128">
        <f t="shared" si="24"/>
        <v>0</v>
      </c>
      <c r="P186" s="2155"/>
    </row>
    <row r="187" spans="1:16" s="2105" customFormat="1" ht="14.4" outlineLevel="1">
      <c r="A187" s="2108" t="e">
        <f t="shared" si="26"/>
        <v>#N/A</v>
      </c>
      <c r="B187" s="2130"/>
      <c r="C187" s="2142"/>
      <c r="D187" s="2146"/>
      <c r="E187" s="2172" t="s">
        <v>6133</v>
      </c>
      <c r="F187" s="2142"/>
      <c r="G187" s="2142"/>
      <c r="H187" s="2128"/>
      <c r="I187" s="2128"/>
      <c r="J187" s="2128"/>
      <c r="K187" s="2128"/>
      <c r="L187" s="2129">
        <f t="shared" si="21"/>
        <v>0</v>
      </c>
      <c r="M187" s="2129">
        <f t="shared" si="22"/>
        <v>0</v>
      </c>
      <c r="N187" s="2129">
        <f t="shared" si="23"/>
        <v>0</v>
      </c>
      <c r="O187" s="2128">
        <f t="shared" si="24"/>
        <v>0</v>
      </c>
      <c r="P187" s="2155"/>
    </row>
    <row r="188" spans="1:16" s="2105" customFormat="1" outlineLevel="1">
      <c r="A188" s="2108" t="str">
        <f t="shared" si="26"/>
        <v>Cáp đồng bọc CV50</v>
      </c>
      <c r="B188" s="2130" t="s">
        <v>82</v>
      </c>
      <c r="C188" s="2142"/>
      <c r="D188" s="2120">
        <v>0</v>
      </c>
      <c r="E188" s="2121" t="s">
        <v>2792</v>
      </c>
      <c r="F188" s="2120" t="s">
        <v>2532</v>
      </c>
      <c r="G188" s="2127">
        <f>G186*9*2</f>
        <v>0</v>
      </c>
      <c r="H188" s="2123">
        <v>91800</v>
      </c>
      <c r="I188" s="2128"/>
      <c r="J188" s="2123">
        <v>0</v>
      </c>
      <c r="K188" s="2123">
        <v>0</v>
      </c>
      <c r="L188" s="2129">
        <f>H188*G188</f>
        <v>0</v>
      </c>
      <c r="M188" s="2129">
        <f>I188*G188</f>
        <v>0</v>
      </c>
      <c r="N188" s="2129">
        <f>J188*G188</f>
        <v>0</v>
      </c>
      <c r="O188" s="2128">
        <f>K188*G188</f>
        <v>0</v>
      </c>
      <c r="P188" s="2155"/>
    </row>
    <row r="189" spans="1:16" s="2105" customFormat="1" outlineLevel="1">
      <c r="A189" s="2108" t="str">
        <f t="shared" si="26"/>
        <v xml:space="preserve">Cáp CVV 4x2,5mm2  </v>
      </c>
      <c r="B189" s="2130" t="s">
        <v>1069</v>
      </c>
      <c r="C189" s="2142"/>
      <c r="D189" s="2120" t="s">
        <v>1527</v>
      </c>
      <c r="E189" s="2121" t="s">
        <v>2784</v>
      </c>
      <c r="F189" s="2120" t="s">
        <v>2532</v>
      </c>
      <c r="G189" s="2127">
        <f>4*G186</f>
        <v>0</v>
      </c>
      <c r="H189" s="2123">
        <v>28200</v>
      </c>
      <c r="I189" s="2128"/>
      <c r="J189" s="2123">
        <v>0</v>
      </c>
      <c r="K189" s="2123">
        <v>0</v>
      </c>
      <c r="L189" s="2129">
        <f>H189*G189</f>
        <v>0</v>
      </c>
      <c r="M189" s="2129">
        <f>I189*G189</f>
        <v>0</v>
      </c>
      <c r="N189" s="2129">
        <f>J189*G189</f>
        <v>0</v>
      </c>
      <c r="O189" s="2128">
        <f>K189*G189</f>
        <v>0</v>
      </c>
      <c r="P189" s="2155"/>
    </row>
    <row r="190" spans="1:16" s="2105" customFormat="1" outlineLevel="1">
      <c r="A190" s="2108" t="str">
        <f t="shared" si="26"/>
        <v>Đầu cosse ép Cu 50mm2</v>
      </c>
      <c r="B190" s="2130" t="str">
        <f>"Cos"&amp;RIGHT(B188,2)</f>
        <v>Cos50</v>
      </c>
      <c r="C190" s="2127"/>
      <c r="D190" s="2120" t="s">
        <v>5725</v>
      </c>
      <c r="E190" s="2121" t="s">
        <v>3479</v>
      </c>
      <c r="F190" s="2120" t="s">
        <v>2555</v>
      </c>
      <c r="G190" s="2127">
        <f>G186*2</f>
        <v>0</v>
      </c>
      <c r="H190" s="2123">
        <v>9100</v>
      </c>
      <c r="I190" s="2123"/>
      <c r="J190" s="2123">
        <v>10608.955000000002</v>
      </c>
      <c r="K190" s="2123">
        <v>2777.0232475000003</v>
      </c>
      <c r="L190" s="2129">
        <f>H190*G190</f>
        <v>0</v>
      </c>
      <c r="M190" s="2129">
        <f>I190*G190</f>
        <v>0</v>
      </c>
      <c r="N190" s="2129">
        <f>J190*G190</f>
        <v>0</v>
      </c>
      <c r="O190" s="2128">
        <f>K190*G190</f>
        <v>0</v>
      </c>
      <c r="P190" s="2155"/>
    </row>
    <row r="191" spans="1:16" s="2105" customFormat="1" outlineLevel="1">
      <c r="A191" s="2108" t="str">
        <f t="shared" si="26"/>
        <v>Chụp đầu cosse  50mm2</v>
      </c>
      <c r="B191" s="2130" t="str">
        <f>"chCos"&amp;RIGHT(B188,2)</f>
        <v>chCos50</v>
      </c>
      <c r="C191" s="2127"/>
      <c r="D191" s="2120">
        <v>0</v>
      </c>
      <c r="E191" s="2121" t="s">
        <v>3493</v>
      </c>
      <c r="F191" s="2120" t="s">
        <v>2555</v>
      </c>
      <c r="G191" s="2127">
        <f>G186*2</f>
        <v>0</v>
      </c>
      <c r="H191" s="2123">
        <v>1000</v>
      </c>
      <c r="I191" s="2123"/>
      <c r="J191" s="2123">
        <v>0</v>
      </c>
      <c r="K191" s="2123">
        <v>0</v>
      </c>
      <c r="L191" s="2129">
        <f t="shared" si="21"/>
        <v>0</v>
      </c>
      <c r="M191" s="2129">
        <f t="shared" si="22"/>
        <v>0</v>
      </c>
      <c r="N191" s="2129">
        <f t="shared" si="23"/>
        <v>0</v>
      </c>
      <c r="O191" s="2128">
        <f t="shared" si="24"/>
        <v>0</v>
      </c>
      <c r="P191" s="2155"/>
    </row>
    <row r="192" spans="1:16" s="2105" customFormat="1" outlineLevel="1">
      <c r="A192" s="2108" t="str">
        <f t="shared" si="26"/>
        <v>Nắp che đầu sứ MBA</v>
      </c>
      <c r="B192" s="2133" t="s">
        <v>5707</v>
      </c>
      <c r="C192" s="2127"/>
      <c r="D192" s="2120">
        <v>0</v>
      </c>
      <c r="E192" s="2121" t="s">
        <v>5708</v>
      </c>
      <c r="F192" s="2120" t="s">
        <v>2555</v>
      </c>
      <c r="G192" s="2127">
        <f>G122*1</f>
        <v>0</v>
      </c>
      <c r="H192" s="2123">
        <v>56700</v>
      </c>
      <c r="I192" s="2123"/>
      <c r="J192" s="2123">
        <v>0</v>
      </c>
      <c r="K192" s="2123">
        <v>0</v>
      </c>
      <c r="L192" s="2129">
        <f>H192*G192</f>
        <v>0</v>
      </c>
      <c r="M192" s="2129">
        <f>I192*G192</f>
        <v>0</v>
      </c>
      <c r="N192" s="2129">
        <f>J192*G192</f>
        <v>0</v>
      </c>
      <c r="O192" s="2128">
        <f>K192*G192</f>
        <v>0</v>
      </c>
      <c r="P192" s="2155"/>
    </row>
    <row r="193" spans="1:16" s="2105" customFormat="1" outlineLevel="1">
      <c r="A193" s="2108" t="str">
        <f t="shared" si="26"/>
        <v xml:space="preserve">Ống PVC D90x3,8mm </v>
      </c>
      <c r="B193" s="2130" t="s">
        <v>282</v>
      </c>
      <c r="C193" s="2127"/>
      <c r="D193" s="2120">
        <v>0</v>
      </c>
      <c r="E193" s="2121" t="s">
        <v>3532</v>
      </c>
      <c r="F193" s="2120" t="s">
        <v>1823</v>
      </c>
      <c r="G193" s="2127">
        <f>G186*6</f>
        <v>0</v>
      </c>
      <c r="H193" s="2123">
        <v>63200</v>
      </c>
      <c r="I193" s="2128"/>
      <c r="J193" s="2123">
        <v>0</v>
      </c>
      <c r="K193" s="2123">
        <v>0</v>
      </c>
      <c r="L193" s="2129">
        <f t="shared" si="21"/>
        <v>0</v>
      </c>
      <c r="M193" s="2129">
        <f t="shared" si="22"/>
        <v>0</v>
      </c>
      <c r="N193" s="2129">
        <f t="shared" si="23"/>
        <v>0</v>
      </c>
      <c r="O193" s="2128">
        <f t="shared" si="24"/>
        <v>0</v>
      </c>
      <c r="P193" s="2155"/>
    </row>
    <row r="194" spans="1:16" s="2105" customFormat="1" outlineLevel="1">
      <c r="A194" s="2108" t="str">
        <f t="shared" si="26"/>
        <v>Cổ dê kẹp ống PVC Ø 90</v>
      </c>
      <c r="B194" s="2133" t="s">
        <v>276</v>
      </c>
      <c r="C194" s="2127"/>
      <c r="D194" s="2120">
        <v>0</v>
      </c>
      <c r="E194" s="2121" t="s">
        <v>5257</v>
      </c>
      <c r="F194" s="2120" t="s">
        <v>2439</v>
      </c>
      <c r="G194" s="2127">
        <f>G186*2</f>
        <v>0</v>
      </c>
      <c r="H194" s="2123">
        <v>49000</v>
      </c>
      <c r="I194" s="2128"/>
      <c r="J194" s="2123"/>
      <c r="K194" s="2123">
        <v>0</v>
      </c>
      <c r="L194" s="2129">
        <f>H194*G194</f>
        <v>0</v>
      </c>
      <c r="M194" s="2129"/>
      <c r="N194" s="2123"/>
      <c r="O194" s="2128">
        <f>K194*G194</f>
        <v>0</v>
      </c>
      <c r="P194" s="2155"/>
    </row>
    <row r="195" spans="1:16" s="2105" customFormat="1" outlineLevel="1">
      <c r="A195" s="2108" t="str">
        <f t="shared" si="26"/>
        <v>Boulon 12x60+ 2 long đền vuông D14-50x50x3/Zn</v>
      </c>
      <c r="B195" s="2133" t="s">
        <v>1350</v>
      </c>
      <c r="C195" s="2127"/>
      <c r="D195" s="2120">
        <v>0</v>
      </c>
      <c r="E195" s="2121" t="s">
        <v>2629</v>
      </c>
      <c r="F195" s="2120" t="s">
        <v>2439</v>
      </c>
      <c r="G195" s="2127">
        <f>G194*2</f>
        <v>0</v>
      </c>
      <c r="H195" s="2123">
        <v>9000</v>
      </c>
      <c r="I195" s="2128"/>
      <c r="J195" s="2123">
        <v>0</v>
      </c>
      <c r="K195" s="2123">
        <v>0</v>
      </c>
      <c r="L195" s="2129">
        <f>H195*G195</f>
        <v>0</v>
      </c>
      <c r="M195" s="2129"/>
      <c r="N195" s="2123">
        <v>0</v>
      </c>
      <c r="O195" s="2128">
        <f>K195*G195</f>
        <v>0</v>
      </c>
      <c r="P195" s="2155"/>
    </row>
    <row r="196" spans="1:16" s="2105" customFormat="1" outlineLevel="1">
      <c r="A196" s="2108" t="str">
        <f t="shared" si="26"/>
        <v>Boulon 12x200+ 2 long đền vuông D14-50x50x3/Zn</v>
      </c>
      <c r="B196" s="2133" t="s">
        <v>6136</v>
      </c>
      <c r="C196" s="2127"/>
      <c r="D196" s="2120">
        <v>0</v>
      </c>
      <c r="E196" s="2121" t="s">
        <v>2633</v>
      </c>
      <c r="F196" s="2120" t="s">
        <v>2439</v>
      </c>
      <c r="G196" s="2127">
        <f>G194*2</f>
        <v>0</v>
      </c>
      <c r="H196" s="2123">
        <v>13100</v>
      </c>
      <c r="I196" s="2128"/>
      <c r="J196" s="2123">
        <v>0</v>
      </c>
      <c r="K196" s="2123">
        <v>0</v>
      </c>
      <c r="L196" s="2129">
        <f>H196*G196</f>
        <v>0</v>
      </c>
      <c r="M196" s="2129"/>
      <c r="N196" s="2123">
        <v>0</v>
      </c>
      <c r="O196" s="2128">
        <f>K196*G196</f>
        <v>0</v>
      </c>
      <c r="P196" s="2155"/>
    </row>
    <row r="197" spans="1:16" s="2105" customFormat="1" outlineLevel="1">
      <c r="A197" s="2108" t="str">
        <f t="shared" si="26"/>
        <v>Co  90 độ PVC 90</v>
      </c>
      <c r="B197" s="2130" t="s">
        <v>69</v>
      </c>
      <c r="C197" s="2127"/>
      <c r="D197" s="2120">
        <v>0</v>
      </c>
      <c r="E197" s="2121" t="s">
        <v>5797</v>
      </c>
      <c r="F197" s="2120" t="s">
        <v>2555</v>
      </c>
      <c r="G197" s="2127">
        <f>2*G186</f>
        <v>0</v>
      </c>
      <c r="H197" s="2123">
        <v>45400</v>
      </c>
      <c r="I197" s="2128"/>
      <c r="J197" s="2123">
        <v>0</v>
      </c>
      <c r="K197" s="2123">
        <v>0</v>
      </c>
      <c r="L197" s="2129">
        <f t="shared" si="21"/>
        <v>0</v>
      </c>
      <c r="M197" s="2129">
        <f t="shared" si="22"/>
        <v>0</v>
      </c>
      <c r="N197" s="2129">
        <f t="shared" si="23"/>
        <v>0</v>
      </c>
      <c r="O197" s="2128">
        <f t="shared" si="24"/>
        <v>0</v>
      </c>
      <c r="P197" s="2155"/>
    </row>
    <row r="198" spans="1:16" s="2105" customFormat="1" outlineLevel="1">
      <c r="A198" s="2108" t="str">
        <f t="shared" si="26"/>
        <v xml:space="preserve">Nối thẳng ống PVC 90 </v>
      </c>
      <c r="B198" s="2130" t="s">
        <v>725</v>
      </c>
      <c r="C198" s="2127"/>
      <c r="D198" s="2120">
        <v>0</v>
      </c>
      <c r="E198" s="2121" t="s">
        <v>3555</v>
      </c>
      <c r="F198" s="2120" t="s">
        <v>2555</v>
      </c>
      <c r="G198" s="2127">
        <f>G186*0</f>
        <v>0</v>
      </c>
      <c r="H198" s="2123">
        <v>12400</v>
      </c>
      <c r="I198" s="2128"/>
      <c r="J198" s="2123">
        <v>0</v>
      </c>
      <c r="K198" s="2123">
        <v>0</v>
      </c>
      <c r="L198" s="2129">
        <f t="shared" si="21"/>
        <v>0</v>
      </c>
      <c r="M198" s="2129">
        <f t="shared" si="22"/>
        <v>0</v>
      </c>
      <c r="N198" s="2129">
        <f t="shared" si="23"/>
        <v>0</v>
      </c>
      <c r="O198" s="2128">
        <f t="shared" si="24"/>
        <v>0</v>
      </c>
      <c r="P198" s="2155"/>
    </row>
    <row r="199" spans="1:16" s="2105" customFormat="1" outlineLevel="1">
      <c r="A199" s="2108" t="str">
        <f t="shared" si="26"/>
        <v>Keo dán ống PVC (100gr)</v>
      </c>
      <c r="B199" s="2130" t="s">
        <v>2074</v>
      </c>
      <c r="C199" s="2127"/>
      <c r="D199" s="2120">
        <v>0</v>
      </c>
      <c r="E199" s="2121" t="s">
        <v>3570</v>
      </c>
      <c r="F199" s="2120" t="s">
        <v>3571</v>
      </c>
      <c r="G199" s="2127">
        <f>G186*2</f>
        <v>0</v>
      </c>
      <c r="H199" s="2123">
        <v>11500</v>
      </c>
      <c r="I199" s="2128"/>
      <c r="J199" s="2123">
        <v>0</v>
      </c>
      <c r="K199" s="2123">
        <v>0</v>
      </c>
      <c r="L199" s="2129">
        <f t="shared" si="21"/>
        <v>0</v>
      </c>
      <c r="M199" s="2129">
        <f t="shared" si="22"/>
        <v>0</v>
      </c>
      <c r="N199" s="2129">
        <f t="shared" si="23"/>
        <v>0</v>
      </c>
      <c r="O199" s="2128">
        <f t="shared" si="24"/>
        <v>0</v>
      </c>
      <c r="P199" s="2155"/>
    </row>
    <row r="200" spans="1:16" s="2105" customFormat="1" outlineLevel="1">
      <c r="A200" s="2108" t="str">
        <f t="shared" si="26"/>
        <v>Keo silicon bít miệng ống</v>
      </c>
      <c r="B200" s="2130" t="s">
        <v>489</v>
      </c>
      <c r="C200" s="2127"/>
      <c r="D200" s="2120">
        <v>0</v>
      </c>
      <c r="E200" s="2121" t="s">
        <v>3567</v>
      </c>
      <c r="F200" s="2120" t="s">
        <v>5806</v>
      </c>
      <c r="G200" s="2127">
        <f>G186</f>
        <v>0</v>
      </c>
      <c r="H200" s="2123">
        <v>45000</v>
      </c>
      <c r="I200" s="2128"/>
      <c r="J200" s="2123">
        <v>0</v>
      </c>
      <c r="K200" s="2123">
        <v>0</v>
      </c>
      <c r="L200" s="2129">
        <f>H200*G200</f>
        <v>0</v>
      </c>
      <c r="M200" s="2129">
        <f>I200*G200</f>
        <v>0</v>
      </c>
      <c r="N200" s="2129">
        <f>J200*G200</f>
        <v>0</v>
      </c>
      <c r="O200" s="2128">
        <f>K200*G200</f>
        <v>0</v>
      </c>
      <c r="P200" s="2155"/>
    </row>
    <row r="201" spans="1:16" s="2105" customFormat="1" outlineLevel="1">
      <c r="A201" s="2108" t="str">
        <f t="shared" si="26"/>
        <v>Băng keo cách điện</v>
      </c>
      <c r="B201" s="2133" t="s">
        <v>672</v>
      </c>
      <c r="C201" s="2127"/>
      <c r="D201" s="2120">
        <v>0</v>
      </c>
      <c r="E201" s="2121" t="s">
        <v>5801</v>
      </c>
      <c r="F201" s="2120" t="s">
        <v>3566</v>
      </c>
      <c r="G201" s="2127">
        <f>G199</f>
        <v>0</v>
      </c>
      <c r="H201" s="2123">
        <v>6500</v>
      </c>
      <c r="I201" s="2128"/>
      <c r="J201" s="2123">
        <v>0</v>
      </c>
      <c r="K201" s="2123">
        <v>0</v>
      </c>
      <c r="L201" s="2129">
        <f>H201*G201</f>
        <v>0</v>
      </c>
      <c r="M201" s="2129">
        <f>I201*G201</f>
        <v>0</v>
      </c>
      <c r="N201" s="2129">
        <f>J201*G201</f>
        <v>0</v>
      </c>
      <c r="O201" s="2128">
        <f>K201*G201</f>
        <v>0</v>
      </c>
      <c r="P201" s="2155"/>
    </row>
    <row r="202" spans="1:16" s="2105" customFormat="1" outlineLevel="1">
      <c r="A202" s="2108" t="str">
        <f t="shared" si="26"/>
        <v>Lắp ống nhựa PVC D90</v>
      </c>
      <c r="B202" s="2130" t="s">
        <v>2182</v>
      </c>
      <c r="C202" s="2127"/>
      <c r="D202" s="2120" t="s">
        <v>5547</v>
      </c>
      <c r="E202" s="2121" t="s">
        <v>3252</v>
      </c>
      <c r="F202" s="2120" t="s">
        <v>2532</v>
      </c>
      <c r="G202" s="2127">
        <f>G193</f>
        <v>0</v>
      </c>
      <c r="H202" s="2123">
        <v>0</v>
      </c>
      <c r="I202" s="2128"/>
      <c r="J202" s="2123">
        <v>55493.02</v>
      </c>
      <c r="K202" s="2123">
        <v>0</v>
      </c>
      <c r="L202" s="2129">
        <f>H202*G202</f>
        <v>0</v>
      </c>
      <c r="M202" s="2129">
        <f>I202*G202</f>
        <v>0</v>
      </c>
      <c r="N202" s="2129">
        <f>J202*G202</f>
        <v>0</v>
      </c>
      <c r="O202" s="2128">
        <f>K202*G202</f>
        <v>0</v>
      </c>
      <c r="P202" s="2155"/>
    </row>
    <row r="203" spans="1:16" s="2105" customFormat="1" outlineLevel="1">
      <c r="A203" s="2108" t="str">
        <f t="shared" si="26"/>
        <v>Lắp cáp đồng xuống thiết bị D ≤ 95mm2</v>
      </c>
      <c r="B203" s="2133" t="s">
        <v>1525</v>
      </c>
      <c r="C203" s="2127"/>
      <c r="D203" s="2120" t="s">
        <v>5571</v>
      </c>
      <c r="E203" s="2121" t="s">
        <v>3292</v>
      </c>
      <c r="F203" s="2120" t="s">
        <v>1823</v>
      </c>
      <c r="G203" s="2127">
        <f>G188</f>
        <v>0</v>
      </c>
      <c r="H203" s="2123">
        <v>0</v>
      </c>
      <c r="I203" s="2128"/>
      <c r="J203" s="2123">
        <v>13915</v>
      </c>
      <c r="K203" s="2123">
        <v>0</v>
      </c>
      <c r="L203" s="2129">
        <f>H203*G203</f>
        <v>0</v>
      </c>
      <c r="M203" s="2129">
        <f>I203*G203</f>
        <v>0</v>
      </c>
      <c r="N203" s="2129">
        <f>J203*G203</f>
        <v>0</v>
      </c>
      <c r="O203" s="2128">
        <f>K203*G203</f>
        <v>0</v>
      </c>
      <c r="P203" s="2155"/>
    </row>
    <row r="204" spans="1:16" s="2105" customFormat="1" outlineLevel="1">
      <c r="A204" s="2108" t="str">
        <f t="shared" si="26"/>
        <v>Bảng tên trạm, bảng báo nguy hiểm + đinh vít</v>
      </c>
      <c r="B204" s="2130" t="s">
        <v>289</v>
      </c>
      <c r="C204" s="2175">
        <f>IF(G204&gt;0,C186+1,C186)</f>
        <v>0</v>
      </c>
      <c r="D204" s="2176"/>
      <c r="E204" s="2121" t="s">
        <v>5712</v>
      </c>
      <c r="F204" s="2120" t="s">
        <v>2555</v>
      </c>
      <c r="G204" s="2175">
        <f>G145</f>
        <v>0</v>
      </c>
      <c r="H204" s="2123">
        <v>300000</v>
      </c>
      <c r="I204" s="2177"/>
      <c r="J204" s="2123">
        <v>0</v>
      </c>
      <c r="K204" s="2123">
        <v>0</v>
      </c>
      <c r="L204" s="2178">
        <f t="shared" si="21"/>
        <v>0</v>
      </c>
      <c r="M204" s="2178">
        <f t="shared" si="22"/>
        <v>0</v>
      </c>
      <c r="N204" s="2178">
        <f t="shared" si="23"/>
        <v>0</v>
      </c>
      <c r="O204" s="2177">
        <f t="shared" si="24"/>
        <v>0</v>
      </c>
      <c r="P204" s="2179"/>
    </row>
    <row r="205" spans="1:16" s="2105" customFormat="1" outlineLevel="1">
      <c r="A205" s="2108" t="e">
        <f t="shared" si="26"/>
        <v>#N/A</v>
      </c>
      <c r="B205" s="2131"/>
      <c r="C205" s="2170"/>
      <c r="D205" s="2165"/>
      <c r="E205" s="2139"/>
      <c r="F205" s="2622"/>
      <c r="G205" s="2622"/>
      <c r="H205" s="2622"/>
      <c r="I205" s="2622"/>
      <c r="J205" s="2658" t="s">
        <v>6131</v>
      </c>
      <c r="K205" s="2658"/>
      <c r="L205" s="2167">
        <f>SUM(L133:L204)</f>
        <v>0</v>
      </c>
      <c r="M205" s="2167">
        <f>SUM(M133:M204)</f>
        <v>0</v>
      </c>
      <c r="N205" s="2167">
        <f>SUM(N133:N204)</f>
        <v>0</v>
      </c>
      <c r="O205" s="2167">
        <f>SUM(O133:O204)</f>
        <v>0</v>
      </c>
      <c r="P205" s="2170"/>
    </row>
    <row r="206" spans="1:16" s="2105" customFormat="1" ht="13.95" customHeight="1">
      <c r="A206" s="2149" t="str">
        <f>IF(G211&lt;&gt;0,1,"")</f>
        <v/>
      </c>
      <c r="B206" s="2131"/>
      <c r="C206" s="2623"/>
      <c r="D206" s="2149"/>
    </row>
    <row r="207" spans="1:16" s="2105" customFormat="1" outlineLevel="1">
      <c r="A207" s="2108" t="e">
        <f t="shared" ref="A207:A238" si="27">VLOOKUP(B207,DonGia,3,0)</f>
        <v>#N/A</v>
      </c>
      <c r="B207" s="2131"/>
      <c r="C207" s="2659" t="s">
        <v>6137</v>
      </c>
      <c r="D207" s="2624"/>
      <c r="E207" s="2659"/>
      <c r="F207" s="2659"/>
      <c r="G207" s="2659"/>
      <c r="H207" s="2659"/>
      <c r="I207" s="2659"/>
      <c r="J207" s="2659"/>
      <c r="K207" s="2659"/>
      <c r="L207" s="2659"/>
      <c r="M207" s="2659"/>
      <c r="N207" s="2659"/>
      <c r="O207" s="2659"/>
      <c r="P207" s="2659"/>
    </row>
    <row r="208" spans="1:16" s="2105" customFormat="1" outlineLevel="1">
      <c r="A208" s="2108" t="e">
        <f t="shared" si="27"/>
        <v>#N/A</v>
      </c>
      <c r="B208" s="2130" t="s">
        <v>6112</v>
      </c>
      <c r="C208" s="2648" t="s">
        <v>1708</v>
      </c>
      <c r="D208" s="2649" t="s">
        <v>2597</v>
      </c>
      <c r="E208" s="2651" t="s">
        <v>2598</v>
      </c>
      <c r="F208" s="2648" t="s">
        <v>2593</v>
      </c>
      <c r="G208" s="2109" t="s">
        <v>6113</v>
      </c>
      <c r="H208" s="2112" t="s">
        <v>6114</v>
      </c>
      <c r="I208" s="2619"/>
      <c r="J208" s="2619"/>
      <c r="K208" s="2620"/>
      <c r="L208" s="2112" t="s">
        <v>6115</v>
      </c>
      <c r="M208" s="2619"/>
      <c r="N208" s="2619"/>
      <c r="O208" s="2620"/>
      <c r="P208" s="2648" t="s">
        <v>2599</v>
      </c>
    </row>
    <row r="209" spans="1:18" s="2105" customFormat="1" outlineLevel="1">
      <c r="A209" s="2108" t="e">
        <f t="shared" si="27"/>
        <v>#N/A</v>
      </c>
      <c r="B209" s="2130"/>
      <c r="C209" s="2648"/>
      <c r="D209" s="2650"/>
      <c r="E209" s="2652"/>
      <c r="F209" s="2648"/>
      <c r="G209" s="2111" t="s">
        <v>2286</v>
      </c>
      <c r="H209" s="2112" t="s">
        <v>6116</v>
      </c>
      <c r="I209" s="2112" t="s">
        <v>6117</v>
      </c>
      <c r="J209" s="2112" t="s">
        <v>6118</v>
      </c>
      <c r="K209" s="2112" t="s">
        <v>6119</v>
      </c>
      <c r="L209" s="2112" t="s">
        <v>6116</v>
      </c>
      <c r="M209" s="2112" t="s">
        <v>6117</v>
      </c>
      <c r="N209" s="2112" t="s">
        <v>6118</v>
      </c>
      <c r="O209" s="2112" t="s">
        <v>6119</v>
      </c>
      <c r="P209" s="2648"/>
    </row>
    <row r="210" spans="1:18" s="2105" customFormat="1" outlineLevel="1">
      <c r="A210" s="2108" t="e">
        <f t="shared" si="27"/>
        <v>#N/A</v>
      </c>
      <c r="B210" s="2130"/>
      <c r="C210" s="2113"/>
      <c r="D210" s="2114"/>
      <c r="E210" s="2115" t="s">
        <v>3672</v>
      </c>
      <c r="F210" s="2116"/>
      <c r="G210" s="2116"/>
      <c r="H210" s="2116"/>
      <c r="I210" s="2116"/>
      <c r="J210" s="2116"/>
      <c r="K210" s="2116"/>
      <c r="L210" s="2116"/>
      <c r="M210" s="2116"/>
      <c r="N210" s="2116"/>
      <c r="O210" s="2114"/>
      <c r="P210" s="2117"/>
    </row>
    <row r="211" spans="1:18" s="2105" customFormat="1" outlineLevel="1">
      <c r="A211" s="2108" t="str">
        <f t="shared" si="27"/>
        <v>Máy biến áp 12,7/0,22-0,44kV  37,5kVA</v>
      </c>
      <c r="B211" s="2118" t="str">
        <f>IF($F$8=22,"TR371","TR37")</f>
        <v>TR371</v>
      </c>
      <c r="C211" s="2119">
        <f>IF(G211&gt;0,1,0)</f>
        <v>0</v>
      </c>
      <c r="D211" s="2120" t="s">
        <v>5584</v>
      </c>
      <c r="E211" s="2121" t="s">
        <v>3308</v>
      </c>
      <c r="F211" s="2120" t="s">
        <v>3300</v>
      </c>
      <c r="G211" s="2168">
        <f>H8</f>
        <v>0</v>
      </c>
      <c r="H211" s="2123">
        <v>0</v>
      </c>
      <c r="I211" s="2123"/>
      <c r="J211" s="2123">
        <v>630187</v>
      </c>
      <c r="K211" s="2123">
        <v>284508</v>
      </c>
      <c r="L211" s="2129">
        <f t="shared" ref="L211:L217" si="28">H211*G211</f>
        <v>0</v>
      </c>
      <c r="M211" s="2129">
        <f t="shared" ref="M211:M216" si="29">I211*G211</f>
        <v>0</v>
      </c>
      <c r="N211" s="2129">
        <f t="shared" ref="N211:N216" si="30">J211*G211</f>
        <v>0</v>
      </c>
      <c r="O211" s="2128">
        <f t="shared" ref="O211:O216" si="31">K211*G211</f>
        <v>0</v>
      </c>
      <c r="P211" s="2169"/>
    </row>
    <row r="212" spans="1:18" s="2105" customFormat="1" outlineLevel="1">
      <c r="A212" s="2108" t="str">
        <f t="shared" si="27"/>
        <v>FCO 24kV - 100A</v>
      </c>
      <c r="B212" s="2118" t="str">
        <f>"FCO100-"&amp;$F$8</f>
        <v>FCO100-22</v>
      </c>
      <c r="C212" s="2119">
        <f t="shared" ref="C212:C217" si="32">IF(G212&gt;0,C211+1,C211)</f>
        <v>0</v>
      </c>
      <c r="D212" s="2120" t="s">
        <v>5598</v>
      </c>
      <c r="E212" s="2121" t="s">
        <v>95</v>
      </c>
      <c r="F212" s="2120" t="s">
        <v>2555</v>
      </c>
      <c r="G212" s="2127">
        <f>+G211</f>
        <v>0</v>
      </c>
      <c r="H212" s="2123">
        <v>2244280</v>
      </c>
      <c r="I212" s="2123"/>
      <c r="J212" s="2123">
        <v>222639.99999999997</v>
      </c>
      <c r="K212" s="2123">
        <v>0</v>
      </c>
      <c r="L212" s="2129">
        <f t="shared" si="28"/>
        <v>0</v>
      </c>
      <c r="M212" s="2129">
        <f t="shared" si="29"/>
        <v>0</v>
      </c>
      <c r="N212" s="2129">
        <f t="shared" si="30"/>
        <v>0</v>
      </c>
      <c r="O212" s="2128">
        <f t="shared" si="31"/>
        <v>0</v>
      </c>
      <c r="P212" s="2155"/>
    </row>
    <row r="213" spans="1:18" s="2105" customFormat="1" outlineLevel="1">
      <c r="A213" s="2108" t="str">
        <f t="shared" si="27"/>
        <v>Dây chảy 6K</v>
      </c>
      <c r="B213" s="2118" t="str">
        <f>IF($F$8=22,"CHI6K","CHI8K")</f>
        <v>CHI6K</v>
      </c>
      <c r="C213" s="2119">
        <f t="shared" si="32"/>
        <v>0</v>
      </c>
      <c r="D213" s="2120">
        <v>0</v>
      </c>
      <c r="E213" s="2121" t="s">
        <v>3423</v>
      </c>
      <c r="F213" s="2120" t="s">
        <v>2600</v>
      </c>
      <c r="G213" s="2127">
        <f>G212</f>
        <v>0</v>
      </c>
      <c r="H213" s="2123">
        <v>84000</v>
      </c>
      <c r="I213" s="2123"/>
      <c r="J213" s="2123">
        <v>0</v>
      </c>
      <c r="K213" s="2123">
        <v>0</v>
      </c>
      <c r="L213" s="2129">
        <f t="shared" si="28"/>
        <v>0</v>
      </c>
      <c r="M213" s="2129">
        <f t="shared" si="29"/>
        <v>0</v>
      </c>
      <c r="N213" s="2129">
        <f t="shared" si="30"/>
        <v>0</v>
      </c>
      <c r="O213" s="2128">
        <f t="shared" si="31"/>
        <v>0</v>
      </c>
      <c r="P213" s="2155"/>
    </row>
    <row r="214" spans="1:18" s="2105" customFormat="1" outlineLevel="1">
      <c r="A214" s="2108" t="str">
        <f t="shared" si="27"/>
        <v>Chống sét van LA-18KV-10KA</v>
      </c>
      <c r="B214" s="2131" t="str">
        <f>"LA"&amp;$F$6</f>
        <v>LA18</v>
      </c>
      <c r="C214" s="2119">
        <f t="shared" si="32"/>
        <v>0</v>
      </c>
      <c r="D214" s="2120" t="s">
        <v>5602</v>
      </c>
      <c r="E214" s="2121" t="s">
        <v>1193</v>
      </c>
      <c r="F214" s="2120" t="s">
        <v>2555</v>
      </c>
      <c r="G214" s="2127">
        <f>G212</f>
        <v>0</v>
      </c>
      <c r="H214" s="2123">
        <v>1106000</v>
      </c>
      <c r="I214" s="2123"/>
      <c r="J214" s="2123">
        <v>83490</v>
      </c>
      <c r="K214" s="2123">
        <v>0</v>
      </c>
      <c r="L214" s="2129">
        <f t="shared" si="28"/>
        <v>0</v>
      </c>
      <c r="M214" s="2129">
        <f t="shared" si="29"/>
        <v>0</v>
      </c>
      <c r="N214" s="2129">
        <f t="shared" si="30"/>
        <v>0</v>
      </c>
      <c r="O214" s="2128">
        <f t="shared" si="31"/>
        <v>0</v>
      </c>
      <c r="P214" s="2155"/>
    </row>
    <row r="215" spans="1:18" s="2105" customFormat="1" outlineLevel="1">
      <c r="A215" s="2108" t="str">
        <f t="shared" si="27"/>
        <v>MCCB 3 cực 400V-100A - 30KA</v>
      </c>
      <c r="B215" s="2132" t="s">
        <v>793</v>
      </c>
      <c r="C215" s="2119">
        <f t="shared" si="32"/>
        <v>0</v>
      </c>
      <c r="D215" s="2120">
        <v>0</v>
      </c>
      <c r="E215" s="2121" t="s">
        <v>3404</v>
      </c>
      <c r="F215" s="2120" t="s">
        <v>2555</v>
      </c>
      <c r="G215" s="2127">
        <f>G211</f>
        <v>0</v>
      </c>
      <c r="H215" s="2123">
        <v>1750000</v>
      </c>
      <c r="I215" s="2123"/>
      <c r="J215" s="2123">
        <v>0</v>
      </c>
      <c r="K215" s="2123">
        <v>0</v>
      </c>
      <c r="L215" s="2129">
        <f t="shared" si="28"/>
        <v>0</v>
      </c>
      <c r="M215" s="2129">
        <f t="shared" si="29"/>
        <v>0</v>
      </c>
      <c r="N215" s="2129">
        <f t="shared" si="30"/>
        <v>0</v>
      </c>
      <c r="O215" s="2128">
        <f t="shared" si="31"/>
        <v>0</v>
      </c>
      <c r="P215" s="2155"/>
    </row>
    <row r="216" spans="1:18" s="2105" customFormat="1" outlineLevel="1">
      <c r="A216" s="2108" t="str">
        <f t="shared" si="27"/>
        <v>Biến dòng 600V - 100/5A</v>
      </c>
      <c r="B216" s="2159" t="s">
        <v>2043</v>
      </c>
      <c r="C216" s="2119">
        <f t="shared" si="32"/>
        <v>0</v>
      </c>
      <c r="D216" s="2120">
        <v>0</v>
      </c>
      <c r="E216" s="2121" t="s">
        <v>3356</v>
      </c>
      <c r="F216" s="2120" t="s">
        <v>2555</v>
      </c>
      <c r="G216" s="2127">
        <f>G211</f>
        <v>0</v>
      </c>
      <c r="H216" s="2123">
        <v>0</v>
      </c>
      <c r="I216" s="2123"/>
      <c r="J216" s="2123">
        <v>0</v>
      </c>
      <c r="K216" s="2123">
        <v>0</v>
      </c>
      <c r="L216" s="2129">
        <f t="shared" si="28"/>
        <v>0</v>
      </c>
      <c r="M216" s="2129">
        <f t="shared" si="29"/>
        <v>0</v>
      </c>
      <c r="N216" s="2129">
        <f t="shared" si="30"/>
        <v>0</v>
      </c>
      <c r="O216" s="2128">
        <f t="shared" si="31"/>
        <v>0</v>
      </c>
      <c r="P216" s="2155"/>
    </row>
    <row r="217" spans="1:18" s="2105" customFormat="1" outlineLevel="1">
      <c r="A217" s="2108" t="str">
        <f t="shared" si="27"/>
        <v>Điện kế 1 pha 2 dây 220V-5A</v>
      </c>
      <c r="B217" s="2133" t="s">
        <v>287</v>
      </c>
      <c r="C217" s="2119">
        <f t="shared" si="32"/>
        <v>0</v>
      </c>
      <c r="D217" s="2120">
        <v>0</v>
      </c>
      <c r="E217" s="2121" t="s">
        <v>3439</v>
      </c>
      <c r="F217" s="2120" t="s">
        <v>2555</v>
      </c>
      <c r="G217" s="2127">
        <f>G211</f>
        <v>0</v>
      </c>
      <c r="H217" s="2123">
        <v>0</v>
      </c>
      <c r="I217" s="2123"/>
      <c r="J217" s="2123">
        <v>0</v>
      </c>
      <c r="K217" s="2123">
        <v>0</v>
      </c>
      <c r="L217" s="2129">
        <f t="shared" si="28"/>
        <v>0</v>
      </c>
      <c r="M217" s="2129">
        <f>I217*G217</f>
        <v>0</v>
      </c>
      <c r="N217" s="2129">
        <f>J217*G217</f>
        <v>0</v>
      </c>
      <c r="O217" s="2128">
        <f>K217*G217</f>
        <v>0</v>
      </c>
      <c r="P217" s="2155"/>
    </row>
    <row r="218" spans="1:18" s="2105" customFormat="1" outlineLevel="1">
      <c r="A218" s="2108" t="e">
        <f t="shared" si="27"/>
        <v>#N/A</v>
      </c>
      <c r="B218" s="2130"/>
      <c r="C218" s="2135"/>
      <c r="D218" s="2136"/>
      <c r="E218" s="2117"/>
      <c r="F218" s="2135"/>
      <c r="G218" s="2135"/>
      <c r="H218" s="2135"/>
      <c r="I218" s="2135"/>
      <c r="J218" s="2117" t="s">
        <v>6121</v>
      </c>
      <c r="K218" s="2135"/>
      <c r="L218" s="2117">
        <f>SUM(L211:L217)</f>
        <v>0</v>
      </c>
      <c r="M218" s="2117"/>
      <c r="N218" s="2117">
        <f>SUM(N211:N217)</f>
        <v>0</v>
      </c>
      <c r="O218" s="2117">
        <f>SUM(O211:O217)</f>
        <v>0</v>
      </c>
      <c r="P218" s="2170"/>
    </row>
    <row r="219" spans="1:18" s="2105" customFormat="1" outlineLevel="1">
      <c r="A219" s="2108" t="e">
        <f t="shared" si="27"/>
        <v>#N/A</v>
      </c>
      <c r="B219" s="2130"/>
      <c r="C219" s="2137"/>
      <c r="D219" s="2138"/>
      <c r="E219" s="2139" t="s">
        <v>3673</v>
      </c>
      <c r="F219" s="2139"/>
      <c r="G219" s="2139"/>
      <c r="H219" s="2139"/>
      <c r="I219" s="2139"/>
      <c r="J219" s="2139"/>
      <c r="K219" s="2139"/>
      <c r="L219" s="2139"/>
      <c r="M219" s="2139"/>
      <c r="N219" s="2139"/>
      <c r="O219" s="2138"/>
      <c r="P219" s="2170"/>
    </row>
    <row r="220" spans="1:18" s="2105" customFormat="1" outlineLevel="1">
      <c r="A220" s="2108" t="str">
        <f t="shared" si="27"/>
        <v>Boulon 16x300+ 2 long đền vuông D18-50x50x3/Zn</v>
      </c>
      <c r="B220" s="2130" t="s">
        <v>1610</v>
      </c>
      <c r="C220" s="2140">
        <f>IF(G232&gt;0,1,0)</f>
        <v>0</v>
      </c>
      <c r="D220" s="2146"/>
      <c r="E220" s="2121" t="s">
        <v>2649</v>
      </c>
      <c r="F220" s="2120" t="s">
        <v>2439</v>
      </c>
      <c r="G220" s="2142">
        <f>2*SUM(G211:G211)</f>
        <v>0</v>
      </c>
      <c r="H220" s="2123">
        <v>25400</v>
      </c>
      <c r="I220" s="2128"/>
      <c r="J220" s="2123">
        <v>0</v>
      </c>
      <c r="K220" s="2123">
        <v>0</v>
      </c>
      <c r="L220" s="2129">
        <f t="shared" ref="L220:L291" si="33">H220*G220</f>
        <v>0</v>
      </c>
      <c r="M220" s="2129">
        <f t="shared" ref="M220:M291" si="34">I220*G220</f>
        <v>0</v>
      </c>
      <c r="N220" s="2129">
        <f t="shared" ref="N220:N291" si="35">J220*G220</f>
        <v>0</v>
      </c>
      <c r="O220" s="2128">
        <f t="shared" ref="O220:O291" si="36">K220*G220</f>
        <v>0</v>
      </c>
      <c r="P220" s="2169"/>
    </row>
    <row r="221" spans="1:18" s="2105" customFormat="1" outlineLevel="1">
      <c r="A221" s="2108" t="e">
        <f t="shared" si="27"/>
        <v>#N/A</v>
      </c>
      <c r="B221" s="2130"/>
      <c r="C221" s="2145">
        <f>IF(G221&gt;0,C220+1,C220)</f>
        <v>0</v>
      </c>
      <c r="D221" s="2146"/>
      <c r="E221" s="2147" t="s">
        <v>6138</v>
      </c>
      <c r="F221" s="2142" t="s">
        <v>2385</v>
      </c>
      <c r="G221" s="2142">
        <f>G211*0</f>
        <v>0</v>
      </c>
      <c r="H221" s="2128"/>
      <c r="I221" s="2128"/>
      <c r="J221" s="2128"/>
      <c r="K221" s="2128"/>
      <c r="L221" s="2129">
        <f t="shared" si="33"/>
        <v>0</v>
      </c>
      <c r="M221" s="2129">
        <f t="shared" si="34"/>
        <v>0</v>
      </c>
      <c r="N221" s="2129">
        <f t="shared" si="35"/>
        <v>0</v>
      </c>
      <c r="O221" s="2128">
        <f t="shared" si="36"/>
        <v>0</v>
      </c>
      <c r="P221" s="2127"/>
    </row>
    <row r="222" spans="1:18" s="2105" customFormat="1" ht="14.4" outlineLevel="1">
      <c r="A222" s="2108" t="e">
        <f t="shared" si="27"/>
        <v>#N/A</v>
      </c>
      <c r="B222" s="2130"/>
      <c r="C222" s="2142"/>
      <c r="D222" s="2146"/>
      <c r="E222" s="2148" t="s">
        <v>6133</v>
      </c>
      <c r="F222" s="2127"/>
      <c r="G222" s="2127"/>
      <c r="H222" s="2128"/>
      <c r="I222" s="2128"/>
      <c r="J222" s="2128"/>
      <c r="K222" s="2128"/>
      <c r="L222" s="2129">
        <f t="shared" si="33"/>
        <v>0</v>
      </c>
      <c r="M222" s="2129">
        <f t="shared" si="34"/>
        <v>0</v>
      </c>
      <c r="N222" s="2129">
        <f t="shared" si="35"/>
        <v>0</v>
      </c>
      <c r="O222" s="2128">
        <f t="shared" si="36"/>
        <v>0</v>
      </c>
      <c r="P222" s="2127"/>
      <c r="R222" s="2149"/>
    </row>
    <row r="223" spans="1:18" s="2105" customFormat="1" outlineLevel="1">
      <c r="A223" s="2108" t="str">
        <f t="shared" si="27"/>
        <v>Trụ BTLT 12m F540 dự ứng lực</v>
      </c>
      <c r="B223" s="2133" t="s">
        <v>115</v>
      </c>
      <c r="C223" s="2127"/>
      <c r="D223" s="2120">
        <v>0</v>
      </c>
      <c r="E223" s="2121" t="s">
        <v>2992</v>
      </c>
      <c r="F223" s="2120" t="s">
        <v>2831</v>
      </c>
      <c r="G223" s="2127">
        <f>1*G221</f>
        <v>0</v>
      </c>
      <c r="H223" s="2123">
        <v>4400000</v>
      </c>
      <c r="I223" s="2123"/>
      <c r="J223" s="2123">
        <v>0</v>
      </c>
      <c r="K223" s="2123">
        <v>0</v>
      </c>
      <c r="L223" s="2129">
        <f t="shared" si="33"/>
        <v>0</v>
      </c>
      <c r="M223" s="2129">
        <f t="shared" si="34"/>
        <v>0</v>
      </c>
      <c r="N223" s="2129">
        <f t="shared" si="35"/>
        <v>0</v>
      </c>
      <c r="O223" s="2128">
        <f t="shared" si="36"/>
        <v>0</v>
      </c>
      <c r="P223" s="2127"/>
      <c r="R223" s="2149"/>
    </row>
    <row r="224" spans="1:18" s="2105" customFormat="1" outlineLevel="1">
      <c r="A224" s="2108" t="str">
        <f t="shared" si="27"/>
        <v>Vật liệu dựng trụ</v>
      </c>
      <c r="B224" s="2133" t="s">
        <v>1814</v>
      </c>
      <c r="C224" s="2127"/>
      <c r="D224" s="2150"/>
      <c r="E224" s="2121" t="s">
        <v>2830</v>
      </c>
      <c r="F224" s="2120" t="s">
        <v>2831</v>
      </c>
      <c r="G224" s="2127">
        <f>G223</f>
        <v>0</v>
      </c>
      <c r="H224" s="2123">
        <v>17400</v>
      </c>
      <c r="I224" s="2123"/>
      <c r="J224" s="2123">
        <v>0</v>
      </c>
      <c r="K224" s="2123">
        <v>0</v>
      </c>
      <c r="L224" s="2129">
        <f t="shared" si="33"/>
        <v>0</v>
      </c>
      <c r="M224" s="2129">
        <f t="shared" si="34"/>
        <v>0</v>
      </c>
      <c r="N224" s="2129">
        <f t="shared" si="35"/>
        <v>0</v>
      </c>
      <c r="O224" s="2128">
        <f t="shared" si="36"/>
        <v>0</v>
      </c>
      <c r="P224" s="2127"/>
      <c r="R224" s="2149"/>
    </row>
    <row r="225" spans="1:18" s="2105" customFormat="1" outlineLevel="1">
      <c r="A225" s="2108" t="str">
        <f t="shared" si="27"/>
        <v>Dựng trụ BTLT 12m trong TBA bằng thủ công + cơ giới</v>
      </c>
      <c r="B225" s="2133" t="s">
        <v>2126</v>
      </c>
      <c r="C225" s="2127"/>
      <c r="D225" s="2150"/>
      <c r="E225" s="2121" t="s">
        <v>3167</v>
      </c>
      <c r="F225" s="2120" t="s">
        <v>2831</v>
      </c>
      <c r="G225" s="2127">
        <f>G223</f>
        <v>0</v>
      </c>
      <c r="H225" s="2123">
        <v>0</v>
      </c>
      <c r="I225" s="2123"/>
      <c r="J225" s="2123">
        <v>112286</v>
      </c>
      <c r="K225" s="2123">
        <v>105970</v>
      </c>
      <c r="L225" s="2129">
        <f t="shared" si="33"/>
        <v>0</v>
      </c>
      <c r="M225" s="2129">
        <f t="shared" si="34"/>
        <v>0</v>
      </c>
      <c r="N225" s="2129">
        <f t="shared" si="35"/>
        <v>0</v>
      </c>
      <c r="O225" s="2128">
        <f t="shared" si="36"/>
        <v>0</v>
      </c>
      <c r="P225" s="2127"/>
      <c r="R225" s="2149"/>
    </row>
    <row r="226" spans="1:18" s="2105" customFormat="1" outlineLevel="1">
      <c r="A226" s="2108" t="e">
        <f t="shared" si="27"/>
        <v>#N/A</v>
      </c>
      <c r="B226" s="2130"/>
      <c r="C226" s="2145">
        <f>IF(G226&gt;0,C221+1,C221)</f>
        <v>0</v>
      </c>
      <c r="D226" s="2146"/>
      <c r="E226" s="2147" t="s">
        <v>2352</v>
      </c>
      <c r="F226" s="2142" t="s">
        <v>2385</v>
      </c>
      <c r="G226" s="2142">
        <f>G221</f>
        <v>0</v>
      </c>
      <c r="H226" s="2128"/>
      <c r="I226" s="2128"/>
      <c r="J226" s="2128"/>
      <c r="K226" s="2128"/>
      <c r="L226" s="2129">
        <f t="shared" si="33"/>
        <v>0</v>
      </c>
      <c r="M226" s="2129">
        <f t="shared" si="34"/>
        <v>0</v>
      </c>
      <c r="N226" s="2129">
        <f t="shared" si="35"/>
        <v>0</v>
      </c>
      <c r="O226" s="2128">
        <f t="shared" si="36"/>
        <v>0</v>
      </c>
      <c r="P226" s="2127"/>
    </row>
    <row r="227" spans="1:18" s="2105" customFormat="1" ht="14.4" outlineLevel="1">
      <c r="A227" s="2108" t="e">
        <f t="shared" si="27"/>
        <v>#N/A</v>
      </c>
      <c r="B227" s="2130"/>
      <c r="C227" s="2142"/>
      <c r="D227" s="2146"/>
      <c r="E227" s="2148" t="s">
        <v>6133</v>
      </c>
      <c r="F227" s="2127"/>
      <c r="G227" s="2127"/>
      <c r="H227" s="2128"/>
      <c r="I227" s="2128"/>
      <c r="J227" s="2128"/>
      <c r="K227" s="2128"/>
      <c r="L227" s="2129">
        <f t="shared" si="33"/>
        <v>0</v>
      </c>
      <c r="M227" s="2129">
        <f t="shared" si="34"/>
        <v>0</v>
      </c>
      <c r="N227" s="2129">
        <f t="shared" si="35"/>
        <v>0</v>
      </c>
      <c r="O227" s="2128">
        <f t="shared" si="36"/>
        <v>0</v>
      </c>
      <c r="P227" s="2127"/>
      <c r="R227" s="2149"/>
    </row>
    <row r="228" spans="1:18" s="2105" customFormat="1" outlineLevel="1">
      <c r="A228" s="2108" t="str">
        <f t="shared" si="27"/>
        <v>Đà cản BTCT 1,2m</v>
      </c>
      <c r="B228" s="2133" t="s">
        <v>636</v>
      </c>
      <c r="C228" s="2127"/>
      <c r="D228" s="2120" t="s">
        <v>5047</v>
      </c>
      <c r="E228" s="2121" t="s">
        <v>2607</v>
      </c>
      <c r="F228" s="2120" t="s">
        <v>2555</v>
      </c>
      <c r="G228" s="2127">
        <f>1*G226</f>
        <v>0</v>
      </c>
      <c r="H228" s="2123">
        <v>354545</v>
      </c>
      <c r="I228" s="2123"/>
      <c r="J228" s="2123">
        <v>37220.25</v>
      </c>
      <c r="K228" s="2123">
        <v>0</v>
      </c>
      <c r="L228" s="2129">
        <f t="shared" si="33"/>
        <v>0</v>
      </c>
      <c r="M228" s="2129">
        <f t="shared" si="34"/>
        <v>0</v>
      </c>
      <c r="N228" s="2129">
        <f t="shared" si="35"/>
        <v>0</v>
      </c>
      <c r="O228" s="2128">
        <f t="shared" si="36"/>
        <v>0</v>
      </c>
      <c r="P228" s="2127"/>
      <c r="R228" s="2149"/>
    </row>
    <row r="229" spans="1:18" s="2105" customFormat="1" outlineLevel="1">
      <c r="A229" s="2108" t="str">
        <f t="shared" si="27"/>
        <v>Boulon 22x650+ 2 long đền vuông D24-50x50x3/Zn</v>
      </c>
      <c r="B229" s="2133" t="s">
        <v>566</v>
      </c>
      <c r="C229" s="2127"/>
      <c r="D229" s="2120">
        <v>0</v>
      </c>
      <c r="E229" s="2121" t="s">
        <v>5072</v>
      </c>
      <c r="F229" s="2120" t="s">
        <v>2439</v>
      </c>
      <c r="G229" s="2127">
        <f>G226</f>
        <v>0</v>
      </c>
      <c r="H229" s="2123">
        <v>92200</v>
      </c>
      <c r="I229" s="2123"/>
      <c r="J229" s="2123">
        <v>0</v>
      </c>
      <c r="K229" s="2123">
        <v>0</v>
      </c>
      <c r="L229" s="2129">
        <f t="shared" si="33"/>
        <v>0</v>
      </c>
      <c r="M229" s="2129">
        <f t="shared" si="34"/>
        <v>0</v>
      </c>
      <c r="N229" s="2129">
        <f t="shared" si="35"/>
        <v>0</v>
      </c>
      <c r="O229" s="2128">
        <f t="shared" si="36"/>
        <v>0</v>
      </c>
      <c r="P229" s="2127"/>
      <c r="R229" s="2149"/>
    </row>
    <row r="230" spans="1:18" s="2105" customFormat="1" outlineLevel="1">
      <c r="A230" s="2108" t="str">
        <f t="shared" si="27"/>
        <v>Đào hố móng đất cấp 3 sâu &gt;1m</v>
      </c>
      <c r="B230" s="2133" t="s">
        <v>639</v>
      </c>
      <c r="C230" s="2127"/>
      <c r="D230" s="2120" t="s">
        <v>1747</v>
      </c>
      <c r="E230" s="2121" t="s">
        <v>5324</v>
      </c>
      <c r="F230" s="2120" t="s">
        <v>856</v>
      </c>
      <c r="G230" s="2151">
        <f>G226*1.45</f>
        <v>0</v>
      </c>
      <c r="H230" s="2123">
        <v>0</v>
      </c>
      <c r="I230" s="2123"/>
      <c r="J230" s="2123">
        <v>296500.89999999997</v>
      </c>
      <c r="K230" s="2123">
        <v>0</v>
      </c>
      <c r="L230" s="2129">
        <f t="shared" si="33"/>
        <v>0</v>
      </c>
      <c r="M230" s="2129">
        <f t="shared" si="34"/>
        <v>0</v>
      </c>
      <c r="N230" s="2129">
        <f t="shared" si="35"/>
        <v>0</v>
      </c>
      <c r="O230" s="2128">
        <f t="shared" si="36"/>
        <v>0</v>
      </c>
      <c r="P230" s="2127"/>
      <c r="R230" s="2149"/>
    </row>
    <row r="231" spans="1:18" s="2105" customFormat="1" outlineLevel="1">
      <c r="A231" s="2108" t="str">
        <f t="shared" si="27"/>
        <v>Đắp đất hố móng, độ chặt k=0,95</v>
      </c>
      <c r="B231" s="2133" t="s">
        <v>21</v>
      </c>
      <c r="C231" s="2127"/>
      <c r="D231" s="2120" t="s">
        <v>5325</v>
      </c>
      <c r="E231" s="2121" t="s">
        <v>5326</v>
      </c>
      <c r="F231" s="2120" t="s">
        <v>856</v>
      </c>
      <c r="G231" s="2151">
        <f>G226*1.37</f>
        <v>0</v>
      </c>
      <c r="H231" s="2123">
        <v>0</v>
      </c>
      <c r="I231" s="2123"/>
      <c r="J231" s="2123">
        <v>117703.6</v>
      </c>
      <c r="K231" s="2123">
        <v>0</v>
      </c>
      <c r="L231" s="2129">
        <f t="shared" si="33"/>
        <v>0</v>
      </c>
      <c r="M231" s="2129">
        <f t="shared" si="34"/>
        <v>0</v>
      </c>
      <c r="N231" s="2129">
        <f t="shared" si="35"/>
        <v>0</v>
      </c>
      <c r="O231" s="2128">
        <f t="shared" si="36"/>
        <v>0</v>
      </c>
      <c r="P231" s="2127"/>
      <c r="R231" s="2149"/>
    </row>
    <row r="232" spans="1:18" s="2105" customFormat="1" outlineLevel="1">
      <c r="A232" s="2108" t="e">
        <f t="shared" si="27"/>
        <v>#N/A</v>
      </c>
      <c r="B232" s="2130"/>
      <c r="C232" s="2145">
        <f>IF(G232&gt;0,C226+1,C226)</f>
        <v>0</v>
      </c>
      <c r="D232" s="2146"/>
      <c r="E232" s="2171" t="s">
        <v>3675</v>
      </c>
      <c r="F232" s="2142" t="s">
        <v>2385</v>
      </c>
      <c r="G232" s="2142">
        <f>SUM(G211:G211)</f>
        <v>0</v>
      </c>
      <c r="H232" s="2123"/>
      <c r="I232" s="2128"/>
      <c r="J232" s="2123"/>
      <c r="K232" s="2123"/>
      <c r="L232" s="2129">
        <f t="shared" si="33"/>
        <v>0</v>
      </c>
      <c r="M232" s="2129">
        <f t="shared" si="34"/>
        <v>0</v>
      </c>
      <c r="N232" s="2129">
        <f t="shared" si="35"/>
        <v>0</v>
      </c>
      <c r="O232" s="2128">
        <f t="shared" si="36"/>
        <v>0</v>
      </c>
      <c r="P232" s="2155"/>
    </row>
    <row r="233" spans="1:18" s="2105" customFormat="1" ht="14.4" outlineLevel="1">
      <c r="A233" s="2108" t="e">
        <f t="shared" si="27"/>
        <v>#N/A</v>
      </c>
      <c r="B233" s="2130"/>
      <c r="C233" s="2142"/>
      <c r="D233" s="2146"/>
      <c r="E233" s="2172" t="s">
        <v>6133</v>
      </c>
      <c r="F233" s="2127"/>
      <c r="G233" s="2127"/>
      <c r="H233" s="2123"/>
      <c r="I233" s="2128"/>
      <c r="J233" s="2123"/>
      <c r="K233" s="2123"/>
      <c r="L233" s="2129">
        <f t="shared" si="33"/>
        <v>0</v>
      </c>
      <c r="M233" s="2129">
        <f t="shared" si="34"/>
        <v>0</v>
      </c>
      <c r="N233" s="2129">
        <f t="shared" si="35"/>
        <v>0</v>
      </c>
      <c r="O233" s="2128">
        <f t="shared" si="36"/>
        <v>0</v>
      </c>
      <c r="P233" s="2155"/>
    </row>
    <row r="234" spans="1:18" s="2105" customFormat="1" outlineLevel="1">
      <c r="A234" s="2108" t="str">
        <f t="shared" si="27"/>
        <v>Đà Composite 110x80x5x800</v>
      </c>
      <c r="B234" s="2133" t="s">
        <v>5157</v>
      </c>
      <c r="C234" s="2127"/>
      <c r="D234" s="2120">
        <v>0</v>
      </c>
      <c r="E234" s="2121" t="s">
        <v>4865</v>
      </c>
      <c r="F234" s="2120" t="s">
        <v>2590</v>
      </c>
      <c r="G234" s="2156">
        <f>G232*1</f>
        <v>0</v>
      </c>
      <c r="H234" s="2123">
        <v>320000</v>
      </c>
      <c r="I234" s="2128"/>
      <c r="J234" s="2123">
        <v>0</v>
      </c>
      <c r="K234" s="2123">
        <v>0</v>
      </c>
      <c r="L234" s="2129">
        <f t="shared" si="33"/>
        <v>0</v>
      </c>
      <c r="M234" s="2129">
        <f>I234*G234</f>
        <v>0</v>
      </c>
      <c r="N234" s="2129">
        <f t="shared" si="35"/>
        <v>0</v>
      </c>
      <c r="O234" s="2128">
        <f t="shared" si="36"/>
        <v>0</v>
      </c>
      <c r="P234" s="2155"/>
    </row>
    <row r="235" spans="1:18" s="2105" customFormat="1" outlineLevel="1">
      <c r="A235" s="2108" t="str">
        <f t="shared" si="27"/>
        <v>Chống Composite 40x10x710</v>
      </c>
      <c r="B235" s="2133" t="s">
        <v>5161</v>
      </c>
      <c r="C235" s="2127"/>
      <c r="D235" s="2120">
        <v>0</v>
      </c>
      <c r="E235" s="2121" t="s">
        <v>5162</v>
      </c>
      <c r="F235" s="2120" t="s">
        <v>5160</v>
      </c>
      <c r="G235" s="2127">
        <f>G234*1</f>
        <v>0</v>
      </c>
      <c r="H235" s="2123">
        <v>95000</v>
      </c>
      <c r="I235" s="2128"/>
      <c r="J235" s="2123">
        <v>0</v>
      </c>
      <c r="K235" s="2123">
        <v>0</v>
      </c>
      <c r="L235" s="2129">
        <f t="shared" si="33"/>
        <v>0</v>
      </c>
      <c r="M235" s="2129">
        <f>I235*G235</f>
        <v>0</v>
      </c>
      <c r="N235" s="2129">
        <f t="shared" si="35"/>
        <v>0</v>
      </c>
      <c r="O235" s="2128">
        <f t="shared" si="36"/>
        <v>0</v>
      </c>
      <c r="P235" s="2155"/>
    </row>
    <row r="236" spans="1:18" s="2105" customFormat="1" outlineLevel="1">
      <c r="A236" s="2108" t="str">
        <f t="shared" si="27"/>
        <v>Bass LL bắt FCO, LA</v>
      </c>
      <c r="B236" s="2133" t="s">
        <v>1840</v>
      </c>
      <c r="C236" s="2127"/>
      <c r="D236" s="2120">
        <v>0</v>
      </c>
      <c r="E236" s="2121" t="s">
        <v>5078</v>
      </c>
      <c r="F236" s="2120" t="s">
        <v>2439</v>
      </c>
      <c r="G236" s="2127">
        <f>G232*1</f>
        <v>0</v>
      </c>
      <c r="H236" s="2123">
        <v>65000</v>
      </c>
      <c r="I236" s="2128"/>
      <c r="J236" s="2123">
        <v>0</v>
      </c>
      <c r="K236" s="2123">
        <v>0</v>
      </c>
      <c r="L236" s="2129">
        <f t="shared" si="33"/>
        <v>0</v>
      </c>
      <c r="M236" s="2129"/>
      <c r="N236" s="2129">
        <f t="shared" si="35"/>
        <v>0</v>
      </c>
      <c r="O236" s="2128">
        <f t="shared" si="36"/>
        <v>0</v>
      </c>
      <c r="P236" s="2155"/>
    </row>
    <row r="237" spans="1:18" s="2105" customFormat="1" outlineLevel="1">
      <c r="A237" s="2108" t="str">
        <f t="shared" si="27"/>
        <v>Nắp che đầu cực FCO</v>
      </c>
      <c r="B237" s="2133" t="s">
        <v>6125</v>
      </c>
      <c r="C237" s="2127"/>
      <c r="D237" s="2120">
        <v>0</v>
      </c>
      <c r="E237" s="2121" t="s">
        <v>5700</v>
      </c>
      <c r="F237" s="2120" t="s">
        <v>2555</v>
      </c>
      <c r="G237" s="2127"/>
      <c r="H237" s="2123">
        <v>218200</v>
      </c>
      <c r="I237" s="2128"/>
      <c r="J237" s="2123">
        <v>0</v>
      </c>
      <c r="K237" s="2123">
        <v>0</v>
      </c>
      <c r="L237" s="2129">
        <f t="shared" si="33"/>
        <v>0</v>
      </c>
      <c r="M237" s="2129"/>
      <c r="N237" s="2129">
        <f t="shared" si="35"/>
        <v>0</v>
      </c>
      <c r="O237" s="2128">
        <f t="shared" si="36"/>
        <v>0</v>
      </c>
      <c r="P237" s="2155"/>
    </row>
    <row r="238" spans="1:18" s="2105" customFormat="1" outlineLevel="1">
      <c r="A238" s="2108" t="str">
        <f t="shared" si="27"/>
        <v>Boulon 16x150+ 2 long đền vuông D18-50x50x3/Zn</v>
      </c>
      <c r="B238" s="2133" t="s">
        <v>244</v>
      </c>
      <c r="C238" s="2127"/>
      <c r="D238" s="2120">
        <v>0</v>
      </c>
      <c r="E238" s="2121" t="s">
        <v>2641</v>
      </c>
      <c r="F238" s="2120" t="s">
        <v>2439</v>
      </c>
      <c r="G238" s="2127">
        <f>1*$G$214</f>
        <v>0</v>
      </c>
      <c r="H238" s="2123">
        <v>18900</v>
      </c>
      <c r="I238" s="2128"/>
      <c r="J238" s="2123">
        <v>0</v>
      </c>
      <c r="K238" s="2123">
        <v>0</v>
      </c>
      <c r="L238" s="2129">
        <f t="shared" si="33"/>
        <v>0</v>
      </c>
      <c r="M238" s="2129"/>
      <c r="N238" s="2129">
        <f t="shared" si="35"/>
        <v>0</v>
      </c>
      <c r="O238" s="2128">
        <f t="shared" si="36"/>
        <v>0</v>
      </c>
      <c r="P238" s="2155"/>
    </row>
    <row r="239" spans="1:18" s="2105" customFormat="1" outlineLevel="1">
      <c r="A239" s="2108" t="str">
        <f t="shared" ref="A239:A270" si="37">VLOOKUP(B239,DonGia,3,0)</f>
        <v>Boulon 16x250+ 2 long đền vuông D18-50x50x3/Zn</v>
      </c>
      <c r="B239" s="2133" t="s">
        <v>1609</v>
      </c>
      <c r="C239" s="2127"/>
      <c r="D239" s="2120">
        <v>0</v>
      </c>
      <c r="E239" s="2121" t="s">
        <v>2645</v>
      </c>
      <c r="F239" s="2120" t="s">
        <v>2439</v>
      </c>
      <c r="G239" s="2127">
        <f>G232</f>
        <v>0</v>
      </c>
      <c r="H239" s="2123">
        <v>13400</v>
      </c>
      <c r="I239" s="2128"/>
      <c r="J239" s="2123">
        <v>0</v>
      </c>
      <c r="K239" s="2123">
        <v>0</v>
      </c>
      <c r="L239" s="2129">
        <f t="shared" si="33"/>
        <v>0</v>
      </c>
      <c r="M239" s="2129">
        <f>I239*G239</f>
        <v>0</v>
      </c>
      <c r="N239" s="2129">
        <f t="shared" si="35"/>
        <v>0</v>
      </c>
      <c r="O239" s="2128">
        <f t="shared" si="36"/>
        <v>0</v>
      </c>
      <c r="P239" s="2155"/>
    </row>
    <row r="240" spans="1:18" s="2105" customFormat="1" outlineLevel="1">
      <c r="A240" s="2108" t="str">
        <f t="shared" si="37"/>
        <v>Boulon 16x350+ 2 long đền vuông D18-50x50x3/Zn</v>
      </c>
      <c r="B240" s="2133" t="s">
        <v>1079</v>
      </c>
      <c r="C240" s="2127"/>
      <c r="D240" s="2120">
        <v>0</v>
      </c>
      <c r="E240" s="2121" t="s">
        <v>2651</v>
      </c>
      <c r="F240" s="2120" t="s">
        <v>2439</v>
      </c>
      <c r="G240" s="2127">
        <f>1*G232</f>
        <v>0</v>
      </c>
      <c r="H240" s="2123">
        <v>27900</v>
      </c>
      <c r="I240" s="2128"/>
      <c r="J240" s="2123">
        <v>0</v>
      </c>
      <c r="K240" s="2123">
        <v>0</v>
      </c>
      <c r="L240" s="2129">
        <f t="shared" si="33"/>
        <v>0</v>
      </c>
      <c r="M240" s="2129">
        <f>I240*G240</f>
        <v>0</v>
      </c>
      <c r="N240" s="2129">
        <f t="shared" si="35"/>
        <v>0</v>
      </c>
      <c r="O240" s="2128">
        <f t="shared" si="36"/>
        <v>0</v>
      </c>
      <c r="P240" s="2155"/>
    </row>
    <row r="241" spans="1:16" s="2105" customFormat="1" outlineLevel="1">
      <c r="A241" s="2108" t="str">
        <f t="shared" si="37"/>
        <v>Lắp xà đỡ composite dài 800mm (3kg)</v>
      </c>
      <c r="B241" s="2180" t="s">
        <v>5370</v>
      </c>
      <c r="C241" s="2127"/>
      <c r="D241" s="2120" t="s">
        <v>5148</v>
      </c>
      <c r="E241" s="2121" t="s">
        <v>5371</v>
      </c>
      <c r="F241" s="2120" t="s">
        <v>2439</v>
      </c>
      <c r="G241" s="2127">
        <f>G232</f>
        <v>0</v>
      </c>
      <c r="H241" s="2123">
        <v>0</v>
      </c>
      <c r="I241" s="2128"/>
      <c r="J241" s="2153" t="s">
        <v>6313</v>
      </c>
      <c r="K241" s="2123">
        <v>0</v>
      </c>
      <c r="L241" s="2129">
        <f t="shared" si="33"/>
        <v>0</v>
      </c>
      <c r="M241" s="2129">
        <f>I241*G241</f>
        <v>0</v>
      </c>
      <c r="N241" s="2154">
        <f>106640*G241*1.5</f>
        <v>0</v>
      </c>
      <c r="O241" s="2128">
        <f t="shared" si="36"/>
        <v>0</v>
      </c>
      <c r="P241" s="2155"/>
    </row>
    <row r="242" spans="1:16" s="2105" customFormat="1" outlineLevel="1">
      <c r="A242" s="2108" t="e">
        <f t="shared" si="37"/>
        <v>#N/A</v>
      </c>
      <c r="B242" s="2130"/>
      <c r="C242" s="2142">
        <f>IF(G242&gt;0,C232+1,C232)</f>
        <v>0</v>
      </c>
      <c r="D242" s="2146"/>
      <c r="E242" s="2171" t="s">
        <v>3676</v>
      </c>
      <c r="F242" s="2142" t="s">
        <v>2385</v>
      </c>
      <c r="G242" s="2142">
        <f>G232</f>
        <v>0</v>
      </c>
      <c r="H242" s="2123"/>
      <c r="I242" s="2128"/>
      <c r="J242" s="2123"/>
      <c r="K242" s="2123"/>
      <c r="L242" s="2129">
        <f t="shared" si="33"/>
        <v>0</v>
      </c>
      <c r="M242" s="2129">
        <f t="shared" si="34"/>
        <v>0</v>
      </c>
      <c r="N242" s="2129">
        <f t="shared" si="35"/>
        <v>0</v>
      </c>
      <c r="O242" s="2128">
        <f t="shared" si="36"/>
        <v>0</v>
      </c>
      <c r="P242" s="2155"/>
    </row>
    <row r="243" spans="1:16" s="2105" customFormat="1" ht="14.4" outlineLevel="1">
      <c r="A243" s="2108" t="e">
        <f t="shared" si="37"/>
        <v>#N/A</v>
      </c>
      <c r="B243" s="2130"/>
      <c r="C243" s="2127"/>
      <c r="D243" s="2150"/>
      <c r="E243" s="2172" t="s">
        <v>6133</v>
      </c>
      <c r="F243" s="2127"/>
      <c r="G243" s="2127"/>
      <c r="H243" s="2123"/>
      <c r="I243" s="2128"/>
      <c r="J243" s="2123"/>
      <c r="K243" s="2123"/>
      <c r="L243" s="2129">
        <f t="shared" si="33"/>
        <v>0</v>
      </c>
      <c r="M243" s="2129">
        <f t="shared" si="34"/>
        <v>0</v>
      </c>
      <c r="N243" s="2129">
        <f t="shared" si="35"/>
        <v>0</v>
      </c>
      <c r="O243" s="2128">
        <f t="shared" si="36"/>
        <v>0</v>
      </c>
      <c r="P243" s="2155"/>
    </row>
    <row r="244" spans="1:16" s="2105" customFormat="1" outlineLevel="1">
      <c r="A244" s="2108" t="str">
        <f t="shared" si="37"/>
        <v>Cáp đồng trần M25mm2</v>
      </c>
      <c r="B244" s="2130" t="s">
        <v>1033</v>
      </c>
      <c r="C244" s="2127"/>
      <c r="D244" s="2120">
        <v>0</v>
      </c>
      <c r="E244" s="2121" t="s">
        <v>6314</v>
      </c>
      <c r="F244" s="2120" t="s">
        <v>2248</v>
      </c>
      <c r="G244" s="2156">
        <f>0.224*66*G242</f>
        <v>0</v>
      </c>
      <c r="H244" s="2123">
        <v>255500</v>
      </c>
      <c r="I244" s="2128"/>
      <c r="J244" s="2123">
        <v>0</v>
      </c>
      <c r="K244" s="2123">
        <v>0</v>
      </c>
      <c r="L244" s="2129">
        <f t="shared" si="33"/>
        <v>0</v>
      </c>
      <c r="M244" s="2129">
        <f t="shared" si="34"/>
        <v>0</v>
      </c>
      <c r="N244" s="2129">
        <f t="shared" si="35"/>
        <v>0</v>
      </c>
      <c r="O244" s="2128">
        <f t="shared" si="36"/>
        <v>0</v>
      </c>
      <c r="P244" s="2155"/>
    </row>
    <row r="245" spans="1:16" s="2105" customFormat="1" outlineLevel="1">
      <c r="A245" s="2108" t="str">
        <f t="shared" si="37"/>
        <v>Cọc tiếp đất Þ 16- 2,4m + kẹp cọc mạ đồng</v>
      </c>
      <c r="B245" s="2133" t="s">
        <v>1508</v>
      </c>
      <c r="C245" s="2127"/>
      <c r="D245" s="2120">
        <v>0</v>
      </c>
      <c r="E245" s="2121" t="s">
        <v>5163</v>
      </c>
      <c r="F245" s="2120" t="s">
        <v>2439</v>
      </c>
      <c r="G245" s="2127">
        <f>$H$2*G242</f>
        <v>0</v>
      </c>
      <c r="H245" s="2123">
        <v>160000</v>
      </c>
      <c r="I245" s="2128"/>
      <c r="J245" s="2123">
        <v>0</v>
      </c>
      <c r="K245" s="2123">
        <v>0</v>
      </c>
      <c r="L245" s="2129">
        <f t="shared" si="33"/>
        <v>0</v>
      </c>
      <c r="M245" s="2129">
        <f t="shared" si="34"/>
        <v>0</v>
      </c>
      <c r="N245" s="2129">
        <f t="shared" si="35"/>
        <v>0</v>
      </c>
      <c r="O245" s="2128">
        <f t="shared" si="36"/>
        <v>0</v>
      </c>
      <c r="P245" s="2155"/>
    </row>
    <row r="246" spans="1:16" s="2105" customFormat="1" outlineLevel="1">
      <c r="A246" s="2108" t="str">
        <f t="shared" si="37"/>
        <v xml:space="preserve">Ống PVC D21x1,6mm </v>
      </c>
      <c r="B246" s="2133" t="s">
        <v>1490</v>
      </c>
      <c r="C246" s="2127"/>
      <c r="D246" s="2120">
        <v>0</v>
      </c>
      <c r="E246" s="2121" t="s">
        <v>3536</v>
      </c>
      <c r="F246" s="2120" t="s">
        <v>1823</v>
      </c>
      <c r="G246" s="2127">
        <f>6*G242</f>
        <v>0</v>
      </c>
      <c r="H246" s="2123">
        <v>6200</v>
      </c>
      <c r="I246" s="2128"/>
      <c r="J246" s="2123">
        <v>0</v>
      </c>
      <c r="K246" s="2123">
        <v>0</v>
      </c>
      <c r="L246" s="2129">
        <f t="shared" si="33"/>
        <v>0</v>
      </c>
      <c r="M246" s="2129">
        <f t="shared" si="34"/>
        <v>0</v>
      </c>
      <c r="N246" s="2129">
        <f t="shared" si="35"/>
        <v>0</v>
      </c>
      <c r="O246" s="2128">
        <f t="shared" si="36"/>
        <v>0</v>
      </c>
      <c r="P246" s="2155"/>
    </row>
    <row r="247" spans="1:16" s="2105" customFormat="1" outlineLevel="1">
      <c r="A247" s="2108" t="str">
        <f t="shared" si="37"/>
        <v>Kẹp ép WR cỡ dây 50mm2</v>
      </c>
      <c r="B247" s="2130" t="s">
        <v>905</v>
      </c>
      <c r="C247" s="2127"/>
      <c r="D247" s="2120">
        <v>0</v>
      </c>
      <c r="E247" s="2121" t="s">
        <v>2873</v>
      </c>
      <c r="F247" s="2120" t="s">
        <v>2555</v>
      </c>
      <c r="G247" s="2127">
        <f>2*G242</f>
        <v>0</v>
      </c>
      <c r="H247" s="2123">
        <v>8000</v>
      </c>
      <c r="I247" s="2123"/>
      <c r="J247" s="2123">
        <v>0</v>
      </c>
      <c r="K247" s="2123">
        <v>0</v>
      </c>
      <c r="L247" s="2129">
        <f t="shared" si="33"/>
        <v>0</v>
      </c>
      <c r="M247" s="2129">
        <f t="shared" si="34"/>
        <v>0</v>
      </c>
      <c r="N247" s="2129">
        <f t="shared" si="35"/>
        <v>0</v>
      </c>
      <c r="O247" s="2128">
        <f t="shared" si="36"/>
        <v>0</v>
      </c>
      <c r="P247" s="2155"/>
    </row>
    <row r="248" spans="1:16" s="2105" customFormat="1" outlineLevel="1">
      <c r="A248" s="2108" t="str">
        <f t="shared" si="37"/>
        <v>Kẹp ép cỡ dây 25mm2</v>
      </c>
      <c r="B248" s="2130" t="s">
        <v>1114</v>
      </c>
      <c r="C248" s="2127"/>
      <c r="D248" s="2120">
        <v>0</v>
      </c>
      <c r="E248" s="2121" t="s">
        <v>2871</v>
      </c>
      <c r="F248" s="2120" t="s">
        <v>2555</v>
      </c>
      <c r="G248" s="2127">
        <f>12*G242</f>
        <v>0</v>
      </c>
      <c r="H248" s="2123">
        <v>6000</v>
      </c>
      <c r="I248" s="2123"/>
      <c r="J248" s="2123">
        <v>0</v>
      </c>
      <c r="K248" s="2123">
        <v>0</v>
      </c>
      <c r="L248" s="2129">
        <f t="shared" si="33"/>
        <v>0</v>
      </c>
      <c r="M248" s="2129">
        <f t="shared" si="34"/>
        <v>0</v>
      </c>
      <c r="N248" s="2129">
        <f t="shared" si="35"/>
        <v>0</v>
      </c>
      <c r="O248" s="2128">
        <f t="shared" si="36"/>
        <v>0</v>
      </c>
      <c r="P248" s="2155"/>
    </row>
    <row r="249" spans="1:16" s="2105" customFormat="1" outlineLevel="1">
      <c r="A249" s="2108" t="str">
        <f t="shared" si="37"/>
        <v>Cổ dê kẹp ống PVC  21</v>
      </c>
      <c r="B249" s="2133" t="s">
        <v>525</v>
      </c>
      <c r="C249" s="2127"/>
      <c r="D249" s="2120">
        <v>0</v>
      </c>
      <c r="E249" s="2121" t="s">
        <v>5252</v>
      </c>
      <c r="F249" s="2120" t="s">
        <v>2439</v>
      </c>
      <c r="G249" s="2127">
        <f>3*G242</f>
        <v>0</v>
      </c>
      <c r="H249" s="2123">
        <v>43000</v>
      </c>
      <c r="I249" s="2128"/>
      <c r="J249" s="2123">
        <v>0</v>
      </c>
      <c r="K249" s="2123">
        <v>0</v>
      </c>
      <c r="L249" s="2129">
        <f t="shared" si="33"/>
        <v>0</v>
      </c>
      <c r="M249" s="2129">
        <f t="shared" si="34"/>
        <v>0</v>
      </c>
      <c r="N249" s="2129">
        <f t="shared" si="35"/>
        <v>0</v>
      </c>
      <c r="O249" s="2128">
        <f t="shared" si="36"/>
        <v>0</v>
      </c>
      <c r="P249" s="2155"/>
    </row>
    <row r="250" spans="1:16" s="2105" customFormat="1" outlineLevel="1">
      <c r="A250" s="2108" t="str">
        <f t="shared" si="37"/>
        <v>Kéo dây tiếp địa trong TBA</v>
      </c>
      <c r="B250" s="2130" t="s">
        <v>2183</v>
      </c>
      <c r="C250" s="2127"/>
      <c r="D250" s="2120" t="s">
        <v>5346</v>
      </c>
      <c r="E250" s="2121" t="s">
        <v>5347</v>
      </c>
      <c r="F250" s="2120" t="s">
        <v>2532</v>
      </c>
      <c r="G250" s="2127">
        <f>G244/0.224</f>
        <v>0</v>
      </c>
      <c r="H250" s="2123">
        <v>0</v>
      </c>
      <c r="I250" s="2123"/>
      <c r="J250" s="2123">
        <v>8070.7000000000007</v>
      </c>
      <c r="K250" s="2123">
        <v>2044.9974999999999</v>
      </c>
      <c r="L250" s="2129">
        <f>H250*G250</f>
        <v>0</v>
      </c>
      <c r="M250" s="2129">
        <f>I250*G250</f>
        <v>0</v>
      </c>
      <c r="N250" s="2129">
        <f>J250*G250</f>
        <v>0</v>
      </c>
      <c r="O250" s="2128">
        <f>K250*G250</f>
        <v>0</v>
      </c>
      <c r="P250" s="2155"/>
    </row>
    <row r="251" spans="1:16" s="2105" customFormat="1" outlineLevel="1">
      <c r="A251" s="2108" t="str">
        <f t="shared" si="37"/>
        <v>Đóng cọc tiếp địa trong TBA</v>
      </c>
      <c r="B251" s="2133" t="s">
        <v>902</v>
      </c>
      <c r="C251" s="2127"/>
      <c r="D251" s="2120" t="s">
        <v>5351</v>
      </c>
      <c r="E251" s="2121" t="s">
        <v>5352</v>
      </c>
      <c r="F251" s="2120" t="s">
        <v>2278</v>
      </c>
      <c r="G251" s="2127">
        <f>G245</f>
        <v>0</v>
      </c>
      <c r="H251" s="2123">
        <v>0</v>
      </c>
      <c r="I251" s="2128"/>
      <c r="J251" s="2123" t="s">
        <v>6315</v>
      </c>
      <c r="K251" s="2123">
        <v>1573.075</v>
      </c>
      <c r="L251" s="2129">
        <f>H251*G251</f>
        <v>0</v>
      </c>
      <c r="M251" s="2129">
        <f>I251*G251</f>
        <v>0</v>
      </c>
      <c r="N251" s="2123">
        <v>0</v>
      </c>
      <c r="O251" s="2128">
        <f>K251*G251</f>
        <v>0</v>
      </c>
      <c r="P251" s="2155"/>
    </row>
    <row r="252" spans="1:16" s="2105" customFormat="1" outlineLevel="1">
      <c r="A252" s="2108" t="str">
        <f t="shared" si="37"/>
        <v>Đào rãnh tiếp địa đất cấp 3</v>
      </c>
      <c r="B252" s="2130" t="s">
        <v>1055</v>
      </c>
      <c r="C252" s="2127"/>
      <c r="D252" s="2120" t="s">
        <v>5336</v>
      </c>
      <c r="E252" s="2121" t="s">
        <v>3068</v>
      </c>
      <c r="F252" s="2120" t="s">
        <v>856</v>
      </c>
      <c r="G252" s="2151">
        <f>0.3*0.5*G242*48</f>
        <v>0</v>
      </c>
      <c r="H252" s="2123">
        <v>0</v>
      </c>
      <c r="I252" s="2123"/>
      <c r="J252" s="2123">
        <v>283749.75</v>
      </c>
      <c r="K252" s="2123">
        <v>0</v>
      </c>
      <c r="L252" s="2129">
        <f>H252*G252</f>
        <v>0</v>
      </c>
      <c r="M252" s="2129">
        <f>I252*G252</f>
        <v>0</v>
      </c>
      <c r="N252" s="2129">
        <f>J252*G252</f>
        <v>0</v>
      </c>
      <c r="O252" s="2128">
        <f>K252*G252</f>
        <v>0</v>
      </c>
      <c r="P252" s="2155"/>
    </row>
    <row r="253" spans="1:16" s="2105" customFormat="1" outlineLevel="1">
      <c r="A253" s="2108" t="str">
        <f t="shared" si="37"/>
        <v>Đắp đất rãnh tiếp độ chặt k=0,85</v>
      </c>
      <c r="B253" s="2133" t="s">
        <v>1056</v>
      </c>
      <c r="C253" s="2127"/>
      <c r="D253" s="2120" t="s">
        <v>5325</v>
      </c>
      <c r="E253" s="2121" t="s">
        <v>5337</v>
      </c>
      <c r="F253" s="2120" t="s">
        <v>856</v>
      </c>
      <c r="G253" s="2151">
        <f>G252</f>
        <v>0</v>
      </c>
      <c r="H253" s="2123">
        <v>0</v>
      </c>
      <c r="I253" s="2128"/>
      <c r="J253" s="2123">
        <v>117703.6</v>
      </c>
      <c r="K253" s="2123">
        <v>0</v>
      </c>
      <c r="L253" s="2129">
        <f>H253*G253</f>
        <v>0</v>
      </c>
      <c r="M253" s="2129">
        <f>I253*G253</f>
        <v>0</v>
      </c>
      <c r="N253" s="2129">
        <f>J253*G253</f>
        <v>0</v>
      </c>
      <c r="O253" s="2128">
        <f>K253*G253</f>
        <v>0</v>
      </c>
      <c r="P253" s="2155"/>
    </row>
    <row r="254" spans="1:16" s="2105" customFormat="1" outlineLevel="1">
      <c r="A254" s="2108" t="e">
        <f t="shared" si="37"/>
        <v>#N/A</v>
      </c>
      <c r="B254" s="2130"/>
      <c r="C254" s="2142">
        <f>IF(G254&gt;0,C242+1,C242)</f>
        <v>0</v>
      </c>
      <c r="D254" s="2120"/>
      <c r="E254" s="2158" t="s">
        <v>3683</v>
      </c>
      <c r="F254" s="2142" t="s">
        <v>2385</v>
      </c>
      <c r="G254" s="2142">
        <f>G232</f>
        <v>0</v>
      </c>
      <c r="H254" s="2123"/>
      <c r="I254" s="2128"/>
      <c r="J254" s="2123"/>
      <c r="K254" s="2123"/>
      <c r="L254" s="2129">
        <f t="shared" si="33"/>
        <v>0</v>
      </c>
      <c r="M254" s="2129">
        <f t="shared" si="34"/>
        <v>0</v>
      </c>
      <c r="N254" s="2129">
        <f t="shared" si="35"/>
        <v>0</v>
      </c>
      <c r="O254" s="2128">
        <f t="shared" si="36"/>
        <v>0</v>
      </c>
      <c r="P254" s="2155"/>
    </row>
    <row r="255" spans="1:16" s="2105" customFormat="1" ht="14.4" outlineLevel="1">
      <c r="A255" s="2108" t="e">
        <f t="shared" si="37"/>
        <v>#N/A</v>
      </c>
      <c r="B255" s="2130"/>
      <c r="C255" s="2142"/>
      <c r="D255" s="2120"/>
      <c r="E255" s="2172" t="s">
        <v>6133</v>
      </c>
      <c r="F255" s="2127"/>
      <c r="G255" s="2127"/>
      <c r="H255" s="2123"/>
      <c r="I255" s="2128"/>
      <c r="J255" s="2123"/>
      <c r="K255" s="2123"/>
      <c r="L255" s="2129">
        <f t="shared" si="33"/>
        <v>0</v>
      </c>
      <c r="M255" s="2129">
        <f t="shared" si="34"/>
        <v>0</v>
      </c>
      <c r="N255" s="2129">
        <f t="shared" si="35"/>
        <v>0</v>
      </c>
      <c r="O255" s="2128">
        <f t="shared" si="36"/>
        <v>0</v>
      </c>
      <c r="P255" s="2155"/>
    </row>
    <row r="256" spans="1:16" s="2105" customFormat="1" outlineLevel="1">
      <c r="A256" s="2108" t="str">
        <f t="shared" si="37"/>
        <v>Tủ MCCB trạm treo 1 pha</v>
      </c>
      <c r="B256" s="2181" t="s">
        <v>5654</v>
      </c>
      <c r="C256" s="2127"/>
      <c r="D256" s="2120" t="s">
        <v>5655</v>
      </c>
      <c r="E256" s="2121" t="s">
        <v>5656</v>
      </c>
      <c r="F256" s="2120" t="s">
        <v>2555</v>
      </c>
      <c r="G256" s="2127">
        <f>G254</f>
        <v>0</v>
      </c>
      <c r="H256" s="2123">
        <v>2971168</v>
      </c>
      <c r="I256" s="2123"/>
      <c r="J256" s="2123">
        <v>599038</v>
      </c>
      <c r="K256" s="2123">
        <v>97369</v>
      </c>
      <c r="L256" s="2129">
        <f t="shared" si="33"/>
        <v>0</v>
      </c>
      <c r="M256" s="2129">
        <f t="shared" si="34"/>
        <v>0</v>
      </c>
      <c r="N256" s="2129">
        <f t="shared" si="35"/>
        <v>0</v>
      </c>
      <c r="O256" s="2128">
        <f t="shared" si="36"/>
        <v>0</v>
      </c>
      <c r="P256" s="2155"/>
    </row>
    <row r="257" spans="1:16" s="2105" customFormat="1" outlineLevel="1">
      <c r="A257" s="2108" t="str">
        <f t="shared" si="37"/>
        <v>Cổ dê bắt tủ</v>
      </c>
      <c r="B257" s="2130" t="s">
        <v>879</v>
      </c>
      <c r="C257" s="2127"/>
      <c r="D257" s="2120">
        <v>0</v>
      </c>
      <c r="E257" s="2121" t="s">
        <v>2982</v>
      </c>
      <c r="F257" s="2120" t="s">
        <v>2439</v>
      </c>
      <c r="G257" s="2127"/>
      <c r="H257" s="2123">
        <v>168000</v>
      </c>
      <c r="I257" s="2128"/>
      <c r="J257" s="2123">
        <v>0</v>
      </c>
      <c r="K257" s="2123">
        <v>0</v>
      </c>
      <c r="L257" s="2129">
        <f t="shared" si="33"/>
        <v>0</v>
      </c>
      <c r="M257" s="2129">
        <f t="shared" si="34"/>
        <v>0</v>
      </c>
      <c r="N257" s="2129">
        <f t="shared" si="35"/>
        <v>0</v>
      </c>
      <c r="O257" s="2128">
        <f t="shared" si="36"/>
        <v>0</v>
      </c>
      <c r="P257" s="2155"/>
    </row>
    <row r="258" spans="1:16" s="2105" customFormat="1" outlineLevel="1">
      <c r="A258" s="2108" t="str">
        <f t="shared" si="37"/>
        <v xml:space="preserve">Bakelit 550x450 dầy 10mm </v>
      </c>
      <c r="B258" s="2130" t="s">
        <v>880</v>
      </c>
      <c r="C258" s="2127"/>
      <c r="D258" s="2120">
        <v>0</v>
      </c>
      <c r="E258" s="2121" t="s">
        <v>5799</v>
      </c>
      <c r="F258" s="2120" t="s">
        <v>2555</v>
      </c>
      <c r="G258" s="2127"/>
      <c r="H258" s="2123">
        <v>284000</v>
      </c>
      <c r="I258" s="2128"/>
      <c r="J258" s="2123">
        <v>5404</v>
      </c>
      <c r="K258" s="2123">
        <v>0</v>
      </c>
      <c r="L258" s="2129">
        <f t="shared" si="33"/>
        <v>0</v>
      </c>
      <c r="M258" s="2129">
        <f t="shared" si="34"/>
        <v>0</v>
      </c>
      <c r="N258" s="2129">
        <f t="shared" si="35"/>
        <v>0</v>
      </c>
      <c r="O258" s="2128">
        <f t="shared" si="36"/>
        <v>0</v>
      </c>
      <c r="P258" s="2155"/>
    </row>
    <row r="259" spans="1:16" s="2105" customFormat="1" outlineLevel="1">
      <c r="A259" s="2108" t="e">
        <f t="shared" si="37"/>
        <v>#N/A</v>
      </c>
      <c r="B259" s="2130"/>
      <c r="C259" s="2142">
        <f>IF(G259&gt;0,C254+1,C254)</f>
        <v>0</v>
      </c>
      <c r="D259" s="2120"/>
      <c r="E259" s="2171" t="s">
        <v>6139</v>
      </c>
      <c r="F259" s="2142" t="s">
        <v>2385</v>
      </c>
      <c r="G259" s="2142">
        <f>G254</f>
        <v>0</v>
      </c>
      <c r="H259" s="2123"/>
      <c r="I259" s="2128"/>
      <c r="J259" s="2123"/>
      <c r="K259" s="2123"/>
      <c r="L259" s="2129">
        <f t="shared" si="33"/>
        <v>0</v>
      </c>
      <c r="M259" s="2129">
        <f t="shared" si="34"/>
        <v>0</v>
      </c>
      <c r="N259" s="2129">
        <f t="shared" si="35"/>
        <v>0</v>
      </c>
      <c r="O259" s="2128">
        <f t="shared" si="36"/>
        <v>0</v>
      </c>
      <c r="P259" s="2155"/>
    </row>
    <row r="260" spans="1:16" s="2105" customFormat="1" ht="14.4" outlineLevel="1">
      <c r="A260" s="2108" t="e">
        <f t="shared" si="37"/>
        <v>#N/A</v>
      </c>
      <c r="B260" s="2130"/>
      <c r="C260" s="2142"/>
      <c r="D260" s="2120"/>
      <c r="E260" s="2172" t="s">
        <v>6133</v>
      </c>
      <c r="F260" s="2127"/>
      <c r="G260" s="2127"/>
      <c r="H260" s="2123"/>
      <c r="I260" s="2128"/>
      <c r="J260" s="2123"/>
      <c r="K260" s="2123"/>
      <c r="L260" s="2129">
        <f t="shared" si="33"/>
        <v>0</v>
      </c>
      <c r="M260" s="2129">
        <f t="shared" si="34"/>
        <v>0</v>
      </c>
      <c r="N260" s="2129">
        <f t="shared" si="35"/>
        <v>0</v>
      </c>
      <c r="O260" s="2128">
        <f t="shared" si="36"/>
        <v>0</v>
      </c>
      <c r="P260" s="2155"/>
    </row>
    <row r="261" spans="1:16" s="2105" customFormat="1" outlineLevel="1">
      <c r="A261" s="2108" t="str">
        <f t="shared" si="37"/>
        <v>Cáp 24KV C/XLPE/PVC 25mm2</v>
      </c>
      <c r="B261" s="2159" t="s">
        <v>697</v>
      </c>
      <c r="C261" s="2127"/>
      <c r="D261" s="2120">
        <v>0</v>
      </c>
      <c r="E261" s="2121" t="s">
        <v>5087</v>
      </c>
      <c r="F261" s="2120" t="s">
        <v>2532</v>
      </c>
      <c r="G261" s="2127">
        <f>3*G259</f>
        <v>0</v>
      </c>
      <c r="H261" s="2123">
        <v>50996</v>
      </c>
      <c r="I261" s="2123"/>
      <c r="J261" s="2123">
        <v>0</v>
      </c>
      <c r="K261" s="2123">
        <v>0</v>
      </c>
      <c r="L261" s="2129">
        <f t="shared" si="33"/>
        <v>0</v>
      </c>
      <c r="M261" s="2129">
        <f t="shared" si="34"/>
        <v>0</v>
      </c>
      <c r="N261" s="2129">
        <f t="shared" si="35"/>
        <v>0</v>
      </c>
      <c r="O261" s="2128">
        <f t="shared" si="36"/>
        <v>0</v>
      </c>
      <c r="P261" s="2155"/>
    </row>
    <row r="262" spans="1:16" s="2105" customFormat="1" outlineLevel="1">
      <c r="A262" s="2108" t="str">
        <f t="shared" si="37"/>
        <v>Nắp che đầu cực FCO</v>
      </c>
      <c r="B262" s="2133" t="s">
        <v>6125</v>
      </c>
      <c r="C262" s="2127"/>
      <c r="D262" s="2120">
        <v>0</v>
      </c>
      <c r="E262" s="2121" t="s">
        <v>5700</v>
      </c>
      <c r="F262" s="2120" t="s">
        <v>2555</v>
      </c>
      <c r="G262" s="2127">
        <f>G259*1</f>
        <v>0</v>
      </c>
      <c r="H262" s="2123">
        <v>218200</v>
      </c>
      <c r="I262" s="2123"/>
      <c r="J262" s="2123">
        <v>0</v>
      </c>
      <c r="K262" s="2123">
        <v>0</v>
      </c>
      <c r="L262" s="2129">
        <f t="shared" si="33"/>
        <v>0</v>
      </c>
      <c r="M262" s="2129">
        <f t="shared" si="34"/>
        <v>0</v>
      </c>
      <c r="N262" s="2129">
        <f t="shared" si="35"/>
        <v>0</v>
      </c>
      <c r="O262" s="2128">
        <f t="shared" si="36"/>
        <v>0</v>
      </c>
      <c r="P262" s="2155"/>
    </row>
    <row r="263" spans="1:16" s="2105" customFormat="1" outlineLevel="1">
      <c r="A263" s="2108" t="str">
        <f t="shared" si="37"/>
        <v>Nắp che đầu cực LA</v>
      </c>
      <c r="B263" s="2133" t="s">
        <v>6126</v>
      </c>
      <c r="C263" s="2127"/>
      <c r="D263" s="2120">
        <v>0</v>
      </c>
      <c r="E263" s="2121" t="s">
        <v>5706</v>
      </c>
      <c r="F263" s="2120" t="s">
        <v>2555</v>
      </c>
      <c r="G263" s="2127">
        <f>G259</f>
        <v>0</v>
      </c>
      <c r="H263" s="2123">
        <v>39100</v>
      </c>
      <c r="I263" s="2123"/>
      <c r="J263" s="2123">
        <v>0</v>
      </c>
      <c r="K263" s="2123">
        <v>0</v>
      </c>
      <c r="L263" s="2129">
        <f>H263*G263</f>
        <v>0</v>
      </c>
      <c r="M263" s="2129">
        <f>I263*G263</f>
        <v>0</v>
      </c>
      <c r="N263" s="2129">
        <f>J263*G263</f>
        <v>0</v>
      </c>
      <c r="O263" s="2128">
        <f>K263*G263</f>
        <v>0</v>
      </c>
      <c r="P263" s="2155"/>
    </row>
    <row r="264" spans="1:16" s="2105" customFormat="1" outlineLevel="1">
      <c r="A264" s="2108" t="str">
        <f t="shared" si="37"/>
        <v>Nắp che đầu sứ MBA</v>
      </c>
      <c r="B264" s="2118" t="s">
        <v>6130</v>
      </c>
      <c r="C264" s="2127"/>
      <c r="D264" s="2120">
        <v>0</v>
      </c>
      <c r="E264" s="2121" t="s">
        <v>5708</v>
      </c>
      <c r="F264" s="2120" t="s">
        <v>2555</v>
      </c>
      <c r="G264" s="2127">
        <f>G259</f>
        <v>0</v>
      </c>
      <c r="H264" s="2123">
        <v>56700</v>
      </c>
      <c r="I264" s="2123"/>
      <c r="J264" s="2123">
        <v>0</v>
      </c>
      <c r="K264" s="2123">
        <v>0</v>
      </c>
      <c r="L264" s="2129">
        <f t="shared" si="33"/>
        <v>0</v>
      </c>
      <c r="M264" s="2129">
        <f t="shared" si="34"/>
        <v>0</v>
      </c>
      <c r="N264" s="2129">
        <f t="shared" si="35"/>
        <v>0</v>
      </c>
      <c r="O264" s="2128">
        <f t="shared" si="36"/>
        <v>0</v>
      </c>
      <c r="P264" s="2155"/>
    </row>
    <row r="265" spans="1:16" s="2105" customFormat="1" outlineLevel="1">
      <c r="A265" s="2108" t="str">
        <f t="shared" si="37"/>
        <v>Chụp cách điện kẹp quai</v>
      </c>
      <c r="B265" s="2118" t="s">
        <v>5704</v>
      </c>
      <c r="C265" s="2127"/>
      <c r="D265" s="2120">
        <v>0</v>
      </c>
      <c r="E265" s="2121" t="s">
        <v>4538</v>
      </c>
      <c r="F265" s="2120" t="s">
        <v>3445</v>
      </c>
      <c r="G265" s="2127">
        <f>G259</f>
        <v>0</v>
      </c>
      <c r="H265" s="2123">
        <v>136800</v>
      </c>
      <c r="I265" s="2123"/>
      <c r="J265" s="2123">
        <v>0</v>
      </c>
      <c r="K265" s="2123">
        <v>0</v>
      </c>
      <c r="L265" s="2129">
        <f>H265*G265</f>
        <v>0</v>
      </c>
      <c r="M265" s="2129">
        <f>I265*G265</f>
        <v>0</v>
      </c>
      <c r="N265" s="2129">
        <f>J265*G265</f>
        <v>0</v>
      </c>
      <c r="O265" s="2128">
        <f>K265*G265</f>
        <v>0</v>
      </c>
      <c r="P265" s="2155"/>
    </row>
    <row r="266" spans="1:16" s="2105" customFormat="1" outlineLevel="1">
      <c r="A266" s="2108" t="str">
        <f t="shared" si="37"/>
        <v>Kẹp quai 2/0</v>
      </c>
      <c r="B266" s="2118" t="s">
        <v>1479</v>
      </c>
      <c r="C266" s="2127"/>
      <c r="D266" s="2120">
        <v>0</v>
      </c>
      <c r="E266" s="2121" t="s">
        <v>3791</v>
      </c>
      <c r="F266" s="2120" t="s">
        <v>2555</v>
      </c>
      <c r="G266" s="2127">
        <f>G259</f>
        <v>0</v>
      </c>
      <c r="H266" s="2123">
        <v>46000</v>
      </c>
      <c r="I266" s="2123"/>
      <c r="J266" s="2123">
        <v>0</v>
      </c>
      <c r="K266" s="2123">
        <v>0</v>
      </c>
      <c r="L266" s="2129">
        <f t="shared" si="33"/>
        <v>0</v>
      </c>
      <c r="M266" s="2129">
        <f t="shared" si="34"/>
        <v>0</v>
      </c>
      <c r="N266" s="2129">
        <f t="shared" si="35"/>
        <v>0</v>
      </c>
      <c r="O266" s="2128">
        <f t="shared" si="36"/>
        <v>0</v>
      </c>
      <c r="P266" s="2155"/>
    </row>
    <row r="267" spans="1:16" s="2105" customFormat="1" outlineLevel="1">
      <c r="A267" s="2108" t="str">
        <f t="shared" si="37"/>
        <v>Kẹp hotline 2/0</v>
      </c>
      <c r="B267" s="2118" t="s">
        <v>1477</v>
      </c>
      <c r="C267" s="2127"/>
      <c r="D267" s="2120"/>
      <c r="E267" s="2121" t="s">
        <v>4335</v>
      </c>
      <c r="F267" s="2120" t="s">
        <v>2555</v>
      </c>
      <c r="G267" s="2127">
        <f>G259</f>
        <v>0</v>
      </c>
      <c r="H267" s="2123">
        <v>77000</v>
      </c>
      <c r="I267" s="2123"/>
      <c r="J267" s="2123"/>
      <c r="K267" s="2123">
        <v>0</v>
      </c>
      <c r="L267" s="2129">
        <f t="shared" si="33"/>
        <v>0</v>
      </c>
      <c r="M267" s="2129">
        <f t="shared" si="34"/>
        <v>0</v>
      </c>
      <c r="N267" s="2129">
        <f t="shared" si="35"/>
        <v>0</v>
      </c>
      <c r="O267" s="2128">
        <f t="shared" si="36"/>
        <v>0</v>
      </c>
      <c r="P267" s="2155"/>
    </row>
    <row r="268" spans="1:16" s="2105" customFormat="1" outlineLevel="1">
      <c r="A268" s="2108" t="str">
        <f t="shared" si="37"/>
        <v>Lắp cáp đồng xuống thiết bị D ≤ 95mm2</v>
      </c>
      <c r="B268" s="2118" t="s">
        <v>1525</v>
      </c>
      <c r="C268" s="2127"/>
      <c r="D268" s="2120" t="s">
        <v>5571</v>
      </c>
      <c r="E268" s="2121" t="s">
        <v>3292</v>
      </c>
      <c r="F268" s="2120" t="s">
        <v>1823</v>
      </c>
      <c r="G268" s="2127">
        <f>G261</f>
        <v>0</v>
      </c>
      <c r="H268" s="2123">
        <v>0</v>
      </c>
      <c r="I268" s="2123"/>
      <c r="J268" s="2123">
        <v>13915</v>
      </c>
      <c r="K268" s="2123">
        <v>0</v>
      </c>
      <c r="L268" s="2129">
        <f>H268*G268</f>
        <v>0</v>
      </c>
      <c r="M268" s="2129">
        <f>I268*G268</f>
        <v>0</v>
      </c>
      <c r="N268" s="2129">
        <f>J268*G268</f>
        <v>0</v>
      </c>
      <c r="O268" s="2128">
        <f>K268*G268</f>
        <v>0</v>
      </c>
      <c r="P268" s="2155"/>
    </row>
    <row r="269" spans="1:16" s="2105" customFormat="1" outlineLevel="1">
      <c r="A269" s="2108" t="e">
        <f t="shared" si="37"/>
        <v>#N/A</v>
      </c>
      <c r="B269" s="2130"/>
      <c r="C269" s="2142">
        <f>IF(G269&gt;0,C259+1,C259)</f>
        <v>0</v>
      </c>
      <c r="D269" s="2120"/>
      <c r="E269" s="2158" t="s">
        <v>6140</v>
      </c>
      <c r="F269" s="2142" t="s">
        <v>2385</v>
      </c>
      <c r="G269" s="2142">
        <f>G211</f>
        <v>0</v>
      </c>
      <c r="H269" s="2123"/>
      <c r="I269" s="2128"/>
      <c r="J269" s="2123"/>
      <c r="K269" s="2123"/>
      <c r="L269" s="2129">
        <f t="shared" si="33"/>
        <v>0</v>
      </c>
      <c r="M269" s="2129">
        <f t="shared" si="34"/>
        <v>0</v>
      </c>
      <c r="N269" s="2129">
        <f t="shared" si="35"/>
        <v>0</v>
      </c>
      <c r="O269" s="2128">
        <f t="shared" si="36"/>
        <v>0</v>
      </c>
      <c r="P269" s="2155"/>
    </row>
    <row r="270" spans="1:16" s="2105" customFormat="1" ht="14.4" outlineLevel="1">
      <c r="A270" s="2108" t="e">
        <f t="shared" si="37"/>
        <v>#N/A</v>
      </c>
      <c r="B270" s="2130"/>
      <c r="C270" s="2142"/>
      <c r="D270" s="2120"/>
      <c r="E270" s="2148" t="s">
        <v>6133</v>
      </c>
      <c r="F270" s="2142"/>
      <c r="G270" s="2142"/>
      <c r="H270" s="2123"/>
      <c r="I270" s="2128"/>
      <c r="J270" s="2123"/>
      <c r="K270" s="2123"/>
      <c r="L270" s="2129">
        <f t="shared" si="33"/>
        <v>0</v>
      </c>
      <c r="M270" s="2129">
        <f t="shared" si="34"/>
        <v>0</v>
      </c>
      <c r="N270" s="2129">
        <f t="shared" si="35"/>
        <v>0</v>
      </c>
      <c r="O270" s="2128">
        <f t="shared" si="36"/>
        <v>0</v>
      </c>
      <c r="P270" s="2155"/>
    </row>
    <row r="271" spans="1:16" s="2105" customFormat="1" outlineLevel="1">
      <c r="A271" s="2108" t="str">
        <f t="shared" ref="A271:A294" si="38">VLOOKUP(B271,DonGia,3,0)</f>
        <v>Cáp đồng bọc CV50</v>
      </c>
      <c r="B271" s="2130" t="s">
        <v>273</v>
      </c>
      <c r="C271" s="2142"/>
      <c r="D271" s="2120">
        <v>0</v>
      </c>
      <c r="E271" s="2121" t="s">
        <v>6316</v>
      </c>
      <c r="F271" s="2120" t="s">
        <v>2532</v>
      </c>
      <c r="G271" s="2127">
        <f>G269*14</f>
        <v>0</v>
      </c>
      <c r="H271" s="2123">
        <v>91800</v>
      </c>
      <c r="I271" s="2123"/>
      <c r="J271" s="2123">
        <v>0</v>
      </c>
      <c r="K271" s="2123">
        <v>0</v>
      </c>
      <c r="L271" s="2129">
        <f t="shared" si="33"/>
        <v>0</v>
      </c>
      <c r="M271" s="2129">
        <f t="shared" si="34"/>
        <v>0</v>
      </c>
      <c r="N271" s="2129">
        <f t="shared" si="35"/>
        <v>0</v>
      </c>
      <c r="O271" s="2128">
        <f t="shared" si="36"/>
        <v>0</v>
      </c>
      <c r="P271" s="2155"/>
    </row>
    <row r="272" spans="1:16" s="2105" customFormat="1" outlineLevel="1">
      <c r="A272" s="2108" t="str">
        <f t="shared" si="38"/>
        <v>Cáp đồng bọc CV25</v>
      </c>
      <c r="B272" s="2130" t="s">
        <v>1526</v>
      </c>
      <c r="C272" s="2142"/>
      <c r="D272" s="2120">
        <v>0</v>
      </c>
      <c r="E272" s="2121" t="s">
        <v>6317</v>
      </c>
      <c r="F272" s="2120" t="s">
        <v>2532</v>
      </c>
      <c r="G272" s="2127">
        <f>G269*6</f>
        <v>0</v>
      </c>
      <c r="H272" s="2123">
        <v>59600</v>
      </c>
      <c r="I272" s="2123"/>
      <c r="J272" s="2123">
        <v>0</v>
      </c>
      <c r="K272" s="2123">
        <v>0</v>
      </c>
      <c r="L272" s="2129">
        <f>H272*G272</f>
        <v>0</v>
      </c>
      <c r="M272" s="2129">
        <f>I272*G272</f>
        <v>0</v>
      </c>
      <c r="N272" s="2129">
        <f>J272*G272</f>
        <v>0</v>
      </c>
      <c r="O272" s="2128">
        <f>K272*G272</f>
        <v>0</v>
      </c>
      <c r="P272" s="2155"/>
    </row>
    <row r="273" spans="1:16" s="2105" customFormat="1" outlineLevel="1">
      <c r="A273" s="2108" t="str">
        <f t="shared" si="38"/>
        <v xml:space="preserve">Cáp CVV 4x4mm2  </v>
      </c>
      <c r="B273" s="2130" t="s">
        <v>4518</v>
      </c>
      <c r="C273" s="2142"/>
      <c r="D273" s="2120">
        <v>0</v>
      </c>
      <c r="E273" s="2121" t="s">
        <v>2786</v>
      </c>
      <c r="F273" s="2120" t="s">
        <v>2532</v>
      </c>
      <c r="G273" s="2127">
        <f>4*G269</f>
        <v>0</v>
      </c>
      <c r="H273" s="2123">
        <v>63200</v>
      </c>
      <c r="I273" s="2123"/>
      <c r="J273" s="2123">
        <v>0</v>
      </c>
      <c r="K273" s="2123">
        <v>0</v>
      </c>
      <c r="L273" s="2129">
        <f t="shared" si="33"/>
        <v>0</v>
      </c>
      <c r="M273" s="2129">
        <f t="shared" si="34"/>
        <v>0</v>
      </c>
      <c r="N273" s="2129">
        <f t="shared" si="35"/>
        <v>0</v>
      </c>
      <c r="O273" s="2128">
        <f t="shared" si="36"/>
        <v>0</v>
      </c>
      <c r="P273" s="2155"/>
    </row>
    <row r="274" spans="1:16" s="2105" customFormat="1" outlineLevel="1">
      <c r="A274" s="2108" t="str">
        <f t="shared" si="38"/>
        <v>Cáp đồng bọc CV50</v>
      </c>
      <c r="B274" s="2130" t="s">
        <v>273</v>
      </c>
      <c r="C274" s="2127"/>
      <c r="D274" s="2120">
        <v>0</v>
      </c>
      <c r="E274" s="2121" t="s">
        <v>6318</v>
      </c>
      <c r="F274" s="2120" t="s">
        <v>2532</v>
      </c>
      <c r="G274" s="2127">
        <f>2*6.5*G269</f>
        <v>0</v>
      </c>
      <c r="H274" s="2123">
        <v>91800</v>
      </c>
      <c r="I274" s="2123"/>
      <c r="J274" s="2123">
        <v>0</v>
      </c>
      <c r="K274" s="2123">
        <v>0</v>
      </c>
      <c r="L274" s="2129">
        <f t="shared" si="33"/>
        <v>0</v>
      </c>
      <c r="M274" s="2129">
        <f t="shared" si="34"/>
        <v>0</v>
      </c>
      <c r="N274" s="2129">
        <f t="shared" si="35"/>
        <v>0</v>
      </c>
      <c r="O274" s="2128">
        <f t="shared" si="36"/>
        <v>0</v>
      </c>
      <c r="P274" s="2155"/>
    </row>
    <row r="275" spans="1:16" s="2105" customFormat="1" outlineLevel="1">
      <c r="A275" s="2108" t="str">
        <f t="shared" si="38"/>
        <v>Kẹp ép WR cỡ dây 50mm2</v>
      </c>
      <c r="B275" s="2130" t="s">
        <v>905</v>
      </c>
      <c r="C275" s="2127"/>
      <c r="D275" s="2120">
        <v>0</v>
      </c>
      <c r="E275" s="2121" t="s">
        <v>6319</v>
      </c>
      <c r="F275" s="2120" t="s">
        <v>2555</v>
      </c>
      <c r="G275" s="2127">
        <f>4*G269</f>
        <v>0</v>
      </c>
      <c r="H275" s="2123">
        <v>8000</v>
      </c>
      <c r="I275" s="2123"/>
      <c r="J275" s="2123">
        <v>0</v>
      </c>
      <c r="K275" s="2123">
        <v>0</v>
      </c>
      <c r="L275" s="2129">
        <f>H275*G275</f>
        <v>0</v>
      </c>
      <c r="M275" s="2129">
        <f>I275*G275</f>
        <v>0</v>
      </c>
      <c r="N275" s="2129">
        <f>J275*G275</f>
        <v>0</v>
      </c>
      <c r="O275" s="2128">
        <f>K275*G275</f>
        <v>0</v>
      </c>
      <c r="P275" s="2155"/>
    </row>
    <row r="276" spans="1:16" s="2105" customFormat="1" outlineLevel="1">
      <c r="A276" s="2108" t="str">
        <f t="shared" si="38"/>
        <v>Kẹp ép WR cỡ dây 50mm2</v>
      </c>
      <c r="B276" s="2130" t="s">
        <v>905</v>
      </c>
      <c r="C276" s="2127"/>
      <c r="D276" s="2120">
        <v>0</v>
      </c>
      <c r="E276" s="2121" t="s">
        <v>6320</v>
      </c>
      <c r="F276" s="2120" t="s">
        <v>2555</v>
      </c>
      <c r="G276" s="2127">
        <f>4*G269</f>
        <v>0</v>
      </c>
      <c r="H276" s="2123">
        <v>8000</v>
      </c>
      <c r="I276" s="2123"/>
      <c r="J276" s="2123">
        <v>0</v>
      </c>
      <c r="K276" s="2123">
        <v>0</v>
      </c>
      <c r="L276" s="2129">
        <f t="shared" si="33"/>
        <v>0</v>
      </c>
      <c r="M276" s="2129">
        <f t="shared" si="34"/>
        <v>0</v>
      </c>
      <c r="N276" s="2129">
        <f t="shared" si="35"/>
        <v>0</v>
      </c>
      <c r="O276" s="2128">
        <f t="shared" si="36"/>
        <v>0</v>
      </c>
      <c r="P276" s="2155"/>
    </row>
    <row r="277" spans="1:16" s="2105" customFormat="1" outlineLevel="1">
      <c r="A277" s="2108" t="str">
        <f t="shared" si="38"/>
        <v>Băng keo cách điện</v>
      </c>
      <c r="B277" s="2130" t="s">
        <v>6141</v>
      </c>
      <c r="C277" s="2127"/>
      <c r="D277" s="2120">
        <v>0</v>
      </c>
      <c r="E277" s="2121" t="s">
        <v>5801</v>
      </c>
      <c r="F277" s="2120" t="s">
        <v>3566</v>
      </c>
      <c r="G277" s="2127">
        <f>4*G269</f>
        <v>0</v>
      </c>
      <c r="H277" s="2123">
        <v>6500</v>
      </c>
      <c r="I277" s="2123"/>
      <c r="J277" s="2123">
        <v>0</v>
      </c>
      <c r="K277" s="2123">
        <v>0</v>
      </c>
      <c r="L277" s="2129">
        <f>H277*G277</f>
        <v>0</v>
      </c>
      <c r="M277" s="2129">
        <f>I277*G277</f>
        <v>0</v>
      </c>
      <c r="N277" s="2129">
        <f>J277*G277</f>
        <v>0</v>
      </c>
      <c r="O277" s="2128">
        <f>K277*G277</f>
        <v>0</v>
      </c>
      <c r="P277" s="2155"/>
    </row>
    <row r="278" spans="1:16" s="2105" customFormat="1" outlineLevel="1">
      <c r="A278" s="2108" t="str">
        <f t="shared" si="38"/>
        <v xml:space="preserve">Đầu cosse ép Cu 25mm2 </v>
      </c>
      <c r="B278" s="2130" t="s">
        <v>6142</v>
      </c>
      <c r="C278" s="2127"/>
      <c r="D278" s="2120" t="s">
        <v>5724</v>
      </c>
      <c r="E278" s="2121" t="s">
        <v>5737</v>
      </c>
      <c r="F278" s="2120" t="s">
        <v>2555</v>
      </c>
      <c r="G278" s="2127">
        <f>4*G269</f>
        <v>0</v>
      </c>
      <c r="H278" s="2123">
        <v>6500</v>
      </c>
      <c r="I278" s="2123"/>
      <c r="J278" s="2123">
        <v>6062.26</v>
      </c>
      <c r="K278" s="2123">
        <v>2777.0232475000003</v>
      </c>
      <c r="L278" s="2129">
        <f>H278*G278</f>
        <v>0</v>
      </c>
      <c r="M278" s="2129">
        <f>I278*G278</f>
        <v>0</v>
      </c>
      <c r="N278" s="2129">
        <f>J278*G278</f>
        <v>0</v>
      </c>
      <c r="O278" s="2128">
        <f>K278*G278</f>
        <v>0</v>
      </c>
      <c r="P278" s="2155"/>
    </row>
    <row r="279" spans="1:16" s="2105" customFormat="1" outlineLevel="1">
      <c r="A279" s="2108" t="str">
        <f t="shared" si="38"/>
        <v xml:space="preserve">Đầu cosse ép Cu 25mm2 </v>
      </c>
      <c r="B279" s="2130" t="s">
        <v>6142</v>
      </c>
      <c r="C279" s="2127"/>
      <c r="D279" s="2120" t="s">
        <v>5724</v>
      </c>
      <c r="E279" s="2121" t="s">
        <v>5737</v>
      </c>
      <c r="F279" s="2120" t="s">
        <v>2555</v>
      </c>
      <c r="G279" s="2127">
        <f>1*G269</f>
        <v>0</v>
      </c>
      <c r="H279" s="2123">
        <v>6500</v>
      </c>
      <c r="I279" s="2123"/>
      <c r="J279" s="2123">
        <v>6062.26</v>
      </c>
      <c r="K279" s="2123">
        <v>2777.0232475000003</v>
      </c>
      <c r="L279" s="2129">
        <f t="shared" si="33"/>
        <v>0</v>
      </c>
      <c r="M279" s="2129">
        <f t="shared" si="34"/>
        <v>0</v>
      </c>
      <c r="N279" s="2129">
        <f t="shared" si="35"/>
        <v>0</v>
      </c>
      <c r="O279" s="2128">
        <f t="shared" si="36"/>
        <v>0</v>
      </c>
      <c r="P279" s="2155"/>
    </row>
    <row r="280" spans="1:16" s="2105" customFormat="1" outlineLevel="1">
      <c r="A280" s="2108" t="str">
        <f t="shared" si="38"/>
        <v>Đầu cosse ép Cu 50mm2</v>
      </c>
      <c r="B280" s="2130" t="s">
        <v>6143</v>
      </c>
      <c r="C280" s="2127"/>
      <c r="D280" s="2120" t="s">
        <v>5725</v>
      </c>
      <c r="E280" s="2121" t="s">
        <v>3479</v>
      </c>
      <c r="F280" s="2120" t="s">
        <v>2555</v>
      </c>
      <c r="G280" s="2127">
        <f>G269*4</f>
        <v>0</v>
      </c>
      <c r="H280" s="2123">
        <v>9100</v>
      </c>
      <c r="I280" s="2123"/>
      <c r="J280" s="2123">
        <v>10608.955000000002</v>
      </c>
      <c r="K280" s="2123">
        <v>2777.0232475000003</v>
      </c>
      <c r="L280" s="2129">
        <f>H280*G280</f>
        <v>0</v>
      </c>
      <c r="M280" s="2129">
        <f>I280*G280</f>
        <v>0</v>
      </c>
      <c r="N280" s="2129">
        <f>J280*G280</f>
        <v>0</v>
      </c>
      <c r="O280" s="2128">
        <f>K280*G280</f>
        <v>0</v>
      </c>
      <c r="P280" s="2155"/>
    </row>
    <row r="281" spans="1:16" s="2105" customFormat="1" outlineLevel="1">
      <c r="A281" s="2108" t="str">
        <f t="shared" si="38"/>
        <v>Chụp đầu cosse  25mm2</v>
      </c>
      <c r="B281" s="2131" t="s">
        <v>1916</v>
      </c>
      <c r="C281" s="2127"/>
      <c r="D281" s="2120">
        <v>0</v>
      </c>
      <c r="E281" s="2121" t="s">
        <v>3491</v>
      </c>
      <c r="F281" s="2120" t="s">
        <v>2555</v>
      </c>
      <c r="G281" s="2127">
        <f>G279</f>
        <v>0</v>
      </c>
      <c r="H281" s="2123">
        <v>1000</v>
      </c>
      <c r="I281" s="2128"/>
      <c r="J281" s="2123">
        <v>0</v>
      </c>
      <c r="K281" s="2123"/>
      <c r="L281" s="2129">
        <f>H281*G281</f>
        <v>0</v>
      </c>
      <c r="M281" s="2129">
        <f>I281*G281</f>
        <v>0</v>
      </c>
      <c r="N281" s="2129">
        <f>J281*G281</f>
        <v>0</v>
      </c>
      <c r="O281" s="2128">
        <f>K281*G281</f>
        <v>0</v>
      </c>
      <c r="P281" s="2155"/>
    </row>
    <row r="282" spans="1:16" s="2105" customFormat="1" outlineLevel="1">
      <c r="A282" s="2108" t="str">
        <f t="shared" si="38"/>
        <v>Chụp đầu cosse  50mm2</v>
      </c>
      <c r="B282" s="2131" t="s">
        <v>2151</v>
      </c>
      <c r="C282" s="2127"/>
      <c r="D282" s="2120">
        <v>0</v>
      </c>
      <c r="E282" s="2121" t="s">
        <v>3493</v>
      </c>
      <c r="F282" s="2120" t="s">
        <v>2555</v>
      </c>
      <c r="G282" s="2127">
        <f>G280</f>
        <v>0</v>
      </c>
      <c r="H282" s="2123">
        <v>1000</v>
      </c>
      <c r="I282" s="2128"/>
      <c r="J282" s="2123">
        <v>0</v>
      </c>
      <c r="K282" s="2123">
        <v>0</v>
      </c>
      <c r="L282" s="2129">
        <f t="shared" si="33"/>
        <v>0</v>
      </c>
      <c r="M282" s="2129">
        <f t="shared" si="34"/>
        <v>0</v>
      </c>
      <c r="N282" s="2129">
        <f t="shared" si="35"/>
        <v>0</v>
      </c>
      <c r="O282" s="2128">
        <f t="shared" si="36"/>
        <v>0</v>
      </c>
      <c r="P282" s="2155"/>
    </row>
    <row r="283" spans="1:16" s="2105" customFormat="1" outlineLevel="1">
      <c r="A283" s="2108" t="str">
        <f t="shared" si="38"/>
        <v>Nắp che đầu sứ MBA</v>
      </c>
      <c r="B283" s="2131" t="s">
        <v>6130</v>
      </c>
      <c r="C283" s="2127"/>
      <c r="D283" s="2120">
        <v>0</v>
      </c>
      <c r="E283" s="2121" t="s">
        <v>5708</v>
      </c>
      <c r="F283" s="2120" t="s">
        <v>2555</v>
      </c>
      <c r="G283" s="2127">
        <f>+$G$211</f>
        <v>0</v>
      </c>
      <c r="H283" s="2123">
        <v>56700</v>
      </c>
      <c r="I283" s="2128"/>
      <c r="J283" s="2123">
        <v>0</v>
      </c>
      <c r="K283" s="2123">
        <v>0</v>
      </c>
      <c r="L283" s="2129">
        <f>H283*G283</f>
        <v>0</v>
      </c>
      <c r="M283" s="2129">
        <f>I283*G283</f>
        <v>0</v>
      </c>
      <c r="N283" s="2129">
        <f>J283*G283</f>
        <v>0</v>
      </c>
      <c r="O283" s="2128">
        <f>K283*G283</f>
        <v>0</v>
      </c>
      <c r="P283" s="2155"/>
    </row>
    <row r="284" spans="1:16" s="2105" customFormat="1" outlineLevel="1">
      <c r="A284" s="2108" t="str">
        <f t="shared" si="38"/>
        <v xml:space="preserve">Ống PVC D114x4,9mm </v>
      </c>
      <c r="B284" s="2130" t="s">
        <v>1042</v>
      </c>
      <c r="C284" s="2127"/>
      <c r="D284" s="2120">
        <v>0</v>
      </c>
      <c r="E284" s="2121" t="s">
        <v>3531</v>
      </c>
      <c r="F284" s="2120" t="s">
        <v>1823</v>
      </c>
      <c r="G284" s="2156">
        <f>6.8*G269</f>
        <v>0</v>
      </c>
      <c r="H284" s="2123">
        <v>103700</v>
      </c>
      <c r="I284" s="2128"/>
      <c r="J284" s="2123">
        <v>0</v>
      </c>
      <c r="K284" s="2123">
        <v>0</v>
      </c>
      <c r="L284" s="2129">
        <f t="shared" si="33"/>
        <v>0</v>
      </c>
      <c r="M284" s="2129">
        <f t="shared" si="34"/>
        <v>0</v>
      </c>
      <c r="N284" s="2129">
        <f t="shared" si="35"/>
        <v>0</v>
      </c>
      <c r="O284" s="2128">
        <f t="shared" si="36"/>
        <v>0</v>
      </c>
      <c r="P284" s="2155"/>
    </row>
    <row r="285" spans="1:16" s="2105" customFormat="1" outlineLevel="1">
      <c r="A285" s="2108" t="str">
        <f t="shared" si="38"/>
        <v>Cổ dê kẹp ống PVC Ø 114</v>
      </c>
      <c r="B285" s="2133" t="s">
        <v>1862</v>
      </c>
      <c r="C285" s="2127"/>
      <c r="D285" s="2120">
        <v>0</v>
      </c>
      <c r="E285" s="2121" t="s">
        <v>5258</v>
      </c>
      <c r="F285" s="2120" t="s">
        <v>2439</v>
      </c>
      <c r="G285" s="2127">
        <f>4*G269</f>
        <v>0</v>
      </c>
      <c r="H285" s="2123">
        <v>50000</v>
      </c>
      <c r="I285" s="2128"/>
      <c r="J285" s="2123">
        <v>0</v>
      </c>
      <c r="K285" s="2123">
        <v>0</v>
      </c>
      <c r="L285" s="2129">
        <f t="shared" si="33"/>
        <v>0</v>
      </c>
      <c r="M285" s="2129">
        <f t="shared" si="34"/>
        <v>0</v>
      </c>
      <c r="N285" s="2129">
        <f t="shared" si="35"/>
        <v>0</v>
      </c>
      <c r="O285" s="2128">
        <f t="shared" si="36"/>
        <v>0</v>
      </c>
      <c r="P285" s="2155"/>
    </row>
    <row r="286" spans="1:16" s="2105" customFormat="1" outlineLevel="1">
      <c r="A286" s="2108" t="str">
        <f t="shared" si="38"/>
        <v>Co  90 độ PVC 114</v>
      </c>
      <c r="B286" s="2130" t="s">
        <v>2117</v>
      </c>
      <c r="C286" s="2127"/>
      <c r="D286" s="2120">
        <v>0</v>
      </c>
      <c r="E286" s="2121" t="s">
        <v>3549</v>
      </c>
      <c r="F286" s="2120" t="s">
        <v>2555</v>
      </c>
      <c r="G286" s="2127">
        <f>4*G269</f>
        <v>0</v>
      </c>
      <c r="H286" s="2123">
        <v>104800</v>
      </c>
      <c r="I286" s="2128"/>
      <c r="J286" s="2123">
        <v>0</v>
      </c>
      <c r="K286" s="2123">
        <v>0</v>
      </c>
      <c r="L286" s="2129">
        <f t="shared" si="33"/>
        <v>0</v>
      </c>
      <c r="M286" s="2129">
        <f t="shared" si="34"/>
        <v>0</v>
      </c>
      <c r="N286" s="2129">
        <f t="shared" si="35"/>
        <v>0</v>
      </c>
      <c r="O286" s="2128">
        <f t="shared" si="36"/>
        <v>0</v>
      </c>
      <c r="P286" s="2155"/>
    </row>
    <row r="287" spans="1:16" s="2105" customFormat="1" outlineLevel="1">
      <c r="A287" s="2108" t="str">
        <f t="shared" si="38"/>
        <v xml:space="preserve">Nối thẳng ống PVC 90 </v>
      </c>
      <c r="B287" s="2130" t="s">
        <v>725</v>
      </c>
      <c r="C287" s="2127"/>
      <c r="D287" s="2120">
        <v>0</v>
      </c>
      <c r="E287" s="2121" t="s">
        <v>3555</v>
      </c>
      <c r="F287" s="2120" t="s">
        <v>2555</v>
      </c>
      <c r="G287" s="2127"/>
      <c r="H287" s="2123">
        <v>12400</v>
      </c>
      <c r="I287" s="2128"/>
      <c r="J287" s="2123">
        <v>0</v>
      </c>
      <c r="K287" s="2123">
        <v>0</v>
      </c>
      <c r="L287" s="2129">
        <f t="shared" si="33"/>
        <v>0</v>
      </c>
      <c r="M287" s="2129">
        <f t="shared" si="34"/>
        <v>0</v>
      </c>
      <c r="N287" s="2129">
        <f t="shared" si="35"/>
        <v>0</v>
      </c>
      <c r="O287" s="2128">
        <f t="shared" si="36"/>
        <v>0</v>
      </c>
      <c r="P287" s="2155"/>
    </row>
    <row r="288" spans="1:16" s="2105" customFormat="1" outlineLevel="1">
      <c r="A288" s="2108" t="str">
        <f t="shared" si="38"/>
        <v>Keo dán ống PVC (100gr)</v>
      </c>
      <c r="B288" s="2130" t="s">
        <v>2074</v>
      </c>
      <c r="C288" s="2127"/>
      <c r="D288" s="2120">
        <v>0</v>
      </c>
      <c r="E288" s="2121" t="s">
        <v>3570</v>
      </c>
      <c r="F288" s="2120" t="s">
        <v>3571</v>
      </c>
      <c r="G288" s="2127">
        <f>G269*1</f>
        <v>0</v>
      </c>
      <c r="H288" s="2123">
        <v>11500</v>
      </c>
      <c r="I288" s="2128"/>
      <c r="J288" s="2123">
        <v>0</v>
      </c>
      <c r="K288" s="2123">
        <v>0</v>
      </c>
      <c r="L288" s="2129">
        <f t="shared" si="33"/>
        <v>0</v>
      </c>
      <c r="M288" s="2129">
        <f t="shared" si="34"/>
        <v>0</v>
      </c>
      <c r="N288" s="2129">
        <f t="shared" si="35"/>
        <v>0</v>
      </c>
      <c r="O288" s="2128">
        <f t="shared" si="36"/>
        <v>0</v>
      </c>
      <c r="P288" s="2155"/>
    </row>
    <row r="289" spans="1:16" s="2105" customFormat="1" outlineLevel="1">
      <c r="A289" s="2108" t="str">
        <f t="shared" si="38"/>
        <v>Keo silicon bít miệng ống</v>
      </c>
      <c r="B289" s="2130" t="s">
        <v>489</v>
      </c>
      <c r="C289" s="2127"/>
      <c r="D289" s="2120">
        <v>0</v>
      </c>
      <c r="E289" s="2121" t="s">
        <v>3567</v>
      </c>
      <c r="F289" s="2120" t="s">
        <v>5806</v>
      </c>
      <c r="G289" s="2127">
        <f>G269*4</f>
        <v>0</v>
      </c>
      <c r="H289" s="2123">
        <v>45000</v>
      </c>
      <c r="I289" s="2128"/>
      <c r="J289" s="2123">
        <v>0</v>
      </c>
      <c r="K289" s="2123">
        <v>0</v>
      </c>
      <c r="L289" s="2129">
        <f>H289*G289</f>
        <v>0</v>
      </c>
      <c r="M289" s="2129">
        <f>I289*G289</f>
        <v>0</v>
      </c>
      <c r="N289" s="2129">
        <f>J289*G289</f>
        <v>0</v>
      </c>
      <c r="O289" s="2128">
        <f>K289*G289</f>
        <v>0</v>
      </c>
      <c r="P289" s="2155"/>
    </row>
    <row r="290" spans="1:16" s="2105" customFormat="1" outlineLevel="1">
      <c r="A290" s="2108" t="str">
        <f t="shared" si="38"/>
        <v>Băng keo cách điện</v>
      </c>
      <c r="B290" s="2133" t="s">
        <v>672</v>
      </c>
      <c r="C290" s="2127"/>
      <c r="D290" s="2120">
        <v>0</v>
      </c>
      <c r="E290" s="2121" t="s">
        <v>5801</v>
      </c>
      <c r="F290" s="2120" t="s">
        <v>3566</v>
      </c>
      <c r="G290" s="2127"/>
      <c r="H290" s="2123">
        <v>6500</v>
      </c>
      <c r="I290" s="2128"/>
      <c r="J290" s="2123">
        <v>0</v>
      </c>
      <c r="K290" s="2123">
        <v>0</v>
      </c>
      <c r="L290" s="2129">
        <f t="shared" si="33"/>
        <v>0</v>
      </c>
      <c r="M290" s="2129">
        <f t="shared" si="34"/>
        <v>0</v>
      </c>
      <c r="N290" s="2129">
        <f t="shared" si="35"/>
        <v>0</v>
      </c>
      <c r="O290" s="2128">
        <f t="shared" si="36"/>
        <v>0</v>
      </c>
      <c r="P290" s="2155"/>
    </row>
    <row r="291" spans="1:16" s="2105" customFormat="1" outlineLevel="1">
      <c r="A291" s="2108" t="str">
        <f t="shared" si="38"/>
        <v>Lắp ống nhựa PVC D90</v>
      </c>
      <c r="B291" s="2130" t="s">
        <v>2182</v>
      </c>
      <c r="C291" s="2127"/>
      <c r="D291" s="2120" t="s">
        <v>5547</v>
      </c>
      <c r="E291" s="2121" t="s">
        <v>3252</v>
      </c>
      <c r="F291" s="2120" t="s">
        <v>2532</v>
      </c>
      <c r="G291" s="2127"/>
      <c r="H291" s="2123"/>
      <c r="I291" s="2128"/>
      <c r="J291" s="2123">
        <v>55493.02</v>
      </c>
      <c r="K291" s="2123">
        <v>0</v>
      </c>
      <c r="L291" s="2129">
        <f t="shared" si="33"/>
        <v>0</v>
      </c>
      <c r="M291" s="2129">
        <f t="shared" si="34"/>
        <v>0</v>
      </c>
      <c r="N291" s="2129">
        <f t="shared" si="35"/>
        <v>0</v>
      </c>
      <c r="O291" s="2128">
        <f t="shared" si="36"/>
        <v>0</v>
      </c>
      <c r="P291" s="2155"/>
    </row>
    <row r="292" spans="1:16" s="2105" customFormat="1" outlineLevel="1">
      <c r="A292" s="2108" t="str">
        <f t="shared" si="38"/>
        <v>Lắp cáp đồng xuống thiết bị D ≤ 95mm2</v>
      </c>
      <c r="B292" s="2133" t="s">
        <v>1525</v>
      </c>
      <c r="C292" s="2127"/>
      <c r="D292" s="2120" t="s">
        <v>5571</v>
      </c>
      <c r="E292" s="2121" t="s">
        <v>3292</v>
      </c>
      <c r="F292" s="2120" t="s">
        <v>1823</v>
      </c>
      <c r="G292" s="2127">
        <f>G271+G272+G274</f>
        <v>0</v>
      </c>
      <c r="H292" s="2123"/>
      <c r="I292" s="2128"/>
      <c r="J292" s="2123">
        <v>13915</v>
      </c>
      <c r="K292" s="2123">
        <v>0</v>
      </c>
      <c r="L292" s="2129">
        <f>H292*G292</f>
        <v>0</v>
      </c>
      <c r="M292" s="2129">
        <f>I292*G292</f>
        <v>0</v>
      </c>
      <c r="N292" s="2129">
        <f>J292*G292</f>
        <v>0</v>
      </c>
      <c r="O292" s="2128">
        <f>K292*G292</f>
        <v>0</v>
      </c>
      <c r="P292" s="2155"/>
    </row>
    <row r="293" spans="1:16" s="2105" customFormat="1" outlineLevel="1">
      <c r="A293" s="2108" t="str">
        <f t="shared" si="38"/>
        <v>Bảng tên trạm, bảng báo nguy hiểm + đinh vít</v>
      </c>
      <c r="B293" s="2130" t="s">
        <v>289</v>
      </c>
      <c r="C293" s="2160">
        <f>IF(G293&gt;0,C269+1,C269)</f>
        <v>0</v>
      </c>
      <c r="D293" s="2161"/>
      <c r="E293" s="2121" t="s">
        <v>5712</v>
      </c>
      <c r="F293" s="2120" t="s">
        <v>2555</v>
      </c>
      <c r="G293" s="2160">
        <f>G232</f>
        <v>0</v>
      </c>
      <c r="H293" s="2123">
        <v>300000</v>
      </c>
      <c r="I293" s="2163"/>
      <c r="J293" s="2123"/>
      <c r="K293" s="2123">
        <v>0</v>
      </c>
      <c r="L293" s="2162">
        <f>H293*G293</f>
        <v>0</v>
      </c>
      <c r="M293" s="2162">
        <f>I293*G293</f>
        <v>0</v>
      </c>
      <c r="N293" s="2162">
        <f>J293*G293</f>
        <v>0</v>
      </c>
      <c r="O293" s="2163">
        <f>K293*G293</f>
        <v>0</v>
      </c>
      <c r="P293" s="2179"/>
    </row>
    <row r="294" spans="1:16" s="2105" customFormat="1" outlineLevel="1">
      <c r="A294" s="2108" t="e">
        <f t="shared" si="38"/>
        <v>#N/A</v>
      </c>
      <c r="B294" s="2130"/>
      <c r="C294" s="2165"/>
      <c r="D294" s="2166"/>
      <c r="E294" s="2139"/>
      <c r="F294" s="2622"/>
      <c r="G294" s="2622"/>
      <c r="H294" s="2622"/>
      <c r="I294" s="2622"/>
      <c r="J294" s="2658" t="s">
        <v>6131</v>
      </c>
      <c r="K294" s="2658"/>
      <c r="L294" s="2167">
        <f>SUM(L220:L293)</f>
        <v>0</v>
      </c>
      <c r="M294" s="2167">
        <f>SUM(M211:M293)</f>
        <v>0</v>
      </c>
      <c r="N294" s="2167">
        <f>SUM(N220:N293)</f>
        <v>0</v>
      </c>
      <c r="O294" s="2167">
        <f>SUM(O220:O293)</f>
        <v>0</v>
      </c>
      <c r="P294" s="2170"/>
    </row>
    <row r="295" spans="1:16" s="2105" customFormat="1" ht="13.95" customHeight="1">
      <c r="A295" s="2149" t="str">
        <f>IF(G300&lt;&gt;0,1,"")</f>
        <v/>
      </c>
      <c r="B295" s="2131"/>
      <c r="C295" s="2623"/>
      <c r="D295" s="2149"/>
    </row>
    <row r="296" spans="1:16" s="2105" customFormat="1" outlineLevel="1">
      <c r="A296" s="2108" t="e">
        <f t="shared" ref="A296:A327" si="39">VLOOKUP(B296,DonGia,3,0)</f>
        <v>#N/A</v>
      </c>
      <c r="B296" s="2131"/>
      <c r="C296" s="2144" t="str">
        <f>"BẢNG TỔNG HỢP VẬT LIỆU, NHÂN CÔNG, MÁY THI CÔNG: "&amp;H9&amp;" TRẠM 1P50KVA"</f>
        <v>BẢNG TỔNG HỢP VẬT LIỆU, NHÂN CÔNG, MÁY THI CÔNG: 0 TRẠM 1P50KVA</v>
      </c>
      <c r="D296" s="2625"/>
      <c r="E296" s="2144"/>
      <c r="F296" s="2144"/>
      <c r="G296" s="2144"/>
      <c r="H296" s="2144"/>
      <c r="I296" s="2144"/>
      <c r="J296" s="2144"/>
      <c r="K296" s="2144"/>
      <c r="L296" s="2144"/>
      <c r="M296" s="2144"/>
      <c r="N296" s="2144"/>
      <c r="O296" s="2144"/>
      <c r="P296" s="2149"/>
    </row>
    <row r="297" spans="1:16" s="2105" customFormat="1" outlineLevel="1">
      <c r="A297" s="2108" t="e">
        <f t="shared" si="39"/>
        <v>#N/A</v>
      </c>
      <c r="B297" s="2130" t="s">
        <v>6112</v>
      </c>
      <c r="C297" s="2648" t="s">
        <v>1708</v>
      </c>
      <c r="D297" s="2649" t="s">
        <v>2597</v>
      </c>
      <c r="E297" s="2651" t="s">
        <v>2598</v>
      </c>
      <c r="F297" s="2648" t="s">
        <v>2593</v>
      </c>
      <c r="G297" s="2109" t="s">
        <v>6113</v>
      </c>
      <c r="H297" s="2112" t="s">
        <v>6114</v>
      </c>
      <c r="I297" s="2619"/>
      <c r="J297" s="2619"/>
      <c r="K297" s="2620"/>
      <c r="L297" s="2112" t="s">
        <v>6115</v>
      </c>
      <c r="M297" s="2619"/>
      <c r="N297" s="2619"/>
      <c r="O297" s="2620"/>
      <c r="P297" s="2648" t="s">
        <v>2599</v>
      </c>
    </row>
    <row r="298" spans="1:16" s="2105" customFormat="1" outlineLevel="1">
      <c r="A298" s="2108" t="e">
        <f t="shared" si="39"/>
        <v>#N/A</v>
      </c>
      <c r="B298" s="2130"/>
      <c r="C298" s="2648"/>
      <c r="D298" s="2650"/>
      <c r="E298" s="2652"/>
      <c r="F298" s="2648"/>
      <c r="G298" s="2111" t="s">
        <v>2286</v>
      </c>
      <c r="H298" s="2112" t="s">
        <v>6116</v>
      </c>
      <c r="I298" s="2112" t="s">
        <v>6117</v>
      </c>
      <c r="J298" s="2112" t="s">
        <v>6118</v>
      </c>
      <c r="K298" s="2112" t="s">
        <v>6119</v>
      </c>
      <c r="L298" s="2112" t="s">
        <v>6116</v>
      </c>
      <c r="M298" s="2112" t="s">
        <v>6117</v>
      </c>
      <c r="N298" s="2112" t="s">
        <v>6118</v>
      </c>
      <c r="O298" s="2112" t="s">
        <v>6119</v>
      </c>
      <c r="P298" s="2648"/>
    </row>
    <row r="299" spans="1:16" s="2105" customFormat="1" outlineLevel="1">
      <c r="A299" s="2108" t="e">
        <f t="shared" si="39"/>
        <v>#N/A</v>
      </c>
      <c r="B299" s="2130"/>
      <c r="C299" s="2113"/>
      <c r="D299" s="2114"/>
      <c r="E299" s="2115" t="s">
        <v>3672</v>
      </c>
      <c r="F299" s="2116"/>
      <c r="G299" s="2116"/>
      <c r="H299" s="2116"/>
      <c r="I299" s="2116"/>
      <c r="J299" s="2116"/>
      <c r="K299" s="2116"/>
      <c r="L299" s="2116"/>
      <c r="M299" s="2116"/>
      <c r="N299" s="2116"/>
      <c r="O299" s="2114"/>
      <c r="P299" s="2117"/>
    </row>
    <row r="300" spans="1:16" s="2105" customFormat="1" outlineLevel="1">
      <c r="A300" s="2108" t="str">
        <f t="shared" si="39"/>
        <v>Máy biến áp 12,7/0,23-0,46kV 50kVA</v>
      </c>
      <c r="B300" s="2118" t="str">
        <f>IF($F$8=22,"TR501","TR50")</f>
        <v>TR501</v>
      </c>
      <c r="C300" s="2119">
        <f>IF(G300&gt;0,1,0)</f>
        <v>0</v>
      </c>
      <c r="D300" s="2120" t="s">
        <v>5584</v>
      </c>
      <c r="E300" s="2121" t="s">
        <v>5587</v>
      </c>
      <c r="F300" s="2120" t="s">
        <v>3300</v>
      </c>
      <c r="G300" s="2168">
        <f>H9</f>
        <v>0</v>
      </c>
      <c r="H300" s="2123">
        <v>44055000</v>
      </c>
      <c r="I300" s="2123"/>
      <c r="J300" s="2123">
        <v>630187</v>
      </c>
      <c r="K300" s="2123">
        <v>284508</v>
      </c>
      <c r="L300" s="2129">
        <f t="shared" ref="L300:L308" si="40">H300*G300</f>
        <v>0</v>
      </c>
      <c r="M300" s="2129">
        <f t="shared" ref="M300:M305" si="41">I300*G300</f>
        <v>0</v>
      </c>
      <c r="N300" s="2129">
        <f t="shared" ref="N300:N305" si="42">J300*G300</f>
        <v>0</v>
      </c>
      <c r="O300" s="2128">
        <f t="shared" ref="O300:O305" si="43">K300*G300</f>
        <v>0</v>
      </c>
      <c r="P300" s="2155"/>
    </row>
    <row r="301" spans="1:16" s="2105" customFormat="1" outlineLevel="1">
      <c r="A301" s="2108" t="str">
        <f t="shared" si="39"/>
        <v>FCO 24kV - 100A</v>
      </c>
      <c r="B301" s="2118" t="str">
        <f>"FCO100-"&amp;$F$8</f>
        <v>FCO100-22</v>
      </c>
      <c r="C301" s="2119">
        <f t="shared" ref="C301:C308" si="44">IF(G301&gt;0,C300+1,C300)</f>
        <v>0</v>
      </c>
      <c r="D301" s="2120" t="s">
        <v>5598</v>
      </c>
      <c r="E301" s="2121" t="s">
        <v>95</v>
      </c>
      <c r="F301" s="2120" t="s">
        <v>2555</v>
      </c>
      <c r="G301" s="2127">
        <f>+G300</f>
        <v>0</v>
      </c>
      <c r="H301" s="2123">
        <v>2244280</v>
      </c>
      <c r="I301" s="2123"/>
      <c r="J301" s="2123">
        <v>222639.99999999997</v>
      </c>
      <c r="K301" s="2123">
        <v>0</v>
      </c>
      <c r="L301" s="2129">
        <f t="shared" si="40"/>
        <v>0</v>
      </c>
      <c r="M301" s="2129">
        <f t="shared" si="41"/>
        <v>0</v>
      </c>
      <c r="N301" s="2129">
        <f t="shared" si="42"/>
        <v>0</v>
      </c>
      <c r="O301" s="2128">
        <f t="shared" si="43"/>
        <v>0</v>
      </c>
      <c r="P301" s="2155"/>
    </row>
    <row r="302" spans="1:16" s="2105" customFormat="1" outlineLevel="1">
      <c r="A302" s="2108" t="str">
        <f t="shared" si="39"/>
        <v>Dây chảy 6K</v>
      </c>
      <c r="B302" s="2118" t="str">
        <f>IF($F$8=22,"CHI6K","CHI10K")</f>
        <v>CHI6K</v>
      </c>
      <c r="C302" s="2119">
        <f t="shared" si="44"/>
        <v>0</v>
      </c>
      <c r="D302" s="2120">
        <v>0</v>
      </c>
      <c r="E302" s="2121" t="s">
        <v>3423</v>
      </c>
      <c r="F302" s="2120" t="s">
        <v>2600</v>
      </c>
      <c r="G302" s="2127">
        <f>G301</f>
        <v>0</v>
      </c>
      <c r="H302" s="2123">
        <v>84000</v>
      </c>
      <c r="I302" s="2123"/>
      <c r="J302" s="2123">
        <v>0</v>
      </c>
      <c r="K302" s="2123">
        <v>0</v>
      </c>
      <c r="L302" s="2129">
        <f t="shared" si="40"/>
        <v>0</v>
      </c>
      <c r="M302" s="2129">
        <f t="shared" si="41"/>
        <v>0</v>
      </c>
      <c r="N302" s="2129">
        <f t="shared" si="42"/>
        <v>0</v>
      </c>
      <c r="O302" s="2128">
        <f t="shared" si="43"/>
        <v>0</v>
      </c>
      <c r="P302" s="2155"/>
    </row>
    <row r="303" spans="1:16" s="2105" customFormat="1" outlineLevel="1">
      <c r="A303" s="2108" t="str">
        <f t="shared" si="39"/>
        <v>Chống sét van LA-18KV-10KA</v>
      </c>
      <c r="B303" s="2131" t="str">
        <f>"LA"&amp;$F$6</f>
        <v>LA18</v>
      </c>
      <c r="C303" s="2119">
        <f t="shared" si="44"/>
        <v>0</v>
      </c>
      <c r="D303" s="2120" t="s">
        <v>5602</v>
      </c>
      <c r="E303" s="2121" t="s">
        <v>1193</v>
      </c>
      <c r="F303" s="2120" t="s">
        <v>2555</v>
      </c>
      <c r="G303" s="2127">
        <f>G301</f>
        <v>0</v>
      </c>
      <c r="H303" s="2123">
        <v>1106000</v>
      </c>
      <c r="I303" s="2123"/>
      <c r="J303" s="2123">
        <v>83490</v>
      </c>
      <c r="K303" s="2123">
        <v>0</v>
      </c>
      <c r="L303" s="2129">
        <f t="shared" si="40"/>
        <v>0</v>
      </c>
      <c r="M303" s="2129">
        <f t="shared" si="41"/>
        <v>0</v>
      </c>
      <c r="N303" s="2129">
        <f t="shared" si="42"/>
        <v>0</v>
      </c>
      <c r="O303" s="2128">
        <f t="shared" si="43"/>
        <v>0</v>
      </c>
      <c r="P303" s="2155"/>
    </row>
    <row r="304" spans="1:16" s="2105" customFormat="1" outlineLevel="1">
      <c r="A304" s="2108" t="str">
        <f t="shared" si="39"/>
        <v xml:space="preserve">MCCB 3 cực 600V -250A - 36KA </v>
      </c>
      <c r="B304" s="2132" t="s">
        <v>1560</v>
      </c>
      <c r="C304" s="2119">
        <f t="shared" si="44"/>
        <v>0</v>
      </c>
      <c r="D304" s="2120">
        <v>0</v>
      </c>
      <c r="E304" s="2121" t="s">
        <v>5682</v>
      </c>
      <c r="F304" s="2120" t="s">
        <v>2555</v>
      </c>
      <c r="G304" s="2127">
        <f>G300</f>
        <v>0</v>
      </c>
      <c r="H304" s="2123">
        <v>4990000</v>
      </c>
      <c r="I304" s="2123"/>
      <c r="J304" s="2123">
        <v>0</v>
      </c>
      <c r="K304" s="2123">
        <v>0</v>
      </c>
      <c r="L304" s="2129">
        <f t="shared" si="40"/>
        <v>0</v>
      </c>
      <c r="M304" s="2129">
        <f t="shared" si="41"/>
        <v>0</v>
      </c>
      <c r="N304" s="2129">
        <f t="shared" si="42"/>
        <v>0</v>
      </c>
      <c r="O304" s="2128">
        <f t="shared" si="43"/>
        <v>0</v>
      </c>
      <c r="P304" s="2155"/>
    </row>
    <row r="305" spans="1:18" s="2105" customFormat="1" outlineLevel="1">
      <c r="A305" s="2108" t="str">
        <f t="shared" si="39"/>
        <v xml:space="preserve">Biến dòng 600V - 200/5A </v>
      </c>
      <c r="B305" s="2159" t="s">
        <v>1116</v>
      </c>
      <c r="C305" s="2119">
        <f t="shared" si="44"/>
        <v>0</v>
      </c>
      <c r="D305" s="2120">
        <v>0</v>
      </c>
      <c r="E305" s="2121" t="s">
        <v>3359</v>
      </c>
      <c r="F305" s="2120" t="s">
        <v>2555</v>
      </c>
      <c r="G305" s="2127">
        <v>0</v>
      </c>
      <c r="H305" s="2123">
        <v>0</v>
      </c>
      <c r="I305" s="2123"/>
      <c r="J305" s="2123">
        <v>0</v>
      </c>
      <c r="K305" s="2123">
        <v>0</v>
      </c>
      <c r="L305" s="2129">
        <f t="shared" si="40"/>
        <v>0</v>
      </c>
      <c r="M305" s="2129">
        <f t="shared" si="41"/>
        <v>0</v>
      </c>
      <c r="N305" s="2129">
        <f t="shared" si="42"/>
        <v>0</v>
      </c>
      <c r="O305" s="2128">
        <f t="shared" si="43"/>
        <v>0</v>
      </c>
      <c r="P305" s="2127" t="s">
        <v>2601</v>
      </c>
    </row>
    <row r="306" spans="1:18" s="2105" customFormat="1" outlineLevel="1">
      <c r="A306" s="2108" t="str">
        <f t="shared" si="39"/>
        <v>Điện kế 1 pha 2 dây 220V-5A</v>
      </c>
      <c r="B306" s="2133" t="s">
        <v>287</v>
      </c>
      <c r="C306" s="2119">
        <f t="shared" si="44"/>
        <v>0</v>
      </c>
      <c r="D306" s="2120">
        <v>0</v>
      </c>
      <c r="E306" s="2121" t="s">
        <v>3439</v>
      </c>
      <c r="F306" s="2120" t="s">
        <v>2555</v>
      </c>
      <c r="G306" s="2127">
        <f>G305</f>
        <v>0</v>
      </c>
      <c r="H306" s="2123">
        <v>0</v>
      </c>
      <c r="I306" s="2123"/>
      <c r="J306" s="2123">
        <v>0</v>
      </c>
      <c r="K306" s="2123">
        <v>0</v>
      </c>
      <c r="L306" s="2129">
        <f t="shared" si="40"/>
        <v>0</v>
      </c>
      <c r="M306" s="2129">
        <f>I306*G306</f>
        <v>0</v>
      </c>
      <c r="N306" s="2129">
        <f>J306*G306</f>
        <v>0</v>
      </c>
      <c r="O306" s="2128">
        <f>K306*G306</f>
        <v>0</v>
      </c>
      <c r="P306" s="2127" t="s">
        <v>2601</v>
      </c>
    </row>
    <row r="307" spans="1:18" s="2105" customFormat="1" outlineLevel="1">
      <c r="A307" s="2108" t="str">
        <f t="shared" si="39"/>
        <v xml:space="preserve">Ampe kế 100/5A-600v +AS </v>
      </c>
      <c r="B307" s="2130" t="s">
        <v>199</v>
      </c>
      <c r="C307" s="2119">
        <f t="shared" si="44"/>
        <v>0</v>
      </c>
      <c r="D307" s="2120">
        <v>0</v>
      </c>
      <c r="E307" s="2121" t="s">
        <v>3595</v>
      </c>
      <c r="F307" s="2120" t="s">
        <v>2385</v>
      </c>
      <c r="G307" s="2127">
        <f>G306*0</f>
        <v>0</v>
      </c>
      <c r="H307" s="2123"/>
      <c r="I307" s="2123"/>
      <c r="J307" s="2123">
        <v>0</v>
      </c>
      <c r="K307" s="2123">
        <v>0</v>
      </c>
      <c r="L307" s="2129">
        <f t="shared" si="40"/>
        <v>0</v>
      </c>
      <c r="M307" s="2129">
        <f>I307*G307</f>
        <v>0</v>
      </c>
      <c r="N307" s="2129">
        <f>J307*G307</f>
        <v>0</v>
      </c>
      <c r="O307" s="2128">
        <f>K307*G307</f>
        <v>0</v>
      </c>
      <c r="P307" s="2155"/>
    </row>
    <row r="308" spans="1:18" s="2105" customFormat="1" outlineLevel="1">
      <c r="A308" s="2108" t="str">
        <f t="shared" si="39"/>
        <v>Volt kế 500V + VS + 2xChì ống 1A-230V</v>
      </c>
      <c r="B308" s="2130" t="s">
        <v>200</v>
      </c>
      <c r="C308" s="2119">
        <f t="shared" si="44"/>
        <v>0</v>
      </c>
      <c r="D308" s="2120">
        <v>0</v>
      </c>
      <c r="E308" s="2121" t="s">
        <v>3596</v>
      </c>
      <c r="F308" s="2120" t="s">
        <v>2385</v>
      </c>
      <c r="G308" s="2127">
        <f>G307</f>
        <v>0</v>
      </c>
      <c r="H308" s="2123"/>
      <c r="I308" s="2123"/>
      <c r="J308" s="2123">
        <v>0</v>
      </c>
      <c r="K308" s="2123">
        <v>0</v>
      </c>
      <c r="L308" s="2129">
        <f t="shared" si="40"/>
        <v>0</v>
      </c>
      <c r="M308" s="2129">
        <f>I308*G308</f>
        <v>0</v>
      </c>
      <c r="N308" s="2129">
        <f>J308*G308</f>
        <v>0</v>
      </c>
      <c r="O308" s="2128">
        <f>K308*G308</f>
        <v>0</v>
      </c>
      <c r="P308" s="2179"/>
    </row>
    <row r="309" spans="1:18" s="2105" customFormat="1" outlineLevel="1">
      <c r="A309" s="2108" t="e">
        <f t="shared" si="39"/>
        <v>#N/A</v>
      </c>
      <c r="B309" s="2130"/>
      <c r="C309" s="2135"/>
      <c r="D309" s="2136"/>
      <c r="E309" s="2117"/>
      <c r="F309" s="2135"/>
      <c r="G309" s="2135"/>
      <c r="H309" s="2135"/>
      <c r="I309" s="2135"/>
      <c r="J309" s="2117" t="s">
        <v>6121</v>
      </c>
      <c r="K309" s="2135"/>
      <c r="L309" s="2117">
        <f>SUM(L300:L308)</f>
        <v>0</v>
      </c>
      <c r="M309" s="2117"/>
      <c r="N309" s="2117">
        <f>SUM(N300:N308)</f>
        <v>0</v>
      </c>
      <c r="O309" s="2117">
        <f>SUM(O300:O308)</f>
        <v>0</v>
      </c>
      <c r="P309" s="2170"/>
    </row>
    <row r="310" spans="1:18" s="2105" customFormat="1" outlineLevel="1">
      <c r="A310" s="2108" t="e">
        <f t="shared" si="39"/>
        <v>#N/A</v>
      </c>
      <c r="B310" s="2130"/>
      <c r="C310" s="2137"/>
      <c r="D310" s="2138"/>
      <c r="E310" s="2139" t="s">
        <v>3673</v>
      </c>
      <c r="F310" s="2139"/>
      <c r="G310" s="2139"/>
      <c r="H310" s="2139"/>
      <c r="I310" s="2139"/>
      <c r="J310" s="2139"/>
      <c r="K310" s="2139"/>
      <c r="L310" s="2139"/>
      <c r="M310" s="2139"/>
      <c r="N310" s="2139"/>
      <c r="O310" s="2138"/>
      <c r="P310" s="2170"/>
    </row>
    <row r="311" spans="1:18" s="2105" customFormat="1" outlineLevel="1">
      <c r="A311" s="2108" t="str">
        <f t="shared" si="39"/>
        <v>Boulon 16x300+ 2 long đền vuông D18-50x50x3/Zn</v>
      </c>
      <c r="B311" s="2130" t="s">
        <v>1610</v>
      </c>
      <c r="C311" s="2140">
        <f>IF(G323&gt;0,1,0)</f>
        <v>0</v>
      </c>
      <c r="D311" s="2146"/>
      <c r="E311" s="2121" t="s">
        <v>2649</v>
      </c>
      <c r="F311" s="2120" t="s">
        <v>2439</v>
      </c>
      <c r="G311" s="2142">
        <f>2*SUM(G300:G300)</f>
        <v>0</v>
      </c>
      <c r="H311" s="2123">
        <v>25400</v>
      </c>
      <c r="I311" s="2128"/>
      <c r="J311" s="2123">
        <v>0</v>
      </c>
      <c r="K311" s="2123">
        <v>0</v>
      </c>
      <c r="L311" s="2129">
        <f t="shared" ref="L311:L374" si="45">H311*G311</f>
        <v>0</v>
      </c>
      <c r="M311" s="2129">
        <f t="shared" ref="M311:M374" si="46">I311*G311</f>
        <v>0</v>
      </c>
      <c r="N311" s="2129">
        <f t="shared" ref="N311:N374" si="47">J311*G311</f>
        <v>0</v>
      </c>
      <c r="O311" s="2128">
        <f t="shared" ref="O311:O374" si="48">K311*G311</f>
        <v>0</v>
      </c>
      <c r="P311" s="2169"/>
    </row>
    <row r="312" spans="1:18" s="2105" customFormat="1" outlineLevel="1">
      <c r="A312" s="2108" t="e">
        <f t="shared" si="39"/>
        <v>#N/A</v>
      </c>
      <c r="B312" s="2130"/>
      <c r="C312" s="2145">
        <f>IF(G312&gt;0,C311+1,C311)</f>
        <v>0</v>
      </c>
      <c r="D312" s="2146"/>
      <c r="E312" s="2147" t="s">
        <v>6138</v>
      </c>
      <c r="F312" s="2142" t="s">
        <v>2385</v>
      </c>
      <c r="G312" s="2142">
        <f>G300*0</f>
        <v>0</v>
      </c>
      <c r="H312" s="2128"/>
      <c r="I312" s="2128"/>
      <c r="J312" s="2128"/>
      <c r="K312" s="2128"/>
      <c r="L312" s="2129">
        <f t="shared" si="45"/>
        <v>0</v>
      </c>
      <c r="M312" s="2129">
        <f t="shared" si="46"/>
        <v>0</v>
      </c>
      <c r="N312" s="2129">
        <f t="shared" si="47"/>
        <v>0</v>
      </c>
      <c r="O312" s="2128">
        <f t="shared" si="48"/>
        <v>0</v>
      </c>
      <c r="P312" s="2127"/>
    </row>
    <row r="313" spans="1:18" s="2105" customFormat="1" ht="14.4" outlineLevel="1">
      <c r="A313" s="2108" t="e">
        <f t="shared" si="39"/>
        <v>#N/A</v>
      </c>
      <c r="B313" s="2130"/>
      <c r="C313" s="2142"/>
      <c r="D313" s="2146"/>
      <c r="E313" s="2148" t="s">
        <v>6133</v>
      </c>
      <c r="F313" s="2127"/>
      <c r="G313" s="2127"/>
      <c r="H313" s="2128"/>
      <c r="I313" s="2128"/>
      <c r="J313" s="2128"/>
      <c r="K313" s="2128"/>
      <c r="L313" s="2129">
        <f t="shared" si="45"/>
        <v>0</v>
      </c>
      <c r="M313" s="2129">
        <f t="shared" si="46"/>
        <v>0</v>
      </c>
      <c r="N313" s="2129">
        <f t="shared" si="47"/>
        <v>0</v>
      </c>
      <c r="O313" s="2128">
        <f t="shared" si="48"/>
        <v>0</v>
      </c>
      <c r="P313" s="2127"/>
      <c r="R313" s="2149"/>
    </row>
    <row r="314" spans="1:18" s="2105" customFormat="1" outlineLevel="1">
      <c r="A314" s="2108" t="str">
        <f t="shared" si="39"/>
        <v>Trụ BTLT 12m F540 dự ứng lực</v>
      </c>
      <c r="B314" s="2133" t="s">
        <v>115</v>
      </c>
      <c r="C314" s="2127"/>
      <c r="D314" s="2120">
        <v>0</v>
      </c>
      <c r="E314" s="2121" t="s">
        <v>2992</v>
      </c>
      <c r="F314" s="2120" t="s">
        <v>2831</v>
      </c>
      <c r="G314" s="2127">
        <f>1*G312</f>
        <v>0</v>
      </c>
      <c r="H314" s="2123">
        <v>4400000</v>
      </c>
      <c r="I314" s="2123"/>
      <c r="J314" s="2123">
        <v>0</v>
      </c>
      <c r="K314" s="2123">
        <v>0</v>
      </c>
      <c r="L314" s="2129">
        <f t="shared" si="45"/>
        <v>0</v>
      </c>
      <c r="M314" s="2129">
        <f t="shared" si="46"/>
        <v>0</v>
      </c>
      <c r="N314" s="2129">
        <f t="shared" si="47"/>
        <v>0</v>
      </c>
      <c r="O314" s="2128">
        <f t="shared" si="48"/>
        <v>0</v>
      </c>
      <c r="P314" s="2127"/>
      <c r="R314" s="2149"/>
    </row>
    <row r="315" spans="1:18" s="2105" customFormat="1" outlineLevel="1">
      <c r="A315" s="2108" t="str">
        <f t="shared" si="39"/>
        <v>Vật liệu dựng trụ</v>
      </c>
      <c r="B315" s="2133" t="s">
        <v>1814</v>
      </c>
      <c r="C315" s="2127"/>
      <c r="D315" s="2150"/>
      <c r="E315" s="2121" t="s">
        <v>2830</v>
      </c>
      <c r="F315" s="2120" t="s">
        <v>2831</v>
      </c>
      <c r="G315" s="2127">
        <f>G314</f>
        <v>0</v>
      </c>
      <c r="H315" s="2123">
        <v>17400</v>
      </c>
      <c r="I315" s="2123"/>
      <c r="J315" s="2123">
        <v>0</v>
      </c>
      <c r="K315" s="2123">
        <v>0</v>
      </c>
      <c r="L315" s="2129">
        <f t="shared" si="45"/>
        <v>0</v>
      </c>
      <c r="M315" s="2129">
        <f t="shared" si="46"/>
        <v>0</v>
      </c>
      <c r="N315" s="2129">
        <f t="shared" si="47"/>
        <v>0</v>
      </c>
      <c r="O315" s="2128">
        <f t="shared" si="48"/>
        <v>0</v>
      </c>
      <c r="P315" s="2127"/>
      <c r="R315" s="2149"/>
    </row>
    <row r="316" spans="1:18" s="2105" customFormat="1" outlineLevel="1">
      <c r="A316" s="2108" t="str">
        <f t="shared" si="39"/>
        <v>Dựng trụ BTLT 12m trong TBA bằng thủ công + cơ giới</v>
      </c>
      <c r="B316" s="2133" t="s">
        <v>2126</v>
      </c>
      <c r="C316" s="2127"/>
      <c r="D316" s="2150"/>
      <c r="E316" s="2121" t="s">
        <v>3167</v>
      </c>
      <c r="F316" s="2120" t="s">
        <v>2831</v>
      </c>
      <c r="G316" s="2127">
        <f>G314</f>
        <v>0</v>
      </c>
      <c r="H316" s="2123">
        <v>0</v>
      </c>
      <c r="I316" s="2123"/>
      <c r="J316" s="2123">
        <v>112286</v>
      </c>
      <c r="K316" s="2123">
        <v>105970</v>
      </c>
      <c r="L316" s="2129">
        <f t="shared" si="45"/>
        <v>0</v>
      </c>
      <c r="M316" s="2129">
        <f t="shared" si="46"/>
        <v>0</v>
      </c>
      <c r="N316" s="2129">
        <f t="shared" si="47"/>
        <v>0</v>
      </c>
      <c r="O316" s="2128">
        <f t="shared" si="48"/>
        <v>0</v>
      </c>
      <c r="P316" s="2127"/>
      <c r="R316" s="2149"/>
    </row>
    <row r="317" spans="1:18" s="2105" customFormat="1" outlineLevel="1">
      <c r="A317" s="2108" t="e">
        <f t="shared" si="39"/>
        <v>#N/A</v>
      </c>
      <c r="B317" s="2130"/>
      <c r="C317" s="2145">
        <f>IF(G317&gt;0,C312+1,C312)</f>
        <v>0</v>
      </c>
      <c r="D317" s="2146"/>
      <c r="E317" s="2147" t="s">
        <v>2352</v>
      </c>
      <c r="F317" s="2142" t="s">
        <v>2385</v>
      </c>
      <c r="G317" s="2142">
        <f>G312</f>
        <v>0</v>
      </c>
      <c r="H317" s="2128"/>
      <c r="I317" s="2128"/>
      <c r="J317" s="2128"/>
      <c r="K317" s="2128"/>
      <c r="L317" s="2129">
        <f t="shared" si="45"/>
        <v>0</v>
      </c>
      <c r="M317" s="2129">
        <f t="shared" si="46"/>
        <v>0</v>
      </c>
      <c r="N317" s="2129">
        <f t="shared" si="47"/>
        <v>0</v>
      </c>
      <c r="O317" s="2128">
        <f t="shared" si="48"/>
        <v>0</v>
      </c>
      <c r="P317" s="2127"/>
    </row>
    <row r="318" spans="1:18" s="2105" customFormat="1" ht="14.4" outlineLevel="1">
      <c r="A318" s="2108" t="e">
        <f t="shared" si="39"/>
        <v>#N/A</v>
      </c>
      <c r="B318" s="2130"/>
      <c r="C318" s="2142"/>
      <c r="D318" s="2146"/>
      <c r="E318" s="2148" t="s">
        <v>6133</v>
      </c>
      <c r="F318" s="2127"/>
      <c r="G318" s="2127"/>
      <c r="H318" s="2128"/>
      <c r="I318" s="2128"/>
      <c r="J318" s="2128"/>
      <c r="K318" s="2128"/>
      <c r="L318" s="2129">
        <f t="shared" si="45"/>
        <v>0</v>
      </c>
      <c r="M318" s="2129">
        <f t="shared" si="46"/>
        <v>0</v>
      </c>
      <c r="N318" s="2129">
        <f t="shared" si="47"/>
        <v>0</v>
      </c>
      <c r="O318" s="2128">
        <f t="shared" si="48"/>
        <v>0</v>
      </c>
      <c r="P318" s="2127"/>
      <c r="R318" s="2149"/>
    </row>
    <row r="319" spans="1:18" s="2105" customFormat="1" outlineLevel="1">
      <c r="A319" s="2108" t="str">
        <f t="shared" si="39"/>
        <v>Đà cản BTCT 1,2m</v>
      </c>
      <c r="B319" s="2133" t="s">
        <v>636</v>
      </c>
      <c r="C319" s="2127"/>
      <c r="D319" s="2120" t="s">
        <v>5047</v>
      </c>
      <c r="E319" s="2121" t="s">
        <v>2607</v>
      </c>
      <c r="F319" s="2120" t="s">
        <v>2555</v>
      </c>
      <c r="G319" s="2127">
        <f>1*G317</f>
        <v>0</v>
      </c>
      <c r="H319" s="2123">
        <v>354545</v>
      </c>
      <c r="I319" s="2123"/>
      <c r="J319" s="2123">
        <v>37220.25</v>
      </c>
      <c r="K319" s="2123">
        <v>0</v>
      </c>
      <c r="L319" s="2129">
        <f t="shared" si="45"/>
        <v>0</v>
      </c>
      <c r="M319" s="2129">
        <f t="shared" si="46"/>
        <v>0</v>
      </c>
      <c r="N319" s="2129">
        <f t="shared" si="47"/>
        <v>0</v>
      </c>
      <c r="O319" s="2128">
        <f t="shared" si="48"/>
        <v>0</v>
      </c>
      <c r="P319" s="2127"/>
      <c r="R319" s="2149"/>
    </row>
    <row r="320" spans="1:18" s="2105" customFormat="1" outlineLevel="1">
      <c r="A320" s="2108" t="str">
        <f t="shared" si="39"/>
        <v>Boulon 22x650+ 2 long đền vuông D24-50x50x3/Zn</v>
      </c>
      <c r="B320" s="2133" t="s">
        <v>566</v>
      </c>
      <c r="C320" s="2127"/>
      <c r="D320" s="2120">
        <v>0</v>
      </c>
      <c r="E320" s="2121" t="s">
        <v>5072</v>
      </c>
      <c r="F320" s="2120" t="s">
        <v>2439</v>
      </c>
      <c r="G320" s="2127">
        <f>G317</f>
        <v>0</v>
      </c>
      <c r="H320" s="2123">
        <v>92200</v>
      </c>
      <c r="I320" s="2123"/>
      <c r="J320" s="2123">
        <v>0</v>
      </c>
      <c r="K320" s="2123">
        <v>0</v>
      </c>
      <c r="L320" s="2129">
        <f t="shared" si="45"/>
        <v>0</v>
      </c>
      <c r="M320" s="2129">
        <f t="shared" si="46"/>
        <v>0</v>
      </c>
      <c r="N320" s="2129">
        <f t="shared" si="47"/>
        <v>0</v>
      </c>
      <c r="O320" s="2128">
        <f t="shared" si="48"/>
        <v>0</v>
      </c>
      <c r="P320" s="2127"/>
      <c r="R320" s="2149"/>
    </row>
    <row r="321" spans="1:18" s="2105" customFormat="1" outlineLevel="1">
      <c r="A321" s="2108" t="str">
        <f t="shared" si="39"/>
        <v>Đào hố móng đất cấp 3 sâu &gt;1m</v>
      </c>
      <c r="B321" s="2133" t="s">
        <v>639</v>
      </c>
      <c r="C321" s="2127"/>
      <c r="D321" s="2120" t="s">
        <v>1747</v>
      </c>
      <c r="E321" s="2121" t="s">
        <v>5324</v>
      </c>
      <c r="F321" s="2120" t="s">
        <v>856</v>
      </c>
      <c r="G321" s="2151">
        <f>G317*1.45</f>
        <v>0</v>
      </c>
      <c r="H321" s="2123">
        <v>0</v>
      </c>
      <c r="I321" s="2123"/>
      <c r="J321" s="2123">
        <v>296500.89999999997</v>
      </c>
      <c r="K321" s="2123">
        <v>0</v>
      </c>
      <c r="L321" s="2129">
        <f t="shared" si="45"/>
        <v>0</v>
      </c>
      <c r="M321" s="2129">
        <f t="shared" si="46"/>
        <v>0</v>
      </c>
      <c r="N321" s="2129">
        <f t="shared" si="47"/>
        <v>0</v>
      </c>
      <c r="O321" s="2128">
        <f t="shared" si="48"/>
        <v>0</v>
      </c>
      <c r="P321" s="2127"/>
      <c r="R321" s="2149"/>
    </row>
    <row r="322" spans="1:18" s="2105" customFormat="1" outlineLevel="1">
      <c r="A322" s="2108" t="str">
        <f t="shared" si="39"/>
        <v>Đắp đất hố móng, độ chặt k=0,95</v>
      </c>
      <c r="B322" s="2133" t="s">
        <v>21</v>
      </c>
      <c r="C322" s="2127"/>
      <c r="D322" s="2120" t="s">
        <v>5325</v>
      </c>
      <c r="E322" s="2121" t="s">
        <v>5326</v>
      </c>
      <c r="F322" s="2120" t="s">
        <v>856</v>
      </c>
      <c r="G322" s="2151">
        <f>G317*1.37</f>
        <v>0</v>
      </c>
      <c r="H322" s="2123">
        <v>0</v>
      </c>
      <c r="I322" s="2123"/>
      <c r="J322" s="2123">
        <v>117703.6</v>
      </c>
      <c r="K322" s="2123">
        <v>0</v>
      </c>
      <c r="L322" s="2129">
        <f t="shared" si="45"/>
        <v>0</v>
      </c>
      <c r="M322" s="2129">
        <f t="shared" si="46"/>
        <v>0</v>
      </c>
      <c r="N322" s="2129">
        <f t="shared" si="47"/>
        <v>0</v>
      </c>
      <c r="O322" s="2128">
        <f t="shared" si="48"/>
        <v>0</v>
      </c>
      <c r="P322" s="2127"/>
      <c r="R322" s="2149"/>
    </row>
    <row r="323" spans="1:18" s="2105" customFormat="1" outlineLevel="1">
      <c r="A323" s="2108" t="e">
        <f t="shared" si="39"/>
        <v>#N/A</v>
      </c>
      <c r="B323" s="2130"/>
      <c r="C323" s="2145">
        <f>IF(G323&gt;0,C317+1,C317)</f>
        <v>0</v>
      </c>
      <c r="D323" s="2146"/>
      <c r="E323" s="2171" t="s">
        <v>3675</v>
      </c>
      <c r="F323" s="2142" t="s">
        <v>2385</v>
      </c>
      <c r="G323" s="2142">
        <f>SUM(G300:G300)</f>
        <v>0</v>
      </c>
      <c r="H323" s="2123"/>
      <c r="I323" s="2128"/>
      <c r="J323" s="2123"/>
      <c r="K323" s="2123"/>
      <c r="L323" s="2129">
        <f t="shared" si="45"/>
        <v>0</v>
      </c>
      <c r="M323" s="2129">
        <f t="shared" si="46"/>
        <v>0</v>
      </c>
      <c r="N323" s="2129">
        <f t="shared" si="47"/>
        <v>0</v>
      </c>
      <c r="O323" s="2128">
        <f t="shared" si="48"/>
        <v>0</v>
      </c>
      <c r="P323" s="2155"/>
    </row>
    <row r="324" spans="1:18" s="2105" customFormat="1" ht="14.4" outlineLevel="1">
      <c r="A324" s="2108" t="e">
        <f t="shared" si="39"/>
        <v>#N/A</v>
      </c>
      <c r="B324" s="2130"/>
      <c r="C324" s="2142"/>
      <c r="D324" s="2146"/>
      <c r="E324" s="2172" t="s">
        <v>6133</v>
      </c>
      <c r="F324" s="2127"/>
      <c r="G324" s="2127"/>
      <c r="H324" s="2123"/>
      <c r="I324" s="2128"/>
      <c r="J324" s="2123"/>
      <c r="K324" s="2123"/>
      <c r="L324" s="2129">
        <f t="shared" si="45"/>
        <v>0</v>
      </c>
      <c r="M324" s="2129">
        <f t="shared" si="46"/>
        <v>0</v>
      </c>
      <c r="N324" s="2129">
        <f t="shared" si="47"/>
        <v>0</v>
      </c>
      <c r="O324" s="2128">
        <f t="shared" si="48"/>
        <v>0</v>
      </c>
      <c r="P324" s="2155"/>
    </row>
    <row r="325" spans="1:18" s="2105" customFormat="1" outlineLevel="1">
      <c r="A325" s="2108" t="str">
        <f t="shared" si="39"/>
        <v>Đà Composite 110x80x5x800</v>
      </c>
      <c r="B325" s="2133" t="s">
        <v>5157</v>
      </c>
      <c r="C325" s="2127"/>
      <c r="D325" s="2120">
        <v>0</v>
      </c>
      <c r="E325" s="2121" t="s">
        <v>4865</v>
      </c>
      <c r="F325" s="2152" t="s">
        <v>2590</v>
      </c>
      <c r="G325" s="2156">
        <f>G323*1</f>
        <v>0</v>
      </c>
      <c r="H325" s="2123">
        <v>320000</v>
      </c>
      <c r="I325" s="2128"/>
      <c r="J325" s="2123">
        <v>0</v>
      </c>
      <c r="K325" s="2123">
        <v>0</v>
      </c>
      <c r="L325" s="2129">
        <f t="shared" si="45"/>
        <v>0</v>
      </c>
      <c r="M325" s="2129">
        <f>I325*G325</f>
        <v>0</v>
      </c>
      <c r="N325" s="2129">
        <f t="shared" si="47"/>
        <v>0</v>
      </c>
      <c r="O325" s="2128">
        <f t="shared" si="48"/>
        <v>0</v>
      </c>
      <c r="P325" s="2155"/>
    </row>
    <row r="326" spans="1:18" s="2105" customFormat="1" outlineLevel="1">
      <c r="A326" s="2108" t="str">
        <f t="shared" si="39"/>
        <v>Chống Composite 40x10x710</v>
      </c>
      <c r="B326" s="2133" t="s">
        <v>5161</v>
      </c>
      <c r="C326" s="2127"/>
      <c r="D326" s="2120">
        <v>0</v>
      </c>
      <c r="E326" s="2121" t="s">
        <v>5162</v>
      </c>
      <c r="F326" s="2120" t="s">
        <v>5160</v>
      </c>
      <c r="G326" s="2127">
        <f>G325*1</f>
        <v>0</v>
      </c>
      <c r="H326" s="2123">
        <v>95000</v>
      </c>
      <c r="I326" s="2128"/>
      <c r="J326" s="2123">
        <v>0</v>
      </c>
      <c r="K326" s="2123">
        <v>0</v>
      </c>
      <c r="L326" s="2129">
        <f t="shared" si="45"/>
        <v>0</v>
      </c>
      <c r="M326" s="2129">
        <f>I326*G326</f>
        <v>0</v>
      </c>
      <c r="N326" s="2129">
        <f t="shared" si="47"/>
        <v>0</v>
      </c>
      <c r="O326" s="2128">
        <f t="shared" si="48"/>
        <v>0</v>
      </c>
      <c r="P326" s="2155"/>
    </row>
    <row r="327" spans="1:18" s="2105" customFormat="1" outlineLevel="1">
      <c r="A327" s="2108" t="str">
        <f t="shared" si="39"/>
        <v>Bass LL bắt FCO, LA</v>
      </c>
      <c r="B327" s="2133" t="s">
        <v>1840</v>
      </c>
      <c r="C327" s="2127"/>
      <c r="D327" s="2120">
        <v>0</v>
      </c>
      <c r="E327" s="2121" t="s">
        <v>5078</v>
      </c>
      <c r="F327" s="2120" t="s">
        <v>2439</v>
      </c>
      <c r="G327" s="2127">
        <f>G323*1</f>
        <v>0</v>
      </c>
      <c r="H327" s="2123">
        <v>65000</v>
      </c>
      <c r="I327" s="2128"/>
      <c r="J327" s="2123">
        <v>0</v>
      </c>
      <c r="K327" s="2123">
        <v>0</v>
      </c>
      <c r="L327" s="2129">
        <f t="shared" si="45"/>
        <v>0</v>
      </c>
      <c r="M327" s="2129"/>
      <c r="N327" s="2129">
        <f t="shared" si="47"/>
        <v>0</v>
      </c>
      <c r="O327" s="2128">
        <f t="shared" si="48"/>
        <v>0</v>
      </c>
      <c r="P327" s="2155"/>
    </row>
    <row r="328" spans="1:18" s="2105" customFormat="1" outlineLevel="1">
      <c r="A328" s="2108" t="str">
        <f t="shared" ref="A328:A359" si="49">VLOOKUP(B328,DonGia,3,0)</f>
        <v>Nắp che đầu cực FCO</v>
      </c>
      <c r="B328" s="2133" t="s">
        <v>6125</v>
      </c>
      <c r="C328" s="2127"/>
      <c r="D328" s="2120">
        <v>0</v>
      </c>
      <c r="E328" s="2121" t="s">
        <v>5700</v>
      </c>
      <c r="F328" s="2120" t="s">
        <v>2555</v>
      </c>
      <c r="G328" s="2127">
        <f>1*$G$301</f>
        <v>0</v>
      </c>
      <c r="H328" s="2123">
        <v>218200</v>
      </c>
      <c r="I328" s="2128"/>
      <c r="J328" s="2123">
        <v>0</v>
      </c>
      <c r="K328" s="2123">
        <v>0</v>
      </c>
      <c r="L328" s="2129">
        <f t="shared" si="45"/>
        <v>0</v>
      </c>
      <c r="M328" s="2129"/>
      <c r="N328" s="2129">
        <f t="shared" si="47"/>
        <v>0</v>
      </c>
      <c r="O328" s="2128">
        <f t="shared" si="48"/>
        <v>0</v>
      </c>
      <c r="P328" s="2155"/>
    </row>
    <row r="329" spans="1:18" s="2105" customFormat="1" outlineLevel="1">
      <c r="A329" s="2108" t="str">
        <f t="shared" si="49"/>
        <v>Nắp che đầu cực LA</v>
      </c>
      <c r="B329" s="2133" t="s">
        <v>6126</v>
      </c>
      <c r="C329" s="2127"/>
      <c r="D329" s="2120">
        <v>0</v>
      </c>
      <c r="E329" s="2121" t="s">
        <v>5706</v>
      </c>
      <c r="F329" s="2120" t="s">
        <v>2555</v>
      </c>
      <c r="G329" s="2127">
        <f>1*$G$303</f>
        <v>0</v>
      </c>
      <c r="H329" s="2123">
        <v>39100</v>
      </c>
      <c r="I329" s="2128"/>
      <c r="J329" s="2123">
        <v>0</v>
      </c>
      <c r="K329" s="2123">
        <v>0</v>
      </c>
      <c r="L329" s="2129">
        <f t="shared" si="45"/>
        <v>0</v>
      </c>
      <c r="M329" s="2129"/>
      <c r="N329" s="2129">
        <f t="shared" si="47"/>
        <v>0</v>
      </c>
      <c r="O329" s="2128">
        <f t="shared" si="48"/>
        <v>0</v>
      </c>
      <c r="P329" s="2155"/>
    </row>
    <row r="330" spans="1:18" s="2105" customFormat="1" outlineLevel="1">
      <c r="A330" s="2108" t="str">
        <f t="shared" si="49"/>
        <v>Boulon 16x150+ 2 long đền vuông D18-50x50x3/Zn</v>
      </c>
      <c r="B330" s="2133" t="s">
        <v>244</v>
      </c>
      <c r="C330" s="2127"/>
      <c r="D330" s="2120">
        <v>0</v>
      </c>
      <c r="E330" s="2121" t="s">
        <v>2641</v>
      </c>
      <c r="F330" s="2120" t="s">
        <v>2439</v>
      </c>
      <c r="G330" s="2127">
        <f>G323</f>
        <v>0</v>
      </c>
      <c r="H330" s="2123">
        <v>18900</v>
      </c>
      <c r="I330" s="2128"/>
      <c r="J330" s="2123">
        <v>0</v>
      </c>
      <c r="K330" s="2123">
        <v>0</v>
      </c>
      <c r="L330" s="2129">
        <f t="shared" si="45"/>
        <v>0</v>
      </c>
      <c r="M330" s="2129">
        <f>I330*G330</f>
        <v>0</v>
      </c>
      <c r="N330" s="2129">
        <f t="shared" si="47"/>
        <v>0</v>
      </c>
      <c r="O330" s="2128">
        <f t="shared" si="48"/>
        <v>0</v>
      </c>
      <c r="P330" s="2155"/>
    </row>
    <row r="331" spans="1:18" s="2105" customFormat="1" outlineLevel="1">
      <c r="A331" s="2108" t="str">
        <f t="shared" si="49"/>
        <v>Boulon 16x350+ 2 long đền vuông D18-50x50x3/Zn</v>
      </c>
      <c r="B331" s="2133" t="s">
        <v>1079</v>
      </c>
      <c r="C331" s="2127"/>
      <c r="D331" s="2120">
        <v>0</v>
      </c>
      <c r="E331" s="2121" t="s">
        <v>2651</v>
      </c>
      <c r="F331" s="2120" t="s">
        <v>2439</v>
      </c>
      <c r="G331" s="2127">
        <f>G323*2</f>
        <v>0</v>
      </c>
      <c r="H331" s="2123">
        <v>27900</v>
      </c>
      <c r="I331" s="2128"/>
      <c r="J331" s="2123">
        <v>0</v>
      </c>
      <c r="K331" s="2123">
        <v>0</v>
      </c>
      <c r="L331" s="2129">
        <f t="shared" si="45"/>
        <v>0</v>
      </c>
      <c r="M331" s="2129">
        <f>I331*G331</f>
        <v>0</v>
      </c>
      <c r="N331" s="2129">
        <f t="shared" si="47"/>
        <v>0</v>
      </c>
      <c r="O331" s="2128">
        <f t="shared" si="48"/>
        <v>0</v>
      </c>
      <c r="P331" s="2155"/>
    </row>
    <row r="332" spans="1:18" s="2105" customFormat="1" outlineLevel="1">
      <c r="A332" s="2108" t="str">
        <f t="shared" si="49"/>
        <v>Lắp xà đỡ ≤ 25kg</v>
      </c>
      <c r="B332" s="2133" t="s">
        <v>1995</v>
      </c>
      <c r="C332" s="2127"/>
      <c r="D332" s="2120" t="s">
        <v>5378</v>
      </c>
      <c r="E332" s="2121" t="s">
        <v>5379</v>
      </c>
      <c r="F332" s="2120" t="s">
        <v>2439</v>
      </c>
      <c r="G332" s="2127">
        <f>G323</f>
        <v>0</v>
      </c>
      <c r="H332" s="2123">
        <v>0</v>
      </c>
      <c r="I332" s="2128"/>
      <c r="J332" s="2153" t="s">
        <v>6306</v>
      </c>
      <c r="K332" s="2123">
        <v>0</v>
      </c>
      <c r="L332" s="2129">
        <f t="shared" si="45"/>
        <v>0</v>
      </c>
      <c r="M332" s="2129">
        <f>I332*G332</f>
        <v>0</v>
      </c>
      <c r="N332" s="2154">
        <f>106640*G332*1.5</f>
        <v>0</v>
      </c>
      <c r="O332" s="2128">
        <f t="shared" si="48"/>
        <v>0</v>
      </c>
      <c r="P332" s="2155"/>
    </row>
    <row r="333" spans="1:18" s="2105" customFormat="1" outlineLevel="1">
      <c r="A333" s="2108" t="e">
        <f t="shared" si="49"/>
        <v>#N/A</v>
      </c>
      <c r="B333" s="2130"/>
      <c r="C333" s="2142">
        <f>IF(G333&gt;0,C323+1,C323)</f>
        <v>0</v>
      </c>
      <c r="D333" s="2146"/>
      <c r="E333" s="2171" t="s">
        <v>3676</v>
      </c>
      <c r="F333" s="2142" t="s">
        <v>2385</v>
      </c>
      <c r="G333" s="2142">
        <f>G323</f>
        <v>0</v>
      </c>
      <c r="H333" s="2123"/>
      <c r="I333" s="2128"/>
      <c r="J333" s="2123"/>
      <c r="K333" s="2123"/>
      <c r="L333" s="2129">
        <f t="shared" si="45"/>
        <v>0</v>
      </c>
      <c r="M333" s="2129">
        <f t="shared" si="46"/>
        <v>0</v>
      </c>
      <c r="N333" s="2129">
        <f t="shared" si="47"/>
        <v>0</v>
      </c>
      <c r="O333" s="2128">
        <f t="shared" si="48"/>
        <v>0</v>
      </c>
      <c r="P333" s="2155"/>
    </row>
    <row r="334" spans="1:18" s="2105" customFormat="1" ht="14.4" outlineLevel="1">
      <c r="A334" s="2108" t="e">
        <f t="shared" si="49"/>
        <v>#N/A</v>
      </c>
      <c r="B334" s="2130"/>
      <c r="C334" s="2127"/>
      <c r="D334" s="2150"/>
      <c r="E334" s="2172" t="s">
        <v>6133</v>
      </c>
      <c r="F334" s="2127"/>
      <c r="G334" s="2127"/>
      <c r="H334" s="2123"/>
      <c r="I334" s="2128"/>
      <c r="J334" s="2123"/>
      <c r="K334" s="2123"/>
      <c r="L334" s="2129">
        <f t="shared" si="45"/>
        <v>0</v>
      </c>
      <c r="M334" s="2129">
        <f t="shared" si="46"/>
        <v>0</v>
      </c>
      <c r="N334" s="2129">
        <f t="shared" si="47"/>
        <v>0</v>
      </c>
      <c r="O334" s="2128">
        <f t="shared" si="48"/>
        <v>0</v>
      </c>
      <c r="P334" s="2155"/>
    </row>
    <row r="335" spans="1:18" s="2105" customFormat="1" outlineLevel="1">
      <c r="A335" s="2108" t="str">
        <f t="shared" si="49"/>
        <v>Cáp đồng trần M25mm2</v>
      </c>
      <c r="B335" s="2130" t="s">
        <v>1033</v>
      </c>
      <c r="C335" s="2127"/>
      <c r="D335" s="2120">
        <v>0</v>
      </c>
      <c r="E335" s="2121" t="s">
        <v>2700</v>
      </c>
      <c r="F335" s="2120" t="s">
        <v>2248</v>
      </c>
      <c r="G335" s="2156">
        <f>53*G333*0.224</f>
        <v>0</v>
      </c>
      <c r="H335" s="2123">
        <v>255500</v>
      </c>
      <c r="I335" s="2128"/>
      <c r="J335" s="2123">
        <v>0</v>
      </c>
      <c r="K335" s="2123">
        <v>0</v>
      </c>
      <c r="L335" s="2129">
        <f t="shared" si="45"/>
        <v>0</v>
      </c>
      <c r="M335" s="2129">
        <f t="shared" si="46"/>
        <v>0</v>
      </c>
      <c r="N335" s="2129">
        <f t="shared" si="47"/>
        <v>0</v>
      </c>
      <c r="O335" s="2128">
        <f t="shared" si="48"/>
        <v>0</v>
      </c>
      <c r="P335" s="2155"/>
    </row>
    <row r="336" spans="1:18" s="2105" customFormat="1" outlineLevel="1">
      <c r="A336" s="2108" t="str">
        <f t="shared" si="49"/>
        <v>Cọc tiếp đất Þ 16- 2,4m + kẹp cọc mạ đồng</v>
      </c>
      <c r="B336" s="2133" t="s">
        <v>1508</v>
      </c>
      <c r="C336" s="2127"/>
      <c r="D336" s="2120">
        <v>0</v>
      </c>
      <c r="E336" s="2121" t="s">
        <v>5163</v>
      </c>
      <c r="F336" s="2120" t="s">
        <v>2439</v>
      </c>
      <c r="G336" s="2127">
        <f>9*G333</f>
        <v>0</v>
      </c>
      <c r="H336" s="2123">
        <v>160000</v>
      </c>
      <c r="I336" s="2128"/>
      <c r="J336" s="2123">
        <v>0</v>
      </c>
      <c r="K336" s="2123">
        <v>0</v>
      </c>
      <c r="L336" s="2129">
        <f t="shared" si="45"/>
        <v>0</v>
      </c>
      <c r="M336" s="2129">
        <f t="shared" si="46"/>
        <v>0</v>
      </c>
      <c r="N336" s="2129">
        <f t="shared" si="47"/>
        <v>0</v>
      </c>
      <c r="O336" s="2128">
        <f t="shared" si="48"/>
        <v>0</v>
      </c>
      <c r="P336" s="2155"/>
    </row>
    <row r="337" spans="1:16" s="2105" customFormat="1" outlineLevel="1">
      <c r="A337" s="2108" t="str">
        <f t="shared" si="49"/>
        <v xml:space="preserve">Ống PVC D21x1,6mm </v>
      </c>
      <c r="B337" s="2133" t="s">
        <v>1490</v>
      </c>
      <c r="C337" s="2127"/>
      <c r="D337" s="2120">
        <v>0</v>
      </c>
      <c r="E337" s="2121" t="s">
        <v>3536</v>
      </c>
      <c r="F337" s="2120" t="s">
        <v>1823</v>
      </c>
      <c r="G337" s="2127">
        <f>6*G333</f>
        <v>0</v>
      </c>
      <c r="H337" s="2123">
        <v>6200</v>
      </c>
      <c r="I337" s="2128"/>
      <c r="J337" s="2123">
        <v>0</v>
      </c>
      <c r="K337" s="2123">
        <v>0</v>
      </c>
      <c r="L337" s="2129">
        <f t="shared" si="45"/>
        <v>0</v>
      </c>
      <c r="M337" s="2129">
        <f t="shared" si="46"/>
        <v>0</v>
      </c>
      <c r="N337" s="2129">
        <f t="shared" si="47"/>
        <v>0</v>
      </c>
      <c r="O337" s="2128">
        <f t="shared" si="48"/>
        <v>0</v>
      </c>
      <c r="P337" s="2155"/>
    </row>
    <row r="338" spans="1:16" s="2105" customFormat="1" outlineLevel="1">
      <c r="A338" s="2108" t="str">
        <f t="shared" si="49"/>
        <v>Kẹp ép WR cỡ dây 50mm2</v>
      </c>
      <c r="B338" s="2130" t="s">
        <v>1579</v>
      </c>
      <c r="C338" s="2127"/>
      <c r="D338" s="2120">
        <v>0</v>
      </c>
      <c r="E338" s="2121" t="s">
        <v>2873</v>
      </c>
      <c r="F338" s="2120" t="s">
        <v>2555</v>
      </c>
      <c r="G338" s="2127">
        <f>2*G333</f>
        <v>0</v>
      </c>
      <c r="H338" s="2123">
        <v>8000</v>
      </c>
      <c r="I338" s="2123"/>
      <c r="J338" s="2123">
        <v>0</v>
      </c>
      <c r="K338" s="2123">
        <v>0</v>
      </c>
      <c r="L338" s="2129">
        <f t="shared" si="45"/>
        <v>0</v>
      </c>
      <c r="M338" s="2129">
        <f t="shared" si="46"/>
        <v>0</v>
      </c>
      <c r="N338" s="2129">
        <f t="shared" si="47"/>
        <v>0</v>
      </c>
      <c r="O338" s="2128">
        <f t="shared" si="48"/>
        <v>0</v>
      </c>
      <c r="P338" s="2155"/>
    </row>
    <row r="339" spans="1:16" s="2105" customFormat="1" outlineLevel="1">
      <c r="A339" s="2108" t="str">
        <f t="shared" si="49"/>
        <v>Kẹp ép cỡ dây 25mm2</v>
      </c>
      <c r="B339" s="2130" t="s">
        <v>1115</v>
      </c>
      <c r="C339" s="2127"/>
      <c r="D339" s="2120">
        <v>0</v>
      </c>
      <c r="E339" s="2121" t="s">
        <v>2871</v>
      </c>
      <c r="F339" s="2120" t="s">
        <v>2555</v>
      </c>
      <c r="G339" s="2127">
        <f>G333*11</f>
        <v>0</v>
      </c>
      <c r="H339" s="2123">
        <v>6000</v>
      </c>
      <c r="I339" s="2123"/>
      <c r="J339" s="2123">
        <v>0</v>
      </c>
      <c r="K339" s="2123">
        <v>0</v>
      </c>
      <c r="L339" s="2129">
        <f t="shared" si="45"/>
        <v>0</v>
      </c>
      <c r="M339" s="2129">
        <f t="shared" si="46"/>
        <v>0</v>
      </c>
      <c r="N339" s="2129">
        <f t="shared" si="47"/>
        <v>0</v>
      </c>
      <c r="O339" s="2128">
        <f t="shared" si="48"/>
        <v>0</v>
      </c>
      <c r="P339" s="2155"/>
    </row>
    <row r="340" spans="1:16" s="2105" customFormat="1" outlineLevel="1">
      <c r="A340" s="2108" t="str">
        <f t="shared" si="49"/>
        <v>Cổ dê kẹp ống PVC  21</v>
      </c>
      <c r="B340" s="2133" t="s">
        <v>525</v>
      </c>
      <c r="C340" s="2127"/>
      <c r="D340" s="2120">
        <v>0</v>
      </c>
      <c r="E340" s="2121" t="s">
        <v>5252</v>
      </c>
      <c r="F340" s="2120" t="s">
        <v>2439</v>
      </c>
      <c r="G340" s="2127">
        <f>4*G333</f>
        <v>0</v>
      </c>
      <c r="H340" s="2123">
        <v>43000</v>
      </c>
      <c r="I340" s="2128"/>
      <c r="J340" s="2123">
        <v>0</v>
      </c>
      <c r="K340" s="2123">
        <v>0</v>
      </c>
      <c r="L340" s="2129">
        <f t="shared" si="45"/>
        <v>0</v>
      </c>
      <c r="M340" s="2129">
        <f t="shared" si="46"/>
        <v>0</v>
      </c>
      <c r="N340" s="2129">
        <f t="shared" si="47"/>
        <v>0</v>
      </c>
      <c r="O340" s="2128">
        <f t="shared" si="48"/>
        <v>0</v>
      </c>
      <c r="P340" s="2155"/>
    </row>
    <row r="341" spans="1:16" s="2105" customFormat="1" outlineLevel="1">
      <c r="A341" s="2108" t="str">
        <f t="shared" si="49"/>
        <v>Kéo dây tiếp địa trong TBA</v>
      </c>
      <c r="B341" s="2130" t="s">
        <v>2183</v>
      </c>
      <c r="C341" s="2127"/>
      <c r="D341" s="2120" t="s">
        <v>5346</v>
      </c>
      <c r="E341" s="2121" t="s">
        <v>5347</v>
      </c>
      <c r="F341" s="2120" t="s">
        <v>2532</v>
      </c>
      <c r="G341" s="2127">
        <f>G335/0.224</f>
        <v>0</v>
      </c>
      <c r="H341" s="2123">
        <v>0</v>
      </c>
      <c r="I341" s="2123"/>
      <c r="J341" s="2123">
        <v>8070.7000000000007</v>
      </c>
      <c r="K341" s="2123">
        <v>2044.9974999999999</v>
      </c>
      <c r="L341" s="2129">
        <f>H341*G341</f>
        <v>0</v>
      </c>
      <c r="M341" s="2129">
        <f>I341*G341</f>
        <v>0</v>
      </c>
      <c r="N341" s="2129">
        <f>J341*G341</f>
        <v>0</v>
      </c>
      <c r="O341" s="2128">
        <f>K341*G341</f>
        <v>0</v>
      </c>
      <c r="P341" s="2155"/>
    </row>
    <row r="342" spans="1:16" s="2105" customFormat="1" outlineLevel="1">
      <c r="A342" s="2108" t="str">
        <f t="shared" si="49"/>
        <v>Đóng cọc tiếp địa trong TBA</v>
      </c>
      <c r="B342" s="2133" t="s">
        <v>902</v>
      </c>
      <c r="C342" s="2127"/>
      <c r="D342" s="2120" t="s">
        <v>5351</v>
      </c>
      <c r="E342" s="2121" t="s">
        <v>5352</v>
      </c>
      <c r="F342" s="2120" t="s">
        <v>2278</v>
      </c>
      <c r="G342" s="2127">
        <f>G336</f>
        <v>0</v>
      </c>
      <c r="H342" s="2123">
        <v>0</v>
      </c>
      <c r="I342" s="2128"/>
      <c r="J342" s="2123" t="s">
        <v>6315</v>
      </c>
      <c r="K342" s="2123">
        <v>1573.075</v>
      </c>
      <c r="L342" s="2129">
        <f>H342*G342</f>
        <v>0</v>
      </c>
      <c r="M342" s="2129">
        <f>I342*G342</f>
        <v>0</v>
      </c>
      <c r="N342" s="2123">
        <v>0</v>
      </c>
      <c r="O342" s="2128">
        <f>K342*G342</f>
        <v>0</v>
      </c>
      <c r="P342" s="2155"/>
    </row>
    <row r="343" spans="1:16" s="2105" customFormat="1" outlineLevel="1">
      <c r="A343" s="2108" t="str">
        <f t="shared" si="49"/>
        <v>Đào rãnh tiếp địa đất cấp 3</v>
      </c>
      <c r="B343" s="2130" t="s">
        <v>1055</v>
      </c>
      <c r="C343" s="2127"/>
      <c r="D343" s="2120" t="s">
        <v>5336</v>
      </c>
      <c r="E343" s="2121" t="s">
        <v>3068</v>
      </c>
      <c r="F343" s="2120" t="s">
        <v>856</v>
      </c>
      <c r="G343" s="2151">
        <f>G333*8.64</f>
        <v>0</v>
      </c>
      <c r="H343" s="2123">
        <v>0</v>
      </c>
      <c r="I343" s="2123"/>
      <c r="J343" s="2123">
        <v>283749.75</v>
      </c>
      <c r="K343" s="2123">
        <v>0</v>
      </c>
      <c r="L343" s="2129">
        <f>H343*G343</f>
        <v>0</v>
      </c>
      <c r="M343" s="2129">
        <f>I343*G343</f>
        <v>0</v>
      </c>
      <c r="N343" s="2129">
        <f>J343*G343</f>
        <v>0</v>
      </c>
      <c r="O343" s="2128">
        <f>K343*G343</f>
        <v>0</v>
      </c>
      <c r="P343" s="2155"/>
    </row>
    <row r="344" spans="1:16" s="2105" customFormat="1" outlineLevel="1">
      <c r="A344" s="2108" t="str">
        <f t="shared" si="49"/>
        <v>Đắp đất rãnh tiếp độ chặt k=0,85</v>
      </c>
      <c r="B344" s="2133" t="s">
        <v>1056</v>
      </c>
      <c r="C344" s="2127"/>
      <c r="D344" s="2120" t="s">
        <v>5325</v>
      </c>
      <c r="E344" s="2121" t="s">
        <v>5337</v>
      </c>
      <c r="F344" s="2120" t="s">
        <v>856</v>
      </c>
      <c r="G344" s="2151">
        <f>G343</f>
        <v>0</v>
      </c>
      <c r="H344" s="2123">
        <v>0</v>
      </c>
      <c r="I344" s="2128"/>
      <c r="J344" s="2123">
        <v>117703.6</v>
      </c>
      <c r="K344" s="2123">
        <v>0</v>
      </c>
      <c r="L344" s="2129">
        <f>H344*G344</f>
        <v>0</v>
      </c>
      <c r="M344" s="2129">
        <f>I344*G344</f>
        <v>0</v>
      </c>
      <c r="N344" s="2129">
        <f>J344*G344</f>
        <v>0</v>
      </c>
      <c r="O344" s="2128">
        <f>K344*G344</f>
        <v>0</v>
      </c>
      <c r="P344" s="2155"/>
    </row>
    <row r="345" spans="1:16" s="2105" customFormat="1" outlineLevel="1">
      <c r="A345" s="2108" t="e">
        <f t="shared" si="49"/>
        <v>#N/A</v>
      </c>
      <c r="B345" s="2130"/>
      <c r="C345" s="2142">
        <f>IF(G345&gt;0,C333+1,C333)</f>
        <v>0</v>
      </c>
      <c r="D345" s="2146"/>
      <c r="E345" s="2158" t="s">
        <v>3683</v>
      </c>
      <c r="F345" s="2142" t="s">
        <v>2385</v>
      </c>
      <c r="G345" s="2142">
        <f>G323</f>
        <v>0</v>
      </c>
      <c r="H345" s="2123"/>
      <c r="I345" s="2128"/>
      <c r="J345" s="2123"/>
      <c r="K345" s="2123"/>
      <c r="L345" s="2129">
        <f t="shared" si="45"/>
        <v>0</v>
      </c>
      <c r="M345" s="2129">
        <f t="shared" si="46"/>
        <v>0</v>
      </c>
      <c r="N345" s="2129">
        <f t="shared" si="47"/>
        <v>0</v>
      </c>
      <c r="O345" s="2128">
        <f t="shared" si="48"/>
        <v>0</v>
      </c>
      <c r="P345" s="2155"/>
    </row>
    <row r="346" spans="1:16" s="2105" customFormat="1" ht="14.4" outlineLevel="1">
      <c r="A346" s="2108" t="e">
        <f t="shared" si="49"/>
        <v>#N/A</v>
      </c>
      <c r="B346" s="2130"/>
      <c r="C346" s="2142"/>
      <c r="D346" s="2146"/>
      <c r="E346" s="2172" t="s">
        <v>6133</v>
      </c>
      <c r="F346" s="2127"/>
      <c r="G346" s="2127"/>
      <c r="H346" s="2123"/>
      <c r="I346" s="2128"/>
      <c r="J346" s="2123"/>
      <c r="K346" s="2123"/>
      <c r="L346" s="2129">
        <f t="shared" si="45"/>
        <v>0</v>
      </c>
      <c r="M346" s="2129">
        <f t="shared" si="46"/>
        <v>0</v>
      </c>
      <c r="N346" s="2129">
        <f t="shared" si="47"/>
        <v>0</v>
      </c>
      <c r="O346" s="2128">
        <f t="shared" si="48"/>
        <v>0</v>
      </c>
      <c r="P346" s="2155"/>
    </row>
    <row r="347" spans="1:16" s="2105" customFormat="1" outlineLevel="1">
      <c r="A347" s="2108" t="str">
        <f t="shared" si="49"/>
        <v>Tủ MCCB trạm treo 1 pha</v>
      </c>
      <c r="B347" s="2181" t="s">
        <v>5654</v>
      </c>
      <c r="C347" s="2127"/>
      <c r="D347" s="2120" t="s">
        <v>5655</v>
      </c>
      <c r="E347" s="2121" t="s">
        <v>5656</v>
      </c>
      <c r="F347" s="2120" t="s">
        <v>2555</v>
      </c>
      <c r="G347" s="2127">
        <f>G345</f>
        <v>0</v>
      </c>
      <c r="H347" s="2123">
        <v>2971168</v>
      </c>
      <c r="I347" s="2123"/>
      <c r="J347" s="2123">
        <v>599038</v>
      </c>
      <c r="K347" s="2123">
        <v>97369</v>
      </c>
      <c r="L347" s="2129">
        <f t="shared" si="45"/>
        <v>0</v>
      </c>
      <c r="M347" s="2129">
        <f t="shared" si="46"/>
        <v>0</v>
      </c>
      <c r="N347" s="2129">
        <f t="shared" si="47"/>
        <v>0</v>
      </c>
      <c r="O347" s="2128">
        <f t="shared" si="48"/>
        <v>0</v>
      </c>
      <c r="P347" s="2155"/>
    </row>
    <row r="348" spans="1:16" s="2105" customFormat="1" outlineLevel="1">
      <c r="A348" s="2108" t="str">
        <f t="shared" si="49"/>
        <v>Cổ dê bắt tủ</v>
      </c>
      <c r="B348" s="2130" t="s">
        <v>879</v>
      </c>
      <c r="C348" s="2127"/>
      <c r="D348" s="2120">
        <v>0</v>
      </c>
      <c r="E348" s="2121" t="s">
        <v>2982</v>
      </c>
      <c r="F348" s="2120" t="s">
        <v>2439</v>
      </c>
      <c r="G348" s="2127">
        <f>2*G345</f>
        <v>0</v>
      </c>
      <c r="H348" s="2123">
        <v>168000</v>
      </c>
      <c r="I348" s="2128"/>
      <c r="J348" s="2123">
        <v>0</v>
      </c>
      <c r="K348" s="2123">
        <v>0</v>
      </c>
      <c r="L348" s="2129">
        <f t="shared" si="45"/>
        <v>0</v>
      </c>
      <c r="M348" s="2129">
        <f t="shared" si="46"/>
        <v>0</v>
      </c>
      <c r="N348" s="2129">
        <f t="shared" si="47"/>
        <v>0</v>
      </c>
      <c r="O348" s="2128">
        <f t="shared" si="48"/>
        <v>0</v>
      </c>
      <c r="P348" s="2155"/>
    </row>
    <row r="349" spans="1:16" s="2105" customFormat="1" outlineLevel="1">
      <c r="A349" s="2108" t="str">
        <f t="shared" si="49"/>
        <v xml:space="preserve">Bakelit 550x450 dầy 10mm </v>
      </c>
      <c r="B349" s="2130" t="s">
        <v>880</v>
      </c>
      <c r="C349" s="2127"/>
      <c r="D349" s="2120">
        <v>0</v>
      </c>
      <c r="E349" s="2121" t="s">
        <v>5799</v>
      </c>
      <c r="F349" s="2120" t="s">
        <v>2555</v>
      </c>
      <c r="G349" s="2127">
        <f>G345</f>
        <v>0</v>
      </c>
      <c r="H349" s="2123">
        <v>284000</v>
      </c>
      <c r="I349" s="2128"/>
      <c r="J349" s="2123">
        <v>5404</v>
      </c>
      <c r="K349" s="2123">
        <v>0</v>
      </c>
      <c r="L349" s="2129">
        <f t="shared" si="45"/>
        <v>0</v>
      </c>
      <c r="M349" s="2129">
        <f t="shared" si="46"/>
        <v>0</v>
      </c>
      <c r="N349" s="2129">
        <f t="shared" si="47"/>
        <v>0</v>
      </c>
      <c r="O349" s="2128">
        <f t="shared" si="48"/>
        <v>0</v>
      </c>
      <c r="P349" s="2155"/>
    </row>
    <row r="350" spans="1:16" s="2105" customFormat="1" outlineLevel="1">
      <c r="A350" s="2108" t="e">
        <f t="shared" si="49"/>
        <v>#N/A</v>
      </c>
      <c r="B350" s="2130"/>
      <c r="C350" s="2142">
        <f>IF(G350&gt;0,C345+1,C345)</f>
        <v>0</v>
      </c>
      <c r="D350" s="2146"/>
      <c r="E350" s="2171" t="s">
        <v>6139</v>
      </c>
      <c r="F350" s="2142" t="s">
        <v>2385</v>
      </c>
      <c r="G350" s="2142">
        <f>G345</f>
        <v>0</v>
      </c>
      <c r="H350" s="2123"/>
      <c r="I350" s="2128"/>
      <c r="J350" s="2123"/>
      <c r="K350" s="2123"/>
      <c r="L350" s="2129">
        <f t="shared" si="45"/>
        <v>0</v>
      </c>
      <c r="M350" s="2129">
        <f t="shared" si="46"/>
        <v>0</v>
      </c>
      <c r="N350" s="2129">
        <f t="shared" si="47"/>
        <v>0</v>
      </c>
      <c r="O350" s="2128">
        <f t="shared" si="48"/>
        <v>0</v>
      </c>
      <c r="P350" s="2155"/>
    </row>
    <row r="351" spans="1:16" s="2105" customFormat="1" ht="14.4" outlineLevel="1">
      <c r="A351" s="2108" t="e">
        <f t="shared" si="49"/>
        <v>#N/A</v>
      </c>
      <c r="B351" s="2130"/>
      <c r="C351" s="2142"/>
      <c r="D351" s="2146"/>
      <c r="E351" s="2172" t="s">
        <v>6133</v>
      </c>
      <c r="F351" s="2127"/>
      <c r="G351" s="2127"/>
      <c r="H351" s="2123"/>
      <c r="I351" s="2128"/>
      <c r="J351" s="2123"/>
      <c r="K351" s="2123"/>
      <c r="L351" s="2129">
        <f t="shared" si="45"/>
        <v>0</v>
      </c>
      <c r="M351" s="2129">
        <f t="shared" si="46"/>
        <v>0</v>
      </c>
      <c r="N351" s="2129">
        <f t="shared" si="47"/>
        <v>0</v>
      </c>
      <c r="O351" s="2128">
        <f t="shared" si="48"/>
        <v>0</v>
      </c>
      <c r="P351" s="2155"/>
    </row>
    <row r="352" spans="1:16" s="2105" customFormat="1" outlineLevel="1">
      <c r="A352" s="2108" t="str">
        <f t="shared" si="49"/>
        <v>Cáp 24KV C/XLPE/PVC 25mm2</v>
      </c>
      <c r="B352" s="2133" t="s">
        <v>697</v>
      </c>
      <c r="C352" s="2127"/>
      <c r="D352" s="2120">
        <v>0</v>
      </c>
      <c r="E352" s="2121" t="s">
        <v>5087</v>
      </c>
      <c r="F352" s="2120" t="s">
        <v>2532</v>
      </c>
      <c r="G352" s="2127">
        <f>3*G350</f>
        <v>0</v>
      </c>
      <c r="H352" s="2123">
        <v>50996</v>
      </c>
      <c r="I352" s="2123"/>
      <c r="J352" s="2123">
        <v>0</v>
      </c>
      <c r="K352" s="2123">
        <v>0</v>
      </c>
      <c r="L352" s="2129">
        <f t="shared" si="45"/>
        <v>0</v>
      </c>
      <c r="M352" s="2129">
        <f t="shared" si="46"/>
        <v>0</v>
      </c>
      <c r="N352" s="2129">
        <f t="shared" si="47"/>
        <v>0</v>
      </c>
      <c r="O352" s="2128">
        <f t="shared" si="48"/>
        <v>0</v>
      </c>
      <c r="P352" s="2155"/>
    </row>
    <row r="353" spans="1:16" s="2105" customFormat="1" outlineLevel="1">
      <c r="A353" s="2108" t="str">
        <f t="shared" si="49"/>
        <v>Kẹp quai 2/0</v>
      </c>
      <c r="B353" s="2118" t="s">
        <v>1479</v>
      </c>
      <c r="C353" s="2127"/>
      <c r="D353" s="2120">
        <v>0</v>
      </c>
      <c r="E353" s="2121" t="s">
        <v>3791</v>
      </c>
      <c r="F353" s="2120" t="s">
        <v>2555</v>
      </c>
      <c r="G353" s="2127">
        <f>G350</f>
        <v>0</v>
      </c>
      <c r="H353" s="2123">
        <v>46000</v>
      </c>
      <c r="I353" s="2123"/>
      <c r="J353" s="2123">
        <v>0</v>
      </c>
      <c r="K353" s="2123">
        <v>0</v>
      </c>
      <c r="L353" s="2129">
        <f t="shared" si="45"/>
        <v>0</v>
      </c>
      <c r="M353" s="2129">
        <f t="shared" si="46"/>
        <v>0</v>
      </c>
      <c r="N353" s="2129">
        <f t="shared" si="47"/>
        <v>0</v>
      </c>
      <c r="O353" s="2128">
        <f t="shared" si="48"/>
        <v>0</v>
      </c>
      <c r="P353" s="2155"/>
    </row>
    <row r="354" spans="1:16" s="2105" customFormat="1" outlineLevel="1">
      <c r="A354" s="2108" t="str">
        <f t="shared" si="49"/>
        <v>Kẹp hotline 2/0</v>
      </c>
      <c r="B354" s="2118" t="s">
        <v>1477</v>
      </c>
      <c r="C354" s="2127"/>
      <c r="D354" s="2120">
        <v>0</v>
      </c>
      <c r="E354" s="2121" t="s">
        <v>4335</v>
      </c>
      <c r="F354" s="2120" t="s">
        <v>2555</v>
      </c>
      <c r="G354" s="2127">
        <f>G350</f>
        <v>0</v>
      </c>
      <c r="H354" s="2123">
        <v>77000</v>
      </c>
      <c r="I354" s="2123"/>
      <c r="J354" s="2123">
        <v>0</v>
      </c>
      <c r="K354" s="2123">
        <v>0</v>
      </c>
      <c r="L354" s="2129">
        <f t="shared" si="45"/>
        <v>0</v>
      </c>
      <c r="M354" s="2129">
        <f t="shared" si="46"/>
        <v>0</v>
      </c>
      <c r="N354" s="2129">
        <f t="shared" si="47"/>
        <v>0</v>
      </c>
      <c r="O354" s="2128">
        <f t="shared" si="48"/>
        <v>0</v>
      </c>
      <c r="P354" s="2155"/>
    </row>
    <row r="355" spans="1:16" s="2105" customFormat="1" outlineLevel="1">
      <c r="A355" s="2108" t="str">
        <f t="shared" si="49"/>
        <v>Lắp cáp đồng xuống thiết bị D ≤ 95mm2</v>
      </c>
      <c r="B355" s="2118" t="s">
        <v>1525</v>
      </c>
      <c r="C355" s="2127"/>
      <c r="D355" s="2120" t="s">
        <v>5571</v>
      </c>
      <c r="E355" s="2121" t="s">
        <v>3292</v>
      </c>
      <c r="F355" s="2120" t="s">
        <v>1823</v>
      </c>
      <c r="G355" s="2127">
        <f>G352</f>
        <v>0</v>
      </c>
      <c r="H355" s="2123">
        <v>0</v>
      </c>
      <c r="I355" s="2123"/>
      <c r="J355" s="2123">
        <v>13915</v>
      </c>
      <c r="K355" s="2123">
        <v>0</v>
      </c>
      <c r="L355" s="2129">
        <f>H355*G355</f>
        <v>0</v>
      </c>
      <c r="M355" s="2129">
        <f>I355*G355</f>
        <v>0</v>
      </c>
      <c r="N355" s="2129">
        <f>J355*G355</f>
        <v>0</v>
      </c>
      <c r="O355" s="2128">
        <f>K355*G355</f>
        <v>0</v>
      </c>
      <c r="P355" s="2155"/>
    </row>
    <row r="356" spans="1:16" s="2105" customFormat="1" outlineLevel="1">
      <c r="A356" s="2108" t="e">
        <f t="shared" si="49"/>
        <v>#N/A</v>
      </c>
      <c r="B356" s="2130"/>
      <c r="C356" s="2142">
        <f>IF(G356&gt;0,C350+1,C350)</f>
        <v>0</v>
      </c>
      <c r="D356" s="2146"/>
      <c r="E356" s="2158" t="s">
        <v>6144</v>
      </c>
      <c r="F356" s="2142" t="s">
        <v>2385</v>
      </c>
      <c r="G356" s="2142">
        <f>G300</f>
        <v>0</v>
      </c>
      <c r="H356" s="2123"/>
      <c r="I356" s="2128"/>
      <c r="J356" s="2123"/>
      <c r="K356" s="2123"/>
      <c r="L356" s="2129">
        <f t="shared" si="45"/>
        <v>0</v>
      </c>
      <c r="M356" s="2129">
        <f t="shared" si="46"/>
        <v>0</v>
      </c>
      <c r="N356" s="2129">
        <f t="shared" si="47"/>
        <v>0</v>
      </c>
      <c r="O356" s="2128">
        <f t="shared" si="48"/>
        <v>0</v>
      </c>
      <c r="P356" s="2155"/>
    </row>
    <row r="357" spans="1:16" s="2105" customFormat="1" ht="14.4" outlineLevel="1">
      <c r="A357" s="2108" t="e">
        <f t="shared" si="49"/>
        <v>#N/A</v>
      </c>
      <c r="B357" s="2130"/>
      <c r="C357" s="2142"/>
      <c r="D357" s="2146"/>
      <c r="E357" s="2148" t="s">
        <v>6133</v>
      </c>
      <c r="F357" s="2142"/>
      <c r="G357" s="2142"/>
      <c r="H357" s="2123"/>
      <c r="I357" s="2128"/>
      <c r="J357" s="2123"/>
      <c r="K357" s="2123"/>
      <c r="L357" s="2129">
        <f t="shared" si="45"/>
        <v>0</v>
      </c>
      <c r="M357" s="2129">
        <f t="shared" si="46"/>
        <v>0</v>
      </c>
      <c r="N357" s="2129">
        <f t="shared" si="47"/>
        <v>0</v>
      </c>
      <c r="O357" s="2128">
        <f t="shared" si="48"/>
        <v>0</v>
      </c>
      <c r="P357" s="2155"/>
    </row>
    <row r="358" spans="1:16" s="2105" customFormat="1" outlineLevel="1">
      <c r="A358" s="2108" t="str">
        <f t="shared" si="49"/>
        <v>Cáp đồng bọc CV120</v>
      </c>
      <c r="B358" s="2130" t="s">
        <v>49</v>
      </c>
      <c r="C358" s="2142"/>
      <c r="D358" s="2120">
        <v>0</v>
      </c>
      <c r="E358" s="2121" t="s">
        <v>2795</v>
      </c>
      <c r="F358" s="2120" t="s">
        <v>2532</v>
      </c>
      <c r="G358" s="2127">
        <f>G356*9</f>
        <v>0</v>
      </c>
      <c r="H358" s="2123">
        <v>236300</v>
      </c>
      <c r="I358" s="2123"/>
      <c r="J358" s="2123">
        <v>0</v>
      </c>
      <c r="K358" s="2123">
        <v>0</v>
      </c>
      <c r="L358" s="2129">
        <f t="shared" si="45"/>
        <v>0</v>
      </c>
      <c r="M358" s="2129">
        <f t="shared" si="46"/>
        <v>0</v>
      </c>
      <c r="N358" s="2129">
        <f t="shared" si="47"/>
        <v>0</v>
      </c>
      <c r="O358" s="2128">
        <f t="shared" si="48"/>
        <v>0</v>
      </c>
      <c r="P358" s="2155"/>
    </row>
    <row r="359" spans="1:16" s="2105" customFormat="1" outlineLevel="1">
      <c r="A359" s="2108" t="str">
        <f t="shared" si="49"/>
        <v xml:space="preserve">Cáp CVV 4x2,5mm2  </v>
      </c>
      <c r="B359" s="2130" t="s">
        <v>1069</v>
      </c>
      <c r="C359" s="2127"/>
      <c r="D359" s="2120" t="s">
        <v>1527</v>
      </c>
      <c r="E359" s="2121" t="s">
        <v>2784</v>
      </c>
      <c r="F359" s="2120" t="s">
        <v>2532</v>
      </c>
      <c r="G359" s="2127">
        <f>4*G356</f>
        <v>0</v>
      </c>
      <c r="H359" s="2123">
        <v>28200</v>
      </c>
      <c r="I359" s="2123"/>
      <c r="J359" s="2123">
        <v>0</v>
      </c>
      <c r="K359" s="2123">
        <v>0</v>
      </c>
      <c r="L359" s="2129">
        <f>H359*G359</f>
        <v>0</v>
      </c>
      <c r="M359" s="2129">
        <f>I359*G359</f>
        <v>0</v>
      </c>
      <c r="N359" s="2129">
        <f>J359*G359</f>
        <v>0</v>
      </c>
      <c r="O359" s="2128">
        <f>K359*G359</f>
        <v>0</v>
      </c>
      <c r="P359" s="2155"/>
    </row>
    <row r="360" spans="1:16" s="2105" customFormat="1" outlineLevel="1">
      <c r="A360" s="2108" t="str">
        <f t="shared" ref="A360:A375" si="50">VLOOKUP(B360,DonGia,3,0)</f>
        <v>Đầu cosse ép Cu 95mm2</v>
      </c>
      <c r="B360" s="2130" t="s">
        <v>6145</v>
      </c>
      <c r="C360" s="2127"/>
      <c r="D360" s="2120" t="s">
        <v>5727</v>
      </c>
      <c r="E360" s="2121" t="s">
        <v>3481</v>
      </c>
      <c r="F360" s="2120" t="s">
        <v>2555</v>
      </c>
      <c r="G360" s="2127">
        <f>G356*G305</f>
        <v>0</v>
      </c>
      <c r="H360" s="2123">
        <v>21000</v>
      </c>
      <c r="I360" s="2123"/>
      <c r="J360" s="2123">
        <v>21217.910000000003</v>
      </c>
      <c r="K360" s="2123">
        <v>3332.427897</v>
      </c>
      <c r="L360" s="2129">
        <f t="shared" si="45"/>
        <v>0</v>
      </c>
      <c r="M360" s="2129">
        <f t="shared" si="46"/>
        <v>0</v>
      </c>
      <c r="N360" s="2129">
        <f t="shared" si="47"/>
        <v>0</v>
      </c>
      <c r="O360" s="2128">
        <f t="shared" si="48"/>
        <v>0</v>
      </c>
      <c r="P360" s="2155"/>
    </row>
    <row r="361" spans="1:16" s="2105" customFormat="1" outlineLevel="1">
      <c r="A361" s="2108" t="str">
        <f t="shared" si="50"/>
        <v>Đầu cosse ép Cu 50mm2</v>
      </c>
      <c r="B361" s="2130" t="s">
        <v>6146</v>
      </c>
      <c r="C361" s="2127"/>
      <c r="D361" s="2120" t="s">
        <v>5725</v>
      </c>
      <c r="E361" s="2121" t="s">
        <v>3479</v>
      </c>
      <c r="F361" s="2120" t="s">
        <v>2555</v>
      </c>
      <c r="G361" s="2127">
        <f>G356</f>
        <v>0</v>
      </c>
      <c r="H361" s="2123">
        <v>9100</v>
      </c>
      <c r="I361" s="2123"/>
      <c r="J361" s="2123">
        <v>10608.955000000002</v>
      </c>
      <c r="K361" s="2123">
        <v>2777.0232475000003</v>
      </c>
      <c r="L361" s="2129">
        <f>H361*G361</f>
        <v>0</v>
      </c>
      <c r="M361" s="2129">
        <f>I361*G361</f>
        <v>0</v>
      </c>
      <c r="N361" s="2129">
        <f>J361*G361</f>
        <v>0</v>
      </c>
      <c r="O361" s="2128">
        <f>K361*G361</f>
        <v>0</v>
      </c>
      <c r="P361" s="2155"/>
    </row>
    <row r="362" spans="1:16" s="2105" customFormat="1" outlineLevel="1">
      <c r="A362" s="2108" t="str">
        <f t="shared" si="50"/>
        <v>Chụp đầu cosse  95mm2</v>
      </c>
      <c r="B362" s="2130" t="s">
        <v>94</v>
      </c>
      <c r="C362" s="2127"/>
      <c r="D362" s="2120">
        <v>0</v>
      </c>
      <c r="E362" s="2121" t="s">
        <v>3495</v>
      </c>
      <c r="F362" s="2120" t="s">
        <v>2555</v>
      </c>
      <c r="G362" s="2127">
        <f>G360</f>
        <v>0</v>
      </c>
      <c r="H362" s="2123">
        <v>4000</v>
      </c>
      <c r="I362" s="2123"/>
      <c r="J362" s="2123">
        <v>0</v>
      </c>
      <c r="K362" s="2123">
        <v>0</v>
      </c>
      <c r="L362" s="2129">
        <f>H362*G362</f>
        <v>0</v>
      </c>
      <c r="M362" s="2129">
        <f>I362*G362</f>
        <v>0</v>
      </c>
      <c r="N362" s="2129">
        <f>J362*G362</f>
        <v>0</v>
      </c>
      <c r="O362" s="2128">
        <f>K362*G362</f>
        <v>0</v>
      </c>
      <c r="P362" s="2155"/>
    </row>
    <row r="363" spans="1:16" s="2105" customFormat="1" outlineLevel="1">
      <c r="A363" s="2108" t="str">
        <f t="shared" si="50"/>
        <v>Chụp đầu cosse  50mm2</v>
      </c>
      <c r="B363" s="2130" t="s">
        <v>6147</v>
      </c>
      <c r="C363" s="2127"/>
      <c r="D363" s="2120">
        <v>0</v>
      </c>
      <c r="E363" s="2121" t="s">
        <v>3493</v>
      </c>
      <c r="F363" s="2120" t="s">
        <v>2555</v>
      </c>
      <c r="G363" s="2127">
        <f>G361</f>
        <v>0</v>
      </c>
      <c r="H363" s="2123">
        <v>1000</v>
      </c>
      <c r="I363" s="2123"/>
      <c r="J363" s="2123">
        <v>0</v>
      </c>
      <c r="K363" s="2123">
        <v>0</v>
      </c>
      <c r="L363" s="2129">
        <f t="shared" si="45"/>
        <v>0</v>
      </c>
      <c r="M363" s="2129">
        <f t="shared" si="46"/>
        <v>0</v>
      </c>
      <c r="N363" s="2129">
        <f t="shared" si="47"/>
        <v>0</v>
      </c>
      <c r="O363" s="2128">
        <f t="shared" si="48"/>
        <v>0</v>
      </c>
      <c r="P363" s="2155"/>
    </row>
    <row r="364" spans="1:16" s="2105" customFormat="1" outlineLevel="1">
      <c r="A364" s="2108" t="str">
        <f t="shared" si="50"/>
        <v>Nắp che đầu sứ MBA</v>
      </c>
      <c r="B364" s="2130" t="s">
        <v>6130</v>
      </c>
      <c r="C364" s="2127"/>
      <c r="D364" s="2120">
        <v>0</v>
      </c>
      <c r="E364" s="2121" t="s">
        <v>5708</v>
      </c>
      <c r="F364" s="2120" t="s">
        <v>2555</v>
      </c>
      <c r="G364" s="2127">
        <f>+$G$300</f>
        <v>0</v>
      </c>
      <c r="H364" s="2123">
        <v>56700</v>
      </c>
      <c r="I364" s="2123"/>
      <c r="J364" s="2123">
        <v>0</v>
      </c>
      <c r="K364" s="2123">
        <v>0</v>
      </c>
      <c r="L364" s="2129">
        <f>H364*G364</f>
        <v>0</v>
      </c>
      <c r="M364" s="2129">
        <f>I364*G364</f>
        <v>0</v>
      </c>
      <c r="N364" s="2129">
        <f>J364*G364</f>
        <v>0</v>
      </c>
      <c r="O364" s="2128">
        <f>K364*G364</f>
        <v>0</v>
      </c>
      <c r="P364" s="2155"/>
    </row>
    <row r="365" spans="1:16" s="2105" customFormat="1" outlineLevel="1">
      <c r="A365" s="2108" t="str">
        <f t="shared" si="50"/>
        <v xml:space="preserve">Ống PVC D90x3,8mm </v>
      </c>
      <c r="B365" s="2130" t="s">
        <v>282</v>
      </c>
      <c r="C365" s="2127"/>
      <c r="D365" s="2120">
        <v>0</v>
      </c>
      <c r="E365" s="2121" t="s">
        <v>3532</v>
      </c>
      <c r="F365" s="2120" t="s">
        <v>1823</v>
      </c>
      <c r="G365" s="2127">
        <f>8*G356</f>
        <v>0</v>
      </c>
      <c r="H365" s="2123">
        <v>63200</v>
      </c>
      <c r="I365" s="2128"/>
      <c r="J365" s="2123">
        <v>0</v>
      </c>
      <c r="K365" s="2123">
        <v>0</v>
      </c>
      <c r="L365" s="2129">
        <f t="shared" si="45"/>
        <v>0</v>
      </c>
      <c r="M365" s="2129">
        <f t="shared" si="46"/>
        <v>0</v>
      </c>
      <c r="N365" s="2129">
        <f t="shared" si="47"/>
        <v>0</v>
      </c>
      <c r="O365" s="2128">
        <f t="shared" si="48"/>
        <v>0</v>
      </c>
      <c r="P365" s="2155"/>
    </row>
    <row r="366" spans="1:16" s="2105" customFormat="1" outlineLevel="1">
      <c r="A366" s="2108" t="str">
        <f t="shared" si="50"/>
        <v>Cổ dê kẹp ống PVC Ø 90</v>
      </c>
      <c r="B366" s="2133" t="s">
        <v>276</v>
      </c>
      <c r="C366" s="2127"/>
      <c r="D366" s="2120">
        <v>0</v>
      </c>
      <c r="E366" s="2121" t="s">
        <v>5257</v>
      </c>
      <c r="F366" s="2120" t="s">
        <v>2439</v>
      </c>
      <c r="G366" s="2127">
        <f>3*G356</f>
        <v>0</v>
      </c>
      <c r="H366" s="2123">
        <v>49000</v>
      </c>
      <c r="I366" s="2128"/>
      <c r="J366" s="2123">
        <v>0</v>
      </c>
      <c r="K366" s="2123">
        <v>0</v>
      </c>
      <c r="L366" s="2129">
        <f t="shared" si="45"/>
        <v>0</v>
      </c>
      <c r="M366" s="2129">
        <f t="shared" si="46"/>
        <v>0</v>
      </c>
      <c r="N366" s="2129">
        <f t="shared" si="47"/>
        <v>0</v>
      </c>
      <c r="O366" s="2128">
        <f t="shared" si="48"/>
        <v>0</v>
      </c>
      <c r="P366" s="2155"/>
    </row>
    <row r="367" spans="1:16" s="2105" customFormat="1" outlineLevel="1">
      <c r="A367" s="2108" t="str">
        <f t="shared" si="50"/>
        <v>Co  90 độ PVC 90</v>
      </c>
      <c r="B367" s="2130" t="s">
        <v>69</v>
      </c>
      <c r="C367" s="2127"/>
      <c r="D367" s="2120">
        <v>0</v>
      </c>
      <c r="E367" s="2121" t="s">
        <v>5797</v>
      </c>
      <c r="F367" s="2120" t="s">
        <v>2555</v>
      </c>
      <c r="G367" s="2127">
        <f>2*G356</f>
        <v>0</v>
      </c>
      <c r="H367" s="2123">
        <v>45400</v>
      </c>
      <c r="I367" s="2128"/>
      <c r="J367" s="2123">
        <v>0</v>
      </c>
      <c r="K367" s="2123">
        <v>0</v>
      </c>
      <c r="L367" s="2129">
        <f t="shared" si="45"/>
        <v>0</v>
      </c>
      <c r="M367" s="2129">
        <f t="shared" si="46"/>
        <v>0</v>
      </c>
      <c r="N367" s="2129">
        <f t="shared" si="47"/>
        <v>0</v>
      </c>
      <c r="O367" s="2128">
        <f t="shared" si="48"/>
        <v>0</v>
      </c>
      <c r="P367" s="2155"/>
    </row>
    <row r="368" spans="1:16" s="2105" customFormat="1" outlineLevel="1">
      <c r="A368" s="2108" t="str">
        <f t="shared" si="50"/>
        <v xml:space="preserve">Nối thẳng ống PVC 90 </v>
      </c>
      <c r="B368" s="2130" t="s">
        <v>725</v>
      </c>
      <c r="C368" s="2127"/>
      <c r="D368" s="2120">
        <v>0</v>
      </c>
      <c r="E368" s="2121" t="s">
        <v>3555</v>
      </c>
      <c r="F368" s="2120" t="s">
        <v>2555</v>
      </c>
      <c r="G368" s="2127">
        <f>G356</f>
        <v>0</v>
      </c>
      <c r="H368" s="2123">
        <v>12400</v>
      </c>
      <c r="I368" s="2128"/>
      <c r="J368" s="2123">
        <v>0</v>
      </c>
      <c r="K368" s="2123">
        <v>0</v>
      </c>
      <c r="L368" s="2129">
        <f t="shared" si="45"/>
        <v>0</v>
      </c>
      <c r="M368" s="2129">
        <f t="shared" si="46"/>
        <v>0</v>
      </c>
      <c r="N368" s="2129">
        <f t="shared" si="47"/>
        <v>0</v>
      </c>
      <c r="O368" s="2128">
        <f t="shared" si="48"/>
        <v>0</v>
      </c>
      <c r="P368" s="2155"/>
    </row>
    <row r="369" spans="1:16" s="2105" customFormat="1" outlineLevel="1">
      <c r="A369" s="2108" t="str">
        <f t="shared" si="50"/>
        <v>Keo dán ống PVC (100gr)</v>
      </c>
      <c r="B369" s="2130" t="s">
        <v>2074</v>
      </c>
      <c r="C369" s="2127"/>
      <c r="D369" s="2120">
        <v>0</v>
      </c>
      <c r="E369" s="2121" t="s">
        <v>3570</v>
      </c>
      <c r="F369" s="2120" t="s">
        <v>3571</v>
      </c>
      <c r="G369" s="2127">
        <f>G356</f>
        <v>0</v>
      </c>
      <c r="H369" s="2123">
        <v>11500</v>
      </c>
      <c r="I369" s="2128"/>
      <c r="J369" s="2123">
        <v>0</v>
      </c>
      <c r="K369" s="2123">
        <v>0</v>
      </c>
      <c r="L369" s="2129">
        <f t="shared" si="45"/>
        <v>0</v>
      </c>
      <c r="M369" s="2129">
        <f t="shared" si="46"/>
        <v>0</v>
      </c>
      <c r="N369" s="2129">
        <f t="shared" si="47"/>
        <v>0</v>
      </c>
      <c r="O369" s="2128">
        <f t="shared" si="48"/>
        <v>0</v>
      </c>
      <c r="P369" s="2155"/>
    </row>
    <row r="370" spans="1:16" s="2105" customFormat="1" outlineLevel="1">
      <c r="A370" s="2108" t="str">
        <f t="shared" si="50"/>
        <v>Keo silicon bít miệng ống</v>
      </c>
      <c r="B370" s="2130" t="s">
        <v>489</v>
      </c>
      <c r="C370" s="2127"/>
      <c r="D370" s="2120">
        <v>0</v>
      </c>
      <c r="E370" s="2121" t="s">
        <v>3567</v>
      </c>
      <c r="F370" s="2120" t="s">
        <v>5806</v>
      </c>
      <c r="G370" s="2127">
        <f>G356</f>
        <v>0</v>
      </c>
      <c r="H370" s="2123">
        <v>45000</v>
      </c>
      <c r="I370" s="2128"/>
      <c r="J370" s="2123">
        <v>0</v>
      </c>
      <c r="K370" s="2123">
        <v>0</v>
      </c>
      <c r="L370" s="2129">
        <f>H370*G370</f>
        <v>0</v>
      </c>
      <c r="M370" s="2129">
        <f>I370*G370</f>
        <v>0</v>
      </c>
      <c r="N370" s="2129">
        <f>J370*G370</f>
        <v>0</v>
      </c>
      <c r="O370" s="2128">
        <f>K370*G370</f>
        <v>0</v>
      </c>
      <c r="P370" s="2155"/>
    </row>
    <row r="371" spans="1:16" s="2105" customFormat="1" outlineLevel="1">
      <c r="A371" s="2108" t="str">
        <f t="shared" si="50"/>
        <v>Băng keo cách điện</v>
      </c>
      <c r="B371" s="2133" t="s">
        <v>672</v>
      </c>
      <c r="C371" s="2127"/>
      <c r="D371" s="2150"/>
      <c r="E371" s="2121" t="s">
        <v>5801</v>
      </c>
      <c r="F371" s="2120" t="s">
        <v>3566</v>
      </c>
      <c r="G371" s="2127">
        <f>G356</f>
        <v>0</v>
      </c>
      <c r="H371" s="2123">
        <v>6500</v>
      </c>
      <c r="I371" s="2128"/>
      <c r="J371" s="2123">
        <v>0</v>
      </c>
      <c r="K371" s="2123">
        <v>0</v>
      </c>
      <c r="L371" s="2129">
        <f t="shared" si="45"/>
        <v>0</v>
      </c>
      <c r="M371" s="2129">
        <f t="shared" si="46"/>
        <v>0</v>
      </c>
      <c r="N371" s="2129">
        <f t="shared" si="47"/>
        <v>0</v>
      </c>
      <c r="O371" s="2128">
        <f t="shared" si="48"/>
        <v>0</v>
      </c>
      <c r="P371" s="2155"/>
    </row>
    <row r="372" spans="1:16" s="2105" customFormat="1" outlineLevel="1">
      <c r="A372" s="2108" t="str">
        <f t="shared" si="50"/>
        <v>Lắp ống nhựa PVC D90</v>
      </c>
      <c r="B372" s="2130" t="s">
        <v>2182</v>
      </c>
      <c r="C372" s="2127"/>
      <c r="D372" s="2120" t="s">
        <v>5547</v>
      </c>
      <c r="E372" s="2121" t="s">
        <v>3252</v>
      </c>
      <c r="F372" s="2120" t="s">
        <v>2532</v>
      </c>
      <c r="G372" s="2127">
        <f>G365</f>
        <v>0</v>
      </c>
      <c r="H372" s="2123"/>
      <c r="I372" s="2128"/>
      <c r="J372" s="2123">
        <v>55493.02</v>
      </c>
      <c r="K372" s="2123">
        <v>0</v>
      </c>
      <c r="L372" s="2129">
        <f t="shared" si="45"/>
        <v>0</v>
      </c>
      <c r="M372" s="2129">
        <f t="shared" si="46"/>
        <v>0</v>
      </c>
      <c r="N372" s="2129">
        <f t="shared" si="47"/>
        <v>0</v>
      </c>
      <c r="O372" s="2128">
        <f t="shared" si="48"/>
        <v>0</v>
      </c>
      <c r="P372" s="2155"/>
    </row>
    <row r="373" spans="1:16" s="2105" customFormat="1" outlineLevel="1">
      <c r="A373" s="2108" t="str">
        <f t="shared" si="50"/>
        <v>Lắp cáp đồng xuống thiết bị D ≤ 95mm2</v>
      </c>
      <c r="B373" s="2133" t="s">
        <v>1525</v>
      </c>
      <c r="C373" s="2127"/>
      <c r="D373" s="2120" t="s">
        <v>5571</v>
      </c>
      <c r="E373" s="2121" t="s">
        <v>3292</v>
      </c>
      <c r="F373" s="2120" t="s">
        <v>1823</v>
      </c>
      <c r="G373" s="2127">
        <f>G358</f>
        <v>0</v>
      </c>
      <c r="H373" s="2123"/>
      <c r="I373" s="2128"/>
      <c r="J373" s="2123">
        <v>13915</v>
      </c>
      <c r="K373" s="2123">
        <v>0</v>
      </c>
      <c r="L373" s="2129">
        <f>H373*G373</f>
        <v>0</v>
      </c>
      <c r="M373" s="2129">
        <f>I373*G373</f>
        <v>0</v>
      </c>
      <c r="N373" s="2129">
        <f>J373*G373</f>
        <v>0</v>
      </c>
      <c r="O373" s="2128">
        <f>K373*G373</f>
        <v>0</v>
      </c>
      <c r="P373" s="2155"/>
    </row>
    <row r="374" spans="1:16" s="2105" customFormat="1" outlineLevel="1">
      <c r="A374" s="2108" t="str">
        <f t="shared" si="50"/>
        <v>Bảng tên trạm, bảng báo nguy hiểm + đinh vít</v>
      </c>
      <c r="B374" s="2130" t="s">
        <v>289</v>
      </c>
      <c r="C374" s="2160">
        <f>IF(G374&gt;0,C356+1,C356)</f>
        <v>0</v>
      </c>
      <c r="D374" s="2161"/>
      <c r="E374" s="2121" t="s">
        <v>5712</v>
      </c>
      <c r="F374" s="2120" t="s">
        <v>2555</v>
      </c>
      <c r="G374" s="2160">
        <f>G323</f>
        <v>0</v>
      </c>
      <c r="H374" s="2123">
        <v>300000</v>
      </c>
      <c r="I374" s="2163"/>
      <c r="J374" s="2123">
        <v>0</v>
      </c>
      <c r="K374" s="2123">
        <v>0</v>
      </c>
      <c r="L374" s="2162">
        <f t="shared" si="45"/>
        <v>0</v>
      </c>
      <c r="M374" s="2162">
        <f t="shared" si="46"/>
        <v>0</v>
      </c>
      <c r="N374" s="2162">
        <f t="shared" si="47"/>
        <v>0</v>
      </c>
      <c r="O374" s="2163">
        <f t="shared" si="48"/>
        <v>0</v>
      </c>
      <c r="P374" s="2179"/>
    </row>
    <row r="375" spans="1:16" s="2105" customFormat="1" outlineLevel="1">
      <c r="A375" s="2108" t="e">
        <f t="shared" si="50"/>
        <v>#N/A</v>
      </c>
      <c r="B375" s="2130"/>
      <c r="C375" s="2165"/>
      <c r="D375" s="2166"/>
      <c r="E375" s="2139"/>
      <c r="F375" s="2622"/>
      <c r="G375" s="2622"/>
      <c r="H375" s="2622"/>
      <c r="I375" s="2622"/>
      <c r="J375" s="2658" t="s">
        <v>6131</v>
      </c>
      <c r="K375" s="2658"/>
      <c r="L375" s="2167">
        <f>SUM(L311:L374)</f>
        <v>0</v>
      </c>
      <c r="M375" s="2167"/>
      <c r="N375" s="2167">
        <f>SUM(N311:N374)</f>
        <v>0</v>
      </c>
      <c r="O375" s="2167">
        <f>SUM(O311:O374)</f>
        <v>0</v>
      </c>
      <c r="P375" s="2170"/>
    </row>
    <row r="376" spans="1:16" s="2105" customFormat="1" ht="13.95" customHeight="1">
      <c r="A376" s="2149" t="str">
        <f>IF(G381&lt;&gt;0,1,"")</f>
        <v/>
      </c>
      <c r="B376" s="2131"/>
      <c r="C376" s="2623"/>
      <c r="D376" s="2149"/>
    </row>
    <row r="377" spans="1:16" s="2105" customFormat="1" outlineLevel="1">
      <c r="A377" s="2108" t="e">
        <f t="shared" ref="A377:A408" si="51">VLOOKUP(B377,DonGia,3,0)</f>
        <v>#N/A</v>
      </c>
      <c r="B377" s="2131"/>
      <c r="C377" s="2144" t="str">
        <f>"BẢNG TỔNG HỢP VẬT LIỆU, NHÂN CÔNG, MÁY THI CÔNG: "&amp;H10&amp;" TRẠM 1P_75KVA"</f>
        <v>BẢNG TỔNG HỢP VẬT LIỆU, NHÂN CÔNG, MÁY THI CÔNG: 0 TRẠM 1P_75KVA</v>
      </c>
      <c r="D377" s="2625"/>
      <c r="E377" s="2144"/>
      <c r="F377" s="2144"/>
      <c r="G377" s="2144"/>
      <c r="H377" s="2144"/>
      <c r="I377" s="2144"/>
      <c r="J377" s="2144"/>
      <c r="K377" s="2144"/>
      <c r="L377" s="2144"/>
      <c r="M377" s="2144"/>
      <c r="N377" s="2144"/>
      <c r="O377" s="2144"/>
      <c r="P377" s="2149"/>
    </row>
    <row r="378" spans="1:16" s="2105" customFormat="1" outlineLevel="1">
      <c r="A378" s="2108" t="e">
        <f t="shared" si="51"/>
        <v>#N/A</v>
      </c>
      <c r="B378" s="2130" t="s">
        <v>6112</v>
      </c>
      <c r="C378" s="2648" t="s">
        <v>1708</v>
      </c>
      <c r="D378" s="2649" t="s">
        <v>2597</v>
      </c>
      <c r="E378" s="2651" t="s">
        <v>2598</v>
      </c>
      <c r="F378" s="2648" t="s">
        <v>2593</v>
      </c>
      <c r="G378" s="2109" t="s">
        <v>6113</v>
      </c>
      <c r="H378" s="2112" t="s">
        <v>6114</v>
      </c>
      <c r="I378" s="2619"/>
      <c r="J378" s="2619"/>
      <c r="K378" s="2620"/>
      <c r="L378" s="2112" t="s">
        <v>6115</v>
      </c>
      <c r="M378" s="2619"/>
      <c r="N378" s="2619"/>
      <c r="O378" s="2620"/>
      <c r="P378" s="2648" t="s">
        <v>2599</v>
      </c>
    </row>
    <row r="379" spans="1:16" s="2105" customFormat="1" outlineLevel="1">
      <c r="A379" s="2108" t="e">
        <f t="shared" si="51"/>
        <v>#N/A</v>
      </c>
      <c r="B379" s="2130"/>
      <c r="C379" s="2648"/>
      <c r="D379" s="2650"/>
      <c r="E379" s="2652"/>
      <c r="F379" s="2648"/>
      <c r="G379" s="2111" t="s">
        <v>2286</v>
      </c>
      <c r="H379" s="2112" t="s">
        <v>6116</v>
      </c>
      <c r="I379" s="2112" t="s">
        <v>6117</v>
      </c>
      <c r="J379" s="2112" t="s">
        <v>6118</v>
      </c>
      <c r="K379" s="2112" t="s">
        <v>6119</v>
      </c>
      <c r="L379" s="2112" t="s">
        <v>6116</v>
      </c>
      <c r="M379" s="2112" t="s">
        <v>6117</v>
      </c>
      <c r="N379" s="2112" t="s">
        <v>6118</v>
      </c>
      <c r="O379" s="2112" t="s">
        <v>6119</v>
      </c>
      <c r="P379" s="2648"/>
    </row>
    <row r="380" spans="1:16" s="2105" customFormat="1" outlineLevel="1">
      <c r="A380" s="2108" t="e">
        <f t="shared" si="51"/>
        <v>#N/A</v>
      </c>
      <c r="B380" s="2130"/>
      <c r="C380" s="2113"/>
      <c r="D380" s="2114"/>
      <c r="E380" s="2115" t="s">
        <v>3672</v>
      </c>
      <c r="F380" s="2116"/>
      <c r="G380" s="2116"/>
      <c r="H380" s="2116"/>
      <c r="I380" s="2116"/>
      <c r="J380" s="2116"/>
      <c r="K380" s="2116"/>
      <c r="L380" s="2116"/>
      <c r="M380" s="2116"/>
      <c r="N380" s="2116"/>
      <c r="O380" s="2114"/>
      <c r="P380" s="2117"/>
    </row>
    <row r="381" spans="1:16" s="2105" customFormat="1" outlineLevel="1">
      <c r="A381" s="2108" t="str">
        <f t="shared" si="51"/>
        <v>Máy biến áp 12,7/0,23-0,46kV  75kVA</v>
      </c>
      <c r="B381" s="2118" t="str">
        <f>IF($F$8=22,"TR751","TR75")</f>
        <v>TR751</v>
      </c>
      <c r="C381" s="2119">
        <f>IF(G381&gt;0,1,0)</f>
        <v>0</v>
      </c>
      <c r="D381" s="2120" t="s">
        <v>5585</v>
      </c>
      <c r="E381" s="2121" t="s">
        <v>5588</v>
      </c>
      <c r="F381" s="2120" t="s">
        <v>3300</v>
      </c>
      <c r="G381" s="2183">
        <f>H10</f>
        <v>0</v>
      </c>
      <c r="H381" s="2123">
        <v>0</v>
      </c>
      <c r="I381" s="2123"/>
      <c r="J381" s="2123">
        <v>838653</v>
      </c>
      <c r="K381" s="2123">
        <v>284508</v>
      </c>
      <c r="L381" s="2129">
        <f t="shared" ref="L381:L389" si="52">H381*G381</f>
        <v>0</v>
      </c>
      <c r="M381" s="2129">
        <f t="shared" ref="M381:M386" si="53">I381*G381</f>
        <v>0</v>
      </c>
      <c r="N381" s="2129">
        <f t="shared" ref="N381:N386" si="54">J381*G381</f>
        <v>0</v>
      </c>
      <c r="O381" s="2128">
        <f t="shared" ref="O381:O386" si="55">K381*G381</f>
        <v>0</v>
      </c>
      <c r="P381" s="2155"/>
    </row>
    <row r="382" spans="1:16" s="2105" customFormat="1" outlineLevel="1">
      <c r="A382" s="2108" t="str">
        <f t="shared" si="51"/>
        <v>FCO 24kV - 100A</v>
      </c>
      <c r="B382" s="2118" t="str">
        <f>"FCO100-"&amp;$F$8</f>
        <v>FCO100-22</v>
      </c>
      <c r="C382" s="2119">
        <f t="shared" ref="C382:C389" si="56">IF(G382&gt;0,C381+1,C381)</f>
        <v>0</v>
      </c>
      <c r="D382" s="2120" t="s">
        <v>5598</v>
      </c>
      <c r="E382" s="2121" t="s">
        <v>95</v>
      </c>
      <c r="F382" s="2120" t="s">
        <v>2555</v>
      </c>
      <c r="G382" s="2184">
        <f>+G381</f>
        <v>0</v>
      </c>
      <c r="H382" s="2123">
        <v>2244280</v>
      </c>
      <c r="I382" s="2123"/>
      <c r="J382" s="2123">
        <v>222639.99999999997</v>
      </c>
      <c r="K382" s="2123">
        <v>0</v>
      </c>
      <c r="L382" s="2129">
        <f t="shared" si="52"/>
        <v>0</v>
      </c>
      <c r="M382" s="2129">
        <f t="shared" si="53"/>
        <v>0</v>
      </c>
      <c r="N382" s="2129">
        <f t="shared" si="54"/>
        <v>0</v>
      </c>
      <c r="O382" s="2128">
        <f t="shared" si="55"/>
        <v>0</v>
      </c>
      <c r="P382" s="2155"/>
    </row>
    <row r="383" spans="1:16" s="2105" customFormat="1" outlineLevel="1">
      <c r="A383" s="2108" t="str">
        <f t="shared" si="51"/>
        <v>Dây chảy 8K</v>
      </c>
      <c r="B383" s="2118" t="s">
        <v>1027</v>
      </c>
      <c r="C383" s="2119">
        <f t="shared" si="56"/>
        <v>0</v>
      </c>
      <c r="D383" s="2120">
        <v>0</v>
      </c>
      <c r="E383" s="2121" t="s">
        <v>3424</v>
      </c>
      <c r="F383" s="2120" t="s">
        <v>2600</v>
      </c>
      <c r="G383" s="2184">
        <f>G382</f>
        <v>0</v>
      </c>
      <c r="H383" s="2123">
        <v>84000</v>
      </c>
      <c r="I383" s="2123"/>
      <c r="J383" s="2123">
        <v>0</v>
      </c>
      <c r="K383" s="2123">
        <v>0</v>
      </c>
      <c r="L383" s="2129">
        <f t="shared" si="52"/>
        <v>0</v>
      </c>
      <c r="M383" s="2129">
        <f t="shared" si="53"/>
        <v>0</v>
      </c>
      <c r="N383" s="2129">
        <f t="shared" si="54"/>
        <v>0</v>
      </c>
      <c r="O383" s="2128">
        <f t="shared" si="55"/>
        <v>0</v>
      </c>
      <c r="P383" s="2155"/>
    </row>
    <row r="384" spans="1:16" s="2105" customFormat="1" outlineLevel="1">
      <c r="A384" s="2108" t="str">
        <f t="shared" si="51"/>
        <v>Chống sét van LA-18KV-10KA</v>
      </c>
      <c r="B384" s="2131" t="str">
        <f>"LA"&amp;$F$6</f>
        <v>LA18</v>
      </c>
      <c r="C384" s="2119">
        <f t="shared" si="56"/>
        <v>0</v>
      </c>
      <c r="D384" s="2120" t="s">
        <v>5602</v>
      </c>
      <c r="E384" s="2121" t="s">
        <v>1193</v>
      </c>
      <c r="F384" s="2120" t="s">
        <v>2555</v>
      </c>
      <c r="G384" s="2184">
        <f>G382</f>
        <v>0</v>
      </c>
      <c r="H384" s="2123">
        <v>1106000</v>
      </c>
      <c r="I384" s="2123"/>
      <c r="J384" s="2123">
        <v>83490</v>
      </c>
      <c r="K384" s="2123">
        <v>0</v>
      </c>
      <c r="L384" s="2129">
        <f t="shared" si="52"/>
        <v>0</v>
      </c>
      <c r="M384" s="2129">
        <f t="shared" si="53"/>
        <v>0</v>
      </c>
      <c r="N384" s="2129">
        <f t="shared" si="54"/>
        <v>0</v>
      </c>
      <c r="O384" s="2128">
        <f t="shared" si="55"/>
        <v>0</v>
      </c>
      <c r="P384" s="2155"/>
    </row>
    <row r="385" spans="1:18" s="2105" customFormat="1" outlineLevel="1">
      <c r="A385" s="2108" t="str">
        <f t="shared" si="51"/>
        <v xml:space="preserve">Biến dòng 600V - 200/5A </v>
      </c>
      <c r="B385" s="2132" t="s">
        <v>1116</v>
      </c>
      <c r="C385" s="2119">
        <f t="shared" si="56"/>
        <v>0</v>
      </c>
      <c r="D385" s="2120">
        <v>0</v>
      </c>
      <c r="E385" s="2121" t="s">
        <v>3359</v>
      </c>
      <c r="F385" s="2120" t="s">
        <v>2555</v>
      </c>
      <c r="G385" s="2184">
        <f>G381*2</f>
        <v>0</v>
      </c>
      <c r="H385" s="2123">
        <v>0</v>
      </c>
      <c r="I385" s="2123"/>
      <c r="J385" s="2123">
        <v>0</v>
      </c>
      <c r="K385" s="2123">
        <v>0</v>
      </c>
      <c r="L385" s="2129">
        <f t="shared" si="52"/>
        <v>0</v>
      </c>
      <c r="M385" s="2129">
        <f t="shared" si="53"/>
        <v>0</v>
      </c>
      <c r="N385" s="2129">
        <f t="shared" si="54"/>
        <v>0</v>
      </c>
      <c r="O385" s="2128">
        <f t="shared" si="55"/>
        <v>0</v>
      </c>
      <c r="P385" s="2155"/>
    </row>
    <row r="386" spans="1:18" s="2105" customFormat="1" outlineLevel="1">
      <c r="A386" s="2108" t="str">
        <f t="shared" si="51"/>
        <v>MCCB 3 cực 400V -200A - 35KA</v>
      </c>
      <c r="B386" s="2159" t="s">
        <v>1427</v>
      </c>
      <c r="C386" s="2119">
        <f t="shared" si="56"/>
        <v>0</v>
      </c>
      <c r="D386" s="2120">
        <v>0</v>
      </c>
      <c r="E386" s="2121" t="s">
        <v>5681</v>
      </c>
      <c r="F386" s="2120" t="s">
        <v>2555</v>
      </c>
      <c r="G386" s="2184">
        <f>G381</f>
        <v>0</v>
      </c>
      <c r="H386" s="2185">
        <v>9508000</v>
      </c>
      <c r="I386" s="2123"/>
      <c r="J386" s="2123"/>
      <c r="K386" s="2123">
        <v>0</v>
      </c>
      <c r="L386" s="2129">
        <f t="shared" si="52"/>
        <v>0</v>
      </c>
      <c r="M386" s="2129">
        <f t="shared" si="53"/>
        <v>0</v>
      </c>
      <c r="N386" s="2129">
        <f t="shared" si="54"/>
        <v>0</v>
      </c>
      <c r="O386" s="2128">
        <f t="shared" si="55"/>
        <v>0</v>
      </c>
      <c r="P386" s="2127" t="s">
        <v>2601</v>
      </c>
    </row>
    <row r="387" spans="1:18" s="2105" customFormat="1" outlineLevel="1">
      <c r="A387" s="2108" t="str">
        <f t="shared" si="51"/>
        <v>Điện kế 1 pha 2 dây 220V-5A</v>
      </c>
      <c r="B387" s="2133" t="s">
        <v>287</v>
      </c>
      <c r="C387" s="2119">
        <f>IF(G387&gt;0,C386+1,C386)</f>
        <v>0</v>
      </c>
      <c r="D387" s="2120">
        <v>0</v>
      </c>
      <c r="E387" s="2121" t="s">
        <v>3439</v>
      </c>
      <c r="F387" s="2120" t="s">
        <v>2555</v>
      </c>
      <c r="G387" s="2184">
        <f>G381*2</f>
        <v>0</v>
      </c>
      <c r="H387" s="2123">
        <v>0</v>
      </c>
      <c r="I387" s="2123"/>
      <c r="J387" s="2123">
        <v>0</v>
      </c>
      <c r="K387" s="2123">
        <v>0</v>
      </c>
      <c r="L387" s="2129">
        <f t="shared" si="52"/>
        <v>0</v>
      </c>
      <c r="M387" s="2129">
        <f>I387*G387</f>
        <v>0</v>
      </c>
      <c r="N387" s="2129">
        <f>J387*G387</f>
        <v>0</v>
      </c>
      <c r="O387" s="2128">
        <f>K387*G387</f>
        <v>0</v>
      </c>
      <c r="P387" s="2127" t="s">
        <v>2601</v>
      </c>
    </row>
    <row r="388" spans="1:18" s="2105" customFormat="1" outlineLevel="1">
      <c r="A388" s="2108" t="str">
        <f t="shared" si="51"/>
        <v xml:space="preserve">Ampe kế 100/5A-600v +AS </v>
      </c>
      <c r="B388" s="2130" t="s">
        <v>199</v>
      </c>
      <c r="C388" s="2119">
        <f t="shared" si="56"/>
        <v>0</v>
      </c>
      <c r="D388" s="2120">
        <v>0</v>
      </c>
      <c r="E388" s="2121" t="s">
        <v>3595</v>
      </c>
      <c r="F388" s="2120" t="s">
        <v>2385</v>
      </c>
      <c r="G388" s="2127">
        <f>G387*0</f>
        <v>0</v>
      </c>
      <c r="H388" s="2123"/>
      <c r="I388" s="2123"/>
      <c r="J388" s="2123">
        <v>0</v>
      </c>
      <c r="K388" s="2123">
        <v>0</v>
      </c>
      <c r="L388" s="2129">
        <f t="shared" si="52"/>
        <v>0</v>
      </c>
      <c r="M388" s="2129">
        <f>I388*G388</f>
        <v>0</v>
      </c>
      <c r="N388" s="2129">
        <f>J388*G388</f>
        <v>0</v>
      </c>
      <c r="O388" s="2128">
        <f>K388*G388</f>
        <v>0</v>
      </c>
      <c r="P388" s="2155"/>
    </row>
    <row r="389" spans="1:18" s="2105" customFormat="1" outlineLevel="1">
      <c r="A389" s="2108" t="str">
        <f t="shared" si="51"/>
        <v>Volt kế 500V + VS + 2xChì ống 1A-230V</v>
      </c>
      <c r="B389" s="2130" t="s">
        <v>200</v>
      </c>
      <c r="C389" s="2119">
        <f t="shared" si="56"/>
        <v>0</v>
      </c>
      <c r="D389" s="2120">
        <v>0</v>
      </c>
      <c r="E389" s="2121" t="s">
        <v>3596</v>
      </c>
      <c r="F389" s="2120" t="s">
        <v>2385</v>
      </c>
      <c r="G389" s="2127">
        <f>G388</f>
        <v>0</v>
      </c>
      <c r="H389" s="2123"/>
      <c r="I389" s="2123"/>
      <c r="J389" s="2123">
        <v>0</v>
      </c>
      <c r="K389" s="2123">
        <v>0</v>
      </c>
      <c r="L389" s="2129">
        <f t="shared" si="52"/>
        <v>0</v>
      </c>
      <c r="M389" s="2129">
        <f>I389*G389</f>
        <v>0</v>
      </c>
      <c r="N389" s="2129">
        <f>J389*G389</f>
        <v>0</v>
      </c>
      <c r="O389" s="2128">
        <f>K389*G389</f>
        <v>0</v>
      </c>
      <c r="P389" s="2179"/>
    </row>
    <row r="390" spans="1:18" s="2105" customFormat="1" outlineLevel="1">
      <c r="A390" s="2108" t="e">
        <f t="shared" si="51"/>
        <v>#N/A</v>
      </c>
      <c r="B390" s="2130"/>
      <c r="C390" s="2135"/>
      <c r="D390" s="2136"/>
      <c r="E390" s="2117"/>
      <c r="F390" s="2135"/>
      <c r="G390" s="2626"/>
      <c r="H390" s="2135"/>
      <c r="I390" s="2135"/>
      <c r="J390" s="2117" t="s">
        <v>6121</v>
      </c>
      <c r="K390" s="2135"/>
      <c r="L390" s="2117">
        <f>SUM(L381:L389)</f>
        <v>0</v>
      </c>
      <c r="M390" s="2117"/>
      <c r="N390" s="2117">
        <f>SUM(N381:N389)</f>
        <v>0</v>
      </c>
      <c r="O390" s="2117">
        <f>SUM(O381:O389)</f>
        <v>0</v>
      </c>
      <c r="P390" s="2170"/>
    </row>
    <row r="391" spans="1:18" s="2105" customFormat="1" outlineLevel="1">
      <c r="A391" s="2108" t="e">
        <f t="shared" si="51"/>
        <v>#N/A</v>
      </c>
      <c r="B391" s="2130"/>
      <c r="C391" s="2137"/>
      <c r="D391" s="2138"/>
      <c r="E391" s="2139" t="s">
        <v>3673</v>
      </c>
      <c r="F391" s="2139"/>
      <c r="G391" s="2186"/>
      <c r="H391" s="2139"/>
      <c r="I391" s="2139"/>
      <c r="J391" s="2139"/>
      <c r="K391" s="2139"/>
      <c r="L391" s="2139"/>
      <c r="M391" s="2139"/>
      <c r="N391" s="2139"/>
      <c r="O391" s="2138"/>
      <c r="P391" s="2170"/>
    </row>
    <row r="392" spans="1:18" s="2105" customFormat="1" outlineLevel="1">
      <c r="A392" s="2108" t="str">
        <f t="shared" si="51"/>
        <v>Boulon 16x300+ 2 long đền vuông D18-50x50x3/Zn</v>
      </c>
      <c r="B392" s="2130" t="s">
        <v>1610</v>
      </c>
      <c r="C392" s="2140">
        <f>IF(G404&gt;0,1,0)</f>
        <v>0</v>
      </c>
      <c r="D392" s="2146"/>
      <c r="E392" s="2121" t="s">
        <v>2649</v>
      </c>
      <c r="F392" s="2120" t="s">
        <v>2439</v>
      </c>
      <c r="G392" s="2187">
        <f>2*SUM(G381:G381)</f>
        <v>0</v>
      </c>
      <c r="H392" s="2123">
        <v>25400</v>
      </c>
      <c r="I392" s="2128"/>
      <c r="J392" s="2123">
        <v>0</v>
      </c>
      <c r="K392" s="2123">
        <v>0</v>
      </c>
      <c r="L392" s="2129">
        <f t="shared" ref="L392:L456" si="57">H392*G392</f>
        <v>0</v>
      </c>
      <c r="M392" s="2129">
        <f t="shared" ref="M392:M456" si="58">I392*G392</f>
        <v>0</v>
      </c>
      <c r="N392" s="2129">
        <f t="shared" ref="N392:N427" si="59">J392*G392</f>
        <v>0</v>
      </c>
      <c r="O392" s="2128">
        <f t="shared" ref="O392:O456" si="60">K392*G392</f>
        <v>0</v>
      </c>
      <c r="P392" s="2169"/>
    </row>
    <row r="393" spans="1:18" s="2105" customFormat="1" outlineLevel="1">
      <c r="A393" s="2108" t="e">
        <f t="shared" si="51"/>
        <v>#N/A</v>
      </c>
      <c r="B393" s="2130"/>
      <c r="C393" s="2145">
        <f>IF(G393&gt;0,C392+1,C392)</f>
        <v>0</v>
      </c>
      <c r="D393" s="2146"/>
      <c r="E393" s="2147" t="s">
        <v>6138</v>
      </c>
      <c r="F393" s="2142" t="s">
        <v>2385</v>
      </c>
      <c r="G393" s="2142">
        <f>G381*0</f>
        <v>0</v>
      </c>
      <c r="H393" s="2128"/>
      <c r="I393" s="2128"/>
      <c r="J393" s="2128"/>
      <c r="K393" s="2128"/>
      <c r="L393" s="2129">
        <f t="shared" si="57"/>
        <v>0</v>
      </c>
      <c r="M393" s="2129">
        <f t="shared" si="58"/>
        <v>0</v>
      </c>
      <c r="N393" s="2129">
        <f t="shared" si="59"/>
        <v>0</v>
      </c>
      <c r="O393" s="2128">
        <f t="shared" si="60"/>
        <v>0</v>
      </c>
      <c r="P393" s="2127"/>
    </row>
    <row r="394" spans="1:18" s="2105" customFormat="1" ht="14.4" outlineLevel="1">
      <c r="A394" s="2108" t="e">
        <f t="shared" si="51"/>
        <v>#N/A</v>
      </c>
      <c r="B394" s="2130"/>
      <c r="C394" s="2142"/>
      <c r="D394" s="2146"/>
      <c r="E394" s="2148" t="s">
        <v>6133</v>
      </c>
      <c r="F394" s="2127"/>
      <c r="G394" s="2127"/>
      <c r="H394" s="2128"/>
      <c r="I394" s="2128"/>
      <c r="J394" s="2128"/>
      <c r="K394" s="2128"/>
      <c r="L394" s="2129">
        <f t="shared" si="57"/>
        <v>0</v>
      </c>
      <c r="M394" s="2129">
        <f t="shared" si="58"/>
        <v>0</v>
      </c>
      <c r="N394" s="2129">
        <f t="shared" si="59"/>
        <v>0</v>
      </c>
      <c r="O394" s="2128">
        <f t="shared" si="60"/>
        <v>0</v>
      </c>
      <c r="P394" s="2127"/>
      <c r="R394" s="2149"/>
    </row>
    <row r="395" spans="1:18" s="2105" customFormat="1" outlineLevel="1">
      <c r="A395" s="2108" t="str">
        <f t="shared" si="51"/>
        <v>Trụ BTLT 12m F540 dự ứng lực</v>
      </c>
      <c r="B395" s="2133" t="s">
        <v>115</v>
      </c>
      <c r="C395" s="2127"/>
      <c r="D395" s="2120">
        <v>0</v>
      </c>
      <c r="E395" s="2121" t="s">
        <v>2992</v>
      </c>
      <c r="F395" s="2120" t="s">
        <v>2831</v>
      </c>
      <c r="G395" s="2127">
        <f>1*G393</f>
        <v>0</v>
      </c>
      <c r="H395" s="2123">
        <v>4400000</v>
      </c>
      <c r="I395" s="2123"/>
      <c r="J395" s="2123">
        <v>0</v>
      </c>
      <c r="K395" s="2123">
        <v>0</v>
      </c>
      <c r="L395" s="2129">
        <f t="shared" si="57"/>
        <v>0</v>
      </c>
      <c r="M395" s="2129">
        <f t="shared" si="58"/>
        <v>0</v>
      </c>
      <c r="N395" s="2129">
        <f t="shared" si="59"/>
        <v>0</v>
      </c>
      <c r="O395" s="2128">
        <f t="shared" si="60"/>
        <v>0</v>
      </c>
      <c r="P395" s="2127"/>
      <c r="R395" s="2149"/>
    </row>
    <row r="396" spans="1:18" s="2105" customFormat="1" outlineLevel="1">
      <c r="A396" s="2108" t="str">
        <f t="shared" si="51"/>
        <v>Vật liệu dựng trụ</v>
      </c>
      <c r="B396" s="2133" t="s">
        <v>1814</v>
      </c>
      <c r="C396" s="2127"/>
      <c r="D396" s="2150"/>
      <c r="E396" s="2121" t="s">
        <v>2830</v>
      </c>
      <c r="F396" s="2120" t="s">
        <v>2831</v>
      </c>
      <c r="G396" s="2127">
        <f>G395</f>
        <v>0</v>
      </c>
      <c r="H396" s="2123">
        <v>17400</v>
      </c>
      <c r="I396" s="2123"/>
      <c r="J396" s="2123">
        <v>0</v>
      </c>
      <c r="K396" s="2123">
        <v>0</v>
      </c>
      <c r="L396" s="2129">
        <f t="shared" si="57"/>
        <v>0</v>
      </c>
      <c r="M396" s="2129">
        <f t="shared" si="58"/>
        <v>0</v>
      </c>
      <c r="N396" s="2129">
        <f t="shared" si="59"/>
        <v>0</v>
      </c>
      <c r="O396" s="2128">
        <f t="shared" si="60"/>
        <v>0</v>
      </c>
      <c r="P396" s="2127"/>
      <c r="R396" s="2149"/>
    </row>
    <row r="397" spans="1:18" s="2105" customFormat="1" outlineLevel="1">
      <c r="A397" s="2108" t="str">
        <f t="shared" si="51"/>
        <v>Dựng trụ BTLT 12m trong TBA bằng thủ công + cơ giới</v>
      </c>
      <c r="B397" s="2133" t="s">
        <v>2126</v>
      </c>
      <c r="C397" s="2127"/>
      <c r="D397" s="2150"/>
      <c r="E397" s="2121" t="s">
        <v>3167</v>
      </c>
      <c r="F397" s="2120" t="s">
        <v>2831</v>
      </c>
      <c r="G397" s="2127">
        <f>G395</f>
        <v>0</v>
      </c>
      <c r="H397" s="2123">
        <v>0</v>
      </c>
      <c r="I397" s="2123"/>
      <c r="J397" s="2123">
        <v>112286</v>
      </c>
      <c r="K397" s="2123">
        <v>105970</v>
      </c>
      <c r="L397" s="2129">
        <f t="shared" si="57"/>
        <v>0</v>
      </c>
      <c r="M397" s="2129">
        <f t="shared" si="58"/>
        <v>0</v>
      </c>
      <c r="N397" s="2129">
        <f t="shared" si="59"/>
        <v>0</v>
      </c>
      <c r="O397" s="2128">
        <f t="shared" si="60"/>
        <v>0</v>
      </c>
      <c r="P397" s="2127"/>
      <c r="R397" s="2149"/>
    </row>
    <row r="398" spans="1:18" s="2105" customFormat="1" outlineLevel="1">
      <c r="A398" s="2108" t="e">
        <f t="shared" si="51"/>
        <v>#N/A</v>
      </c>
      <c r="B398" s="2130"/>
      <c r="C398" s="2145">
        <f>IF(G398&gt;0,C393+1,C393)</f>
        <v>0</v>
      </c>
      <c r="D398" s="2146"/>
      <c r="E398" s="2147" t="s">
        <v>6148</v>
      </c>
      <c r="F398" s="2142" t="s">
        <v>2385</v>
      </c>
      <c r="G398" s="2187">
        <f>G381</f>
        <v>0</v>
      </c>
      <c r="H398" s="2128"/>
      <c r="I398" s="2128"/>
      <c r="J398" s="2128"/>
      <c r="K398" s="2128"/>
      <c r="L398" s="2129">
        <f t="shared" si="57"/>
        <v>0</v>
      </c>
      <c r="M398" s="2129">
        <f t="shared" si="58"/>
        <v>0</v>
      </c>
      <c r="N398" s="2129">
        <f t="shared" si="59"/>
        <v>0</v>
      </c>
      <c r="O398" s="2128">
        <f t="shared" si="60"/>
        <v>0</v>
      </c>
      <c r="P398" s="2127"/>
    </row>
    <row r="399" spans="1:18" s="2105" customFormat="1" ht="14.4" outlineLevel="1">
      <c r="A399" s="2108" t="e">
        <f t="shared" si="51"/>
        <v>#N/A</v>
      </c>
      <c r="B399" s="2130"/>
      <c r="C399" s="2142"/>
      <c r="D399" s="2146"/>
      <c r="E399" s="2148" t="s">
        <v>6133</v>
      </c>
      <c r="F399" s="2127"/>
      <c r="G399" s="2127"/>
      <c r="H399" s="2128"/>
      <c r="I399" s="2128"/>
      <c r="J399" s="2128"/>
      <c r="K399" s="2128"/>
      <c r="L399" s="2129">
        <f t="shared" si="57"/>
        <v>0</v>
      </c>
      <c r="M399" s="2129">
        <f t="shared" si="58"/>
        <v>0</v>
      </c>
      <c r="N399" s="2129">
        <f t="shared" si="59"/>
        <v>0</v>
      </c>
      <c r="O399" s="2128">
        <f t="shared" si="60"/>
        <v>0</v>
      </c>
      <c r="P399" s="2127"/>
      <c r="R399" s="2149"/>
    </row>
    <row r="400" spans="1:18" s="2105" customFormat="1" outlineLevel="1">
      <c r="A400" s="2108" t="str">
        <f t="shared" si="51"/>
        <v>Đà U160x68x5x2800 đỡ MBA</v>
      </c>
      <c r="B400" s="2180" t="s">
        <v>1136</v>
      </c>
      <c r="C400" s="2127"/>
      <c r="D400" s="2120">
        <v>0</v>
      </c>
      <c r="E400" s="2121" t="s">
        <v>6321</v>
      </c>
      <c r="F400" s="2120" t="s">
        <v>2248</v>
      </c>
      <c r="G400" s="2184">
        <f>1*G398</f>
        <v>0</v>
      </c>
      <c r="H400" s="2123">
        <v>31625</v>
      </c>
      <c r="I400" s="2123"/>
      <c r="J400" s="2123">
        <v>0</v>
      </c>
      <c r="K400" s="2123">
        <v>0</v>
      </c>
      <c r="L400" s="2129">
        <f t="shared" si="57"/>
        <v>0</v>
      </c>
      <c r="M400" s="2129">
        <f t="shared" si="58"/>
        <v>0</v>
      </c>
      <c r="N400" s="2129">
        <f t="shared" si="59"/>
        <v>0</v>
      </c>
      <c r="O400" s="2128">
        <f t="shared" si="60"/>
        <v>0</v>
      </c>
      <c r="P400" s="2127"/>
      <c r="R400" s="2149"/>
    </row>
    <row r="401" spans="1:18" s="2105" customFormat="1" outlineLevel="1">
      <c r="A401" s="2108" t="str">
        <f t="shared" si="51"/>
        <v>Boulon 16x250+ 2 long đền vuông D18-50x50x3/Zn</v>
      </c>
      <c r="B401" s="2133" t="s">
        <v>6149</v>
      </c>
      <c r="C401" s="2127"/>
      <c r="D401" s="2120">
        <v>0</v>
      </c>
      <c r="E401" s="2121" t="s">
        <v>2645</v>
      </c>
      <c r="F401" s="2120" t="s">
        <v>2439</v>
      </c>
      <c r="G401" s="2184">
        <f>G398*2</f>
        <v>0</v>
      </c>
      <c r="H401" s="2123">
        <v>13400</v>
      </c>
      <c r="I401" s="2123"/>
      <c r="J401" s="2123">
        <v>0</v>
      </c>
      <c r="K401" s="2123">
        <v>0</v>
      </c>
      <c r="L401" s="2129">
        <f t="shared" si="57"/>
        <v>0</v>
      </c>
      <c r="M401" s="2129">
        <f t="shared" si="58"/>
        <v>0</v>
      </c>
      <c r="N401" s="2129">
        <f t="shared" si="59"/>
        <v>0</v>
      </c>
      <c r="O401" s="2128">
        <f t="shared" si="60"/>
        <v>0</v>
      </c>
      <c r="P401" s="2127"/>
      <c r="R401" s="2149"/>
    </row>
    <row r="402" spans="1:18" s="2105" customFormat="1" outlineLevel="1">
      <c r="A402" s="2108" t="str">
        <f t="shared" si="51"/>
        <v>Lắp xà đỡ 2,8m đơn (42,84kg)</v>
      </c>
      <c r="B402" s="2180" t="s">
        <v>5398</v>
      </c>
      <c r="C402" s="2127"/>
      <c r="D402" s="2120" t="s">
        <v>5399</v>
      </c>
      <c r="E402" s="2121" t="s">
        <v>5400</v>
      </c>
      <c r="F402" s="2120" t="s">
        <v>2439</v>
      </c>
      <c r="G402" s="2184">
        <f>G398*1</f>
        <v>0</v>
      </c>
      <c r="H402" s="2123">
        <v>0</v>
      </c>
      <c r="I402" s="2123"/>
      <c r="J402" s="2123">
        <v>296914</v>
      </c>
      <c r="K402" s="2123">
        <v>0</v>
      </c>
      <c r="L402" s="2129">
        <f t="shared" si="57"/>
        <v>0</v>
      </c>
      <c r="M402" s="2129">
        <f t="shared" si="58"/>
        <v>0</v>
      </c>
      <c r="N402" s="2129">
        <f t="shared" si="59"/>
        <v>0</v>
      </c>
      <c r="O402" s="2128">
        <f t="shared" si="60"/>
        <v>0</v>
      </c>
      <c r="P402" s="2127"/>
      <c r="R402" s="2149"/>
    </row>
    <row r="403" spans="1:18" s="2105" customFormat="1" outlineLevel="1">
      <c r="A403" s="2108" t="str">
        <f t="shared" si="51"/>
        <v>Đắp đất hố móng, độ chặt k=0,95</v>
      </c>
      <c r="B403" s="2133" t="s">
        <v>21</v>
      </c>
      <c r="C403" s="2127"/>
      <c r="D403" s="2120" t="s">
        <v>5325</v>
      </c>
      <c r="E403" s="2121" t="s">
        <v>5326</v>
      </c>
      <c r="F403" s="2120" t="s">
        <v>856</v>
      </c>
      <c r="G403" s="2184"/>
      <c r="H403" s="2123">
        <v>0</v>
      </c>
      <c r="I403" s="2123"/>
      <c r="J403" s="2123">
        <v>117703.6</v>
      </c>
      <c r="K403" s="2123">
        <v>0</v>
      </c>
      <c r="L403" s="2129">
        <f t="shared" si="57"/>
        <v>0</v>
      </c>
      <c r="M403" s="2129">
        <f t="shared" si="58"/>
        <v>0</v>
      </c>
      <c r="N403" s="2129">
        <f t="shared" si="59"/>
        <v>0</v>
      </c>
      <c r="O403" s="2128">
        <f t="shared" si="60"/>
        <v>0</v>
      </c>
      <c r="P403" s="2127"/>
      <c r="R403" s="2149"/>
    </row>
    <row r="404" spans="1:18" s="2105" customFormat="1" outlineLevel="1">
      <c r="A404" s="2108" t="e">
        <f t="shared" si="51"/>
        <v>#N/A</v>
      </c>
      <c r="B404" s="2130"/>
      <c r="C404" s="2145">
        <f>IF(G404&gt;0,C398+1,C398)</f>
        <v>0</v>
      </c>
      <c r="D404" s="2146"/>
      <c r="E404" s="2171" t="s">
        <v>3675</v>
      </c>
      <c r="F404" s="2142" t="s">
        <v>2385</v>
      </c>
      <c r="G404" s="2187">
        <f>SUM(G381:G381)</f>
        <v>0</v>
      </c>
      <c r="H404" s="2123"/>
      <c r="I404" s="2128"/>
      <c r="J404" s="2123"/>
      <c r="K404" s="2123"/>
      <c r="L404" s="2129">
        <f t="shared" si="57"/>
        <v>0</v>
      </c>
      <c r="M404" s="2129">
        <f t="shared" si="58"/>
        <v>0</v>
      </c>
      <c r="N404" s="2129">
        <f t="shared" si="59"/>
        <v>0</v>
      </c>
      <c r="O404" s="2128">
        <f t="shared" si="60"/>
        <v>0</v>
      </c>
      <c r="P404" s="2155"/>
    </row>
    <row r="405" spans="1:18" s="2105" customFormat="1" ht="14.4" outlineLevel="1">
      <c r="A405" s="2108" t="e">
        <f t="shared" si="51"/>
        <v>#N/A</v>
      </c>
      <c r="B405" s="2130"/>
      <c r="C405" s="2142"/>
      <c r="D405" s="2146"/>
      <c r="E405" s="2172" t="s">
        <v>6133</v>
      </c>
      <c r="F405" s="2127"/>
      <c r="G405" s="2184"/>
      <c r="H405" s="2123"/>
      <c r="I405" s="2128"/>
      <c r="J405" s="2123"/>
      <c r="K405" s="2123"/>
      <c r="L405" s="2129">
        <f t="shared" si="57"/>
        <v>0</v>
      </c>
      <c r="M405" s="2129">
        <f t="shared" si="58"/>
        <v>0</v>
      </c>
      <c r="N405" s="2129">
        <f t="shared" si="59"/>
        <v>0</v>
      </c>
      <c r="O405" s="2128">
        <f t="shared" si="60"/>
        <v>0</v>
      </c>
      <c r="P405" s="2155"/>
    </row>
    <row r="406" spans="1:18" s="2105" customFormat="1" outlineLevel="1">
      <c r="A406" s="2108" t="str">
        <f t="shared" si="51"/>
        <v>Đà Composite 110x80x5x800</v>
      </c>
      <c r="B406" s="2133" t="s">
        <v>5157</v>
      </c>
      <c r="C406" s="2127"/>
      <c r="D406" s="2120">
        <v>0</v>
      </c>
      <c r="E406" s="2121" t="s">
        <v>4865</v>
      </c>
      <c r="F406" s="2120" t="s">
        <v>2590</v>
      </c>
      <c r="G406" s="2184">
        <f>G404</f>
        <v>0</v>
      </c>
      <c r="H406" s="2123">
        <v>320000</v>
      </c>
      <c r="I406" s="2128"/>
      <c r="J406" s="2123">
        <v>0</v>
      </c>
      <c r="K406" s="2123">
        <v>0</v>
      </c>
      <c r="L406" s="2129">
        <f t="shared" si="57"/>
        <v>0</v>
      </c>
      <c r="M406" s="2129">
        <f>I406*G406</f>
        <v>0</v>
      </c>
      <c r="N406" s="2129">
        <f t="shared" si="59"/>
        <v>0</v>
      </c>
      <c r="O406" s="2128">
        <f t="shared" si="60"/>
        <v>0</v>
      </c>
      <c r="P406" s="2155"/>
    </row>
    <row r="407" spans="1:18" s="2105" customFormat="1" outlineLevel="1">
      <c r="A407" s="2108" t="str">
        <f t="shared" si="51"/>
        <v>Chống Composite 40x10x710</v>
      </c>
      <c r="B407" s="2133" t="s">
        <v>5161</v>
      </c>
      <c r="C407" s="2127"/>
      <c r="D407" s="2120">
        <v>0</v>
      </c>
      <c r="E407" s="2121" t="s">
        <v>5162</v>
      </c>
      <c r="F407" s="2120" t="s">
        <v>5160</v>
      </c>
      <c r="G407" s="2184">
        <f>G406*1</f>
        <v>0</v>
      </c>
      <c r="H407" s="2123">
        <v>95000</v>
      </c>
      <c r="I407" s="2128"/>
      <c r="J407" s="2123">
        <v>0</v>
      </c>
      <c r="K407" s="2123">
        <v>0</v>
      </c>
      <c r="L407" s="2129">
        <f t="shared" si="57"/>
        <v>0</v>
      </c>
      <c r="M407" s="2129">
        <f>I407*G407</f>
        <v>0</v>
      </c>
      <c r="N407" s="2129">
        <f t="shared" si="59"/>
        <v>0</v>
      </c>
      <c r="O407" s="2128">
        <f t="shared" si="60"/>
        <v>0</v>
      </c>
      <c r="P407" s="2155"/>
    </row>
    <row r="408" spans="1:18" s="2105" customFormat="1" outlineLevel="1">
      <c r="A408" s="2108" t="str">
        <f t="shared" si="51"/>
        <v>Bass LL bắt FCO, LA</v>
      </c>
      <c r="B408" s="2133" t="s">
        <v>1840</v>
      </c>
      <c r="C408" s="2127"/>
      <c r="D408" s="2120">
        <v>0</v>
      </c>
      <c r="E408" s="2121" t="s">
        <v>5078</v>
      </c>
      <c r="F408" s="2120" t="s">
        <v>2439</v>
      </c>
      <c r="G408" s="2184">
        <f>G404*1</f>
        <v>0</v>
      </c>
      <c r="H408" s="2123">
        <v>65000</v>
      </c>
      <c r="I408" s="2128"/>
      <c r="J408" s="2123">
        <v>0</v>
      </c>
      <c r="K408" s="2123">
        <v>0</v>
      </c>
      <c r="L408" s="2129">
        <f t="shared" si="57"/>
        <v>0</v>
      </c>
      <c r="M408" s="2129"/>
      <c r="N408" s="2129">
        <f t="shared" si="59"/>
        <v>0</v>
      </c>
      <c r="O408" s="2128">
        <f t="shared" si="60"/>
        <v>0</v>
      </c>
      <c r="P408" s="2155"/>
    </row>
    <row r="409" spans="1:18" s="2105" customFormat="1" outlineLevel="1">
      <c r="A409" s="2108" t="str">
        <f t="shared" ref="A409:A440" si="61">VLOOKUP(B409,DonGia,3,0)</f>
        <v>Boulon 16x150+ 2 long đền vuông D18-50x50x3/Zn</v>
      </c>
      <c r="B409" s="2133" t="s">
        <v>244</v>
      </c>
      <c r="C409" s="2127"/>
      <c r="D409" s="2120">
        <v>0</v>
      </c>
      <c r="E409" s="2121" t="s">
        <v>2641</v>
      </c>
      <c r="F409" s="2120" t="s">
        <v>2439</v>
      </c>
      <c r="G409" s="2184">
        <f>G404</f>
        <v>0</v>
      </c>
      <c r="H409" s="2123">
        <v>18900</v>
      </c>
      <c r="I409" s="2128"/>
      <c r="J409" s="2123">
        <v>0</v>
      </c>
      <c r="K409" s="2123">
        <v>0</v>
      </c>
      <c r="L409" s="2129">
        <f t="shared" si="57"/>
        <v>0</v>
      </c>
      <c r="M409" s="2129">
        <f>I409*G409</f>
        <v>0</v>
      </c>
      <c r="N409" s="2129">
        <f t="shared" si="59"/>
        <v>0</v>
      </c>
      <c r="O409" s="2128">
        <f t="shared" si="60"/>
        <v>0</v>
      </c>
      <c r="P409" s="2155"/>
    </row>
    <row r="410" spans="1:18" s="2105" customFormat="1" outlineLevel="1">
      <c r="A410" s="2108" t="str">
        <f t="shared" si="61"/>
        <v>Boulon 16x250+ 2 long đền vuông D18-50x50x3/Zn</v>
      </c>
      <c r="B410" s="2133" t="s">
        <v>1609</v>
      </c>
      <c r="C410" s="2127"/>
      <c r="D410" s="2120">
        <v>0</v>
      </c>
      <c r="E410" s="2121" t="s">
        <v>2645</v>
      </c>
      <c r="F410" s="2120" t="s">
        <v>2439</v>
      </c>
      <c r="G410" s="2184">
        <f>1*G404</f>
        <v>0</v>
      </c>
      <c r="H410" s="2123">
        <v>13400</v>
      </c>
      <c r="I410" s="2128"/>
      <c r="J410" s="2123">
        <v>0</v>
      </c>
      <c r="K410" s="2123">
        <v>0</v>
      </c>
      <c r="L410" s="2129">
        <f>H410*G410</f>
        <v>0</v>
      </c>
      <c r="M410" s="2129">
        <f>I410*G410</f>
        <v>0</v>
      </c>
      <c r="N410" s="2129">
        <f t="shared" si="59"/>
        <v>0</v>
      </c>
      <c r="O410" s="2128">
        <f>K410*G410</f>
        <v>0</v>
      </c>
      <c r="P410" s="2155"/>
    </row>
    <row r="411" spans="1:18" s="2105" customFormat="1" outlineLevel="1">
      <c r="A411" s="2108" t="str">
        <f t="shared" si="61"/>
        <v>Boulon 16x350+ 2 long đền vuông D18-50x50x3/Zn</v>
      </c>
      <c r="B411" s="2133" t="s">
        <v>1079</v>
      </c>
      <c r="C411" s="2127"/>
      <c r="D411" s="2120">
        <v>0</v>
      </c>
      <c r="E411" s="2121" t="s">
        <v>2651</v>
      </c>
      <c r="F411" s="2120" t="s">
        <v>2439</v>
      </c>
      <c r="G411" s="2184">
        <f>1*G404</f>
        <v>0</v>
      </c>
      <c r="H411" s="2123">
        <v>27900</v>
      </c>
      <c r="I411" s="2128"/>
      <c r="J411" s="2123">
        <v>0</v>
      </c>
      <c r="K411" s="2123">
        <v>0</v>
      </c>
      <c r="L411" s="2129">
        <f t="shared" si="57"/>
        <v>0</v>
      </c>
      <c r="M411" s="2129">
        <f>I411*G411</f>
        <v>0</v>
      </c>
      <c r="N411" s="2129">
        <f t="shared" si="59"/>
        <v>0</v>
      </c>
      <c r="O411" s="2128">
        <f t="shared" si="60"/>
        <v>0</v>
      </c>
      <c r="P411" s="2155"/>
    </row>
    <row r="412" spans="1:18" s="2105" customFormat="1" outlineLevel="1">
      <c r="A412" s="2108" t="str">
        <f t="shared" si="61"/>
        <v>Lắp xà đỡ composite dài 800mm (3kg)</v>
      </c>
      <c r="B412" s="2133" t="s">
        <v>5370</v>
      </c>
      <c r="C412" s="2127"/>
      <c r="D412" s="2120" t="s">
        <v>5148</v>
      </c>
      <c r="E412" s="2121" t="s">
        <v>5371</v>
      </c>
      <c r="F412" s="2120" t="s">
        <v>2439</v>
      </c>
      <c r="G412" s="2184">
        <f>G404</f>
        <v>0</v>
      </c>
      <c r="H412" s="2123">
        <v>0</v>
      </c>
      <c r="I412" s="2128"/>
      <c r="J412" s="2153" t="s">
        <v>6313</v>
      </c>
      <c r="K412" s="2123">
        <v>0</v>
      </c>
      <c r="L412" s="2129">
        <f t="shared" si="57"/>
        <v>0</v>
      </c>
      <c r="M412" s="2129">
        <f>I412*G412</f>
        <v>0</v>
      </c>
      <c r="N412" s="2129">
        <v>0</v>
      </c>
      <c r="O412" s="2128">
        <f t="shared" si="60"/>
        <v>0</v>
      </c>
      <c r="P412" s="2155"/>
    </row>
    <row r="413" spans="1:18" s="2105" customFormat="1" outlineLevel="1">
      <c r="A413" s="2108" t="e">
        <f t="shared" si="61"/>
        <v>#N/A</v>
      </c>
      <c r="B413" s="2130"/>
      <c r="C413" s="2142">
        <f>IF(G413&gt;0,C404+1,C404)</f>
        <v>0</v>
      </c>
      <c r="D413" s="2146"/>
      <c r="E413" s="2171" t="s">
        <v>3676</v>
      </c>
      <c r="F413" s="2142" t="s">
        <v>2385</v>
      </c>
      <c r="G413" s="2187">
        <f>G404</f>
        <v>0</v>
      </c>
      <c r="H413" s="2123"/>
      <c r="I413" s="2128"/>
      <c r="J413" s="2123"/>
      <c r="K413" s="2123"/>
      <c r="L413" s="2129">
        <f t="shared" si="57"/>
        <v>0</v>
      </c>
      <c r="M413" s="2129">
        <f t="shared" si="58"/>
        <v>0</v>
      </c>
      <c r="N413" s="2129">
        <f t="shared" si="59"/>
        <v>0</v>
      </c>
      <c r="O413" s="2128">
        <f t="shared" si="60"/>
        <v>0</v>
      </c>
      <c r="P413" s="2155"/>
    </row>
    <row r="414" spans="1:18" s="2105" customFormat="1" ht="14.4" outlineLevel="1">
      <c r="A414" s="2108" t="e">
        <f t="shared" si="61"/>
        <v>#N/A</v>
      </c>
      <c r="B414" s="2130"/>
      <c r="C414" s="2127"/>
      <c r="D414" s="2150"/>
      <c r="E414" s="2172" t="s">
        <v>6133</v>
      </c>
      <c r="F414" s="2127"/>
      <c r="G414" s="2184"/>
      <c r="H414" s="2123"/>
      <c r="I414" s="2128"/>
      <c r="J414" s="2123"/>
      <c r="K414" s="2123"/>
      <c r="L414" s="2129">
        <f t="shared" si="57"/>
        <v>0</v>
      </c>
      <c r="M414" s="2129">
        <f t="shared" si="58"/>
        <v>0</v>
      </c>
      <c r="N414" s="2129">
        <f t="shared" si="59"/>
        <v>0</v>
      </c>
      <c r="O414" s="2128">
        <f t="shared" si="60"/>
        <v>0</v>
      </c>
      <c r="P414" s="2155"/>
    </row>
    <row r="415" spans="1:18" s="2105" customFormat="1" outlineLevel="1">
      <c r="A415" s="2108" t="str">
        <f t="shared" si="61"/>
        <v>Cáp đồng trần M25mm2</v>
      </c>
      <c r="B415" s="2130" t="s">
        <v>1033</v>
      </c>
      <c r="C415" s="2127"/>
      <c r="D415" s="2120">
        <v>0</v>
      </c>
      <c r="E415" s="2121" t="s">
        <v>6314</v>
      </c>
      <c r="F415" s="2120" t="s">
        <v>2248</v>
      </c>
      <c r="G415" s="2184">
        <f>66*G413*0.224</f>
        <v>0</v>
      </c>
      <c r="H415" s="2123">
        <v>255500</v>
      </c>
      <c r="I415" s="2128"/>
      <c r="J415" s="2123">
        <v>0</v>
      </c>
      <c r="K415" s="2123">
        <v>0</v>
      </c>
      <c r="L415" s="2129">
        <f t="shared" si="57"/>
        <v>0</v>
      </c>
      <c r="M415" s="2129">
        <f t="shared" si="58"/>
        <v>0</v>
      </c>
      <c r="N415" s="2129">
        <f t="shared" si="59"/>
        <v>0</v>
      </c>
      <c r="O415" s="2128">
        <f t="shared" si="60"/>
        <v>0</v>
      </c>
      <c r="P415" s="2155"/>
    </row>
    <row r="416" spans="1:18" s="2105" customFormat="1" outlineLevel="1">
      <c r="A416" s="2108" t="str">
        <f t="shared" si="61"/>
        <v>Cọc tiếp đất Þ 16- 2,4m + kẹp cọc mạ đồng</v>
      </c>
      <c r="B416" s="2130" t="s">
        <v>1508</v>
      </c>
      <c r="C416" s="2127"/>
      <c r="D416" s="2120">
        <v>0</v>
      </c>
      <c r="E416" s="2121" t="s">
        <v>5163</v>
      </c>
      <c r="F416" s="2120" t="s">
        <v>2439</v>
      </c>
      <c r="G416" s="2184">
        <f>12*G413</f>
        <v>0</v>
      </c>
      <c r="H416" s="2123">
        <v>160000</v>
      </c>
      <c r="I416" s="2128"/>
      <c r="J416" s="2123">
        <v>0</v>
      </c>
      <c r="K416" s="2123">
        <v>0</v>
      </c>
      <c r="L416" s="2129">
        <f t="shared" si="57"/>
        <v>0</v>
      </c>
      <c r="M416" s="2129">
        <f t="shared" si="58"/>
        <v>0</v>
      </c>
      <c r="N416" s="2129">
        <f t="shared" si="59"/>
        <v>0</v>
      </c>
      <c r="O416" s="2128">
        <f t="shared" si="60"/>
        <v>0</v>
      </c>
      <c r="P416" s="2155"/>
    </row>
    <row r="417" spans="1:16" s="2105" customFormat="1" outlineLevel="1">
      <c r="A417" s="2108" t="str">
        <f t="shared" si="61"/>
        <v xml:space="preserve">Ống PVC D21x1,6mm </v>
      </c>
      <c r="B417" s="2130" t="s">
        <v>1490</v>
      </c>
      <c r="C417" s="2127"/>
      <c r="D417" s="2120">
        <v>0</v>
      </c>
      <c r="E417" s="2121" t="s">
        <v>3536</v>
      </c>
      <c r="F417" s="2120" t="s">
        <v>1823</v>
      </c>
      <c r="G417" s="2184">
        <f>4*G413</f>
        <v>0</v>
      </c>
      <c r="H417" s="2123">
        <v>6200</v>
      </c>
      <c r="I417" s="2128"/>
      <c r="J417" s="2123"/>
      <c r="K417" s="2123">
        <v>0</v>
      </c>
      <c r="L417" s="2129">
        <f t="shared" si="57"/>
        <v>0</v>
      </c>
      <c r="M417" s="2129">
        <f t="shared" si="58"/>
        <v>0</v>
      </c>
      <c r="N417" s="2129">
        <f t="shared" si="59"/>
        <v>0</v>
      </c>
      <c r="O417" s="2128">
        <f t="shared" si="60"/>
        <v>0</v>
      </c>
      <c r="P417" s="2155"/>
    </row>
    <row r="418" spans="1:16" s="2105" customFormat="1" outlineLevel="1">
      <c r="A418" s="2108" t="str">
        <f t="shared" si="61"/>
        <v>Cut PVC 21</v>
      </c>
      <c r="B418" s="2130" t="s">
        <v>6150</v>
      </c>
      <c r="C418" s="2127"/>
      <c r="D418" s="2120">
        <v>0</v>
      </c>
      <c r="E418" s="2121" t="s">
        <v>5796</v>
      </c>
      <c r="F418" s="2120" t="s">
        <v>2555</v>
      </c>
      <c r="G418" s="2184">
        <f>G413*1</f>
        <v>0</v>
      </c>
      <c r="H418" s="2123">
        <v>2100</v>
      </c>
      <c r="I418" s="2128"/>
      <c r="J418" s="2123">
        <v>0</v>
      </c>
      <c r="K418" s="2123">
        <v>0</v>
      </c>
      <c r="L418" s="2129">
        <f>H418*G418</f>
        <v>0</v>
      </c>
      <c r="M418" s="2129">
        <f>I418*G418</f>
        <v>0</v>
      </c>
      <c r="N418" s="2129">
        <f>J418*G418</f>
        <v>0</v>
      </c>
      <c r="O418" s="2128">
        <f>K418*G418</f>
        <v>0</v>
      </c>
      <c r="P418" s="2155"/>
    </row>
    <row r="419" spans="1:16" s="2105" customFormat="1" outlineLevel="1">
      <c r="A419" s="2108" t="str">
        <f t="shared" si="61"/>
        <v>Kẹp ép WR cỡ dây 50mm2</v>
      </c>
      <c r="B419" s="2130" t="s">
        <v>1579</v>
      </c>
      <c r="C419" s="2127"/>
      <c r="D419" s="2120">
        <v>0</v>
      </c>
      <c r="E419" s="2121" t="s">
        <v>2873</v>
      </c>
      <c r="F419" s="2120" t="s">
        <v>2555</v>
      </c>
      <c r="G419" s="2184">
        <f>2*G413</f>
        <v>0</v>
      </c>
      <c r="H419" s="2123">
        <v>8000</v>
      </c>
      <c r="I419" s="2123"/>
      <c r="J419" s="2123">
        <v>0</v>
      </c>
      <c r="K419" s="2123">
        <v>0</v>
      </c>
      <c r="L419" s="2129">
        <f t="shared" si="57"/>
        <v>0</v>
      </c>
      <c r="M419" s="2129">
        <f t="shared" si="58"/>
        <v>0</v>
      </c>
      <c r="N419" s="2129">
        <f t="shared" si="59"/>
        <v>0</v>
      </c>
      <c r="O419" s="2128">
        <f t="shared" si="60"/>
        <v>0</v>
      </c>
      <c r="P419" s="2155"/>
    </row>
    <row r="420" spans="1:16" s="2105" customFormat="1" outlineLevel="1">
      <c r="A420" s="2108" t="str">
        <f t="shared" si="61"/>
        <v>Kẹp ép cỡ dây 25mm2</v>
      </c>
      <c r="B420" s="2130" t="s">
        <v>1114</v>
      </c>
      <c r="C420" s="2127"/>
      <c r="D420" s="2120">
        <v>0</v>
      </c>
      <c r="E420" s="2121" t="s">
        <v>2871</v>
      </c>
      <c r="F420" s="2120" t="s">
        <v>2555</v>
      </c>
      <c r="G420" s="2184">
        <f>G413*12</f>
        <v>0</v>
      </c>
      <c r="H420" s="2123">
        <v>6000</v>
      </c>
      <c r="I420" s="2123"/>
      <c r="J420" s="2123">
        <v>0</v>
      </c>
      <c r="K420" s="2123">
        <v>0</v>
      </c>
      <c r="L420" s="2129">
        <f t="shared" si="57"/>
        <v>0</v>
      </c>
      <c r="M420" s="2129">
        <f t="shared" si="58"/>
        <v>0</v>
      </c>
      <c r="N420" s="2129">
        <f t="shared" si="59"/>
        <v>0</v>
      </c>
      <c r="O420" s="2128">
        <f t="shared" si="60"/>
        <v>0</v>
      </c>
      <c r="P420" s="2155"/>
    </row>
    <row r="421" spans="1:16" s="2105" customFormat="1" outlineLevel="1">
      <c r="A421" s="2108" t="str">
        <f t="shared" si="61"/>
        <v>Cổ dê kẹp ống PVC  21</v>
      </c>
      <c r="B421" s="2130" t="s">
        <v>525</v>
      </c>
      <c r="C421" s="2127"/>
      <c r="D421" s="2120">
        <v>0</v>
      </c>
      <c r="E421" s="2121" t="s">
        <v>5252</v>
      </c>
      <c r="F421" s="2120" t="s">
        <v>2439</v>
      </c>
      <c r="G421" s="2184">
        <f>G413*3</f>
        <v>0</v>
      </c>
      <c r="H421" s="2123">
        <v>43000</v>
      </c>
      <c r="I421" s="2123"/>
      <c r="J421" s="2123">
        <v>0</v>
      </c>
      <c r="K421" s="2123">
        <v>0</v>
      </c>
      <c r="L421" s="2129">
        <f>H421*G421</f>
        <v>0</v>
      </c>
      <c r="M421" s="2129">
        <f>I421*G421</f>
        <v>0</v>
      </c>
      <c r="N421" s="2129">
        <f>J421*G421</f>
        <v>0</v>
      </c>
      <c r="O421" s="2128">
        <f>K421*G421</f>
        <v>0</v>
      </c>
      <c r="P421" s="2155"/>
    </row>
    <row r="422" spans="1:16" s="2105" customFormat="1" outlineLevel="1">
      <c r="A422" s="2108" t="str">
        <f t="shared" si="61"/>
        <v>Boulon 12x40+ 2 long đền vuông D14-50x50x3/Zn</v>
      </c>
      <c r="B422" s="2130" t="s">
        <v>2019</v>
      </c>
      <c r="C422" s="2127"/>
      <c r="D422" s="2120">
        <v>0</v>
      </c>
      <c r="E422" s="2121" t="s">
        <v>2627</v>
      </c>
      <c r="F422" s="2120" t="s">
        <v>2439</v>
      </c>
      <c r="G422" s="2184"/>
      <c r="H422" s="2123">
        <v>8500</v>
      </c>
      <c r="I422" s="2123"/>
      <c r="J422" s="2123">
        <v>0</v>
      </c>
      <c r="K422" s="2123">
        <v>0</v>
      </c>
      <c r="L422" s="2129">
        <f>H422*G422</f>
        <v>0</v>
      </c>
      <c r="M422" s="2129">
        <f>I422*G422</f>
        <v>0</v>
      </c>
      <c r="N422" s="2129">
        <f>J422*G422</f>
        <v>0</v>
      </c>
      <c r="O422" s="2128">
        <f>K422*G422</f>
        <v>0</v>
      </c>
      <c r="P422" s="2155"/>
    </row>
    <row r="423" spans="1:16" s="2105" customFormat="1" outlineLevel="1">
      <c r="A423" s="2108" t="str">
        <f t="shared" si="61"/>
        <v>Đai thép Inox</v>
      </c>
      <c r="B423" s="2130" t="s">
        <v>5181</v>
      </c>
      <c r="C423" s="2127"/>
      <c r="D423" s="2120">
        <v>0</v>
      </c>
      <c r="E423" s="2121" t="s">
        <v>5182</v>
      </c>
      <c r="F423" s="2120" t="s">
        <v>2532</v>
      </c>
      <c r="G423" s="2184"/>
      <c r="H423" s="2123">
        <v>11000</v>
      </c>
      <c r="I423" s="2123"/>
      <c r="J423" s="2123">
        <v>0</v>
      </c>
      <c r="K423" s="2123">
        <v>0</v>
      </c>
      <c r="L423" s="2129">
        <f>H423*G423</f>
        <v>0</v>
      </c>
      <c r="M423" s="2129">
        <f>I423*G423</f>
        <v>0</v>
      </c>
      <c r="N423" s="2129">
        <f>J423*G423</f>
        <v>0</v>
      </c>
      <c r="O423" s="2128">
        <f>K423*G423</f>
        <v>0</v>
      </c>
      <c r="P423" s="2155"/>
    </row>
    <row r="424" spans="1:16" s="2105" customFormat="1" outlineLevel="1">
      <c r="A424" s="2108" t="str">
        <f t="shared" si="61"/>
        <v>Khóa đai Inox</v>
      </c>
      <c r="B424" s="2130" t="s">
        <v>5183</v>
      </c>
      <c r="C424" s="2127"/>
      <c r="D424" s="2120">
        <v>0</v>
      </c>
      <c r="E424" s="2121" t="s">
        <v>5184</v>
      </c>
      <c r="F424" s="2120" t="s">
        <v>2555</v>
      </c>
      <c r="G424" s="2184"/>
      <c r="H424" s="2123">
        <v>4000</v>
      </c>
      <c r="I424" s="2123"/>
      <c r="J424" s="2123">
        <v>0</v>
      </c>
      <c r="K424" s="2123">
        <v>0</v>
      </c>
      <c r="L424" s="2129">
        <f>H424*G424</f>
        <v>0</v>
      </c>
      <c r="M424" s="2129">
        <f>I424*G424</f>
        <v>0</v>
      </c>
      <c r="N424" s="2129">
        <f>J424*G424</f>
        <v>0</v>
      </c>
      <c r="O424" s="2128">
        <f>K424*G424</f>
        <v>0</v>
      </c>
      <c r="P424" s="2155"/>
    </row>
    <row r="425" spans="1:16" s="2105" customFormat="1" outlineLevel="1">
      <c r="A425" s="2108" t="str">
        <f t="shared" si="61"/>
        <v>Cổ dê kẹp ống PVC  21</v>
      </c>
      <c r="B425" s="2133" t="s">
        <v>525</v>
      </c>
      <c r="C425" s="2127"/>
      <c r="D425" s="2120">
        <v>0</v>
      </c>
      <c r="E425" s="2121" t="s">
        <v>5252</v>
      </c>
      <c r="F425" s="2120" t="s">
        <v>2439</v>
      </c>
      <c r="G425" s="2184"/>
      <c r="H425" s="2123">
        <v>43000</v>
      </c>
      <c r="I425" s="2128"/>
      <c r="J425" s="2123">
        <v>0</v>
      </c>
      <c r="K425" s="2123">
        <v>0</v>
      </c>
      <c r="L425" s="2129">
        <f t="shared" si="57"/>
        <v>0</v>
      </c>
      <c r="M425" s="2129">
        <f t="shared" si="58"/>
        <v>0</v>
      </c>
      <c r="N425" s="2129">
        <f t="shared" si="59"/>
        <v>0</v>
      </c>
      <c r="O425" s="2128">
        <f t="shared" si="60"/>
        <v>0</v>
      </c>
      <c r="P425" s="2155"/>
    </row>
    <row r="426" spans="1:16" s="2105" customFormat="1" outlineLevel="1">
      <c r="A426" s="2108" t="str">
        <f t="shared" si="61"/>
        <v>Giếng tiếp địa khoan đất</v>
      </c>
      <c r="B426" s="2130" t="s">
        <v>6151</v>
      </c>
      <c r="C426" s="2127"/>
      <c r="D426" s="2120">
        <v>0</v>
      </c>
      <c r="E426" s="2121" t="s">
        <v>5713</v>
      </c>
      <c r="F426" s="2120" t="s">
        <v>3445</v>
      </c>
      <c r="G426" s="2184"/>
      <c r="H426" s="2123">
        <v>0</v>
      </c>
      <c r="I426" s="2123"/>
      <c r="J426" s="2123">
        <v>1500000</v>
      </c>
      <c r="K426" s="2123">
        <v>0</v>
      </c>
      <c r="L426" s="2129">
        <f>H426*G426</f>
        <v>0</v>
      </c>
      <c r="M426" s="2129">
        <f>I426*G426</f>
        <v>0</v>
      </c>
      <c r="N426" s="2129">
        <f>J426*G426</f>
        <v>0</v>
      </c>
      <c r="O426" s="2128">
        <f>K426*G426</f>
        <v>0</v>
      </c>
      <c r="P426" s="2155"/>
    </row>
    <row r="427" spans="1:16" s="2105" customFormat="1" outlineLevel="1">
      <c r="A427" s="2108" t="str">
        <f t="shared" si="61"/>
        <v>Kéo dây tiếp địa trong TBA</v>
      </c>
      <c r="B427" s="2130" t="s">
        <v>2183</v>
      </c>
      <c r="C427" s="2127"/>
      <c r="D427" s="2120" t="s">
        <v>5346</v>
      </c>
      <c r="E427" s="2121" t="s">
        <v>5347</v>
      </c>
      <c r="F427" s="2120" t="s">
        <v>2532</v>
      </c>
      <c r="G427" s="2184">
        <f>G415/0.224</f>
        <v>0</v>
      </c>
      <c r="H427" s="2123">
        <v>0</v>
      </c>
      <c r="I427" s="2123"/>
      <c r="J427" s="2123">
        <v>8070.7000000000007</v>
      </c>
      <c r="K427" s="2123">
        <v>2044.9974999999999</v>
      </c>
      <c r="L427" s="2129">
        <f t="shared" si="57"/>
        <v>0</v>
      </c>
      <c r="M427" s="2129">
        <f t="shared" si="58"/>
        <v>0</v>
      </c>
      <c r="N427" s="2129">
        <f t="shared" si="59"/>
        <v>0</v>
      </c>
      <c r="O427" s="2128">
        <f t="shared" si="60"/>
        <v>0</v>
      </c>
      <c r="P427" s="2155"/>
    </row>
    <row r="428" spans="1:16" s="2105" customFormat="1" outlineLevel="1">
      <c r="A428" s="2108" t="str">
        <f t="shared" si="61"/>
        <v>Đóng cọc tiếp địa trong TBA</v>
      </c>
      <c r="B428" s="2133" t="s">
        <v>902</v>
      </c>
      <c r="C428" s="2127"/>
      <c r="D428" s="2120" t="s">
        <v>5351</v>
      </c>
      <c r="E428" s="2121" t="s">
        <v>5352</v>
      </c>
      <c r="F428" s="2120" t="s">
        <v>2278</v>
      </c>
      <c r="G428" s="2184">
        <f>G416</f>
        <v>0</v>
      </c>
      <c r="H428" s="2123">
        <v>0</v>
      </c>
      <c r="I428" s="2128"/>
      <c r="J428" s="2123">
        <v>90355.896000000008</v>
      </c>
      <c r="K428" s="2123">
        <v>1573.075</v>
      </c>
      <c r="L428" s="2129">
        <f t="shared" si="57"/>
        <v>0</v>
      </c>
      <c r="M428" s="2129">
        <f t="shared" si="58"/>
        <v>0</v>
      </c>
      <c r="N428" s="2123">
        <v>0</v>
      </c>
      <c r="O428" s="2128">
        <f t="shared" si="60"/>
        <v>0</v>
      </c>
      <c r="P428" s="2155"/>
    </row>
    <row r="429" spans="1:16" s="2105" customFormat="1" outlineLevel="1">
      <c r="A429" s="2108" t="str">
        <f t="shared" si="61"/>
        <v>Đào rãnh tiếp địa đất cấp 3</v>
      </c>
      <c r="B429" s="2130" t="s">
        <v>1055</v>
      </c>
      <c r="C429" s="2127"/>
      <c r="D429" s="2120" t="s">
        <v>5336</v>
      </c>
      <c r="E429" s="2121" t="s">
        <v>3068</v>
      </c>
      <c r="F429" s="2120" t="s">
        <v>856</v>
      </c>
      <c r="G429" s="2184">
        <f>G413*48*0.3*0.5</f>
        <v>0</v>
      </c>
      <c r="H429" s="2123">
        <v>0</v>
      </c>
      <c r="I429" s="2123"/>
      <c r="J429" s="2123">
        <v>283749.75</v>
      </c>
      <c r="K429" s="2123">
        <v>0</v>
      </c>
      <c r="L429" s="2129">
        <f t="shared" si="57"/>
        <v>0</v>
      </c>
      <c r="M429" s="2129">
        <f t="shared" si="58"/>
        <v>0</v>
      </c>
      <c r="N429" s="2129">
        <f t="shared" ref="N429:N466" si="62">J429*G429</f>
        <v>0</v>
      </c>
      <c r="O429" s="2128">
        <f t="shared" si="60"/>
        <v>0</v>
      </c>
      <c r="P429" s="2155"/>
    </row>
    <row r="430" spans="1:16" s="2105" customFormat="1" outlineLevel="1">
      <c r="A430" s="2108" t="str">
        <f t="shared" si="61"/>
        <v>Đắp đất rãnh tiếp độ chặt k=0,85</v>
      </c>
      <c r="B430" s="2133" t="s">
        <v>1056</v>
      </c>
      <c r="C430" s="2127"/>
      <c r="D430" s="2120" t="s">
        <v>5325</v>
      </c>
      <c r="E430" s="2121" t="s">
        <v>5337</v>
      </c>
      <c r="F430" s="2120" t="s">
        <v>856</v>
      </c>
      <c r="G430" s="2184">
        <f>G429</f>
        <v>0</v>
      </c>
      <c r="H430" s="2123">
        <v>0</v>
      </c>
      <c r="I430" s="2128"/>
      <c r="J430" s="2123">
        <v>117703.6</v>
      </c>
      <c r="K430" s="2123">
        <v>0</v>
      </c>
      <c r="L430" s="2129">
        <f t="shared" si="57"/>
        <v>0</v>
      </c>
      <c r="M430" s="2129">
        <f t="shared" si="58"/>
        <v>0</v>
      </c>
      <c r="N430" s="2129">
        <f t="shared" si="62"/>
        <v>0</v>
      </c>
      <c r="O430" s="2128">
        <f t="shared" si="60"/>
        <v>0</v>
      </c>
      <c r="P430" s="2155"/>
    </row>
    <row r="431" spans="1:16" s="2105" customFormat="1" outlineLevel="1">
      <c r="A431" s="2108" t="e">
        <f t="shared" si="61"/>
        <v>#N/A</v>
      </c>
      <c r="B431" s="2130"/>
      <c r="C431" s="2142">
        <f>IF(G431&gt;0,C413+1,C413)</f>
        <v>0</v>
      </c>
      <c r="D431" s="2146"/>
      <c r="E431" s="2158" t="s">
        <v>3683</v>
      </c>
      <c r="F431" s="2142" t="s">
        <v>2385</v>
      </c>
      <c r="G431" s="2187">
        <f>G404</f>
        <v>0</v>
      </c>
      <c r="H431" s="2123"/>
      <c r="I431" s="2128"/>
      <c r="J431" s="2123"/>
      <c r="K431" s="2123"/>
      <c r="L431" s="2129">
        <f t="shared" si="57"/>
        <v>0</v>
      </c>
      <c r="M431" s="2129">
        <f t="shared" si="58"/>
        <v>0</v>
      </c>
      <c r="N431" s="2129">
        <f t="shared" si="62"/>
        <v>0</v>
      </c>
      <c r="O431" s="2128">
        <f t="shared" si="60"/>
        <v>0</v>
      </c>
      <c r="P431" s="2155"/>
    </row>
    <row r="432" spans="1:16" s="2105" customFormat="1" ht="14.4" outlineLevel="1">
      <c r="A432" s="2108" t="e">
        <f t="shared" si="61"/>
        <v>#N/A</v>
      </c>
      <c r="B432" s="2130"/>
      <c r="C432" s="2142"/>
      <c r="D432" s="2146"/>
      <c r="E432" s="2172" t="s">
        <v>6133</v>
      </c>
      <c r="F432" s="2127"/>
      <c r="G432" s="2184"/>
      <c r="H432" s="2123"/>
      <c r="I432" s="2128"/>
      <c r="J432" s="2123"/>
      <c r="K432" s="2123"/>
      <c r="L432" s="2129">
        <f t="shared" si="57"/>
        <v>0</v>
      </c>
      <c r="M432" s="2129">
        <f t="shared" si="58"/>
        <v>0</v>
      </c>
      <c r="N432" s="2129">
        <f t="shared" si="62"/>
        <v>0</v>
      </c>
      <c r="O432" s="2128">
        <f t="shared" si="60"/>
        <v>0</v>
      </c>
      <c r="P432" s="2155"/>
    </row>
    <row r="433" spans="1:16" s="2105" customFormat="1" outlineLevel="1">
      <c r="A433" s="2108" t="str">
        <f t="shared" si="61"/>
        <v>Tủ MCCB trạm treo 1 pha</v>
      </c>
      <c r="B433" s="2130" t="s">
        <v>5654</v>
      </c>
      <c r="C433" s="2127"/>
      <c r="D433" s="2120" t="s">
        <v>5655</v>
      </c>
      <c r="E433" s="2121" t="s">
        <v>5656</v>
      </c>
      <c r="F433" s="2120" t="s">
        <v>2555</v>
      </c>
      <c r="G433" s="2184">
        <f>G431</f>
        <v>0</v>
      </c>
      <c r="H433" s="2123">
        <v>2971168</v>
      </c>
      <c r="I433" s="2123"/>
      <c r="J433" s="2123">
        <v>599038</v>
      </c>
      <c r="K433" s="2123">
        <v>97369</v>
      </c>
      <c r="L433" s="2129">
        <f t="shared" si="57"/>
        <v>0</v>
      </c>
      <c r="M433" s="2129">
        <f t="shared" si="58"/>
        <v>0</v>
      </c>
      <c r="N433" s="2129">
        <f t="shared" si="62"/>
        <v>0</v>
      </c>
      <c r="O433" s="2128">
        <f t="shared" si="60"/>
        <v>0</v>
      </c>
      <c r="P433" s="2155"/>
    </row>
    <row r="434" spans="1:16" s="2105" customFormat="1" outlineLevel="1">
      <c r="A434" s="2108" t="str">
        <f t="shared" si="61"/>
        <v>Cổ dê bắt tủ</v>
      </c>
      <c r="B434" s="2130" t="s">
        <v>879</v>
      </c>
      <c r="C434" s="2127"/>
      <c r="D434" s="2120">
        <v>0</v>
      </c>
      <c r="E434" s="2121" t="s">
        <v>2982</v>
      </c>
      <c r="F434" s="2120" t="s">
        <v>2439</v>
      </c>
      <c r="G434" s="2184"/>
      <c r="H434" s="2123">
        <v>168000</v>
      </c>
      <c r="I434" s="2128"/>
      <c r="J434" s="2123">
        <v>0</v>
      </c>
      <c r="K434" s="2123">
        <v>0</v>
      </c>
      <c r="L434" s="2129">
        <f t="shared" si="57"/>
        <v>0</v>
      </c>
      <c r="M434" s="2129">
        <f t="shared" si="58"/>
        <v>0</v>
      </c>
      <c r="N434" s="2129">
        <f t="shared" si="62"/>
        <v>0</v>
      </c>
      <c r="O434" s="2128">
        <f t="shared" si="60"/>
        <v>0</v>
      </c>
      <c r="P434" s="2155"/>
    </row>
    <row r="435" spans="1:16" s="2105" customFormat="1" outlineLevel="1">
      <c r="A435" s="2108" t="str">
        <f t="shared" si="61"/>
        <v xml:space="preserve">Bakelit 550x450 dầy 10mm </v>
      </c>
      <c r="B435" s="2130" t="s">
        <v>880</v>
      </c>
      <c r="C435" s="2127"/>
      <c r="D435" s="2120">
        <v>0</v>
      </c>
      <c r="E435" s="2121" t="s">
        <v>5799</v>
      </c>
      <c r="F435" s="2120" t="s">
        <v>2555</v>
      </c>
      <c r="G435" s="2184">
        <f>G431*0</f>
        <v>0</v>
      </c>
      <c r="H435" s="2123">
        <v>284000</v>
      </c>
      <c r="I435" s="2128"/>
      <c r="J435" s="2123">
        <v>5404</v>
      </c>
      <c r="K435" s="2123">
        <v>0</v>
      </c>
      <c r="L435" s="2129">
        <f t="shared" si="57"/>
        <v>0</v>
      </c>
      <c r="M435" s="2129">
        <f t="shared" si="58"/>
        <v>0</v>
      </c>
      <c r="N435" s="2129">
        <f t="shared" si="62"/>
        <v>0</v>
      </c>
      <c r="O435" s="2128">
        <f t="shared" si="60"/>
        <v>0</v>
      </c>
      <c r="P435" s="2155"/>
    </row>
    <row r="436" spans="1:16" s="2105" customFormat="1" outlineLevel="1">
      <c r="A436" s="2108" t="e">
        <f t="shared" si="61"/>
        <v>#N/A</v>
      </c>
      <c r="B436" s="2130"/>
      <c r="C436" s="2142">
        <f>IF(G436&gt;0,C431+1,C431)</f>
        <v>0</v>
      </c>
      <c r="D436" s="2146"/>
      <c r="E436" s="2171" t="s">
        <v>6152</v>
      </c>
      <c r="F436" s="2142" t="s">
        <v>2385</v>
      </c>
      <c r="G436" s="2187">
        <f>G431</f>
        <v>0</v>
      </c>
      <c r="H436" s="2123"/>
      <c r="I436" s="2128"/>
      <c r="J436" s="2123"/>
      <c r="K436" s="2123"/>
      <c r="L436" s="2129">
        <f t="shared" si="57"/>
        <v>0</v>
      </c>
      <c r="M436" s="2129">
        <f t="shared" si="58"/>
        <v>0</v>
      </c>
      <c r="N436" s="2129">
        <f t="shared" si="62"/>
        <v>0</v>
      </c>
      <c r="O436" s="2128">
        <f t="shared" si="60"/>
        <v>0</v>
      </c>
      <c r="P436" s="2155"/>
    </row>
    <row r="437" spans="1:16" s="2105" customFormat="1" ht="14.4" outlineLevel="1">
      <c r="A437" s="2108" t="e">
        <f t="shared" si="61"/>
        <v>#N/A</v>
      </c>
      <c r="B437" s="2130"/>
      <c r="C437" s="2142"/>
      <c r="D437" s="2146"/>
      <c r="E437" s="2172" t="s">
        <v>6133</v>
      </c>
      <c r="F437" s="2127"/>
      <c r="G437" s="2184"/>
      <c r="H437" s="2123"/>
      <c r="I437" s="2128"/>
      <c r="J437" s="2123"/>
      <c r="K437" s="2123"/>
      <c r="L437" s="2129">
        <f t="shared" si="57"/>
        <v>0</v>
      </c>
      <c r="M437" s="2129">
        <f t="shared" si="58"/>
        <v>0</v>
      </c>
      <c r="N437" s="2129">
        <f t="shared" si="62"/>
        <v>0</v>
      </c>
      <c r="O437" s="2128">
        <f t="shared" si="60"/>
        <v>0</v>
      </c>
      <c r="P437" s="2155"/>
    </row>
    <row r="438" spans="1:16" s="2105" customFormat="1" outlineLevel="1">
      <c r="A438" s="2108" t="str">
        <f t="shared" si="61"/>
        <v>Cáp 24KV C/XLPE/PVC 25mm2</v>
      </c>
      <c r="B438" s="2133" t="s">
        <v>697</v>
      </c>
      <c r="C438" s="2127"/>
      <c r="D438" s="2120">
        <v>0</v>
      </c>
      <c r="E438" s="2121" t="s">
        <v>5087</v>
      </c>
      <c r="F438" s="2120" t="s">
        <v>2532</v>
      </c>
      <c r="G438" s="2184">
        <f>4*G436</f>
        <v>0</v>
      </c>
      <c r="H438" s="2123">
        <v>50996</v>
      </c>
      <c r="I438" s="2123"/>
      <c r="J438" s="2123">
        <v>0</v>
      </c>
      <c r="K438" s="2123">
        <v>0</v>
      </c>
      <c r="L438" s="2129">
        <f t="shared" si="57"/>
        <v>0</v>
      </c>
      <c r="M438" s="2129">
        <f t="shared" si="58"/>
        <v>0</v>
      </c>
      <c r="N438" s="2129">
        <f t="shared" si="62"/>
        <v>0</v>
      </c>
      <c r="O438" s="2128">
        <f t="shared" si="60"/>
        <v>0</v>
      </c>
      <c r="P438" s="2155"/>
    </row>
    <row r="439" spans="1:16" s="2105" customFormat="1" outlineLevel="1">
      <c r="A439" s="2108" t="str">
        <f t="shared" si="61"/>
        <v>Kẹp quai 2/0</v>
      </c>
      <c r="B439" s="2118" t="s">
        <v>1479</v>
      </c>
      <c r="C439" s="2127"/>
      <c r="D439" s="2120">
        <v>0</v>
      </c>
      <c r="E439" s="2121" t="s">
        <v>3791</v>
      </c>
      <c r="F439" s="2120" t="s">
        <v>2555</v>
      </c>
      <c r="G439" s="2184">
        <f>G436</f>
        <v>0</v>
      </c>
      <c r="H439" s="2123">
        <v>46000</v>
      </c>
      <c r="I439" s="2123"/>
      <c r="J439" s="2123">
        <v>0</v>
      </c>
      <c r="K439" s="2123">
        <v>0</v>
      </c>
      <c r="L439" s="2129">
        <f t="shared" si="57"/>
        <v>0</v>
      </c>
      <c r="M439" s="2129">
        <f t="shared" si="58"/>
        <v>0</v>
      </c>
      <c r="N439" s="2129">
        <f t="shared" si="62"/>
        <v>0</v>
      </c>
      <c r="O439" s="2128">
        <f t="shared" si="60"/>
        <v>0</v>
      </c>
      <c r="P439" s="2155"/>
    </row>
    <row r="440" spans="1:16" s="2105" customFormat="1" outlineLevel="1">
      <c r="A440" s="2108" t="str">
        <f t="shared" si="61"/>
        <v>Kẹp hotline 2/0</v>
      </c>
      <c r="B440" s="2118" t="s">
        <v>1477</v>
      </c>
      <c r="C440" s="2127"/>
      <c r="D440" s="2120"/>
      <c r="E440" s="2121" t="s">
        <v>4335</v>
      </c>
      <c r="F440" s="2120" t="s">
        <v>2555</v>
      </c>
      <c r="G440" s="2184">
        <f>G436</f>
        <v>0</v>
      </c>
      <c r="H440" s="2123">
        <v>77000</v>
      </c>
      <c r="I440" s="2123"/>
      <c r="J440" s="2123"/>
      <c r="K440" s="2123">
        <v>0</v>
      </c>
      <c r="L440" s="2129">
        <f t="shared" si="57"/>
        <v>0</v>
      </c>
      <c r="M440" s="2129">
        <f t="shared" si="58"/>
        <v>0</v>
      </c>
      <c r="N440" s="2129">
        <f t="shared" si="62"/>
        <v>0</v>
      </c>
      <c r="O440" s="2128">
        <f t="shared" si="60"/>
        <v>0</v>
      </c>
      <c r="P440" s="2155"/>
    </row>
    <row r="441" spans="1:16" s="2105" customFormat="1" outlineLevel="1">
      <c r="A441" s="2108" t="str">
        <f t="shared" ref="A441:A472" si="63">VLOOKUP(B441,DonGia,3,0)</f>
        <v>Nắp che đầu cực FCO</v>
      </c>
      <c r="B441" s="2133" t="s">
        <v>6125</v>
      </c>
      <c r="C441" s="2127"/>
      <c r="D441" s="2120">
        <v>0</v>
      </c>
      <c r="E441" s="2121" t="s">
        <v>5700</v>
      </c>
      <c r="F441" s="2120" t="s">
        <v>2555</v>
      </c>
      <c r="G441" s="2184">
        <f>G382</f>
        <v>0</v>
      </c>
      <c r="H441" s="2123">
        <v>218200</v>
      </c>
      <c r="I441" s="2123"/>
      <c r="J441" s="2123">
        <v>0</v>
      </c>
      <c r="K441" s="2123">
        <v>0</v>
      </c>
      <c r="L441" s="2129">
        <f>H441*G441</f>
        <v>0</v>
      </c>
      <c r="M441" s="2129">
        <f>I441*G441</f>
        <v>0</v>
      </c>
      <c r="N441" s="2129">
        <f>J441*G441</f>
        <v>0</v>
      </c>
      <c r="O441" s="2128">
        <f>K441*G441</f>
        <v>0</v>
      </c>
      <c r="P441" s="2155"/>
    </row>
    <row r="442" spans="1:16" s="2105" customFormat="1" outlineLevel="1">
      <c r="A442" s="2108" t="str">
        <f t="shared" si="63"/>
        <v>Nắp che đầu cực LA</v>
      </c>
      <c r="B442" s="2133" t="s">
        <v>6126</v>
      </c>
      <c r="C442" s="2127"/>
      <c r="D442" s="2120">
        <v>0</v>
      </c>
      <c r="E442" s="2121" t="s">
        <v>5706</v>
      </c>
      <c r="F442" s="2120" t="s">
        <v>2555</v>
      </c>
      <c r="G442" s="2184">
        <f>G384</f>
        <v>0</v>
      </c>
      <c r="H442" s="2123">
        <v>39100</v>
      </c>
      <c r="I442" s="2123"/>
      <c r="J442" s="2123">
        <v>0</v>
      </c>
      <c r="K442" s="2123">
        <v>0</v>
      </c>
      <c r="L442" s="2129">
        <f>H442*G442</f>
        <v>0</v>
      </c>
      <c r="M442" s="2129">
        <f>I442*G442</f>
        <v>0</v>
      </c>
      <c r="N442" s="2129">
        <f>J442*G442</f>
        <v>0</v>
      </c>
      <c r="O442" s="2128">
        <f>K442*G442</f>
        <v>0</v>
      </c>
      <c r="P442" s="2155"/>
    </row>
    <row r="443" spans="1:16" s="2105" customFormat="1" outlineLevel="1">
      <c r="A443" s="2108" t="str">
        <f t="shared" si="63"/>
        <v>Nắp che đầu sứ MBA</v>
      </c>
      <c r="B443" s="2118" t="s">
        <v>6130</v>
      </c>
      <c r="C443" s="2127"/>
      <c r="D443" s="2120">
        <v>0</v>
      </c>
      <c r="E443" s="2121" t="s">
        <v>5708</v>
      </c>
      <c r="F443" s="2120" t="s">
        <v>2555</v>
      </c>
      <c r="G443" s="2184">
        <f>G381</f>
        <v>0</v>
      </c>
      <c r="H443" s="2123">
        <v>56700</v>
      </c>
      <c r="I443" s="2123"/>
      <c r="J443" s="2123">
        <v>0</v>
      </c>
      <c r="K443" s="2123">
        <v>0</v>
      </c>
      <c r="L443" s="2129">
        <f>H443*G443</f>
        <v>0</v>
      </c>
      <c r="M443" s="2129">
        <f>I443*G443</f>
        <v>0</v>
      </c>
      <c r="N443" s="2129">
        <f>J443*G443</f>
        <v>0</v>
      </c>
      <c r="O443" s="2128">
        <f>K443*G443</f>
        <v>0</v>
      </c>
      <c r="P443" s="2155"/>
    </row>
    <row r="444" spans="1:16" s="2105" customFormat="1" outlineLevel="1">
      <c r="A444" s="2108" t="str">
        <f t="shared" si="63"/>
        <v>Chụp cách điện kẹp quai</v>
      </c>
      <c r="B444" s="2118" t="s">
        <v>5704</v>
      </c>
      <c r="C444" s="2127"/>
      <c r="D444" s="2120">
        <v>0</v>
      </c>
      <c r="E444" s="2121" t="s">
        <v>4538</v>
      </c>
      <c r="F444" s="2120" t="s">
        <v>3445</v>
      </c>
      <c r="G444" s="2184">
        <f>G439</f>
        <v>0</v>
      </c>
      <c r="H444" s="2123">
        <v>136800</v>
      </c>
      <c r="I444" s="2123"/>
      <c r="J444" s="2123">
        <v>0</v>
      </c>
      <c r="K444" s="2123">
        <v>0</v>
      </c>
      <c r="L444" s="2129">
        <f>H444*G444</f>
        <v>0</v>
      </c>
      <c r="M444" s="2129">
        <f>I444*G444</f>
        <v>0</v>
      </c>
      <c r="N444" s="2129">
        <f>J444*G444</f>
        <v>0</v>
      </c>
      <c r="O444" s="2128">
        <f>K444*G444</f>
        <v>0</v>
      </c>
      <c r="P444" s="2155"/>
    </row>
    <row r="445" spans="1:16" s="2105" customFormat="1" outlineLevel="1">
      <c r="A445" s="2108" t="str">
        <f t="shared" si="63"/>
        <v>Lắp cáp đồng xuống thiết bị D ≤ 95mm2</v>
      </c>
      <c r="B445" s="2118" t="s">
        <v>1525</v>
      </c>
      <c r="C445" s="2127"/>
      <c r="D445" s="2120" t="s">
        <v>5571</v>
      </c>
      <c r="E445" s="2121" t="s">
        <v>3292</v>
      </c>
      <c r="F445" s="2120" t="s">
        <v>1823</v>
      </c>
      <c r="G445" s="2184">
        <f>G438</f>
        <v>0</v>
      </c>
      <c r="H445" s="2123">
        <v>0</v>
      </c>
      <c r="I445" s="2123"/>
      <c r="J445" s="2123">
        <v>13915</v>
      </c>
      <c r="K445" s="2123">
        <v>0</v>
      </c>
      <c r="L445" s="2129">
        <f t="shared" si="57"/>
        <v>0</v>
      </c>
      <c r="M445" s="2129">
        <f t="shared" si="58"/>
        <v>0</v>
      </c>
      <c r="N445" s="2129">
        <f t="shared" si="62"/>
        <v>0</v>
      </c>
      <c r="O445" s="2128">
        <f t="shared" si="60"/>
        <v>0</v>
      </c>
      <c r="P445" s="2155"/>
    </row>
    <row r="446" spans="1:16" s="2105" customFormat="1" outlineLevel="1">
      <c r="A446" s="2108" t="e">
        <f t="shared" si="63"/>
        <v>#N/A</v>
      </c>
      <c r="B446" s="2130"/>
      <c r="C446" s="2142">
        <f>IF(G446&gt;0,C436+1,C436)</f>
        <v>0</v>
      </c>
      <c r="D446" s="2146"/>
      <c r="E446" s="2158" t="s">
        <v>6153</v>
      </c>
      <c r="F446" s="2142" t="s">
        <v>2385</v>
      </c>
      <c r="G446" s="2187">
        <f>G381</f>
        <v>0</v>
      </c>
      <c r="H446" s="2123"/>
      <c r="I446" s="2128"/>
      <c r="J446" s="2123"/>
      <c r="K446" s="2123"/>
      <c r="L446" s="2129">
        <f t="shared" si="57"/>
        <v>0</v>
      </c>
      <c r="M446" s="2129">
        <f t="shared" si="58"/>
        <v>0</v>
      </c>
      <c r="N446" s="2129">
        <f t="shared" si="62"/>
        <v>0</v>
      </c>
      <c r="O446" s="2128">
        <f t="shared" si="60"/>
        <v>0</v>
      </c>
      <c r="P446" s="2155"/>
    </row>
    <row r="447" spans="1:16" s="2105" customFormat="1" ht="14.4" outlineLevel="1">
      <c r="A447" s="2108" t="e">
        <f t="shared" si="63"/>
        <v>#N/A</v>
      </c>
      <c r="B447" s="2130"/>
      <c r="C447" s="2142"/>
      <c r="D447" s="2146"/>
      <c r="E447" s="2148" t="s">
        <v>6133</v>
      </c>
      <c r="F447" s="2142"/>
      <c r="G447" s="2187"/>
      <c r="H447" s="2123"/>
      <c r="I447" s="2128"/>
      <c r="J447" s="2123"/>
      <c r="K447" s="2123"/>
      <c r="L447" s="2129">
        <f t="shared" si="57"/>
        <v>0</v>
      </c>
      <c r="M447" s="2129">
        <f t="shared" si="58"/>
        <v>0</v>
      </c>
      <c r="N447" s="2129">
        <f t="shared" si="62"/>
        <v>0</v>
      </c>
      <c r="O447" s="2128">
        <f t="shared" si="60"/>
        <v>0</v>
      </c>
      <c r="P447" s="2155"/>
    </row>
    <row r="448" spans="1:16" s="2105" customFormat="1" outlineLevel="1">
      <c r="A448" s="2108" t="str">
        <f t="shared" si="63"/>
        <v>Cáp đồng bọc CV120</v>
      </c>
      <c r="B448" s="2130" t="s">
        <v>32</v>
      </c>
      <c r="C448" s="2142"/>
      <c r="D448" s="2120">
        <v>0</v>
      </c>
      <c r="E448" s="2121" t="s">
        <v>6322</v>
      </c>
      <c r="F448" s="2120" t="s">
        <v>2532</v>
      </c>
      <c r="G448" s="2184">
        <f>G446*2*7</f>
        <v>0</v>
      </c>
      <c r="H448" s="2123">
        <v>236300</v>
      </c>
      <c r="I448" s="2123"/>
      <c r="J448" s="2123">
        <v>0</v>
      </c>
      <c r="K448" s="2123">
        <v>0</v>
      </c>
      <c r="L448" s="2129">
        <f t="shared" si="57"/>
        <v>0</v>
      </c>
      <c r="M448" s="2129">
        <f t="shared" si="58"/>
        <v>0</v>
      </c>
      <c r="N448" s="2129">
        <f t="shared" si="62"/>
        <v>0</v>
      </c>
      <c r="O448" s="2128">
        <f t="shared" si="60"/>
        <v>0</v>
      </c>
      <c r="P448" s="2155"/>
    </row>
    <row r="449" spans="1:16" s="2105" customFormat="1" outlineLevel="1">
      <c r="A449" s="2108" t="str">
        <f t="shared" si="63"/>
        <v>Cáp đồng bọc CV25</v>
      </c>
      <c r="B449" s="2130" t="s">
        <v>1526</v>
      </c>
      <c r="C449" s="2142"/>
      <c r="D449" s="2120">
        <v>0</v>
      </c>
      <c r="E449" s="2121" t="s">
        <v>6323</v>
      </c>
      <c r="F449" s="2120" t="s">
        <v>2532</v>
      </c>
      <c r="G449" s="2184">
        <f>6*G446</f>
        <v>0</v>
      </c>
      <c r="H449" s="2123">
        <v>59600</v>
      </c>
      <c r="I449" s="2123"/>
      <c r="J449" s="2123">
        <v>0</v>
      </c>
      <c r="K449" s="2123">
        <v>0</v>
      </c>
      <c r="L449" s="2129">
        <f t="shared" si="57"/>
        <v>0</v>
      </c>
      <c r="M449" s="2129">
        <f t="shared" si="58"/>
        <v>0</v>
      </c>
      <c r="N449" s="2129">
        <f t="shared" si="62"/>
        <v>0</v>
      </c>
      <c r="O449" s="2128">
        <f t="shared" si="60"/>
        <v>0</v>
      </c>
      <c r="P449" s="2155"/>
    </row>
    <row r="450" spans="1:16" s="2105" customFormat="1" outlineLevel="1">
      <c r="A450" s="2108" t="str">
        <f t="shared" si="63"/>
        <v xml:space="preserve">Cáp CVV 4x4mm2  </v>
      </c>
      <c r="B450" s="2130" t="s">
        <v>4518</v>
      </c>
      <c r="C450" s="2127"/>
      <c r="D450" s="2120">
        <v>0</v>
      </c>
      <c r="E450" s="2121" t="s">
        <v>2786</v>
      </c>
      <c r="F450" s="2120" t="s">
        <v>2532</v>
      </c>
      <c r="G450" s="2184">
        <f>4*G446</f>
        <v>0</v>
      </c>
      <c r="H450" s="2123">
        <v>63200</v>
      </c>
      <c r="I450" s="2123"/>
      <c r="J450" s="2123">
        <v>0</v>
      </c>
      <c r="K450" s="2123">
        <v>0</v>
      </c>
      <c r="L450" s="2129">
        <f t="shared" si="57"/>
        <v>0</v>
      </c>
      <c r="M450" s="2129">
        <f t="shared" si="58"/>
        <v>0</v>
      </c>
      <c r="N450" s="2129">
        <f t="shared" si="62"/>
        <v>0</v>
      </c>
      <c r="O450" s="2128">
        <f t="shared" si="60"/>
        <v>0</v>
      </c>
      <c r="P450" s="2155"/>
    </row>
    <row r="451" spans="1:16" s="2105" customFormat="1" outlineLevel="1">
      <c r="A451" s="2108" t="str">
        <f t="shared" si="63"/>
        <v>Cáp đồng bọc CV120</v>
      </c>
      <c r="B451" s="2130" t="s">
        <v>32</v>
      </c>
      <c r="C451" s="2127"/>
      <c r="D451" s="2120">
        <v>0</v>
      </c>
      <c r="E451" s="2121" t="s">
        <v>6324</v>
      </c>
      <c r="F451" s="2120" t="s">
        <v>2532</v>
      </c>
      <c r="G451" s="2184">
        <f>+G446*2*6.5</f>
        <v>0</v>
      </c>
      <c r="H451" s="2123">
        <v>236300</v>
      </c>
      <c r="I451" s="2123"/>
      <c r="J451" s="2123">
        <v>0</v>
      </c>
      <c r="K451" s="2123">
        <v>0</v>
      </c>
      <c r="L451" s="2129">
        <f t="shared" si="57"/>
        <v>0</v>
      </c>
      <c r="M451" s="2129">
        <f t="shared" si="58"/>
        <v>0</v>
      </c>
      <c r="N451" s="2129">
        <f t="shared" si="62"/>
        <v>0</v>
      </c>
      <c r="O451" s="2128">
        <f t="shared" si="60"/>
        <v>0</v>
      </c>
      <c r="P451" s="2155"/>
    </row>
    <row r="452" spans="1:16" s="2105" customFormat="1" outlineLevel="1">
      <c r="A452" s="2108" t="str">
        <f t="shared" si="63"/>
        <v>Kẹp ép WR cỡ dây 120mm2</v>
      </c>
      <c r="B452" s="2130" t="s">
        <v>13</v>
      </c>
      <c r="C452" s="2127"/>
      <c r="D452" s="2120">
        <v>0</v>
      </c>
      <c r="E452" s="2121" t="s">
        <v>2876</v>
      </c>
      <c r="F452" s="2120" t="s">
        <v>2555</v>
      </c>
      <c r="G452" s="2184">
        <f>+G446*8</f>
        <v>0</v>
      </c>
      <c r="H452" s="2123">
        <v>14000</v>
      </c>
      <c r="I452" s="2123"/>
      <c r="J452" s="2123">
        <v>0</v>
      </c>
      <c r="K452" s="2123">
        <v>0</v>
      </c>
      <c r="L452" s="2129">
        <f>H452*G452</f>
        <v>0</v>
      </c>
      <c r="M452" s="2129">
        <f>I452*G452</f>
        <v>0</v>
      </c>
      <c r="N452" s="2129">
        <f>J452*G452</f>
        <v>0</v>
      </c>
      <c r="O452" s="2128">
        <f>K452*G452</f>
        <v>0</v>
      </c>
      <c r="P452" s="2155"/>
    </row>
    <row r="453" spans="1:16" s="2105" customFormat="1" outlineLevel="1">
      <c r="A453" s="2108" t="str">
        <f t="shared" si="63"/>
        <v>Băng keo cách điện</v>
      </c>
      <c r="B453" s="2130" t="s">
        <v>672</v>
      </c>
      <c r="C453" s="2127"/>
      <c r="D453" s="2120">
        <v>0</v>
      </c>
      <c r="E453" s="2121" t="s">
        <v>5801</v>
      </c>
      <c r="F453" s="2120" t="s">
        <v>3566</v>
      </c>
      <c r="G453" s="2184">
        <f>G446*4</f>
        <v>0</v>
      </c>
      <c r="H453" s="2123">
        <v>6500</v>
      </c>
      <c r="I453" s="2123"/>
      <c r="J453" s="2123">
        <v>0</v>
      </c>
      <c r="K453" s="2123">
        <v>0</v>
      </c>
      <c r="L453" s="2129">
        <f>H453*G453</f>
        <v>0</v>
      </c>
      <c r="M453" s="2129">
        <f>I453*G453</f>
        <v>0</v>
      </c>
      <c r="N453" s="2129">
        <f>J453*G453</f>
        <v>0</v>
      </c>
      <c r="O453" s="2128">
        <f>K453*G453</f>
        <v>0</v>
      </c>
      <c r="P453" s="2155"/>
    </row>
    <row r="454" spans="1:16" s="2105" customFormat="1" outlineLevel="1">
      <c r="A454" s="2108" t="str">
        <f t="shared" si="63"/>
        <v>Đầu cosse ép Cu 120mm2</v>
      </c>
      <c r="B454" s="2130" t="s">
        <v>1305</v>
      </c>
      <c r="C454" s="2127"/>
      <c r="D454" s="2120" t="s">
        <v>5728</v>
      </c>
      <c r="E454" s="2121" t="s">
        <v>3482</v>
      </c>
      <c r="F454" s="2120" t="s">
        <v>2555</v>
      </c>
      <c r="G454" s="2184">
        <f>G446*G386*4</f>
        <v>0</v>
      </c>
      <c r="H454" s="2123">
        <v>27000</v>
      </c>
      <c r="I454" s="2123"/>
      <c r="J454" s="2123">
        <v>27280.17</v>
      </c>
      <c r="K454" s="2123">
        <v>3887.8325465000003</v>
      </c>
      <c r="L454" s="2129">
        <f t="shared" si="57"/>
        <v>0</v>
      </c>
      <c r="M454" s="2129">
        <f t="shared" si="58"/>
        <v>0</v>
      </c>
      <c r="N454" s="2129">
        <f t="shared" si="62"/>
        <v>0</v>
      </c>
      <c r="O454" s="2128">
        <f t="shared" si="60"/>
        <v>0</v>
      </c>
      <c r="P454" s="2155"/>
    </row>
    <row r="455" spans="1:16" s="2105" customFormat="1" outlineLevel="1">
      <c r="A455" s="2108" t="str">
        <f t="shared" si="63"/>
        <v>Đầu cosse ép Cu 25mm2</v>
      </c>
      <c r="B455" s="2130" t="s">
        <v>1073</v>
      </c>
      <c r="C455" s="2127"/>
      <c r="D455" s="2120" t="s">
        <v>5724</v>
      </c>
      <c r="E455" s="2121" t="s">
        <v>3476</v>
      </c>
      <c r="F455" s="2120" t="s">
        <v>2555</v>
      </c>
      <c r="G455" s="2184">
        <f>G446*1</f>
        <v>0</v>
      </c>
      <c r="H455" s="2123">
        <v>6500</v>
      </c>
      <c r="I455" s="2123"/>
      <c r="J455" s="2123">
        <v>6062.26</v>
      </c>
      <c r="K455" s="2123">
        <v>2777.0232475000003</v>
      </c>
      <c r="L455" s="2129">
        <f t="shared" si="57"/>
        <v>0</v>
      </c>
      <c r="M455" s="2129">
        <f t="shared" si="58"/>
        <v>0</v>
      </c>
      <c r="N455" s="2129">
        <f t="shared" si="62"/>
        <v>0</v>
      </c>
      <c r="O455" s="2128">
        <f t="shared" si="60"/>
        <v>0</v>
      </c>
      <c r="P455" s="2155"/>
    </row>
    <row r="456" spans="1:16" s="2105" customFormat="1" outlineLevel="1">
      <c r="A456" s="2108" t="str">
        <f t="shared" si="63"/>
        <v>Chụp đầu cosse  120mm2</v>
      </c>
      <c r="B456" s="2130" t="s">
        <v>1861</v>
      </c>
      <c r="C456" s="2127"/>
      <c r="D456" s="2120">
        <v>0</v>
      </c>
      <c r="E456" s="2121" t="s">
        <v>3496</v>
      </c>
      <c r="F456" s="2120" t="s">
        <v>2555</v>
      </c>
      <c r="G456" s="2184">
        <f>G454</f>
        <v>0</v>
      </c>
      <c r="H456" s="2123">
        <v>4000</v>
      </c>
      <c r="I456" s="2123"/>
      <c r="J456" s="2123">
        <v>0</v>
      </c>
      <c r="K456" s="2123">
        <v>0</v>
      </c>
      <c r="L456" s="2129">
        <f t="shared" si="57"/>
        <v>0</v>
      </c>
      <c r="M456" s="2129">
        <f t="shared" si="58"/>
        <v>0</v>
      </c>
      <c r="N456" s="2129">
        <f t="shared" si="62"/>
        <v>0</v>
      </c>
      <c r="O456" s="2128">
        <f t="shared" si="60"/>
        <v>0</v>
      </c>
      <c r="P456" s="2155"/>
    </row>
    <row r="457" spans="1:16" s="2105" customFormat="1" outlineLevel="1">
      <c r="A457" s="2108" t="str">
        <f t="shared" si="63"/>
        <v>Chụp đầu cosse  25mm2</v>
      </c>
      <c r="B457" s="2130" t="s">
        <v>6154</v>
      </c>
      <c r="C457" s="2127"/>
      <c r="D457" s="2120">
        <v>0</v>
      </c>
      <c r="E457" s="2121" t="s">
        <v>3491</v>
      </c>
      <c r="F457" s="2120" t="s">
        <v>2555</v>
      </c>
      <c r="G457" s="2184">
        <f>G455</f>
        <v>0</v>
      </c>
      <c r="H457" s="2123">
        <v>1000</v>
      </c>
      <c r="I457" s="2123"/>
      <c r="J457" s="2123">
        <v>0</v>
      </c>
      <c r="K457" s="2123">
        <v>0</v>
      </c>
      <c r="L457" s="2129">
        <f t="shared" ref="L457:L466" si="64">H457*G457</f>
        <v>0</v>
      </c>
      <c r="M457" s="2129">
        <f t="shared" ref="M457:M466" si="65">I457*G457</f>
        <v>0</v>
      </c>
      <c r="N457" s="2129">
        <f t="shared" si="62"/>
        <v>0</v>
      </c>
      <c r="O457" s="2128">
        <f t="shared" ref="O457:O466" si="66">K457*G457</f>
        <v>0</v>
      </c>
      <c r="P457" s="2155"/>
    </row>
    <row r="458" spans="1:16" s="2105" customFormat="1" outlineLevel="1">
      <c r="A458" s="2108" t="str">
        <f t="shared" si="63"/>
        <v xml:space="preserve">Ống PVC D114x4,9mm </v>
      </c>
      <c r="B458" s="2130" t="s">
        <v>1042</v>
      </c>
      <c r="C458" s="2127"/>
      <c r="D458" s="2120">
        <v>0</v>
      </c>
      <c r="E458" s="2121" t="s">
        <v>3531</v>
      </c>
      <c r="F458" s="2120" t="s">
        <v>1823</v>
      </c>
      <c r="G458" s="2184">
        <f>6.8*G446</f>
        <v>0</v>
      </c>
      <c r="H458" s="2123">
        <v>103700</v>
      </c>
      <c r="I458" s="2128"/>
      <c r="J458" s="2123">
        <v>0</v>
      </c>
      <c r="K458" s="2123">
        <v>0</v>
      </c>
      <c r="L458" s="2129">
        <f t="shared" si="64"/>
        <v>0</v>
      </c>
      <c r="M458" s="2129">
        <f t="shared" si="65"/>
        <v>0</v>
      </c>
      <c r="N458" s="2129">
        <f t="shared" si="62"/>
        <v>0</v>
      </c>
      <c r="O458" s="2128">
        <f t="shared" si="66"/>
        <v>0</v>
      </c>
      <c r="P458" s="2155"/>
    </row>
    <row r="459" spans="1:16" s="2105" customFormat="1" outlineLevel="1">
      <c r="A459" s="2108" t="str">
        <f t="shared" si="63"/>
        <v>Cổ dê kẹp ống PVC Ø 114</v>
      </c>
      <c r="B459" s="2133" t="s">
        <v>1862</v>
      </c>
      <c r="C459" s="2127"/>
      <c r="D459" s="2120">
        <v>0</v>
      </c>
      <c r="E459" s="2121" t="s">
        <v>5258</v>
      </c>
      <c r="F459" s="2120" t="s">
        <v>2439</v>
      </c>
      <c r="G459" s="2184">
        <f>4*G446</f>
        <v>0</v>
      </c>
      <c r="H459" s="2123">
        <v>50000</v>
      </c>
      <c r="I459" s="2128"/>
      <c r="J459" s="2123">
        <v>0</v>
      </c>
      <c r="K459" s="2123">
        <v>0</v>
      </c>
      <c r="L459" s="2129">
        <f t="shared" si="64"/>
        <v>0</v>
      </c>
      <c r="M459" s="2129">
        <f t="shared" si="65"/>
        <v>0</v>
      </c>
      <c r="N459" s="2129">
        <f t="shared" si="62"/>
        <v>0</v>
      </c>
      <c r="O459" s="2128">
        <f t="shared" si="66"/>
        <v>0</v>
      </c>
      <c r="P459" s="2155"/>
    </row>
    <row r="460" spans="1:16" s="2105" customFormat="1" outlineLevel="1">
      <c r="A460" s="2108" t="str">
        <f t="shared" si="63"/>
        <v>Boulon 12x40+ 2 long đền vuông D14-50x50x3/Zn</v>
      </c>
      <c r="B460" s="2133" t="s">
        <v>2019</v>
      </c>
      <c r="C460" s="2127"/>
      <c r="D460" s="2120">
        <v>0</v>
      </c>
      <c r="E460" s="2121" t="s">
        <v>2627</v>
      </c>
      <c r="F460" s="2120" t="s">
        <v>2439</v>
      </c>
      <c r="G460" s="2184">
        <f>G461*4</f>
        <v>0</v>
      </c>
      <c r="H460" s="2123">
        <v>8500</v>
      </c>
      <c r="I460" s="2128"/>
      <c r="J460" s="2123"/>
      <c r="K460" s="2123">
        <v>0</v>
      </c>
      <c r="L460" s="2129">
        <f>H460*G460</f>
        <v>0</v>
      </c>
      <c r="M460" s="2129">
        <f>I460*G460</f>
        <v>0</v>
      </c>
      <c r="N460" s="2129">
        <f>J460*G460</f>
        <v>0</v>
      </c>
      <c r="O460" s="2128">
        <f>K460*G460</f>
        <v>0</v>
      </c>
      <c r="P460" s="2155"/>
    </row>
    <row r="461" spans="1:16" s="2105" customFormat="1" outlineLevel="1">
      <c r="A461" s="2108" t="str">
        <f t="shared" si="63"/>
        <v>Lắp cổ dê</v>
      </c>
      <c r="B461" s="2133" t="s">
        <v>1131</v>
      </c>
      <c r="C461" s="2127"/>
      <c r="D461" s="2120" t="s">
        <v>5272</v>
      </c>
      <c r="E461" s="2121" t="s">
        <v>5470</v>
      </c>
      <c r="F461" s="2120" t="s">
        <v>2555</v>
      </c>
      <c r="G461" s="2184">
        <f>G446*3*0</f>
        <v>0</v>
      </c>
      <c r="H461" s="2123">
        <v>0</v>
      </c>
      <c r="I461" s="2128"/>
      <c r="J461" s="2123">
        <v>77000</v>
      </c>
      <c r="K461" s="2123">
        <v>0</v>
      </c>
      <c r="L461" s="2129">
        <f>H461*G461</f>
        <v>0</v>
      </c>
      <c r="M461" s="2129">
        <f>I461*G461</f>
        <v>0</v>
      </c>
      <c r="N461" s="2129">
        <f>J461*G461</f>
        <v>0</v>
      </c>
      <c r="O461" s="2128">
        <f>K461*G461</f>
        <v>0</v>
      </c>
      <c r="P461" s="2155"/>
    </row>
    <row r="462" spans="1:16" s="2105" customFormat="1" outlineLevel="1">
      <c r="A462" s="2108" t="str">
        <f t="shared" si="63"/>
        <v>Co  90 độ PVC 90</v>
      </c>
      <c r="B462" s="2130" t="s">
        <v>69</v>
      </c>
      <c r="C462" s="2127"/>
      <c r="D462" s="2120">
        <v>0</v>
      </c>
      <c r="E462" s="2121" t="s">
        <v>5797</v>
      </c>
      <c r="F462" s="2120" t="s">
        <v>2555</v>
      </c>
      <c r="G462" s="2184">
        <f>4*G446</f>
        <v>0</v>
      </c>
      <c r="H462" s="2123">
        <v>45400</v>
      </c>
      <c r="I462" s="2128"/>
      <c r="J462" s="2123">
        <v>0</v>
      </c>
      <c r="K462" s="2123">
        <v>0</v>
      </c>
      <c r="L462" s="2129">
        <f t="shared" si="64"/>
        <v>0</v>
      </c>
      <c r="M462" s="2129">
        <f t="shared" si="65"/>
        <v>0</v>
      </c>
      <c r="N462" s="2129">
        <f t="shared" si="62"/>
        <v>0</v>
      </c>
      <c r="O462" s="2128">
        <f t="shared" si="66"/>
        <v>0</v>
      </c>
      <c r="P462" s="2155"/>
    </row>
    <row r="463" spans="1:16" s="2105" customFormat="1" outlineLevel="1">
      <c r="A463" s="2108" t="str">
        <f t="shared" si="63"/>
        <v>Nối ống PVC 114</v>
      </c>
      <c r="B463" s="2130" t="s">
        <v>688</v>
      </c>
      <c r="C463" s="2127"/>
      <c r="D463" s="2120">
        <v>0</v>
      </c>
      <c r="E463" s="2121" t="s">
        <v>4451</v>
      </c>
      <c r="F463" s="2120" t="s">
        <v>2555</v>
      </c>
      <c r="G463" s="2184">
        <f>G446*0</f>
        <v>0</v>
      </c>
      <c r="H463" s="2123">
        <v>27500</v>
      </c>
      <c r="I463" s="2128"/>
      <c r="J463" s="2123">
        <v>0</v>
      </c>
      <c r="K463" s="2123">
        <v>0</v>
      </c>
      <c r="L463" s="2129">
        <f t="shared" si="64"/>
        <v>0</v>
      </c>
      <c r="M463" s="2129">
        <f t="shared" si="65"/>
        <v>0</v>
      </c>
      <c r="N463" s="2129">
        <f t="shared" si="62"/>
        <v>0</v>
      </c>
      <c r="O463" s="2128">
        <f t="shared" si="66"/>
        <v>0</v>
      </c>
      <c r="P463" s="2155"/>
    </row>
    <row r="464" spans="1:16" s="2105" customFormat="1" outlineLevel="1">
      <c r="A464" s="2108" t="str">
        <f t="shared" si="63"/>
        <v>Khâu ven răng trong D90</v>
      </c>
      <c r="B464" s="2130" t="s">
        <v>2153</v>
      </c>
      <c r="C464" s="2127"/>
      <c r="D464" s="2120">
        <v>0</v>
      </c>
      <c r="E464" s="2121" t="s">
        <v>3574</v>
      </c>
      <c r="F464" s="2120" t="s">
        <v>2555</v>
      </c>
      <c r="G464" s="2184">
        <f>+G446</f>
        <v>0</v>
      </c>
      <c r="H464" s="2123">
        <v>25800</v>
      </c>
      <c r="I464" s="2128"/>
      <c r="J464" s="2123">
        <v>0</v>
      </c>
      <c r="K464" s="2123">
        <v>0</v>
      </c>
      <c r="L464" s="2129">
        <f>H464*G464</f>
        <v>0</v>
      </c>
      <c r="M464" s="2129">
        <f>I464*G464</f>
        <v>0</v>
      </c>
      <c r="N464" s="2129">
        <f>J464*G464</f>
        <v>0</v>
      </c>
      <c r="O464" s="2128">
        <f>K464*G464</f>
        <v>0</v>
      </c>
      <c r="P464" s="2155"/>
    </row>
    <row r="465" spans="1:16" s="2105" customFormat="1" outlineLevel="1">
      <c r="A465" s="2108" t="str">
        <f t="shared" si="63"/>
        <v>Khâu ven răng ngoài D90</v>
      </c>
      <c r="B465" s="2130" t="s">
        <v>2154</v>
      </c>
      <c r="C465" s="2127"/>
      <c r="D465" s="2120">
        <v>0</v>
      </c>
      <c r="E465" s="2121" t="s">
        <v>3578</v>
      </c>
      <c r="F465" s="2120" t="s">
        <v>2555</v>
      </c>
      <c r="G465" s="2184">
        <f>G464</f>
        <v>0</v>
      </c>
      <c r="H465" s="2123">
        <v>21500</v>
      </c>
      <c r="I465" s="2128"/>
      <c r="J465" s="2123">
        <v>0</v>
      </c>
      <c r="K465" s="2123">
        <v>0</v>
      </c>
      <c r="L465" s="2129">
        <f>H465*G465</f>
        <v>0</v>
      </c>
      <c r="M465" s="2129">
        <f>I465*G465</f>
        <v>0</v>
      </c>
      <c r="N465" s="2129">
        <f>J465*G465</f>
        <v>0</v>
      </c>
      <c r="O465" s="2128">
        <f>K465*G465</f>
        <v>0</v>
      </c>
      <c r="P465" s="2155"/>
    </row>
    <row r="466" spans="1:16" s="2105" customFormat="1" outlineLevel="1">
      <c r="A466" s="2108" t="str">
        <f t="shared" si="63"/>
        <v>Keo dán ống PVC (100gr)</v>
      </c>
      <c r="B466" s="2130" t="s">
        <v>2074</v>
      </c>
      <c r="C466" s="2127"/>
      <c r="D466" s="2120">
        <v>0</v>
      </c>
      <c r="E466" s="2121" t="s">
        <v>3570</v>
      </c>
      <c r="F466" s="2120" t="s">
        <v>3571</v>
      </c>
      <c r="G466" s="2184">
        <f>G446</f>
        <v>0</v>
      </c>
      <c r="H466" s="2123">
        <v>11500</v>
      </c>
      <c r="I466" s="2128"/>
      <c r="J466" s="2123">
        <v>0</v>
      </c>
      <c r="K466" s="2123">
        <v>0</v>
      </c>
      <c r="L466" s="2129">
        <f t="shared" si="64"/>
        <v>0</v>
      </c>
      <c r="M466" s="2129">
        <f t="shared" si="65"/>
        <v>0</v>
      </c>
      <c r="N466" s="2129">
        <f t="shared" si="62"/>
        <v>0</v>
      </c>
      <c r="O466" s="2128">
        <f t="shared" si="66"/>
        <v>0</v>
      </c>
      <c r="P466" s="2155"/>
    </row>
    <row r="467" spans="1:16" s="2105" customFormat="1" outlineLevel="1">
      <c r="A467" s="2108" t="str">
        <f t="shared" si="63"/>
        <v>Keo silicon bít miệng ống</v>
      </c>
      <c r="B467" s="2130" t="s">
        <v>489</v>
      </c>
      <c r="C467" s="2127"/>
      <c r="D467" s="2120">
        <v>0</v>
      </c>
      <c r="E467" s="2121" t="s">
        <v>3567</v>
      </c>
      <c r="F467" s="2120" t="s">
        <v>5806</v>
      </c>
      <c r="G467" s="2184">
        <f>G446</f>
        <v>0</v>
      </c>
      <c r="H467" s="2123">
        <v>45000</v>
      </c>
      <c r="I467" s="2128"/>
      <c r="J467" s="2123">
        <v>0</v>
      </c>
      <c r="K467" s="2123">
        <v>0</v>
      </c>
      <c r="L467" s="2129">
        <f>H467*G467</f>
        <v>0</v>
      </c>
      <c r="M467" s="2129">
        <f>I467*G467</f>
        <v>0</v>
      </c>
      <c r="N467" s="2129">
        <f>J467*G467</f>
        <v>0</v>
      </c>
      <c r="O467" s="2128">
        <f>K467*G467</f>
        <v>0</v>
      </c>
      <c r="P467" s="2155"/>
    </row>
    <row r="468" spans="1:16" s="2105" customFormat="1" outlineLevel="1">
      <c r="A468" s="2108" t="str">
        <f t="shared" si="63"/>
        <v>Băng keo cách điện</v>
      </c>
      <c r="B468" s="2133" t="s">
        <v>672</v>
      </c>
      <c r="C468" s="2127"/>
      <c r="D468" s="2150"/>
      <c r="E468" s="2121" t="s">
        <v>5801</v>
      </c>
      <c r="F468" s="2120" t="s">
        <v>3566</v>
      </c>
      <c r="G468" s="2184"/>
      <c r="H468" s="2123">
        <v>6500</v>
      </c>
      <c r="I468" s="2128"/>
      <c r="J468" s="2123">
        <v>0</v>
      </c>
      <c r="K468" s="2123">
        <v>0</v>
      </c>
      <c r="L468" s="2129">
        <f>H468*G468</f>
        <v>0</v>
      </c>
      <c r="M468" s="2129">
        <f>I468*G468</f>
        <v>0</v>
      </c>
      <c r="N468" s="2129">
        <f>J468*G468</f>
        <v>0</v>
      </c>
      <c r="O468" s="2128">
        <f>K468*G468</f>
        <v>0</v>
      </c>
      <c r="P468" s="2155"/>
    </row>
    <row r="469" spans="1:16" s="2105" customFormat="1" outlineLevel="1">
      <c r="A469" s="2108" t="str">
        <f t="shared" si="63"/>
        <v>Lắp ống nhựa PVC D90</v>
      </c>
      <c r="B469" s="2130" t="s">
        <v>2182</v>
      </c>
      <c r="C469" s="2127"/>
      <c r="D469" s="2120" t="s">
        <v>5547</v>
      </c>
      <c r="E469" s="2121" t="s">
        <v>3252</v>
      </c>
      <c r="F469" s="2120" t="s">
        <v>2532</v>
      </c>
      <c r="G469" s="2184"/>
      <c r="H469" s="2123"/>
      <c r="I469" s="2128"/>
      <c r="J469" s="2123">
        <v>55493.02</v>
      </c>
      <c r="K469" s="2123">
        <v>0</v>
      </c>
      <c r="L469" s="2129">
        <f>H469*G469</f>
        <v>0</v>
      </c>
      <c r="M469" s="2129">
        <f>I469*G469</f>
        <v>0</v>
      </c>
      <c r="N469" s="2129">
        <f>J469*G469</f>
        <v>0</v>
      </c>
      <c r="O469" s="2128">
        <f>K469*G469</f>
        <v>0</v>
      </c>
      <c r="P469" s="2155"/>
    </row>
    <row r="470" spans="1:16" s="2105" customFormat="1" outlineLevel="1">
      <c r="A470" s="2108" t="str">
        <f t="shared" si="63"/>
        <v>Lắp cáp đồng xuống thiết bị D ≤ 150mm2</v>
      </c>
      <c r="B470" s="2133" t="s">
        <v>2006</v>
      </c>
      <c r="C470" s="2127"/>
      <c r="D470" s="2120" t="s">
        <v>5572</v>
      </c>
      <c r="E470" s="2121" t="s">
        <v>3293</v>
      </c>
      <c r="F470" s="2120" t="s">
        <v>1823</v>
      </c>
      <c r="G470" s="2184">
        <f>G448+G449</f>
        <v>0</v>
      </c>
      <c r="H470" s="2123"/>
      <c r="I470" s="2128"/>
      <c r="J470" s="2123">
        <v>33396</v>
      </c>
      <c r="K470" s="2123">
        <v>0</v>
      </c>
      <c r="L470" s="2129">
        <f>H470*G470</f>
        <v>0</v>
      </c>
      <c r="M470" s="2129">
        <f>I470*G470</f>
        <v>0</v>
      </c>
      <c r="N470" s="2129">
        <f>J470*G470</f>
        <v>0</v>
      </c>
      <c r="O470" s="2128">
        <f>K470*G470</f>
        <v>0</v>
      </c>
      <c r="P470" s="2155"/>
    </row>
    <row r="471" spans="1:16" s="2105" customFormat="1" outlineLevel="1">
      <c r="A471" s="2108" t="str">
        <f t="shared" si="63"/>
        <v>Bảng tên trạm, bảng báo nguy hiểm + đinh vít</v>
      </c>
      <c r="B471" s="2130" t="s">
        <v>289</v>
      </c>
      <c r="C471" s="2160">
        <f>IF(G471&gt;0,C446+1,C446)</f>
        <v>0</v>
      </c>
      <c r="D471" s="2161"/>
      <c r="E471" s="2121" t="s">
        <v>5712</v>
      </c>
      <c r="F471" s="2120" t="s">
        <v>2555</v>
      </c>
      <c r="G471" s="2188">
        <f>G404</f>
        <v>0</v>
      </c>
      <c r="H471" s="2123">
        <v>300000</v>
      </c>
      <c r="I471" s="2163"/>
      <c r="J471" s="2123"/>
      <c r="K471" s="2123">
        <v>0</v>
      </c>
      <c r="L471" s="2162">
        <f>H471*G471</f>
        <v>0</v>
      </c>
      <c r="M471" s="2162">
        <f>I471*G471</f>
        <v>0</v>
      </c>
      <c r="N471" s="2162">
        <f>J471*G471</f>
        <v>0</v>
      </c>
      <c r="O471" s="2163">
        <f>K471*G471</f>
        <v>0</v>
      </c>
      <c r="P471" s="2179"/>
    </row>
    <row r="472" spans="1:16" s="2105" customFormat="1" outlineLevel="1">
      <c r="A472" s="2108" t="e">
        <f t="shared" si="63"/>
        <v>#N/A</v>
      </c>
      <c r="B472" s="2130"/>
      <c r="C472" s="2165"/>
      <c r="D472" s="2166"/>
      <c r="E472" s="2139"/>
      <c r="F472" s="2622"/>
      <c r="G472" s="2622"/>
      <c r="H472" s="2622"/>
      <c r="I472" s="2622"/>
      <c r="J472" s="2658" t="s">
        <v>6131</v>
      </c>
      <c r="K472" s="2658"/>
      <c r="L472" s="2167">
        <f>SUM(L392:L471)</f>
        <v>0</v>
      </c>
      <c r="M472" s="2167"/>
      <c r="N472" s="2167">
        <f>SUM(N392:N471)</f>
        <v>0</v>
      </c>
      <c r="O472" s="2167">
        <f>SUM(O392:O471)</f>
        <v>0</v>
      </c>
      <c r="P472" s="2170"/>
    </row>
    <row r="473" spans="1:16" s="2105" customFormat="1" ht="13.95" customHeight="1">
      <c r="A473" s="2149" t="str">
        <f>IF(G478&lt;&gt;0,1,"")</f>
        <v/>
      </c>
      <c r="B473" s="2130"/>
      <c r="C473" s="2623"/>
      <c r="D473" s="2627"/>
      <c r="E473" s="2189"/>
    </row>
    <row r="474" spans="1:16" s="2105" customFormat="1" outlineLevel="1">
      <c r="A474" s="2108" t="e">
        <f t="shared" ref="A474:A505" si="67">VLOOKUP(B474,DonGia,3,0)</f>
        <v>#N/A</v>
      </c>
      <c r="B474" s="2131"/>
      <c r="C474" s="2144" t="str">
        <f>"BẢNG TỔNG HỢP VẬT LIỆU, NHÂN CÔNG, MÁY THI CÔNG: "&amp;H11&amp;   "TRẠM_1P100KVA "</f>
        <v xml:space="preserve">BẢNG TỔNG HỢP VẬT LIỆU, NHÂN CÔNG, MÁY THI CÔNG: 0TRẠM_1P100KVA </v>
      </c>
      <c r="D474" s="2625"/>
      <c r="E474" s="2144"/>
      <c r="F474" s="2144"/>
      <c r="G474" s="2144"/>
      <c r="H474" s="2144"/>
      <c r="I474" s="2144"/>
      <c r="J474" s="2144"/>
      <c r="K474" s="2144"/>
      <c r="L474" s="2144"/>
      <c r="M474" s="2144"/>
      <c r="N474" s="2144"/>
      <c r="O474" s="2144"/>
      <c r="P474" s="2149"/>
    </row>
    <row r="475" spans="1:16" s="2105" customFormat="1" outlineLevel="1">
      <c r="A475" s="2108" t="e">
        <f t="shared" si="67"/>
        <v>#N/A</v>
      </c>
      <c r="B475" s="2130" t="s">
        <v>6112</v>
      </c>
      <c r="C475" s="2648" t="s">
        <v>1708</v>
      </c>
      <c r="D475" s="2649" t="s">
        <v>2597</v>
      </c>
      <c r="E475" s="2651" t="s">
        <v>2598</v>
      </c>
      <c r="F475" s="2648" t="s">
        <v>2593</v>
      </c>
      <c r="G475" s="2109" t="s">
        <v>6113</v>
      </c>
      <c r="H475" s="2112" t="s">
        <v>6114</v>
      </c>
      <c r="I475" s="2619"/>
      <c r="J475" s="2619"/>
      <c r="K475" s="2620"/>
      <c r="L475" s="2112" t="s">
        <v>6115</v>
      </c>
      <c r="M475" s="2619"/>
      <c r="N475" s="2619"/>
      <c r="O475" s="2620"/>
      <c r="P475" s="2648" t="s">
        <v>2599</v>
      </c>
    </row>
    <row r="476" spans="1:16" s="2105" customFormat="1" outlineLevel="1">
      <c r="A476" s="2108" t="e">
        <f t="shared" si="67"/>
        <v>#N/A</v>
      </c>
      <c r="B476" s="2130"/>
      <c r="C476" s="2648"/>
      <c r="D476" s="2650"/>
      <c r="E476" s="2652"/>
      <c r="F476" s="2648"/>
      <c r="G476" s="2111" t="s">
        <v>2286</v>
      </c>
      <c r="H476" s="2112" t="s">
        <v>6116</v>
      </c>
      <c r="I476" s="2112" t="s">
        <v>6117</v>
      </c>
      <c r="J476" s="2112" t="s">
        <v>6118</v>
      </c>
      <c r="K476" s="2112" t="s">
        <v>6119</v>
      </c>
      <c r="L476" s="2112" t="s">
        <v>6116</v>
      </c>
      <c r="M476" s="2112" t="s">
        <v>6117</v>
      </c>
      <c r="N476" s="2112" t="s">
        <v>6118</v>
      </c>
      <c r="O476" s="2112" t="s">
        <v>6119</v>
      </c>
      <c r="P476" s="2648"/>
    </row>
    <row r="477" spans="1:16" s="2105" customFormat="1" outlineLevel="1">
      <c r="A477" s="2108" t="e">
        <f t="shared" si="67"/>
        <v>#N/A</v>
      </c>
      <c r="B477" s="2130"/>
      <c r="C477" s="2113"/>
      <c r="D477" s="2114"/>
      <c r="E477" s="2115" t="s">
        <v>3672</v>
      </c>
      <c r="F477" s="2116"/>
      <c r="G477" s="2116"/>
      <c r="H477" s="2116"/>
      <c r="I477" s="2116"/>
      <c r="J477" s="2116"/>
      <c r="K477" s="2116"/>
      <c r="L477" s="2116"/>
      <c r="M477" s="2116"/>
      <c r="N477" s="2116"/>
      <c r="O477" s="2114"/>
      <c r="P477" s="2117"/>
    </row>
    <row r="478" spans="1:16" s="2105" customFormat="1" outlineLevel="1">
      <c r="A478" s="2108" t="str">
        <f t="shared" si="67"/>
        <v>Máy biến áp 12,7/0,22-0,44kV  100kVA</v>
      </c>
      <c r="B478" s="2118" t="s">
        <v>503</v>
      </c>
      <c r="C478" s="2119">
        <f>IF(G478&gt;0,1,0)</f>
        <v>0</v>
      </c>
      <c r="D478" s="2120" t="s">
        <v>5586</v>
      </c>
      <c r="E478" s="2121" t="s">
        <v>3309</v>
      </c>
      <c r="F478" s="2120" t="s">
        <v>3300</v>
      </c>
      <c r="G478" s="2190">
        <f>H11</f>
        <v>0</v>
      </c>
      <c r="H478" s="2123">
        <v>68939000</v>
      </c>
      <c r="I478" s="2123"/>
      <c r="J478" s="2123">
        <v>891368</v>
      </c>
      <c r="K478" s="2123">
        <v>284508</v>
      </c>
      <c r="L478" s="2129">
        <f t="shared" ref="L478:L486" si="68">H478*G478</f>
        <v>0</v>
      </c>
      <c r="M478" s="2129">
        <f t="shared" ref="M478:M483" si="69">I478*G478</f>
        <v>0</v>
      </c>
      <c r="N478" s="2129">
        <f t="shared" ref="N478:N483" si="70">J478*G478</f>
        <v>0</v>
      </c>
      <c r="O478" s="2128">
        <f t="shared" ref="O478:O483" si="71">K478*G478</f>
        <v>0</v>
      </c>
      <c r="P478" s="2155"/>
    </row>
    <row r="479" spans="1:16" s="2105" customFormat="1" outlineLevel="1">
      <c r="A479" s="2108" t="str">
        <f t="shared" si="67"/>
        <v>FCO 24kV - 100A</v>
      </c>
      <c r="B479" s="2118" t="str">
        <f>"FCO100-"&amp;$F$8</f>
        <v>FCO100-22</v>
      </c>
      <c r="C479" s="2119">
        <f t="shared" ref="C479:C486" si="72">IF(G479&gt;0,C478+1,C478)</f>
        <v>0</v>
      </c>
      <c r="D479" s="2120" t="s">
        <v>5598</v>
      </c>
      <c r="E479" s="2121" t="s">
        <v>95</v>
      </c>
      <c r="F479" s="2120" t="s">
        <v>2555</v>
      </c>
      <c r="G479" s="2191">
        <f>G478</f>
        <v>0</v>
      </c>
      <c r="H479" s="2123">
        <v>2244280</v>
      </c>
      <c r="I479" s="2123"/>
      <c r="J479" s="2123">
        <v>222639.99999999997</v>
      </c>
      <c r="K479" s="2123">
        <v>0</v>
      </c>
      <c r="L479" s="2129">
        <f t="shared" si="68"/>
        <v>0</v>
      </c>
      <c r="M479" s="2129">
        <f t="shared" si="69"/>
        <v>0</v>
      </c>
      <c r="N479" s="2129">
        <f t="shared" si="70"/>
        <v>0</v>
      </c>
      <c r="O479" s="2128">
        <f t="shared" si="71"/>
        <v>0</v>
      </c>
      <c r="P479" s="2155"/>
    </row>
    <row r="480" spans="1:16" s="2105" customFormat="1" outlineLevel="1">
      <c r="A480" s="2108" t="str">
        <f t="shared" si="67"/>
        <v>Dây chảy 20K</v>
      </c>
      <c r="B480" s="2118" t="s">
        <v>1161</v>
      </c>
      <c r="C480" s="2119">
        <f t="shared" si="72"/>
        <v>0</v>
      </c>
      <c r="D480" s="2120">
        <v>0</v>
      </c>
      <c r="E480" s="2121" t="s">
        <v>3428</v>
      </c>
      <c r="F480" s="2120" t="s">
        <v>2600</v>
      </c>
      <c r="G480" s="2191">
        <f>G479</f>
        <v>0</v>
      </c>
      <c r="H480" s="2123">
        <v>110000</v>
      </c>
      <c r="I480" s="2123"/>
      <c r="J480" s="2123">
        <v>0</v>
      </c>
      <c r="K480" s="2123">
        <v>0</v>
      </c>
      <c r="L480" s="2129">
        <f t="shared" si="68"/>
        <v>0</v>
      </c>
      <c r="M480" s="2129">
        <f t="shared" si="69"/>
        <v>0</v>
      </c>
      <c r="N480" s="2129">
        <f t="shared" si="70"/>
        <v>0</v>
      </c>
      <c r="O480" s="2128">
        <f t="shared" si="71"/>
        <v>0</v>
      </c>
      <c r="P480" s="2155"/>
    </row>
    <row r="481" spans="1:18" s="2105" customFormat="1" outlineLevel="1">
      <c r="A481" s="2108" t="str">
        <f t="shared" si="67"/>
        <v>Chống sét van LA-18KV-10KA</v>
      </c>
      <c r="B481" s="2131" t="str">
        <f>"LA"&amp;$F$6</f>
        <v>LA18</v>
      </c>
      <c r="C481" s="2119">
        <f t="shared" si="72"/>
        <v>0</v>
      </c>
      <c r="D481" s="2120" t="s">
        <v>5602</v>
      </c>
      <c r="E481" s="2121" t="s">
        <v>1193</v>
      </c>
      <c r="F481" s="2120" t="s">
        <v>2555</v>
      </c>
      <c r="G481" s="2191">
        <f>G480</f>
        <v>0</v>
      </c>
      <c r="H481" s="2123">
        <v>1106000</v>
      </c>
      <c r="I481" s="2123"/>
      <c r="J481" s="2123">
        <v>83490</v>
      </c>
      <c r="K481" s="2123">
        <v>0</v>
      </c>
      <c r="L481" s="2129">
        <f t="shared" si="68"/>
        <v>0</v>
      </c>
      <c r="M481" s="2129">
        <f t="shared" si="69"/>
        <v>0</v>
      </c>
      <c r="N481" s="2129">
        <f t="shared" si="70"/>
        <v>0</v>
      </c>
      <c r="O481" s="2128">
        <f t="shared" si="71"/>
        <v>0</v>
      </c>
      <c r="P481" s="2155"/>
    </row>
    <row r="482" spans="1:18" s="2105" customFormat="1" outlineLevel="1">
      <c r="A482" s="2108" t="str">
        <f t="shared" si="67"/>
        <v>Biến dòng 600V - 250/5A</v>
      </c>
      <c r="B482" s="2132" t="s">
        <v>1668</v>
      </c>
      <c r="C482" s="2119">
        <f t="shared" si="72"/>
        <v>0</v>
      </c>
      <c r="D482" s="2120">
        <v>0</v>
      </c>
      <c r="E482" s="2121" t="s">
        <v>3360</v>
      </c>
      <c r="F482" s="2120" t="s">
        <v>2555</v>
      </c>
      <c r="G482" s="2191">
        <f>G478*2</f>
        <v>0</v>
      </c>
      <c r="H482" s="2123">
        <v>0</v>
      </c>
      <c r="I482" s="2123"/>
      <c r="J482" s="2123">
        <v>0</v>
      </c>
      <c r="K482" s="2123">
        <v>0</v>
      </c>
      <c r="L482" s="2129">
        <f t="shared" si="68"/>
        <v>0</v>
      </c>
      <c r="M482" s="2129">
        <f t="shared" si="69"/>
        <v>0</v>
      </c>
      <c r="N482" s="2129">
        <f t="shared" si="70"/>
        <v>0</v>
      </c>
      <c r="O482" s="2128">
        <f t="shared" si="71"/>
        <v>0</v>
      </c>
      <c r="P482" s="2155"/>
    </row>
    <row r="483" spans="1:18" s="2105" customFormat="1" outlineLevel="1">
      <c r="A483" s="2108" t="str">
        <f t="shared" si="67"/>
        <v xml:space="preserve">MCCB 3 cực 600V -250A - 36KA </v>
      </c>
      <c r="B483" s="2159" t="s">
        <v>710</v>
      </c>
      <c r="C483" s="2119">
        <f t="shared" si="72"/>
        <v>0</v>
      </c>
      <c r="D483" s="2120">
        <v>0</v>
      </c>
      <c r="E483" s="2121" t="s">
        <v>5682</v>
      </c>
      <c r="F483" s="2120" t="s">
        <v>2555</v>
      </c>
      <c r="G483" s="2191">
        <f>G478</f>
        <v>0</v>
      </c>
      <c r="H483" s="2123">
        <v>4990000</v>
      </c>
      <c r="I483" s="2123"/>
      <c r="J483" s="2123">
        <v>0</v>
      </c>
      <c r="K483" s="2123">
        <v>0</v>
      </c>
      <c r="L483" s="2129">
        <f t="shared" si="68"/>
        <v>0</v>
      </c>
      <c r="M483" s="2129">
        <f t="shared" si="69"/>
        <v>0</v>
      </c>
      <c r="N483" s="2129">
        <f t="shared" si="70"/>
        <v>0</v>
      </c>
      <c r="O483" s="2128">
        <f t="shared" si="71"/>
        <v>0</v>
      </c>
      <c r="P483" s="2127" t="s">
        <v>2601</v>
      </c>
    </row>
    <row r="484" spans="1:18" s="2105" customFormat="1" outlineLevel="1">
      <c r="A484" s="2108" t="str">
        <f t="shared" si="67"/>
        <v>Điện kế 1 pha 2 dây 220V-5A</v>
      </c>
      <c r="B484" s="2133" t="s">
        <v>287</v>
      </c>
      <c r="C484" s="2119">
        <f t="shared" si="72"/>
        <v>0</v>
      </c>
      <c r="D484" s="2120">
        <v>0</v>
      </c>
      <c r="E484" s="2121" t="s">
        <v>3439</v>
      </c>
      <c r="F484" s="2120" t="s">
        <v>2555</v>
      </c>
      <c r="G484" s="2191">
        <f>G478*2</f>
        <v>0</v>
      </c>
      <c r="H484" s="2123">
        <v>0</v>
      </c>
      <c r="I484" s="2123"/>
      <c r="J484" s="2123">
        <v>0</v>
      </c>
      <c r="K484" s="2123">
        <v>0</v>
      </c>
      <c r="L484" s="2129">
        <f t="shared" si="68"/>
        <v>0</v>
      </c>
      <c r="M484" s="2129">
        <f>I484*G484</f>
        <v>0</v>
      </c>
      <c r="N484" s="2129">
        <f>J484*G484</f>
        <v>0</v>
      </c>
      <c r="O484" s="2128">
        <f>K484*G484</f>
        <v>0</v>
      </c>
      <c r="P484" s="2127" t="s">
        <v>2601</v>
      </c>
    </row>
    <row r="485" spans="1:18" s="2105" customFormat="1" outlineLevel="1">
      <c r="A485" s="2108" t="str">
        <f t="shared" si="67"/>
        <v xml:space="preserve">Ampe kế 100/5A-600v +AS </v>
      </c>
      <c r="B485" s="2130" t="s">
        <v>199</v>
      </c>
      <c r="C485" s="2119">
        <f t="shared" si="72"/>
        <v>0</v>
      </c>
      <c r="D485" s="2120">
        <v>0</v>
      </c>
      <c r="E485" s="2121" t="s">
        <v>3595</v>
      </c>
      <c r="F485" s="2120" t="s">
        <v>2385</v>
      </c>
      <c r="G485" s="2127">
        <f>G484*0</f>
        <v>0</v>
      </c>
      <c r="H485" s="2123"/>
      <c r="I485" s="2123"/>
      <c r="J485" s="2123">
        <v>0</v>
      </c>
      <c r="K485" s="2123">
        <v>0</v>
      </c>
      <c r="L485" s="2129">
        <f t="shared" si="68"/>
        <v>0</v>
      </c>
      <c r="M485" s="2129">
        <f>I485*G485</f>
        <v>0</v>
      </c>
      <c r="N485" s="2129">
        <f>J485*G485</f>
        <v>0</v>
      </c>
      <c r="O485" s="2128">
        <f>K485*G485</f>
        <v>0</v>
      </c>
      <c r="P485" s="2155"/>
    </row>
    <row r="486" spans="1:18" s="2105" customFormat="1" outlineLevel="1">
      <c r="A486" s="2108" t="str">
        <f t="shared" si="67"/>
        <v>Volt kế 500V + VS + 2xChì ống 1A-230V</v>
      </c>
      <c r="B486" s="2130" t="s">
        <v>200</v>
      </c>
      <c r="C486" s="2119">
        <f t="shared" si="72"/>
        <v>0</v>
      </c>
      <c r="D486" s="2120">
        <v>0</v>
      </c>
      <c r="E486" s="2121" t="s">
        <v>3596</v>
      </c>
      <c r="F486" s="2120" t="s">
        <v>2385</v>
      </c>
      <c r="G486" s="2127">
        <f>G485*0</f>
        <v>0</v>
      </c>
      <c r="H486" s="2123"/>
      <c r="I486" s="2123"/>
      <c r="J486" s="2123">
        <v>0</v>
      </c>
      <c r="K486" s="2123">
        <v>0</v>
      </c>
      <c r="L486" s="2129">
        <f t="shared" si="68"/>
        <v>0</v>
      </c>
      <c r="M486" s="2129">
        <f>I486*G486</f>
        <v>0</v>
      </c>
      <c r="N486" s="2129">
        <f>J486*G486</f>
        <v>0</v>
      </c>
      <c r="O486" s="2128">
        <f>K486*G486</f>
        <v>0</v>
      </c>
      <c r="P486" s="2179"/>
    </row>
    <row r="487" spans="1:18" s="2105" customFormat="1" outlineLevel="1">
      <c r="A487" s="2108" t="e">
        <f t="shared" si="67"/>
        <v>#N/A</v>
      </c>
      <c r="B487" s="2130"/>
      <c r="C487" s="2135"/>
      <c r="D487" s="2136"/>
      <c r="E487" s="2117"/>
      <c r="F487" s="2135"/>
      <c r="G487" s="2192"/>
      <c r="H487" s="2135"/>
      <c r="I487" s="2135"/>
      <c r="J487" s="2117" t="s">
        <v>6121</v>
      </c>
      <c r="K487" s="2135"/>
      <c r="L487" s="2117">
        <f>SUM(L478:L486)</f>
        <v>0</v>
      </c>
      <c r="M487" s="2117"/>
      <c r="N487" s="2117">
        <f>SUM(N478:N486)</f>
        <v>0</v>
      </c>
      <c r="O487" s="2117">
        <f>SUM(O478:O486)</f>
        <v>0</v>
      </c>
      <c r="P487" s="2170"/>
    </row>
    <row r="488" spans="1:18" s="2105" customFormat="1" outlineLevel="1">
      <c r="A488" s="2108" t="e">
        <f t="shared" si="67"/>
        <v>#N/A</v>
      </c>
      <c r="B488" s="2130"/>
      <c r="C488" s="2137"/>
      <c r="D488" s="2138"/>
      <c r="E488" s="2139" t="s">
        <v>3673</v>
      </c>
      <c r="F488" s="2139"/>
      <c r="G488" s="2139"/>
      <c r="H488" s="2139"/>
      <c r="I488" s="2139"/>
      <c r="J488" s="2139"/>
      <c r="K488" s="2139"/>
      <c r="L488" s="2139"/>
      <c r="M488" s="2139"/>
      <c r="N488" s="2139"/>
      <c r="O488" s="2138"/>
      <c r="P488" s="2170"/>
    </row>
    <row r="489" spans="1:18" s="2105" customFormat="1" outlineLevel="1">
      <c r="A489" s="2108" t="str">
        <f t="shared" si="67"/>
        <v>Boulon 16x300+ 2 long đền vuông D18-50x50x3/Zn</v>
      </c>
      <c r="B489" s="2130" t="s">
        <v>1610</v>
      </c>
      <c r="C489" s="2140">
        <f>IF(G501&gt;0,1,0)</f>
        <v>0</v>
      </c>
      <c r="D489" s="2146"/>
      <c r="E489" s="2121" t="s">
        <v>2649</v>
      </c>
      <c r="F489" s="2120" t="s">
        <v>2439</v>
      </c>
      <c r="G489" s="2193">
        <f>2*SUM(G478:G478)</f>
        <v>0</v>
      </c>
      <c r="H489" s="2123">
        <v>25400</v>
      </c>
      <c r="I489" s="2128"/>
      <c r="J489" s="2123">
        <v>0</v>
      </c>
      <c r="K489" s="2123">
        <v>0</v>
      </c>
      <c r="L489" s="2129">
        <f t="shared" ref="L489:L552" si="73">H489*G489</f>
        <v>0</v>
      </c>
      <c r="M489" s="2129">
        <f t="shared" ref="M489:M552" si="74">I489*G489</f>
        <v>0</v>
      </c>
      <c r="N489" s="2129">
        <f t="shared" ref="N489:N523" si="75">J489*G489</f>
        <v>0</v>
      </c>
      <c r="O489" s="2128">
        <f t="shared" ref="O489:O552" si="76">K489*G489</f>
        <v>0</v>
      </c>
      <c r="P489" s="2169"/>
    </row>
    <row r="490" spans="1:18" s="2105" customFormat="1" outlineLevel="1">
      <c r="A490" s="2108" t="e">
        <f t="shared" si="67"/>
        <v>#N/A</v>
      </c>
      <c r="B490" s="2130"/>
      <c r="C490" s="2145">
        <f>IF(G490&gt;0,C489+1,C489)</f>
        <v>0</v>
      </c>
      <c r="D490" s="2146"/>
      <c r="E490" s="2147" t="s">
        <v>6138</v>
      </c>
      <c r="F490" s="2142" t="s">
        <v>2385</v>
      </c>
      <c r="G490" s="2142">
        <f>G478*0</f>
        <v>0</v>
      </c>
      <c r="H490" s="2128"/>
      <c r="I490" s="2128"/>
      <c r="J490" s="2128"/>
      <c r="K490" s="2128"/>
      <c r="L490" s="2129">
        <f t="shared" si="73"/>
        <v>0</v>
      </c>
      <c r="M490" s="2129">
        <f t="shared" si="74"/>
        <v>0</v>
      </c>
      <c r="N490" s="2129">
        <f t="shared" si="75"/>
        <v>0</v>
      </c>
      <c r="O490" s="2128">
        <f t="shared" si="76"/>
        <v>0</v>
      </c>
      <c r="P490" s="2127"/>
    </row>
    <row r="491" spans="1:18" s="2105" customFormat="1" ht="14.4" outlineLevel="1">
      <c r="A491" s="2108" t="e">
        <f t="shared" si="67"/>
        <v>#N/A</v>
      </c>
      <c r="B491" s="2130"/>
      <c r="C491" s="2142"/>
      <c r="D491" s="2146"/>
      <c r="E491" s="2148" t="s">
        <v>6133</v>
      </c>
      <c r="F491" s="2127"/>
      <c r="G491" s="2127"/>
      <c r="H491" s="2128"/>
      <c r="I491" s="2128"/>
      <c r="J491" s="2128"/>
      <c r="K491" s="2128"/>
      <c r="L491" s="2129">
        <f t="shared" si="73"/>
        <v>0</v>
      </c>
      <c r="M491" s="2129">
        <f t="shared" si="74"/>
        <v>0</v>
      </c>
      <c r="N491" s="2129">
        <f t="shared" si="75"/>
        <v>0</v>
      </c>
      <c r="O491" s="2128">
        <f t="shared" si="76"/>
        <v>0</v>
      </c>
      <c r="P491" s="2127"/>
      <c r="R491" s="2149"/>
    </row>
    <row r="492" spans="1:18" s="2105" customFormat="1" outlineLevel="1">
      <c r="A492" s="2108" t="str">
        <f t="shared" si="67"/>
        <v>Trụ BTLT 12m F540 dự ứng lực</v>
      </c>
      <c r="B492" s="2133" t="s">
        <v>115</v>
      </c>
      <c r="C492" s="2127"/>
      <c r="D492" s="2120">
        <v>0</v>
      </c>
      <c r="E492" s="2121" t="s">
        <v>2992</v>
      </c>
      <c r="F492" s="2120" t="s">
        <v>2831</v>
      </c>
      <c r="G492" s="2127">
        <f>1*G490</f>
        <v>0</v>
      </c>
      <c r="H492" s="2123">
        <v>4400000</v>
      </c>
      <c r="I492" s="2123"/>
      <c r="J492" s="2123">
        <v>0</v>
      </c>
      <c r="K492" s="2123">
        <v>0</v>
      </c>
      <c r="L492" s="2129">
        <f t="shared" si="73"/>
        <v>0</v>
      </c>
      <c r="M492" s="2129">
        <f t="shared" si="74"/>
        <v>0</v>
      </c>
      <c r="N492" s="2129">
        <f t="shared" si="75"/>
        <v>0</v>
      </c>
      <c r="O492" s="2128">
        <f t="shared" si="76"/>
        <v>0</v>
      </c>
      <c r="P492" s="2127"/>
      <c r="R492" s="2149"/>
    </row>
    <row r="493" spans="1:18" s="2105" customFormat="1" outlineLevel="1">
      <c r="A493" s="2108" t="str">
        <f t="shared" si="67"/>
        <v>Vật liệu dựng trụ</v>
      </c>
      <c r="B493" s="2133" t="s">
        <v>1814</v>
      </c>
      <c r="C493" s="2127"/>
      <c r="D493" s="2150"/>
      <c r="E493" s="2121" t="s">
        <v>2830</v>
      </c>
      <c r="F493" s="2120" t="s">
        <v>2831</v>
      </c>
      <c r="G493" s="2127">
        <f>G492</f>
        <v>0</v>
      </c>
      <c r="H493" s="2123">
        <v>17400</v>
      </c>
      <c r="I493" s="2123"/>
      <c r="J493" s="2123">
        <v>0</v>
      </c>
      <c r="K493" s="2123">
        <v>0</v>
      </c>
      <c r="L493" s="2129">
        <f t="shared" si="73"/>
        <v>0</v>
      </c>
      <c r="M493" s="2129">
        <f t="shared" si="74"/>
        <v>0</v>
      </c>
      <c r="N493" s="2129">
        <f t="shared" si="75"/>
        <v>0</v>
      </c>
      <c r="O493" s="2128">
        <f t="shared" si="76"/>
        <v>0</v>
      </c>
      <c r="P493" s="2127"/>
      <c r="R493" s="2149"/>
    </row>
    <row r="494" spans="1:18" s="2105" customFormat="1" outlineLevel="1">
      <c r="A494" s="2108" t="str">
        <f t="shared" si="67"/>
        <v>Dựng trụ BTLT 12m trong TBA bằng thủ công + cơ giới</v>
      </c>
      <c r="B494" s="2133" t="s">
        <v>2126</v>
      </c>
      <c r="C494" s="2127"/>
      <c r="D494" s="2150"/>
      <c r="E494" s="2121" t="s">
        <v>3167</v>
      </c>
      <c r="F494" s="2120" t="s">
        <v>2831</v>
      </c>
      <c r="G494" s="2127">
        <f>G492</f>
        <v>0</v>
      </c>
      <c r="H494" s="2123">
        <v>0</v>
      </c>
      <c r="I494" s="2123"/>
      <c r="J494" s="2123">
        <v>112286</v>
      </c>
      <c r="K494" s="2123">
        <v>105970</v>
      </c>
      <c r="L494" s="2129">
        <f t="shared" si="73"/>
        <v>0</v>
      </c>
      <c r="M494" s="2129">
        <f t="shared" si="74"/>
        <v>0</v>
      </c>
      <c r="N494" s="2129">
        <f t="shared" si="75"/>
        <v>0</v>
      </c>
      <c r="O494" s="2128">
        <f t="shared" si="76"/>
        <v>0</v>
      </c>
      <c r="P494" s="2127"/>
      <c r="R494" s="2149"/>
    </row>
    <row r="495" spans="1:18" s="2105" customFormat="1" outlineLevel="1">
      <c r="A495" s="2108" t="e">
        <f t="shared" si="67"/>
        <v>#N/A</v>
      </c>
      <c r="B495" s="2130"/>
      <c r="C495" s="2145">
        <f>IF(G495&gt;0,C490+1,C490)</f>
        <v>0</v>
      </c>
      <c r="D495" s="2146"/>
      <c r="E495" s="2147" t="s">
        <v>2352</v>
      </c>
      <c r="F495" s="2142" t="s">
        <v>2385</v>
      </c>
      <c r="G495" s="2142">
        <f>G490</f>
        <v>0</v>
      </c>
      <c r="H495" s="2128"/>
      <c r="I495" s="2128"/>
      <c r="J495" s="2128"/>
      <c r="K495" s="2128"/>
      <c r="L495" s="2129">
        <f t="shared" si="73"/>
        <v>0</v>
      </c>
      <c r="M495" s="2129">
        <f t="shared" si="74"/>
        <v>0</v>
      </c>
      <c r="N495" s="2129">
        <f t="shared" si="75"/>
        <v>0</v>
      </c>
      <c r="O495" s="2128">
        <f t="shared" si="76"/>
        <v>0</v>
      </c>
      <c r="P495" s="2127"/>
    </row>
    <row r="496" spans="1:18" s="2105" customFormat="1" ht="14.4" outlineLevel="1">
      <c r="A496" s="2108" t="e">
        <f t="shared" si="67"/>
        <v>#N/A</v>
      </c>
      <c r="B496" s="2130"/>
      <c r="C496" s="2142"/>
      <c r="D496" s="2146"/>
      <c r="E496" s="2148" t="s">
        <v>6133</v>
      </c>
      <c r="F496" s="2127"/>
      <c r="G496" s="2127"/>
      <c r="H496" s="2128"/>
      <c r="I496" s="2128"/>
      <c r="J496" s="2128"/>
      <c r="K496" s="2128"/>
      <c r="L496" s="2129">
        <f t="shared" si="73"/>
        <v>0</v>
      </c>
      <c r="M496" s="2129">
        <f t="shared" si="74"/>
        <v>0</v>
      </c>
      <c r="N496" s="2129">
        <f t="shared" si="75"/>
        <v>0</v>
      </c>
      <c r="O496" s="2128">
        <f t="shared" si="76"/>
        <v>0</v>
      </c>
      <c r="P496" s="2127"/>
      <c r="R496" s="2149"/>
    </row>
    <row r="497" spans="1:18" s="2105" customFormat="1" outlineLevel="1">
      <c r="A497" s="2108" t="str">
        <f t="shared" si="67"/>
        <v>Đà cản BTCT 1,2m</v>
      </c>
      <c r="B497" s="2133" t="s">
        <v>636</v>
      </c>
      <c r="C497" s="2127"/>
      <c r="D497" s="2120" t="s">
        <v>5047</v>
      </c>
      <c r="E497" s="2121" t="s">
        <v>2607</v>
      </c>
      <c r="F497" s="2120" t="s">
        <v>2555</v>
      </c>
      <c r="G497" s="2127">
        <f>1*G495</f>
        <v>0</v>
      </c>
      <c r="H497" s="2123">
        <v>354545</v>
      </c>
      <c r="I497" s="2123"/>
      <c r="J497" s="2123">
        <v>37220.25</v>
      </c>
      <c r="K497" s="2123">
        <v>0</v>
      </c>
      <c r="L497" s="2129">
        <f t="shared" si="73"/>
        <v>0</v>
      </c>
      <c r="M497" s="2129">
        <f t="shared" si="74"/>
        <v>0</v>
      </c>
      <c r="N497" s="2129">
        <f t="shared" si="75"/>
        <v>0</v>
      </c>
      <c r="O497" s="2128">
        <f t="shared" si="76"/>
        <v>0</v>
      </c>
      <c r="P497" s="2127"/>
      <c r="R497" s="2149"/>
    </row>
    <row r="498" spans="1:18" s="2105" customFormat="1" outlineLevel="1">
      <c r="A498" s="2108" t="str">
        <f t="shared" si="67"/>
        <v>Boulon 22x650+ 2 long đền vuông D24-50x50x3/Zn</v>
      </c>
      <c r="B498" s="2133" t="s">
        <v>566</v>
      </c>
      <c r="C498" s="2127"/>
      <c r="D498" s="2120">
        <v>0</v>
      </c>
      <c r="E498" s="2121" t="s">
        <v>5072</v>
      </c>
      <c r="F498" s="2120" t="s">
        <v>2439</v>
      </c>
      <c r="G498" s="2127">
        <f>G495</f>
        <v>0</v>
      </c>
      <c r="H498" s="2123">
        <v>92200</v>
      </c>
      <c r="I498" s="2123"/>
      <c r="J498" s="2123">
        <v>0</v>
      </c>
      <c r="K498" s="2123">
        <v>0</v>
      </c>
      <c r="L498" s="2129">
        <f t="shared" si="73"/>
        <v>0</v>
      </c>
      <c r="M498" s="2129">
        <f t="shared" si="74"/>
        <v>0</v>
      </c>
      <c r="N498" s="2129">
        <f t="shared" si="75"/>
        <v>0</v>
      </c>
      <c r="O498" s="2128">
        <f t="shared" si="76"/>
        <v>0</v>
      </c>
      <c r="P498" s="2127"/>
      <c r="R498" s="2149"/>
    </row>
    <row r="499" spans="1:18" s="2105" customFormat="1" outlineLevel="1">
      <c r="A499" s="2108" t="str">
        <f t="shared" si="67"/>
        <v>Đào hố móng đất cấp 3 sâu &gt;1m</v>
      </c>
      <c r="B499" s="2133" t="s">
        <v>639</v>
      </c>
      <c r="C499" s="2127"/>
      <c r="D499" s="2120" t="s">
        <v>1747</v>
      </c>
      <c r="E499" s="2121" t="s">
        <v>5324</v>
      </c>
      <c r="F499" s="2120" t="s">
        <v>856</v>
      </c>
      <c r="G499" s="2151">
        <f>G495*1.45</f>
        <v>0</v>
      </c>
      <c r="H499" s="2123">
        <v>0</v>
      </c>
      <c r="I499" s="2123"/>
      <c r="J499" s="2123">
        <v>296500.89999999997</v>
      </c>
      <c r="K499" s="2123">
        <v>0</v>
      </c>
      <c r="L499" s="2129">
        <f t="shared" si="73"/>
        <v>0</v>
      </c>
      <c r="M499" s="2129">
        <f t="shared" si="74"/>
        <v>0</v>
      </c>
      <c r="N499" s="2129">
        <f t="shared" si="75"/>
        <v>0</v>
      </c>
      <c r="O499" s="2128">
        <f t="shared" si="76"/>
        <v>0</v>
      </c>
      <c r="P499" s="2127"/>
      <c r="R499" s="2149"/>
    </row>
    <row r="500" spans="1:18" s="2105" customFormat="1" outlineLevel="1">
      <c r="A500" s="2108" t="str">
        <f t="shared" si="67"/>
        <v>Đắp đất hố móng, độ chặt k=0,95</v>
      </c>
      <c r="B500" s="2133" t="s">
        <v>21</v>
      </c>
      <c r="C500" s="2127"/>
      <c r="D500" s="2120" t="s">
        <v>5325</v>
      </c>
      <c r="E500" s="2121" t="s">
        <v>5326</v>
      </c>
      <c r="F500" s="2120" t="s">
        <v>856</v>
      </c>
      <c r="G500" s="2151">
        <f>G495*1.37</f>
        <v>0</v>
      </c>
      <c r="H500" s="2123">
        <v>0</v>
      </c>
      <c r="I500" s="2123"/>
      <c r="J500" s="2123">
        <v>117703.6</v>
      </c>
      <c r="K500" s="2123">
        <v>0</v>
      </c>
      <c r="L500" s="2129">
        <f t="shared" si="73"/>
        <v>0</v>
      </c>
      <c r="M500" s="2129">
        <f t="shared" si="74"/>
        <v>0</v>
      </c>
      <c r="N500" s="2129">
        <f t="shared" si="75"/>
        <v>0</v>
      </c>
      <c r="O500" s="2128">
        <f t="shared" si="76"/>
        <v>0</v>
      </c>
      <c r="P500" s="2127"/>
      <c r="R500" s="2149"/>
    </row>
    <row r="501" spans="1:18" s="2105" customFormat="1" outlineLevel="1">
      <c r="A501" s="2108" t="e">
        <f t="shared" si="67"/>
        <v>#N/A</v>
      </c>
      <c r="B501" s="2130"/>
      <c r="C501" s="2145">
        <f>IF(G501&gt;0,C495+1,C495)</f>
        <v>0</v>
      </c>
      <c r="D501" s="2146"/>
      <c r="E501" s="2171" t="s">
        <v>3675</v>
      </c>
      <c r="F501" s="2142" t="s">
        <v>2385</v>
      </c>
      <c r="G501" s="2193">
        <f>SUM(G478:G478)</f>
        <v>0</v>
      </c>
      <c r="H501" s="2123"/>
      <c r="I501" s="2128"/>
      <c r="J501" s="2123"/>
      <c r="K501" s="2123"/>
      <c r="L501" s="2129">
        <f t="shared" si="73"/>
        <v>0</v>
      </c>
      <c r="M501" s="2129">
        <f t="shared" si="74"/>
        <v>0</v>
      </c>
      <c r="N501" s="2129">
        <f t="shared" si="75"/>
        <v>0</v>
      </c>
      <c r="O501" s="2128">
        <f t="shared" si="76"/>
        <v>0</v>
      </c>
      <c r="P501" s="2155"/>
    </row>
    <row r="502" spans="1:18" s="2105" customFormat="1" ht="14.4" outlineLevel="1">
      <c r="A502" s="2108" t="e">
        <f t="shared" si="67"/>
        <v>#N/A</v>
      </c>
      <c r="B502" s="2130"/>
      <c r="C502" s="2142"/>
      <c r="D502" s="2146"/>
      <c r="E502" s="2172" t="s">
        <v>6133</v>
      </c>
      <c r="F502" s="2127"/>
      <c r="G502" s="2191"/>
      <c r="H502" s="2123"/>
      <c r="I502" s="2128"/>
      <c r="J502" s="2123"/>
      <c r="K502" s="2123"/>
      <c r="L502" s="2129">
        <f t="shared" si="73"/>
        <v>0</v>
      </c>
      <c r="M502" s="2129">
        <f t="shared" si="74"/>
        <v>0</v>
      </c>
      <c r="N502" s="2129">
        <f t="shared" si="75"/>
        <v>0</v>
      </c>
      <c r="O502" s="2128">
        <f t="shared" si="76"/>
        <v>0</v>
      </c>
      <c r="P502" s="2155"/>
    </row>
    <row r="503" spans="1:18" s="2105" customFormat="1" outlineLevel="1">
      <c r="A503" s="2108" t="str">
        <f t="shared" si="67"/>
        <v>Đà Composite 110x80x5x800</v>
      </c>
      <c r="B503" s="2133" t="s">
        <v>5157</v>
      </c>
      <c r="C503" s="2127"/>
      <c r="D503" s="2120">
        <v>0</v>
      </c>
      <c r="E503" s="2121" t="s">
        <v>4865</v>
      </c>
      <c r="F503" s="2152" t="s">
        <v>2590</v>
      </c>
      <c r="G503" s="2191">
        <f>G501</f>
        <v>0</v>
      </c>
      <c r="H503" s="2123">
        <v>320000</v>
      </c>
      <c r="I503" s="2128"/>
      <c r="J503" s="2123">
        <v>0</v>
      </c>
      <c r="K503" s="2123">
        <v>0</v>
      </c>
      <c r="L503" s="2129">
        <f t="shared" si="73"/>
        <v>0</v>
      </c>
      <c r="M503" s="2129">
        <f t="shared" si="74"/>
        <v>0</v>
      </c>
      <c r="N503" s="2129">
        <f t="shared" si="75"/>
        <v>0</v>
      </c>
      <c r="O503" s="2128">
        <f t="shared" si="76"/>
        <v>0</v>
      </c>
      <c r="P503" s="2155"/>
    </row>
    <row r="504" spans="1:18" s="2105" customFormat="1" outlineLevel="1">
      <c r="A504" s="2108" t="str">
        <f t="shared" si="67"/>
        <v>Chống Composite 40x10x710</v>
      </c>
      <c r="B504" s="2133" t="s">
        <v>5161</v>
      </c>
      <c r="C504" s="2127"/>
      <c r="D504" s="2150"/>
      <c r="E504" s="2121" t="s">
        <v>5162</v>
      </c>
      <c r="F504" s="2120" t="s">
        <v>5160</v>
      </c>
      <c r="G504" s="2191">
        <f>G501*1</f>
        <v>0</v>
      </c>
      <c r="H504" s="2123">
        <v>95000</v>
      </c>
      <c r="I504" s="2128"/>
      <c r="J504" s="2123">
        <v>0</v>
      </c>
      <c r="K504" s="2123">
        <v>0</v>
      </c>
      <c r="L504" s="2129">
        <f t="shared" si="73"/>
        <v>0</v>
      </c>
      <c r="M504" s="2129">
        <f t="shared" si="74"/>
        <v>0</v>
      </c>
      <c r="N504" s="2129">
        <f t="shared" si="75"/>
        <v>0</v>
      </c>
      <c r="O504" s="2128">
        <f t="shared" si="76"/>
        <v>0</v>
      </c>
      <c r="P504" s="2155"/>
    </row>
    <row r="505" spans="1:18" s="2105" customFormat="1" outlineLevel="1">
      <c r="A505" s="2108" t="str">
        <f t="shared" si="67"/>
        <v>Bass LL bắt FCO, LA</v>
      </c>
      <c r="B505" s="2133" t="s">
        <v>6155</v>
      </c>
      <c r="C505" s="2127"/>
      <c r="D505" s="2150"/>
      <c r="E505" s="2121" t="s">
        <v>5078</v>
      </c>
      <c r="F505" s="2120" t="s">
        <v>2439</v>
      </c>
      <c r="G505" s="2191">
        <f>G503*1</f>
        <v>0</v>
      </c>
      <c r="H505" s="2123">
        <v>65000</v>
      </c>
      <c r="I505" s="2128"/>
      <c r="J505" s="2123">
        <v>0</v>
      </c>
      <c r="K505" s="2123">
        <v>0</v>
      </c>
      <c r="L505" s="2129">
        <f>H505*G505</f>
        <v>0</v>
      </c>
      <c r="M505" s="2129">
        <f>I505*G505</f>
        <v>0</v>
      </c>
      <c r="N505" s="2129">
        <f>J505*G505</f>
        <v>0</v>
      </c>
      <c r="O505" s="2128">
        <f>K505*G505</f>
        <v>0</v>
      </c>
      <c r="P505" s="2155"/>
    </row>
    <row r="506" spans="1:18" s="2105" customFormat="1" outlineLevel="1">
      <c r="A506" s="2108" t="str">
        <f t="shared" ref="A506:A537" si="77">VLOOKUP(B506,DonGia,3,0)</f>
        <v>Boulon 12x150+ 2 long đền vuông D14-50x50x3/Zn</v>
      </c>
      <c r="B506" s="2130" t="s">
        <v>1243</v>
      </c>
      <c r="C506" s="2127"/>
      <c r="D506" s="2150"/>
      <c r="E506" s="2121" t="s">
        <v>2632</v>
      </c>
      <c r="F506" s="2120" t="s">
        <v>2439</v>
      </c>
      <c r="G506" s="2191">
        <f>G503</f>
        <v>0</v>
      </c>
      <c r="H506" s="2123">
        <v>11500</v>
      </c>
      <c r="I506" s="2128"/>
      <c r="J506" s="2123">
        <v>0</v>
      </c>
      <c r="K506" s="2123">
        <v>0</v>
      </c>
      <c r="L506" s="2129">
        <f>H506*G506</f>
        <v>0</v>
      </c>
      <c r="M506" s="2129">
        <f>I506*G506</f>
        <v>0</v>
      </c>
      <c r="N506" s="2129">
        <f>J506*G506</f>
        <v>0</v>
      </c>
      <c r="O506" s="2128">
        <f>K506*G506</f>
        <v>0</v>
      </c>
      <c r="P506" s="2155"/>
    </row>
    <row r="507" spans="1:18" s="2105" customFormat="1" outlineLevel="1">
      <c r="A507" s="2108" t="str">
        <f t="shared" si="77"/>
        <v>Boulon 16x350+ 2 long đền vuông D18-50x50x3/Zn</v>
      </c>
      <c r="B507" s="2130" t="s">
        <v>1079</v>
      </c>
      <c r="C507" s="2127"/>
      <c r="D507" s="2150"/>
      <c r="E507" s="2121" t="s">
        <v>2651</v>
      </c>
      <c r="F507" s="2120" t="s">
        <v>2439</v>
      </c>
      <c r="G507" s="2191">
        <f>G504*2</f>
        <v>0</v>
      </c>
      <c r="H507" s="2123">
        <v>27900</v>
      </c>
      <c r="I507" s="2128"/>
      <c r="J507" s="2123">
        <v>0</v>
      </c>
      <c r="K507" s="2123">
        <v>0</v>
      </c>
      <c r="L507" s="2129">
        <f t="shared" si="73"/>
        <v>0</v>
      </c>
      <c r="M507" s="2129">
        <f t="shared" si="74"/>
        <v>0</v>
      </c>
      <c r="N507" s="2129">
        <f t="shared" si="75"/>
        <v>0</v>
      </c>
      <c r="O507" s="2128">
        <f t="shared" si="76"/>
        <v>0</v>
      </c>
      <c r="P507" s="2155"/>
    </row>
    <row r="508" spans="1:18" s="2105" customFormat="1" outlineLevel="1">
      <c r="A508" s="2108" t="str">
        <f t="shared" si="77"/>
        <v>Lắp xà đỡ 15kg</v>
      </c>
      <c r="B508" s="2130" t="s">
        <v>5376</v>
      </c>
      <c r="C508" s="2127"/>
      <c r="D508" s="2150"/>
      <c r="E508" s="2121" t="s">
        <v>5377</v>
      </c>
      <c r="F508" s="2120" t="s">
        <v>2439</v>
      </c>
      <c r="G508" s="2191">
        <f>G506</f>
        <v>0</v>
      </c>
      <c r="H508" s="2123">
        <v>0</v>
      </c>
      <c r="I508" s="2128"/>
      <c r="J508" s="2153" t="s">
        <v>6325</v>
      </c>
      <c r="K508" s="2123">
        <v>0</v>
      </c>
      <c r="L508" s="2129">
        <f>H508*G508</f>
        <v>0</v>
      </c>
      <c r="M508" s="2129">
        <f>I508*G508</f>
        <v>0</v>
      </c>
      <c r="N508" s="2129">
        <v>0</v>
      </c>
      <c r="O508" s="2128">
        <f>K508*G508</f>
        <v>0</v>
      </c>
      <c r="P508" s="2155"/>
    </row>
    <row r="509" spans="1:18" s="2105" customFormat="1" outlineLevel="1">
      <c r="A509" s="2108" t="e">
        <f t="shared" si="77"/>
        <v>#N/A</v>
      </c>
      <c r="B509" s="2130"/>
      <c r="C509" s="2142">
        <f>IF(G509&gt;0,C501+1,C501)</f>
        <v>0</v>
      </c>
      <c r="D509" s="2146"/>
      <c r="E509" s="2171" t="s">
        <v>3676</v>
      </c>
      <c r="F509" s="2142" t="s">
        <v>2385</v>
      </c>
      <c r="G509" s="2193">
        <f>G501</f>
        <v>0</v>
      </c>
      <c r="H509" s="2123"/>
      <c r="I509" s="2128"/>
      <c r="J509" s="2123"/>
      <c r="K509" s="2123"/>
      <c r="L509" s="2129">
        <f t="shared" si="73"/>
        <v>0</v>
      </c>
      <c r="M509" s="2129">
        <f t="shared" si="74"/>
        <v>0</v>
      </c>
      <c r="N509" s="2129">
        <f t="shared" si="75"/>
        <v>0</v>
      </c>
      <c r="O509" s="2128">
        <f t="shared" si="76"/>
        <v>0</v>
      </c>
      <c r="P509" s="2155"/>
    </row>
    <row r="510" spans="1:18" s="2105" customFormat="1" ht="14.4" outlineLevel="1">
      <c r="A510" s="2108" t="e">
        <f t="shared" si="77"/>
        <v>#N/A</v>
      </c>
      <c r="B510" s="2130"/>
      <c r="C510" s="2127"/>
      <c r="D510" s="2150"/>
      <c r="E510" s="2172" t="s">
        <v>6133</v>
      </c>
      <c r="F510" s="2127"/>
      <c r="G510" s="2191"/>
      <c r="H510" s="2123"/>
      <c r="I510" s="2128"/>
      <c r="J510" s="2123"/>
      <c r="K510" s="2123"/>
      <c r="L510" s="2129">
        <f t="shared" si="73"/>
        <v>0</v>
      </c>
      <c r="M510" s="2129">
        <f t="shared" si="74"/>
        <v>0</v>
      </c>
      <c r="N510" s="2129">
        <f t="shared" si="75"/>
        <v>0</v>
      </c>
      <c r="O510" s="2128">
        <f t="shared" si="76"/>
        <v>0</v>
      </c>
      <c r="P510" s="2155"/>
    </row>
    <row r="511" spans="1:18" s="2105" customFormat="1" outlineLevel="1">
      <c r="A511" s="2108" t="str">
        <f t="shared" si="77"/>
        <v>Cáp đồng trần M25mm2</v>
      </c>
      <c r="B511" s="2130" t="s">
        <v>1033</v>
      </c>
      <c r="C511" s="2127"/>
      <c r="D511" s="2120">
        <v>0</v>
      </c>
      <c r="E511" s="2121" t="s">
        <v>2700</v>
      </c>
      <c r="F511" s="2120" t="s">
        <v>2248</v>
      </c>
      <c r="G511" s="2191">
        <f>90*G509*0.224</f>
        <v>0</v>
      </c>
      <c r="H511" s="2123">
        <v>255500</v>
      </c>
      <c r="I511" s="2128"/>
      <c r="J511" s="2123">
        <v>0</v>
      </c>
      <c r="K511" s="2123">
        <v>0</v>
      </c>
      <c r="L511" s="2129">
        <f t="shared" si="73"/>
        <v>0</v>
      </c>
      <c r="M511" s="2129">
        <f t="shared" si="74"/>
        <v>0</v>
      </c>
      <c r="N511" s="2129">
        <f t="shared" si="75"/>
        <v>0</v>
      </c>
      <c r="O511" s="2128">
        <f t="shared" si="76"/>
        <v>0</v>
      </c>
      <c r="P511" s="2155"/>
    </row>
    <row r="512" spans="1:18" s="2105" customFormat="1" outlineLevel="1">
      <c r="A512" s="2108" t="str">
        <f t="shared" si="77"/>
        <v>Cọc tiếp đất Þ 16- 2,4m + kẹp cọc mạ đồng</v>
      </c>
      <c r="B512" s="2133" t="s">
        <v>1508</v>
      </c>
      <c r="C512" s="2127"/>
      <c r="D512" s="2120">
        <v>0</v>
      </c>
      <c r="E512" s="2121" t="s">
        <v>5163</v>
      </c>
      <c r="F512" s="2120" t="s">
        <v>2439</v>
      </c>
      <c r="G512" s="2191">
        <f>13*G509</f>
        <v>0</v>
      </c>
      <c r="H512" s="2123">
        <v>160000</v>
      </c>
      <c r="I512" s="2128"/>
      <c r="J512" s="2123">
        <v>0</v>
      </c>
      <c r="K512" s="2123">
        <v>0</v>
      </c>
      <c r="L512" s="2129">
        <f t="shared" si="73"/>
        <v>0</v>
      </c>
      <c r="M512" s="2129">
        <f t="shared" si="74"/>
        <v>0</v>
      </c>
      <c r="N512" s="2129">
        <f t="shared" si="75"/>
        <v>0</v>
      </c>
      <c r="O512" s="2128">
        <f t="shared" si="76"/>
        <v>0</v>
      </c>
      <c r="P512" s="2155"/>
    </row>
    <row r="513" spans="1:16" s="2105" customFormat="1" outlineLevel="1">
      <c r="A513" s="2108" t="str">
        <f t="shared" si="77"/>
        <v>Ông sắt tráng kẽm D21</v>
      </c>
      <c r="B513" s="2133" t="s">
        <v>5299</v>
      </c>
      <c r="C513" s="2127"/>
      <c r="D513" s="2120" t="s">
        <v>5300</v>
      </c>
      <c r="E513" s="2121" t="s">
        <v>5301</v>
      </c>
      <c r="F513" s="2120" t="s">
        <v>2532</v>
      </c>
      <c r="G513" s="2191">
        <f>3*G509</f>
        <v>0</v>
      </c>
      <c r="H513" s="2123">
        <v>42000</v>
      </c>
      <c r="I513" s="2128"/>
      <c r="J513" s="2123">
        <v>25037.1</v>
      </c>
      <c r="K513" s="2123">
        <v>0</v>
      </c>
      <c r="L513" s="2129">
        <f t="shared" si="73"/>
        <v>0</v>
      </c>
      <c r="M513" s="2129">
        <f t="shared" si="74"/>
        <v>0</v>
      </c>
      <c r="N513" s="2129">
        <f t="shared" si="75"/>
        <v>0</v>
      </c>
      <c r="O513" s="2128">
        <f t="shared" si="76"/>
        <v>0</v>
      </c>
      <c r="P513" s="2155"/>
    </row>
    <row r="514" spans="1:16" s="2105" customFormat="1" outlineLevel="1">
      <c r="A514" s="2108" t="str">
        <f t="shared" si="77"/>
        <v>Cut PVC 21</v>
      </c>
      <c r="B514" s="2133" t="s">
        <v>6150</v>
      </c>
      <c r="C514" s="2127"/>
      <c r="D514" s="2120">
        <v>0</v>
      </c>
      <c r="E514" s="2121" t="s">
        <v>5796</v>
      </c>
      <c r="F514" s="2120" t="s">
        <v>2555</v>
      </c>
      <c r="G514" s="2191">
        <f>G509*1</f>
        <v>0</v>
      </c>
      <c r="H514" s="2123">
        <v>2100</v>
      </c>
      <c r="I514" s="2128"/>
      <c r="J514" s="2123">
        <v>0</v>
      </c>
      <c r="K514" s="2123">
        <v>0</v>
      </c>
      <c r="L514" s="2129">
        <f>H514*G514</f>
        <v>0</v>
      </c>
      <c r="M514" s="2129">
        <f>I514*G514</f>
        <v>0</v>
      </c>
      <c r="N514" s="2129">
        <f>J514*G514</f>
        <v>0</v>
      </c>
      <c r="O514" s="2128">
        <f>K514*G514</f>
        <v>0</v>
      </c>
      <c r="P514" s="2155"/>
    </row>
    <row r="515" spans="1:16" s="2105" customFormat="1" outlineLevel="1">
      <c r="A515" s="2108" t="str">
        <f t="shared" si="77"/>
        <v>Kẹp ép WR cỡ dây 50mm2</v>
      </c>
      <c r="B515" s="2130" t="s">
        <v>1579</v>
      </c>
      <c r="C515" s="2127"/>
      <c r="D515" s="2120">
        <v>0</v>
      </c>
      <c r="E515" s="2121" t="s">
        <v>2873</v>
      </c>
      <c r="F515" s="2120" t="s">
        <v>2555</v>
      </c>
      <c r="G515" s="2191">
        <f>2*G509</f>
        <v>0</v>
      </c>
      <c r="H515" s="2123">
        <v>8000</v>
      </c>
      <c r="I515" s="2123"/>
      <c r="J515" s="2123">
        <v>0</v>
      </c>
      <c r="K515" s="2123">
        <v>0</v>
      </c>
      <c r="L515" s="2129">
        <f t="shared" si="73"/>
        <v>0</v>
      </c>
      <c r="M515" s="2129">
        <f t="shared" si="74"/>
        <v>0</v>
      </c>
      <c r="N515" s="2129">
        <f t="shared" si="75"/>
        <v>0</v>
      </c>
      <c r="O515" s="2128">
        <f t="shared" si="76"/>
        <v>0</v>
      </c>
      <c r="P515" s="2155"/>
    </row>
    <row r="516" spans="1:16" s="2105" customFormat="1" outlineLevel="1">
      <c r="A516" s="2108" t="str">
        <f t="shared" si="77"/>
        <v>Ốc siết cáp cỡ 25mm2</v>
      </c>
      <c r="B516" s="2130" t="s">
        <v>816</v>
      </c>
      <c r="C516" s="2127"/>
      <c r="D516" s="2120">
        <v>0</v>
      </c>
      <c r="E516" s="2121" t="s">
        <v>3581</v>
      </c>
      <c r="F516" s="2120" t="s">
        <v>2555</v>
      </c>
      <c r="G516" s="2191">
        <f>G509*19</f>
        <v>0</v>
      </c>
      <c r="H516" s="2123">
        <v>17600</v>
      </c>
      <c r="I516" s="2123"/>
      <c r="J516" s="2123">
        <v>0</v>
      </c>
      <c r="K516" s="2123">
        <v>0</v>
      </c>
      <c r="L516" s="2129">
        <f t="shared" si="73"/>
        <v>0</v>
      </c>
      <c r="M516" s="2129">
        <f t="shared" si="74"/>
        <v>0</v>
      </c>
      <c r="N516" s="2129">
        <f t="shared" si="75"/>
        <v>0</v>
      </c>
      <c r="O516" s="2128">
        <f t="shared" si="76"/>
        <v>0</v>
      </c>
      <c r="P516" s="2155"/>
    </row>
    <row r="517" spans="1:16" s="2105" customFormat="1" outlineLevel="1">
      <c r="A517" s="2108" t="str">
        <f t="shared" si="77"/>
        <v>Đầu cosse ép Cu 35mm2</v>
      </c>
      <c r="B517" s="2130" t="s">
        <v>377</v>
      </c>
      <c r="C517" s="2127"/>
      <c r="D517" s="2120" t="s">
        <v>5725</v>
      </c>
      <c r="E517" s="2121" t="s">
        <v>3477</v>
      </c>
      <c r="F517" s="2120" t="s">
        <v>2555</v>
      </c>
      <c r="G517" s="2191">
        <f>G509*4</f>
        <v>0</v>
      </c>
      <c r="H517" s="2123">
        <v>7800</v>
      </c>
      <c r="I517" s="2123"/>
      <c r="J517" s="2123">
        <v>10608.955000000002</v>
      </c>
      <c r="K517" s="2123">
        <v>2777.0232475000003</v>
      </c>
      <c r="L517" s="2129">
        <f>H517*G517</f>
        <v>0</v>
      </c>
      <c r="M517" s="2129">
        <f>I517*G517</f>
        <v>0</v>
      </c>
      <c r="N517" s="2129">
        <f>J517*G517</f>
        <v>0</v>
      </c>
      <c r="O517" s="2128">
        <f>K517*G517</f>
        <v>0</v>
      </c>
      <c r="P517" s="2155"/>
    </row>
    <row r="518" spans="1:16" s="2105" customFormat="1" outlineLevel="1">
      <c r="A518" s="2108" t="str">
        <f t="shared" si="77"/>
        <v>Boulon 12x40+ 2 long đền vuông D14-50x50x3/Zn</v>
      </c>
      <c r="B518" s="2130" t="s">
        <v>2019</v>
      </c>
      <c r="C518" s="2127"/>
      <c r="D518" s="2120">
        <v>0</v>
      </c>
      <c r="E518" s="2121" t="s">
        <v>2627</v>
      </c>
      <c r="F518" s="2120" t="s">
        <v>2439</v>
      </c>
      <c r="G518" s="2191">
        <f>G509*3</f>
        <v>0</v>
      </c>
      <c r="H518" s="2123">
        <v>8500</v>
      </c>
      <c r="I518" s="2123"/>
      <c r="J518" s="2123">
        <v>0</v>
      </c>
      <c r="K518" s="2123">
        <v>0</v>
      </c>
      <c r="L518" s="2129">
        <f>H518*G518</f>
        <v>0</v>
      </c>
      <c r="M518" s="2129">
        <f>I518*G518</f>
        <v>0</v>
      </c>
      <c r="N518" s="2129">
        <f>J518*G518</f>
        <v>0</v>
      </c>
      <c r="O518" s="2128">
        <f>K518*G518</f>
        <v>0</v>
      </c>
      <c r="P518" s="2155"/>
    </row>
    <row r="519" spans="1:16" s="2105" customFormat="1" outlineLevel="1">
      <c r="A519" s="2108" t="str">
        <f t="shared" si="77"/>
        <v>Đai thép Inox</v>
      </c>
      <c r="B519" s="2130" t="s">
        <v>5181</v>
      </c>
      <c r="C519" s="2127"/>
      <c r="D519" s="2120">
        <v>0</v>
      </c>
      <c r="E519" s="2121" t="s">
        <v>5182</v>
      </c>
      <c r="F519" s="2120" t="s">
        <v>2532</v>
      </c>
      <c r="G519" s="2191">
        <f>G509*2</f>
        <v>0</v>
      </c>
      <c r="H519" s="2123">
        <v>11000</v>
      </c>
      <c r="I519" s="2123"/>
      <c r="J519" s="2123">
        <v>0</v>
      </c>
      <c r="K519" s="2123">
        <v>0</v>
      </c>
      <c r="L519" s="2129">
        <f>H519*G519</f>
        <v>0</v>
      </c>
      <c r="M519" s="2129">
        <f>I519*G519</f>
        <v>0</v>
      </c>
      <c r="N519" s="2129">
        <f>J519*G519</f>
        <v>0</v>
      </c>
      <c r="O519" s="2128">
        <f>K519*G519</f>
        <v>0</v>
      </c>
      <c r="P519" s="2155"/>
    </row>
    <row r="520" spans="1:16" s="2105" customFormat="1" outlineLevel="1">
      <c r="A520" s="2108" t="str">
        <f t="shared" si="77"/>
        <v>Khóa đai Inox</v>
      </c>
      <c r="B520" s="2130" t="s">
        <v>5183</v>
      </c>
      <c r="C520" s="2127"/>
      <c r="D520" s="2120">
        <v>0</v>
      </c>
      <c r="E520" s="2121" t="s">
        <v>5184</v>
      </c>
      <c r="F520" s="2120" t="s">
        <v>2555</v>
      </c>
      <c r="G520" s="2191">
        <f>G509*2</f>
        <v>0</v>
      </c>
      <c r="H520" s="2123">
        <v>4000</v>
      </c>
      <c r="I520" s="2123"/>
      <c r="J520" s="2123">
        <v>0</v>
      </c>
      <c r="K520" s="2123">
        <v>0</v>
      </c>
      <c r="L520" s="2129">
        <f>H520*G520</f>
        <v>0</v>
      </c>
      <c r="M520" s="2129">
        <f>I520*G520</f>
        <v>0</v>
      </c>
      <c r="N520" s="2129">
        <f>J520*G520</f>
        <v>0</v>
      </c>
      <c r="O520" s="2128">
        <f>K520*G520</f>
        <v>0</v>
      </c>
      <c r="P520" s="2155"/>
    </row>
    <row r="521" spans="1:16" s="2105" customFormat="1" outlineLevel="1">
      <c r="A521" s="2108" t="str">
        <f t="shared" si="77"/>
        <v>Cổ dê kẹp ống PVC  21</v>
      </c>
      <c r="B521" s="2133" t="s">
        <v>525</v>
      </c>
      <c r="C521" s="2127"/>
      <c r="D521" s="2120">
        <v>0</v>
      </c>
      <c r="E521" s="2121" t="s">
        <v>5252</v>
      </c>
      <c r="F521" s="2120" t="s">
        <v>2439</v>
      </c>
      <c r="G521" s="2191">
        <f>2*G509</f>
        <v>0</v>
      </c>
      <c r="H521" s="2123">
        <v>43000</v>
      </c>
      <c r="I521" s="2128"/>
      <c r="J521" s="2123">
        <v>0</v>
      </c>
      <c r="K521" s="2123">
        <v>0</v>
      </c>
      <c r="L521" s="2129">
        <f t="shared" si="73"/>
        <v>0</v>
      </c>
      <c r="M521" s="2129">
        <f t="shared" si="74"/>
        <v>0</v>
      </c>
      <c r="N521" s="2129">
        <f t="shared" si="75"/>
        <v>0</v>
      </c>
      <c r="O521" s="2128">
        <f t="shared" si="76"/>
        <v>0</v>
      </c>
      <c r="P521" s="2155"/>
    </row>
    <row r="522" spans="1:16" s="2105" customFormat="1" outlineLevel="1">
      <c r="A522" s="2108" t="str">
        <f t="shared" si="77"/>
        <v>Giếng tiếp địa khoan đất</v>
      </c>
      <c r="B522" s="2130" t="s">
        <v>6151</v>
      </c>
      <c r="C522" s="2127"/>
      <c r="D522" s="2120">
        <v>0</v>
      </c>
      <c r="E522" s="2121" t="s">
        <v>5713</v>
      </c>
      <c r="F522" s="2120" t="s">
        <v>3445</v>
      </c>
      <c r="G522" s="2191">
        <f>G509</f>
        <v>0</v>
      </c>
      <c r="H522" s="2123">
        <v>0</v>
      </c>
      <c r="I522" s="2123"/>
      <c r="J522" s="2123">
        <v>1500000</v>
      </c>
      <c r="K522" s="2123">
        <v>0</v>
      </c>
      <c r="L522" s="2129">
        <f>H522*G522</f>
        <v>0</v>
      </c>
      <c r="M522" s="2129">
        <f>I522*G522</f>
        <v>0</v>
      </c>
      <c r="N522" s="2129">
        <f>J522*G522</f>
        <v>0</v>
      </c>
      <c r="O522" s="2128">
        <f>K522*G522</f>
        <v>0</v>
      </c>
      <c r="P522" s="2155"/>
    </row>
    <row r="523" spans="1:16" s="2105" customFormat="1" outlineLevel="1">
      <c r="A523" s="2108" t="str">
        <f t="shared" si="77"/>
        <v>Kéo dây tiếp địa trong TBA</v>
      </c>
      <c r="B523" s="2130" t="s">
        <v>2183</v>
      </c>
      <c r="C523" s="2127"/>
      <c r="D523" s="2120" t="s">
        <v>5346</v>
      </c>
      <c r="E523" s="2121" t="s">
        <v>5347</v>
      </c>
      <c r="F523" s="2120" t="s">
        <v>2532</v>
      </c>
      <c r="G523" s="2191">
        <f>G511/0.224</f>
        <v>0</v>
      </c>
      <c r="H523" s="2123">
        <v>0</v>
      </c>
      <c r="I523" s="2123"/>
      <c r="J523" s="2123">
        <v>8070.7000000000007</v>
      </c>
      <c r="K523" s="2123">
        <v>2044.9974999999999</v>
      </c>
      <c r="L523" s="2129">
        <f t="shared" si="73"/>
        <v>0</v>
      </c>
      <c r="M523" s="2129">
        <f t="shared" si="74"/>
        <v>0</v>
      </c>
      <c r="N523" s="2129">
        <f t="shared" si="75"/>
        <v>0</v>
      </c>
      <c r="O523" s="2128">
        <f t="shared" si="76"/>
        <v>0</v>
      </c>
      <c r="P523" s="2155"/>
    </row>
    <row r="524" spans="1:16" s="2105" customFormat="1" outlineLevel="1">
      <c r="A524" s="2108" t="str">
        <f t="shared" si="77"/>
        <v>Đóng cọc tiếp địa trong TBA</v>
      </c>
      <c r="B524" s="2133" t="s">
        <v>902</v>
      </c>
      <c r="C524" s="2127"/>
      <c r="D524" s="2120" t="s">
        <v>5351</v>
      </c>
      <c r="E524" s="2121" t="s">
        <v>5352</v>
      </c>
      <c r="F524" s="2120" t="s">
        <v>2278</v>
      </c>
      <c r="G524" s="2191">
        <f>G512</f>
        <v>0</v>
      </c>
      <c r="H524" s="2123">
        <v>0</v>
      </c>
      <c r="I524" s="2128"/>
      <c r="J524" s="2123" t="s">
        <v>6315</v>
      </c>
      <c r="K524" s="2123">
        <v>1573.075</v>
      </c>
      <c r="L524" s="2129">
        <f t="shared" si="73"/>
        <v>0</v>
      </c>
      <c r="M524" s="2129">
        <f t="shared" si="74"/>
        <v>0</v>
      </c>
      <c r="N524" s="2123">
        <v>0</v>
      </c>
      <c r="O524" s="2128">
        <f t="shared" si="76"/>
        <v>0</v>
      </c>
      <c r="P524" s="2155"/>
    </row>
    <row r="525" spans="1:16" s="2105" customFormat="1" outlineLevel="1">
      <c r="A525" s="2108" t="str">
        <f t="shared" si="77"/>
        <v>Đào rãnh tiếp địa đất cấp 3</v>
      </c>
      <c r="B525" s="2130" t="s">
        <v>1055</v>
      </c>
      <c r="C525" s="2127"/>
      <c r="D525" s="2120" t="s">
        <v>5336</v>
      </c>
      <c r="E525" s="2121" t="s">
        <v>3068</v>
      </c>
      <c r="F525" s="2120" t="s">
        <v>856</v>
      </c>
      <c r="G525" s="2191">
        <f>G509*53*0.3*0.5</f>
        <v>0</v>
      </c>
      <c r="H525" s="2123">
        <v>0</v>
      </c>
      <c r="I525" s="2123"/>
      <c r="J525" s="2123">
        <v>283749.75</v>
      </c>
      <c r="K525" s="2123">
        <v>0</v>
      </c>
      <c r="L525" s="2129">
        <f t="shared" si="73"/>
        <v>0</v>
      </c>
      <c r="M525" s="2129">
        <f t="shared" si="74"/>
        <v>0</v>
      </c>
      <c r="N525" s="2129">
        <f t="shared" ref="N525:N555" si="78">J525*G525</f>
        <v>0</v>
      </c>
      <c r="O525" s="2128">
        <f t="shared" si="76"/>
        <v>0</v>
      </c>
      <c r="P525" s="2155"/>
    </row>
    <row r="526" spans="1:16" s="2105" customFormat="1" outlineLevel="1">
      <c r="A526" s="2108" t="str">
        <f t="shared" si="77"/>
        <v>Đắp đất rãnh tiếp độ chặt k=0,85</v>
      </c>
      <c r="B526" s="2133" t="s">
        <v>1056</v>
      </c>
      <c r="C526" s="2127"/>
      <c r="D526" s="2120" t="s">
        <v>5325</v>
      </c>
      <c r="E526" s="2121" t="s">
        <v>5337</v>
      </c>
      <c r="F526" s="2120" t="s">
        <v>856</v>
      </c>
      <c r="G526" s="2191">
        <f>G525</f>
        <v>0</v>
      </c>
      <c r="H526" s="2123">
        <v>0</v>
      </c>
      <c r="I526" s="2128"/>
      <c r="J526" s="2123">
        <v>117703.6</v>
      </c>
      <c r="K526" s="2123">
        <v>0</v>
      </c>
      <c r="L526" s="2129">
        <f t="shared" si="73"/>
        <v>0</v>
      </c>
      <c r="M526" s="2129">
        <f t="shared" si="74"/>
        <v>0</v>
      </c>
      <c r="N526" s="2129">
        <f t="shared" si="78"/>
        <v>0</v>
      </c>
      <c r="O526" s="2128">
        <f t="shared" si="76"/>
        <v>0</v>
      </c>
      <c r="P526" s="2155"/>
    </row>
    <row r="527" spans="1:16" s="2105" customFormat="1" outlineLevel="1">
      <c r="A527" s="2108" t="e">
        <f t="shared" si="77"/>
        <v>#N/A</v>
      </c>
      <c r="B527" s="2130"/>
      <c r="C527" s="2142">
        <f>IF(G527&gt;0,C509+1,C509)</f>
        <v>0</v>
      </c>
      <c r="D527" s="2146"/>
      <c r="E527" s="2158" t="s">
        <v>3683</v>
      </c>
      <c r="F527" s="2142" t="s">
        <v>2385</v>
      </c>
      <c r="G527" s="2193">
        <f>G501</f>
        <v>0</v>
      </c>
      <c r="H527" s="2123"/>
      <c r="I527" s="2128"/>
      <c r="J527" s="2123"/>
      <c r="K527" s="2123"/>
      <c r="L527" s="2129">
        <f t="shared" si="73"/>
        <v>0</v>
      </c>
      <c r="M527" s="2129">
        <f t="shared" si="74"/>
        <v>0</v>
      </c>
      <c r="N527" s="2129">
        <f t="shared" si="78"/>
        <v>0</v>
      </c>
      <c r="O527" s="2128">
        <f t="shared" si="76"/>
        <v>0</v>
      </c>
      <c r="P527" s="2155"/>
    </row>
    <row r="528" spans="1:16" s="2105" customFormat="1" ht="14.4" outlineLevel="1">
      <c r="A528" s="2108" t="e">
        <f t="shared" si="77"/>
        <v>#N/A</v>
      </c>
      <c r="B528" s="2130"/>
      <c r="C528" s="2142"/>
      <c r="D528" s="2146"/>
      <c r="E528" s="2172" t="s">
        <v>6133</v>
      </c>
      <c r="F528" s="2127"/>
      <c r="G528" s="2191"/>
      <c r="H528" s="2123"/>
      <c r="I528" s="2128"/>
      <c r="J528" s="2123"/>
      <c r="K528" s="2123"/>
      <c r="L528" s="2129">
        <f t="shared" si="73"/>
        <v>0</v>
      </c>
      <c r="M528" s="2129">
        <f t="shared" si="74"/>
        <v>0</v>
      </c>
      <c r="N528" s="2129">
        <f t="shared" si="78"/>
        <v>0</v>
      </c>
      <c r="O528" s="2128">
        <f t="shared" si="76"/>
        <v>0</v>
      </c>
      <c r="P528" s="2155"/>
    </row>
    <row r="529" spans="1:16" s="2105" customFormat="1" outlineLevel="1">
      <c r="A529" s="2108" t="str">
        <f t="shared" si="77"/>
        <v>Tủ MCCB trạm treo 1 pha</v>
      </c>
      <c r="B529" s="2181" t="s">
        <v>5654</v>
      </c>
      <c r="C529" s="2127"/>
      <c r="D529" s="2120" t="s">
        <v>5655</v>
      </c>
      <c r="E529" s="2121" t="s">
        <v>5656</v>
      </c>
      <c r="F529" s="2120" t="s">
        <v>2555</v>
      </c>
      <c r="G529" s="2191">
        <f>G527</f>
        <v>0</v>
      </c>
      <c r="H529" s="2123">
        <v>2971168</v>
      </c>
      <c r="I529" s="2123"/>
      <c r="J529" s="2123">
        <v>599038</v>
      </c>
      <c r="K529" s="2123">
        <v>97369</v>
      </c>
      <c r="L529" s="2129">
        <f t="shared" si="73"/>
        <v>0</v>
      </c>
      <c r="M529" s="2129">
        <f t="shared" si="74"/>
        <v>0</v>
      </c>
      <c r="N529" s="2129">
        <f t="shared" si="78"/>
        <v>0</v>
      </c>
      <c r="O529" s="2128">
        <f t="shared" si="76"/>
        <v>0</v>
      </c>
      <c r="P529" s="2155"/>
    </row>
    <row r="530" spans="1:16" s="2105" customFormat="1" outlineLevel="1">
      <c r="A530" s="2108" t="str">
        <f t="shared" si="77"/>
        <v>Cổ dê CDĐKĐT( bắt thùng điện kế)</v>
      </c>
      <c r="B530" s="2130" t="s">
        <v>319</v>
      </c>
      <c r="C530" s="2127"/>
      <c r="D530" s="2120">
        <v>0</v>
      </c>
      <c r="E530" s="2121" t="s">
        <v>5269</v>
      </c>
      <c r="F530" s="2120" t="s">
        <v>2439</v>
      </c>
      <c r="G530" s="2191">
        <f>2*G527</f>
        <v>0</v>
      </c>
      <c r="H530" s="2123">
        <v>168000</v>
      </c>
      <c r="I530" s="2128"/>
      <c r="J530" s="2123">
        <v>0</v>
      </c>
      <c r="K530" s="2123">
        <v>0</v>
      </c>
      <c r="L530" s="2129">
        <f t="shared" si="73"/>
        <v>0</v>
      </c>
      <c r="M530" s="2129">
        <f t="shared" si="74"/>
        <v>0</v>
      </c>
      <c r="N530" s="2129">
        <f t="shared" si="78"/>
        <v>0</v>
      </c>
      <c r="O530" s="2128">
        <f t="shared" si="76"/>
        <v>0</v>
      </c>
      <c r="P530" s="2155"/>
    </row>
    <row r="531" spans="1:16" s="2105" customFormat="1" outlineLevel="1">
      <c r="A531" s="2108" t="str">
        <f t="shared" si="77"/>
        <v xml:space="preserve">Bakelit 550x450 dầy 10mm </v>
      </c>
      <c r="B531" s="2130" t="s">
        <v>880</v>
      </c>
      <c r="C531" s="2127"/>
      <c r="D531" s="2120">
        <v>0</v>
      </c>
      <c r="E531" s="2121" t="s">
        <v>5799</v>
      </c>
      <c r="F531" s="2120" t="s">
        <v>2555</v>
      </c>
      <c r="G531" s="2191">
        <f>G527*0</f>
        <v>0</v>
      </c>
      <c r="H531" s="2123">
        <v>284000</v>
      </c>
      <c r="I531" s="2128"/>
      <c r="J531" s="2123">
        <v>5404</v>
      </c>
      <c r="K531" s="2123">
        <v>0</v>
      </c>
      <c r="L531" s="2129">
        <f t="shared" si="73"/>
        <v>0</v>
      </c>
      <c r="M531" s="2129">
        <f t="shared" si="74"/>
        <v>0</v>
      </c>
      <c r="N531" s="2129">
        <f t="shared" si="78"/>
        <v>0</v>
      </c>
      <c r="O531" s="2128">
        <f t="shared" si="76"/>
        <v>0</v>
      </c>
      <c r="P531" s="2155"/>
    </row>
    <row r="532" spans="1:16" s="2105" customFormat="1" outlineLevel="1">
      <c r="A532" s="2108" t="e">
        <f t="shared" si="77"/>
        <v>#N/A</v>
      </c>
      <c r="B532" s="2130"/>
      <c r="C532" s="2142">
        <f>IF(G532&gt;0,C527+1,C527)</f>
        <v>0</v>
      </c>
      <c r="D532" s="2146"/>
      <c r="E532" s="2171" t="s">
        <v>6139</v>
      </c>
      <c r="F532" s="2142" t="s">
        <v>2385</v>
      </c>
      <c r="G532" s="2193">
        <f>G527</f>
        <v>0</v>
      </c>
      <c r="H532" s="2123"/>
      <c r="I532" s="2128"/>
      <c r="J532" s="2123"/>
      <c r="K532" s="2123"/>
      <c r="L532" s="2129">
        <f t="shared" si="73"/>
        <v>0</v>
      </c>
      <c r="M532" s="2129">
        <f t="shared" si="74"/>
        <v>0</v>
      </c>
      <c r="N532" s="2129">
        <f t="shared" si="78"/>
        <v>0</v>
      </c>
      <c r="O532" s="2128">
        <f t="shared" si="76"/>
        <v>0</v>
      </c>
      <c r="P532" s="2155"/>
    </row>
    <row r="533" spans="1:16" s="2105" customFormat="1" ht="14.4" outlineLevel="1">
      <c r="A533" s="2108" t="e">
        <f t="shared" si="77"/>
        <v>#N/A</v>
      </c>
      <c r="B533" s="2130"/>
      <c r="C533" s="2142"/>
      <c r="D533" s="2146"/>
      <c r="E533" s="2172" t="s">
        <v>6133</v>
      </c>
      <c r="F533" s="2127"/>
      <c r="G533" s="2191"/>
      <c r="H533" s="2123"/>
      <c r="I533" s="2128"/>
      <c r="J533" s="2123"/>
      <c r="K533" s="2123"/>
      <c r="L533" s="2129">
        <f t="shared" si="73"/>
        <v>0</v>
      </c>
      <c r="M533" s="2129">
        <f t="shared" si="74"/>
        <v>0</v>
      </c>
      <c r="N533" s="2129">
        <f t="shared" si="78"/>
        <v>0</v>
      </c>
      <c r="O533" s="2128">
        <f t="shared" si="76"/>
        <v>0</v>
      </c>
      <c r="P533" s="2155"/>
    </row>
    <row r="534" spans="1:16" s="2105" customFormat="1" outlineLevel="1">
      <c r="A534" s="2108" t="str">
        <f t="shared" si="77"/>
        <v>Cáp 24KV C/XLPE/PVC 25mm2</v>
      </c>
      <c r="B534" s="2133" t="s">
        <v>697</v>
      </c>
      <c r="C534" s="2127"/>
      <c r="D534" s="2120">
        <v>0</v>
      </c>
      <c r="E534" s="2121" t="s">
        <v>5087</v>
      </c>
      <c r="F534" s="2120" t="s">
        <v>2532</v>
      </c>
      <c r="G534" s="2191">
        <f>4*G532</f>
        <v>0</v>
      </c>
      <c r="H534" s="2123">
        <v>50996</v>
      </c>
      <c r="I534" s="2123"/>
      <c r="J534" s="2123">
        <v>0</v>
      </c>
      <c r="K534" s="2123">
        <v>0</v>
      </c>
      <c r="L534" s="2129">
        <f t="shared" si="73"/>
        <v>0</v>
      </c>
      <c r="M534" s="2129">
        <f t="shared" si="74"/>
        <v>0</v>
      </c>
      <c r="N534" s="2129">
        <f t="shared" si="78"/>
        <v>0</v>
      </c>
      <c r="O534" s="2128">
        <f t="shared" si="76"/>
        <v>0</v>
      </c>
      <c r="P534" s="2155"/>
    </row>
    <row r="535" spans="1:16" s="2105" customFormat="1" outlineLevel="1">
      <c r="A535" s="2108" t="str">
        <f t="shared" si="77"/>
        <v>Kẹp quai 2/0</v>
      </c>
      <c r="B535" s="2118" t="s">
        <v>1479</v>
      </c>
      <c r="C535" s="2127"/>
      <c r="D535" s="2120">
        <v>0</v>
      </c>
      <c r="E535" s="2121" t="s">
        <v>3791</v>
      </c>
      <c r="F535" s="2120" t="s">
        <v>2555</v>
      </c>
      <c r="G535" s="2191">
        <f>G532</f>
        <v>0</v>
      </c>
      <c r="H535" s="2123">
        <v>46000</v>
      </c>
      <c r="I535" s="2123"/>
      <c r="J535" s="2123">
        <v>0</v>
      </c>
      <c r="K535" s="2123">
        <v>0</v>
      </c>
      <c r="L535" s="2129">
        <f t="shared" si="73"/>
        <v>0</v>
      </c>
      <c r="M535" s="2129">
        <f t="shared" si="74"/>
        <v>0</v>
      </c>
      <c r="N535" s="2129">
        <f t="shared" si="78"/>
        <v>0</v>
      </c>
      <c r="O535" s="2128">
        <f t="shared" si="76"/>
        <v>0</v>
      </c>
      <c r="P535" s="2155"/>
    </row>
    <row r="536" spans="1:16" s="2105" customFormat="1" outlineLevel="1">
      <c r="A536" s="2108" t="str">
        <f t="shared" si="77"/>
        <v>Kẹp hotline 2/0</v>
      </c>
      <c r="B536" s="2118" t="s">
        <v>1477</v>
      </c>
      <c r="C536" s="2127"/>
      <c r="D536" s="2120">
        <v>0</v>
      </c>
      <c r="E536" s="2121" t="s">
        <v>4335</v>
      </c>
      <c r="F536" s="2120" t="s">
        <v>2555</v>
      </c>
      <c r="G536" s="2191">
        <f>G532</f>
        <v>0</v>
      </c>
      <c r="H536" s="2123">
        <v>77000</v>
      </c>
      <c r="I536" s="2123"/>
      <c r="J536" s="2123">
        <v>0</v>
      </c>
      <c r="K536" s="2123">
        <v>0</v>
      </c>
      <c r="L536" s="2129">
        <f t="shared" si="73"/>
        <v>0</v>
      </c>
      <c r="M536" s="2129">
        <f t="shared" si="74"/>
        <v>0</v>
      </c>
      <c r="N536" s="2129">
        <f t="shared" si="78"/>
        <v>0</v>
      </c>
      <c r="O536" s="2128">
        <f t="shared" si="76"/>
        <v>0</v>
      </c>
      <c r="P536" s="2155"/>
    </row>
    <row r="537" spans="1:16" s="2105" customFormat="1" outlineLevel="1">
      <c r="A537" s="2108" t="str">
        <f t="shared" si="77"/>
        <v>Nắp che đầu cực FCO</v>
      </c>
      <c r="B537" s="2118" t="s">
        <v>6125</v>
      </c>
      <c r="C537" s="2127"/>
      <c r="D537" s="2120">
        <v>0</v>
      </c>
      <c r="E537" s="2194" t="s">
        <v>5700</v>
      </c>
      <c r="F537" s="2152" t="s">
        <v>2555</v>
      </c>
      <c r="G537" s="2191">
        <f>G479</f>
        <v>0</v>
      </c>
      <c r="H537" s="2123">
        <v>218200</v>
      </c>
      <c r="I537" s="2123"/>
      <c r="J537" s="2123">
        <v>0</v>
      </c>
      <c r="K537" s="2123">
        <v>0</v>
      </c>
      <c r="L537" s="2129">
        <f>H537*G537</f>
        <v>0</v>
      </c>
      <c r="M537" s="2129">
        <f>I537*G537</f>
        <v>0</v>
      </c>
      <c r="N537" s="2129">
        <f>J537*G537</f>
        <v>0</v>
      </c>
      <c r="O537" s="2128">
        <f>K537*G537</f>
        <v>0</v>
      </c>
      <c r="P537" s="2155"/>
    </row>
    <row r="538" spans="1:16" s="2105" customFormat="1" outlineLevel="1">
      <c r="A538" s="2108" t="str">
        <f t="shared" ref="A538:A561" si="79">VLOOKUP(B538,DonGia,3,0)</f>
        <v>Nắp che đầu cực LA</v>
      </c>
      <c r="B538" s="2118" t="s">
        <v>5705</v>
      </c>
      <c r="C538" s="2127"/>
      <c r="D538" s="2120">
        <v>0</v>
      </c>
      <c r="E538" s="2194" t="s">
        <v>5706</v>
      </c>
      <c r="F538" s="2152" t="s">
        <v>2555</v>
      </c>
      <c r="G538" s="2191">
        <f>G481</f>
        <v>0</v>
      </c>
      <c r="H538" s="2123">
        <v>39100</v>
      </c>
      <c r="I538" s="2123"/>
      <c r="J538" s="2123">
        <v>0</v>
      </c>
      <c r="K538" s="2123">
        <v>0</v>
      </c>
      <c r="L538" s="2129">
        <f>H538*G538</f>
        <v>0</v>
      </c>
      <c r="M538" s="2129">
        <f>I538*G538</f>
        <v>0</v>
      </c>
      <c r="N538" s="2129">
        <f>J538*G538</f>
        <v>0</v>
      </c>
      <c r="O538" s="2128">
        <f>K538*G538</f>
        <v>0</v>
      </c>
      <c r="P538" s="2155"/>
    </row>
    <row r="539" spans="1:16" s="2105" customFormat="1" outlineLevel="1">
      <c r="A539" s="2108" t="str">
        <f t="shared" si="79"/>
        <v>Nắp che đầu sứ MBA</v>
      </c>
      <c r="B539" s="2118" t="s">
        <v>5707</v>
      </c>
      <c r="C539" s="2127"/>
      <c r="D539" s="2120">
        <v>0</v>
      </c>
      <c r="E539" s="2194" t="s">
        <v>5708</v>
      </c>
      <c r="F539" s="2152" t="s">
        <v>2555</v>
      </c>
      <c r="G539" s="2191">
        <f>G478</f>
        <v>0</v>
      </c>
      <c r="H539" s="2123">
        <v>56700</v>
      </c>
      <c r="I539" s="2123"/>
      <c r="J539" s="2123">
        <v>0</v>
      </c>
      <c r="K539" s="2123">
        <v>0</v>
      </c>
      <c r="L539" s="2129">
        <f>H539*G539</f>
        <v>0</v>
      </c>
      <c r="M539" s="2129">
        <f>I539*G539</f>
        <v>0</v>
      </c>
      <c r="N539" s="2129">
        <f>J539*G539</f>
        <v>0</v>
      </c>
      <c r="O539" s="2128">
        <f>K539*G539</f>
        <v>0</v>
      </c>
      <c r="P539" s="2155"/>
    </row>
    <row r="540" spans="1:16" s="2105" customFormat="1" outlineLevel="1">
      <c r="A540" s="2108" t="str">
        <f t="shared" si="79"/>
        <v>Chụp cách điện kẹp quai</v>
      </c>
      <c r="B540" s="2118" t="s">
        <v>6156</v>
      </c>
      <c r="C540" s="2127"/>
      <c r="D540" s="2120">
        <v>0</v>
      </c>
      <c r="E540" s="2194" t="s">
        <v>4538</v>
      </c>
      <c r="F540" s="2152" t="s">
        <v>3445</v>
      </c>
      <c r="G540" s="2191">
        <f>G535</f>
        <v>0</v>
      </c>
      <c r="H540" s="2123">
        <v>136800</v>
      </c>
      <c r="I540" s="2123"/>
      <c r="J540" s="2123">
        <v>0</v>
      </c>
      <c r="K540" s="2123">
        <v>0</v>
      </c>
      <c r="L540" s="2129">
        <f>H540*G540</f>
        <v>0</v>
      </c>
      <c r="M540" s="2129">
        <f>I540*G540</f>
        <v>0</v>
      </c>
      <c r="N540" s="2129">
        <f>J540*G540</f>
        <v>0</v>
      </c>
      <c r="O540" s="2128">
        <f>K540*G540</f>
        <v>0</v>
      </c>
      <c r="P540" s="2155"/>
    </row>
    <row r="541" spans="1:16" s="2105" customFormat="1" outlineLevel="1">
      <c r="A541" s="2108" t="str">
        <f t="shared" si="79"/>
        <v>Lắp cáp đồng xuống thiết bị D ≤ 95mm2</v>
      </c>
      <c r="B541" s="2118" t="s">
        <v>1525</v>
      </c>
      <c r="C541" s="2127"/>
      <c r="D541" s="2120" t="s">
        <v>5571</v>
      </c>
      <c r="E541" s="2121" t="s">
        <v>3292</v>
      </c>
      <c r="F541" s="2120" t="s">
        <v>1823</v>
      </c>
      <c r="G541" s="2191">
        <f>G534</f>
        <v>0</v>
      </c>
      <c r="H541" s="2123">
        <v>0</v>
      </c>
      <c r="I541" s="2123"/>
      <c r="J541" s="2123">
        <v>13915</v>
      </c>
      <c r="K541" s="2123">
        <v>0</v>
      </c>
      <c r="L541" s="2129">
        <f t="shared" si="73"/>
        <v>0</v>
      </c>
      <c r="M541" s="2129">
        <f t="shared" si="74"/>
        <v>0</v>
      </c>
      <c r="N541" s="2129">
        <f t="shared" si="78"/>
        <v>0</v>
      </c>
      <c r="O541" s="2128">
        <f t="shared" si="76"/>
        <v>0</v>
      </c>
      <c r="P541" s="2155"/>
    </row>
    <row r="542" spans="1:16" s="2105" customFormat="1" outlineLevel="1">
      <c r="A542" s="2108" t="e">
        <f t="shared" si="79"/>
        <v>#N/A</v>
      </c>
      <c r="B542" s="2130"/>
      <c r="C542" s="2142">
        <f>IF(G542&gt;0,C532+1,C532)</f>
        <v>0</v>
      </c>
      <c r="D542" s="2146"/>
      <c r="E542" s="2158" t="s">
        <v>6157</v>
      </c>
      <c r="F542" s="2142" t="s">
        <v>2385</v>
      </c>
      <c r="G542" s="2193">
        <f>G478</f>
        <v>0</v>
      </c>
      <c r="H542" s="2123"/>
      <c r="I542" s="2128"/>
      <c r="J542" s="2123"/>
      <c r="K542" s="2123"/>
      <c r="L542" s="2129">
        <f t="shared" si="73"/>
        <v>0</v>
      </c>
      <c r="M542" s="2129">
        <f t="shared" si="74"/>
        <v>0</v>
      </c>
      <c r="N542" s="2129">
        <f t="shared" si="78"/>
        <v>0</v>
      </c>
      <c r="O542" s="2128">
        <f t="shared" si="76"/>
        <v>0</v>
      </c>
      <c r="P542" s="2155"/>
    </row>
    <row r="543" spans="1:16" s="2105" customFormat="1" ht="14.4" outlineLevel="1">
      <c r="A543" s="2108" t="e">
        <f t="shared" si="79"/>
        <v>#N/A</v>
      </c>
      <c r="B543" s="2130"/>
      <c r="C543" s="2142"/>
      <c r="D543" s="2146"/>
      <c r="E543" s="2148" t="s">
        <v>6133</v>
      </c>
      <c r="F543" s="2142"/>
      <c r="G543" s="2193"/>
      <c r="H543" s="2123"/>
      <c r="I543" s="2128"/>
      <c r="J543" s="2123"/>
      <c r="K543" s="2123"/>
      <c r="L543" s="2129">
        <f t="shared" si="73"/>
        <v>0</v>
      </c>
      <c r="M543" s="2129">
        <f t="shared" si="74"/>
        <v>0</v>
      </c>
      <c r="N543" s="2129">
        <f t="shared" si="78"/>
        <v>0</v>
      </c>
      <c r="O543" s="2128">
        <f t="shared" si="76"/>
        <v>0</v>
      </c>
      <c r="P543" s="2155"/>
    </row>
    <row r="544" spans="1:16" s="2105" customFormat="1" outlineLevel="1">
      <c r="A544" s="2108" t="str">
        <f t="shared" si="79"/>
        <v>Cáp đồng bọc CV150</v>
      </c>
      <c r="B544" s="2130" t="s">
        <v>6158</v>
      </c>
      <c r="C544" s="2142"/>
      <c r="D544" s="2120">
        <v>0</v>
      </c>
      <c r="E544" s="2121" t="s">
        <v>2796</v>
      </c>
      <c r="F544" s="2120" t="s">
        <v>2532</v>
      </c>
      <c r="G544" s="2191">
        <f>G542*9*3</f>
        <v>0</v>
      </c>
      <c r="H544" s="2123">
        <v>194893</v>
      </c>
      <c r="I544" s="2123"/>
      <c r="J544" s="2123">
        <v>0</v>
      </c>
      <c r="K544" s="2123">
        <v>0</v>
      </c>
      <c r="L544" s="2129">
        <f t="shared" si="73"/>
        <v>0</v>
      </c>
      <c r="M544" s="2129">
        <f t="shared" si="74"/>
        <v>0</v>
      </c>
      <c r="N544" s="2129">
        <f t="shared" si="78"/>
        <v>0</v>
      </c>
      <c r="O544" s="2128">
        <f t="shared" si="76"/>
        <v>0</v>
      </c>
      <c r="P544" s="2155"/>
    </row>
    <row r="545" spans="1:16" s="2105" customFormat="1" outlineLevel="1">
      <c r="A545" s="2108" t="str">
        <f t="shared" si="79"/>
        <v>Cáp đồng bọc CV120</v>
      </c>
      <c r="B545" s="2130" t="s">
        <v>49</v>
      </c>
      <c r="C545" s="2142"/>
      <c r="D545" s="2120">
        <v>0</v>
      </c>
      <c r="E545" s="2121" t="s">
        <v>2795</v>
      </c>
      <c r="F545" s="2120" t="s">
        <v>2532</v>
      </c>
      <c r="G545" s="2127">
        <f>G542*9*0</f>
        <v>0</v>
      </c>
      <c r="H545" s="2123">
        <v>236300</v>
      </c>
      <c r="I545" s="2123"/>
      <c r="J545" s="2123">
        <v>0</v>
      </c>
      <c r="K545" s="2123">
        <v>0</v>
      </c>
      <c r="L545" s="2129">
        <f t="shared" si="73"/>
        <v>0</v>
      </c>
      <c r="M545" s="2129">
        <f t="shared" si="74"/>
        <v>0</v>
      </c>
      <c r="N545" s="2129">
        <f t="shared" si="78"/>
        <v>0</v>
      </c>
      <c r="O545" s="2128">
        <f t="shared" si="76"/>
        <v>0</v>
      </c>
      <c r="P545" s="2155"/>
    </row>
    <row r="546" spans="1:16" s="2105" customFormat="1" outlineLevel="1">
      <c r="A546" s="2108" t="str">
        <f t="shared" si="79"/>
        <v xml:space="preserve">Cáp CVV 4x4mm2  </v>
      </c>
      <c r="B546" s="2130" t="s">
        <v>4518</v>
      </c>
      <c r="C546" s="2127"/>
      <c r="D546" s="2120">
        <v>0</v>
      </c>
      <c r="E546" s="2121" t="s">
        <v>2786</v>
      </c>
      <c r="F546" s="2120" t="s">
        <v>2532</v>
      </c>
      <c r="G546" s="2191">
        <f>4*G542</f>
        <v>0</v>
      </c>
      <c r="H546" s="2123">
        <v>63200</v>
      </c>
      <c r="I546" s="2123"/>
      <c r="J546" s="2123">
        <v>0</v>
      </c>
      <c r="K546" s="2123">
        <v>0</v>
      </c>
      <c r="L546" s="2129">
        <f t="shared" si="73"/>
        <v>0</v>
      </c>
      <c r="M546" s="2129">
        <f t="shared" si="74"/>
        <v>0</v>
      </c>
      <c r="N546" s="2129">
        <f t="shared" si="78"/>
        <v>0</v>
      </c>
      <c r="O546" s="2128">
        <f t="shared" si="76"/>
        <v>0</v>
      </c>
      <c r="P546" s="2155"/>
    </row>
    <row r="547" spans="1:16" s="2105" customFormat="1" outlineLevel="1">
      <c r="A547" s="2108" t="str">
        <f t="shared" si="79"/>
        <v>Đầu cosse ép Cu 150mm2</v>
      </c>
      <c r="B547" s="2130" t="s">
        <v>0</v>
      </c>
      <c r="C547" s="2127"/>
      <c r="D547" s="2120" t="s">
        <v>5729</v>
      </c>
      <c r="E547" s="2121" t="s">
        <v>3483</v>
      </c>
      <c r="F547" s="2120" t="s">
        <v>2555</v>
      </c>
      <c r="G547" s="2191">
        <f>G542*3</f>
        <v>0</v>
      </c>
      <c r="H547" s="2123">
        <v>36000</v>
      </c>
      <c r="I547" s="2123"/>
      <c r="J547" s="2123">
        <v>33342.43</v>
      </c>
      <c r="K547" s="2123">
        <v>4443.237196</v>
      </c>
      <c r="L547" s="2129">
        <f t="shared" si="73"/>
        <v>0</v>
      </c>
      <c r="M547" s="2129">
        <f t="shared" si="74"/>
        <v>0</v>
      </c>
      <c r="N547" s="2129">
        <f t="shared" si="78"/>
        <v>0</v>
      </c>
      <c r="O547" s="2128">
        <f t="shared" si="76"/>
        <v>0</v>
      </c>
      <c r="P547" s="2155"/>
    </row>
    <row r="548" spans="1:16" s="2105" customFormat="1" outlineLevel="1">
      <c r="A548" s="2108" t="str">
        <f t="shared" si="79"/>
        <v>Đầu cosse ép Cu 120mm2</v>
      </c>
      <c r="B548" s="2130" t="str">
        <f>IF(G542=1,"Cos"&amp;RIGHT(B$545,3),"Cos"&amp;RIGHT(B$545,3))</f>
        <v>Cos120</v>
      </c>
      <c r="C548" s="2127"/>
      <c r="D548" s="2120" t="s">
        <v>5728</v>
      </c>
      <c r="E548" s="2121" t="s">
        <v>3482</v>
      </c>
      <c r="F548" s="2120" t="s">
        <v>2555</v>
      </c>
      <c r="G548" s="2127">
        <f>G542*0</f>
        <v>0</v>
      </c>
      <c r="H548" s="2123">
        <v>27000</v>
      </c>
      <c r="I548" s="2123"/>
      <c r="J548" s="2123">
        <v>27280.17</v>
      </c>
      <c r="K548" s="2123">
        <v>3887.8325465000003</v>
      </c>
      <c r="L548" s="2129">
        <f t="shared" si="73"/>
        <v>0</v>
      </c>
      <c r="M548" s="2129">
        <f t="shared" si="74"/>
        <v>0</v>
      </c>
      <c r="N548" s="2129">
        <f t="shared" si="78"/>
        <v>0</v>
      </c>
      <c r="O548" s="2128">
        <f t="shared" si="76"/>
        <v>0</v>
      </c>
      <c r="P548" s="2155"/>
    </row>
    <row r="549" spans="1:16" s="2105" customFormat="1" outlineLevel="1">
      <c r="A549" s="2108" t="str">
        <f t="shared" si="79"/>
        <v>Chụp đầu cosse  150mm2</v>
      </c>
      <c r="B549" s="2130" t="s">
        <v>91</v>
      </c>
      <c r="C549" s="2127"/>
      <c r="D549" s="2120">
        <v>0</v>
      </c>
      <c r="E549" s="2121" t="s">
        <v>3497</v>
      </c>
      <c r="F549" s="2120" t="s">
        <v>2555</v>
      </c>
      <c r="G549" s="2191">
        <f>G547</f>
        <v>0</v>
      </c>
      <c r="H549" s="2123">
        <v>5000</v>
      </c>
      <c r="I549" s="2123"/>
      <c r="J549" s="2123">
        <v>0</v>
      </c>
      <c r="K549" s="2123">
        <v>0</v>
      </c>
      <c r="L549" s="2129">
        <f t="shared" si="73"/>
        <v>0</v>
      </c>
      <c r="M549" s="2129">
        <f t="shared" si="74"/>
        <v>0</v>
      </c>
      <c r="N549" s="2129">
        <f t="shared" si="78"/>
        <v>0</v>
      </c>
      <c r="O549" s="2128">
        <f t="shared" si="76"/>
        <v>0</v>
      </c>
      <c r="P549" s="2155"/>
    </row>
    <row r="550" spans="1:16" s="2105" customFormat="1" outlineLevel="1">
      <c r="A550" s="2108" t="str">
        <f t="shared" si="79"/>
        <v>Chụp đầu cosse  120mm2</v>
      </c>
      <c r="B550" s="2130" t="s">
        <v>1861</v>
      </c>
      <c r="C550" s="2127"/>
      <c r="D550" s="2120">
        <v>0</v>
      </c>
      <c r="E550" s="2121" t="s">
        <v>3496</v>
      </c>
      <c r="F550" s="2120" t="s">
        <v>2555</v>
      </c>
      <c r="G550" s="2127">
        <f>G548*0</f>
        <v>0</v>
      </c>
      <c r="H550" s="2123">
        <v>4000</v>
      </c>
      <c r="I550" s="2123"/>
      <c r="J550" s="2123">
        <v>0</v>
      </c>
      <c r="K550" s="2123">
        <v>0</v>
      </c>
      <c r="L550" s="2129">
        <f t="shared" si="73"/>
        <v>0</v>
      </c>
      <c r="M550" s="2129">
        <f t="shared" si="74"/>
        <v>0</v>
      </c>
      <c r="N550" s="2129">
        <f t="shared" si="78"/>
        <v>0</v>
      </c>
      <c r="O550" s="2128">
        <f t="shared" si="76"/>
        <v>0</v>
      </c>
      <c r="P550" s="2155"/>
    </row>
    <row r="551" spans="1:16" s="2105" customFormat="1" outlineLevel="1">
      <c r="A551" s="2108" t="str">
        <f t="shared" si="79"/>
        <v xml:space="preserve">Ống PVC D90x3,8mm </v>
      </c>
      <c r="B551" s="2130" t="s">
        <v>282</v>
      </c>
      <c r="C551" s="2127"/>
      <c r="D551" s="2120">
        <v>0</v>
      </c>
      <c r="E551" s="2121" t="s">
        <v>3532</v>
      </c>
      <c r="F551" s="2120" t="s">
        <v>1823</v>
      </c>
      <c r="G551" s="2191">
        <f>8*G542</f>
        <v>0</v>
      </c>
      <c r="H551" s="2123">
        <v>63200</v>
      </c>
      <c r="I551" s="2128"/>
      <c r="J551" s="2123">
        <v>0</v>
      </c>
      <c r="K551" s="2123">
        <v>0</v>
      </c>
      <c r="L551" s="2129">
        <f t="shared" si="73"/>
        <v>0</v>
      </c>
      <c r="M551" s="2129">
        <f t="shared" si="74"/>
        <v>0</v>
      </c>
      <c r="N551" s="2129">
        <f t="shared" si="78"/>
        <v>0</v>
      </c>
      <c r="O551" s="2128">
        <f t="shared" si="76"/>
        <v>0</v>
      </c>
      <c r="P551" s="2155"/>
    </row>
    <row r="552" spans="1:16" s="2105" customFormat="1" outlineLevel="1">
      <c r="A552" s="2108" t="str">
        <f t="shared" si="79"/>
        <v>Cổ dê kẹp ống PVC Ø 90</v>
      </c>
      <c r="B552" s="2133" t="s">
        <v>276</v>
      </c>
      <c r="C552" s="2127"/>
      <c r="D552" s="2120">
        <v>0</v>
      </c>
      <c r="E552" s="2121" t="s">
        <v>5257</v>
      </c>
      <c r="F552" s="2120" t="s">
        <v>2439</v>
      </c>
      <c r="G552" s="2191">
        <f>3*G542</f>
        <v>0</v>
      </c>
      <c r="H552" s="2123">
        <v>49000</v>
      </c>
      <c r="I552" s="2128"/>
      <c r="J552" s="2123">
        <v>0</v>
      </c>
      <c r="K552" s="2123">
        <v>0</v>
      </c>
      <c r="L552" s="2129">
        <f t="shared" si="73"/>
        <v>0</v>
      </c>
      <c r="M552" s="2129">
        <f t="shared" si="74"/>
        <v>0</v>
      </c>
      <c r="N552" s="2129">
        <f t="shared" si="78"/>
        <v>0</v>
      </c>
      <c r="O552" s="2128">
        <f t="shared" si="76"/>
        <v>0</v>
      </c>
      <c r="P552" s="2155"/>
    </row>
    <row r="553" spans="1:16" s="2105" customFormat="1" outlineLevel="1">
      <c r="A553" s="2108" t="str">
        <f t="shared" si="79"/>
        <v>Co  90 độ PVC 90</v>
      </c>
      <c r="B553" s="2130" t="s">
        <v>69</v>
      </c>
      <c r="C553" s="2127"/>
      <c r="D553" s="2120">
        <v>0</v>
      </c>
      <c r="E553" s="2121" t="s">
        <v>5797</v>
      </c>
      <c r="F553" s="2120" t="s">
        <v>2555</v>
      </c>
      <c r="G553" s="2191">
        <f>2*G542</f>
        <v>0</v>
      </c>
      <c r="H553" s="2123">
        <v>45400</v>
      </c>
      <c r="I553" s="2128"/>
      <c r="J553" s="2123">
        <v>0</v>
      </c>
      <c r="K553" s="2123">
        <v>0</v>
      </c>
      <c r="L553" s="2129">
        <f t="shared" ref="L553:L560" si="80">H553*G553</f>
        <v>0</v>
      </c>
      <c r="M553" s="2129">
        <f t="shared" ref="M553:M560" si="81">I553*G553</f>
        <v>0</v>
      </c>
      <c r="N553" s="2129">
        <f t="shared" si="78"/>
        <v>0</v>
      </c>
      <c r="O553" s="2128">
        <f t="shared" ref="O553:O560" si="82">K553*G553</f>
        <v>0</v>
      </c>
      <c r="P553" s="2155"/>
    </row>
    <row r="554" spans="1:16" s="2105" customFormat="1" outlineLevel="1">
      <c r="A554" s="2108" t="str">
        <f t="shared" si="79"/>
        <v xml:space="preserve">Nối thẳng ống PVC 90 </v>
      </c>
      <c r="B554" s="2130" t="s">
        <v>725</v>
      </c>
      <c r="C554" s="2127"/>
      <c r="D554" s="2120">
        <v>0</v>
      </c>
      <c r="E554" s="2121" t="s">
        <v>3555</v>
      </c>
      <c r="F554" s="2120" t="s">
        <v>2555</v>
      </c>
      <c r="G554" s="2191">
        <f>G542*0</f>
        <v>0</v>
      </c>
      <c r="H554" s="2123">
        <v>12400</v>
      </c>
      <c r="I554" s="2128"/>
      <c r="J554" s="2123">
        <v>0</v>
      </c>
      <c r="K554" s="2123">
        <v>0</v>
      </c>
      <c r="L554" s="2129">
        <f t="shared" si="80"/>
        <v>0</v>
      </c>
      <c r="M554" s="2129">
        <f t="shared" si="81"/>
        <v>0</v>
      </c>
      <c r="N554" s="2129">
        <f t="shared" si="78"/>
        <v>0</v>
      </c>
      <c r="O554" s="2128">
        <f t="shared" si="82"/>
        <v>0</v>
      </c>
      <c r="P554" s="2155"/>
    </row>
    <row r="555" spans="1:16" s="2105" customFormat="1" outlineLevel="1">
      <c r="A555" s="2108" t="str">
        <f t="shared" si="79"/>
        <v>Keo dán ống PVC (100gr)</v>
      </c>
      <c r="B555" s="2130" t="s">
        <v>2074</v>
      </c>
      <c r="C555" s="2127"/>
      <c r="D555" s="2120">
        <v>0</v>
      </c>
      <c r="E555" s="2121" t="s">
        <v>3570</v>
      </c>
      <c r="F555" s="2120" t="s">
        <v>3571</v>
      </c>
      <c r="G555" s="2191">
        <f>G542</f>
        <v>0</v>
      </c>
      <c r="H555" s="2123">
        <v>11500</v>
      </c>
      <c r="I555" s="2128"/>
      <c r="J555" s="2123">
        <v>0</v>
      </c>
      <c r="K555" s="2123">
        <v>0</v>
      </c>
      <c r="L555" s="2129">
        <f t="shared" si="80"/>
        <v>0</v>
      </c>
      <c r="M555" s="2129">
        <f t="shared" si="81"/>
        <v>0</v>
      </c>
      <c r="N555" s="2129">
        <f t="shared" si="78"/>
        <v>0</v>
      </c>
      <c r="O555" s="2128">
        <f t="shared" si="82"/>
        <v>0</v>
      </c>
      <c r="P555" s="2155"/>
    </row>
    <row r="556" spans="1:16" s="2105" customFormat="1" outlineLevel="1">
      <c r="A556" s="2108" t="str">
        <f t="shared" si="79"/>
        <v>Keo silicon bít miệng ống</v>
      </c>
      <c r="B556" s="2130" t="s">
        <v>489</v>
      </c>
      <c r="C556" s="2127"/>
      <c r="D556" s="2120">
        <v>0</v>
      </c>
      <c r="E556" s="2121" t="s">
        <v>3567</v>
      </c>
      <c r="F556" s="2120" t="s">
        <v>5806</v>
      </c>
      <c r="G556" s="2191">
        <f>G542</f>
        <v>0</v>
      </c>
      <c r="H556" s="2123">
        <v>45000</v>
      </c>
      <c r="I556" s="2128"/>
      <c r="J556" s="2123">
        <v>0</v>
      </c>
      <c r="K556" s="2123">
        <v>0</v>
      </c>
      <c r="L556" s="2129">
        <f t="shared" si="80"/>
        <v>0</v>
      </c>
      <c r="M556" s="2129">
        <f t="shared" si="81"/>
        <v>0</v>
      </c>
      <c r="N556" s="2129">
        <f>J556*G556</f>
        <v>0</v>
      </c>
      <c r="O556" s="2128">
        <f t="shared" si="82"/>
        <v>0</v>
      </c>
      <c r="P556" s="2155"/>
    </row>
    <row r="557" spans="1:16" s="2105" customFormat="1" outlineLevel="1">
      <c r="A557" s="2108" t="str">
        <f t="shared" si="79"/>
        <v>Băng keo cách điện</v>
      </c>
      <c r="B557" s="2133" t="s">
        <v>672</v>
      </c>
      <c r="C557" s="2127"/>
      <c r="D557" s="2150"/>
      <c r="E557" s="2121" t="s">
        <v>5801</v>
      </c>
      <c r="F557" s="2120" t="s">
        <v>3566</v>
      </c>
      <c r="G557" s="2191">
        <f>G542</f>
        <v>0</v>
      </c>
      <c r="H557" s="2123">
        <v>6500</v>
      </c>
      <c r="I557" s="2128"/>
      <c r="J557" s="2123">
        <v>0</v>
      </c>
      <c r="K557" s="2123">
        <v>0</v>
      </c>
      <c r="L557" s="2129">
        <f t="shared" si="80"/>
        <v>0</v>
      </c>
      <c r="M557" s="2129">
        <f t="shared" si="81"/>
        <v>0</v>
      </c>
      <c r="N557" s="2129">
        <f>J557*G557</f>
        <v>0</v>
      </c>
      <c r="O557" s="2128">
        <f t="shared" si="82"/>
        <v>0</v>
      </c>
      <c r="P557" s="2155"/>
    </row>
    <row r="558" spans="1:16" s="2105" customFormat="1" outlineLevel="1">
      <c r="A558" s="2108" t="str">
        <f t="shared" si="79"/>
        <v>Lắp ống nhựa PVC D90</v>
      </c>
      <c r="B558" s="2130" t="s">
        <v>2182</v>
      </c>
      <c r="C558" s="2127"/>
      <c r="D558" s="2120" t="s">
        <v>5547</v>
      </c>
      <c r="E558" s="2121" t="s">
        <v>3252</v>
      </c>
      <c r="F558" s="2120" t="s">
        <v>2532</v>
      </c>
      <c r="G558" s="2191">
        <f>G551</f>
        <v>0</v>
      </c>
      <c r="H558" s="2123"/>
      <c r="I558" s="2128"/>
      <c r="J558" s="2123">
        <v>55493.02</v>
      </c>
      <c r="K558" s="2123">
        <v>0</v>
      </c>
      <c r="L558" s="2129">
        <f t="shared" si="80"/>
        <v>0</v>
      </c>
      <c r="M558" s="2129">
        <f t="shared" si="81"/>
        <v>0</v>
      </c>
      <c r="N558" s="2129">
        <f>J558*G558</f>
        <v>0</v>
      </c>
      <c r="O558" s="2128">
        <f t="shared" si="82"/>
        <v>0</v>
      </c>
      <c r="P558" s="2155"/>
    </row>
    <row r="559" spans="1:16" s="2105" customFormat="1" outlineLevel="1">
      <c r="A559" s="2108" t="str">
        <f t="shared" si="79"/>
        <v>Lắp cáp đồng xuống thiết bị D ≤ 150mm2</v>
      </c>
      <c r="B559" s="2133" t="s">
        <v>2006</v>
      </c>
      <c r="C559" s="2127"/>
      <c r="D559" s="2120" t="s">
        <v>5572</v>
      </c>
      <c r="E559" s="2121" t="s">
        <v>3293</v>
      </c>
      <c r="F559" s="2120" t="s">
        <v>1823</v>
      </c>
      <c r="G559" s="2191">
        <f>G544+G545</f>
        <v>0</v>
      </c>
      <c r="H559" s="2123"/>
      <c r="I559" s="2128"/>
      <c r="J559" s="2123">
        <v>33396</v>
      </c>
      <c r="K559" s="2123">
        <v>0</v>
      </c>
      <c r="L559" s="2129">
        <f t="shared" si="80"/>
        <v>0</v>
      </c>
      <c r="M559" s="2129">
        <f t="shared" si="81"/>
        <v>0</v>
      </c>
      <c r="N559" s="2129">
        <f>J559*G559</f>
        <v>0</v>
      </c>
      <c r="O559" s="2128">
        <f t="shared" si="82"/>
        <v>0</v>
      </c>
      <c r="P559" s="2155"/>
    </row>
    <row r="560" spans="1:16" s="2105" customFormat="1" outlineLevel="1">
      <c r="A560" s="2108" t="str">
        <f t="shared" si="79"/>
        <v>Bảng tên trạm, bảng báo nguy hiểm + đinh vít</v>
      </c>
      <c r="B560" s="2130" t="s">
        <v>289</v>
      </c>
      <c r="C560" s="2160">
        <f>IF(G560&gt;0,C542+1,C542)</f>
        <v>0</v>
      </c>
      <c r="D560" s="2161"/>
      <c r="E560" s="2121" t="s">
        <v>5712</v>
      </c>
      <c r="F560" s="2120" t="s">
        <v>2555</v>
      </c>
      <c r="G560" s="2195">
        <f>G501</f>
        <v>0</v>
      </c>
      <c r="H560" s="2123">
        <v>300000</v>
      </c>
      <c r="I560" s="2163"/>
      <c r="J560" s="2123">
        <v>0</v>
      </c>
      <c r="K560" s="2123">
        <v>0</v>
      </c>
      <c r="L560" s="2162">
        <f t="shared" si="80"/>
        <v>0</v>
      </c>
      <c r="M560" s="2162">
        <f t="shared" si="81"/>
        <v>0</v>
      </c>
      <c r="N560" s="2162">
        <f>J560*G560</f>
        <v>0</v>
      </c>
      <c r="O560" s="2163">
        <f t="shared" si="82"/>
        <v>0</v>
      </c>
      <c r="P560" s="2179"/>
    </row>
    <row r="561" spans="1:16" s="2105" customFormat="1" outlineLevel="1">
      <c r="A561" s="2108" t="e">
        <f t="shared" si="79"/>
        <v>#N/A</v>
      </c>
      <c r="B561" s="2130"/>
      <c r="C561" s="2165"/>
      <c r="D561" s="2166"/>
      <c r="E561" s="2139"/>
      <c r="F561" s="2622"/>
      <c r="G561" s="2622"/>
      <c r="H561" s="2622"/>
      <c r="I561" s="2622"/>
      <c r="J561" s="2658" t="s">
        <v>6131</v>
      </c>
      <c r="K561" s="2658"/>
      <c r="L561" s="2167">
        <f>SUM(L489:L560)</f>
        <v>0</v>
      </c>
      <c r="M561" s="2167"/>
      <c r="N561" s="2167">
        <f>SUM(N489:N560)</f>
        <v>0</v>
      </c>
      <c r="O561" s="2167">
        <f>SUM(O489:O560)</f>
        <v>0</v>
      </c>
      <c r="P561" s="2170"/>
    </row>
    <row r="562" spans="1:16" s="2105" customFormat="1" ht="13.95" customHeight="1">
      <c r="A562" s="2149" t="str">
        <f>IF(G567&lt;&gt;0,1,"")</f>
        <v/>
      </c>
      <c r="B562" s="2130"/>
      <c r="C562" s="2623"/>
      <c r="D562" s="2627"/>
      <c r="E562" s="2189"/>
    </row>
    <row r="563" spans="1:16" s="2105" customFormat="1" outlineLevel="1">
      <c r="A563" s="2108" t="e">
        <f t="shared" ref="A563:A594" si="83">VLOOKUP(B563,DonGia,3,0)</f>
        <v>#N/A</v>
      </c>
      <c r="B563" s="2130"/>
      <c r="C563" s="2144" t="str">
        <f>" BẢNG TỔNG HỢP VẬT LIỆU, NHÂN CÔNG, MÁY THI CÔNG: "&amp;K6&amp;" TRẠM 3P 3x15KVA"</f>
        <v xml:space="preserve"> BẢNG TỔNG HỢP VẬT LIỆU, NHÂN CÔNG, MÁY THI CÔNG: 0 TRẠM 3P 3x15KVA</v>
      </c>
      <c r="D563" s="2625"/>
      <c r="E563" s="2144"/>
      <c r="F563" s="2144"/>
      <c r="G563" s="2144"/>
      <c r="H563" s="2144"/>
      <c r="I563" s="2144"/>
      <c r="J563" s="2144"/>
      <c r="K563" s="2144"/>
      <c r="L563" s="2144"/>
      <c r="M563" s="2144"/>
      <c r="N563" s="2144"/>
      <c r="O563" s="2144"/>
    </row>
    <row r="564" spans="1:16" s="2105" customFormat="1" outlineLevel="1">
      <c r="A564" s="2108" t="e">
        <f t="shared" si="83"/>
        <v>#N/A</v>
      </c>
      <c r="B564" s="2130" t="s">
        <v>6112</v>
      </c>
      <c r="C564" s="2648" t="s">
        <v>1708</v>
      </c>
      <c r="D564" s="2649" t="s">
        <v>2597</v>
      </c>
      <c r="E564" s="2651" t="s">
        <v>2598</v>
      </c>
      <c r="F564" s="2648" t="s">
        <v>2593</v>
      </c>
      <c r="G564" s="2109" t="s">
        <v>6113</v>
      </c>
      <c r="H564" s="2112" t="s">
        <v>6114</v>
      </c>
      <c r="I564" s="2619"/>
      <c r="J564" s="2619"/>
      <c r="K564" s="2620"/>
      <c r="L564" s="2112" t="s">
        <v>6115</v>
      </c>
      <c r="M564" s="2619"/>
      <c r="N564" s="2619"/>
      <c r="O564" s="2620"/>
      <c r="P564" s="2648" t="s">
        <v>2599</v>
      </c>
    </row>
    <row r="565" spans="1:16" s="2105" customFormat="1" outlineLevel="1">
      <c r="A565" s="2108" t="e">
        <f t="shared" si="83"/>
        <v>#N/A</v>
      </c>
      <c r="B565" s="2130"/>
      <c r="C565" s="2648"/>
      <c r="D565" s="2650"/>
      <c r="E565" s="2652"/>
      <c r="F565" s="2648"/>
      <c r="G565" s="2111" t="s">
        <v>2286</v>
      </c>
      <c r="H565" s="2112" t="s">
        <v>6116</v>
      </c>
      <c r="I565" s="2112" t="s">
        <v>6117</v>
      </c>
      <c r="J565" s="2112" t="s">
        <v>6118</v>
      </c>
      <c r="K565" s="2112" t="s">
        <v>6119</v>
      </c>
      <c r="L565" s="2112" t="s">
        <v>6116</v>
      </c>
      <c r="M565" s="2112" t="s">
        <v>6117</v>
      </c>
      <c r="N565" s="2112" t="s">
        <v>6118</v>
      </c>
      <c r="O565" s="2112" t="s">
        <v>6119</v>
      </c>
      <c r="P565" s="2648"/>
    </row>
    <row r="566" spans="1:16" s="2105" customFormat="1" outlineLevel="1">
      <c r="A566" s="2108" t="e">
        <f t="shared" si="83"/>
        <v>#N/A</v>
      </c>
      <c r="B566" s="2130"/>
      <c r="C566" s="2113"/>
      <c r="D566" s="2114"/>
      <c r="E566" s="2115" t="s">
        <v>3672</v>
      </c>
      <c r="F566" s="2116"/>
      <c r="G566" s="2116"/>
      <c r="H566" s="2116"/>
      <c r="I566" s="2116"/>
      <c r="J566" s="2116"/>
      <c r="K566" s="2116"/>
      <c r="L566" s="2116"/>
      <c r="M566" s="2116"/>
      <c r="N566" s="2116"/>
      <c r="O566" s="2114"/>
      <c r="P566" s="2117"/>
    </row>
    <row r="567" spans="1:16" s="2105" customFormat="1" outlineLevel="1">
      <c r="A567" s="2108" t="str">
        <f t="shared" si="83"/>
        <v>Máy biến áp 12,7/0,22-0,44kV  15kVA</v>
      </c>
      <c r="B567" s="2118" t="str">
        <f>IF($F$8=22,"TR151","TR15")</f>
        <v>TR151</v>
      </c>
      <c r="C567" s="2119">
        <f>IF(G567&gt;0,1,0)</f>
        <v>0</v>
      </c>
      <c r="D567" s="2120" t="s">
        <v>5583</v>
      </c>
      <c r="E567" s="2121" t="s">
        <v>3306</v>
      </c>
      <c r="F567" s="2120" t="s">
        <v>3300</v>
      </c>
      <c r="G567" s="2168">
        <f>$K$6*3</f>
        <v>0</v>
      </c>
      <c r="H567" s="2123">
        <v>25444000</v>
      </c>
      <c r="I567" s="2123"/>
      <c r="J567" s="2123">
        <v>546322</v>
      </c>
      <c r="K567" s="2123">
        <v>284508</v>
      </c>
      <c r="L567" s="2129">
        <f t="shared" ref="L567:L572" si="84">H567*G567</f>
        <v>0</v>
      </c>
      <c r="M567" s="2129">
        <f t="shared" ref="M567:M572" si="85">I567*G567</f>
        <v>0</v>
      </c>
      <c r="N567" s="2129">
        <f t="shared" ref="N567:N572" si="86">J567*G567</f>
        <v>0</v>
      </c>
      <c r="O567" s="2128">
        <f t="shared" ref="O567:O572" si="87">K567*G567</f>
        <v>0</v>
      </c>
      <c r="P567" s="2155"/>
    </row>
    <row r="568" spans="1:16" s="2105" customFormat="1" outlineLevel="1">
      <c r="A568" s="2108" t="str">
        <f t="shared" si="83"/>
        <v>FCO 24kV - 100A</v>
      </c>
      <c r="B568" s="2118" t="str">
        <f>"FCO100-"&amp;$F$8</f>
        <v>FCO100-22</v>
      </c>
      <c r="C568" s="2127">
        <f>IF(G568&gt;0,C567+1,C567)</f>
        <v>0</v>
      </c>
      <c r="D568" s="2120" t="s">
        <v>5598</v>
      </c>
      <c r="E568" s="2121" t="s">
        <v>95</v>
      </c>
      <c r="F568" s="2120" t="s">
        <v>2555</v>
      </c>
      <c r="G568" s="2127">
        <f>+G567</f>
        <v>0</v>
      </c>
      <c r="H568" s="2123">
        <v>2244280</v>
      </c>
      <c r="I568" s="2123"/>
      <c r="J568" s="2123">
        <v>222639.99999999997</v>
      </c>
      <c r="K568" s="2123">
        <v>0</v>
      </c>
      <c r="L568" s="2129">
        <f t="shared" si="84"/>
        <v>0</v>
      </c>
      <c r="M568" s="2129">
        <f t="shared" si="85"/>
        <v>0</v>
      </c>
      <c r="N568" s="2129">
        <f t="shared" si="86"/>
        <v>0</v>
      </c>
      <c r="O568" s="2128">
        <f t="shared" si="87"/>
        <v>0</v>
      </c>
      <c r="P568" s="2155"/>
    </row>
    <row r="569" spans="1:16" s="2105" customFormat="1" outlineLevel="1">
      <c r="A569" s="2108" t="str">
        <f t="shared" si="83"/>
        <v>Dây chảy 3K</v>
      </c>
      <c r="B569" s="2118" t="str">
        <f>IF($F$8=22,"CHI3K","CHI6K")</f>
        <v>CHI3K</v>
      </c>
      <c r="C569" s="2127">
        <f>IF(G569&gt;0,C568+1,C568)</f>
        <v>0</v>
      </c>
      <c r="D569" s="2120">
        <v>0</v>
      </c>
      <c r="E569" s="2121" t="s">
        <v>3422</v>
      </c>
      <c r="F569" s="2120" t="s">
        <v>2600</v>
      </c>
      <c r="G569" s="2127">
        <f>G568</f>
        <v>0</v>
      </c>
      <c r="H569" s="2123">
        <v>84000</v>
      </c>
      <c r="I569" s="2123"/>
      <c r="J569" s="2123">
        <v>0</v>
      </c>
      <c r="K569" s="2123">
        <v>0</v>
      </c>
      <c r="L569" s="2129">
        <f t="shared" si="84"/>
        <v>0</v>
      </c>
      <c r="M569" s="2129">
        <f t="shared" si="85"/>
        <v>0</v>
      </c>
      <c r="N569" s="2129">
        <f t="shared" si="86"/>
        <v>0</v>
      </c>
      <c r="O569" s="2128">
        <f t="shared" si="87"/>
        <v>0</v>
      </c>
      <c r="P569" s="2155"/>
    </row>
    <row r="570" spans="1:16" s="2105" customFormat="1" outlineLevel="1">
      <c r="A570" s="2108" t="str">
        <f t="shared" si="83"/>
        <v>Chống sét van LA-18KV-10KA</v>
      </c>
      <c r="B570" s="2130" t="str">
        <f>"LA"&amp;$F$6</f>
        <v>LA18</v>
      </c>
      <c r="C570" s="2127">
        <f>IF(G570&gt;0,C569+1,C569)</f>
        <v>0</v>
      </c>
      <c r="D570" s="2120" t="s">
        <v>5602</v>
      </c>
      <c r="E570" s="2121" t="s">
        <v>1193</v>
      </c>
      <c r="F570" s="2120" t="s">
        <v>2555</v>
      </c>
      <c r="G570" s="2127">
        <f>G568</f>
        <v>0</v>
      </c>
      <c r="H570" s="2123">
        <v>1106000</v>
      </c>
      <c r="I570" s="2123"/>
      <c r="J570" s="2123">
        <v>83490</v>
      </c>
      <c r="K570" s="2123">
        <v>0</v>
      </c>
      <c r="L570" s="2129">
        <f t="shared" si="84"/>
        <v>0</v>
      </c>
      <c r="M570" s="2129">
        <f t="shared" si="85"/>
        <v>0</v>
      </c>
      <c r="N570" s="2129">
        <f t="shared" si="86"/>
        <v>0</v>
      </c>
      <c r="O570" s="2128">
        <f t="shared" si="87"/>
        <v>0</v>
      </c>
      <c r="P570" s="2155"/>
    </row>
    <row r="571" spans="1:16" s="2105" customFormat="1" outlineLevel="1">
      <c r="A571" s="2108" t="str">
        <f t="shared" si="83"/>
        <v>MCCB 3 cực 400V-75A - 10KA</v>
      </c>
      <c r="B571" s="2132" t="s">
        <v>81</v>
      </c>
      <c r="C571" s="2127">
        <f>IF(G571&gt;0,C570+1,C570)</f>
        <v>0</v>
      </c>
      <c r="D571" s="2120">
        <v>0</v>
      </c>
      <c r="E571" s="2121" t="s">
        <v>5679</v>
      </c>
      <c r="F571" s="2120" t="s">
        <v>2555</v>
      </c>
      <c r="G571" s="2127">
        <f>G567/3</f>
        <v>0</v>
      </c>
      <c r="H571" s="2123">
        <v>2616000</v>
      </c>
      <c r="I571" s="2123"/>
      <c r="J571" s="2123">
        <v>0</v>
      </c>
      <c r="K571" s="2123">
        <v>0</v>
      </c>
      <c r="L571" s="2129">
        <f t="shared" si="84"/>
        <v>0</v>
      </c>
      <c r="M571" s="2129">
        <f t="shared" si="85"/>
        <v>0</v>
      </c>
      <c r="N571" s="2129">
        <f t="shared" si="86"/>
        <v>0</v>
      </c>
      <c r="O571" s="2128">
        <f t="shared" si="87"/>
        <v>0</v>
      </c>
      <c r="P571" s="2155"/>
    </row>
    <row r="572" spans="1:16" s="2105" customFormat="1" outlineLevel="1">
      <c r="A572" s="2108" t="str">
        <f t="shared" si="83"/>
        <v>Điện kế 3 pha 4 dây 220/380V-50(100)A</v>
      </c>
      <c r="B572" s="2133" t="s">
        <v>1391</v>
      </c>
      <c r="C572" s="2127">
        <f>IF(G572&gt;0,C571+1,C571)</f>
        <v>0</v>
      </c>
      <c r="D572" s="2120">
        <v>0</v>
      </c>
      <c r="E572" s="2121" t="s">
        <v>3440</v>
      </c>
      <c r="F572" s="2120" t="s">
        <v>2555</v>
      </c>
      <c r="G572" s="2127">
        <f>G569/3</f>
        <v>0</v>
      </c>
      <c r="H572" s="2123"/>
      <c r="I572" s="2123"/>
      <c r="J572" s="2123"/>
      <c r="K572" s="2123">
        <v>0</v>
      </c>
      <c r="L572" s="2129">
        <f t="shared" si="84"/>
        <v>0</v>
      </c>
      <c r="M572" s="2129">
        <f t="shared" si="85"/>
        <v>0</v>
      </c>
      <c r="N572" s="2129">
        <f t="shared" si="86"/>
        <v>0</v>
      </c>
      <c r="O572" s="2128">
        <f t="shared" si="87"/>
        <v>0</v>
      </c>
      <c r="P572" s="2179" t="s">
        <v>2601</v>
      </c>
    </row>
    <row r="573" spans="1:16" s="2105" customFormat="1" outlineLevel="1">
      <c r="A573" s="2108" t="e">
        <f t="shared" si="83"/>
        <v>#N/A</v>
      </c>
      <c r="B573" s="2130"/>
      <c r="C573" s="2135"/>
      <c r="D573" s="2196"/>
      <c r="E573" s="2117"/>
      <c r="F573" s="2135"/>
      <c r="G573" s="2135"/>
      <c r="H573" s="2135"/>
      <c r="I573" s="2135"/>
      <c r="J573" s="2117" t="s">
        <v>6121</v>
      </c>
      <c r="K573" s="2135"/>
      <c r="L573" s="2117">
        <f>SUM(L567:L572)</f>
        <v>0</v>
      </c>
      <c r="M573" s="2117"/>
      <c r="N573" s="2117">
        <f>SUM(N567:N572)</f>
        <v>0</v>
      </c>
      <c r="O573" s="2117">
        <f>SUM(O567:O572)</f>
        <v>0</v>
      </c>
      <c r="P573" s="2197"/>
    </row>
    <row r="574" spans="1:16" s="2105" customFormat="1" outlineLevel="1">
      <c r="A574" s="2108" t="e">
        <f t="shared" si="83"/>
        <v>#N/A</v>
      </c>
      <c r="B574" s="2130"/>
      <c r="C574" s="2137"/>
      <c r="D574" s="2198"/>
      <c r="E574" s="2139" t="s">
        <v>3673</v>
      </c>
      <c r="F574" s="2139"/>
      <c r="G574" s="2139"/>
      <c r="H574" s="2139"/>
      <c r="I574" s="2139"/>
      <c r="J574" s="2139"/>
      <c r="K574" s="2139"/>
      <c r="L574" s="2139"/>
      <c r="M574" s="2139"/>
      <c r="N574" s="2139"/>
      <c r="O574" s="2138"/>
      <c r="P574" s="2170"/>
    </row>
    <row r="575" spans="1:16" s="2105" customFormat="1" outlineLevel="1">
      <c r="A575" s="2108" t="e">
        <f t="shared" si="83"/>
        <v>#N/A</v>
      </c>
      <c r="B575" s="2130"/>
      <c r="C575" s="2143">
        <f>IF(G575&gt;0,1,0)</f>
        <v>0</v>
      </c>
      <c r="D575" s="2199"/>
      <c r="E575" s="2200" t="s">
        <v>3692</v>
      </c>
      <c r="F575" s="2143" t="s">
        <v>2385</v>
      </c>
      <c r="G575" s="2143">
        <f>G567/3</f>
        <v>0</v>
      </c>
      <c r="H575" s="2201"/>
      <c r="I575" s="2201"/>
      <c r="J575" s="2201"/>
      <c r="K575" s="2201"/>
      <c r="L575" s="2201"/>
      <c r="M575" s="2201"/>
      <c r="N575" s="2201"/>
      <c r="O575" s="2143"/>
      <c r="P575" s="2169"/>
    </row>
    <row r="576" spans="1:16" s="2105" customFormat="1" ht="14.4" outlineLevel="1">
      <c r="A576" s="2108" t="e">
        <f t="shared" si="83"/>
        <v>#N/A</v>
      </c>
      <c r="B576" s="2130"/>
      <c r="C576" s="2142"/>
      <c r="D576" s="2202"/>
      <c r="E576" s="2172" t="s">
        <v>6133</v>
      </c>
      <c r="F576" s="2127"/>
      <c r="G576" s="2127"/>
      <c r="H576" s="2203"/>
      <c r="I576" s="2203"/>
      <c r="J576" s="2203"/>
      <c r="K576" s="2203"/>
      <c r="L576" s="2203"/>
      <c r="M576" s="2203"/>
      <c r="N576" s="2203"/>
      <c r="O576" s="2204"/>
      <c r="P576" s="2155"/>
    </row>
    <row r="577" spans="1:18" s="2105" customFormat="1" outlineLevel="1">
      <c r="A577" s="2108" t="str">
        <f t="shared" si="83"/>
        <v>Giá chùm treo máy biến áp 3x15</v>
      </c>
      <c r="B577" s="2133" t="s">
        <v>1586</v>
      </c>
      <c r="C577" s="2142"/>
      <c r="D577" s="2120">
        <v>0</v>
      </c>
      <c r="E577" s="2121" t="s">
        <v>5714</v>
      </c>
      <c r="F577" s="2120" t="s">
        <v>3457</v>
      </c>
      <c r="G577" s="2151">
        <f>G575*24.13*0+1*G575</f>
        <v>0</v>
      </c>
      <c r="H577" s="2123">
        <v>563000</v>
      </c>
      <c r="I577" s="2134"/>
      <c r="J577" s="2123">
        <v>0</v>
      </c>
      <c r="K577" s="2123">
        <v>0</v>
      </c>
      <c r="L577" s="2129">
        <f>H577*G577</f>
        <v>0</v>
      </c>
      <c r="M577" s="2129">
        <f t="shared" ref="M577:M651" si="88">I577*G577</f>
        <v>0</v>
      </c>
      <c r="N577" s="2129">
        <f>J577*G575</f>
        <v>0</v>
      </c>
      <c r="O577" s="2128">
        <f t="shared" ref="O577:O651" si="89">K577*G577</f>
        <v>0</v>
      </c>
      <c r="P577" s="2155"/>
    </row>
    <row r="578" spans="1:18" s="2105" customFormat="1" outlineLevel="1">
      <c r="A578" s="2108" t="str">
        <f t="shared" si="83"/>
        <v>Boulon 16x50+ 2 long đền vuông D18-50x50x3/Zn</v>
      </c>
      <c r="B578" s="2130" t="s">
        <v>1786</v>
      </c>
      <c r="C578" s="2142"/>
      <c r="D578" s="2120">
        <v>0</v>
      </c>
      <c r="E578" s="2121" t="s">
        <v>2639</v>
      </c>
      <c r="F578" s="2120" t="s">
        <v>2439</v>
      </c>
      <c r="G578" s="2127">
        <f>6*G575</f>
        <v>0</v>
      </c>
      <c r="H578" s="2123">
        <v>12400</v>
      </c>
      <c r="I578" s="2134"/>
      <c r="J578" s="2123">
        <v>0</v>
      </c>
      <c r="K578" s="2123">
        <v>0</v>
      </c>
      <c r="L578" s="2129">
        <f t="shared" ref="L578:L651" si="90">H578*G578</f>
        <v>0</v>
      </c>
      <c r="M578" s="2129">
        <f t="shared" si="88"/>
        <v>0</v>
      </c>
      <c r="N578" s="2129">
        <f t="shared" ref="N578:N651" si="91">J578*G578</f>
        <v>0</v>
      </c>
      <c r="O578" s="2128">
        <f t="shared" si="89"/>
        <v>0</v>
      </c>
      <c r="P578" s="2155"/>
    </row>
    <row r="579" spans="1:18" s="2105" customFormat="1" outlineLevel="1">
      <c r="A579" s="2108" t="str">
        <f t="shared" si="83"/>
        <v>Boulon 16x300+ 2 long đền vuông D18-50x50x3/Zn</v>
      </c>
      <c r="B579" s="2130" t="s">
        <v>1610</v>
      </c>
      <c r="C579" s="2142"/>
      <c r="D579" s="2120">
        <v>0</v>
      </c>
      <c r="E579" s="2121" t="s">
        <v>2649</v>
      </c>
      <c r="F579" s="2120" t="s">
        <v>2439</v>
      </c>
      <c r="G579" s="2127">
        <f>2*G575</f>
        <v>0</v>
      </c>
      <c r="H579" s="2123">
        <v>25400</v>
      </c>
      <c r="I579" s="2134"/>
      <c r="J579" s="2123">
        <v>0</v>
      </c>
      <c r="K579" s="2123">
        <v>0</v>
      </c>
      <c r="L579" s="2129">
        <f t="shared" si="90"/>
        <v>0</v>
      </c>
      <c r="M579" s="2129">
        <f t="shared" si="88"/>
        <v>0</v>
      </c>
      <c r="N579" s="2129">
        <f t="shared" si="91"/>
        <v>0</v>
      </c>
      <c r="O579" s="2128">
        <f t="shared" si="89"/>
        <v>0</v>
      </c>
      <c r="P579" s="2155"/>
    </row>
    <row r="580" spans="1:18" s="2105" customFormat="1" outlineLevel="1">
      <c r="A580" s="2108" t="e">
        <f t="shared" si="83"/>
        <v>#N/A</v>
      </c>
      <c r="B580" s="2130"/>
      <c r="C580" s="2145">
        <f>IF(G580&gt;0,C575+1,C575)</f>
        <v>0</v>
      </c>
      <c r="D580" s="2146"/>
      <c r="E580" s="2147" t="s">
        <v>6138</v>
      </c>
      <c r="F580" s="2142" t="s">
        <v>2385</v>
      </c>
      <c r="G580" s="2142"/>
      <c r="H580" s="2128"/>
      <c r="I580" s="2128"/>
      <c r="J580" s="2128"/>
      <c r="K580" s="2128"/>
      <c r="L580" s="2129">
        <f t="shared" si="90"/>
        <v>0</v>
      </c>
      <c r="M580" s="2129">
        <f t="shared" si="88"/>
        <v>0</v>
      </c>
      <c r="N580" s="2129">
        <f t="shared" si="91"/>
        <v>0</v>
      </c>
      <c r="O580" s="2128">
        <f t="shared" si="89"/>
        <v>0</v>
      </c>
      <c r="P580" s="2127"/>
    </row>
    <row r="581" spans="1:18" s="2105" customFormat="1" ht="14.4" outlineLevel="1">
      <c r="A581" s="2108" t="e">
        <f t="shared" si="83"/>
        <v>#N/A</v>
      </c>
      <c r="B581" s="2130"/>
      <c r="C581" s="2142"/>
      <c r="D581" s="2146"/>
      <c r="E581" s="2148" t="s">
        <v>6133</v>
      </c>
      <c r="F581" s="2127"/>
      <c r="G581" s="2127"/>
      <c r="H581" s="2128"/>
      <c r="I581" s="2128"/>
      <c r="J581" s="2128"/>
      <c r="K581" s="2128"/>
      <c r="L581" s="2129">
        <f t="shared" si="90"/>
        <v>0</v>
      </c>
      <c r="M581" s="2129">
        <f t="shared" si="88"/>
        <v>0</v>
      </c>
      <c r="N581" s="2129">
        <f t="shared" si="91"/>
        <v>0</v>
      </c>
      <c r="O581" s="2128">
        <f t="shared" si="89"/>
        <v>0</v>
      </c>
      <c r="P581" s="2127"/>
      <c r="R581" s="2149"/>
    </row>
    <row r="582" spans="1:18" s="2105" customFormat="1" outlineLevel="1">
      <c r="A582" s="2108" t="str">
        <f t="shared" si="83"/>
        <v>Trụ BTLT 12m F540 dự ứng lực</v>
      </c>
      <c r="B582" s="2133" t="s">
        <v>115</v>
      </c>
      <c r="C582" s="2127"/>
      <c r="D582" s="2120">
        <v>0</v>
      </c>
      <c r="E582" s="2121" t="s">
        <v>2992</v>
      </c>
      <c r="F582" s="2120" t="s">
        <v>2831</v>
      </c>
      <c r="G582" s="2127">
        <f>1*G580</f>
        <v>0</v>
      </c>
      <c r="H582" s="2123">
        <v>4400000</v>
      </c>
      <c r="I582" s="2123"/>
      <c r="J582" s="2123">
        <v>0</v>
      </c>
      <c r="K582" s="2123">
        <v>0</v>
      </c>
      <c r="L582" s="2129">
        <f t="shared" si="90"/>
        <v>0</v>
      </c>
      <c r="M582" s="2129">
        <f t="shared" si="88"/>
        <v>0</v>
      </c>
      <c r="N582" s="2129">
        <f t="shared" si="91"/>
        <v>0</v>
      </c>
      <c r="O582" s="2128">
        <f t="shared" si="89"/>
        <v>0</v>
      </c>
      <c r="P582" s="2127"/>
      <c r="R582" s="2149"/>
    </row>
    <row r="583" spans="1:18" s="2105" customFormat="1" outlineLevel="1">
      <c r="A583" s="2108" t="str">
        <f t="shared" si="83"/>
        <v>Vật liệu dựng trụ</v>
      </c>
      <c r="B583" s="2133" t="s">
        <v>1814</v>
      </c>
      <c r="C583" s="2127"/>
      <c r="D583" s="2150"/>
      <c r="E583" s="2121" t="s">
        <v>2830</v>
      </c>
      <c r="F583" s="2120" t="s">
        <v>2831</v>
      </c>
      <c r="G583" s="2127">
        <f>G582</f>
        <v>0</v>
      </c>
      <c r="H583" s="2123">
        <v>17400</v>
      </c>
      <c r="I583" s="2123"/>
      <c r="J583" s="2123">
        <v>0</v>
      </c>
      <c r="K583" s="2123">
        <v>0</v>
      </c>
      <c r="L583" s="2129">
        <f t="shared" si="90"/>
        <v>0</v>
      </c>
      <c r="M583" s="2129">
        <f t="shared" si="88"/>
        <v>0</v>
      </c>
      <c r="N583" s="2129">
        <f t="shared" si="91"/>
        <v>0</v>
      </c>
      <c r="O583" s="2128">
        <f t="shared" si="89"/>
        <v>0</v>
      </c>
      <c r="P583" s="2127"/>
      <c r="R583" s="2149"/>
    </row>
    <row r="584" spans="1:18" s="2105" customFormat="1" outlineLevel="1">
      <c r="A584" s="2108" t="str">
        <f t="shared" si="83"/>
        <v>Dựng trụ BTLT 12m trong TBA bằng thủ công + cơ giới</v>
      </c>
      <c r="B584" s="2133" t="s">
        <v>2126</v>
      </c>
      <c r="C584" s="2127"/>
      <c r="D584" s="2150"/>
      <c r="E584" s="2121" t="s">
        <v>3167</v>
      </c>
      <c r="F584" s="2120" t="s">
        <v>2831</v>
      </c>
      <c r="G584" s="2127">
        <f>G582</f>
        <v>0</v>
      </c>
      <c r="H584" s="2123">
        <v>0</v>
      </c>
      <c r="I584" s="2123"/>
      <c r="J584" s="2123">
        <v>112286</v>
      </c>
      <c r="K584" s="2123">
        <v>105970</v>
      </c>
      <c r="L584" s="2129">
        <f t="shared" si="90"/>
        <v>0</v>
      </c>
      <c r="M584" s="2129">
        <f t="shared" si="88"/>
        <v>0</v>
      </c>
      <c r="N584" s="2129">
        <f t="shared" si="91"/>
        <v>0</v>
      </c>
      <c r="O584" s="2128">
        <f t="shared" si="89"/>
        <v>0</v>
      </c>
      <c r="P584" s="2127"/>
      <c r="R584" s="2149"/>
    </row>
    <row r="585" spans="1:18" s="2105" customFormat="1" outlineLevel="1">
      <c r="A585" s="2108" t="e">
        <f t="shared" si="83"/>
        <v>#N/A</v>
      </c>
      <c r="B585" s="2130"/>
      <c r="C585" s="2145">
        <f>IF(G585&gt;0,C580+1,C580)</f>
        <v>0</v>
      </c>
      <c r="D585" s="2146"/>
      <c r="E585" s="2147" t="s">
        <v>2352</v>
      </c>
      <c r="F585" s="2142" t="s">
        <v>2385</v>
      </c>
      <c r="G585" s="2142"/>
      <c r="H585" s="2128"/>
      <c r="I585" s="2128"/>
      <c r="J585" s="2128"/>
      <c r="K585" s="2128"/>
      <c r="L585" s="2129">
        <f t="shared" si="90"/>
        <v>0</v>
      </c>
      <c r="M585" s="2129">
        <f t="shared" si="88"/>
        <v>0</v>
      </c>
      <c r="N585" s="2129">
        <f t="shared" si="91"/>
        <v>0</v>
      </c>
      <c r="O585" s="2128">
        <f t="shared" si="89"/>
        <v>0</v>
      </c>
      <c r="P585" s="2127"/>
    </row>
    <row r="586" spans="1:18" s="2105" customFormat="1" ht="14.4" outlineLevel="1">
      <c r="A586" s="2108" t="e">
        <f t="shared" si="83"/>
        <v>#N/A</v>
      </c>
      <c r="B586" s="2130"/>
      <c r="C586" s="2142"/>
      <c r="D586" s="2146"/>
      <c r="E586" s="2148" t="s">
        <v>6133</v>
      </c>
      <c r="F586" s="2127"/>
      <c r="G586" s="2127"/>
      <c r="H586" s="2128"/>
      <c r="I586" s="2128"/>
      <c r="J586" s="2128"/>
      <c r="K586" s="2128"/>
      <c r="L586" s="2129">
        <f t="shared" si="90"/>
        <v>0</v>
      </c>
      <c r="M586" s="2129">
        <f t="shared" si="88"/>
        <v>0</v>
      </c>
      <c r="N586" s="2129">
        <f t="shared" si="91"/>
        <v>0</v>
      </c>
      <c r="O586" s="2128">
        <f t="shared" si="89"/>
        <v>0</v>
      </c>
      <c r="P586" s="2127"/>
      <c r="R586" s="2149"/>
    </row>
    <row r="587" spans="1:18" s="2105" customFormat="1" outlineLevel="1">
      <c r="A587" s="2108" t="str">
        <f t="shared" si="83"/>
        <v>Đà cản BTCT 1,2m</v>
      </c>
      <c r="B587" s="2133" t="s">
        <v>230</v>
      </c>
      <c r="C587" s="2127"/>
      <c r="D587" s="2120" t="s">
        <v>5047</v>
      </c>
      <c r="E587" s="2121" t="s">
        <v>2607</v>
      </c>
      <c r="F587" s="2120" t="s">
        <v>2555</v>
      </c>
      <c r="G587" s="2127">
        <f>1*G585</f>
        <v>0</v>
      </c>
      <c r="H587" s="2123">
        <v>354545</v>
      </c>
      <c r="I587" s="2123"/>
      <c r="J587" s="2123">
        <v>37220.25</v>
      </c>
      <c r="K587" s="2123">
        <v>0</v>
      </c>
      <c r="L587" s="2129">
        <f t="shared" si="90"/>
        <v>0</v>
      </c>
      <c r="M587" s="2129">
        <f t="shared" si="88"/>
        <v>0</v>
      </c>
      <c r="N587" s="2129">
        <f t="shared" si="91"/>
        <v>0</v>
      </c>
      <c r="O587" s="2128">
        <f t="shared" si="89"/>
        <v>0</v>
      </c>
      <c r="P587" s="2127"/>
      <c r="R587" s="2149"/>
    </row>
    <row r="588" spans="1:18" s="2105" customFormat="1" outlineLevel="1">
      <c r="A588" s="2108" t="str">
        <f t="shared" si="83"/>
        <v>Boulon 22x650+ 2 long đền vuông D24-50x50x3/Zn</v>
      </c>
      <c r="B588" s="2133" t="s">
        <v>398</v>
      </c>
      <c r="C588" s="2127"/>
      <c r="D588" s="2120">
        <v>0</v>
      </c>
      <c r="E588" s="2121" t="s">
        <v>5072</v>
      </c>
      <c r="F588" s="2120" t="s">
        <v>2439</v>
      </c>
      <c r="G588" s="2127">
        <f>G585</f>
        <v>0</v>
      </c>
      <c r="H588" s="2123">
        <v>92200</v>
      </c>
      <c r="I588" s="2123"/>
      <c r="J588" s="2123">
        <v>0</v>
      </c>
      <c r="K588" s="2123">
        <v>0</v>
      </c>
      <c r="L588" s="2129">
        <f t="shared" si="90"/>
        <v>0</v>
      </c>
      <c r="M588" s="2129">
        <f t="shared" si="88"/>
        <v>0</v>
      </c>
      <c r="N588" s="2129">
        <f t="shared" si="91"/>
        <v>0</v>
      </c>
      <c r="O588" s="2128">
        <f t="shared" si="89"/>
        <v>0</v>
      </c>
      <c r="P588" s="2127"/>
      <c r="R588" s="2149"/>
    </row>
    <row r="589" spans="1:18" s="2105" customFormat="1" outlineLevel="1">
      <c r="A589" s="2108" t="str">
        <f t="shared" si="83"/>
        <v>Đào hố móng đất cấp 3 sâu &gt;1m</v>
      </c>
      <c r="B589" s="2133" t="s">
        <v>639</v>
      </c>
      <c r="C589" s="2127"/>
      <c r="D589" s="2120" t="s">
        <v>1747</v>
      </c>
      <c r="E589" s="2121" t="s">
        <v>5324</v>
      </c>
      <c r="F589" s="2120" t="s">
        <v>856</v>
      </c>
      <c r="G589" s="2151">
        <f>G585*1.45</f>
        <v>0</v>
      </c>
      <c r="H589" s="2123">
        <v>0</v>
      </c>
      <c r="I589" s="2123"/>
      <c r="J589" s="2123">
        <v>296500.89999999997</v>
      </c>
      <c r="K589" s="2123">
        <v>0</v>
      </c>
      <c r="L589" s="2129">
        <f t="shared" si="90"/>
        <v>0</v>
      </c>
      <c r="M589" s="2129">
        <f t="shared" si="88"/>
        <v>0</v>
      </c>
      <c r="N589" s="2129">
        <f t="shared" si="91"/>
        <v>0</v>
      </c>
      <c r="O589" s="2128">
        <f t="shared" si="89"/>
        <v>0</v>
      </c>
      <c r="P589" s="2127"/>
      <c r="R589" s="2149"/>
    </row>
    <row r="590" spans="1:18" s="2105" customFormat="1" outlineLevel="1">
      <c r="A590" s="2108" t="str">
        <f t="shared" si="83"/>
        <v>Đắp đất hố móng, độ chặt k=0,95</v>
      </c>
      <c r="B590" s="2133" t="s">
        <v>21</v>
      </c>
      <c r="C590" s="2127"/>
      <c r="D590" s="2120" t="s">
        <v>5325</v>
      </c>
      <c r="E590" s="2121" t="s">
        <v>5326</v>
      </c>
      <c r="F590" s="2120" t="s">
        <v>856</v>
      </c>
      <c r="G590" s="2151">
        <f>G585*1.37</f>
        <v>0</v>
      </c>
      <c r="H590" s="2123">
        <v>0</v>
      </c>
      <c r="I590" s="2123"/>
      <c r="J590" s="2123">
        <v>117703.6</v>
      </c>
      <c r="K590" s="2123">
        <v>0</v>
      </c>
      <c r="L590" s="2129">
        <f t="shared" si="90"/>
        <v>0</v>
      </c>
      <c r="M590" s="2129">
        <f t="shared" si="88"/>
        <v>0</v>
      </c>
      <c r="N590" s="2129">
        <f t="shared" si="91"/>
        <v>0</v>
      </c>
      <c r="O590" s="2128">
        <f t="shared" si="89"/>
        <v>0</v>
      </c>
      <c r="P590" s="2127"/>
      <c r="R590" s="2149"/>
    </row>
    <row r="591" spans="1:18" s="2105" customFormat="1" outlineLevel="1">
      <c r="A591" s="2108" t="e">
        <f t="shared" si="83"/>
        <v>#N/A</v>
      </c>
      <c r="B591" s="2133" t="s">
        <v>6159</v>
      </c>
      <c r="C591" s="2142">
        <f>IF(G591&gt;0,C585+1,C585)</f>
        <v>0</v>
      </c>
      <c r="D591" s="2202"/>
      <c r="E591" s="2171" t="s">
        <v>6160</v>
      </c>
      <c r="F591" s="2142" t="s">
        <v>2385</v>
      </c>
      <c r="G591" s="2142">
        <f>G575</f>
        <v>0</v>
      </c>
      <c r="H591" s="2128"/>
      <c r="I591" s="2128"/>
      <c r="J591" s="2128"/>
      <c r="K591" s="2128"/>
      <c r="L591" s="2129">
        <f t="shared" si="90"/>
        <v>0</v>
      </c>
      <c r="M591" s="2129">
        <f t="shared" si="88"/>
        <v>0</v>
      </c>
      <c r="N591" s="2129">
        <f t="shared" si="91"/>
        <v>0</v>
      </c>
      <c r="O591" s="2128">
        <f t="shared" si="89"/>
        <v>0</v>
      </c>
      <c r="P591" s="2155"/>
    </row>
    <row r="592" spans="1:18" s="2105" customFormat="1" outlineLevel="1">
      <c r="A592" s="2108" t="str">
        <f t="shared" si="83"/>
        <v>Đà Composite 110x80x5x2400</v>
      </c>
      <c r="B592" s="2133" t="s">
        <v>5151</v>
      </c>
      <c r="C592" s="2127"/>
      <c r="D592" s="2120">
        <v>0</v>
      </c>
      <c r="E592" s="2121" t="s">
        <v>5152</v>
      </c>
      <c r="F592" s="2120" t="s">
        <v>2590</v>
      </c>
      <c r="G592" s="2127">
        <f>G591</f>
        <v>0</v>
      </c>
      <c r="H592" s="2123">
        <v>960000</v>
      </c>
      <c r="I592" s="2123"/>
      <c r="J592" s="2123">
        <v>0</v>
      </c>
      <c r="K592" s="2123">
        <v>0</v>
      </c>
      <c r="L592" s="2129">
        <f t="shared" si="90"/>
        <v>0</v>
      </c>
      <c r="M592" s="2129">
        <f t="shared" si="88"/>
        <v>0</v>
      </c>
      <c r="N592" s="2129">
        <f t="shared" si="91"/>
        <v>0</v>
      </c>
      <c r="O592" s="2128">
        <f t="shared" si="89"/>
        <v>0</v>
      </c>
      <c r="P592" s="2127"/>
      <c r="R592" s="2149"/>
    </row>
    <row r="593" spans="1:18" s="2105" customFormat="1" outlineLevel="1">
      <c r="A593" s="2108" t="str">
        <f t="shared" si="83"/>
        <v>Chống Composite 40x10x920</v>
      </c>
      <c r="B593" s="2133" t="s">
        <v>5158</v>
      </c>
      <c r="C593" s="2127"/>
      <c r="D593" s="2120">
        <v>0</v>
      </c>
      <c r="E593" s="2121" t="s">
        <v>5159</v>
      </c>
      <c r="F593" s="2120" t="s">
        <v>5160</v>
      </c>
      <c r="G593" s="2127">
        <f>G592*2</f>
        <v>0</v>
      </c>
      <c r="H593" s="2123">
        <v>140000</v>
      </c>
      <c r="I593" s="2123"/>
      <c r="J593" s="2123">
        <v>0</v>
      </c>
      <c r="K593" s="2123">
        <v>0</v>
      </c>
      <c r="L593" s="2129">
        <f t="shared" si="90"/>
        <v>0</v>
      </c>
      <c r="M593" s="2129">
        <f t="shared" si="88"/>
        <v>0</v>
      </c>
      <c r="N593" s="2129">
        <f t="shared" si="91"/>
        <v>0</v>
      </c>
      <c r="O593" s="2128">
        <f t="shared" si="89"/>
        <v>0</v>
      </c>
      <c r="P593" s="2127"/>
      <c r="R593" s="2149"/>
    </row>
    <row r="594" spans="1:18" s="2105" customFormat="1" outlineLevel="1">
      <c r="A594" s="2108" t="str">
        <f t="shared" si="83"/>
        <v>Bass LL bắt FCO, LA</v>
      </c>
      <c r="B594" s="2130" t="s">
        <v>488</v>
      </c>
      <c r="C594" s="2127"/>
      <c r="D594" s="2120">
        <v>0</v>
      </c>
      <c r="E594" s="2121" t="s">
        <v>5078</v>
      </c>
      <c r="F594" s="2120" t="s">
        <v>2439</v>
      </c>
      <c r="G594" s="2127">
        <f>G591*3</f>
        <v>0</v>
      </c>
      <c r="H594" s="2123">
        <v>65000</v>
      </c>
      <c r="I594" s="2123"/>
      <c r="J594" s="2123">
        <v>0</v>
      </c>
      <c r="K594" s="2123">
        <v>0</v>
      </c>
      <c r="L594" s="2129">
        <f t="shared" si="90"/>
        <v>0</v>
      </c>
      <c r="M594" s="2129">
        <f t="shared" si="88"/>
        <v>0</v>
      </c>
      <c r="N594" s="2129">
        <f t="shared" si="91"/>
        <v>0</v>
      </c>
      <c r="O594" s="2128">
        <f t="shared" si="89"/>
        <v>0</v>
      </c>
      <c r="P594" s="2127"/>
      <c r="R594" s="2149"/>
    </row>
    <row r="595" spans="1:18" s="2105" customFormat="1" outlineLevel="1">
      <c r="A595" s="2108" t="str">
        <f t="shared" ref="A595:A626" si="92">VLOOKUP(B595,DonGia,3,0)</f>
        <v>Boulon 16x350+ 2 long đền vuông D18-50x50x3/Zn</v>
      </c>
      <c r="B595" s="2133" t="s">
        <v>1079</v>
      </c>
      <c r="C595" s="2127"/>
      <c r="D595" s="2120">
        <v>0</v>
      </c>
      <c r="E595" s="2121" t="s">
        <v>2651</v>
      </c>
      <c r="F595" s="2120" t="s">
        <v>2439</v>
      </c>
      <c r="G595" s="2127">
        <f>+G592*1</f>
        <v>0</v>
      </c>
      <c r="H595" s="2123">
        <v>27900</v>
      </c>
      <c r="I595" s="2123"/>
      <c r="J595" s="2123">
        <v>0</v>
      </c>
      <c r="K595" s="2123">
        <v>0</v>
      </c>
      <c r="L595" s="2129">
        <f t="shared" si="90"/>
        <v>0</v>
      </c>
      <c r="M595" s="2129">
        <f t="shared" si="88"/>
        <v>0</v>
      </c>
      <c r="N595" s="2129">
        <f t="shared" si="91"/>
        <v>0</v>
      </c>
      <c r="O595" s="2128">
        <f t="shared" si="89"/>
        <v>0</v>
      </c>
      <c r="P595" s="2127"/>
      <c r="R595" s="2149"/>
    </row>
    <row r="596" spans="1:18" s="2105" customFormat="1" outlineLevel="1">
      <c r="A596" s="2108" t="str">
        <f t="shared" si="92"/>
        <v>Boulon 16x300+ 2 long đền vuông D18-50x50x3/Zn</v>
      </c>
      <c r="B596" s="2133" t="s">
        <v>1610</v>
      </c>
      <c r="C596" s="2127"/>
      <c r="D596" s="2120">
        <v>0</v>
      </c>
      <c r="E596" s="2121" t="s">
        <v>2649</v>
      </c>
      <c r="F596" s="2120" t="s">
        <v>2439</v>
      </c>
      <c r="G596" s="2127">
        <f>+G592*1</f>
        <v>0</v>
      </c>
      <c r="H596" s="2123">
        <v>25400</v>
      </c>
      <c r="I596" s="2123"/>
      <c r="J596" s="2123">
        <v>0</v>
      </c>
      <c r="K596" s="2123">
        <v>0</v>
      </c>
      <c r="L596" s="2129">
        <f t="shared" si="90"/>
        <v>0</v>
      </c>
      <c r="M596" s="2129">
        <f t="shared" si="88"/>
        <v>0</v>
      </c>
      <c r="N596" s="2129">
        <f t="shared" si="91"/>
        <v>0</v>
      </c>
      <c r="O596" s="2128">
        <f t="shared" si="89"/>
        <v>0</v>
      </c>
      <c r="P596" s="2127"/>
      <c r="R596" s="2149"/>
    </row>
    <row r="597" spans="1:18" s="2105" customFormat="1" outlineLevel="1">
      <c r="A597" s="2108" t="str">
        <f t="shared" si="92"/>
        <v>Boulon 16x150+ 2 long đền vuông D18-50x50x3/Zn</v>
      </c>
      <c r="B597" s="2133" t="s">
        <v>244</v>
      </c>
      <c r="C597" s="2127"/>
      <c r="D597" s="2120">
        <v>0</v>
      </c>
      <c r="E597" s="2121" t="s">
        <v>2641</v>
      </c>
      <c r="F597" s="2120" t="s">
        <v>2439</v>
      </c>
      <c r="G597" s="2127">
        <f>+G592*2</f>
        <v>0</v>
      </c>
      <c r="H597" s="2123">
        <v>18900</v>
      </c>
      <c r="I597" s="2123"/>
      <c r="J597" s="2123">
        <v>0</v>
      </c>
      <c r="K597" s="2123">
        <v>0</v>
      </c>
      <c r="L597" s="2129">
        <f t="shared" si="90"/>
        <v>0</v>
      </c>
      <c r="M597" s="2129">
        <f t="shared" si="88"/>
        <v>0</v>
      </c>
      <c r="N597" s="2129">
        <f t="shared" si="91"/>
        <v>0</v>
      </c>
      <c r="O597" s="2128">
        <f t="shared" si="89"/>
        <v>0</v>
      </c>
      <c r="P597" s="2127"/>
      <c r="R597" s="2149"/>
    </row>
    <row r="598" spans="1:18" s="2105" customFormat="1" outlineLevel="1">
      <c r="A598" s="2108" t="str">
        <f t="shared" si="92"/>
        <v>Lắp xà đỡ ≤ 50kg</v>
      </c>
      <c r="B598" s="2130" t="s">
        <v>516</v>
      </c>
      <c r="C598" s="2142"/>
      <c r="D598" s="2120" t="s">
        <v>5421</v>
      </c>
      <c r="E598" s="2121" t="s">
        <v>5422</v>
      </c>
      <c r="F598" s="2120" t="s">
        <v>2439</v>
      </c>
      <c r="G598" s="2127">
        <f>G591</f>
        <v>0</v>
      </c>
      <c r="H598" s="2123">
        <v>0</v>
      </c>
      <c r="I598" s="2134"/>
      <c r="J598" s="2153" t="s">
        <v>6326</v>
      </c>
      <c r="K598" s="2123">
        <v>0</v>
      </c>
      <c r="L598" s="2129">
        <f t="shared" si="90"/>
        <v>0</v>
      </c>
      <c r="M598" s="2129">
        <f t="shared" si="88"/>
        <v>0</v>
      </c>
      <c r="N598" s="2123">
        <v>0</v>
      </c>
      <c r="O598" s="2128">
        <f t="shared" si="89"/>
        <v>0</v>
      </c>
      <c r="P598" s="2155"/>
    </row>
    <row r="599" spans="1:18" s="2105" customFormat="1" outlineLevel="1">
      <c r="A599" s="2108" t="e">
        <f t="shared" si="92"/>
        <v>#N/A</v>
      </c>
      <c r="B599" s="2130"/>
      <c r="C599" s="2142">
        <f>IF(G599&gt;0,C585+1,C585)</f>
        <v>0</v>
      </c>
      <c r="D599" s="2202"/>
      <c r="E599" s="2171" t="s">
        <v>6161</v>
      </c>
      <c r="F599" s="2142" t="s">
        <v>2385</v>
      </c>
      <c r="G599" s="2142">
        <f>+G575</f>
        <v>0</v>
      </c>
      <c r="H599" s="2128"/>
      <c r="I599" s="2134"/>
      <c r="J599" s="2134"/>
      <c r="K599" s="2134"/>
      <c r="L599" s="2129">
        <f t="shared" si="90"/>
        <v>0</v>
      </c>
      <c r="M599" s="2129">
        <f t="shared" si="88"/>
        <v>0</v>
      </c>
      <c r="N599" s="2129">
        <f t="shared" si="91"/>
        <v>0</v>
      </c>
      <c r="O599" s="2128">
        <f t="shared" si="89"/>
        <v>0</v>
      </c>
      <c r="P599" s="2155"/>
    </row>
    <row r="600" spans="1:18" s="2105" customFormat="1" ht="14.4" outlineLevel="1">
      <c r="A600" s="2108" t="e">
        <f t="shared" si="92"/>
        <v>#N/A</v>
      </c>
      <c r="B600" s="2130"/>
      <c r="C600" s="2142"/>
      <c r="D600" s="2202"/>
      <c r="E600" s="2172" t="s">
        <v>6133</v>
      </c>
      <c r="F600" s="2127"/>
      <c r="G600" s="2127"/>
      <c r="H600" s="2128"/>
      <c r="I600" s="2134"/>
      <c r="J600" s="2134"/>
      <c r="K600" s="2134"/>
      <c r="L600" s="2129">
        <f t="shared" si="90"/>
        <v>0</v>
      </c>
      <c r="M600" s="2129">
        <f t="shared" si="88"/>
        <v>0</v>
      </c>
      <c r="N600" s="2129">
        <f t="shared" si="91"/>
        <v>0</v>
      </c>
      <c r="O600" s="2128">
        <f t="shared" si="89"/>
        <v>0</v>
      </c>
      <c r="P600" s="2155"/>
    </row>
    <row r="601" spans="1:18" s="2105" customFormat="1" outlineLevel="1">
      <c r="A601" s="2108" t="str">
        <f t="shared" si="92"/>
        <v>Sắt góc L75 x75 x8</v>
      </c>
      <c r="B601" s="2133" t="s">
        <v>109</v>
      </c>
      <c r="C601" s="2142"/>
      <c r="D601" s="2120">
        <v>0</v>
      </c>
      <c r="E601" s="2121" t="s">
        <v>2437</v>
      </c>
      <c r="F601" s="2120" t="s">
        <v>2248</v>
      </c>
      <c r="G601" s="2151">
        <f>G599*9.02*(2.2+4*0.07)</f>
        <v>0</v>
      </c>
      <c r="H601" s="2123">
        <v>31625</v>
      </c>
      <c r="I601" s="2134"/>
      <c r="J601" s="2123">
        <v>0</v>
      </c>
      <c r="K601" s="2123">
        <v>0</v>
      </c>
      <c r="L601" s="2129">
        <f t="shared" si="90"/>
        <v>0</v>
      </c>
      <c r="M601" s="2129">
        <f t="shared" si="88"/>
        <v>0</v>
      </c>
      <c r="N601" s="2129">
        <f t="shared" si="91"/>
        <v>0</v>
      </c>
      <c r="O601" s="2128">
        <f t="shared" si="89"/>
        <v>0</v>
      </c>
      <c r="P601" s="2155"/>
    </row>
    <row r="602" spans="1:18" s="2105" customFormat="1" outlineLevel="1">
      <c r="A602" s="2108" t="str">
        <f t="shared" si="92"/>
        <v>Sắt góc L50 x50 x5</v>
      </c>
      <c r="B602" s="2130" t="s">
        <v>457</v>
      </c>
      <c r="C602" s="2142"/>
      <c r="D602" s="2120">
        <v>0</v>
      </c>
      <c r="E602" s="2121" t="s">
        <v>2956</v>
      </c>
      <c r="F602" s="2120" t="s">
        <v>2248</v>
      </c>
      <c r="G602" s="2151">
        <f>G599*2*3.77*0.81</f>
        <v>0</v>
      </c>
      <c r="H602" s="2123">
        <v>31625</v>
      </c>
      <c r="I602" s="2134"/>
      <c r="J602" s="2123">
        <v>0</v>
      </c>
      <c r="K602" s="2123">
        <v>0</v>
      </c>
      <c r="L602" s="2129">
        <f t="shared" si="90"/>
        <v>0</v>
      </c>
      <c r="M602" s="2129">
        <f t="shared" si="88"/>
        <v>0</v>
      </c>
      <c r="N602" s="2129">
        <f t="shared" si="91"/>
        <v>0</v>
      </c>
      <c r="O602" s="2128">
        <f t="shared" si="89"/>
        <v>0</v>
      </c>
      <c r="P602" s="2155"/>
    </row>
    <row r="603" spans="1:18" s="2105" customFormat="1" outlineLevel="1">
      <c r="A603" s="2108" t="str">
        <f t="shared" si="92"/>
        <v>Boulon 16x50+ 2 long đền vuông D18-50x50x3/Zn</v>
      </c>
      <c r="B603" s="2130" t="s">
        <v>1786</v>
      </c>
      <c r="C603" s="2142"/>
      <c r="D603" s="2120">
        <v>0</v>
      </c>
      <c r="E603" s="2121" t="s">
        <v>2639</v>
      </c>
      <c r="F603" s="2120" t="s">
        <v>2439</v>
      </c>
      <c r="G603" s="2127">
        <f>4*G599</f>
        <v>0</v>
      </c>
      <c r="H603" s="2123">
        <v>12400</v>
      </c>
      <c r="I603" s="2134"/>
      <c r="J603" s="2123">
        <v>0</v>
      </c>
      <c r="K603" s="2123">
        <v>0</v>
      </c>
      <c r="L603" s="2129">
        <f t="shared" si="90"/>
        <v>0</v>
      </c>
      <c r="M603" s="2129">
        <f t="shared" si="88"/>
        <v>0</v>
      </c>
      <c r="N603" s="2129">
        <f t="shared" si="91"/>
        <v>0</v>
      </c>
      <c r="O603" s="2128">
        <f t="shared" si="89"/>
        <v>0</v>
      </c>
      <c r="P603" s="2155"/>
    </row>
    <row r="604" spans="1:18" s="2105" customFormat="1" outlineLevel="1">
      <c r="A604" s="2108" t="str">
        <f t="shared" si="92"/>
        <v>Boulon 16x250+ 2 long đền vuông D18-50x50x3/Zn</v>
      </c>
      <c r="B604" s="2130" t="s">
        <v>1609</v>
      </c>
      <c r="C604" s="2142"/>
      <c r="D604" s="2120">
        <v>0</v>
      </c>
      <c r="E604" s="2121" t="s">
        <v>2645</v>
      </c>
      <c r="F604" s="2120" t="s">
        <v>2439</v>
      </c>
      <c r="G604" s="2127">
        <f>2*G599</f>
        <v>0</v>
      </c>
      <c r="H604" s="2123">
        <v>13400</v>
      </c>
      <c r="I604" s="2134"/>
      <c r="J604" s="2123">
        <v>0</v>
      </c>
      <c r="K604" s="2123">
        <v>0</v>
      </c>
      <c r="L604" s="2129">
        <f t="shared" si="90"/>
        <v>0</v>
      </c>
      <c r="M604" s="2129">
        <f t="shared" si="88"/>
        <v>0</v>
      </c>
      <c r="N604" s="2129">
        <f t="shared" si="91"/>
        <v>0</v>
      </c>
      <c r="O604" s="2128">
        <f t="shared" si="89"/>
        <v>0</v>
      </c>
      <c r="P604" s="2155"/>
    </row>
    <row r="605" spans="1:18" s="2105" customFormat="1" outlineLevel="1">
      <c r="A605" s="2108" t="str">
        <f t="shared" si="92"/>
        <v>Lắp xà đỡ ≤ 50kg</v>
      </c>
      <c r="B605" s="2130" t="s">
        <v>516</v>
      </c>
      <c r="C605" s="2142"/>
      <c r="D605" s="2120" t="s">
        <v>5421</v>
      </c>
      <c r="E605" s="2121" t="s">
        <v>5422</v>
      </c>
      <c r="F605" s="2120" t="s">
        <v>2439</v>
      </c>
      <c r="G605" s="2127">
        <f>G599</f>
        <v>0</v>
      </c>
      <c r="H605" s="2123">
        <v>0</v>
      </c>
      <c r="I605" s="2134"/>
      <c r="J605" s="2153" t="s">
        <v>6326</v>
      </c>
      <c r="K605" s="2123">
        <v>0</v>
      </c>
      <c r="L605" s="2129">
        <f>H605*G605</f>
        <v>0</v>
      </c>
      <c r="M605" s="2129">
        <f>I605*G605</f>
        <v>0</v>
      </c>
      <c r="N605" s="2123">
        <v>0</v>
      </c>
      <c r="O605" s="2128">
        <f>K605*G605</f>
        <v>0</v>
      </c>
      <c r="P605" s="2155"/>
    </row>
    <row r="606" spans="1:18" s="2105" customFormat="1" outlineLevel="1">
      <c r="A606" s="2108" t="e">
        <f t="shared" si="92"/>
        <v>#N/A</v>
      </c>
      <c r="B606" s="2130"/>
      <c r="C606" s="2142">
        <f>IF(G606&gt;0,C599+1,C599)</f>
        <v>0</v>
      </c>
      <c r="D606" s="2202"/>
      <c r="E606" s="2171" t="s">
        <v>3694</v>
      </c>
      <c r="F606" s="2142" t="s">
        <v>2385</v>
      </c>
      <c r="G606" s="2142">
        <f>G575</f>
        <v>0</v>
      </c>
      <c r="H606" s="2128"/>
      <c r="I606" s="2134"/>
      <c r="J606" s="2134"/>
      <c r="K606" s="2134"/>
      <c r="L606" s="2129">
        <f t="shared" si="90"/>
        <v>0</v>
      </c>
      <c r="M606" s="2129">
        <f t="shared" si="88"/>
        <v>0</v>
      </c>
      <c r="N606" s="2129">
        <f t="shared" si="91"/>
        <v>0</v>
      </c>
      <c r="O606" s="2128">
        <f t="shared" si="89"/>
        <v>0</v>
      </c>
      <c r="P606" s="2155"/>
    </row>
    <row r="607" spans="1:18" s="2105" customFormat="1" ht="14.4" outlineLevel="1">
      <c r="A607" s="2108" t="e">
        <f t="shared" si="92"/>
        <v>#N/A</v>
      </c>
      <c r="B607" s="2130"/>
      <c r="C607" s="2142"/>
      <c r="D607" s="2202"/>
      <c r="E607" s="2172" t="s">
        <v>6162</v>
      </c>
      <c r="F607" s="2127"/>
      <c r="G607" s="2127"/>
      <c r="H607" s="2128"/>
      <c r="I607" s="2134"/>
      <c r="J607" s="2134"/>
      <c r="K607" s="2134"/>
      <c r="L607" s="2129">
        <f t="shared" si="90"/>
        <v>0</v>
      </c>
      <c r="M607" s="2129">
        <f t="shared" si="88"/>
        <v>0</v>
      </c>
      <c r="N607" s="2129">
        <f t="shared" si="91"/>
        <v>0</v>
      </c>
      <c r="O607" s="2128">
        <f t="shared" si="89"/>
        <v>0</v>
      </c>
      <c r="P607" s="2155"/>
    </row>
    <row r="608" spans="1:18" s="2105" customFormat="1" outlineLevel="1">
      <c r="A608" s="2108" t="str">
        <f t="shared" si="92"/>
        <v>Cáp đồng trần M25mm2</v>
      </c>
      <c r="B608" s="2130" t="s">
        <v>1033</v>
      </c>
      <c r="C608" s="2127"/>
      <c r="D608" s="2120">
        <v>0</v>
      </c>
      <c r="E608" s="2121" t="s">
        <v>2700</v>
      </c>
      <c r="F608" s="2120" t="s">
        <v>2248</v>
      </c>
      <c r="G608" s="2156">
        <f>$H$3*G606*0.224</f>
        <v>0</v>
      </c>
      <c r="H608" s="2123">
        <v>255500</v>
      </c>
      <c r="I608" s="2128"/>
      <c r="J608" s="2123">
        <v>0</v>
      </c>
      <c r="K608" s="2123">
        <v>0</v>
      </c>
      <c r="L608" s="2129">
        <f>H608*G608</f>
        <v>0</v>
      </c>
      <c r="M608" s="2129">
        <f t="shared" si="88"/>
        <v>0</v>
      </c>
      <c r="N608" s="2129">
        <f t="shared" si="91"/>
        <v>0</v>
      </c>
      <c r="O608" s="2128">
        <f t="shared" si="89"/>
        <v>0</v>
      </c>
      <c r="P608" s="2155"/>
    </row>
    <row r="609" spans="1:16" s="2105" customFormat="1" outlineLevel="1">
      <c r="A609" s="2108" t="str">
        <f t="shared" si="92"/>
        <v>Cọc tiếp đất Þ 16- 2,4m + kẹp cọc mạ đồng</v>
      </c>
      <c r="B609" s="2133" t="s">
        <v>1508</v>
      </c>
      <c r="C609" s="2127"/>
      <c r="D609" s="2120">
        <v>0</v>
      </c>
      <c r="E609" s="2121" t="s">
        <v>5163</v>
      </c>
      <c r="F609" s="2120" t="s">
        <v>2439</v>
      </c>
      <c r="G609" s="2127">
        <f>($H$2)*G606</f>
        <v>0</v>
      </c>
      <c r="H609" s="2123">
        <v>160000</v>
      </c>
      <c r="I609" s="2134"/>
      <c r="J609" s="2123">
        <v>0</v>
      </c>
      <c r="K609" s="2123">
        <v>0</v>
      </c>
      <c r="L609" s="2129">
        <f t="shared" si="90"/>
        <v>0</v>
      </c>
      <c r="M609" s="2129">
        <f t="shared" si="88"/>
        <v>0</v>
      </c>
      <c r="N609" s="2129">
        <f t="shared" si="91"/>
        <v>0</v>
      </c>
      <c r="O609" s="2128">
        <f t="shared" si="89"/>
        <v>0</v>
      </c>
      <c r="P609" s="2155"/>
    </row>
    <row r="610" spans="1:16" s="2105" customFormat="1" outlineLevel="1">
      <c r="A610" s="2108" t="str">
        <f t="shared" si="92"/>
        <v>Giếng tiếp địa khoan đá</v>
      </c>
      <c r="B610" s="2133" t="s">
        <v>3446</v>
      </c>
      <c r="C610" s="2127"/>
      <c r="D610" s="2120">
        <v>0</v>
      </c>
      <c r="E610" s="2121" t="s">
        <v>3447</v>
      </c>
      <c r="F610" s="2120" t="s">
        <v>3445</v>
      </c>
      <c r="G610" s="2127">
        <f>L3*G606</f>
        <v>0</v>
      </c>
      <c r="H610" s="2123">
        <v>0</v>
      </c>
      <c r="I610" s="2134"/>
      <c r="J610" s="2123">
        <v>2500000</v>
      </c>
      <c r="K610" s="2123">
        <v>0</v>
      </c>
      <c r="L610" s="2129">
        <f>H610*G610</f>
        <v>0</v>
      </c>
      <c r="M610" s="2129">
        <f>I610*G610</f>
        <v>0</v>
      </c>
      <c r="N610" s="2129">
        <f>J610*G610</f>
        <v>0</v>
      </c>
      <c r="O610" s="2128">
        <f>K610*G610</f>
        <v>0</v>
      </c>
      <c r="P610" s="2155"/>
    </row>
    <row r="611" spans="1:16" s="2105" customFormat="1" outlineLevel="1">
      <c r="A611" s="2108" t="str">
        <f t="shared" si="92"/>
        <v xml:space="preserve">Ống PVC D21x1,6mm </v>
      </c>
      <c r="B611" s="2133" t="s">
        <v>576</v>
      </c>
      <c r="C611" s="2127"/>
      <c r="D611" s="2120">
        <v>0</v>
      </c>
      <c r="E611" s="2121" t="s">
        <v>3536</v>
      </c>
      <c r="F611" s="2120" t="s">
        <v>1823</v>
      </c>
      <c r="G611" s="2127">
        <f>3*G606</f>
        <v>0</v>
      </c>
      <c r="H611" s="2123">
        <v>6200</v>
      </c>
      <c r="I611" s="2134"/>
      <c r="J611" s="2123">
        <v>0</v>
      </c>
      <c r="K611" s="2123">
        <v>0</v>
      </c>
      <c r="L611" s="2129">
        <f t="shared" si="90"/>
        <v>0</v>
      </c>
      <c r="M611" s="2129">
        <f t="shared" si="88"/>
        <v>0</v>
      </c>
      <c r="N611" s="2129">
        <f t="shared" si="91"/>
        <v>0</v>
      </c>
      <c r="O611" s="2128">
        <f t="shared" si="89"/>
        <v>0</v>
      </c>
      <c r="P611" s="2155"/>
    </row>
    <row r="612" spans="1:16" s="2105" customFormat="1" outlineLevel="1">
      <c r="A612" s="2108" t="str">
        <f t="shared" si="92"/>
        <v>Kẹp ép WR cỡ dây 50mm2</v>
      </c>
      <c r="B612" s="2130" t="s">
        <v>1579</v>
      </c>
      <c r="C612" s="2127"/>
      <c r="D612" s="2120">
        <v>0</v>
      </c>
      <c r="E612" s="2121" t="s">
        <v>2873</v>
      </c>
      <c r="F612" s="2120" t="s">
        <v>2555</v>
      </c>
      <c r="G612" s="2127">
        <f>2*G606</f>
        <v>0</v>
      </c>
      <c r="H612" s="2123">
        <v>8000</v>
      </c>
      <c r="I612" s="2123"/>
      <c r="J612" s="2123">
        <v>0</v>
      </c>
      <c r="K612" s="2123">
        <v>0</v>
      </c>
      <c r="L612" s="2129">
        <f t="shared" si="90"/>
        <v>0</v>
      </c>
      <c r="M612" s="2129">
        <f t="shared" si="88"/>
        <v>0</v>
      </c>
      <c r="N612" s="2129">
        <f t="shared" si="91"/>
        <v>0</v>
      </c>
      <c r="O612" s="2128">
        <f t="shared" si="89"/>
        <v>0</v>
      </c>
      <c r="P612" s="2155"/>
    </row>
    <row r="613" spans="1:16" s="2105" customFormat="1" outlineLevel="1">
      <c r="A613" s="2108" t="str">
        <f t="shared" si="92"/>
        <v>Ốc siết cáp cỡ 25mm2</v>
      </c>
      <c r="B613" s="2130" t="s">
        <v>816</v>
      </c>
      <c r="C613" s="2127"/>
      <c r="D613" s="2120"/>
      <c r="E613" s="2121" t="s">
        <v>3581</v>
      </c>
      <c r="F613" s="2120" t="s">
        <v>2555</v>
      </c>
      <c r="G613" s="2127">
        <f>11*G606</f>
        <v>0</v>
      </c>
      <c r="H613" s="2123">
        <v>17600</v>
      </c>
      <c r="I613" s="2123"/>
      <c r="J613" s="2123">
        <v>0</v>
      </c>
      <c r="K613" s="2123">
        <v>0</v>
      </c>
      <c r="L613" s="2129">
        <f t="shared" si="90"/>
        <v>0</v>
      </c>
      <c r="M613" s="2129">
        <f t="shared" si="88"/>
        <v>0</v>
      </c>
      <c r="N613" s="2129">
        <f t="shared" si="91"/>
        <v>0</v>
      </c>
      <c r="O613" s="2128">
        <f t="shared" si="89"/>
        <v>0</v>
      </c>
      <c r="P613" s="2155"/>
    </row>
    <row r="614" spans="1:16" s="2105" customFormat="1" outlineLevel="1">
      <c r="A614" s="2108" t="str">
        <f t="shared" si="92"/>
        <v>Cổ dê kẹp ống PVC  21</v>
      </c>
      <c r="B614" s="2133" t="s">
        <v>1592</v>
      </c>
      <c r="C614" s="2127"/>
      <c r="D614" s="2120">
        <v>0</v>
      </c>
      <c r="E614" s="2121" t="s">
        <v>5252</v>
      </c>
      <c r="F614" s="2120" t="s">
        <v>2439</v>
      </c>
      <c r="G614" s="2151">
        <f>G606*2</f>
        <v>0</v>
      </c>
      <c r="H614" s="2123">
        <v>43000</v>
      </c>
      <c r="I614" s="2134"/>
      <c r="J614" s="2123">
        <v>0</v>
      </c>
      <c r="K614" s="2123">
        <v>0</v>
      </c>
      <c r="L614" s="2129">
        <f t="shared" si="90"/>
        <v>0</v>
      </c>
      <c r="M614" s="2129">
        <f t="shared" si="88"/>
        <v>0</v>
      </c>
      <c r="N614" s="2129">
        <f t="shared" si="91"/>
        <v>0</v>
      </c>
      <c r="O614" s="2128">
        <f t="shared" si="89"/>
        <v>0</v>
      </c>
      <c r="P614" s="2155"/>
    </row>
    <row r="615" spans="1:16" s="2105" customFormat="1" outlineLevel="1">
      <c r="A615" s="2108" t="str">
        <f t="shared" si="92"/>
        <v>Lắp cổ dê</v>
      </c>
      <c r="B615" s="2133" t="s">
        <v>1130</v>
      </c>
      <c r="C615" s="2127"/>
      <c r="D615" s="2120" t="s">
        <v>5272</v>
      </c>
      <c r="E615" s="2121" t="s">
        <v>5470</v>
      </c>
      <c r="F615" s="2120" t="s">
        <v>2555</v>
      </c>
      <c r="G615" s="2151">
        <f>G607*2</f>
        <v>0</v>
      </c>
      <c r="H615" s="2123">
        <v>0</v>
      </c>
      <c r="I615" s="2134"/>
      <c r="J615" s="2123">
        <v>77000</v>
      </c>
      <c r="K615" s="2123">
        <v>0</v>
      </c>
      <c r="L615" s="2129">
        <f>H615*G615</f>
        <v>0</v>
      </c>
      <c r="M615" s="2129">
        <f>I615*G615</f>
        <v>0</v>
      </c>
      <c r="N615" s="2129">
        <f>J615*G615</f>
        <v>0</v>
      </c>
      <c r="O615" s="2128">
        <f>K615*G615</f>
        <v>0</v>
      </c>
      <c r="P615" s="2155"/>
    </row>
    <row r="616" spans="1:16" s="2105" customFormat="1" outlineLevel="1">
      <c r="A616" s="2108" t="str">
        <f t="shared" si="92"/>
        <v>Kéo dây tiếp địa trong TBA</v>
      </c>
      <c r="B616" s="2130" t="s">
        <v>389</v>
      </c>
      <c r="C616" s="2127"/>
      <c r="D616" s="2120" t="s">
        <v>5346</v>
      </c>
      <c r="E616" s="2121" t="s">
        <v>5347</v>
      </c>
      <c r="F616" s="2120" t="s">
        <v>2532</v>
      </c>
      <c r="G616" s="2127">
        <f>G606*$H$3</f>
        <v>0</v>
      </c>
      <c r="H616" s="2123">
        <v>0</v>
      </c>
      <c r="I616" s="2123"/>
      <c r="J616" s="2123">
        <v>8070.7000000000007</v>
      </c>
      <c r="K616" s="2123">
        <v>2044.9974999999999</v>
      </c>
      <c r="L616" s="2129">
        <f>H616*G616</f>
        <v>0</v>
      </c>
      <c r="M616" s="2129">
        <f>I616*G616</f>
        <v>0</v>
      </c>
      <c r="N616" s="2129">
        <f>J616*G616</f>
        <v>0</v>
      </c>
      <c r="O616" s="2128">
        <f>K616*G616</f>
        <v>0</v>
      </c>
      <c r="P616" s="2155"/>
    </row>
    <row r="617" spans="1:16" s="2105" customFormat="1" outlineLevel="1">
      <c r="A617" s="2108" t="str">
        <f t="shared" si="92"/>
        <v>Đóng cọc tiếp địa trong TBA</v>
      </c>
      <c r="B617" s="2133" t="s">
        <v>1438</v>
      </c>
      <c r="C617" s="2127"/>
      <c r="D617" s="2120" t="s">
        <v>5351</v>
      </c>
      <c r="E617" s="2121" t="s">
        <v>5352</v>
      </c>
      <c r="F617" s="2120" t="s">
        <v>2278</v>
      </c>
      <c r="G617" s="2127">
        <f>G609</f>
        <v>0</v>
      </c>
      <c r="H617" s="2123">
        <v>0</v>
      </c>
      <c r="I617" s="2128"/>
      <c r="J617" s="2153" t="s">
        <v>6315</v>
      </c>
      <c r="K617" s="2123">
        <v>1573.075</v>
      </c>
      <c r="L617" s="2129">
        <f>H617*G617</f>
        <v>0</v>
      </c>
      <c r="M617" s="2129">
        <f>I617*G617</f>
        <v>0</v>
      </c>
      <c r="N617" s="2123">
        <v>0</v>
      </c>
      <c r="O617" s="2128">
        <f>K617*G617</f>
        <v>0</v>
      </c>
      <c r="P617" s="2155"/>
    </row>
    <row r="618" spans="1:16" s="2105" customFormat="1" outlineLevel="1">
      <c r="A618" s="2108" t="str">
        <f t="shared" si="92"/>
        <v>Đào rãnh tiếp địa đất cấp 2</v>
      </c>
      <c r="B618" s="2130" t="s">
        <v>24</v>
      </c>
      <c r="C618" s="2127"/>
      <c r="D618" s="2120" t="s">
        <v>5335</v>
      </c>
      <c r="E618" s="2121" t="s">
        <v>3067</v>
      </c>
      <c r="F618" s="2120" t="s">
        <v>856</v>
      </c>
      <c r="G618" s="2151">
        <f>G606*$H$4</f>
        <v>0</v>
      </c>
      <c r="H618" s="2123">
        <v>0</v>
      </c>
      <c r="I618" s="2123"/>
      <c r="J618" s="2123">
        <v>85640</v>
      </c>
      <c r="K618" s="2123">
        <v>0</v>
      </c>
      <c r="L618" s="2129">
        <f>H618*G618</f>
        <v>0</v>
      </c>
      <c r="M618" s="2129">
        <f>I618*G618</f>
        <v>0</v>
      </c>
      <c r="N618" s="2129">
        <f>J618*G618</f>
        <v>0</v>
      </c>
      <c r="O618" s="2128">
        <f>K618*G618</f>
        <v>0</v>
      </c>
      <c r="P618" s="2155"/>
    </row>
    <row r="619" spans="1:16" s="2105" customFormat="1" outlineLevel="1">
      <c r="A619" s="2108" t="str">
        <f t="shared" si="92"/>
        <v>Đắp đất rãnh tiếp độ chặt k=0,85</v>
      </c>
      <c r="B619" s="2130" t="s">
        <v>1056</v>
      </c>
      <c r="C619" s="2127"/>
      <c r="D619" s="2120" t="s">
        <v>5325</v>
      </c>
      <c r="E619" s="2121" t="s">
        <v>5337</v>
      </c>
      <c r="F619" s="2120" t="s">
        <v>856</v>
      </c>
      <c r="G619" s="2151">
        <f>G618</f>
        <v>0</v>
      </c>
      <c r="H619" s="2123">
        <v>0</v>
      </c>
      <c r="I619" s="2134"/>
      <c r="J619" s="2123">
        <v>117703.6</v>
      </c>
      <c r="K619" s="2123">
        <v>0</v>
      </c>
      <c r="L619" s="2129">
        <f>H619*G619</f>
        <v>0</v>
      </c>
      <c r="M619" s="2129">
        <f>I619*G619</f>
        <v>0</v>
      </c>
      <c r="N619" s="2129">
        <f>J619*G619</f>
        <v>0</v>
      </c>
      <c r="O619" s="2128">
        <f>K619*G619</f>
        <v>0</v>
      </c>
      <c r="P619" s="2155"/>
    </row>
    <row r="620" spans="1:16" s="2105" customFormat="1" outlineLevel="1">
      <c r="A620" s="2108" t="e">
        <f t="shared" si="92"/>
        <v>#N/A</v>
      </c>
      <c r="B620" s="2130"/>
      <c r="C620" s="2142">
        <f>IF(G620&gt;0,C606+1,C606)</f>
        <v>0</v>
      </c>
      <c r="D620" s="2202"/>
      <c r="E620" s="2158" t="s">
        <v>3696</v>
      </c>
      <c r="F620" s="2142" t="s">
        <v>2385</v>
      </c>
      <c r="G620" s="2142">
        <f>G575</f>
        <v>0</v>
      </c>
      <c r="H620" s="2128"/>
      <c r="I620" s="2134"/>
      <c r="J620" s="2134"/>
      <c r="K620" s="2134"/>
      <c r="L620" s="2129">
        <f t="shared" si="90"/>
        <v>0</v>
      </c>
      <c r="M620" s="2129">
        <f t="shared" si="88"/>
        <v>0</v>
      </c>
      <c r="N620" s="2129">
        <f t="shared" si="91"/>
        <v>0</v>
      </c>
      <c r="O620" s="2128">
        <f t="shared" si="89"/>
        <v>0</v>
      </c>
      <c r="P620" s="2155"/>
    </row>
    <row r="621" spans="1:16" s="2105" customFormat="1" ht="14.4" outlineLevel="1">
      <c r="A621" s="2108" t="e">
        <f t="shared" si="92"/>
        <v>#N/A</v>
      </c>
      <c r="B621" s="2130"/>
      <c r="C621" s="2142"/>
      <c r="D621" s="2202"/>
      <c r="E621" s="2172" t="s">
        <v>6133</v>
      </c>
      <c r="F621" s="2127"/>
      <c r="G621" s="2127"/>
      <c r="H621" s="2128"/>
      <c r="I621" s="2134"/>
      <c r="J621" s="2134"/>
      <c r="K621" s="2134"/>
      <c r="L621" s="2129">
        <f t="shared" si="90"/>
        <v>0</v>
      </c>
      <c r="M621" s="2129">
        <f t="shared" si="88"/>
        <v>0</v>
      </c>
      <c r="N621" s="2129">
        <f t="shared" si="91"/>
        <v>0</v>
      </c>
      <c r="O621" s="2128">
        <f t="shared" si="89"/>
        <v>0</v>
      </c>
      <c r="P621" s="2155"/>
    </row>
    <row r="622" spans="1:16" s="2105" customFormat="1" outlineLevel="1">
      <c r="A622" s="2108" t="str">
        <f t="shared" si="92"/>
        <v>Tủ CB trạm 1 pha + khóa + boulon</v>
      </c>
      <c r="B622" s="2133" t="s">
        <v>616</v>
      </c>
      <c r="C622" s="2127"/>
      <c r="D622" s="2120" t="s">
        <v>5655</v>
      </c>
      <c r="E622" s="2121" t="s">
        <v>3392</v>
      </c>
      <c r="F622" s="2120" t="s">
        <v>2555</v>
      </c>
      <c r="G622" s="2127">
        <f>G620</f>
        <v>0</v>
      </c>
      <c r="H622" s="2123">
        <v>3793194</v>
      </c>
      <c r="I622" s="2123"/>
      <c r="J622" s="2123">
        <v>599038</v>
      </c>
      <c r="K622" s="2123">
        <v>97369</v>
      </c>
      <c r="L622" s="2129">
        <f t="shared" si="90"/>
        <v>0</v>
      </c>
      <c r="M622" s="2129">
        <f t="shared" si="88"/>
        <v>0</v>
      </c>
      <c r="N622" s="2129">
        <f t="shared" si="91"/>
        <v>0</v>
      </c>
      <c r="O622" s="2128">
        <f t="shared" si="89"/>
        <v>0</v>
      </c>
      <c r="P622" s="2155"/>
    </row>
    <row r="623" spans="1:16" s="2105" customFormat="1" outlineLevel="1">
      <c r="A623" s="2108" t="str">
        <f t="shared" si="92"/>
        <v>Cổ dê bắt tủ</v>
      </c>
      <c r="B623" s="2130" t="s">
        <v>879</v>
      </c>
      <c r="C623" s="2127"/>
      <c r="D623" s="2120"/>
      <c r="E623" s="2121" t="s">
        <v>2982</v>
      </c>
      <c r="F623" s="2120" t="s">
        <v>2439</v>
      </c>
      <c r="G623" s="2127">
        <f>G620*2</f>
        <v>0</v>
      </c>
      <c r="H623" s="2123">
        <v>168000</v>
      </c>
      <c r="I623" s="2134"/>
      <c r="J623" s="2123"/>
      <c r="K623" s="2123">
        <v>0</v>
      </c>
      <c r="L623" s="2129">
        <f>H623*G623</f>
        <v>0</v>
      </c>
      <c r="M623" s="2129">
        <f t="shared" si="88"/>
        <v>0</v>
      </c>
      <c r="N623" s="2129">
        <f t="shared" si="91"/>
        <v>0</v>
      </c>
      <c r="O623" s="2128">
        <f t="shared" si="89"/>
        <v>0</v>
      </c>
      <c r="P623" s="2155"/>
    </row>
    <row r="624" spans="1:16" s="2105" customFormat="1" outlineLevel="1">
      <c r="A624" s="2108" t="str">
        <f t="shared" si="92"/>
        <v>Lắp cổ dê</v>
      </c>
      <c r="B624" s="2133" t="s">
        <v>1130</v>
      </c>
      <c r="C624" s="2127"/>
      <c r="D624" s="2120" t="s">
        <v>5272</v>
      </c>
      <c r="E624" s="2121" t="s">
        <v>5470</v>
      </c>
      <c r="F624" s="2120" t="s">
        <v>2555</v>
      </c>
      <c r="G624" s="2127">
        <f>G620*2</f>
        <v>0</v>
      </c>
      <c r="H624" s="2123">
        <v>0</v>
      </c>
      <c r="I624" s="2134"/>
      <c r="J624" s="2123">
        <v>77000</v>
      </c>
      <c r="K624" s="2123">
        <v>0</v>
      </c>
      <c r="L624" s="2129">
        <f>H624*G624</f>
        <v>0</v>
      </c>
      <c r="M624" s="2129">
        <f>I624*G624</f>
        <v>0</v>
      </c>
      <c r="N624" s="2129">
        <f>J624*G624</f>
        <v>0</v>
      </c>
      <c r="O624" s="2128">
        <f>K624*G624</f>
        <v>0</v>
      </c>
      <c r="P624" s="2155"/>
    </row>
    <row r="625" spans="1:16" s="2105" customFormat="1" outlineLevel="1">
      <c r="A625" s="2108" t="str">
        <f t="shared" si="92"/>
        <v>Boulon 12x40+ 2 long đền vuông D14-50x50x3/Zn</v>
      </c>
      <c r="B625" s="2130" t="s">
        <v>138</v>
      </c>
      <c r="C625" s="2127"/>
      <c r="D625" s="2120">
        <v>0</v>
      </c>
      <c r="E625" s="2121" t="s">
        <v>2627</v>
      </c>
      <c r="F625" s="2120" t="s">
        <v>2439</v>
      </c>
      <c r="G625" s="2127">
        <f>G620*4*0</f>
        <v>0</v>
      </c>
      <c r="H625" s="2123">
        <v>8500</v>
      </c>
      <c r="I625" s="2134"/>
      <c r="J625" s="2123">
        <v>0</v>
      </c>
      <c r="K625" s="2123">
        <v>0</v>
      </c>
      <c r="L625" s="2129">
        <f>H625*G625</f>
        <v>0</v>
      </c>
      <c r="M625" s="2129">
        <f>I625*G625</f>
        <v>0</v>
      </c>
      <c r="N625" s="2129">
        <f>J625*G625</f>
        <v>0</v>
      </c>
      <c r="O625" s="2128">
        <f>K625*G625</f>
        <v>0</v>
      </c>
      <c r="P625" s="2155"/>
    </row>
    <row r="626" spans="1:16" s="2105" customFormat="1" outlineLevel="1">
      <c r="A626" s="2108" t="str">
        <f t="shared" si="92"/>
        <v xml:space="preserve">Bakelit 550x450 dầy 10mm </v>
      </c>
      <c r="B626" s="2130" t="s">
        <v>880</v>
      </c>
      <c r="C626" s="2127"/>
      <c r="D626" s="2120">
        <v>0</v>
      </c>
      <c r="E626" s="2121" t="s">
        <v>5799</v>
      </c>
      <c r="F626" s="2120" t="s">
        <v>2555</v>
      </c>
      <c r="G626" s="2127">
        <f>G620*2</f>
        <v>0</v>
      </c>
      <c r="H626" s="2123">
        <v>284000</v>
      </c>
      <c r="I626" s="2134"/>
      <c r="J626" s="2123">
        <v>5404</v>
      </c>
      <c r="K626" s="2123">
        <v>0</v>
      </c>
      <c r="L626" s="2129">
        <f t="shared" si="90"/>
        <v>0</v>
      </c>
      <c r="M626" s="2129">
        <f t="shared" si="88"/>
        <v>0</v>
      </c>
      <c r="N626" s="2129">
        <f t="shared" si="91"/>
        <v>0</v>
      </c>
      <c r="O626" s="2128">
        <f t="shared" si="89"/>
        <v>0</v>
      </c>
      <c r="P626" s="2155"/>
    </row>
    <row r="627" spans="1:16" s="2105" customFormat="1" outlineLevel="1">
      <c r="A627" s="2108" t="e">
        <f t="shared" ref="A627:A654" si="93">VLOOKUP(B627,DonGia,3,0)</f>
        <v>#N/A</v>
      </c>
      <c r="B627" s="2130"/>
      <c r="C627" s="2142">
        <f>IF(G627&gt;0,C620+1,C620)</f>
        <v>0</v>
      </c>
      <c r="D627" s="2202"/>
      <c r="E627" s="2174" t="s">
        <v>6163</v>
      </c>
      <c r="F627" s="2142" t="s">
        <v>2385</v>
      </c>
      <c r="G627" s="2142">
        <f>G575</f>
        <v>0</v>
      </c>
      <c r="H627" s="2128"/>
      <c r="I627" s="2134"/>
      <c r="J627" s="2134"/>
      <c r="K627" s="2134"/>
      <c r="L627" s="2129">
        <f t="shared" si="90"/>
        <v>0</v>
      </c>
      <c r="M627" s="2129">
        <f t="shared" si="88"/>
        <v>0</v>
      </c>
      <c r="N627" s="2129">
        <f t="shared" si="91"/>
        <v>0</v>
      </c>
      <c r="O627" s="2128">
        <f t="shared" si="89"/>
        <v>0</v>
      </c>
      <c r="P627" s="2155"/>
    </row>
    <row r="628" spans="1:16" s="2105" customFormat="1" ht="14.4" outlineLevel="1">
      <c r="A628" s="2108" t="e">
        <f t="shared" si="93"/>
        <v>#N/A</v>
      </c>
      <c r="B628" s="2130"/>
      <c r="C628" s="2142"/>
      <c r="D628" s="2202"/>
      <c r="E628" s="2172" t="s">
        <v>6133</v>
      </c>
      <c r="F628" s="2127"/>
      <c r="G628" s="2127"/>
      <c r="H628" s="2128"/>
      <c r="I628" s="2134"/>
      <c r="J628" s="2134"/>
      <c r="K628" s="2134"/>
      <c r="L628" s="2129">
        <f t="shared" si="90"/>
        <v>0</v>
      </c>
      <c r="M628" s="2129">
        <f t="shared" si="88"/>
        <v>0</v>
      </c>
      <c r="N628" s="2129">
        <f t="shared" si="91"/>
        <v>0</v>
      </c>
      <c r="O628" s="2128">
        <f t="shared" si="89"/>
        <v>0</v>
      </c>
      <c r="P628" s="2155"/>
    </row>
    <row r="629" spans="1:16" s="2105" customFormat="1" outlineLevel="1">
      <c r="A629" s="2108" t="str">
        <f t="shared" si="93"/>
        <v>Cáp 24KV C/XLPE/PVC 25mm2</v>
      </c>
      <c r="B629" s="2133" t="s">
        <v>697</v>
      </c>
      <c r="C629" s="2127"/>
      <c r="D629" s="2120">
        <v>0</v>
      </c>
      <c r="E629" s="2121" t="s">
        <v>6327</v>
      </c>
      <c r="F629" s="2120" t="s">
        <v>2532</v>
      </c>
      <c r="G629" s="2127">
        <f>G627*3*3</f>
        <v>0</v>
      </c>
      <c r="H629" s="2123">
        <v>50996</v>
      </c>
      <c r="I629" s="2123"/>
      <c r="J629" s="2123">
        <v>0</v>
      </c>
      <c r="K629" s="2123">
        <v>0</v>
      </c>
      <c r="L629" s="2129">
        <f t="shared" si="90"/>
        <v>0</v>
      </c>
      <c r="M629" s="2129">
        <f t="shared" si="88"/>
        <v>0</v>
      </c>
      <c r="N629" s="2129">
        <f t="shared" si="91"/>
        <v>0</v>
      </c>
      <c r="O629" s="2128">
        <f t="shared" si="89"/>
        <v>0</v>
      </c>
      <c r="P629" s="2155"/>
    </row>
    <row r="630" spans="1:16" s="2105" customFormat="1" outlineLevel="1">
      <c r="A630" s="2108" t="str">
        <f t="shared" si="93"/>
        <v>Kẹp quai 2/0</v>
      </c>
      <c r="B630" s="2118" t="s">
        <v>1479</v>
      </c>
      <c r="C630" s="2127"/>
      <c r="D630" s="2120">
        <v>0</v>
      </c>
      <c r="E630" s="2121" t="s">
        <v>3791</v>
      </c>
      <c r="F630" s="2120" t="s">
        <v>2555</v>
      </c>
      <c r="G630" s="2127">
        <f>3*G627</f>
        <v>0</v>
      </c>
      <c r="H630" s="2123">
        <v>46000</v>
      </c>
      <c r="I630" s="2123"/>
      <c r="J630" s="2123">
        <v>0</v>
      </c>
      <c r="K630" s="2123">
        <v>0</v>
      </c>
      <c r="L630" s="2129">
        <f t="shared" si="90"/>
        <v>0</v>
      </c>
      <c r="M630" s="2129">
        <f t="shared" si="88"/>
        <v>0</v>
      </c>
      <c r="N630" s="2129">
        <f t="shared" si="91"/>
        <v>0</v>
      </c>
      <c r="O630" s="2128">
        <f t="shared" si="89"/>
        <v>0</v>
      </c>
      <c r="P630" s="2155"/>
    </row>
    <row r="631" spans="1:16" s="2105" customFormat="1" outlineLevel="1">
      <c r="A631" s="2108" t="str">
        <f t="shared" si="93"/>
        <v>Kẹp hotline 2/0</v>
      </c>
      <c r="B631" s="2118" t="s">
        <v>1477</v>
      </c>
      <c r="C631" s="2127"/>
      <c r="D631" s="2120">
        <v>0</v>
      </c>
      <c r="E631" s="2121" t="s">
        <v>4335</v>
      </c>
      <c r="F631" s="2120" t="s">
        <v>2555</v>
      </c>
      <c r="G631" s="2127">
        <f>3*G624</f>
        <v>0</v>
      </c>
      <c r="H631" s="2123">
        <v>77000</v>
      </c>
      <c r="I631" s="2123"/>
      <c r="J631" s="2123">
        <v>0</v>
      </c>
      <c r="K631" s="2123">
        <v>0</v>
      </c>
      <c r="L631" s="2129">
        <f t="shared" si="90"/>
        <v>0</v>
      </c>
      <c r="M631" s="2129">
        <f>I631*G631</f>
        <v>0</v>
      </c>
      <c r="N631" s="2129">
        <f>J631*G631</f>
        <v>0</v>
      </c>
      <c r="O631" s="2128">
        <f>K631*G631</f>
        <v>0</v>
      </c>
      <c r="P631" s="2155"/>
    </row>
    <row r="632" spans="1:16" s="2105" customFormat="1" outlineLevel="1">
      <c r="A632" s="2108" t="str">
        <f t="shared" si="93"/>
        <v>Nắp che đầu cực FCO</v>
      </c>
      <c r="B632" s="2118" t="s">
        <v>5699</v>
      </c>
      <c r="C632" s="2127"/>
      <c r="D632" s="2120">
        <v>0</v>
      </c>
      <c r="E632" s="2121" t="s">
        <v>5700</v>
      </c>
      <c r="F632" s="2152" t="s">
        <v>2555</v>
      </c>
      <c r="G632" s="2127">
        <f>3*G625</f>
        <v>0</v>
      </c>
      <c r="H632" s="2123">
        <v>218200</v>
      </c>
      <c r="I632" s="2123"/>
      <c r="J632" s="2123">
        <v>0</v>
      </c>
      <c r="K632" s="2123">
        <v>0</v>
      </c>
      <c r="L632" s="2129">
        <f t="shared" si="90"/>
        <v>0</v>
      </c>
      <c r="M632" s="2129">
        <f>I632*G632</f>
        <v>0</v>
      </c>
      <c r="N632" s="2129">
        <f>J632*G632</f>
        <v>0</v>
      </c>
      <c r="O632" s="2128">
        <f>K632*G632</f>
        <v>0</v>
      </c>
      <c r="P632" s="2155"/>
    </row>
    <row r="633" spans="1:16" s="2105" customFormat="1" outlineLevel="1">
      <c r="A633" s="2108" t="str">
        <f t="shared" si="93"/>
        <v>Nắp che đầu cực LA</v>
      </c>
      <c r="B633" s="2118" t="s">
        <v>5705</v>
      </c>
      <c r="C633" s="2127"/>
      <c r="D633" s="2120">
        <v>0</v>
      </c>
      <c r="E633" s="2121" t="s">
        <v>5706</v>
      </c>
      <c r="F633" s="2152" t="s">
        <v>2555</v>
      </c>
      <c r="G633" s="2127">
        <f>3*G626</f>
        <v>0</v>
      </c>
      <c r="H633" s="2123">
        <v>39100</v>
      </c>
      <c r="I633" s="2123"/>
      <c r="J633" s="2123">
        <v>0</v>
      </c>
      <c r="K633" s="2123">
        <v>0</v>
      </c>
      <c r="L633" s="2129">
        <f t="shared" si="90"/>
        <v>0</v>
      </c>
      <c r="M633" s="2129">
        <f>I633*G633</f>
        <v>0</v>
      </c>
      <c r="N633" s="2129">
        <f>J633*G633</f>
        <v>0</v>
      </c>
      <c r="O633" s="2128">
        <f>K633*G633</f>
        <v>0</v>
      </c>
      <c r="P633" s="2155"/>
    </row>
    <row r="634" spans="1:16" s="2105" customFormat="1" outlineLevel="1">
      <c r="A634" s="2108" t="str">
        <f t="shared" si="93"/>
        <v>Nắp che đầu sứ MBA</v>
      </c>
      <c r="B634" s="2118" t="s">
        <v>5707</v>
      </c>
      <c r="C634" s="2127"/>
      <c r="D634" s="2120">
        <v>0</v>
      </c>
      <c r="E634" s="2121" t="s">
        <v>5708</v>
      </c>
      <c r="F634" s="2152" t="s">
        <v>2555</v>
      </c>
      <c r="G634" s="2127">
        <f>3*G627</f>
        <v>0</v>
      </c>
      <c r="H634" s="2123">
        <v>56700</v>
      </c>
      <c r="I634" s="2123"/>
      <c r="J634" s="2123">
        <v>0</v>
      </c>
      <c r="K634" s="2123">
        <v>0</v>
      </c>
      <c r="L634" s="2129">
        <f t="shared" si="90"/>
        <v>0</v>
      </c>
      <c r="M634" s="2129">
        <f t="shared" si="88"/>
        <v>0</v>
      </c>
      <c r="N634" s="2129">
        <f t="shared" si="91"/>
        <v>0</v>
      </c>
      <c r="O634" s="2128">
        <f t="shared" si="89"/>
        <v>0</v>
      </c>
      <c r="P634" s="2155"/>
    </row>
    <row r="635" spans="1:16" s="2105" customFormat="1" outlineLevel="1">
      <c r="A635" s="2108" t="str">
        <f t="shared" si="93"/>
        <v>Lắp cáp đồng xuống thiết bị D ≤ 95mm2</v>
      </c>
      <c r="B635" s="2118" t="s">
        <v>1525</v>
      </c>
      <c r="C635" s="2127"/>
      <c r="D635" s="2120" t="s">
        <v>5571</v>
      </c>
      <c r="E635" s="2121" t="s">
        <v>3292</v>
      </c>
      <c r="F635" s="2120" t="s">
        <v>1823</v>
      </c>
      <c r="G635" s="2127">
        <f>G629</f>
        <v>0</v>
      </c>
      <c r="H635" s="2123">
        <v>0</v>
      </c>
      <c r="I635" s="2123"/>
      <c r="J635" s="2123">
        <v>13915</v>
      </c>
      <c r="K635" s="2123">
        <v>0</v>
      </c>
      <c r="L635" s="2129">
        <f t="shared" si="90"/>
        <v>0</v>
      </c>
      <c r="M635" s="2129">
        <f>I635*G635</f>
        <v>0</v>
      </c>
      <c r="N635" s="2129">
        <f>J635*G635</f>
        <v>0</v>
      </c>
      <c r="O635" s="2128">
        <f>K635*G635</f>
        <v>0</v>
      </c>
      <c r="P635" s="2155"/>
    </row>
    <row r="636" spans="1:16" s="2105" customFormat="1" outlineLevel="1">
      <c r="A636" s="2108" t="e">
        <f t="shared" si="93"/>
        <v>#N/A</v>
      </c>
      <c r="B636" s="2130"/>
      <c r="C636" s="2142">
        <f>IF(G636&gt;0,C627+1,C627)</f>
        <v>0</v>
      </c>
      <c r="D636" s="2202"/>
      <c r="E636" s="2158" t="s">
        <v>6164</v>
      </c>
      <c r="F636" s="2142" t="s">
        <v>2385</v>
      </c>
      <c r="G636" s="2142">
        <f>G567/3</f>
        <v>0</v>
      </c>
      <c r="H636" s="2128"/>
      <c r="I636" s="2134"/>
      <c r="J636" s="2134"/>
      <c r="K636" s="2134"/>
      <c r="L636" s="2129">
        <f t="shared" si="90"/>
        <v>0</v>
      </c>
      <c r="M636" s="2129">
        <f t="shared" si="88"/>
        <v>0</v>
      </c>
      <c r="N636" s="2129">
        <f t="shared" si="91"/>
        <v>0</v>
      </c>
      <c r="O636" s="2128">
        <f t="shared" si="89"/>
        <v>0</v>
      </c>
      <c r="P636" s="2155"/>
    </row>
    <row r="637" spans="1:16" s="2105" customFormat="1" ht="14.4" outlineLevel="1">
      <c r="A637" s="2108" t="e">
        <f t="shared" si="93"/>
        <v>#N/A</v>
      </c>
      <c r="B637" s="2130"/>
      <c r="C637" s="2142"/>
      <c r="D637" s="2202"/>
      <c r="E637" s="2172" t="s">
        <v>6133</v>
      </c>
      <c r="F637" s="2127"/>
      <c r="G637" s="2127"/>
      <c r="H637" s="2128"/>
      <c r="I637" s="2134"/>
      <c r="J637" s="2134"/>
      <c r="K637" s="2134"/>
      <c r="L637" s="2129">
        <f t="shared" si="90"/>
        <v>0</v>
      </c>
      <c r="M637" s="2129">
        <f t="shared" si="88"/>
        <v>0</v>
      </c>
      <c r="N637" s="2129">
        <f t="shared" si="91"/>
        <v>0</v>
      </c>
      <c r="O637" s="2128">
        <f t="shared" si="89"/>
        <v>0</v>
      </c>
      <c r="P637" s="2155"/>
    </row>
    <row r="638" spans="1:16" s="2105" customFormat="1" outlineLevel="1">
      <c r="A638" s="2108" t="str">
        <f t="shared" si="93"/>
        <v>Cáp đồng bọc CV50</v>
      </c>
      <c r="B638" s="2130" t="s">
        <v>82</v>
      </c>
      <c r="C638" s="2127"/>
      <c r="D638" s="2120">
        <v>0</v>
      </c>
      <c r="E638" s="2121" t="s">
        <v>2792</v>
      </c>
      <c r="F638" s="2120" t="s">
        <v>2532</v>
      </c>
      <c r="G638" s="2127">
        <f>4*7*G636</f>
        <v>0</v>
      </c>
      <c r="H638" s="2123">
        <v>91800</v>
      </c>
      <c r="I638" s="2123"/>
      <c r="J638" s="2123">
        <v>0</v>
      </c>
      <c r="K638" s="2123">
        <v>0</v>
      </c>
      <c r="L638" s="2129">
        <f>H638*G638</f>
        <v>0</v>
      </c>
      <c r="M638" s="2129">
        <f t="shared" si="88"/>
        <v>0</v>
      </c>
      <c r="N638" s="2129">
        <f t="shared" si="91"/>
        <v>0</v>
      </c>
      <c r="O638" s="2128">
        <f t="shared" si="89"/>
        <v>0</v>
      </c>
      <c r="P638" s="2155"/>
    </row>
    <row r="639" spans="1:16" s="2105" customFormat="1" outlineLevel="1">
      <c r="A639" s="2108" t="str">
        <f t="shared" si="93"/>
        <v xml:space="preserve">Cáp CVV 4x2,5mm2  </v>
      </c>
      <c r="B639" s="2130" t="s">
        <v>1069</v>
      </c>
      <c r="C639" s="2127"/>
      <c r="D639" s="2120" t="s">
        <v>1527</v>
      </c>
      <c r="E639" s="2121" t="s">
        <v>2784</v>
      </c>
      <c r="F639" s="2120" t="s">
        <v>2532</v>
      </c>
      <c r="G639" s="2127">
        <f>4*G636</f>
        <v>0</v>
      </c>
      <c r="H639" s="2123">
        <v>28200</v>
      </c>
      <c r="I639" s="2123"/>
      <c r="J639" s="2123">
        <v>0</v>
      </c>
      <c r="K639" s="2123">
        <v>0</v>
      </c>
      <c r="L639" s="2129">
        <f>H639*G639</f>
        <v>0</v>
      </c>
      <c r="M639" s="2129">
        <f>I639*G639</f>
        <v>0</v>
      </c>
      <c r="N639" s="2129">
        <f>J639*G639</f>
        <v>0</v>
      </c>
      <c r="O639" s="2128">
        <f>K639*G639</f>
        <v>0</v>
      </c>
      <c r="P639" s="2155"/>
    </row>
    <row r="640" spans="1:16" s="2105" customFormat="1" outlineLevel="1">
      <c r="A640" s="2108" t="str">
        <f t="shared" si="93"/>
        <v>Đầu cosse ép Cu 50mm2</v>
      </c>
      <c r="B640" s="2130" t="s">
        <v>1302</v>
      </c>
      <c r="C640" s="2127"/>
      <c r="D640" s="2120" t="s">
        <v>5725</v>
      </c>
      <c r="E640" s="2121" t="s">
        <v>3479</v>
      </c>
      <c r="F640" s="2120" t="s">
        <v>2555</v>
      </c>
      <c r="G640" s="2127">
        <f>4*G636</f>
        <v>0</v>
      </c>
      <c r="H640" s="2123">
        <v>9100</v>
      </c>
      <c r="I640" s="2123"/>
      <c r="J640" s="2123">
        <v>10608.955000000002</v>
      </c>
      <c r="K640" s="2123">
        <v>2777.0232475000003</v>
      </c>
      <c r="L640" s="2129">
        <f t="shared" si="90"/>
        <v>0</v>
      </c>
      <c r="M640" s="2129">
        <f t="shared" si="88"/>
        <v>0</v>
      </c>
      <c r="N640" s="2129">
        <f t="shared" si="91"/>
        <v>0</v>
      </c>
      <c r="O640" s="2128">
        <f t="shared" si="89"/>
        <v>0</v>
      </c>
      <c r="P640" s="2155"/>
    </row>
    <row r="641" spans="1:16" s="2105" customFormat="1" outlineLevel="1">
      <c r="A641" s="2108" t="str">
        <f t="shared" si="93"/>
        <v>Chụp đầu cosse  50mm2</v>
      </c>
      <c r="B641" s="2130" t="s">
        <v>2151</v>
      </c>
      <c r="C641" s="2127"/>
      <c r="D641" s="2120">
        <v>0</v>
      </c>
      <c r="E641" s="2121" t="s">
        <v>3493</v>
      </c>
      <c r="F641" s="2120" t="s">
        <v>2555</v>
      </c>
      <c r="G641" s="2127">
        <f>G640</f>
        <v>0</v>
      </c>
      <c r="H641" s="2123">
        <v>1000</v>
      </c>
      <c r="I641" s="2123"/>
      <c r="J641" s="2123">
        <v>0</v>
      </c>
      <c r="K641" s="2123">
        <v>0</v>
      </c>
      <c r="L641" s="2129">
        <f>H641*G641</f>
        <v>0</v>
      </c>
      <c r="M641" s="2129">
        <f>I641*G641</f>
        <v>0</v>
      </c>
      <c r="N641" s="2129">
        <f>J641*G641</f>
        <v>0</v>
      </c>
      <c r="O641" s="2128">
        <f>K641*G641</f>
        <v>0</v>
      </c>
      <c r="P641" s="2155"/>
    </row>
    <row r="642" spans="1:16" s="2105" customFormat="1" outlineLevel="1">
      <c r="A642" s="2108" t="str">
        <f t="shared" si="93"/>
        <v xml:space="preserve">Ống PVC D90x3,8mm </v>
      </c>
      <c r="B642" s="2130" t="s">
        <v>282</v>
      </c>
      <c r="C642" s="2127"/>
      <c r="D642" s="2120">
        <v>0</v>
      </c>
      <c r="E642" s="2121" t="s">
        <v>3532</v>
      </c>
      <c r="F642" s="2120" t="s">
        <v>1823</v>
      </c>
      <c r="G642" s="2127">
        <f>6*G636</f>
        <v>0</v>
      </c>
      <c r="H642" s="2123">
        <v>63200</v>
      </c>
      <c r="I642" s="2134"/>
      <c r="J642" s="2123">
        <v>0</v>
      </c>
      <c r="K642" s="2123">
        <v>0</v>
      </c>
      <c r="L642" s="2129">
        <f t="shared" si="90"/>
        <v>0</v>
      </c>
      <c r="M642" s="2129">
        <f t="shared" si="88"/>
        <v>0</v>
      </c>
      <c r="N642" s="2129">
        <f t="shared" si="91"/>
        <v>0</v>
      </c>
      <c r="O642" s="2128">
        <f t="shared" si="89"/>
        <v>0</v>
      </c>
      <c r="P642" s="2155"/>
    </row>
    <row r="643" spans="1:16" s="2105" customFormat="1" outlineLevel="1">
      <c r="A643" s="2108" t="str">
        <f t="shared" si="93"/>
        <v>Cổ dê kẹp ống PVC Ø 90</v>
      </c>
      <c r="B643" s="2133" t="s">
        <v>1990</v>
      </c>
      <c r="C643" s="2127"/>
      <c r="D643" s="2120">
        <v>0</v>
      </c>
      <c r="E643" s="2121" t="s">
        <v>5257</v>
      </c>
      <c r="F643" s="2120" t="s">
        <v>2439</v>
      </c>
      <c r="G643" s="2127">
        <f>3*G636</f>
        <v>0</v>
      </c>
      <c r="H643" s="2123">
        <v>49000</v>
      </c>
      <c r="I643" s="2134"/>
      <c r="J643" s="2123">
        <v>0</v>
      </c>
      <c r="K643" s="2123">
        <v>0</v>
      </c>
      <c r="L643" s="2129">
        <f t="shared" si="90"/>
        <v>0</v>
      </c>
      <c r="M643" s="2129">
        <f t="shared" si="88"/>
        <v>0</v>
      </c>
      <c r="N643" s="2129">
        <f t="shared" si="91"/>
        <v>0</v>
      </c>
      <c r="O643" s="2128">
        <f t="shared" si="89"/>
        <v>0</v>
      </c>
      <c r="P643" s="2155"/>
    </row>
    <row r="644" spans="1:16" s="2105" customFormat="1" outlineLevel="1">
      <c r="A644" s="2108" t="str">
        <f t="shared" si="93"/>
        <v>Lắp cổ dê</v>
      </c>
      <c r="B644" s="2133" t="s">
        <v>1130</v>
      </c>
      <c r="C644" s="2127"/>
      <c r="D644" s="2120" t="s">
        <v>5272</v>
      </c>
      <c r="E644" s="2121" t="s">
        <v>5470</v>
      </c>
      <c r="F644" s="2120" t="s">
        <v>2555</v>
      </c>
      <c r="G644" s="2127">
        <f>3*G637</f>
        <v>0</v>
      </c>
      <c r="H644" s="2123">
        <v>0</v>
      </c>
      <c r="I644" s="2134"/>
      <c r="J644" s="2123">
        <v>77000</v>
      </c>
      <c r="K644" s="2123">
        <v>0</v>
      </c>
      <c r="L644" s="2129">
        <f>H644*G644</f>
        <v>0</v>
      </c>
      <c r="M644" s="2129">
        <f>I644*G644</f>
        <v>0</v>
      </c>
      <c r="N644" s="2129">
        <f>J644*G644</f>
        <v>0</v>
      </c>
      <c r="O644" s="2128">
        <f>K644*G644</f>
        <v>0</v>
      </c>
      <c r="P644" s="2155"/>
    </row>
    <row r="645" spans="1:16" s="2105" customFormat="1" outlineLevel="1">
      <c r="A645" s="2108" t="str">
        <f t="shared" si="93"/>
        <v>Co  90 độ PVC 90</v>
      </c>
      <c r="B645" s="2130" t="s">
        <v>70</v>
      </c>
      <c r="C645" s="2127"/>
      <c r="D645" s="2120">
        <v>0</v>
      </c>
      <c r="E645" s="2121" t="s">
        <v>5797</v>
      </c>
      <c r="F645" s="2120" t="s">
        <v>2555</v>
      </c>
      <c r="G645" s="2127">
        <f>2*G636</f>
        <v>0</v>
      </c>
      <c r="H645" s="2123">
        <v>45400</v>
      </c>
      <c r="I645" s="2134"/>
      <c r="J645" s="2123">
        <v>0</v>
      </c>
      <c r="K645" s="2123">
        <v>0</v>
      </c>
      <c r="L645" s="2129">
        <f t="shared" si="90"/>
        <v>0</v>
      </c>
      <c r="M645" s="2129">
        <f t="shared" si="88"/>
        <v>0</v>
      </c>
      <c r="N645" s="2129">
        <f t="shared" si="91"/>
        <v>0</v>
      </c>
      <c r="O645" s="2128">
        <f t="shared" si="89"/>
        <v>0</v>
      </c>
      <c r="P645" s="2155"/>
    </row>
    <row r="646" spans="1:16" s="2105" customFormat="1" outlineLevel="1">
      <c r="A646" s="2108" t="str">
        <f t="shared" si="93"/>
        <v>Khâu ven răng trong D90</v>
      </c>
      <c r="B646" s="2130" t="s">
        <v>2153</v>
      </c>
      <c r="C646" s="2127"/>
      <c r="D646" s="2120">
        <v>0</v>
      </c>
      <c r="E646" s="2121" t="s">
        <v>3574</v>
      </c>
      <c r="F646" s="2120" t="s">
        <v>2555</v>
      </c>
      <c r="G646" s="2127">
        <f>G636</f>
        <v>0</v>
      </c>
      <c r="H646" s="2123">
        <v>25800</v>
      </c>
      <c r="I646" s="2134"/>
      <c r="J646" s="2123">
        <v>0</v>
      </c>
      <c r="K646" s="2123">
        <v>0</v>
      </c>
      <c r="L646" s="2129">
        <f>H646*G646</f>
        <v>0</v>
      </c>
      <c r="M646" s="2129">
        <f>I646*G646</f>
        <v>0</v>
      </c>
      <c r="N646" s="2129">
        <f>J646*G646</f>
        <v>0</v>
      </c>
      <c r="O646" s="2128">
        <f>K646*G646</f>
        <v>0</v>
      </c>
      <c r="P646" s="2155"/>
    </row>
    <row r="647" spans="1:16" s="2105" customFormat="1" outlineLevel="1">
      <c r="A647" s="2108" t="str">
        <f t="shared" si="93"/>
        <v>Khâu ven răng ngoài D90</v>
      </c>
      <c r="B647" s="2130" t="s">
        <v>2154</v>
      </c>
      <c r="C647" s="2127"/>
      <c r="D647" s="2120">
        <v>0</v>
      </c>
      <c r="E647" s="2121" t="s">
        <v>3578</v>
      </c>
      <c r="F647" s="2120" t="s">
        <v>2555</v>
      </c>
      <c r="G647" s="2127">
        <f>G646</f>
        <v>0</v>
      </c>
      <c r="H647" s="2123">
        <v>21500</v>
      </c>
      <c r="I647" s="2134"/>
      <c r="J647" s="2123">
        <v>0</v>
      </c>
      <c r="K647" s="2123">
        <v>0</v>
      </c>
      <c r="L647" s="2129">
        <f>H647*G647</f>
        <v>0</v>
      </c>
      <c r="M647" s="2129">
        <f>I647*G647</f>
        <v>0</v>
      </c>
      <c r="N647" s="2129">
        <f>J647*G647</f>
        <v>0</v>
      </c>
      <c r="O647" s="2128">
        <f>K647*G647</f>
        <v>0</v>
      </c>
      <c r="P647" s="2155"/>
    </row>
    <row r="648" spans="1:16" s="2105" customFormat="1" outlineLevel="1">
      <c r="A648" s="2108" t="str">
        <f t="shared" si="93"/>
        <v>Keo dán ống PVC (100gr)</v>
      </c>
      <c r="B648" s="2130" t="s">
        <v>419</v>
      </c>
      <c r="C648" s="2127"/>
      <c r="D648" s="2120">
        <v>0</v>
      </c>
      <c r="E648" s="2121" t="s">
        <v>3570</v>
      </c>
      <c r="F648" s="2120" t="s">
        <v>3571</v>
      </c>
      <c r="G648" s="2127">
        <f>G636</f>
        <v>0</v>
      </c>
      <c r="H648" s="2123">
        <v>11500</v>
      </c>
      <c r="I648" s="2134"/>
      <c r="J648" s="2123">
        <v>0</v>
      </c>
      <c r="K648" s="2123">
        <v>0</v>
      </c>
      <c r="L648" s="2129">
        <f>H648*G648</f>
        <v>0</v>
      </c>
      <c r="M648" s="2129">
        <f>I648*G648</f>
        <v>0</v>
      </c>
      <c r="N648" s="2129">
        <f>J648*G648</f>
        <v>0</v>
      </c>
      <c r="O648" s="2128">
        <f>K648*G648</f>
        <v>0</v>
      </c>
      <c r="P648" s="2155"/>
    </row>
    <row r="649" spans="1:16" s="2105" customFormat="1" outlineLevel="1">
      <c r="A649" s="2108" t="str">
        <f t="shared" si="93"/>
        <v>Keo silicon bít miệng ống</v>
      </c>
      <c r="B649" s="2130" t="s">
        <v>1179</v>
      </c>
      <c r="C649" s="2127"/>
      <c r="D649" s="2120">
        <v>0</v>
      </c>
      <c r="E649" s="2121" t="s">
        <v>3567</v>
      </c>
      <c r="F649" s="2120" t="s">
        <v>5806</v>
      </c>
      <c r="G649" s="2127">
        <f>G636</f>
        <v>0</v>
      </c>
      <c r="H649" s="2123">
        <v>45000</v>
      </c>
      <c r="I649" s="2134"/>
      <c r="J649" s="2123">
        <v>0</v>
      </c>
      <c r="K649" s="2123">
        <v>0</v>
      </c>
      <c r="L649" s="2129">
        <f>H649*G649</f>
        <v>0</v>
      </c>
      <c r="M649" s="2129">
        <f>I649*G649</f>
        <v>0</v>
      </c>
      <c r="N649" s="2129">
        <f>J649*G649</f>
        <v>0</v>
      </c>
      <c r="O649" s="2128">
        <f>K649*G649</f>
        <v>0</v>
      </c>
      <c r="P649" s="2155"/>
    </row>
    <row r="650" spans="1:16" s="2105" customFormat="1" outlineLevel="1">
      <c r="A650" s="2108" t="str">
        <f t="shared" si="93"/>
        <v>Băng keo cách điện</v>
      </c>
      <c r="B650" s="2133" t="s">
        <v>672</v>
      </c>
      <c r="C650" s="2127"/>
      <c r="D650" s="2120">
        <v>0</v>
      </c>
      <c r="E650" s="2121" t="s">
        <v>5801</v>
      </c>
      <c r="F650" s="2120" t="s">
        <v>3566</v>
      </c>
      <c r="G650" s="2127">
        <f>G636</f>
        <v>0</v>
      </c>
      <c r="H650" s="2123">
        <v>6500</v>
      </c>
      <c r="I650" s="2134"/>
      <c r="J650" s="2123">
        <v>0</v>
      </c>
      <c r="K650" s="2123">
        <v>0</v>
      </c>
      <c r="L650" s="2129">
        <f t="shared" si="90"/>
        <v>0</v>
      </c>
      <c r="M650" s="2129">
        <f t="shared" si="88"/>
        <v>0</v>
      </c>
      <c r="N650" s="2129">
        <f t="shared" si="91"/>
        <v>0</v>
      </c>
      <c r="O650" s="2128">
        <f t="shared" si="89"/>
        <v>0</v>
      </c>
      <c r="P650" s="2155"/>
    </row>
    <row r="651" spans="1:16" s="2105" customFormat="1" outlineLevel="1">
      <c r="A651" s="2108" t="str">
        <f t="shared" si="93"/>
        <v>Lắp ống nhựa PVC D90</v>
      </c>
      <c r="B651" s="2130" t="s">
        <v>552</v>
      </c>
      <c r="C651" s="2127"/>
      <c r="D651" s="2120" t="s">
        <v>5547</v>
      </c>
      <c r="E651" s="2121" t="s">
        <v>3252</v>
      </c>
      <c r="F651" s="2120" t="s">
        <v>2532</v>
      </c>
      <c r="G651" s="2127">
        <f>G642</f>
        <v>0</v>
      </c>
      <c r="H651" s="2123"/>
      <c r="I651" s="2128"/>
      <c r="J651" s="2123">
        <v>55493.02</v>
      </c>
      <c r="K651" s="2123">
        <v>0</v>
      </c>
      <c r="L651" s="2129">
        <f t="shared" si="90"/>
        <v>0</v>
      </c>
      <c r="M651" s="2129">
        <f t="shared" si="88"/>
        <v>0</v>
      </c>
      <c r="N651" s="2129">
        <f t="shared" si="91"/>
        <v>0</v>
      </c>
      <c r="O651" s="2128">
        <f t="shared" si="89"/>
        <v>0</v>
      </c>
      <c r="P651" s="2155"/>
    </row>
    <row r="652" spans="1:16" s="2105" customFormat="1" outlineLevel="1">
      <c r="A652" s="2108" t="str">
        <f t="shared" si="93"/>
        <v>Lắp cáp đồng xuống thiết bị D ≤ 95mm2</v>
      </c>
      <c r="B652" s="2133" t="s">
        <v>1525</v>
      </c>
      <c r="C652" s="2127"/>
      <c r="D652" s="2120" t="s">
        <v>5571</v>
      </c>
      <c r="E652" s="2121" t="s">
        <v>3292</v>
      </c>
      <c r="F652" s="2120" t="s">
        <v>1823</v>
      </c>
      <c r="G652" s="2127">
        <f>G638</f>
        <v>0</v>
      </c>
      <c r="H652" s="2123"/>
      <c r="I652" s="2128"/>
      <c r="J652" s="2123">
        <v>13915</v>
      </c>
      <c r="K652" s="2123">
        <v>0</v>
      </c>
      <c r="L652" s="2129">
        <f>H652*G652</f>
        <v>0</v>
      </c>
      <c r="M652" s="2129">
        <f>I652*G652</f>
        <v>0</v>
      </c>
      <c r="N652" s="2129">
        <f>J652*G652</f>
        <v>0</v>
      </c>
      <c r="O652" s="2128">
        <f>K652*G652</f>
        <v>0</v>
      </c>
      <c r="P652" s="2155"/>
    </row>
    <row r="653" spans="1:16" s="2105" customFormat="1" outlineLevel="1">
      <c r="A653" s="2108" t="str">
        <f t="shared" si="93"/>
        <v>Bảng tên trạm, bảng báo nguy hiểm + đinh vít</v>
      </c>
      <c r="B653" s="2130" t="s">
        <v>289</v>
      </c>
      <c r="C653" s="2160">
        <f>IF(G653&gt;0,C636+1,C636)</f>
        <v>0</v>
      </c>
      <c r="D653" s="2161"/>
      <c r="E653" s="2121" t="s">
        <v>5712</v>
      </c>
      <c r="F653" s="2120" t="s">
        <v>2555</v>
      </c>
      <c r="G653" s="2164">
        <f>G599</f>
        <v>0</v>
      </c>
      <c r="H653" s="2123">
        <v>300000</v>
      </c>
      <c r="I653" s="2205"/>
      <c r="J653" s="2123">
        <v>0</v>
      </c>
      <c r="K653" s="2123">
        <v>0</v>
      </c>
      <c r="L653" s="2162">
        <f>H653*G653</f>
        <v>0</v>
      </c>
      <c r="M653" s="2162">
        <f>I653*G653</f>
        <v>0</v>
      </c>
      <c r="N653" s="2162">
        <f>J653*G653</f>
        <v>0</v>
      </c>
      <c r="O653" s="2163">
        <f>K653*G653</f>
        <v>0</v>
      </c>
      <c r="P653" s="2179"/>
    </row>
    <row r="654" spans="1:16" s="2105" customFormat="1" outlineLevel="1">
      <c r="A654" s="2108" t="e">
        <f t="shared" si="93"/>
        <v>#N/A</v>
      </c>
      <c r="B654" s="2130"/>
      <c r="C654" s="2165"/>
      <c r="D654" s="2166"/>
      <c r="E654" s="2139"/>
      <c r="F654" s="2622"/>
      <c r="G654" s="2622"/>
      <c r="H654" s="2622"/>
      <c r="I654" s="2622"/>
      <c r="J654" s="2658" t="s">
        <v>6131</v>
      </c>
      <c r="K654" s="2658"/>
      <c r="L654" s="2167">
        <f>SUM(L577:L653)</f>
        <v>0</v>
      </c>
      <c r="M654" s="2167"/>
      <c r="N654" s="2167">
        <f>SUM(N577:N653)</f>
        <v>0</v>
      </c>
      <c r="O654" s="2167">
        <f>SUM(O577:O653)</f>
        <v>0</v>
      </c>
      <c r="P654" s="2170"/>
    </row>
    <row r="655" spans="1:16" s="2105" customFormat="1" ht="13.95" customHeight="1">
      <c r="A655" s="2149" t="str">
        <f>IF(G661&lt;&gt;0,1,"")</f>
        <v/>
      </c>
      <c r="B655" s="2131"/>
      <c r="C655" s="2623"/>
      <c r="D655" s="2627"/>
    </row>
    <row r="656" spans="1:16" s="2105" customFormat="1" ht="13.95" customHeight="1">
      <c r="A656" s="2149"/>
      <c r="B656" s="2131"/>
      <c r="C656" s="2623"/>
      <c r="D656" s="2627"/>
      <c r="E656" s="2144"/>
    </row>
    <row r="657" spans="1:16" s="2105" customFormat="1" outlineLevel="1">
      <c r="A657" s="2108" t="str">
        <f>A655</f>
        <v/>
      </c>
      <c r="B657" s="2131"/>
      <c r="C657" s="2144" t="str">
        <f>"BẢNG TỔNG HỢP VẬT LIỆU, NHÂN CÔNG, MÁY THI CÔNG: "&amp;K7&amp;" TRẠM 3P 3x25KVA"</f>
        <v>BẢNG TỔNG HỢP VẬT LIỆU, NHÂN CÔNG, MÁY THI CÔNG: 0 TRẠM 3P 3x25KVA</v>
      </c>
      <c r="D657" s="2144"/>
      <c r="E657" s="2144"/>
      <c r="F657" s="2144"/>
      <c r="G657" s="2144"/>
      <c r="H657" s="2144"/>
      <c r="I657" s="2144"/>
      <c r="J657" s="2144"/>
      <c r="K657" s="2144"/>
      <c r="L657" s="2144"/>
      <c r="M657" s="2144"/>
      <c r="N657" s="2144"/>
      <c r="O657" s="2144"/>
      <c r="P657" s="2149"/>
    </row>
    <row r="658" spans="1:16" s="2105" customFormat="1" outlineLevel="1">
      <c r="A658" s="2108" t="str">
        <f>A657</f>
        <v/>
      </c>
      <c r="B658" s="2130" t="s">
        <v>6112</v>
      </c>
      <c r="C658" s="2648" t="s">
        <v>1708</v>
      </c>
      <c r="D658" s="2649" t="s">
        <v>2597</v>
      </c>
      <c r="E658" s="2651" t="s">
        <v>2598</v>
      </c>
      <c r="F658" s="2648" t="s">
        <v>2593</v>
      </c>
      <c r="G658" s="2109" t="s">
        <v>6113</v>
      </c>
      <c r="H658" s="2112" t="s">
        <v>6114</v>
      </c>
      <c r="I658" s="2619"/>
      <c r="J658" s="2619"/>
      <c r="K658" s="2620"/>
      <c r="L658" s="2112" t="s">
        <v>6115</v>
      </c>
      <c r="M658" s="2619"/>
      <c r="N658" s="2619"/>
      <c r="O658" s="2620"/>
      <c r="P658" s="2648" t="s">
        <v>2599</v>
      </c>
    </row>
    <row r="659" spans="1:16" s="2105" customFormat="1" outlineLevel="1">
      <c r="A659" s="2108" t="str">
        <f>A658</f>
        <v/>
      </c>
      <c r="B659" s="2130"/>
      <c r="C659" s="2648"/>
      <c r="D659" s="2650"/>
      <c r="E659" s="2652"/>
      <c r="F659" s="2648"/>
      <c r="G659" s="2111" t="s">
        <v>2286</v>
      </c>
      <c r="H659" s="2112" t="s">
        <v>6116</v>
      </c>
      <c r="I659" s="2112" t="s">
        <v>6117</v>
      </c>
      <c r="J659" s="2112" t="s">
        <v>6118</v>
      </c>
      <c r="K659" s="2112" t="s">
        <v>6119</v>
      </c>
      <c r="L659" s="2112" t="s">
        <v>6116</v>
      </c>
      <c r="M659" s="2112" t="s">
        <v>6117</v>
      </c>
      <c r="N659" s="2112" t="s">
        <v>6118</v>
      </c>
      <c r="O659" s="2112" t="s">
        <v>6119</v>
      </c>
      <c r="P659" s="2648"/>
    </row>
    <row r="660" spans="1:16" s="2105" customFormat="1" outlineLevel="1">
      <c r="A660" s="2108" t="str">
        <f>A659</f>
        <v/>
      </c>
      <c r="B660" s="2130"/>
      <c r="C660" s="2113"/>
      <c r="D660" s="2114"/>
      <c r="E660" s="2115" t="s">
        <v>3672</v>
      </c>
      <c r="F660" s="2116"/>
      <c r="G660" s="2116"/>
      <c r="H660" s="2116"/>
      <c r="I660" s="2116"/>
      <c r="J660" s="2116"/>
      <c r="K660" s="2116"/>
      <c r="L660" s="2116"/>
      <c r="M660" s="2116"/>
      <c r="N660" s="2116"/>
      <c r="O660" s="2114"/>
      <c r="P660" s="2117"/>
    </row>
    <row r="661" spans="1:16" s="2105" customFormat="1" outlineLevel="1">
      <c r="A661" s="2108">
        <f>IF(G661&lt;&gt;0,1,0)</f>
        <v>0</v>
      </c>
      <c r="B661" s="2118" t="str">
        <f>IF($F$8=22,"TR251","TR25")</f>
        <v>TR251</v>
      </c>
      <c r="C661" s="2119">
        <f>IF(G661&gt;0,1,0)</f>
        <v>0</v>
      </c>
      <c r="D661" s="2120" t="s">
        <v>5583</v>
      </c>
      <c r="E661" s="2121" t="s">
        <v>3307</v>
      </c>
      <c r="F661" s="2120" t="s">
        <v>3300</v>
      </c>
      <c r="G661" s="2168">
        <f>K7*3</f>
        <v>0</v>
      </c>
      <c r="H661" s="2123">
        <v>41513000</v>
      </c>
      <c r="I661" s="2123"/>
      <c r="J661" s="2123">
        <v>546322</v>
      </c>
      <c r="K661" s="2123">
        <v>284508</v>
      </c>
      <c r="L661" s="2129">
        <f t="shared" ref="L661:L667" si="94">H661*G661</f>
        <v>0</v>
      </c>
      <c r="M661" s="2129">
        <f t="shared" ref="M661:M666" si="95">I661*G661</f>
        <v>0</v>
      </c>
      <c r="N661" s="2129">
        <f t="shared" ref="N661:N666" si="96">J661*G661</f>
        <v>0</v>
      </c>
      <c r="O661" s="2128">
        <f t="shared" ref="O661:O666" si="97">K661*G661</f>
        <v>0</v>
      </c>
      <c r="P661" s="2169"/>
    </row>
    <row r="662" spans="1:16" s="2105" customFormat="1" outlineLevel="1">
      <c r="A662" s="2108">
        <f t="shared" ref="A662:A731" si="98">IF(G662&lt;&gt;0,1,0)</f>
        <v>0</v>
      </c>
      <c r="B662" s="2118" t="str">
        <f>"FCO100-"&amp;$F$8</f>
        <v>FCO100-22</v>
      </c>
      <c r="C662" s="2119">
        <f t="shared" ref="C662:C667" si="99">IF(G662&gt;0,C661+1,C661)</f>
        <v>0</v>
      </c>
      <c r="D662" s="2120" t="s">
        <v>5598</v>
      </c>
      <c r="E662" s="2121" t="s">
        <v>95</v>
      </c>
      <c r="F662" s="2120" t="s">
        <v>2555</v>
      </c>
      <c r="G662" s="2127">
        <f>+G661</f>
        <v>0</v>
      </c>
      <c r="H662" s="2123">
        <v>2244280</v>
      </c>
      <c r="I662" s="2123"/>
      <c r="J662" s="2123">
        <v>222639.99999999997</v>
      </c>
      <c r="K662" s="2123">
        <v>0</v>
      </c>
      <c r="L662" s="2129">
        <f t="shared" si="94"/>
        <v>0</v>
      </c>
      <c r="M662" s="2129">
        <f t="shared" si="95"/>
        <v>0</v>
      </c>
      <c r="N662" s="2129">
        <f t="shared" si="96"/>
        <v>0</v>
      </c>
      <c r="O662" s="2128">
        <f t="shared" si="97"/>
        <v>0</v>
      </c>
      <c r="P662" s="2155"/>
    </row>
    <row r="663" spans="1:16" s="2105" customFormat="1" outlineLevel="1">
      <c r="A663" s="2108">
        <f t="shared" si="98"/>
        <v>0</v>
      </c>
      <c r="B663" s="2118" t="str">
        <f>IF($F$8=22,"CHI3K","CHI6K")</f>
        <v>CHI3K</v>
      </c>
      <c r="C663" s="2119">
        <f t="shared" si="99"/>
        <v>0</v>
      </c>
      <c r="D663" s="2120">
        <v>0</v>
      </c>
      <c r="E663" s="2121" t="s">
        <v>3422</v>
      </c>
      <c r="F663" s="2120" t="s">
        <v>2600</v>
      </c>
      <c r="G663" s="2127">
        <f>G662</f>
        <v>0</v>
      </c>
      <c r="H663" s="2123">
        <v>84000</v>
      </c>
      <c r="I663" s="2123"/>
      <c r="J663" s="2123">
        <v>0</v>
      </c>
      <c r="K663" s="2123">
        <v>0</v>
      </c>
      <c r="L663" s="2129">
        <f t="shared" si="94"/>
        <v>0</v>
      </c>
      <c r="M663" s="2129">
        <f t="shared" si="95"/>
        <v>0</v>
      </c>
      <c r="N663" s="2129">
        <f t="shared" si="96"/>
        <v>0</v>
      </c>
      <c r="O663" s="2128">
        <f t="shared" si="97"/>
        <v>0</v>
      </c>
      <c r="P663" s="2155"/>
    </row>
    <row r="664" spans="1:16" s="2105" customFormat="1" outlineLevel="1">
      <c r="A664" s="2108">
        <f t="shared" si="98"/>
        <v>0</v>
      </c>
      <c r="B664" s="2131" t="str">
        <f>"LA"&amp;$F$6</f>
        <v>LA18</v>
      </c>
      <c r="C664" s="2119">
        <f t="shared" si="99"/>
        <v>0</v>
      </c>
      <c r="D664" s="2120" t="s">
        <v>5602</v>
      </c>
      <c r="E664" s="2121" t="s">
        <v>1193</v>
      </c>
      <c r="F664" s="2120" t="s">
        <v>2555</v>
      </c>
      <c r="G664" s="2127">
        <f>G661</f>
        <v>0</v>
      </c>
      <c r="H664" s="2123">
        <v>1106000</v>
      </c>
      <c r="I664" s="2123"/>
      <c r="J664" s="2123">
        <v>83490</v>
      </c>
      <c r="K664" s="2123">
        <v>0</v>
      </c>
      <c r="L664" s="2129">
        <f t="shared" si="94"/>
        <v>0</v>
      </c>
      <c r="M664" s="2129">
        <f t="shared" si="95"/>
        <v>0</v>
      </c>
      <c r="N664" s="2129">
        <f t="shared" si="96"/>
        <v>0</v>
      </c>
      <c r="O664" s="2128">
        <f t="shared" si="97"/>
        <v>0</v>
      </c>
      <c r="P664" s="2155"/>
    </row>
    <row r="665" spans="1:16" s="2105" customFormat="1" outlineLevel="1">
      <c r="A665" s="2108">
        <f t="shared" si="98"/>
        <v>0</v>
      </c>
      <c r="B665" s="2132" t="s">
        <v>1419</v>
      </c>
      <c r="C665" s="2119">
        <f t="shared" si="99"/>
        <v>0</v>
      </c>
      <c r="D665" s="2120">
        <v>0</v>
      </c>
      <c r="E665" s="2121" t="s">
        <v>5680</v>
      </c>
      <c r="F665" s="2120" t="s">
        <v>2555</v>
      </c>
      <c r="G665" s="2127">
        <f>+G661/3</f>
        <v>0</v>
      </c>
      <c r="H665" s="2123">
        <v>2440000</v>
      </c>
      <c r="I665" s="2123"/>
      <c r="J665" s="2123">
        <v>0</v>
      </c>
      <c r="K665" s="2123">
        <v>0</v>
      </c>
      <c r="L665" s="2129">
        <f t="shared" si="94"/>
        <v>0</v>
      </c>
      <c r="M665" s="2129">
        <f t="shared" si="95"/>
        <v>0</v>
      </c>
      <c r="N665" s="2129">
        <f t="shared" si="96"/>
        <v>0</v>
      </c>
      <c r="O665" s="2128">
        <f t="shared" si="97"/>
        <v>0</v>
      </c>
      <c r="P665" s="2155"/>
    </row>
    <row r="666" spans="1:16" s="2105" customFormat="1" outlineLevel="1">
      <c r="A666" s="2108">
        <f t="shared" si="98"/>
        <v>0</v>
      </c>
      <c r="B666" s="2133" t="s">
        <v>2043</v>
      </c>
      <c r="C666" s="2119">
        <f t="shared" si="99"/>
        <v>0</v>
      </c>
      <c r="D666" s="2120">
        <v>0</v>
      </c>
      <c r="E666" s="2121" t="s">
        <v>3356</v>
      </c>
      <c r="F666" s="2120" t="s">
        <v>2555</v>
      </c>
      <c r="G666" s="2164">
        <f>+G665*3</f>
        <v>0</v>
      </c>
      <c r="H666" s="2123"/>
      <c r="I666" s="2123"/>
      <c r="J666" s="2123"/>
      <c r="K666" s="2123">
        <v>0</v>
      </c>
      <c r="L666" s="2129">
        <f t="shared" si="94"/>
        <v>0</v>
      </c>
      <c r="M666" s="2129">
        <f t="shared" si="95"/>
        <v>0</v>
      </c>
      <c r="N666" s="2129">
        <f t="shared" si="96"/>
        <v>0</v>
      </c>
      <c r="O666" s="2128">
        <f t="shared" si="97"/>
        <v>0</v>
      </c>
      <c r="P666" s="2127" t="s">
        <v>2601</v>
      </c>
    </row>
    <row r="667" spans="1:16" s="2105" customFormat="1" outlineLevel="1">
      <c r="A667" s="2108">
        <f t="shared" si="98"/>
        <v>0</v>
      </c>
      <c r="B667" s="2206" t="s">
        <v>288</v>
      </c>
      <c r="C667" s="2119">
        <f t="shared" si="99"/>
        <v>0</v>
      </c>
      <c r="D667" s="2120">
        <v>0</v>
      </c>
      <c r="E667" s="2121" t="s">
        <v>3441</v>
      </c>
      <c r="F667" s="2120" t="s">
        <v>2555</v>
      </c>
      <c r="G667" s="2127">
        <f>+G665</f>
        <v>0</v>
      </c>
      <c r="H667" s="2123"/>
      <c r="I667" s="2123"/>
      <c r="J667" s="2123"/>
      <c r="K667" s="2123">
        <v>0</v>
      </c>
      <c r="L667" s="2129">
        <f t="shared" si="94"/>
        <v>0</v>
      </c>
      <c r="M667" s="2129">
        <f>I667*G667</f>
        <v>0</v>
      </c>
      <c r="N667" s="2129">
        <f>J667*G667</f>
        <v>0</v>
      </c>
      <c r="O667" s="2128">
        <f>K667*G667</f>
        <v>0</v>
      </c>
      <c r="P667" s="2127" t="s">
        <v>2601</v>
      </c>
    </row>
    <row r="668" spans="1:16" s="2105" customFormat="1" outlineLevel="1">
      <c r="A668" s="2108" t="str">
        <f>A660</f>
        <v/>
      </c>
      <c r="B668" s="2130"/>
      <c r="C668" s="2135"/>
      <c r="D668" s="2196"/>
      <c r="E668" s="2117"/>
      <c r="F668" s="2135"/>
      <c r="G668" s="2135"/>
      <c r="H668" s="2135"/>
      <c r="I668" s="2135"/>
      <c r="J668" s="2117" t="s">
        <v>6121</v>
      </c>
      <c r="K668" s="2135"/>
      <c r="L668" s="2117">
        <f>SUM(L661:L667)</f>
        <v>0</v>
      </c>
      <c r="M668" s="2117">
        <f>SUM(M661:M667)</f>
        <v>0</v>
      </c>
      <c r="N668" s="2117">
        <f>SUM(N661:N667)</f>
        <v>0</v>
      </c>
      <c r="O668" s="2117">
        <f>SUM(O661:O667)</f>
        <v>0</v>
      </c>
      <c r="P668" s="2170"/>
    </row>
    <row r="669" spans="1:16" s="2105" customFormat="1" outlineLevel="1">
      <c r="A669" s="2108" t="str">
        <f>A668</f>
        <v/>
      </c>
      <c r="B669" s="2130"/>
      <c r="C669" s="2137"/>
      <c r="D669" s="2198"/>
      <c r="E669" s="2139" t="s">
        <v>3673</v>
      </c>
      <c r="F669" s="2139"/>
      <c r="G669" s="2139"/>
      <c r="H669" s="2139"/>
      <c r="I669" s="2139"/>
      <c r="J669" s="2139"/>
      <c r="K669" s="2139"/>
      <c r="L669" s="2139"/>
      <c r="M669" s="2139"/>
      <c r="N669" s="2139"/>
      <c r="O669" s="2138"/>
      <c r="P669" s="2170"/>
    </row>
    <row r="670" spans="1:16" s="2105" customFormat="1" outlineLevel="1">
      <c r="A670" s="2108">
        <f t="shared" si="98"/>
        <v>0</v>
      </c>
      <c r="B670" s="2130"/>
      <c r="C670" s="2143">
        <f>IF(G670&gt;0,1,0)</f>
        <v>0</v>
      </c>
      <c r="D670" s="2199"/>
      <c r="E670" s="2200" t="s">
        <v>3692</v>
      </c>
      <c r="F670" s="2143" t="s">
        <v>2385</v>
      </c>
      <c r="G670" s="2143">
        <f>G661/3</f>
        <v>0</v>
      </c>
      <c r="H670" s="2201"/>
      <c r="I670" s="2201"/>
      <c r="J670" s="2201"/>
      <c r="K670" s="2201"/>
      <c r="L670" s="2201"/>
      <c r="M670" s="2201"/>
      <c r="N670" s="2201"/>
      <c r="O670" s="2143"/>
      <c r="P670" s="2169"/>
    </row>
    <row r="671" spans="1:16" s="2105" customFormat="1" ht="14.4" outlineLevel="1">
      <c r="A671" s="2108">
        <f>A670</f>
        <v>0</v>
      </c>
      <c r="B671" s="2130"/>
      <c r="C671" s="2142"/>
      <c r="D671" s="2202"/>
      <c r="E671" s="2172" t="s">
        <v>6133</v>
      </c>
      <c r="F671" s="2127"/>
      <c r="G671" s="2127"/>
      <c r="H671" s="2203"/>
      <c r="I671" s="2203"/>
      <c r="J671" s="2203"/>
      <c r="K671" s="2203"/>
      <c r="L671" s="2203"/>
      <c r="M671" s="2203"/>
      <c r="N671" s="2203"/>
      <c r="O671" s="2204"/>
      <c r="P671" s="2155"/>
    </row>
    <row r="672" spans="1:16" s="2105" customFormat="1" outlineLevel="1">
      <c r="A672" s="2108">
        <f t="shared" si="98"/>
        <v>0</v>
      </c>
      <c r="B672" s="2133" t="s">
        <v>1000</v>
      </c>
      <c r="C672" s="2142"/>
      <c r="D672" s="2120">
        <v>0</v>
      </c>
      <c r="E672" s="2121" t="s">
        <v>5715</v>
      </c>
      <c r="F672" s="2120" t="s">
        <v>3457</v>
      </c>
      <c r="G672" s="2127">
        <f>G670</f>
        <v>0</v>
      </c>
      <c r="H672" s="2123">
        <v>784000</v>
      </c>
      <c r="I672" s="2128"/>
      <c r="J672" s="2123">
        <v>0</v>
      </c>
      <c r="K672" s="2123">
        <v>0</v>
      </c>
      <c r="L672" s="2129">
        <f t="shared" ref="L672:L736" si="100">H672*G672</f>
        <v>0</v>
      </c>
      <c r="M672" s="2129">
        <f t="shared" ref="M672:M736" si="101">I672*G672</f>
        <v>0</v>
      </c>
      <c r="N672" s="2129">
        <f t="shared" ref="N672:N736" si="102">J672*G672</f>
        <v>0</v>
      </c>
      <c r="O672" s="2128">
        <f t="shared" ref="O672:O736" si="103">K672*G672</f>
        <v>0</v>
      </c>
      <c r="P672" s="2155"/>
    </row>
    <row r="673" spans="1:18" s="2105" customFormat="1" outlineLevel="1">
      <c r="A673" s="2108">
        <f t="shared" si="98"/>
        <v>0</v>
      </c>
      <c r="B673" s="2130" t="s">
        <v>1786</v>
      </c>
      <c r="C673" s="2142"/>
      <c r="D673" s="2202"/>
      <c r="E673" s="2121" t="s">
        <v>2639</v>
      </c>
      <c r="F673" s="2120" t="s">
        <v>2439</v>
      </c>
      <c r="G673" s="2127">
        <f>6*G670</f>
        <v>0</v>
      </c>
      <c r="H673" s="2123">
        <v>12400</v>
      </c>
      <c r="I673" s="2128"/>
      <c r="J673" s="2123">
        <v>0</v>
      </c>
      <c r="K673" s="2123">
        <v>0</v>
      </c>
      <c r="L673" s="2129">
        <f t="shared" si="100"/>
        <v>0</v>
      </c>
      <c r="M673" s="2129">
        <f t="shared" si="101"/>
        <v>0</v>
      </c>
      <c r="N673" s="2129">
        <f t="shared" si="102"/>
        <v>0</v>
      </c>
      <c r="O673" s="2128">
        <f t="shared" si="103"/>
        <v>0</v>
      </c>
      <c r="P673" s="2155"/>
    </row>
    <row r="674" spans="1:18" s="2105" customFormat="1" outlineLevel="1">
      <c r="A674" s="2108">
        <f t="shared" si="98"/>
        <v>0</v>
      </c>
      <c r="B674" s="2130" t="s">
        <v>1610</v>
      </c>
      <c r="C674" s="2142"/>
      <c r="D674" s="2202"/>
      <c r="E674" s="2121" t="s">
        <v>2649</v>
      </c>
      <c r="F674" s="2120" t="s">
        <v>2439</v>
      </c>
      <c r="G674" s="2127">
        <f>2*G670</f>
        <v>0</v>
      </c>
      <c r="H674" s="2123">
        <v>25400</v>
      </c>
      <c r="I674" s="2128"/>
      <c r="J674" s="2123">
        <v>0</v>
      </c>
      <c r="K674" s="2123">
        <v>0</v>
      </c>
      <c r="L674" s="2129">
        <f t="shared" si="100"/>
        <v>0</v>
      </c>
      <c r="M674" s="2129">
        <f t="shared" si="101"/>
        <v>0</v>
      </c>
      <c r="N674" s="2129">
        <f t="shared" si="102"/>
        <v>0</v>
      </c>
      <c r="O674" s="2128">
        <f t="shared" si="103"/>
        <v>0</v>
      </c>
      <c r="P674" s="2155"/>
    </row>
    <row r="675" spans="1:18" s="2105" customFormat="1" outlineLevel="1">
      <c r="A675" s="2108">
        <f>IF(G675&lt;&gt;0,1,)</f>
        <v>0</v>
      </c>
      <c r="B675" s="2130"/>
      <c r="C675" s="2145">
        <f>IF(G675&gt;0,C670+1,C670)</f>
        <v>0</v>
      </c>
      <c r="D675" s="2146"/>
      <c r="E675" s="2147" t="s">
        <v>6138</v>
      </c>
      <c r="F675" s="2142" t="s">
        <v>2385</v>
      </c>
      <c r="G675" s="2142">
        <f>G670*0</f>
        <v>0</v>
      </c>
      <c r="H675" s="2128"/>
      <c r="I675" s="2128"/>
      <c r="J675" s="2128"/>
      <c r="K675" s="2128"/>
      <c r="L675" s="2129">
        <f t="shared" si="100"/>
        <v>0</v>
      </c>
      <c r="M675" s="2129">
        <f t="shared" si="101"/>
        <v>0</v>
      </c>
      <c r="N675" s="2129">
        <f t="shared" si="102"/>
        <v>0</v>
      </c>
      <c r="O675" s="2128">
        <f t="shared" si="103"/>
        <v>0</v>
      </c>
      <c r="P675" s="2127"/>
    </row>
    <row r="676" spans="1:18" s="2105" customFormat="1" ht="14.4" outlineLevel="1">
      <c r="A676" s="2108">
        <f>A675</f>
        <v>0</v>
      </c>
      <c r="B676" s="2130"/>
      <c r="C676" s="2142"/>
      <c r="D676" s="2146"/>
      <c r="E676" s="2148" t="s">
        <v>6133</v>
      </c>
      <c r="F676" s="2127"/>
      <c r="G676" s="2127"/>
      <c r="H676" s="2128"/>
      <c r="I676" s="2128"/>
      <c r="J676" s="2128"/>
      <c r="K676" s="2128"/>
      <c r="L676" s="2129">
        <f t="shared" si="100"/>
        <v>0</v>
      </c>
      <c r="M676" s="2129">
        <f t="shared" si="101"/>
        <v>0</v>
      </c>
      <c r="N676" s="2129">
        <f t="shared" si="102"/>
        <v>0</v>
      </c>
      <c r="O676" s="2128">
        <f t="shared" si="103"/>
        <v>0</v>
      </c>
      <c r="P676" s="2127"/>
      <c r="R676" s="2149"/>
    </row>
    <row r="677" spans="1:18" s="2105" customFormat="1" outlineLevel="1">
      <c r="A677" s="2108">
        <f>IF(G677&lt;&gt;0,1,)</f>
        <v>0</v>
      </c>
      <c r="B677" s="2133" t="s">
        <v>115</v>
      </c>
      <c r="C677" s="2127"/>
      <c r="D677" s="2120">
        <v>0</v>
      </c>
      <c r="E677" s="2121" t="s">
        <v>2992</v>
      </c>
      <c r="F677" s="2120" t="s">
        <v>2831</v>
      </c>
      <c r="G677" s="2127">
        <f>1*G675</f>
        <v>0</v>
      </c>
      <c r="H677" s="2123">
        <v>4400000</v>
      </c>
      <c r="I677" s="2123"/>
      <c r="J677" s="2123">
        <v>0</v>
      </c>
      <c r="K677" s="2123">
        <v>0</v>
      </c>
      <c r="L677" s="2129">
        <f t="shared" si="100"/>
        <v>0</v>
      </c>
      <c r="M677" s="2129">
        <f t="shared" si="101"/>
        <v>0</v>
      </c>
      <c r="N677" s="2129">
        <f t="shared" si="102"/>
        <v>0</v>
      </c>
      <c r="O677" s="2128">
        <f t="shared" si="103"/>
        <v>0</v>
      </c>
      <c r="P677" s="2127"/>
      <c r="R677" s="2149"/>
    </row>
    <row r="678" spans="1:18" s="2105" customFormat="1" outlineLevel="1">
      <c r="A678" s="2108">
        <f>IF(G678&lt;&gt;0,1,)</f>
        <v>0</v>
      </c>
      <c r="B678" s="2133" t="s">
        <v>1814</v>
      </c>
      <c r="C678" s="2127"/>
      <c r="D678" s="2150"/>
      <c r="E678" s="2121" t="s">
        <v>2830</v>
      </c>
      <c r="F678" s="2120" t="s">
        <v>2831</v>
      </c>
      <c r="G678" s="2127">
        <f>G677</f>
        <v>0</v>
      </c>
      <c r="H678" s="2123">
        <v>17400</v>
      </c>
      <c r="I678" s="2123"/>
      <c r="J678" s="2123">
        <v>0</v>
      </c>
      <c r="K678" s="2123">
        <v>0</v>
      </c>
      <c r="L678" s="2129">
        <f t="shared" si="100"/>
        <v>0</v>
      </c>
      <c r="M678" s="2129">
        <f t="shared" si="101"/>
        <v>0</v>
      </c>
      <c r="N678" s="2129">
        <f t="shared" si="102"/>
        <v>0</v>
      </c>
      <c r="O678" s="2128">
        <f t="shared" si="103"/>
        <v>0</v>
      </c>
      <c r="P678" s="2127"/>
      <c r="R678" s="2149"/>
    </row>
    <row r="679" spans="1:18" s="2105" customFormat="1" outlineLevel="1">
      <c r="A679" s="2108">
        <f>IF(G679&lt;&gt;0,1,)</f>
        <v>0</v>
      </c>
      <c r="B679" s="2133" t="s">
        <v>2126</v>
      </c>
      <c r="C679" s="2127"/>
      <c r="D679" s="2150"/>
      <c r="E679" s="2121" t="s">
        <v>3167</v>
      </c>
      <c r="F679" s="2120" t="s">
        <v>2831</v>
      </c>
      <c r="G679" s="2127">
        <f>G677</f>
        <v>0</v>
      </c>
      <c r="H679" s="2123">
        <v>0</v>
      </c>
      <c r="I679" s="2123"/>
      <c r="J679" s="2123">
        <v>112286</v>
      </c>
      <c r="K679" s="2123">
        <v>105970</v>
      </c>
      <c r="L679" s="2129">
        <f t="shared" si="100"/>
        <v>0</v>
      </c>
      <c r="M679" s="2129">
        <f t="shared" si="101"/>
        <v>0</v>
      </c>
      <c r="N679" s="2129">
        <f t="shared" si="102"/>
        <v>0</v>
      </c>
      <c r="O679" s="2128">
        <f t="shared" si="103"/>
        <v>0</v>
      </c>
      <c r="P679" s="2127"/>
      <c r="R679" s="2149"/>
    </row>
    <row r="680" spans="1:18" s="2105" customFormat="1" outlineLevel="1">
      <c r="A680" s="2108">
        <f>IF(G680&lt;&gt;0,1,)</f>
        <v>0</v>
      </c>
      <c r="B680" s="2130"/>
      <c r="C680" s="2145">
        <f>IF(G680&gt;0,C675+1,C675)</f>
        <v>0</v>
      </c>
      <c r="D680" s="2146"/>
      <c r="E680" s="2147" t="s">
        <v>2352</v>
      </c>
      <c r="F680" s="2142" t="s">
        <v>2385</v>
      </c>
      <c r="G680" s="2142">
        <f>G675</f>
        <v>0</v>
      </c>
      <c r="H680" s="2128"/>
      <c r="I680" s="2128"/>
      <c r="J680" s="2128"/>
      <c r="K680" s="2128"/>
      <c r="L680" s="2129">
        <f t="shared" si="100"/>
        <v>0</v>
      </c>
      <c r="M680" s="2129">
        <f t="shared" si="101"/>
        <v>0</v>
      </c>
      <c r="N680" s="2129">
        <f t="shared" si="102"/>
        <v>0</v>
      </c>
      <c r="O680" s="2128">
        <f t="shared" si="103"/>
        <v>0</v>
      </c>
      <c r="P680" s="2127"/>
    </row>
    <row r="681" spans="1:18" s="2105" customFormat="1" ht="14.4" outlineLevel="1">
      <c r="A681" s="2108">
        <f>A680</f>
        <v>0</v>
      </c>
      <c r="B681" s="2130"/>
      <c r="C681" s="2142"/>
      <c r="D681" s="2146"/>
      <c r="E681" s="2148" t="s">
        <v>6133</v>
      </c>
      <c r="F681" s="2127"/>
      <c r="G681" s="2127"/>
      <c r="H681" s="2128"/>
      <c r="I681" s="2128"/>
      <c r="J681" s="2128"/>
      <c r="K681" s="2128"/>
      <c r="L681" s="2129">
        <f t="shared" si="100"/>
        <v>0</v>
      </c>
      <c r="M681" s="2129">
        <f t="shared" si="101"/>
        <v>0</v>
      </c>
      <c r="N681" s="2129">
        <f t="shared" si="102"/>
        <v>0</v>
      </c>
      <c r="O681" s="2128">
        <f t="shared" si="103"/>
        <v>0</v>
      </c>
      <c r="P681" s="2127"/>
      <c r="R681" s="2149"/>
    </row>
    <row r="682" spans="1:18" s="2105" customFormat="1" outlineLevel="1">
      <c r="A682" s="2108">
        <f>IF(G682&lt;&gt;0,1,)</f>
        <v>0</v>
      </c>
      <c r="B682" s="2133" t="s">
        <v>636</v>
      </c>
      <c r="C682" s="2127"/>
      <c r="D682" s="2120" t="s">
        <v>5047</v>
      </c>
      <c r="E682" s="2121" t="s">
        <v>2607</v>
      </c>
      <c r="F682" s="2120" t="s">
        <v>2555</v>
      </c>
      <c r="G682" s="2127">
        <f>1*G680</f>
        <v>0</v>
      </c>
      <c r="H682" s="2123">
        <v>354545</v>
      </c>
      <c r="I682" s="2123"/>
      <c r="J682" s="2123">
        <v>37220.25</v>
      </c>
      <c r="K682" s="2123">
        <v>0</v>
      </c>
      <c r="L682" s="2129">
        <f t="shared" si="100"/>
        <v>0</v>
      </c>
      <c r="M682" s="2129">
        <f t="shared" si="101"/>
        <v>0</v>
      </c>
      <c r="N682" s="2129">
        <f t="shared" si="102"/>
        <v>0</v>
      </c>
      <c r="O682" s="2128">
        <f t="shared" si="103"/>
        <v>0</v>
      </c>
      <c r="P682" s="2127"/>
      <c r="R682" s="2149"/>
    </row>
    <row r="683" spans="1:18" s="2105" customFormat="1" outlineLevel="1">
      <c r="A683" s="2108">
        <f>IF(G683&lt;&gt;0,1,)</f>
        <v>0</v>
      </c>
      <c r="B683" s="2133" t="s">
        <v>566</v>
      </c>
      <c r="C683" s="2127"/>
      <c r="D683" s="2120">
        <v>0</v>
      </c>
      <c r="E683" s="2121" t="s">
        <v>5072</v>
      </c>
      <c r="F683" s="2120" t="s">
        <v>2439</v>
      </c>
      <c r="G683" s="2127">
        <f>G680</f>
        <v>0</v>
      </c>
      <c r="H683" s="2123">
        <v>92200</v>
      </c>
      <c r="I683" s="2123"/>
      <c r="J683" s="2123">
        <v>0</v>
      </c>
      <c r="K683" s="2123">
        <v>0</v>
      </c>
      <c r="L683" s="2129">
        <f t="shared" si="100"/>
        <v>0</v>
      </c>
      <c r="M683" s="2129">
        <f t="shared" si="101"/>
        <v>0</v>
      </c>
      <c r="N683" s="2129">
        <f t="shared" si="102"/>
        <v>0</v>
      </c>
      <c r="O683" s="2128">
        <f t="shared" si="103"/>
        <v>0</v>
      </c>
      <c r="P683" s="2127"/>
      <c r="R683" s="2149"/>
    </row>
    <row r="684" spans="1:18" s="2105" customFormat="1" outlineLevel="1">
      <c r="A684" s="2108">
        <f>IF(G684&lt;&gt;0,1,)</f>
        <v>0</v>
      </c>
      <c r="B684" s="2133" t="s">
        <v>639</v>
      </c>
      <c r="C684" s="2127"/>
      <c r="D684" s="2120" t="s">
        <v>1747</v>
      </c>
      <c r="E684" s="2121" t="s">
        <v>5324</v>
      </c>
      <c r="F684" s="2120" t="s">
        <v>856</v>
      </c>
      <c r="G684" s="2151">
        <f>G680*1.45</f>
        <v>0</v>
      </c>
      <c r="H684" s="2123">
        <v>0</v>
      </c>
      <c r="I684" s="2123"/>
      <c r="J684" s="2123">
        <v>296500.89999999997</v>
      </c>
      <c r="K684" s="2123">
        <v>0</v>
      </c>
      <c r="L684" s="2129">
        <f t="shared" si="100"/>
        <v>0</v>
      </c>
      <c r="M684" s="2129">
        <f t="shared" si="101"/>
        <v>0</v>
      </c>
      <c r="N684" s="2129">
        <f t="shared" si="102"/>
        <v>0</v>
      </c>
      <c r="O684" s="2128">
        <f t="shared" si="103"/>
        <v>0</v>
      </c>
      <c r="P684" s="2127"/>
      <c r="R684" s="2149"/>
    </row>
    <row r="685" spans="1:18" s="2105" customFormat="1" outlineLevel="1">
      <c r="A685" s="2108">
        <f>IF(G685&lt;&gt;0,1,)</f>
        <v>0</v>
      </c>
      <c r="B685" s="2133" t="s">
        <v>21</v>
      </c>
      <c r="C685" s="2127"/>
      <c r="D685" s="2120" t="s">
        <v>5325</v>
      </c>
      <c r="E685" s="2121" t="s">
        <v>5326</v>
      </c>
      <c r="F685" s="2120" t="s">
        <v>856</v>
      </c>
      <c r="G685" s="2151">
        <f>G680*1.37</f>
        <v>0</v>
      </c>
      <c r="H685" s="2123">
        <v>0</v>
      </c>
      <c r="I685" s="2123"/>
      <c r="J685" s="2123">
        <v>117703.6</v>
      </c>
      <c r="K685" s="2123">
        <v>0</v>
      </c>
      <c r="L685" s="2129">
        <f t="shared" si="100"/>
        <v>0</v>
      </c>
      <c r="M685" s="2129">
        <f t="shared" si="101"/>
        <v>0</v>
      </c>
      <c r="N685" s="2129">
        <f t="shared" si="102"/>
        <v>0</v>
      </c>
      <c r="O685" s="2128">
        <f t="shared" si="103"/>
        <v>0</v>
      </c>
      <c r="P685" s="2127"/>
      <c r="R685" s="2149"/>
    </row>
    <row r="686" spans="1:18" s="2105" customFormat="1" outlineLevel="1">
      <c r="A686" s="2108">
        <f t="shared" si="98"/>
        <v>0</v>
      </c>
      <c r="B686" s="2133" t="s">
        <v>6159</v>
      </c>
      <c r="C686" s="2142">
        <f>IF(G686&gt;0,C680+1,C680)</f>
        <v>0</v>
      </c>
      <c r="D686" s="2202"/>
      <c r="E686" s="2171" t="s">
        <v>6160</v>
      </c>
      <c r="F686" s="2142" t="s">
        <v>2385</v>
      </c>
      <c r="G686" s="2142">
        <f>G670</f>
        <v>0</v>
      </c>
      <c r="H686" s="2128"/>
      <c r="I686" s="2128"/>
      <c r="J686" s="2128"/>
      <c r="K686" s="2128"/>
      <c r="L686" s="2129">
        <f t="shared" si="100"/>
        <v>0</v>
      </c>
      <c r="M686" s="2129">
        <f t="shared" si="101"/>
        <v>0</v>
      </c>
      <c r="N686" s="2129">
        <f t="shared" si="102"/>
        <v>0</v>
      </c>
      <c r="O686" s="2128">
        <f t="shared" si="103"/>
        <v>0</v>
      </c>
      <c r="P686" s="2155"/>
    </row>
    <row r="687" spans="1:18" s="2105" customFormat="1" ht="14.4" outlineLevel="1">
      <c r="A687" s="2108">
        <f>A686</f>
        <v>0</v>
      </c>
      <c r="B687" s="2130"/>
      <c r="C687" s="2142"/>
      <c r="D687" s="2202"/>
      <c r="E687" s="2172" t="s">
        <v>6133</v>
      </c>
      <c r="F687" s="2127"/>
      <c r="G687" s="2127"/>
      <c r="H687" s="2128"/>
      <c r="I687" s="2128"/>
      <c r="J687" s="2128"/>
      <c r="K687" s="2128"/>
      <c r="L687" s="2129">
        <f t="shared" si="100"/>
        <v>0</v>
      </c>
      <c r="M687" s="2129">
        <f t="shared" si="101"/>
        <v>0</v>
      </c>
      <c r="N687" s="2129">
        <f t="shared" si="102"/>
        <v>0</v>
      </c>
      <c r="O687" s="2128">
        <f t="shared" si="103"/>
        <v>0</v>
      </c>
      <c r="P687" s="2155"/>
    </row>
    <row r="688" spans="1:18" s="2105" customFormat="1" outlineLevel="1">
      <c r="A688" s="2108">
        <f t="shared" si="98"/>
        <v>0</v>
      </c>
      <c r="B688" s="2133" t="s">
        <v>5151</v>
      </c>
      <c r="C688" s="2142"/>
      <c r="D688" s="2120">
        <v>0</v>
      </c>
      <c r="E688" s="2121" t="s">
        <v>5152</v>
      </c>
      <c r="F688" s="2120" t="s">
        <v>2590</v>
      </c>
      <c r="G688" s="2151">
        <f>+G686</f>
        <v>0</v>
      </c>
      <c r="H688" s="2123">
        <v>960000</v>
      </c>
      <c r="I688" s="2128"/>
      <c r="J688" s="2123">
        <v>0</v>
      </c>
      <c r="K688" s="2123">
        <v>0</v>
      </c>
      <c r="L688" s="2129">
        <f t="shared" si="100"/>
        <v>0</v>
      </c>
      <c r="M688" s="2129">
        <f t="shared" si="101"/>
        <v>0</v>
      </c>
      <c r="N688" s="2129">
        <f t="shared" si="102"/>
        <v>0</v>
      </c>
      <c r="O688" s="2128">
        <f t="shared" si="103"/>
        <v>0</v>
      </c>
      <c r="P688" s="2155"/>
    </row>
    <row r="689" spans="1:16" s="2105" customFormat="1" outlineLevel="1">
      <c r="A689" s="2108">
        <f t="shared" si="98"/>
        <v>0</v>
      </c>
      <c r="B689" s="2133" t="s">
        <v>5158</v>
      </c>
      <c r="C689" s="2142"/>
      <c r="D689" s="2120">
        <v>0</v>
      </c>
      <c r="E689" s="2121" t="s">
        <v>5159</v>
      </c>
      <c r="F689" s="2120" t="s">
        <v>5160</v>
      </c>
      <c r="G689" s="2151">
        <f>+G688*2</f>
        <v>0</v>
      </c>
      <c r="H689" s="2123">
        <v>140000</v>
      </c>
      <c r="I689" s="2128"/>
      <c r="J689" s="2123">
        <v>0</v>
      </c>
      <c r="K689" s="2123">
        <v>0</v>
      </c>
      <c r="L689" s="2129">
        <f t="shared" si="100"/>
        <v>0</v>
      </c>
      <c r="M689" s="2129">
        <f t="shared" si="101"/>
        <v>0</v>
      </c>
      <c r="N689" s="2129">
        <f t="shared" si="102"/>
        <v>0</v>
      </c>
      <c r="O689" s="2128">
        <f t="shared" si="103"/>
        <v>0</v>
      </c>
      <c r="P689" s="2155"/>
    </row>
    <row r="690" spans="1:16" s="2105" customFormat="1" outlineLevel="1">
      <c r="A690" s="2108">
        <f t="shared" si="98"/>
        <v>0</v>
      </c>
      <c r="B690" s="2130" t="s">
        <v>488</v>
      </c>
      <c r="C690" s="2142"/>
      <c r="D690" s="2120">
        <v>0</v>
      </c>
      <c r="E690" s="2121" t="s">
        <v>5078</v>
      </c>
      <c r="F690" s="2120" t="s">
        <v>2439</v>
      </c>
      <c r="G690" s="2127">
        <f>G686*3</f>
        <v>0</v>
      </c>
      <c r="H690" s="2123">
        <v>65000</v>
      </c>
      <c r="I690" s="2128"/>
      <c r="J690" s="2123">
        <v>0</v>
      </c>
      <c r="K690" s="2123">
        <v>0</v>
      </c>
      <c r="L690" s="2129">
        <f t="shared" si="100"/>
        <v>0</v>
      </c>
      <c r="M690" s="2129">
        <f t="shared" si="101"/>
        <v>0</v>
      </c>
      <c r="N690" s="2129">
        <f t="shared" si="102"/>
        <v>0</v>
      </c>
      <c r="O690" s="2128">
        <f t="shared" si="103"/>
        <v>0</v>
      </c>
      <c r="P690" s="2155"/>
    </row>
    <row r="691" spans="1:16" s="2105" customFormat="1" outlineLevel="1">
      <c r="A691" s="2108">
        <f t="shared" si="98"/>
        <v>0</v>
      </c>
      <c r="B691" s="2130" t="s">
        <v>244</v>
      </c>
      <c r="C691" s="2142"/>
      <c r="D691" s="2120">
        <v>0</v>
      </c>
      <c r="E691" s="2121" t="s">
        <v>2641</v>
      </c>
      <c r="F691" s="2120" t="s">
        <v>2439</v>
      </c>
      <c r="G691" s="2127">
        <f>2*G686</f>
        <v>0</v>
      </c>
      <c r="H691" s="2123">
        <v>18900</v>
      </c>
      <c r="I691" s="2128"/>
      <c r="J691" s="2123">
        <v>0</v>
      </c>
      <c r="K691" s="2123">
        <v>0</v>
      </c>
      <c r="L691" s="2129">
        <f t="shared" si="100"/>
        <v>0</v>
      </c>
      <c r="M691" s="2129">
        <f t="shared" si="101"/>
        <v>0</v>
      </c>
      <c r="N691" s="2129">
        <f t="shared" si="102"/>
        <v>0</v>
      </c>
      <c r="O691" s="2128">
        <f t="shared" si="103"/>
        <v>0</v>
      </c>
      <c r="P691" s="2155"/>
    </row>
    <row r="692" spans="1:16" s="2105" customFormat="1" outlineLevel="1">
      <c r="A692" s="2108">
        <f>IF(G692&lt;&gt;0,1,0)</f>
        <v>0</v>
      </c>
      <c r="B692" s="2130" t="s">
        <v>1079</v>
      </c>
      <c r="C692" s="2142"/>
      <c r="D692" s="2120">
        <v>0</v>
      </c>
      <c r="E692" s="2121" t="s">
        <v>2651</v>
      </c>
      <c r="F692" s="2120" t="s">
        <v>2439</v>
      </c>
      <c r="G692" s="2127">
        <f>1*G686</f>
        <v>0</v>
      </c>
      <c r="H692" s="2123">
        <v>27900</v>
      </c>
      <c r="I692" s="2128"/>
      <c r="J692" s="2123">
        <v>0</v>
      </c>
      <c r="K692" s="2123">
        <v>0</v>
      </c>
      <c r="L692" s="2129">
        <f>H692*G692</f>
        <v>0</v>
      </c>
      <c r="M692" s="2129">
        <f>I692*G692</f>
        <v>0</v>
      </c>
      <c r="N692" s="2129">
        <f>J692*G692</f>
        <v>0</v>
      </c>
      <c r="O692" s="2128">
        <f>K692*G692</f>
        <v>0</v>
      </c>
      <c r="P692" s="2155"/>
    </row>
    <row r="693" spans="1:16" s="2105" customFormat="1" outlineLevel="1">
      <c r="A693" s="2108">
        <f t="shared" si="98"/>
        <v>0</v>
      </c>
      <c r="B693" s="2130" t="s">
        <v>1610</v>
      </c>
      <c r="C693" s="2142"/>
      <c r="D693" s="2120">
        <v>0</v>
      </c>
      <c r="E693" s="2121" t="s">
        <v>2649</v>
      </c>
      <c r="F693" s="2120" t="s">
        <v>2439</v>
      </c>
      <c r="G693" s="2127">
        <f>1*G686</f>
        <v>0</v>
      </c>
      <c r="H693" s="2123">
        <v>25400</v>
      </c>
      <c r="I693" s="2128"/>
      <c r="J693" s="2123">
        <v>0</v>
      </c>
      <c r="K693" s="2123">
        <v>0</v>
      </c>
      <c r="L693" s="2129">
        <f t="shared" si="100"/>
        <v>0</v>
      </c>
      <c r="M693" s="2129">
        <f t="shared" si="101"/>
        <v>0</v>
      </c>
      <c r="N693" s="2129">
        <f t="shared" si="102"/>
        <v>0</v>
      </c>
      <c r="O693" s="2128">
        <f t="shared" si="103"/>
        <v>0</v>
      </c>
      <c r="P693" s="2155"/>
    </row>
    <row r="694" spans="1:16" s="2105" customFormat="1" outlineLevel="1">
      <c r="A694" s="2108">
        <f>IF(G694&lt;&gt;0,1,0)</f>
        <v>0</v>
      </c>
      <c r="B694" s="2130" t="s">
        <v>420</v>
      </c>
      <c r="C694" s="2142"/>
      <c r="D694" s="2120" t="s">
        <v>5421</v>
      </c>
      <c r="E694" s="2121" t="s">
        <v>5422</v>
      </c>
      <c r="F694" s="2120" t="s">
        <v>2439</v>
      </c>
      <c r="G694" s="2127">
        <f>G686</f>
        <v>0</v>
      </c>
      <c r="H694" s="2123">
        <v>0</v>
      </c>
      <c r="I694" s="2128"/>
      <c r="J694" s="2123" t="s">
        <v>6326</v>
      </c>
      <c r="K694" s="2123">
        <v>0</v>
      </c>
      <c r="L694" s="2129">
        <f>H694*G694</f>
        <v>0</v>
      </c>
      <c r="M694" s="2129">
        <f>I694*G694</f>
        <v>0</v>
      </c>
      <c r="N694" s="2123">
        <v>0</v>
      </c>
      <c r="O694" s="2128">
        <f>K694*G694</f>
        <v>0</v>
      </c>
      <c r="P694" s="2155"/>
    </row>
    <row r="695" spans="1:16" s="2105" customFormat="1" outlineLevel="1">
      <c r="A695" s="2108">
        <f t="shared" si="98"/>
        <v>0</v>
      </c>
      <c r="B695" s="2130"/>
      <c r="C695" s="2142">
        <f>IF(G695&gt;0,C686+1,C686)</f>
        <v>0</v>
      </c>
      <c r="D695" s="2202"/>
      <c r="E695" s="2171" t="s">
        <v>3694</v>
      </c>
      <c r="F695" s="2142" t="s">
        <v>2385</v>
      </c>
      <c r="G695" s="2142">
        <f>G670</f>
        <v>0</v>
      </c>
      <c r="H695" s="2128"/>
      <c r="I695" s="2128"/>
      <c r="J695" s="2128"/>
      <c r="K695" s="2128"/>
      <c r="L695" s="2129">
        <f t="shared" si="100"/>
        <v>0</v>
      </c>
      <c r="M695" s="2129">
        <f t="shared" si="101"/>
        <v>0</v>
      </c>
      <c r="N695" s="2129">
        <f t="shared" si="102"/>
        <v>0</v>
      </c>
      <c r="O695" s="2128">
        <f t="shared" si="103"/>
        <v>0</v>
      </c>
      <c r="P695" s="2155"/>
    </row>
    <row r="696" spans="1:16" s="2105" customFormat="1" ht="14.4" outlineLevel="1">
      <c r="A696" s="2108">
        <f>A695</f>
        <v>0</v>
      </c>
      <c r="B696" s="2130"/>
      <c r="C696" s="2142"/>
      <c r="D696" s="2202"/>
      <c r="E696" s="2172" t="s">
        <v>6133</v>
      </c>
      <c r="F696" s="2127"/>
      <c r="G696" s="2127"/>
      <c r="H696" s="2128"/>
      <c r="I696" s="2128"/>
      <c r="J696" s="2128"/>
      <c r="K696" s="2128"/>
      <c r="L696" s="2129">
        <f t="shared" si="100"/>
        <v>0</v>
      </c>
      <c r="M696" s="2129">
        <f t="shared" si="101"/>
        <v>0</v>
      </c>
      <c r="N696" s="2129">
        <f t="shared" si="102"/>
        <v>0</v>
      </c>
      <c r="O696" s="2128">
        <f t="shared" si="103"/>
        <v>0</v>
      </c>
      <c r="P696" s="2155"/>
    </row>
    <row r="697" spans="1:16" s="2105" customFormat="1" outlineLevel="1">
      <c r="A697" s="2108">
        <f t="shared" si="98"/>
        <v>0</v>
      </c>
      <c r="B697" s="2130" t="s">
        <v>1033</v>
      </c>
      <c r="C697" s="2127"/>
      <c r="D697" s="2120">
        <v>0</v>
      </c>
      <c r="E697" s="2121" t="s">
        <v>2700</v>
      </c>
      <c r="F697" s="2120" t="s">
        <v>2248</v>
      </c>
      <c r="G697" s="2156">
        <f>G695*0.224*H3</f>
        <v>0</v>
      </c>
      <c r="H697" s="2123">
        <v>255500</v>
      </c>
      <c r="I697" s="2128"/>
      <c r="J697" s="2123">
        <v>0</v>
      </c>
      <c r="K697" s="2123">
        <v>0</v>
      </c>
      <c r="L697" s="2129">
        <f t="shared" si="100"/>
        <v>0</v>
      </c>
      <c r="M697" s="2129">
        <f t="shared" si="101"/>
        <v>0</v>
      </c>
      <c r="N697" s="2129">
        <f t="shared" si="102"/>
        <v>0</v>
      </c>
      <c r="O697" s="2128">
        <f t="shared" si="103"/>
        <v>0</v>
      </c>
      <c r="P697" s="2155"/>
    </row>
    <row r="698" spans="1:16" s="2105" customFormat="1" outlineLevel="1">
      <c r="A698" s="2108">
        <f t="shared" si="98"/>
        <v>0</v>
      </c>
      <c r="B698" s="2133" t="s">
        <v>1508</v>
      </c>
      <c r="C698" s="2127"/>
      <c r="D698" s="2120">
        <v>0</v>
      </c>
      <c r="E698" s="2121" t="s">
        <v>5163</v>
      </c>
      <c r="F698" s="2120" t="s">
        <v>2439</v>
      </c>
      <c r="G698" s="2127">
        <f>9*G695</f>
        <v>0</v>
      </c>
      <c r="H698" s="2123">
        <v>160000</v>
      </c>
      <c r="I698" s="2128"/>
      <c r="J698" s="2123">
        <v>0</v>
      </c>
      <c r="K698" s="2123">
        <v>0</v>
      </c>
      <c r="L698" s="2129">
        <f t="shared" si="100"/>
        <v>0</v>
      </c>
      <c r="M698" s="2129">
        <f t="shared" si="101"/>
        <v>0</v>
      </c>
      <c r="N698" s="2129">
        <f t="shared" si="102"/>
        <v>0</v>
      </c>
      <c r="O698" s="2128">
        <f t="shared" si="103"/>
        <v>0</v>
      </c>
      <c r="P698" s="2155"/>
    </row>
    <row r="699" spans="1:16" s="2105" customFormat="1" outlineLevel="1">
      <c r="A699" s="2108">
        <f t="shared" si="98"/>
        <v>0</v>
      </c>
      <c r="B699" s="2133" t="s">
        <v>1490</v>
      </c>
      <c r="C699" s="2127"/>
      <c r="D699" s="2120">
        <v>0</v>
      </c>
      <c r="E699" s="2121" t="s">
        <v>3536</v>
      </c>
      <c r="F699" s="2120" t="s">
        <v>1823</v>
      </c>
      <c r="G699" s="2127"/>
      <c r="H699" s="2123">
        <v>6200</v>
      </c>
      <c r="I699" s="2128"/>
      <c r="J699" s="2123">
        <v>0</v>
      </c>
      <c r="K699" s="2123">
        <v>0</v>
      </c>
      <c r="L699" s="2129">
        <f t="shared" si="100"/>
        <v>0</v>
      </c>
      <c r="M699" s="2129">
        <f t="shared" si="101"/>
        <v>0</v>
      </c>
      <c r="N699" s="2129">
        <f t="shared" si="102"/>
        <v>0</v>
      </c>
      <c r="O699" s="2128">
        <f t="shared" si="103"/>
        <v>0</v>
      </c>
      <c r="P699" s="2155"/>
    </row>
    <row r="700" spans="1:16" s="2105" customFormat="1" outlineLevel="1">
      <c r="A700" s="2108">
        <f t="shared" si="98"/>
        <v>0</v>
      </c>
      <c r="B700" s="2130" t="s">
        <v>905</v>
      </c>
      <c r="C700" s="2127"/>
      <c r="D700" s="2120">
        <v>0</v>
      </c>
      <c r="E700" s="2121" t="s">
        <v>6328</v>
      </c>
      <c r="F700" s="2120" t="s">
        <v>2555</v>
      </c>
      <c r="G700" s="2127">
        <f>2*G695</f>
        <v>0</v>
      </c>
      <c r="H700" s="2123">
        <v>8000</v>
      </c>
      <c r="I700" s="2123"/>
      <c r="J700" s="2123">
        <v>0</v>
      </c>
      <c r="K700" s="2123">
        <v>0</v>
      </c>
      <c r="L700" s="2129">
        <f t="shared" si="100"/>
        <v>0</v>
      </c>
      <c r="M700" s="2129">
        <f t="shared" si="101"/>
        <v>0</v>
      </c>
      <c r="N700" s="2129">
        <f t="shared" si="102"/>
        <v>0</v>
      </c>
      <c r="O700" s="2128">
        <f t="shared" si="103"/>
        <v>0</v>
      </c>
      <c r="P700" s="2155"/>
    </row>
    <row r="701" spans="1:16" s="2105" customFormat="1" outlineLevel="1">
      <c r="A701" s="2108">
        <f t="shared" si="98"/>
        <v>0</v>
      </c>
      <c r="B701" s="2130" t="s">
        <v>816</v>
      </c>
      <c r="C701" s="2127"/>
      <c r="D701" s="2120">
        <v>0</v>
      </c>
      <c r="E701" s="2121" t="s">
        <v>3581</v>
      </c>
      <c r="F701" s="2120" t="s">
        <v>2555</v>
      </c>
      <c r="G701" s="2127">
        <f>G695*11</f>
        <v>0</v>
      </c>
      <c r="H701" s="2123">
        <v>17600</v>
      </c>
      <c r="I701" s="2123"/>
      <c r="J701" s="2123">
        <v>0</v>
      </c>
      <c r="K701" s="2123">
        <v>0</v>
      </c>
      <c r="L701" s="2129">
        <f t="shared" si="100"/>
        <v>0</v>
      </c>
      <c r="M701" s="2129">
        <f t="shared" si="101"/>
        <v>0</v>
      </c>
      <c r="N701" s="2129">
        <f t="shared" si="102"/>
        <v>0</v>
      </c>
      <c r="O701" s="2128">
        <f t="shared" si="103"/>
        <v>0</v>
      </c>
      <c r="P701" s="2155"/>
    </row>
    <row r="702" spans="1:16" s="2105" customFormat="1" outlineLevel="1">
      <c r="A702" s="2108">
        <f t="shared" si="98"/>
        <v>0</v>
      </c>
      <c r="B702" s="2133" t="s">
        <v>525</v>
      </c>
      <c r="C702" s="2127"/>
      <c r="D702" s="2120">
        <v>0</v>
      </c>
      <c r="E702" s="2121" t="s">
        <v>5252</v>
      </c>
      <c r="F702" s="2120" t="s">
        <v>2439</v>
      </c>
      <c r="G702" s="2127"/>
      <c r="H702" s="2123">
        <v>43000</v>
      </c>
      <c r="I702" s="2128"/>
      <c r="J702" s="2123">
        <v>0</v>
      </c>
      <c r="K702" s="2123">
        <v>0</v>
      </c>
      <c r="L702" s="2129">
        <f t="shared" si="100"/>
        <v>0</v>
      </c>
      <c r="M702" s="2129">
        <f t="shared" si="101"/>
        <v>0</v>
      </c>
      <c r="N702" s="2129">
        <f>J702*A702</f>
        <v>0</v>
      </c>
      <c r="O702" s="2128">
        <f t="shared" si="103"/>
        <v>0</v>
      </c>
      <c r="P702" s="2155"/>
    </row>
    <row r="703" spans="1:16" s="2105" customFormat="1" outlineLevel="1">
      <c r="A703" s="2108">
        <f>+A697</f>
        <v>0</v>
      </c>
      <c r="B703" s="2130" t="s">
        <v>2183</v>
      </c>
      <c r="C703" s="2127"/>
      <c r="D703" s="2120" t="s">
        <v>5346</v>
      </c>
      <c r="E703" s="2121" t="s">
        <v>5347</v>
      </c>
      <c r="F703" s="2120" t="s">
        <v>2532</v>
      </c>
      <c r="G703" s="2127">
        <f>G697/0.224</f>
        <v>0</v>
      </c>
      <c r="H703" s="2123">
        <v>0</v>
      </c>
      <c r="I703" s="2123"/>
      <c r="J703" s="2123">
        <v>8070.7000000000007</v>
      </c>
      <c r="K703" s="2123">
        <v>2044.9974999999999</v>
      </c>
      <c r="L703" s="2129">
        <f>H703*G703</f>
        <v>0</v>
      </c>
      <c r="M703" s="2129">
        <f>I703*G703</f>
        <v>0</v>
      </c>
      <c r="N703" s="2129">
        <f>J703*G703</f>
        <v>0</v>
      </c>
      <c r="O703" s="2128">
        <f>K703*G703</f>
        <v>0</v>
      </c>
      <c r="P703" s="2155"/>
    </row>
    <row r="704" spans="1:16" s="2105" customFormat="1" outlineLevel="1">
      <c r="A704" s="2108">
        <f>+A698</f>
        <v>0</v>
      </c>
      <c r="B704" s="2133" t="s">
        <v>902</v>
      </c>
      <c r="C704" s="2127"/>
      <c r="D704" s="2120" t="s">
        <v>5351</v>
      </c>
      <c r="E704" s="2121" t="s">
        <v>5352</v>
      </c>
      <c r="F704" s="2120" t="s">
        <v>2278</v>
      </c>
      <c r="G704" s="2127">
        <f>G698</f>
        <v>0</v>
      </c>
      <c r="H704" s="2123">
        <v>0</v>
      </c>
      <c r="I704" s="2128"/>
      <c r="J704" s="2123" t="s">
        <v>6315</v>
      </c>
      <c r="K704" s="2123">
        <v>1573.075</v>
      </c>
      <c r="L704" s="2129">
        <f>H704*G704</f>
        <v>0</v>
      </c>
      <c r="M704" s="2129">
        <f>I704*G704</f>
        <v>0</v>
      </c>
      <c r="N704" s="2123">
        <v>0</v>
      </c>
      <c r="O704" s="2128">
        <f>K704*G704</f>
        <v>0</v>
      </c>
      <c r="P704" s="2155"/>
    </row>
    <row r="705" spans="1:16" s="2105" customFormat="1" outlineLevel="1">
      <c r="A705" s="2108">
        <f>IF(G705&lt;&gt;0,1,0)</f>
        <v>0</v>
      </c>
      <c r="B705" s="2130" t="s">
        <v>1055</v>
      </c>
      <c r="C705" s="2127"/>
      <c r="D705" s="2120" t="s">
        <v>5336</v>
      </c>
      <c r="E705" s="2121" t="s">
        <v>3068</v>
      </c>
      <c r="F705" s="2120" t="s">
        <v>856</v>
      </c>
      <c r="G705" s="2151">
        <f>G695*H4</f>
        <v>0</v>
      </c>
      <c r="H705" s="2123">
        <v>0</v>
      </c>
      <c r="I705" s="2123"/>
      <c r="J705" s="2123">
        <v>283749.75</v>
      </c>
      <c r="K705" s="2123">
        <v>0</v>
      </c>
      <c r="L705" s="2129">
        <f>H705*G705</f>
        <v>0</v>
      </c>
      <c r="M705" s="2129">
        <f>I705*G705</f>
        <v>0</v>
      </c>
      <c r="N705" s="2129">
        <f>J705*G705</f>
        <v>0</v>
      </c>
      <c r="O705" s="2128">
        <f>K705*G705</f>
        <v>0</v>
      </c>
      <c r="P705" s="2155"/>
    </row>
    <row r="706" spans="1:16" s="2105" customFormat="1" outlineLevel="1">
      <c r="A706" s="2108">
        <f>IF(G706&lt;&gt;0,1,0)</f>
        <v>0</v>
      </c>
      <c r="B706" s="2133" t="s">
        <v>1056</v>
      </c>
      <c r="C706" s="2127"/>
      <c r="D706" s="2120" t="s">
        <v>5325</v>
      </c>
      <c r="E706" s="2121" t="s">
        <v>5337</v>
      </c>
      <c r="F706" s="2120" t="s">
        <v>856</v>
      </c>
      <c r="G706" s="2151">
        <f>G705</f>
        <v>0</v>
      </c>
      <c r="H706" s="2123">
        <v>0</v>
      </c>
      <c r="I706" s="2128"/>
      <c r="J706" s="2123">
        <v>117703.6</v>
      </c>
      <c r="K706" s="2123">
        <v>0</v>
      </c>
      <c r="L706" s="2129">
        <f>H706*G706</f>
        <v>0</v>
      </c>
      <c r="M706" s="2129">
        <f>I706*G706</f>
        <v>0</v>
      </c>
      <c r="N706" s="2129">
        <f>J706*G706</f>
        <v>0</v>
      </c>
      <c r="O706" s="2128">
        <f>K706*G706</f>
        <v>0</v>
      </c>
      <c r="P706" s="2155"/>
    </row>
    <row r="707" spans="1:16" s="2105" customFormat="1" outlineLevel="1">
      <c r="A707" s="2108">
        <f t="shared" si="98"/>
        <v>0</v>
      </c>
      <c r="B707" s="2130"/>
      <c r="C707" s="2142">
        <f>IF(G707&gt;0,C695+1,C695)</f>
        <v>0</v>
      </c>
      <c r="D707" s="2202"/>
      <c r="E707" s="2158" t="s">
        <v>3700</v>
      </c>
      <c r="F707" s="2142" t="s">
        <v>2385</v>
      </c>
      <c r="G707" s="2142">
        <f>G695</f>
        <v>0</v>
      </c>
      <c r="H707" s="2128"/>
      <c r="I707" s="2128"/>
      <c r="J707" s="2128"/>
      <c r="K707" s="2128"/>
      <c r="L707" s="2129">
        <f t="shared" si="100"/>
        <v>0</v>
      </c>
      <c r="M707" s="2129">
        <f t="shared" si="101"/>
        <v>0</v>
      </c>
      <c r="N707" s="2129">
        <f t="shared" si="102"/>
        <v>0</v>
      </c>
      <c r="O707" s="2128">
        <f t="shared" si="103"/>
        <v>0</v>
      </c>
      <c r="P707" s="2155"/>
    </row>
    <row r="708" spans="1:16" s="2105" customFormat="1" ht="14.4" outlineLevel="1">
      <c r="A708" s="2108">
        <f>A707</f>
        <v>0</v>
      </c>
      <c r="B708" s="2130"/>
      <c r="C708" s="2142"/>
      <c r="D708" s="2202"/>
      <c r="E708" s="2172" t="s">
        <v>6133</v>
      </c>
      <c r="F708" s="2127"/>
      <c r="G708" s="2127"/>
      <c r="H708" s="2128"/>
      <c r="I708" s="2128"/>
      <c r="J708" s="2128"/>
      <c r="K708" s="2128"/>
      <c r="L708" s="2129">
        <f t="shared" si="100"/>
        <v>0</v>
      </c>
      <c r="M708" s="2129">
        <f t="shared" si="101"/>
        <v>0</v>
      </c>
      <c r="N708" s="2129">
        <f t="shared" si="102"/>
        <v>0</v>
      </c>
      <c r="O708" s="2128">
        <f t="shared" si="103"/>
        <v>0</v>
      </c>
      <c r="P708" s="2155"/>
    </row>
    <row r="709" spans="1:16" s="2105" customFormat="1" outlineLevel="1">
      <c r="A709" s="2108">
        <f t="shared" si="98"/>
        <v>0</v>
      </c>
      <c r="B709" s="2133" t="s">
        <v>616</v>
      </c>
      <c r="C709" s="2127"/>
      <c r="D709" s="2120" t="s">
        <v>5655</v>
      </c>
      <c r="E709" s="2121" t="s">
        <v>3392</v>
      </c>
      <c r="F709" s="2120" t="s">
        <v>2555</v>
      </c>
      <c r="G709" s="2127">
        <f>G707</f>
        <v>0</v>
      </c>
      <c r="H709" s="2123">
        <v>3793194</v>
      </c>
      <c r="I709" s="2123"/>
      <c r="J709" s="2123">
        <v>599038</v>
      </c>
      <c r="K709" s="2123">
        <v>97369</v>
      </c>
      <c r="L709" s="2129">
        <f t="shared" si="100"/>
        <v>0</v>
      </c>
      <c r="M709" s="2129">
        <f t="shared" si="101"/>
        <v>0</v>
      </c>
      <c r="N709" s="2129">
        <f t="shared" si="102"/>
        <v>0</v>
      </c>
      <c r="O709" s="2128">
        <f t="shared" si="103"/>
        <v>0</v>
      </c>
      <c r="P709" s="2155"/>
    </row>
    <row r="710" spans="1:16" s="2105" customFormat="1" outlineLevel="1">
      <c r="A710" s="2108">
        <f t="shared" si="98"/>
        <v>0</v>
      </c>
      <c r="B710" s="2130" t="s">
        <v>879</v>
      </c>
      <c r="C710" s="2127"/>
      <c r="D710" s="2207"/>
      <c r="E710" s="2121" t="s">
        <v>2982</v>
      </c>
      <c r="F710" s="2120" t="s">
        <v>2439</v>
      </c>
      <c r="G710" s="2127">
        <f>+G709*2</f>
        <v>0</v>
      </c>
      <c r="H710" s="2123">
        <v>168000</v>
      </c>
      <c r="I710" s="2128"/>
      <c r="J710" s="2123">
        <v>0</v>
      </c>
      <c r="K710" s="2123">
        <v>0</v>
      </c>
      <c r="L710" s="2129">
        <f t="shared" si="100"/>
        <v>0</v>
      </c>
      <c r="M710" s="2129">
        <f t="shared" si="101"/>
        <v>0</v>
      </c>
      <c r="N710" s="2129">
        <f t="shared" si="102"/>
        <v>0</v>
      </c>
      <c r="O710" s="2128">
        <f t="shared" si="103"/>
        <v>0</v>
      </c>
      <c r="P710" s="2155"/>
    </row>
    <row r="711" spans="1:16" s="2105" customFormat="1" outlineLevel="1">
      <c r="A711" s="2108">
        <f t="shared" si="98"/>
        <v>0</v>
      </c>
      <c r="B711" s="2130" t="s">
        <v>880</v>
      </c>
      <c r="C711" s="2127"/>
      <c r="D711" s="2207"/>
      <c r="E711" s="2121" t="s">
        <v>5799</v>
      </c>
      <c r="F711" s="2120" t="s">
        <v>2555</v>
      </c>
      <c r="G711" s="2127">
        <f>+G709</f>
        <v>0</v>
      </c>
      <c r="H711" s="2123">
        <v>284000</v>
      </c>
      <c r="I711" s="2128"/>
      <c r="J711" s="2123">
        <v>5404</v>
      </c>
      <c r="K711" s="2123">
        <v>0</v>
      </c>
      <c r="L711" s="2129">
        <f t="shared" si="100"/>
        <v>0</v>
      </c>
      <c r="M711" s="2129">
        <f t="shared" si="101"/>
        <v>0</v>
      </c>
      <c r="N711" s="2129">
        <f t="shared" si="102"/>
        <v>0</v>
      </c>
      <c r="O711" s="2128">
        <f t="shared" si="103"/>
        <v>0</v>
      </c>
      <c r="P711" s="2155"/>
    </row>
    <row r="712" spans="1:16" s="2105" customFormat="1" outlineLevel="1">
      <c r="A712" s="2108">
        <f t="shared" si="98"/>
        <v>0</v>
      </c>
      <c r="B712" s="2130"/>
      <c r="C712" s="2142">
        <f>IF(G712&gt;0,C707+1,C707)</f>
        <v>0</v>
      </c>
      <c r="D712" s="2202"/>
      <c r="E712" s="2174" t="s">
        <v>6165</v>
      </c>
      <c r="F712" s="2142" t="s">
        <v>2385</v>
      </c>
      <c r="G712" s="2142">
        <f>G670</f>
        <v>0</v>
      </c>
      <c r="H712" s="2128"/>
      <c r="I712" s="2128"/>
      <c r="J712" s="2128"/>
      <c r="K712" s="2128"/>
      <c r="L712" s="2129">
        <f t="shared" si="100"/>
        <v>0</v>
      </c>
      <c r="M712" s="2129">
        <f t="shared" si="101"/>
        <v>0</v>
      </c>
      <c r="N712" s="2129">
        <f t="shared" si="102"/>
        <v>0</v>
      </c>
      <c r="O712" s="2128">
        <f t="shared" si="103"/>
        <v>0</v>
      </c>
      <c r="P712" s="2155"/>
    </row>
    <row r="713" spans="1:16" s="2105" customFormat="1" ht="14.4" outlineLevel="1">
      <c r="A713" s="2108">
        <f>A712</f>
        <v>0</v>
      </c>
      <c r="B713" s="2130"/>
      <c r="C713" s="2142"/>
      <c r="D713" s="2202"/>
      <c r="E713" s="2172" t="s">
        <v>6133</v>
      </c>
      <c r="F713" s="2127"/>
      <c r="G713" s="2127"/>
      <c r="H713" s="2128"/>
      <c r="I713" s="2128"/>
      <c r="J713" s="2128"/>
      <c r="K713" s="2128"/>
      <c r="L713" s="2129">
        <f t="shared" si="100"/>
        <v>0</v>
      </c>
      <c r="M713" s="2129">
        <f t="shared" si="101"/>
        <v>0</v>
      </c>
      <c r="N713" s="2129">
        <f t="shared" si="102"/>
        <v>0</v>
      </c>
      <c r="O713" s="2128">
        <f t="shared" si="103"/>
        <v>0</v>
      </c>
      <c r="P713" s="2155"/>
    </row>
    <row r="714" spans="1:16" s="2105" customFormat="1" outlineLevel="1">
      <c r="A714" s="2108">
        <f t="shared" si="98"/>
        <v>0</v>
      </c>
      <c r="B714" s="2159" t="s">
        <v>697</v>
      </c>
      <c r="C714" s="2127"/>
      <c r="D714" s="2120">
        <v>0</v>
      </c>
      <c r="E714" s="2121" t="s">
        <v>5087</v>
      </c>
      <c r="F714" s="2120" t="s">
        <v>2532</v>
      </c>
      <c r="G714" s="2127">
        <f>9*G712</f>
        <v>0</v>
      </c>
      <c r="H714" s="2123">
        <v>50996</v>
      </c>
      <c r="I714" s="2123"/>
      <c r="J714" s="2123">
        <v>0</v>
      </c>
      <c r="K714" s="2123">
        <v>0</v>
      </c>
      <c r="L714" s="2129">
        <f t="shared" si="100"/>
        <v>0</v>
      </c>
      <c r="M714" s="2129">
        <f t="shared" si="101"/>
        <v>0</v>
      </c>
      <c r="N714" s="2129">
        <f t="shared" si="102"/>
        <v>0</v>
      </c>
      <c r="O714" s="2128">
        <f t="shared" si="103"/>
        <v>0</v>
      </c>
      <c r="P714" s="2155"/>
    </row>
    <row r="715" spans="1:16" s="2105" customFormat="1" outlineLevel="1">
      <c r="A715" s="2108">
        <f>IF(G715&lt;&gt;0,1,0)</f>
        <v>0</v>
      </c>
      <c r="B715" s="2118" t="s">
        <v>905</v>
      </c>
      <c r="C715" s="2127"/>
      <c r="D715" s="2120">
        <v>0</v>
      </c>
      <c r="E715" s="2121" t="s">
        <v>2873</v>
      </c>
      <c r="F715" s="2120" t="s">
        <v>2555</v>
      </c>
      <c r="G715" s="2127">
        <f>3*G711</f>
        <v>0</v>
      </c>
      <c r="H715" s="2123">
        <v>8000</v>
      </c>
      <c r="I715" s="2123"/>
      <c r="J715" s="2123">
        <v>0</v>
      </c>
      <c r="K715" s="2123">
        <v>0</v>
      </c>
      <c r="L715" s="2129">
        <f>H715*G715</f>
        <v>0</v>
      </c>
      <c r="M715" s="2129">
        <f>I715*G715</f>
        <v>0</v>
      </c>
      <c r="N715" s="2129">
        <f>J715*G715</f>
        <v>0</v>
      </c>
      <c r="O715" s="2128">
        <f>K715*G715</f>
        <v>0</v>
      </c>
      <c r="P715" s="2155"/>
    </row>
    <row r="716" spans="1:16" s="2105" customFormat="1" outlineLevel="1">
      <c r="A716" s="2108">
        <f t="shared" si="98"/>
        <v>0</v>
      </c>
      <c r="B716" s="2118" t="s">
        <v>1479</v>
      </c>
      <c r="C716" s="2127"/>
      <c r="D716" s="2120">
        <v>0</v>
      </c>
      <c r="E716" s="2121" t="s">
        <v>3791</v>
      </c>
      <c r="F716" s="2120" t="s">
        <v>2555</v>
      </c>
      <c r="G716" s="2127">
        <f>3*G712*0</f>
        <v>0</v>
      </c>
      <c r="H716" s="2123">
        <v>46000</v>
      </c>
      <c r="I716" s="2123"/>
      <c r="J716" s="2123">
        <v>0</v>
      </c>
      <c r="K716" s="2123">
        <v>0</v>
      </c>
      <c r="L716" s="2129">
        <f t="shared" si="100"/>
        <v>0</v>
      </c>
      <c r="M716" s="2129">
        <f t="shared" si="101"/>
        <v>0</v>
      </c>
      <c r="N716" s="2129">
        <f t="shared" si="102"/>
        <v>0</v>
      </c>
      <c r="O716" s="2128">
        <f t="shared" si="103"/>
        <v>0</v>
      </c>
      <c r="P716" s="2155"/>
    </row>
    <row r="717" spans="1:16" s="2105" customFormat="1" outlineLevel="1">
      <c r="A717" s="2108">
        <f t="shared" si="98"/>
        <v>0</v>
      </c>
      <c r="B717" s="2118" t="s">
        <v>1477</v>
      </c>
      <c r="C717" s="2127"/>
      <c r="D717" s="2120">
        <v>0</v>
      </c>
      <c r="E717" s="2121" t="s">
        <v>4335</v>
      </c>
      <c r="F717" s="2120" t="s">
        <v>2555</v>
      </c>
      <c r="G717" s="2127">
        <f>3*G712*0</f>
        <v>0</v>
      </c>
      <c r="H717" s="2123">
        <v>77000</v>
      </c>
      <c r="I717" s="2123"/>
      <c r="J717" s="2123">
        <v>0</v>
      </c>
      <c r="K717" s="2123">
        <v>0</v>
      </c>
      <c r="L717" s="2129">
        <f t="shared" si="100"/>
        <v>0</v>
      </c>
      <c r="M717" s="2129">
        <f t="shared" si="101"/>
        <v>0</v>
      </c>
      <c r="N717" s="2129">
        <f t="shared" si="102"/>
        <v>0</v>
      </c>
      <c r="O717" s="2128">
        <f t="shared" si="103"/>
        <v>0</v>
      </c>
      <c r="P717" s="2155"/>
    </row>
    <row r="718" spans="1:16" s="2105" customFormat="1" outlineLevel="1">
      <c r="A718" s="2108">
        <f>IF(G718&lt;&gt;0,1,0)</f>
        <v>0</v>
      </c>
      <c r="B718" s="2118" t="s">
        <v>5699</v>
      </c>
      <c r="C718" s="2127"/>
      <c r="D718" s="2120">
        <v>0</v>
      </c>
      <c r="E718" s="2121" t="s">
        <v>5700</v>
      </c>
      <c r="F718" s="2152" t="s">
        <v>2555</v>
      </c>
      <c r="G718" s="2127">
        <f>3*G712</f>
        <v>0</v>
      </c>
      <c r="H718" s="2123">
        <v>218200</v>
      </c>
      <c r="I718" s="2123"/>
      <c r="J718" s="2123">
        <v>0</v>
      </c>
      <c r="K718" s="2123">
        <v>0</v>
      </c>
      <c r="L718" s="2129">
        <f>H718*G718</f>
        <v>0</v>
      </c>
      <c r="M718" s="2129">
        <f>I718*G718</f>
        <v>0</v>
      </c>
      <c r="N718" s="2129">
        <f>J718*G718</f>
        <v>0</v>
      </c>
      <c r="O718" s="2128">
        <f>K718*G718</f>
        <v>0</v>
      </c>
      <c r="P718" s="2155"/>
    </row>
    <row r="719" spans="1:16" s="2105" customFormat="1" outlineLevel="1">
      <c r="A719" s="2108">
        <f>IF(G719&lt;&gt;0,1,0)</f>
        <v>0</v>
      </c>
      <c r="B719" s="2118" t="s">
        <v>5705</v>
      </c>
      <c r="C719" s="2127"/>
      <c r="D719" s="2120">
        <v>0</v>
      </c>
      <c r="E719" s="2121" t="s">
        <v>5706</v>
      </c>
      <c r="F719" s="2152" t="s">
        <v>2555</v>
      </c>
      <c r="G719" s="2127">
        <f>3*G712</f>
        <v>0</v>
      </c>
      <c r="H719" s="2123">
        <v>39100</v>
      </c>
      <c r="I719" s="2123"/>
      <c r="J719" s="2123">
        <v>0</v>
      </c>
      <c r="K719" s="2123">
        <v>0</v>
      </c>
      <c r="L719" s="2129">
        <f>H719*G719</f>
        <v>0</v>
      </c>
      <c r="M719" s="2129">
        <f>I719*G719</f>
        <v>0</v>
      </c>
      <c r="N719" s="2129">
        <f>J719*G719</f>
        <v>0</v>
      </c>
      <c r="O719" s="2128">
        <f>K719*G719</f>
        <v>0</v>
      </c>
      <c r="P719" s="2155"/>
    </row>
    <row r="720" spans="1:16" s="2105" customFormat="1" outlineLevel="1">
      <c r="A720" s="2108">
        <f>IF(G720&lt;&gt;0,1,0)</f>
        <v>0</v>
      </c>
      <c r="B720" s="2118" t="s">
        <v>5707</v>
      </c>
      <c r="C720" s="2127"/>
      <c r="D720" s="2120">
        <v>0</v>
      </c>
      <c r="E720" s="2121" t="s">
        <v>5708</v>
      </c>
      <c r="F720" s="2152" t="s">
        <v>2555</v>
      </c>
      <c r="G720" s="2127">
        <f>3*G712</f>
        <v>0</v>
      </c>
      <c r="H720" s="2123">
        <v>56700</v>
      </c>
      <c r="I720" s="2123"/>
      <c r="J720" s="2123">
        <v>0</v>
      </c>
      <c r="K720" s="2123">
        <v>0</v>
      </c>
      <c r="L720" s="2129">
        <f>H720*G720</f>
        <v>0</v>
      </c>
      <c r="M720" s="2129">
        <f>I720*G720</f>
        <v>0</v>
      </c>
      <c r="N720" s="2129">
        <f>J720*G720</f>
        <v>0</v>
      </c>
      <c r="O720" s="2128">
        <f>K720*G720</f>
        <v>0</v>
      </c>
      <c r="P720" s="2155"/>
    </row>
    <row r="721" spans="1:16" s="2105" customFormat="1" outlineLevel="1">
      <c r="A721" s="2108">
        <f>IF(G721&lt;&gt;0,1,0)</f>
        <v>0</v>
      </c>
      <c r="B721" s="2118" t="s">
        <v>1525</v>
      </c>
      <c r="C721" s="2127"/>
      <c r="D721" s="2120" t="s">
        <v>5571</v>
      </c>
      <c r="E721" s="2121" t="s">
        <v>3292</v>
      </c>
      <c r="F721" s="2120" t="s">
        <v>1823</v>
      </c>
      <c r="G721" s="2127">
        <f>G714</f>
        <v>0</v>
      </c>
      <c r="H721" s="2123">
        <v>0</v>
      </c>
      <c r="I721" s="2123"/>
      <c r="J721" s="2123">
        <v>13915</v>
      </c>
      <c r="K721" s="2123">
        <v>0</v>
      </c>
      <c r="L721" s="2129">
        <f>H721*G721</f>
        <v>0</v>
      </c>
      <c r="M721" s="2129">
        <f>I721*G721</f>
        <v>0</v>
      </c>
      <c r="N721" s="2129">
        <f>J721*G721</f>
        <v>0</v>
      </c>
      <c r="O721" s="2128">
        <f>K721*G721</f>
        <v>0</v>
      </c>
      <c r="P721" s="2155"/>
    </row>
    <row r="722" spans="1:16" s="2105" customFormat="1" outlineLevel="1">
      <c r="A722" s="2108">
        <f t="shared" si="98"/>
        <v>0</v>
      </c>
      <c r="B722" s="2130"/>
      <c r="C722" s="2142">
        <f>IF(G722&gt;0,C712+1,C712)</f>
        <v>0</v>
      </c>
      <c r="D722" s="2202"/>
      <c r="E722" s="2174" t="s">
        <v>6166</v>
      </c>
      <c r="F722" s="2142" t="s">
        <v>2385</v>
      </c>
      <c r="G722" s="2142">
        <f>+G670</f>
        <v>0</v>
      </c>
      <c r="H722" s="2128"/>
      <c r="I722" s="2128"/>
      <c r="J722" s="2128"/>
      <c r="K722" s="2128"/>
      <c r="L722" s="2129">
        <f t="shared" si="100"/>
        <v>0</v>
      </c>
      <c r="M722" s="2129">
        <f t="shared" si="101"/>
        <v>0</v>
      </c>
      <c r="N722" s="2129">
        <f t="shared" si="102"/>
        <v>0</v>
      </c>
      <c r="O722" s="2128">
        <f t="shared" si="103"/>
        <v>0</v>
      </c>
      <c r="P722" s="2155"/>
    </row>
    <row r="723" spans="1:16" s="2105" customFormat="1" ht="14.4" outlineLevel="1">
      <c r="A723" s="2108">
        <f>A722</f>
        <v>0</v>
      </c>
      <c r="B723" s="2130"/>
      <c r="C723" s="2142"/>
      <c r="D723" s="2202"/>
      <c r="E723" s="2172" t="s">
        <v>6133</v>
      </c>
      <c r="F723" s="2142"/>
      <c r="G723" s="2142"/>
      <c r="H723" s="2128"/>
      <c r="I723" s="2128"/>
      <c r="J723" s="2128"/>
      <c r="K723" s="2128"/>
      <c r="L723" s="2129">
        <f t="shared" si="100"/>
        <v>0</v>
      </c>
      <c r="M723" s="2129">
        <f t="shared" si="101"/>
        <v>0</v>
      </c>
      <c r="N723" s="2129">
        <f t="shared" si="102"/>
        <v>0</v>
      </c>
      <c r="O723" s="2128">
        <f t="shared" si="103"/>
        <v>0</v>
      </c>
      <c r="P723" s="2155"/>
    </row>
    <row r="724" spans="1:16" s="2105" customFormat="1" outlineLevel="1">
      <c r="A724" s="2108">
        <f t="shared" si="98"/>
        <v>0</v>
      </c>
      <c r="B724" s="2130" t="s">
        <v>82</v>
      </c>
      <c r="C724" s="2127"/>
      <c r="D724" s="2120">
        <v>0</v>
      </c>
      <c r="E724" s="2121" t="s">
        <v>2792</v>
      </c>
      <c r="F724" s="2120" t="s">
        <v>2532</v>
      </c>
      <c r="G724" s="2127">
        <f>7*4*G722</f>
        <v>0</v>
      </c>
      <c r="H724" s="2123">
        <v>91800</v>
      </c>
      <c r="I724" s="2123"/>
      <c r="J724" s="2123">
        <v>0</v>
      </c>
      <c r="K724" s="2123">
        <v>0</v>
      </c>
      <c r="L724" s="2129">
        <f t="shared" si="100"/>
        <v>0</v>
      </c>
      <c r="M724" s="2129">
        <f t="shared" si="101"/>
        <v>0</v>
      </c>
      <c r="N724" s="2129">
        <f t="shared" si="102"/>
        <v>0</v>
      </c>
      <c r="O724" s="2128">
        <f t="shared" si="103"/>
        <v>0</v>
      </c>
      <c r="P724" s="2155"/>
    </row>
    <row r="725" spans="1:16" s="2105" customFormat="1" outlineLevel="1">
      <c r="A725" s="2108">
        <f t="shared" si="98"/>
        <v>0</v>
      </c>
      <c r="B725" s="2130" t="s">
        <v>1822</v>
      </c>
      <c r="C725" s="2127"/>
      <c r="D725" s="2120" t="s">
        <v>1527</v>
      </c>
      <c r="E725" s="2121" t="s">
        <v>2784</v>
      </c>
      <c r="F725" s="2120" t="s">
        <v>2532</v>
      </c>
      <c r="G725" s="2127">
        <f>4*G722</f>
        <v>0</v>
      </c>
      <c r="H725" s="2123">
        <v>28200</v>
      </c>
      <c r="I725" s="2123"/>
      <c r="J725" s="2123">
        <v>0</v>
      </c>
      <c r="K725" s="2123">
        <v>0</v>
      </c>
      <c r="L725" s="2129">
        <f t="shared" si="100"/>
        <v>0</v>
      </c>
      <c r="M725" s="2129">
        <f t="shared" si="101"/>
        <v>0</v>
      </c>
      <c r="N725" s="2129">
        <f t="shared" si="102"/>
        <v>0</v>
      </c>
      <c r="O725" s="2128">
        <f t="shared" si="103"/>
        <v>0</v>
      </c>
      <c r="P725" s="2155"/>
    </row>
    <row r="726" spans="1:16" s="2105" customFormat="1" outlineLevel="1">
      <c r="A726" s="2108">
        <f t="shared" si="98"/>
        <v>0</v>
      </c>
      <c r="B726" s="2130" t="s">
        <v>1302</v>
      </c>
      <c r="C726" s="2127"/>
      <c r="D726" s="2120" t="s">
        <v>5725</v>
      </c>
      <c r="E726" s="2121" t="s">
        <v>3479</v>
      </c>
      <c r="F726" s="2120" t="s">
        <v>2555</v>
      </c>
      <c r="G726" s="2208">
        <f>6*G722</f>
        <v>0</v>
      </c>
      <c r="H726" s="2123">
        <v>9100</v>
      </c>
      <c r="I726" s="2123"/>
      <c r="J726" s="2123">
        <v>10608.955000000002</v>
      </c>
      <c r="K726" s="2123">
        <v>2777.0232475000003</v>
      </c>
      <c r="L726" s="2209">
        <f t="shared" si="100"/>
        <v>0</v>
      </c>
      <c r="M726" s="2209">
        <f t="shared" si="101"/>
        <v>0</v>
      </c>
      <c r="N726" s="2209">
        <f t="shared" si="102"/>
        <v>0</v>
      </c>
      <c r="O726" s="2210">
        <f t="shared" si="103"/>
        <v>0</v>
      </c>
      <c r="P726" s="2155"/>
    </row>
    <row r="727" spans="1:16" s="2105" customFormat="1" outlineLevel="1">
      <c r="A727" s="2108">
        <f t="shared" si="98"/>
        <v>0</v>
      </c>
      <c r="B727" s="2130" t="s">
        <v>1178</v>
      </c>
      <c r="C727" s="2127"/>
      <c r="D727" s="2120">
        <v>0</v>
      </c>
      <c r="E727" s="2121" t="s">
        <v>3493</v>
      </c>
      <c r="F727" s="2120" t="s">
        <v>2555</v>
      </c>
      <c r="G727" s="2127">
        <f>G726</f>
        <v>0</v>
      </c>
      <c r="H727" s="2123">
        <v>1000</v>
      </c>
      <c r="I727" s="2123"/>
      <c r="J727" s="2123">
        <v>0</v>
      </c>
      <c r="K727" s="2123">
        <v>0</v>
      </c>
      <c r="L727" s="2129">
        <f t="shared" si="100"/>
        <v>0</v>
      </c>
      <c r="M727" s="2129">
        <f t="shared" si="101"/>
        <v>0</v>
      </c>
      <c r="N727" s="2129">
        <f t="shared" si="102"/>
        <v>0</v>
      </c>
      <c r="O727" s="2128">
        <f t="shared" si="103"/>
        <v>0</v>
      </c>
      <c r="P727" s="2155"/>
    </row>
    <row r="728" spans="1:16" s="2105" customFormat="1" outlineLevel="1">
      <c r="A728" s="2108">
        <f t="shared" si="98"/>
        <v>0</v>
      </c>
      <c r="B728" s="2130" t="s">
        <v>282</v>
      </c>
      <c r="C728" s="2127"/>
      <c r="D728" s="2120">
        <v>0</v>
      </c>
      <c r="E728" s="2121" t="s">
        <v>3532</v>
      </c>
      <c r="F728" s="2120" t="s">
        <v>1823</v>
      </c>
      <c r="G728" s="2127">
        <f>6*G722</f>
        <v>0</v>
      </c>
      <c r="H728" s="2123">
        <v>63200</v>
      </c>
      <c r="I728" s="2128"/>
      <c r="J728" s="2123">
        <v>0</v>
      </c>
      <c r="K728" s="2123">
        <v>0</v>
      </c>
      <c r="L728" s="2129">
        <f t="shared" si="100"/>
        <v>0</v>
      </c>
      <c r="M728" s="2129">
        <f t="shared" si="101"/>
        <v>0</v>
      </c>
      <c r="N728" s="2129">
        <f t="shared" si="102"/>
        <v>0</v>
      </c>
      <c r="O728" s="2128">
        <f t="shared" si="103"/>
        <v>0</v>
      </c>
      <c r="P728" s="2155"/>
    </row>
    <row r="729" spans="1:16" s="2105" customFormat="1" outlineLevel="1">
      <c r="A729" s="2108">
        <f t="shared" si="98"/>
        <v>0</v>
      </c>
      <c r="B729" s="2133" t="s">
        <v>1990</v>
      </c>
      <c r="C729" s="2127"/>
      <c r="D729" s="2120">
        <v>0</v>
      </c>
      <c r="E729" s="2121" t="s">
        <v>5257</v>
      </c>
      <c r="F729" s="2120" t="s">
        <v>2439</v>
      </c>
      <c r="G729" s="2127">
        <f>+G722*3</f>
        <v>0</v>
      </c>
      <c r="H729" s="2123">
        <v>49000</v>
      </c>
      <c r="I729" s="2128"/>
      <c r="J729" s="2123">
        <v>0</v>
      </c>
      <c r="K729" s="2123">
        <v>0</v>
      </c>
      <c r="L729" s="2129">
        <f t="shared" si="100"/>
        <v>0</v>
      </c>
      <c r="M729" s="2129">
        <f t="shared" si="101"/>
        <v>0</v>
      </c>
      <c r="N729" s="2129">
        <f>J729*A729</f>
        <v>0</v>
      </c>
      <c r="O729" s="2128">
        <f t="shared" si="103"/>
        <v>0</v>
      </c>
      <c r="P729" s="2155"/>
    </row>
    <row r="730" spans="1:16" s="2105" customFormat="1" outlineLevel="1">
      <c r="A730" s="2108">
        <f t="shared" si="98"/>
        <v>0</v>
      </c>
      <c r="B730" s="2130" t="s">
        <v>69</v>
      </c>
      <c r="C730" s="2127"/>
      <c r="D730" s="2120">
        <v>0</v>
      </c>
      <c r="E730" s="2121" t="s">
        <v>5797</v>
      </c>
      <c r="F730" s="2120" t="s">
        <v>2555</v>
      </c>
      <c r="G730" s="2127">
        <f>2*G722</f>
        <v>0</v>
      </c>
      <c r="H730" s="2123">
        <v>45400</v>
      </c>
      <c r="I730" s="2128"/>
      <c r="J730" s="2123">
        <v>0</v>
      </c>
      <c r="K730" s="2123">
        <v>0</v>
      </c>
      <c r="L730" s="2129">
        <f t="shared" si="100"/>
        <v>0</v>
      </c>
      <c r="M730" s="2129">
        <f t="shared" si="101"/>
        <v>0</v>
      </c>
      <c r="N730" s="2129">
        <f t="shared" si="102"/>
        <v>0</v>
      </c>
      <c r="O730" s="2128">
        <f t="shared" si="103"/>
        <v>0</v>
      </c>
      <c r="P730" s="2155"/>
    </row>
    <row r="731" spans="1:16" s="2105" customFormat="1" outlineLevel="1">
      <c r="A731" s="2108">
        <f t="shared" si="98"/>
        <v>0</v>
      </c>
      <c r="B731" s="2130" t="s">
        <v>2153</v>
      </c>
      <c r="C731" s="2127"/>
      <c r="D731" s="2120">
        <v>0</v>
      </c>
      <c r="E731" s="2121" t="s">
        <v>3574</v>
      </c>
      <c r="F731" s="2120" t="s">
        <v>2555</v>
      </c>
      <c r="G731" s="2208">
        <f>+G722</f>
        <v>0</v>
      </c>
      <c r="H731" s="2123">
        <v>25800</v>
      </c>
      <c r="I731" s="2128"/>
      <c r="J731" s="2123">
        <v>0</v>
      </c>
      <c r="K731" s="2123">
        <v>0</v>
      </c>
      <c r="L731" s="2209">
        <f>H731*G731</f>
        <v>0</v>
      </c>
      <c r="M731" s="2209">
        <f>I731*G731</f>
        <v>0</v>
      </c>
      <c r="N731" s="2209">
        <f>J731*G731</f>
        <v>0</v>
      </c>
      <c r="O731" s="2210">
        <f>K731*G731</f>
        <v>0</v>
      </c>
      <c r="P731" s="2155"/>
    </row>
    <row r="732" spans="1:16" s="2105" customFormat="1" outlineLevel="1">
      <c r="A732" s="2108">
        <f>IF(G732&lt;&gt;0,1,0)</f>
        <v>0</v>
      </c>
      <c r="B732" s="2130" t="s">
        <v>2154</v>
      </c>
      <c r="C732" s="2127"/>
      <c r="D732" s="2120">
        <v>0</v>
      </c>
      <c r="E732" s="2121" t="s">
        <v>3578</v>
      </c>
      <c r="F732" s="2120" t="s">
        <v>2555</v>
      </c>
      <c r="G732" s="2208">
        <f>+G731</f>
        <v>0</v>
      </c>
      <c r="H732" s="2123">
        <v>21500</v>
      </c>
      <c r="I732" s="2128"/>
      <c r="J732" s="2123">
        <v>0</v>
      </c>
      <c r="K732" s="2123">
        <v>0</v>
      </c>
      <c r="L732" s="2209">
        <f>H732*G732</f>
        <v>0</v>
      </c>
      <c r="M732" s="2209">
        <f>I732*G732</f>
        <v>0</v>
      </c>
      <c r="N732" s="2209">
        <f>J732*G732</f>
        <v>0</v>
      </c>
      <c r="O732" s="2210">
        <f>K732*G732</f>
        <v>0</v>
      </c>
      <c r="P732" s="2155"/>
    </row>
    <row r="733" spans="1:16" s="2105" customFormat="1" outlineLevel="1">
      <c r="A733" s="2108">
        <f>IF(G733&lt;&gt;0,1,0)</f>
        <v>0</v>
      </c>
      <c r="B733" s="2130" t="s">
        <v>419</v>
      </c>
      <c r="C733" s="2127"/>
      <c r="D733" s="2120">
        <v>0</v>
      </c>
      <c r="E733" s="2121" t="s">
        <v>3570</v>
      </c>
      <c r="F733" s="2120" t="s">
        <v>3571</v>
      </c>
      <c r="G733" s="2127">
        <f>G722</f>
        <v>0</v>
      </c>
      <c r="H733" s="2123">
        <v>11500</v>
      </c>
      <c r="I733" s="2128"/>
      <c r="J733" s="2123">
        <v>0</v>
      </c>
      <c r="K733" s="2123">
        <v>0</v>
      </c>
      <c r="L733" s="2129">
        <f t="shared" si="100"/>
        <v>0</v>
      </c>
      <c r="M733" s="2129">
        <f t="shared" si="101"/>
        <v>0</v>
      </c>
      <c r="N733" s="2129">
        <f t="shared" si="102"/>
        <v>0</v>
      </c>
      <c r="O733" s="2128">
        <f t="shared" si="103"/>
        <v>0</v>
      </c>
      <c r="P733" s="2155"/>
    </row>
    <row r="734" spans="1:16" s="2105" customFormat="1" outlineLevel="1">
      <c r="A734" s="2108">
        <f>IF(G734&lt;&gt;0,1,0)</f>
        <v>0</v>
      </c>
      <c r="B734" s="2130" t="s">
        <v>1179</v>
      </c>
      <c r="C734" s="2127"/>
      <c r="D734" s="2120">
        <v>0</v>
      </c>
      <c r="E734" s="2121" t="s">
        <v>3567</v>
      </c>
      <c r="F734" s="2120" t="s">
        <v>5806</v>
      </c>
      <c r="G734" s="2127">
        <f>G722</f>
        <v>0</v>
      </c>
      <c r="H734" s="2123">
        <v>45000</v>
      </c>
      <c r="I734" s="2128"/>
      <c r="J734" s="2123">
        <v>0</v>
      </c>
      <c r="K734" s="2123">
        <v>0</v>
      </c>
      <c r="L734" s="2129">
        <f>H734*G734</f>
        <v>0</v>
      </c>
      <c r="M734" s="2129">
        <f>I734*G734</f>
        <v>0</v>
      </c>
      <c r="N734" s="2129">
        <f>J734*G734</f>
        <v>0</v>
      </c>
      <c r="O734" s="2128">
        <f>K734*G734</f>
        <v>0</v>
      </c>
      <c r="P734" s="2155"/>
    </row>
    <row r="735" spans="1:16" s="2105" customFormat="1" outlineLevel="1">
      <c r="A735" s="2108">
        <f>IF(G735&lt;&gt;0,1,0)</f>
        <v>0</v>
      </c>
      <c r="B735" s="2133" t="s">
        <v>672</v>
      </c>
      <c r="C735" s="2127"/>
      <c r="D735" s="2120">
        <v>0</v>
      </c>
      <c r="E735" s="2121" t="s">
        <v>5801</v>
      </c>
      <c r="F735" s="2120" t="s">
        <v>3566</v>
      </c>
      <c r="G735" s="2127">
        <f>G722*2</f>
        <v>0</v>
      </c>
      <c r="H735" s="2123">
        <v>6500</v>
      </c>
      <c r="I735" s="2128"/>
      <c r="J735" s="2123">
        <v>0</v>
      </c>
      <c r="K735" s="2123">
        <v>0</v>
      </c>
      <c r="L735" s="2129">
        <f t="shared" si="100"/>
        <v>0</v>
      </c>
      <c r="M735" s="2129">
        <f t="shared" si="101"/>
        <v>0</v>
      </c>
      <c r="N735" s="2129">
        <f t="shared" si="102"/>
        <v>0</v>
      </c>
      <c r="O735" s="2128">
        <f t="shared" si="103"/>
        <v>0</v>
      </c>
      <c r="P735" s="2155"/>
    </row>
    <row r="736" spans="1:16" s="2105" customFormat="1" outlineLevel="1">
      <c r="A736" s="2108">
        <f>A735</f>
        <v>0</v>
      </c>
      <c r="B736" s="2130" t="s">
        <v>2182</v>
      </c>
      <c r="C736" s="2127"/>
      <c r="D736" s="2120" t="s">
        <v>5547</v>
      </c>
      <c r="E736" s="2121" t="s">
        <v>3252</v>
      </c>
      <c r="F736" s="2120" t="s">
        <v>2532</v>
      </c>
      <c r="G736" s="2127">
        <f>G728</f>
        <v>0</v>
      </c>
      <c r="H736" s="2123"/>
      <c r="I736" s="2128"/>
      <c r="J736" s="2123">
        <v>55493.02</v>
      </c>
      <c r="K736" s="2123">
        <v>0</v>
      </c>
      <c r="L736" s="2129">
        <f t="shared" si="100"/>
        <v>0</v>
      </c>
      <c r="M736" s="2129">
        <f t="shared" si="101"/>
        <v>0</v>
      </c>
      <c r="N736" s="2129">
        <f t="shared" si="102"/>
        <v>0</v>
      </c>
      <c r="O736" s="2128">
        <f t="shared" si="103"/>
        <v>0</v>
      </c>
      <c r="P736" s="2155"/>
    </row>
    <row r="737" spans="1:16" s="2105" customFormat="1" outlineLevel="1">
      <c r="A737" s="2108">
        <f>A735</f>
        <v>0</v>
      </c>
      <c r="B737" s="2133" t="s">
        <v>1525</v>
      </c>
      <c r="C737" s="2127"/>
      <c r="D737" s="2120" t="s">
        <v>5571</v>
      </c>
      <c r="E737" s="2121" t="s">
        <v>3292</v>
      </c>
      <c r="F737" s="2120" t="s">
        <v>1823</v>
      </c>
      <c r="G737" s="2127">
        <f>G724</f>
        <v>0</v>
      </c>
      <c r="H737" s="2123"/>
      <c r="I737" s="2128"/>
      <c r="J737" s="2123">
        <v>13915</v>
      </c>
      <c r="K737" s="2123">
        <v>0</v>
      </c>
      <c r="L737" s="2129">
        <f>H737*G737</f>
        <v>0</v>
      </c>
      <c r="M737" s="2129">
        <f>I737*G737</f>
        <v>0</v>
      </c>
      <c r="N737" s="2129">
        <f>J737*G737</f>
        <v>0</v>
      </c>
      <c r="O737" s="2128">
        <f>K737*G737</f>
        <v>0</v>
      </c>
      <c r="P737" s="2155"/>
    </row>
    <row r="738" spans="1:16" s="2105" customFormat="1" outlineLevel="1">
      <c r="A738" s="2108">
        <f>IF(G738&lt;&gt;0,1,0)</f>
        <v>0</v>
      </c>
      <c r="B738" s="2130" t="s">
        <v>289</v>
      </c>
      <c r="C738" s="2160">
        <f>IF(G738&gt;0,C722+1,C722)</f>
        <v>0</v>
      </c>
      <c r="D738" s="2161"/>
      <c r="E738" s="2211" t="s">
        <v>6167</v>
      </c>
      <c r="F738" s="2120" t="s">
        <v>2555</v>
      </c>
      <c r="G738" s="2160">
        <f>G686</f>
        <v>0</v>
      </c>
      <c r="H738" s="2123">
        <v>300000</v>
      </c>
      <c r="I738" s="2163"/>
      <c r="J738" s="2123">
        <v>0</v>
      </c>
      <c r="K738" s="2123">
        <v>0</v>
      </c>
      <c r="L738" s="2162">
        <f>H738*G738</f>
        <v>0</v>
      </c>
      <c r="M738" s="2162">
        <f>I738*G738</f>
        <v>0</v>
      </c>
      <c r="N738" s="2162">
        <f>J738*G738</f>
        <v>0</v>
      </c>
      <c r="O738" s="2163">
        <f>K738*G738</f>
        <v>0</v>
      </c>
      <c r="P738" s="2179"/>
    </row>
    <row r="739" spans="1:16" s="2105" customFormat="1" outlineLevel="1">
      <c r="A739" s="2108">
        <f>A738</f>
        <v>0</v>
      </c>
      <c r="B739" s="2131"/>
      <c r="C739" s="2165"/>
      <c r="D739" s="2166"/>
      <c r="E739" s="2139"/>
      <c r="F739" s="2622"/>
      <c r="G739" s="2622"/>
      <c r="H739" s="2622"/>
      <c r="I739" s="2622"/>
      <c r="J739" s="2658" t="s">
        <v>6131</v>
      </c>
      <c r="K739" s="2658"/>
      <c r="L739" s="2167">
        <f>SUM(L672:L738)</f>
        <v>0</v>
      </c>
      <c r="M739" s="2167">
        <f>SUM(M672:M738)</f>
        <v>0</v>
      </c>
      <c r="N739" s="2167">
        <f>SUM(N672:N738)</f>
        <v>0</v>
      </c>
      <c r="O739" s="2167">
        <f>SUM(O672:O738)</f>
        <v>0</v>
      </c>
      <c r="P739" s="2170"/>
    </row>
    <row r="740" spans="1:16" s="2105" customFormat="1" ht="13.95" customHeight="1">
      <c r="A740" s="2149" t="str">
        <f>IF(G745&lt;&gt;0,1,"")</f>
        <v/>
      </c>
      <c r="B740" s="2212"/>
      <c r="C740" s="2623"/>
      <c r="D740" s="2627"/>
      <c r="E740" s="2213"/>
      <c r="F740" s="2213"/>
      <c r="G740" s="2213"/>
      <c r="H740" s="2213"/>
      <c r="I740" s="2213"/>
      <c r="J740" s="2213"/>
      <c r="K740" s="2213"/>
      <c r="L740" s="2213"/>
      <c r="M740" s="2213"/>
      <c r="N740" s="2213"/>
      <c r="O740" s="2213"/>
    </row>
    <row r="741" spans="1:16" s="2105" customFormat="1" outlineLevel="1">
      <c r="A741" s="2108" t="str">
        <f>A740</f>
        <v/>
      </c>
      <c r="B741" s="2212"/>
      <c r="C741" s="2144" t="str">
        <f>"BẢNG TỔNG HỢP VẬT LIỆU, NHÂN CÔNG, MÁY THI CÔNG: "&amp;K8&amp;" TRẠM 3P_ 3x37,5KVA"</f>
        <v>BẢNG TỔNG HỢP VẬT LIỆU, NHÂN CÔNG, MÁY THI CÔNG: 0 TRẠM 3P_ 3x37,5KVA</v>
      </c>
      <c r="D741" s="2625"/>
      <c r="E741" s="2301"/>
      <c r="F741" s="2301"/>
      <c r="G741" s="2301"/>
      <c r="H741" s="2301"/>
      <c r="I741" s="2301"/>
      <c r="J741" s="2301"/>
      <c r="K741" s="2301"/>
      <c r="L741" s="2301"/>
      <c r="M741" s="2301"/>
      <c r="N741" s="2301"/>
      <c r="O741" s="2301"/>
      <c r="P741" s="2149"/>
    </row>
    <row r="742" spans="1:16" s="2105" customFormat="1" outlineLevel="1">
      <c r="A742" s="2108" t="str">
        <f>A741</f>
        <v/>
      </c>
      <c r="B742" s="2130" t="s">
        <v>6112</v>
      </c>
      <c r="C742" s="2648" t="s">
        <v>1708</v>
      </c>
      <c r="D742" s="2649" t="s">
        <v>2597</v>
      </c>
      <c r="E742" s="2651" t="s">
        <v>2598</v>
      </c>
      <c r="F742" s="2648" t="s">
        <v>2593</v>
      </c>
      <c r="G742" s="2109" t="s">
        <v>6113</v>
      </c>
      <c r="H742" s="2112" t="s">
        <v>6114</v>
      </c>
      <c r="I742" s="2619"/>
      <c r="J742" s="2619"/>
      <c r="K742" s="2620"/>
      <c r="L742" s="2112" t="s">
        <v>6115</v>
      </c>
      <c r="M742" s="2619"/>
      <c r="N742" s="2619"/>
      <c r="O742" s="2620"/>
      <c r="P742" s="2648" t="s">
        <v>2599</v>
      </c>
    </row>
    <row r="743" spans="1:16" s="2105" customFormat="1" outlineLevel="1">
      <c r="A743" s="2108" t="str">
        <f>A742</f>
        <v/>
      </c>
      <c r="B743" s="2130"/>
      <c r="C743" s="2648"/>
      <c r="D743" s="2650"/>
      <c r="E743" s="2652"/>
      <c r="F743" s="2648"/>
      <c r="G743" s="2111" t="s">
        <v>2286</v>
      </c>
      <c r="H743" s="2112" t="s">
        <v>6116</v>
      </c>
      <c r="I743" s="2112" t="s">
        <v>6117</v>
      </c>
      <c r="J743" s="2112" t="s">
        <v>6118</v>
      </c>
      <c r="K743" s="2112" t="s">
        <v>6119</v>
      </c>
      <c r="L743" s="2112" t="s">
        <v>6116</v>
      </c>
      <c r="M743" s="2112" t="s">
        <v>6117</v>
      </c>
      <c r="N743" s="2112" t="s">
        <v>6118</v>
      </c>
      <c r="O743" s="2112" t="s">
        <v>6119</v>
      </c>
      <c r="P743" s="2648"/>
    </row>
    <row r="744" spans="1:16" s="2105" customFormat="1" outlineLevel="1">
      <c r="A744" s="2108" t="str">
        <f>A743</f>
        <v/>
      </c>
      <c r="B744" s="2130"/>
      <c r="C744" s="2113"/>
      <c r="D744" s="2114"/>
      <c r="E744" s="2115" t="s">
        <v>3672</v>
      </c>
      <c r="F744" s="2116"/>
      <c r="G744" s="2116"/>
      <c r="H744" s="2116"/>
      <c r="I744" s="2116"/>
      <c r="J744" s="2116"/>
      <c r="K744" s="2116"/>
      <c r="L744" s="2116"/>
      <c r="M744" s="2116"/>
      <c r="N744" s="2116"/>
      <c r="O744" s="2114"/>
      <c r="P744" s="2117"/>
    </row>
    <row r="745" spans="1:16" s="2105" customFormat="1" outlineLevel="1">
      <c r="A745" s="2182" t="str">
        <f>IF(G745&lt;&gt;0,1,"")</f>
        <v/>
      </c>
      <c r="B745" s="2118" t="str">
        <f>IF($F$8=22,"TR371","TR37")</f>
        <v>TR371</v>
      </c>
      <c r="C745" s="2119">
        <f>IF(G745&gt;0,1,0)</f>
        <v>0</v>
      </c>
      <c r="D745" s="2120" t="s">
        <v>5584</v>
      </c>
      <c r="E745" s="2121" t="s">
        <v>3308</v>
      </c>
      <c r="F745" s="2120" t="s">
        <v>3300</v>
      </c>
      <c r="G745" s="2183">
        <f>K8*3</f>
        <v>0</v>
      </c>
      <c r="H745" s="2123">
        <v>51310000</v>
      </c>
      <c r="I745" s="2123"/>
      <c r="J745" s="2123">
        <v>630187</v>
      </c>
      <c r="K745" s="2123">
        <v>284508</v>
      </c>
      <c r="L745" s="2209">
        <f t="shared" ref="L745:L752" si="104">H745*G745</f>
        <v>0</v>
      </c>
      <c r="M745" s="2209">
        <f t="shared" ref="M745:M751" si="105">I745*G745</f>
        <v>0</v>
      </c>
      <c r="N745" s="2209">
        <f t="shared" ref="N745:N751" si="106">J745*G745</f>
        <v>0</v>
      </c>
      <c r="O745" s="2210">
        <f t="shared" ref="O745:O751" si="107">K745*G745</f>
        <v>0</v>
      </c>
      <c r="P745" s="2127" t="s">
        <v>2601</v>
      </c>
    </row>
    <row r="746" spans="1:16" s="2105" customFormat="1" outlineLevel="1">
      <c r="A746" s="2182" t="str">
        <f t="shared" ref="A746:A752" si="108">IF(G746&lt;&gt;0,1,"")</f>
        <v/>
      </c>
      <c r="B746" s="2118" t="str">
        <f>"FCO100-"&amp;$F$8</f>
        <v>FCO100-22</v>
      </c>
      <c r="C746" s="2119">
        <f>IF(G746&gt;0,C745+1,C745)</f>
        <v>0</v>
      </c>
      <c r="D746" s="2120" t="s">
        <v>5598</v>
      </c>
      <c r="E746" s="2121" t="s">
        <v>95</v>
      </c>
      <c r="F746" s="2120" t="s">
        <v>2555</v>
      </c>
      <c r="G746" s="2184">
        <f>+G745</f>
        <v>0</v>
      </c>
      <c r="H746" s="2123">
        <v>2244280</v>
      </c>
      <c r="I746" s="2123"/>
      <c r="J746" s="2123">
        <v>222639.99999999997</v>
      </c>
      <c r="K746" s="2123">
        <v>0</v>
      </c>
      <c r="L746" s="2209">
        <f t="shared" si="104"/>
        <v>0</v>
      </c>
      <c r="M746" s="2209">
        <f t="shared" si="105"/>
        <v>0</v>
      </c>
      <c r="N746" s="2209">
        <f t="shared" si="106"/>
        <v>0</v>
      </c>
      <c r="O746" s="2210">
        <f t="shared" si="107"/>
        <v>0</v>
      </c>
      <c r="P746" s="2155"/>
    </row>
    <row r="747" spans="1:16" s="2105" customFormat="1" outlineLevel="1">
      <c r="A747" s="2182" t="str">
        <f t="shared" si="108"/>
        <v/>
      </c>
      <c r="B747" s="2130" t="s">
        <v>26</v>
      </c>
      <c r="C747" s="2119">
        <f t="shared" ref="C747:C752" si="109">IF(G747&gt;0,C746+1,C746)</f>
        <v>0</v>
      </c>
      <c r="D747" s="2120">
        <v>0</v>
      </c>
      <c r="E747" s="2121" t="s">
        <v>3423</v>
      </c>
      <c r="F747" s="2120" t="s">
        <v>2600</v>
      </c>
      <c r="G747" s="2184">
        <f>G746</f>
        <v>0</v>
      </c>
      <c r="H747" s="2123">
        <v>84000</v>
      </c>
      <c r="I747" s="2123"/>
      <c r="J747" s="2123">
        <v>0</v>
      </c>
      <c r="K747" s="2123">
        <v>0</v>
      </c>
      <c r="L747" s="2209">
        <f t="shared" si="104"/>
        <v>0</v>
      </c>
      <c r="M747" s="2209">
        <f t="shared" si="105"/>
        <v>0</v>
      </c>
      <c r="N747" s="2209">
        <f t="shared" si="106"/>
        <v>0</v>
      </c>
      <c r="O747" s="2210">
        <f t="shared" si="107"/>
        <v>0</v>
      </c>
      <c r="P747" s="2155"/>
    </row>
    <row r="748" spans="1:16" s="2105" customFormat="1" outlineLevel="1">
      <c r="A748" s="2182" t="str">
        <f t="shared" si="108"/>
        <v/>
      </c>
      <c r="B748" s="2131" t="str">
        <f>"LA"&amp;$F$6</f>
        <v>LA18</v>
      </c>
      <c r="C748" s="2119">
        <f t="shared" si="109"/>
        <v>0</v>
      </c>
      <c r="D748" s="2120" t="s">
        <v>5602</v>
      </c>
      <c r="E748" s="2121" t="s">
        <v>1193</v>
      </c>
      <c r="F748" s="2120" t="s">
        <v>2555</v>
      </c>
      <c r="G748" s="2184">
        <f>G746</f>
        <v>0</v>
      </c>
      <c r="H748" s="2123">
        <v>1106000</v>
      </c>
      <c r="I748" s="2123"/>
      <c r="J748" s="2123">
        <v>83490</v>
      </c>
      <c r="K748" s="2123">
        <v>0</v>
      </c>
      <c r="L748" s="2209">
        <f t="shared" si="104"/>
        <v>0</v>
      </c>
      <c r="M748" s="2209">
        <f t="shared" si="105"/>
        <v>0</v>
      </c>
      <c r="N748" s="2209">
        <f t="shared" si="106"/>
        <v>0</v>
      </c>
      <c r="O748" s="2210">
        <f t="shared" si="107"/>
        <v>0</v>
      </c>
      <c r="P748" s="2155"/>
    </row>
    <row r="749" spans="1:16" s="2105" customFormat="1" outlineLevel="1">
      <c r="A749" s="2182" t="str">
        <f t="shared" si="108"/>
        <v/>
      </c>
      <c r="B749" s="2132" t="s">
        <v>4926</v>
      </c>
      <c r="C749" s="2119">
        <f t="shared" si="109"/>
        <v>0</v>
      </c>
      <c r="D749" s="2120">
        <v>0</v>
      </c>
      <c r="E749" s="2121" t="s">
        <v>5681</v>
      </c>
      <c r="F749" s="2120" t="s">
        <v>2555</v>
      </c>
      <c r="G749" s="2184">
        <f>+G745/3</f>
        <v>0</v>
      </c>
      <c r="H749" s="2123">
        <v>3865000</v>
      </c>
      <c r="I749" s="2123"/>
      <c r="J749" s="2123">
        <v>0</v>
      </c>
      <c r="K749" s="2123">
        <v>0</v>
      </c>
      <c r="L749" s="2129">
        <f t="shared" si="104"/>
        <v>0</v>
      </c>
      <c r="M749" s="2209">
        <f t="shared" si="105"/>
        <v>0</v>
      </c>
      <c r="N749" s="2209">
        <f t="shared" si="106"/>
        <v>0</v>
      </c>
      <c r="O749" s="2210">
        <f t="shared" si="107"/>
        <v>0</v>
      </c>
      <c r="P749" s="2155"/>
    </row>
    <row r="750" spans="1:16" s="2105" customFormat="1" outlineLevel="1">
      <c r="A750" s="2182" t="str">
        <f t="shared" si="108"/>
        <v/>
      </c>
      <c r="B750" s="2132" t="s">
        <v>2192</v>
      </c>
      <c r="C750" s="2119">
        <f t="shared" si="109"/>
        <v>0</v>
      </c>
      <c r="D750" s="2120" t="s">
        <v>1025</v>
      </c>
      <c r="E750" s="2121" t="s">
        <v>3383</v>
      </c>
      <c r="F750" s="2120" t="s">
        <v>3370</v>
      </c>
      <c r="G750" s="2208">
        <f>+G749*0</f>
        <v>0</v>
      </c>
      <c r="H750" s="2123"/>
      <c r="I750" s="2123"/>
      <c r="J750" s="2123">
        <v>98101</v>
      </c>
      <c r="K750" s="2123">
        <v>59254</v>
      </c>
      <c r="L750" s="2129">
        <f>H750*G750</f>
        <v>0</v>
      </c>
      <c r="M750" s="2209">
        <f>I750*G750</f>
        <v>0</v>
      </c>
      <c r="N750" s="2209">
        <f>J750*G750</f>
        <v>0</v>
      </c>
      <c r="O750" s="2210">
        <f>K750*G750</f>
        <v>0</v>
      </c>
      <c r="P750" s="2155"/>
    </row>
    <row r="751" spans="1:16" s="2105" customFormat="1" outlineLevel="1">
      <c r="A751" s="2182" t="str">
        <f t="shared" si="108"/>
        <v/>
      </c>
      <c r="B751" s="2159" t="s">
        <v>1116</v>
      </c>
      <c r="C751" s="2119">
        <f t="shared" si="109"/>
        <v>0</v>
      </c>
      <c r="D751" s="2120">
        <v>0</v>
      </c>
      <c r="E751" s="2121" t="s">
        <v>3359</v>
      </c>
      <c r="F751" s="2120" t="s">
        <v>2555</v>
      </c>
      <c r="G751" s="2214">
        <f>+G745</f>
        <v>0</v>
      </c>
      <c r="H751" s="2123">
        <v>0</v>
      </c>
      <c r="I751" s="2123"/>
      <c r="J751" s="2123">
        <v>0</v>
      </c>
      <c r="K751" s="2123">
        <v>0</v>
      </c>
      <c r="L751" s="2129">
        <f t="shared" si="104"/>
        <v>0</v>
      </c>
      <c r="M751" s="2209">
        <f t="shared" si="105"/>
        <v>0</v>
      </c>
      <c r="N751" s="2209">
        <f t="shared" si="106"/>
        <v>0</v>
      </c>
      <c r="O751" s="2210">
        <f t="shared" si="107"/>
        <v>0</v>
      </c>
      <c r="P751" s="2127" t="s">
        <v>2601</v>
      </c>
    </row>
    <row r="752" spans="1:16" s="2105" customFormat="1" outlineLevel="1">
      <c r="A752" s="2182" t="str">
        <f t="shared" si="108"/>
        <v/>
      </c>
      <c r="B752" s="2133" t="s">
        <v>288</v>
      </c>
      <c r="C752" s="2119">
        <f t="shared" si="109"/>
        <v>0</v>
      </c>
      <c r="D752" s="2120">
        <v>0</v>
      </c>
      <c r="E752" s="2121" t="s">
        <v>3441</v>
      </c>
      <c r="F752" s="2120" t="s">
        <v>2555</v>
      </c>
      <c r="G752" s="2184">
        <f>+G749</f>
        <v>0</v>
      </c>
      <c r="H752" s="2123">
        <v>0</v>
      </c>
      <c r="I752" s="2123"/>
      <c r="J752" s="2123">
        <v>0</v>
      </c>
      <c r="K752" s="2123">
        <v>0</v>
      </c>
      <c r="L752" s="2129">
        <f t="shared" si="104"/>
        <v>0</v>
      </c>
      <c r="M752" s="2209">
        <f>I752*G752</f>
        <v>0</v>
      </c>
      <c r="N752" s="2209">
        <f>J752*G752</f>
        <v>0</v>
      </c>
      <c r="O752" s="2210">
        <f>K752*G752</f>
        <v>0</v>
      </c>
      <c r="P752" s="2127" t="s">
        <v>2601</v>
      </c>
    </row>
    <row r="753" spans="1:18" s="2105" customFormat="1" outlineLevel="1">
      <c r="A753" s="2182" t="str">
        <f>+A741</f>
        <v/>
      </c>
      <c r="B753" s="2130"/>
      <c r="C753" s="2117"/>
      <c r="D753" s="2196"/>
      <c r="E753" s="2215"/>
      <c r="F753" s="2628"/>
      <c r="G753" s="2626"/>
      <c r="H753" s="2628"/>
      <c r="I753" s="2216"/>
      <c r="J753" s="2117" t="s">
        <v>6121</v>
      </c>
      <c r="K753" s="2215"/>
      <c r="L753" s="2216">
        <f>SUM(L745:L752)</f>
        <v>0</v>
      </c>
      <c r="M753" s="2216">
        <f>SUM(M745:M752)</f>
        <v>0</v>
      </c>
      <c r="N753" s="2216">
        <f>SUM(N745:N752)</f>
        <v>0</v>
      </c>
      <c r="O753" s="2216">
        <f>SUM(O745:O752)</f>
        <v>0</v>
      </c>
      <c r="P753" s="2216"/>
    </row>
    <row r="754" spans="1:18" s="2105" customFormat="1" outlineLevel="1">
      <c r="A754" s="2182"/>
      <c r="B754" s="2130"/>
      <c r="C754" s="2117"/>
      <c r="D754" s="2196"/>
      <c r="E754" s="2217" t="s">
        <v>3673</v>
      </c>
      <c r="F754" s="2217"/>
      <c r="G754" s="2217"/>
      <c r="H754" s="2217"/>
      <c r="I754" s="2217"/>
      <c r="J754" s="2217"/>
      <c r="K754" s="2217"/>
      <c r="L754" s="2217"/>
      <c r="M754" s="2217"/>
      <c r="N754" s="2217"/>
      <c r="O754" s="2215"/>
      <c r="P754" s="2170"/>
    </row>
    <row r="755" spans="1:18" s="2105" customFormat="1" outlineLevel="1">
      <c r="A755" s="2182" t="str">
        <f>IF(G755&lt;&gt;0,1,"")</f>
        <v/>
      </c>
      <c r="B755" s="2130"/>
      <c r="C755" s="2218">
        <f>IF(G755&gt;0,1,0)</f>
        <v>0</v>
      </c>
      <c r="D755" s="2219"/>
      <c r="E755" s="2220" t="s">
        <v>3692</v>
      </c>
      <c r="F755" s="2221" t="s">
        <v>2385</v>
      </c>
      <c r="G755" s="2222">
        <f>G745/3</f>
        <v>0</v>
      </c>
      <c r="H755" s="2223"/>
      <c r="I755" s="2223"/>
      <c r="J755" s="2223"/>
      <c r="K755" s="2223"/>
      <c r="L755" s="2223"/>
      <c r="M755" s="2223"/>
      <c r="N755" s="2223"/>
      <c r="O755" s="2221"/>
      <c r="P755" s="2155"/>
    </row>
    <row r="756" spans="1:18" s="2105" customFormat="1" ht="14.4" outlineLevel="1">
      <c r="A756" s="2108" t="str">
        <f>A755</f>
        <v/>
      </c>
      <c r="B756" s="2130"/>
      <c r="C756" s="2142"/>
      <c r="D756" s="2224"/>
      <c r="E756" s="2225" t="s">
        <v>6133</v>
      </c>
      <c r="F756" s="2208"/>
      <c r="G756" s="2184"/>
      <c r="H756" s="2226"/>
      <c r="I756" s="2226"/>
      <c r="J756" s="2226"/>
      <c r="K756" s="2226"/>
      <c r="L756" s="2226"/>
      <c r="M756" s="2226"/>
      <c r="N756" s="2226"/>
      <c r="O756" s="2227"/>
      <c r="P756" s="2155"/>
    </row>
    <row r="757" spans="1:18" s="2105" customFormat="1" outlineLevel="1">
      <c r="A757" s="2108" t="str">
        <f>A756</f>
        <v/>
      </c>
      <c r="B757" s="2133" t="s">
        <v>1587</v>
      </c>
      <c r="C757" s="2142"/>
      <c r="D757" s="2120">
        <v>0</v>
      </c>
      <c r="E757" s="2121" t="s">
        <v>5716</v>
      </c>
      <c r="F757" s="2120" t="s">
        <v>3457</v>
      </c>
      <c r="G757" s="2184">
        <f>G755*1</f>
        <v>0</v>
      </c>
      <c r="H757" s="2123">
        <v>1470000</v>
      </c>
      <c r="I757" s="2128"/>
      <c r="J757" s="2123">
        <v>0</v>
      </c>
      <c r="K757" s="2123">
        <v>0</v>
      </c>
      <c r="L757" s="2209">
        <f t="shared" ref="L757:L876" si="110">H757*G757</f>
        <v>0</v>
      </c>
      <c r="M757" s="2209">
        <f t="shared" ref="M757:M876" si="111">I757*G757</f>
        <v>0</v>
      </c>
      <c r="N757" s="2209">
        <f t="shared" ref="N757:N876" si="112">J757*G757</f>
        <v>0</v>
      </c>
      <c r="O757" s="2210">
        <f t="shared" ref="O757:O876" si="113">K757*G757</f>
        <v>0</v>
      </c>
      <c r="P757" s="2155"/>
    </row>
    <row r="758" spans="1:18" s="2105" customFormat="1" outlineLevel="1">
      <c r="A758" s="2108" t="str">
        <f>A757</f>
        <v/>
      </c>
      <c r="B758" s="2130" t="s">
        <v>1786</v>
      </c>
      <c r="C758" s="2142"/>
      <c r="D758" s="2120">
        <v>0</v>
      </c>
      <c r="E758" s="2121" t="s">
        <v>2639</v>
      </c>
      <c r="F758" s="2120" t="s">
        <v>2439</v>
      </c>
      <c r="G758" s="2184">
        <f>6*G755</f>
        <v>0</v>
      </c>
      <c r="H758" s="2123">
        <v>12400</v>
      </c>
      <c r="I758" s="2128"/>
      <c r="J758" s="2123">
        <v>0</v>
      </c>
      <c r="K758" s="2123">
        <v>0</v>
      </c>
      <c r="L758" s="2209">
        <f t="shared" si="110"/>
        <v>0</v>
      </c>
      <c r="M758" s="2209">
        <f t="shared" si="111"/>
        <v>0</v>
      </c>
      <c r="N758" s="2209">
        <f t="shared" si="112"/>
        <v>0</v>
      </c>
      <c r="O758" s="2210">
        <f t="shared" si="113"/>
        <v>0</v>
      </c>
      <c r="P758" s="2155"/>
    </row>
    <row r="759" spans="1:18" s="2105" customFormat="1" outlineLevel="1">
      <c r="A759" s="2108" t="str">
        <f>A758</f>
        <v/>
      </c>
      <c r="B759" s="2130" t="s">
        <v>1610</v>
      </c>
      <c r="C759" s="2142"/>
      <c r="D759" s="2120">
        <v>0</v>
      </c>
      <c r="E759" s="2121" t="s">
        <v>2649</v>
      </c>
      <c r="F759" s="2120" t="s">
        <v>2439</v>
      </c>
      <c r="G759" s="2184">
        <f>2*G755</f>
        <v>0</v>
      </c>
      <c r="H759" s="2123">
        <v>25400</v>
      </c>
      <c r="I759" s="2128"/>
      <c r="J759" s="2123">
        <v>0</v>
      </c>
      <c r="K759" s="2123">
        <v>0</v>
      </c>
      <c r="L759" s="2209">
        <f t="shared" si="110"/>
        <v>0</v>
      </c>
      <c r="M759" s="2209">
        <f t="shared" si="111"/>
        <v>0</v>
      </c>
      <c r="N759" s="2209">
        <f t="shared" si="112"/>
        <v>0</v>
      </c>
      <c r="O759" s="2210">
        <f t="shared" si="113"/>
        <v>0</v>
      </c>
      <c r="P759" s="2155"/>
    </row>
    <row r="760" spans="1:18" s="2105" customFormat="1" ht="14.25" customHeight="1" outlineLevel="1">
      <c r="A760" s="2108" t="str">
        <f>A759</f>
        <v/>
      </c>
      <c r="B760" s="2133" t="s">
        <v>516</v>
      </c>
      <c r="C760" s="2142"/>
      <c r="D760" s="2120" t="s">
        <v>5421</v>
      </c>
      <c r="E760" s="2121" t="s">
        <v>5422</v>
      </c>
      <c r="F760" s="2120" t="s">
        <v>2439</v>
      </c>
      <c r="G760" s="2184">
        <v>1</v>
      </c>
      <c r="H760" s="2123">
        <v>0</v>
      </c>
      <c r="I760" s="2128"/>
      <c r="J760" s="2123">
        <v>296544.75</v>
      </c>
      <c r="K760" s="2123">
        <v>0</v>
      </c>
      <c r="L760" s="2209">
        <f>H760*G760</f>
        <v>0</v>
      </c>
      <c r="M760" s="2209"/>
      <c r="N760" s="2209">
        <f>J760*G760</f>
        <v>296544.75</v>
      </c>
      <c r="O760" s="2210">
        <f>K760*G760</f>
        <v>0</v>
      </c>
      <c r="P760" s="2155"/>
    </row>
    <row r="761" spans="1:18" s="2105" customFormat="1" ht="27.6" outlineLevel="1">
      <c r="A761" s="2108">
        <f>IF(G761&lt;&gt;0,1,)</f>
        <v>0</v>
      </c>
      <c r="B761" s="2130"/>
      <c r="C761" s="2142">
        <f>IF(G761&gt;0,C755+1,C755)</f>
        <v>0</v>
      </c>
      <c r="D761" s="2146"/>
      <c r="E761" s="2228" t="s">
        <v>6168</v>
      </c>
      <c r="F761" s="2229" t="s">
        <v>2385</v>
      </c>
      <c r="G761" s="2230"/>
      <c r="H761" s="2128"/>
      <c r="I761" s="2128"/>
      <c r="J761" s="2128"/>
      <c r="K761" s="2128"/>
      <c r="L761" s="2129">
        <f t="shared" si="110"/>
        <v>0</v>
      </c>
      <c r="M761" s="2129">
        <f t="shared" si="111"/>
        <v>0</v>
      </c>
      <c r="N761" s="2129">
        <f t="shared" si="112"/>
        <v>0</v>
      </c>
      <c r="O761" s="2128">
        <f t="shared" si="113"/>
        <v>0</v>
      </c>
      <c r="P761" s="2127"/>
    </row>
    <row r="762" spans="1:18" s="2105" customFormat="1" outlineLevel="1">
      <c r="A762" s="2108">
        <f t="shared" ref="A762:A767" si="114">IF(G762&lt;&gt;0,1,)</f>
        <v>0</v>
      </c>
      <c r="B762" s="2231" t="s">
        <v>5835</v>
      </c>
      <c r="C762" s="2127"/>
      <c r="D762" s="2120">
        <v>0</v>
      </c>
      <c r="E762" s="2121" t="s">
        <v>5836</v>
      </c>
      <c r="F762" s="2120" t="s">
        <v>2248</v>
      </c>
      <c r="G762" s="2232"/>
      <c r="H762" s="2123">
        <v>31625</v>
      </c>
      <c r="I762" s="2123"/>
      <c r="J762" s="2123">
        <v>0</v>
      </c>
      <c r="K762" s="2123">
        <v>0</v>
      </c>
      <c r="L762" s="2129">
        <f t="shared" si="110"/>
        <v>0</v>
      </c>
      <c r="M762" s="2129">
        <f t="shared" si="111"/>
        <v>0</v>
      </c>
      <c r="N762" s="2129">
        <f t="shared" si="112"/>
        <v>0</v>
      </c>
      <c r="O762" s="2128">
        <f t="shared" si="113"/>
        <v>0</v>
      </c>
      <c r="P762" s="2127"/>
      <c r="R762" s="2149"/>
    </row>
    <row r="763" spans="1:18" s="2105" customFormat="1" outlineLevel="1">
      <c r="A763" s="2108">
        <f t="shared" si="114"/>
        <v>0</v>
      </c>
      <c r="B763" s="2231" t="s">
        <v>700</v>
      </c>
      <c r="C763" s="2127"/>
      <c r="D763" s="2120">
        <v>0</v>
      </c>
      <c r="E763" s="2121" t="s">
        <v>2960</v>
      </c>
      <c r="F763" s="2120" t="s">
        <v>2248</v>
      </c>
      <c r="G763" s="2232"/>
      <c r="H763" s="2123">
        <v>31625</v>
      </c>
      <c r="I763" s="2123"/>
      <c r="J763" s="2123">
        <v>0</v>
      </c>
      <c r="K763" s="2123">
        <v>0</v>
      </c>
      <c r="L763" s="2129">
        <f t="shared" si="110"/>
        <v>0</v>
      </c>
      <c r="M763" s="2129">
        <f t="shared" si="111"/>
        <v>0</v>
      </c>
      <c r="N763" s="2129">
        <f t="shared" si="112"/>
        <v>0</v>
      </c>
      <c r="O763" s="2128">
        <f t="shared" si="113"/>
        <v>0</v>
      </c>
      <c r="P763" s="2127"/>
      <c r="R763" s="2149"/>
    </row>
    <row r="764" spans="1:18" s="2105" customFormat="1" outlineLevel="1">
      <c r="A764" s="2108">
        <f t="shared" si="114"/>
        <v>0</v>
      </c>
      <c r="B764" s="2231" t="s">
        <v>6169</v>
      </c>
      <c r="C764" s="2127"/>
      <c r="D764" s="2120">
        <v>0</v>
      </c>
      <c r="E764" s="2121" t="s">
        <v>2658</v>
      </c>
      <c r="F764" s="2120" t="s">
        <v>2439</v>
      </c>
      <c r="G764" s="2232"/>
      <c r="H764" s="2123">
        <v>26800</v>
      </c>
      <c r="I764" s="2123"/>
      <c r="J764" s="2123">
        <v>0</v>
      </c>
      <c r="K764" s="2123">
        <v>0</v>
      </c>
      <c r="L764" s="2129">
        <f t="shared" si="110"/>
        <v>0</v>
      </c>
      <c r="M764" s="2129">
        <f t="shared" si="111"/>
        <v>0</v>
      </c>
      <c r="N764" s="2129">
        <f t="shared" si="112"/>
        <v>0</v>
      </c>
      <c r="O764" s="2128">
        <f t="shared" si="113"/>
        <v>0</v>
      </c>
      <c r="P764" s="2127"/>
      <c r="R764" s="2149"/>
    </row>
    <row r="765" spans="1:18" s="2105" customFormat="1" outlineLevel="1">
      <c r="A765" s="2108">
        <f t="shared" si="114"/>
        <v>0</v>
      </c>
      <c r="B765" s="2231" t="s">
        <v>6170</v>
      </c>
      <c r="C765" s="2127"/>
      <c r="D765" s="2120">
        <v>0</v>
      </c>
      <c r="E765" s="2121" t="s">
        <v>2661</v>
      </c>
      <c r="F765" s="2120" t="s">
        <v>2439</v>
      </c>
      <c r="G765" s="2232"/>
      <c r="H765" s="2123">
        <v>32800</v>
      </c>
      <c r="I765" s="2123"/>
      <c r="J765" s="2123">
        <v>0</v>
      </c>
      <c r="K765" s="2123">
        <v>0</v>
      </c>
      <c r="L765" s="2129">
        <f t="shared" si="110"/>
        <v>0</v>
      </c>
      <c r="M765" s="2129">
        <f t="shared" si="111"/>
        <v>0</v>
      </c>
      <c r="N765" s="2129">
        <f t="shared" si="112"/>
        <v>0</v>
      </c>
      <c r="O765" s="2128">
        <f t="shared" si="113"/>
        <v>0</v>
      </c>
      <c r="P765" s="2127"/>
      <c r="R765" s="2149"/>
    </row>
    <row r="766" spans="1:18" s="2105" customFormat="1" outlineLevel="1">
      <c r="A766" s="2108">
        <f t="shared" si="114"/>
        <v>0</v>
      </c>
      <c r="B766" s="2231" t="s">
        <v>1185</v>
      </c>
      <c r="C766" s="2127"/>
      <c r="D766" s="2120">
        <v>0</v>
      </c>
      <c r="E766" s="2121" t="s">
        <v>2651</v>
      </c>
      <c r="F766" s="2120" t="s">
        <v>2439</v>
      </c>
      <c r="G766" s="2232"/>
      <c r="H766" s="2123">
        <v>27900</v>
      </c>
      <c r="I766" s="2123"/>
      <c r="J766" s="2123">
        <v>0</v>
      </c>
      <c r="K766" s="2123">
        <v>0</v>
      </c>
      <c r="L766" s="2129">
        <f t="shared" si="110"/>
        <v>0</v>
      </c>
      <c r="M766" s="2129">
        <f t="shared" si="111"/>
        <v>0</v>
      </c>
      <c r="N766" s="2129">
        <f t="shared" si="112"/>
        <v>0</v>
      </c>
      <c r="O766" s="2128">
        <f t="shared" si="113"/>
        <v>0</v>
      </c>
      <c r="P766" s="2127"/>
      <c r="R766" s="2149"/>
    </row>
    <row r="767" spans="1:18" s="2105" customFormat="1" outlineLevel="1">
      <c r="A767" s="2108">
        <f t="shared" si="114"/>
        <v>0</v>
      </c>
      <c r="B767" s="2231" t="s">
        <v>516</v>
      </c>
      <c r="C767" s="2127"/>
      <c r="D767" s="2120" t="s">
        <v>5421</v>
      </c>
      <c r="E767" s="2121" t="s">
        <v>5422</v>
      </c>
      <c r="F767" s="2120" t="s">
        <v>2439</v>
      </c>
      <c r="G767" s="2232"/>
      <c r="H767" s="2123">
        <v>0</v>
      </c>
      <c r="I767" s="2123"/>
      <c r="J767" s="2123">
        <v>296544.75</v>
      </c>
      <c r="K767" s="2123">
        <v>0</v>
      </c>
      <c r="L767" s="2129">
        <f t="shared" si="110"/>
        <v>0</v>
      </c>
      <c r="M767" s="2129">
        <f t="shared" si="111"/>
        <v>0</v>
      </c>
      <c r="N767" s="2129">
        <f t="shared" si="112"/>
        <v>0</v>
      </c>
      <c r="O767" s="2128">
        <f t="shared" si="113"/>
        <v>0</v>
      </c>
      <c r="P767" s="2127"/>
      <c r="R767" s="2149"/>
    </row>
    <row r="768" spans="1:18" s="2105" customFormat="1" outlineLevel="1">
      <c r="A768" s="2108">
        <f>IF(G768&lt;&gt;0,1,)</f>
        <v>0</v>
      </c>
      <c r="B768" s="2130"/>
      <c r="C768" s="2142">
        <f>IF(G768&gt;0,C761+1,C761)</f>
        <v>0</v>
      </c>
      <c r="D768" s="2146"/>
      <c r="E768" s="2233" t="s">
        <v>6171</v>
      </c>
      <c r="F768" s="2229" t="s">
        <v>2385</v>
      </c>
      <c r="G768" s="2187"/>
      <c r="H768" s="2128"/>
      <c r="I768" s="2128"/>
      <c r="J768" s="2128"/>
      <c r="K768" s="2128"/>
      <c r="L768" s="2129">
        <f t="shared" si="110"/>
        <v>0</v>
      </c>
      <c r="M768" s="2129">
        <f t="shared" si="111"/>
        <v>0</v>
      </c>
      <c r="N768" s="2129">
        <f t="shared" si="112"/>
        <v>0</v>
      </c>
      <c r="O768" s="2128">
        <f t="shared" si="113"/>
        <v>0</v>
      </c>
      <c r="P768" s="2127"/>
    </row>
    <row r="769" spans="1:18" s="2105" customFormat="1" outlineLevel="1">
      <c r="A769" s="2108">
        <f>IF(G769&lt;&gt;0,1,)</f>
        <v>0</v>
      </c>
      <c r="B769" s="2231" t="s">
        <v>1578</v>
      </c>
      <c r="C769" s="2127"/>
      <c r="D769" s="2120">
        <v>0</v>
      </c>
      <c r="E769" s="2121" t="s">
        <v>2832</v>
      </c>
      <c r="F769" s="2120" t="s">
        <v>2555</v>
      </c>
      <c r="G769" s="2232"/>
      <c r="H769" s="2123">
        <v>38000</v>
      </c>
      <c r="I769" s="2123"/>
      <c r="J769" s="2123">
        <v>0</v>
      </c>
      <c r="K769" s="2123">
        <v>0</v>
      </c>
      <c r="L769" s="2129">
        <f t="shared" si="110"/>
        <v>0</v>
      </c>
      <c r="M769" s="2129">
        <f t="shared" si="111"/>
        <v>0</v>
      </c>
      <c r="N769" s="2129">
        <f t="shared" si="112"/>
        <v>0</v>
      </c>
      <c r="O769" s="2128">
        <f t="shared" si="113"/>
        <v>0</v>
      </c>
      <c r="P769" s="2127"/>
      <c r="R769" s="2149"/>
    </row>
    <row r="770" spans="1:18" s="2105" customFormat="1" outlineLevel="1">
      <c r="A770" s="2108">
        <f>IF(G770&lt;&gt;0,1,)</f>
        <v>0</v>
      </c>
      <c r="B770" s="2231" t="s">
        <v>275</v>
      </c>
      <c r="C770" s="2127"/>
      <c r="D770" s="2120">
        <v>0</v>
      </c>
      <c r="E770" s="2121" t="s">
        <v>2819</v>
      </c>
      <c r="F770" s="2120" t="s">
        <v>2248</v>
      </c>
      <c r="G770" s="2234"/>
      <c r="H770" s="2123">
        <v>47300</v>
      </c>
      <c r="I770" s="2123"/>
      <c r="J770" s="2123">
        <v>0</v>
      </c>
      <c r="K770" s="2123">
        <v>0</v>
      </c>
      <c r="L770" s="2129">
        <f t="shared" si="110"/>
        <v>0</v>
      </c>
      <c r="M770" s="2129">
        <f t="shared" si="111"/>
        <v>0</v>
      </c>
      <c r="N770" s="2129">
        <f t="shared" si="112"/>
        <v>0</v>
      </c>
      <c r="O770" s="2128">
        <f t="shared" si="113"/>
        <v>0</v>
      </c>
      <c r="P770" s="2127"/>
      <c r="R770" s="2149"/>
    </row>
    <row r="771" spans="1:18" s="2105" customFormat="1" outlineLevel="1">
      <c r="A771" s="2108">
        <f>IF(G771&lt;&gt;0,1,)</f>
        <v>0</v>
      </c>
      <c r="B771" s="2130"/>
      <c r="C771" s="2142">
        <f>IF(G771&gt;0,C768+1,C768)</f>
        <v>0</v>
      </c>
      <c r="D771" s="2146"/>
      <c r="E771" s="2147" t="s">
        <v>2352</v>
      </c>
      <c r="F771" s="2142" t="s">
        <v>2385</v>
      </c>
      <c r="G771" s="2142"/>
      <c r="H771" s="2128"/>
      <c r="I771" s="2128"/>
      <c r="J771" s="2128"/>
      <c r="K771" s="2128"/>
      <c r="L771" s="2129">
        <f t="shared" si="110"/>
        <v>0</v>
      </c>
      <c r="M771" s="2129">
        <f t="shared" si="111"/>
        <v>0</v>
      </c>
      <c r="N771" s="2129">
        <f t="shared" si="112"/>
        <v>0</v>
      </c>
      <c r="O771" s="2128">
        <f t="shared" si="113"/>
        <v>0</v>
      </c>
      <c r="P771" s="2127"/>
    </row>
    <row r="772" spans="1:18" s="2105" customFormat="1" ht="14.4" outlineLevel="1">
      <c r="A772" s="2108">
        <f>A771</f>
        <v>0</v>
      </c>
      <c r="B772" s="2130"/>
      <c r="C772" s="2142"/>
      <c r="D772" s="2146"/>
      <c r="E772" s="2148" t="s">
        <v>6133</v>
      </c>
      <c r="F772" s="2127"/>
      <c r="G772" s="2127"/>
      <c r="H772" s="2128"/>
      <c r="I772" s="2128"/>
      <c r="J772" s="2128"/>
      <c r="K772" s="2128"/>
      <c r="L772" s="2129">
        <f t="shared" si="110"/>
        <v>0</v>
      </c>
      <c r="M772" s="2129">
        <f t="shared" si="111"/>
        <v>0</v>
      </c>
      <c r="N772" s="2129">
        <f t="shared" si="112"/>
        <v>0</v>
      </c>
      <c r="O772" s="2128">
        <f t="shared" si="113"/>
        <v>0</v>
      </c>
      <c r="P772" s="2127"/>
      <c r="R772" s="2149"/>
    </row>
    <row r="773" spans="1:18" s="2105" customFormat="1" outlineLevel="1">
      <c r="A773" s="2108">
        <f>IF(G773&lt;&gt;0,1,)</f>
        <v>0</v>
      </c>
      <c r="B773" s="2133" t="s">
        <v>636</v>
      </c>
      <c r="C773" s="2127"/>
      <c r="D773" s="2120" t="s">
        <v>5047</v>
      </c>
      <c r="E773" s="2121" t="s">
        <v>2607</v>
      </c>
      <c r="F773" s="2120" t="s">
        <v>2555</v>
      </c>
      <c r="G773" s="2127">
        <f>1*G771</f>
        <v>0</v>
      </c>
      <c r="H773" s="2123">
        <v>354545</v>
      </c>
      <c r="I773" s="2123"/>
      <c r="J773" s="2123">
        <v>37220.25</v>
      </c>
      <c r="K773" s="2123">
        <v>0</v>
      </c>
      <c r="L773" s="2129">
        <f t="shared" si="110"/>
        <v>0</v>
      </c>
      <c r="M773" s="2129">
        <f t="shared" si="111"/>
        <v>0</v>
      </c>
      <c r="N773" s="2129">
        <f t="shared" si="112"/>
        <v>0</v>
      </c>
      <c r="O773" s="2128">
        <f t="shared" si="113"/>
        <v>0</v>
      </c>
      <c r="P773" s="2127"/>
      <c r="R773" s="2149"/>
    </row>
    <row r="774" spans="1:18" s="2105" customFormat="1" outlineLevel="1">
      <c r="A774" s="2108">
        <f>IF(G774&lt;&gt;0,1,)</f>
        <v>0</v>
      </c>
      <c r="B774" s="2133" t="s">
        <v>566</v>
      </c>
      <c r="C774" s="2127"/>
      <c r="D774" s="2120">
        <v>0</v>
      </c>
      <c r="E774" s="2121" t="s">
        <v>5072</v>
      </c>
      <c r="F774" s="2120" t="s">
        <v>2439</v>
      </c>
      <c r="G774" s="2127">
        <f>G771</f>
        <v>0</v>
      </c>
      <c r="H774" s="2123">
        <v>92200</v>
      </c>
      <c r="I774" s="2123"/>
      <c r="J774" s="2123">
        <v>0</v>
      </c>
      <c r="K774" s="2123">
        <v>0</v>
      </c>
      <c r="L774" s="2129">
        <f t="shared" si="110"/>
        <v>0</v>
      </c>
      <c r="M774" s="2129">
        <f t="shared" si="111"/>
        <v>0</v>
      </c>
      <c r="N774" s="2129">
        <f t="shared" si="112"/>
        <v>0</v>
      </c>
      <c r="O774" s="2128">
        <f t="shared" si="113"/>
        <v>0</v>
      </c>
      <c r="P774" s="2127"/>
      <c r="R774" s="2149"/>
    </row>
    <row r="775" spans="1:18" s="2105" customFormat="1" outlineLevel="1">
      <c r="A775" s="2108">
        <f>IF(G775&lt;&gt;0,1,)</f>
        <v>0</v>
      </c>
      <c r="B775" s="2133" t="s">
        <v>639</v>
      </c>
      <c r="C775" s="2127"/>
      <c r="D775" s="2120" t="s">
        <v>1747</v>
      </c>
      <c r="E775" s="2121" t="s">
        <v>5324</v>
      </c>
      <c r="F775" s="2120" t="s">
        <v>856</v>
      </c>
      <c r="G775" s="2151">
        <f>G771*1.45</f>
        <v>0</v>
      </c>
      <c r="H775" s="2123">
        <v>0</v>
      </c>
      <c r="I775" s="2123"/>
      <c r="J775" s="2123">
        <v>296500.89999999997</v>
      </c>
      <c r="K775" s="2123">
        <v>0</v>
      </c>
      <c r="L775" s="2129">
        <f t="shared" si="110"/>
        <v>0</v>
      </c>
      <c r="M775" s="2129">
        <f t="shared" si="111"/>
        <v>0</v>
      </c>
      <c r="N775" s="2129">
        <f t="shared" si="112"/>
        <v>0</v>
      </c>
      <c r="O775" s="2128">
        <f t="shared" si="113"/>
        <v>0</v>
      </c>
      <c r="P775" s="2127"/>
      <c r="R775" s="2149"/>
    </row>
    <row r="776" spans="1:18" s="2105" customFormat="1" outlineLevel="1">
      <c r="A776" s="2108">
        <f>IF(G776&lt;&gt;0,1,)</f>
        <v>0</v>
      </c>
      <c r="B776" s="2133" t="s">
        <v>21</v>
      </c>
      <c r="C776" s="2127"/>
      <c r="D776" s="2120" t="s">
        <v>5325</v>
      </c>
      <c r="E776" s="2121" t="s">
        <v>5326</v>
      </c>
      <c r="F776" s="2120" t="s">
        <v>856</v>
      </c>
      <c r="G776" s="2151">
        <f>G771*1.37</f>
        <v>0</v>
      </c>
      <c r="H776" s="2123">
        <v>0</v>
      </c>
      <c r="I776" s="2123"/>
      <c r="J776" s="2123">
        <v>117703.6</v>
      </c>
      <c r="K776" s="2123">
        <v>0</v>
      </c>
      <c r="L776" s="2129">
        <f t="shared" si="110"/>
        <v>0</v>
      </c>
      <c r="M776" s="2129">
        <f t="shared" si="111"/>
        <v>0</v>
      </c>
      <c r="N776" s="2129">
        <f t="shared" si="112"/>
        <v>0</v>
      </c>
      <c r="O776" s="2128">
        <f t="shared" si="113"/>
        <v>0</v>
      </c>
      <c r="P776" s="2127"/>
      <c r="R776" s="2149"/>
    </row>
    <row r="777" spans="1:18" s="2105" customFormat="1" outlineLevel="1">
      <c r="A777" s="2108"/>
      <c r="B777" s="2133"/>
      <c r="C777" s="2142">
        <f>IF(G777&gt;0,C771+1,C771)</f>
        <v>0</v>
      </c>
      <c r="D777" s="2235"/>
      <c r="E777" s="2236" t="s">
        <v>6172</v>
      </c>
      <c r="F777" s="2237" t="s">
        <v>2385</v>
      </c>
      <c r="G777" s="2187"/>
      <c r="H777" s="2123"/>
      <c r="I777" s="2123"/>
      <c r="J777" s="2123"/>
      <c r="K777" s="2123"/>
      <c r="L777" s="2129"/>
      <c r="M777" s="2129"/>
      <c r="N777" s="2129"/>
      <c r="O777" s="2128"/>
      <c r="P777" s="2127"/>
      <c r="R777" s="2149"/>
    </row>
    <row r="778" spans="1:18" s="2247" customFormat="1" outlineLevel="1">
      <c r="A778" s="2238">
        <f t="shared" ref="A778:A787" si="115">IF(G778&lt;&gt;0,1,)</f>
        <v>0</v>
      </c>
      <c r="B778" s="2239" t="s">
        <v>5236</v>
      </c>
      <c r="C778" s="2240"/>
      <c r="D778" s="2241">
        <v>0</v>
      </c>
      <c r="E778" s="2242" t="s">
        <v>5237</v>
      </c>
      <c r="F778" s="2241" t="s">
        <v>5174</v>
      </c>
      <c r="G778" s="2243"/>
      <c r="H778" s="2244"/>
      <c r="I778" s="2244"/>
      <c r="J778" s="2244">
        <v>0</v>
      </c>
      <c r="K778" s="2244">
        <v>0</v>
      </c>
      <c r="L778" s="2245">
        <f t="shared" ref="L778:L787" si="116">H778*G778</f>
        <v>0</v>
      </c>
      <c r="M778" s="2245">
        <f t="shared" ref="M778:M787" si="117">I778*G778</f>
        <v>0</v>
      </c>
      <c r="N778" s="2245">
        <f t="shared" ref="N778:N787" si="118">J778*G778</f>
        <v>0</v>
      </c>
      <c r="O778" s="2246">
        <f t="shared" ref="O778:O787" si="119">K778*G778</f>
        <v>0</v>
      </c>
      <c r="P778" s="2240" t="s">
        <v>6173</v>
      </c>
      <c r="R778" s="2248"/>
    </row>
    <row r="779" spans="1:18" s="2247" customFormat="1" outlineLevel="1">
      <c r="A779" s="2238">
        <f t="shared" si="115"/>
        <v>0</v>
      </c>
      <c r="B779" s="2239" t="s">
        <v>5228</v>
      </c>
      <c r="C779" s="2240"/>
      <c r="D779" s="2241">
        <v>0</v>
      </c>
      <c r="E779" s="2242" t="s">
        <v>6174</v>
      </c>
      <c r="F779" s="2241" t="s">
        <v>5174</v>
      </c>
      <c r="G779" s="2243"/>
      <c r="H779" s="2244"/>
      <c r="I779" s="2244"/>
      <c r="J779" s="2244">
        <v>0</v>
      </c>
      <c r="K779" s="2244">
        <v>0</v>
      </c>
      <c r="L779" s="2245">
        <f t="shared" si="116"/>
        <v>0</v>
      </c>
      <c r="M779" s="2245">
        <f t="shared" si="117"/>
        <v>0</v>
      </c>
      <c r="N779" s="2245">
        <f t="shared" si="118"/>
        <v>0</v>
      </c>
      <c r="O779" s="2246">
        <f t="shared" si="119"/>
        <v>0</v>
      </c>
      <c r="P779" s="2240" t="s">
        <v>6173</v>
      </c>
      <c r="R779" s="2248"/>
    </row>
    <row r="780" spans="1:18" s="2247" customFormat="1" outlineLevel="1">
      <c r="A780" s="2238">
        <f t="shared" si="115"/>
        <v>0</v>
      </c>
      <c r="B780" s="2239" t="s">
        <v>1609</v>
      </c>
      <c r="C780" s="2240"/>
      <c r="D780" s="2241">
        <v>0</v>
      </c>
      <c r="E780" s="2242" t="s">
        <v>2645</v>
      </c>
      <c r="F780" s="2241" t="s">
        <v>2439</v>
      </c>
      <c r="G780" s="2243"/>
      <c r="H780" s="2244"/>
      <c r="I780" s="2244"/>
      <c r="J780" s="2244">
        <v>0</v>
      </c>
      <c r="K780" s="2244">
        <v>0</v>
      </c>
      <c r="L780" s="2245">
        <f t="shared" si="116"/>
        <v>0</v>
      </c>
      <c r="M780" s="2245">
        <f t="shared" si="117"/>
        <v>0</v>
      </c>
      <c r="N780" s="2245">
        <f t="shared" si="118"/>
        <v>0</v>
      </c>
      <c r="O780" s="2246">
        <f t="shared" si="119"/>
        <v>0</v>
      </c>
      <c r="P780" s="2240" t="s">
        <v>6173</v>
      </c>
      <c r="R780" s="2248"/>
    </row>
    <row r="781" spans="1:18" s="2247" customFormat="1" outlineLevel="1">
      <c r="A781" s="2238">
        <f t="shared" si="115"/>
        <v>0</v>
      </c>
      <c r="B781" s="2239" t="s">
        <v>1292</v>
      </c>
      <c r="C781" s="2240"/>
      <c r="D781" s="2241">
        <v>0</v>
      </c>
      <c r="E781" s="2242" t="s">
        <v>2659</v>
      </c>
      <c r="F781" s="2241" t="s">
        <v>2439</v>
      </c>
      <c r="G781" s="2243"/>
      <c r="H781" s="2244"/>
      <c r="I781" s="2244"/>
      <c r="J781" s="2244">
        <v>0</v>
      </c>
      <c r="K781" s="2244">
        <v>0</v>
      </c>
      <c r="L781" s="2245">
        <f t="shared" si="116"/>
        <v>0</v>
      </c>
      <c r="M781" s="2245">
        <f t="shared" si="117"/>
        <v>0</v>
      </c>
      <c r="N781" s="2245">
        <f t="shared" si="118"/>
        <v>0</v>
      </c>
      <c r="O781" s="2246">
        <f t="shared" si="119"/>
        <v>0</v>
      </c>
      <c r="P781" s="2240" t="s">
        <v>6173</v>
      </c>
      <c r="R781" s="2248"/>
    </row>
    <row r="782" spans="1:18" s="2247" customFormat="1" outlineLevel="1">
      <c r="A782" s="2238">
        <f t="shared" si="115"/>
        <v>0</v>
      </c>
      <c r="B782" s="2239" t="s">
        <v>1785</v>
      </c>
      <c r="C782" s="2240"/>
      <c r="D782" s="2241">
        <v>0</v>
      </c>
      <c r="E782" s="2242" t="s">
        <v>2637</v>
      </c>
      <c r="F782" s="2241" t="s">
        <v>2439</v>
      </c>
      <c r="G782" s="2243"/>
      <c r="H782" s="2244"/>
      <c r="I782" s="2244"/>
      <c r="J782" s="2244">
        <v>0</v>
      </c>
      <c r="K782" s="2244">
        <v>0</v>
      </c>
      <c r="L782" s="2245">
        <f t="shared" si="116"/>
        <v>0</v>
      </c>
      <c r="M782" s="2245">
        <f t="shared" si="117"/>
        <v>0</v>
      </c>
      <c r="N782" s="2245">
        <f t="shared" si="118"/>
        <v>0</v>
      </c>
      <c r="O782" s="2246">
        <f t="shared" si="119"/>
        <v>0</v>
      </c>
      <c r="P782" s="2240" t="s">
        <v>6173</v>
      </c>
      <c r="R782" s="2248"/>
    </row>
    <row r="783" spans="1:18" s="2105" customFormat="1" outlineLevel="1">
      <c r="A783" s="2108">
        <f>IF(G783&lt;&gt;0,1,)</f>
        <v>0</v>
      </c>
      <c r="B783" s="2249" t="s">
        <v>1998</v>
      </c>
      <c r="C783" s="2127"/>
      <c r="D783" s="2120" t="s">
        <v>5428</v>
      </c>
      <c r="E783" s="2121" t="s">
        <v>5429</v>
      </c>
      <c r="F783" s="2120" t="s">
        <v>2439</v>
      </c>
      <c r="G783" s="2184"/>
      <c r="H783" s="2123">
        <v>0</v>
      </c>
      <c r="I783" s="2123"/>
      <c r="J783" s="2123" t="s">
        <v>6329</v>
      </c>
      <c r="K783" s="2123">
        <v>0</v>
      </c>
      <c r="L783" s="2129">
        <f>H783*G783</f>
        <v>0</v>
      </c>
      <c r="M783" s="2129">
        <f>I783*G783</f>
        <v>0</v>
      </c>
      <c r="N783" s="2129">
        <v>0</v>
      </c>
      <c r="O783" s="2128">
        <f>K783*G783</f>
        <v>0</v>
      </c>
      <c r="P783" s="2127"/>
      <c r="R783" s="2149"/>
    </row>
    <row r="784" spans="1:18" s="2105" customFormat="1" outlineLevel="1">
      <c r="A784" s="2108">
        <f>IF(G784&lt;&gt;0,1,)</f>
        <v>0</v>
      </c>
      <c r="B784" s="2250"/>
      <c r="C784" s="2142">
        <f>IF(G784&gt;0,C777+1,C777)</f>
        <v>0</v>
      </c>
      <c r="D784" s="2120"/>
      <c r="E784" s="2236" t="s">
        <v>6175</v>
      </c>
      <c r="F784" s="2237" t="s">
        <v>2439</v>
      </c>
      <c r="G784" s="2187"/>
      <c r="H784" s="2123"/>
      <c r="I784" s="2123"/>
      <c r="J784" s="2123"/>
      <c r="K784" s="2123"/>
      <c r="L784" s="2129"/>
      <c r="M784" s="2129">
        <f>I784*G784</f>
        <v>0</v>
      </c>
      <c r="N784" s="2129"/>
      <c r="O784" s="2128"/>
      <c r="P784" s="2127"/>
      <c r="R784" s="2149"/>
    </row>
    <row r="785" spans="1:18" s="2247" customFormat="1" outlineLevel="1">
      <c r="A785" s="2238">
        <f t="shared" si="115"/>
        <v>0</v>
      </c>
      <c r="B785" s="2251" t="s">
        <v>696</v>
      </c>
      <c r="C785" s="2240"/>
      <c r="D785" s="2241">
        <v>0</v>
      </c>
      <c r="E785" s="2242" t="s">
        <v>2936</v>
      </c>
      <c r="F785" s="2241" t="s">
        <v>2555</v>
      </c>
      <c r="G785" s="2243"/>
      <c r="H785" s="2244"/>
      <c r="I785" s="2244"/>
      <c r="J785" s="2244">
        <v>0</v>
      </c>
      <c r="K785" s="2244">
        <v>0</v>
      </c>
      <c r="L785" s="2245">
        <f t="shared" si="116"/>
        <v>0</v>
      </c>
      <c r="M785" s="2245">
        <f t="shared" si="117"/>
        <v>0</v>
      </c>
      <c r="N785" s="2245">
        <f t="shared" si="118"/>
        <v>0</v>
      </c>
      <c r="O785" s="2246">
        <f t="shared" si="119"/>
        <v>0</v>
      </c>
      <c r="P785" s="2240" t="s">
        <v>6173</v>
      </c>
      <c r="R785" s="2248"/>
    </row>
    <row r="786" spans="1:18" s="2247" customFormat="1" outlineLevel="1">
      <c r="A786" s="2238">
        <f t="shared" si="115"/>
        <v>0</v>
      </c>
      <c r="B786" s="2251" t="s">
        <v>1265</v>
      </c>
      <c r="C786" s="2240"/>
      <c r="D786" s="2241">
        <v>0</v>
      </c>
      <c r="E786" s="2242" t="s">
        <v>2823</v>
      </c>
      <c r="F786" s="2241" t="s">
        <v>2555</v>
      </c>
      <c r="G786" s="2243"/>
      <c r="H786" s="2244"/>
      <c r="I786" s="2244"/>
      <c r="J786" s="2244">
        <v>0</v>
      </c>
      <c r="K786" s="2244">
        <v>0</v>
      </c>
      <c r="L786" s="2245">
        <f t="shared" si="116"/>
        <v>0</v>
      </c>
      <c r="M786" s="2245">
        <f t="shared" si="117"/>
        <v>0</v>
      </c>
      <c r="N786" s="2245">
        <f t="shared" si="118"/>
        <v>0</v>
      </c>
      <c r="O786" s="2246">
        <f t="shared" si="119"/>
        <v>0</v>
      </c>
      <c r="P786" s="2240" t="s">
        <v>6173</v>
      </c>
      <c r="R786" s="2248"/>
    </row>
    <row r="787" spans="1:18" s="2105" customFormat="1" outlineLevel="1">
      <c r="A787" s="2108">
        <f t="shared" si="115"/>
        <v>0</v>
      </c>
      <c r="B787" s="2252" t="s">
        <v>1565</v>
      </c>
      <c r="C787" s="2127"/>
      <c r="D787" s="2120" t="s">
        <v>5560</v>
      </c>
      <c r="E787" s="2121" t="s">
        <v>3271</v>
      </c>
      <c r="F787" s="2120" t="s">
        <v>2439</v>
      </c>
      <c r="G787" s="2184"/>
      <c r="H787" s="2123">
        <v>510</v>
      </c>
      <c r="I787" s="2123"/>
      <c r="J787" s="2123">
        <v>58277.49</v>
      </c>
      <c r="K787" s="2123">
        <v>0</v>
      </c>
      <c r="L787" s="2129">
        <f t="shared" si="116"/>
        <v>0</v>
      </c>
      <c r="M787" s="2129">
        <f t="shared" si="117"/>
        <v>0</v>
      </c>
      <c r="N787" s="2129">
        <f t="shared" si="118"/>
        <v>0</v>
      </c>
      <c r="O787" s="2128">
        <f t="shared" si="119"/>
        <v>0</v>
      </c>
      <c r="P787" s="2127"/>
      <c r="R787" s="2149"/>
    </row>
    <row r="788" spans="1:18" s="2105" customFormat="1" outlineLevel="1">
      <c r="A788" s="2108">
        <f>IF(G788&lt;&gt;0,1,0)</f>
        <v>0</v>
      </c>
      <c r="B788" s="2133" t="s">
        <v>6159</v>
      </c>
      <c r="C788" s="2142">
        <f>IF(G788&gt;0,C784+1,C784)</f>
        <v>0</v>
      </c>
      <c r="D788" s="2202"/>
      <c r="E788" s="2171" t="s">
        <v>6160</v>
      </c>
      <c r="F788" s="2142" t="s">
        <v>2385</v>
      </c>
      <c r="G788" s="2187">
        <f>G755</f>
        <v>0</v>
      </c>
      <c r="H788" s="2128"/>
      <c r="I788" s="2128"/>
      <c r="J788" s="2128"/>
      <c r="K788" s="2128"/>
      <c r="L788" s="2129">
        <f t="shared" si="110"/>
        <v>0</v>
      </c>
      <c r="M788" s="2129">
        <f t="shared" si="111"/>
        <v>0</v>
      </c>
      <c r="N788" s="2129">
        <f t="shared" si="112"/>
        <v>0</v>
      </c>
      <c r="O788" s="2128">
        <f t="shared" si="113"/>
        <v>0</v>
      </c>
      <c r="P788" s="2155"/>
    </row>
    <row r="789" spans="1:18" s="2105" customFormat="1" ht="14.4" outlineLevel="1">
      <c r="A789" s="2108">
        <f>A788</f>
        <v>0</v>
      </c>
      <c r="B789" s="2130"/>
      <c r="C789" s="2142"/>
      <c r="D789" s="2202"/>
      <c r="E789" s="2172" t="s">
        <v>6133</v>
      </c>
      <c r="F789" s="2127"/>
      <c r="G789" s="2184"/>
      <c r="H789" s="2128"/>
      <c r="I789" s="2128"/>
      <c r="J789" s="2128"/>
      <c r="K789" s="2128"/>
      <c r="L789" s="2129">
        <f t="shared" si="110"/>
        <v>0</v>
      </c>
      <c r="M789" s="2129">
        <f t="shared" si="111"/>
        <v>0</v>
      </c>
      <c r="N789" s="2129">
        <f t="shared" si="112"/>
        <v>0</v>
      </c>
      <c r="O789" s="2128">
        <f t="shared" si="113"/>
        <v>0</v>
      </c>
      <c r="P789" s="2155"/>
    </row>
    <row r="790" spans="1:18" s="2105" customFormat="1" outlineLevel="1">
      <c r="A790" s="2108">
        <f t="shared" ref="A790:A795" si="120">IF(G790&lt;&gt;0,1,0)</f>
        <v>0</v>
      </c>
      <c r="B790" s="2133" t="s">
        <v>5151</v>
      </c>
      <c r="C790" s="2142"/>
      <c r="D790" s="2120">
        <v>0</v>
      </c>
      <c r="E790" s="2121" t="s">
        <v>5152</v>
      </c>
      <c r="F790" s="2120" t="s">
        <v>2590</v>
      </c>
      <c r="G790" s="2184">
        <f>+G788</f>
        <v>0</v>
      </c>
      <c r="H790" s="2123">
        <v>960000</v>
      </c>
      <c r="I790" s="2128"/>
      <c r="J790" s="2123">
        <v>0</v>
      </c>
      <c r="K790" s="2123">
        <v>0</v>
      </c>
      <c r="L790" s="2129">
        <f t="shared" si="110"/>
        <v>0</v>
      </c>
      <c r="M790" s="2129">
        <f t="shared" si="111"/>
        <v>0</v>
      </c>
      <c r="N790" s="2129">
        <f t="shared" si="112"/>
        <v>0</v>
      </c>
      <c r="O790" s="2128">
        <f t="shared" si="113"/>
        <v>0</v>
      </c>
      <c r="P790" s="2155"/>
    </row>
    <row r="791" spans="1:18" s="2105" customFormat="1" outlineLevel="1">
      <c r="A791" s="2108">
        <f t="shared" si="120"/>
        <v>0</v>
      </c>
      <c r="B791" s="2133" t="s">
        <v>5158</v>
      </c>
      <c r="C791" s="2142"/>
      <c r="D791" s="2120">
        <v>0</v>
      </c>
      <c r="E791" s="2121" t="s">
        <v>5159</v>
      </c>
      <c r="F791" s="2120" t="s">
        <v>5160</v>
      </c>
      <c r="G791" s="2184">
        <f>+G790*2</f>
        <v>0</v>
      </c>
      <c r="H791" s="2123">
        <v>140000</v>
      </c>
      <c r="I791" s="2128"/>
      <c r="J791" s="2123">
        <v>0</v>
      </c>
      <c r="K791" s="2123">
        <v>0</v>
      </c>
      <c r="L791" s="2129">
        <f t="shared" si="110"/>
        <v>0</v>
      </c>
      <c r="M791" s="2129">
        <f t="shared" si="111"/>
        <v>0</v>
      </c>
      <c r="N791" s="2129">
        <f t="shared" si="112"/>
        <v>0</v>
      </c>
      <c r="O791" s="2128">
        <f t="shared" si="113"/>
        <v>0</v>
      </c>
      <c r="P791" s="2155"/>
    </row>
    <row r="792" spans="1:18" s="2105" customFormat="1" outlineLevel="1">
      <c r="A792" s="2108">
        <f t="shared" si="120"/>
        <v>0</v>
      </c>
      <c r="B792" s="2130" t="s">
        <v>488</v>
      </c>
      <c r="C792" s="2142"/>
      <c r="D792" s="2120">
        <v>0</v>
      </c>
      <c r="E792" s="2121" t="s">
        <v>5078</v>
      </c>
      <c r="F792" s="2120" t="s">
        <v>2439</v>
      </c>
      <c r="G792" s="2184">
        <f>G788*3</f>
        <v>0</v>
      </c>
      <c r="H792" s="2123">
        <v>65000</v>
      </c>
      <c r="I792" s="2128"/>
      <c r="J792" s="2123">
        <v>0</v>
      </c>
      <c r="K792" s="2123">
        <v>0</v>
      </c>
      <c r="L792" s="2129">
        <f t="shared" si="110"/>
        <v>0</v>
      </c>
      <c r="M792" s="2129">
        <f t="shared" si="111"/>
        <v>0</v>
      </c>
      <c r="N792" s="2129">
        <f t="shared" si="112"/>
        <v>0</v>
      </c>
      <c r="O792" s="2128">
        <f t="shared" si="113"/>
        <v>0</v>
      </c>
      <c r="P792" s="2155"/>
    </row>
    <row r="793" spans="1:18" s="2105" customFormat="1" outlineLevel="1">
      <c r="A793" s="2108">
        <f t="shared" si="120"/>
        <v>0</v>
      </c>
      <c r="B793" s="2130" t="s">
        <v>244</v>
      </c>
      <c r="C793" s="2142"/>
      <c r="D793" s="2120">
        <v>0</v>
      </c>
      <c r="E793" s="2121" t="s">
        <v>2641</v>
      </c>
      <c r="F793" s="2120" t="s">
        <v>2439</v>
      </c>
      <c r="G793" s="2184">
        <f>2*G788</f>
        <v>0</v>
      </c>
      <c r="H793" s="2123">
        <v>18900</v>
      </c>
      <c r="I793" s="2128"/>
      <c r="J793" s="2123">
        <v>0</v>
      </c>
      <c r="K793" s="2123">
        <v>0</v>
      </c>
      <c r="L793" s="2129">
        <f t="shared" si="110"/>
        <v>0</v>
      </c>
      <c r="M793" s="2129">
        <f t="shared" si="111"/>
        <v>0</v>
      </c>
      <c r="N793" s="2129">
        <f t="shared" si="112"/>
        <v>0</v>
      </c>
      <c r="O793" s="2128">
        <f t="shared" si="113"/>
        <v>0</v>
      </c>
      <c r="P793" s="2155"/>
    </row>
    <row r="794" spans="1:18" s="2105" customFormat="1" outlineLevel="1">
      <c r="A794" s="2108">
        <f t="shared" si="120"/>
        <v>0</v>
      </c>
      <c r="B794" s="2130" t="s">
        <v>1079</v>
      </c>
      <c r="C794" s="2142"/>
      <c r="D794" s="2120">
        <v>0</v>
      </c>
      <c r="E794" s="2121" t="s">
        <v>2651</v>
      </c>
      <c r="F794" s="2120" t="s">
        <v>2439</v>
      </c>
      <c r="G794" s="2184">
        <f>1*G788</f>
        <v>0</v>
      </c>
      <c r="H794" s="2123">
        <v>27900</v>
      </c>
      <c r="I794" s="2128"/>
      <c r="J794" s="2123">
        <v>0</v>
      </c>
      <c r="K794" s="2123">
        <v>0</v>
      </c>
      <c r="L794" s="2129">
        <f t="shared" si="110"/>
        <v>0</v>
      </c>
      <c r="M794" s="2129">
        <f t="shared" si="111"/>
        <v>0</v>
      </c>
      <c r="N794" s="2129">
        <f t="shared" si="112"/>
        <v>0</v>
      </c>
      <c r="O794" s="2128">
        <f t="shared" si="113"/>
        <v>0</v>
      </c>
      <c r="P794" s="2155"/>
    </row>
    <row r="795" spans="1:18" s="2105" customFormat="1" outlineLevel="1">
      <c r="A795" s="2108">
        <f t="shared" si="120"/>
        <v>0</v>
      </c>
      <c r="B795" s="2130" t="s">
        <v>1610</v>
      </c>
      <c r="C795" s="2142"/>
      <c r="D795" s="2120">
        <v>0</v>
      </c>
      <c r="E795" s="2121" t="s">
        <v>2649</v>
      </c>
      <c r="F795" s="2120" t="s">
        <v>2439</v>
      </c>
      <c r="G795" s="2184">
        <f>1*G788</f>
        <v>0</v>
      </c>
      <c r="H795" s="2123">
        <v>25400</v>
      </c>
      <c r="I795" s="2128"/>
      <c r="J795" s="2123">
        <v>0</v>
      </c>
      <c r="K795" s="2123">
        <v>0</v>
      </c>
      <c r="L795" s="2129">
        <f t="shared" si="110"/>
        <v>0</v>
      </c>
      <c r="M795" s="2129">
        <f t="shared" si="111"/>
        <v>0</v>
      </c>
      <c r="N795" s="2129">
        <f t="shared" si="112"/>
        <v>0</v>
      </c>
      <c r="O795" s="2128">
        <f t="shared" si="113"/>
        <v>0</v>
      </c>
      <c r="P795" s="2155"/>
    </row>
    <row r="796" spans="1:18" s="2105" customFormat="1" outlineLevel="1">
      <c r="A796" s="2108">
        <f>IF(G796&lt;&gt;0,1,0)</f>
        <v>0</v>
      </c>
      <c r="B796" s="2180" t="s">
        <v>5372</v>
      </c>
      <c r="C796" s="2142"/>
      <c r="D796" s="2120" t="s">
        <v>5148</v>
      </c>
      <c r="E796" s="2121" t="s">
        <v>5373</v>
      </c>
      <c r="F796" s="2120" t="s">
        <v>2439</v>
      </c>
      <c r="G796" s="2184">
        <f>G788</f>
        <v>0</v>
      </c>
      <c r="H796" s="2123">
        <v>0</v>
      </c>
      <c r="I796" s="2128"/>
      <c r="J796" s="2123" t="s">
        <v>6330</v>
      </c>
      <c r="K796" s="2123">
        <v>0</v>
      </c>
      <c r="L796" s="2129">
        <f>H796*G796</f>
        <v>0</v>
      </c>
      <c r="M796" s="2129">
        <f>I796*G796</f>
        <v>0</v>
      </c>
      <c r="N796" s="2123">
        <v>0</v>
      </c>
      <c r="O796" s="2128">
        <f>K796*G796</f>
        <v>0</v>
      </c>
      <c r="P796" s="2155"/>
    </row>
    <row r="797" spans="1:18" s="2105" customFormat="1" outlineLevel="1">
      <c r="A797" s="2108">
        <f>IF(G797&lt;&gt;0,1,)</f>
        <v>0</v>
      </c>
      <c r="B797" s="2130"/>
      <c r="C797" s="2142">
        <f>IF(G797&gt;0,C788+1,C788)</f>
        <v>0</v>
      </c>
      <c r="D797" s="2224"/>
      <c r="E797" s="2171" t="s">
        <v>6176</v>
      </c>
      <c r="F797" s="2253" t="s">
        <v>2385</v>
      </c>
      <c r="G797" s="2253">
        <f>G755*0</f>
        <v>0</v>
      </c>
      <c r="H797" s="2128"/>
      <c r="I797" s="2128"/>
      <c r="J797" s="2128"/>
      <c r="K797" s="2128"/>
      <c r="L797" s="2209">
        <f t="shared" si="110"/>
        <v>0</v>
      </c>
      <c r="M797" s="2209">
        <f t="shared" si="111"/>
        <v>0</v>
      </c>
      <c r="N797" s="2209">
        <f t="shared" si="112"/>
        <v>0</v>
      </c>
      <c r="O797" s="2210">
        <f t="shared" si="113"/>
        <v>0</v>
      </c>
      <c r="P797" s="2155"/>
    </row>
    <row r="798" spans="1:18" s="2105" customFormat="1" ht="14.4" outlineLevel="1">
      <c r="A798" s="2108">
        <f>A799</f>
        <v>0</v>
      </c>
      <c r="B798" s="2130"/>
      <c r="C798" s="2218"/>
      <c r="D798" s="2254"/>
      <c r="E798" s="2225" t="s">
        <v>6133</v>
      </c>
      <c r="F798" s="2208"/>
      <c r="G798" s="2208"/>
      <c r="H798" s="2128"/>
      <c r="I798" s="2128"/>
      <c r="J798" s="2128"/>
      <c r="K798" s="2128"/>
      <c r="L798" s="2209">
        <f t="shared" si="110"/>
        <v>0</v>
      </c>
      <c r="M798" s="2209">
        <f t="shared" si="111"/>
        <v>0</v>
      </c>
      <c r="N798" s="2209">
        <f t="shared" si="112"/>
        <v>0</v>
      </c>
      <c r="O798" s="2210">
        <f t="shared" si="113"/>
        <v>0</v>
      </c>
      <c r="P798" s="2155"/>
    </row>
    <row r="799" spans="1:18" s="2105" customFormat="1" outlineLevel="1">
      <c r="A799" s="2108">
        <f>IF(G799&lt;&gt;0,1,)</f>
        <v>0</v>
      </c>
      <c r="B799" s="2133" t="s">
        <v>2022</v>
      </c>
      <c r="C799" s="2142"/>
      <c r="D799" s="2120">
        <v>0</v>
      </c>
      <c r="E799" s="2121" t="s">
        <v>2437</v>
      </c>
      <c r="F799" s="2120" t="s">
        <v>2248</v>
      </c>
      <c r="G799" s="2255">
        <f>G797*9.02*(2.2+4*0.07)</f>
        <v>0</v>
      </c>
      <c r="H799" s="2123">
        <v>31625</v>
      </c>
      <c r="I799" s="2128"/>
      <c r="J799" s="2123">
        <v>0</v>
      </c>
      <c r="K799" s="2123">
        <v>0</v>
      </c>
      <c r="L799" s="2209">
        <f t="shared" si="110"/>
        <v>0</v>
      </c>
      <c r="M799" s="2209">
        <f t="shared" si="111"/>
        <v>0</v>
      </c>
      <c r="N799" s="2209">
        <f t="shared" si="112"/>
        <v>0</v>
      </c>
      <c r="O799" s="2210">
        <f t="shared" si="113"/>
        <v>0</v>
      </c>
      <c r="P799" s="2155"/>
    </row>
    <row r="800" spans="1:18" s="2105" customFormat="1" outlineLevel="1">
      <c r="A800" s="2108">
        <f>IF(G800&lt;&gt;0,1,)</f>
        <v>0</v>
      </c>
      <c r="B800" s="2130" t="s">
        <v>1035</v>
      </c>
      <c r="C800" s="2142"/>
      <c r="D800" s="2120">
        <v>0</v>
      </c>
      <c r="E800" s="2121" t="s">
        <v>2956</v>
      </c>
      <c r="F800" s="2120" t="s">
        <v>2248</v>
      </c>
      <c r="G800" s="2255">
        <f>G797*2*3.77*0.81</f>
        <v>0</v>
      </c>
      <c r="H800" s="2123">
        <v>31625</v>
      </c>
      <c r="I800" s="2128"/>
      <c r="J800" s="2123">
        <v>0</v>
      </c>
      <c r="K800" s="2123">
        <v>0</v>
      </c>
      <c r="L800" s="2209">
        <f t="shared" si="110"/>
        <v>0</v>
      </c>
      <c r="M800" s="2209">
        <f t="shared" si="111"/>
        <v>0</v>
      </c>
      <c r="N800" s="2209">
        <f t="shared" si="112"/>
        <v>0</v>
      </c>
      <c r="O800" s="2210">
        <f t="shared" si="113"/>
        <v>0</v>
      </c>
      <c r="P800" s="2155"/>
    </row>
    <row r="801" spans="1:16" s="2105" customFormat="1" outlineLevel="1">
      <c r="A801" s="2108">
        <f>IF(G801&lt;&gt;0,1,)</f>
        <v>0</v>
      </c>
      <c r="B801" s="2130" t="s">
        <v>1786</v>
      </c>
      <c r="C801" s="2142"/>
      <c r="D801" s="2120">
        <v>0</v>
      </c>
      <c r="E801" s="2121" t="s">
        <v>2639</v>
      </c>
      <c r="F801" s="2120" t="s">
        <v>2439</v>
      </c>
      <c r="G801" s="2208">
        <f>4*G797</f>
        <v>0</v>
      </c>
      <c r="H801" s="2123">
        <v>12400</v>
      </c>
      <c r="I801" s="2128"/>
      <c r="J801" s="2123">
        <v>0</v>
      </c>
      <c r="K801" s="2123">
        <v>0</v>
      </c>
      <c r="L801" s="2209">
        <f t="shared" si="110"/>
        <v>0</v>
      </c>
      <c r="M801" s="2209">
        <f t="shared" si="111"/>
        <v>0</v>
      </c>
      <c r="N801" s="2209">
        <f t="shared" si="112"/>
        <v>0</v>
      </c>
      <c r="O801" s="2210">
        <f t="shared" si="113"/>
        <v>0</v>
      </c>
      <c r="P801" s="2155"/>
    </row>
    <row r="802" spans="1:16" s="2105" customFormat="1" outlineLevel="1">
      <c r="A802" s="2108">
        <f>IF(G802&lt;&gt;0,1,)</f>
        <v>0</v>
      </c>
      <c r="B802" s="2130" t="s">
        <v>1609</v>
      </c>
      <c r="C802" s="2142"/>
      <c r="D802" s="2120">
        <v>0</v>
      </c>
      <c r="E802" s="2121" t="s">
        <v>2645</v>
      </c>
      <c r="F802" s="2120" t="s">
        <v>2439</v>
      </c>
      <c r="G802" s="2208">
        <f>2*G797</f>
        <v>0</v>
      </c>
      <c r="H802" s="2123">
        <v>13400</v>
      </c>
      <c r="I802" s="2128"/>
      <c r="J802" s="2123">
        <v>0</v>
      </c>
      <c r="K802" s="2123">
        <v>0</v>
      </c>
      <c r="L802" s="2209">
        <f t="shared" si="110"/>
        <v>0</v>
      </c>
      <c r="M802" s="2209">
        <f t="shared" si="111"/>
        <v>0</v>
      </c>
      <c r="N802" s="2209">
        <f t="shared" si="112"/>
        <v>0</v>
      </c>
      <c r="O802" s="2210">
        <f t="shared" si="113"/>
        <v>0</v>
      </c>
      <c r="P802" s="2155"/>
    </row>
    <row r="803" spans="1:16" s="2105" customFormat="1" outlineLevel="1">
      <c r="A803" s="2108">
        <f>IF(G803&lt;&gt;0,1,)</f>
        <v>0</v>
      </c>
      <c r="B803" s="2130" t="s">
        <v>516</v>
      </c>
      <c r="C803" s="2142"/>
      <c r="D803" s="2120" t="s">
        <v>5421</v>
      </c>
      <c r="E803" s="2121" t="s">
        <v>5422</v>
      </c>
      <c r="F803" s="2120" t="s">
        <v>2439</v>
      </c>
      <c r="G803" s="2208">
        <f>G797</f>
        <v>0</v>
      </c>
      <c r="H803" s="2123">
        <v>0</v>
      </c>
      <c r="I803" s="2128"/>
      <c r="J803" s="2123">
        <v>296544.75</v>
      </c>
      <c r="K803" s="2123">
        <v>0</v>
      </c>
      <c r="L803" s="2209">
        <f>H803*G803</f>
        <v>0</v>
      </c>
      <c r="M803" s="2209">
        <f>I803*G803</f>
        <v>0</v>
      </c>
      <c r="N803" s="2209">
        <f>J803*G803</f>
        <v>0</v>
      </c>
      <c r="O803" s="2210">
        <f>K803*G803</f>
        <v>0</v>
      </c>
      <c r="P803" s="2155"/>
    </row>
    <row r="804" spans="1:16" s="2105" customFormat="1" outlineLevel="1">
      <c r="A804" s="2182" t="str">
        <f t="shared" ref="A804:A818" si="121">IF(G804&lt;&gt;0,1,"")</f>
        <v/>
      </c>
      <c r="B804" s="2130"/>
      <c r="C804" s="2142">
        <f>IF(G804&gt;0,C797+1,C797)</f>
        <v>0</v>
      </c>
      <c r="D804" s="2256"/>
      <c r="E804" s="2257" t="s">
        <v>3694</v>
      </c>
      <c r="F804" s="2253" t="s">
        <v>2385</v>
      </c>
      <c r="G804" s="2187">
        <f>K8</f>
        <v>0</v>
      </c>
      <c r="H804" s="2128"/>
      <c r="I804" s="2128"/>
      <c r="J804" s="2128"/>
      <c r="K804" s="2128"/>
      <c r="L804" s="2209">
        <f t="shared" si="110"/>
        <v>0</v>
      </c>
      <c r="M804" s="2209">
        <f t="shared" si="111"/>
        <v>0</v>
      </c>
      <c r="N804" s="2209">
        <f t="shared" si="112"/>
        <v>0</v>
      </c>
      <c r="O804" s="2210">
        <f t="shared" si="113"/>
        <v>0</v>
      </c>
      <c r="P804" s="2155"/>
    </row>
    <row r="805" spans="1:16" s="2105" customFormat="1" ht="14.4" outlineLevel="1">
      <c r="A805" s="2108" t="str">
        <f>A804</f>
        <v/>
      </c>
      <c r="B805" s="2130"/>
      <c r="C805" s="2142"/>
      <c r="D805" s="2256"/>
      <c r="E805" s="2225" t="s">
        <v>6133</v>
      </c>
      <c r="F805" s="2208"/>
      <c r="G805" s="2184"/>
      <c r="H805" s="2128"/>
      <c r="I805" s="2128"/>
      <c r="J805" s="2128"/>
      <c r="K805" s="2128"/>
      <c r="L805" s="2209">
        <f t="shared" si="110"/>
        <v>0</v>
      </c>
      <c r="M805" s="2209">
        <f t="shared" si="111"/>
        <v>0</v>
      </c>
      <c r="N805" s="2209">
        <f t="shared" si="112"/>
        <v>0</v>
      </c>
      <c r="O805" s="2210">
        <f t="shared" si="113"/>
        <v>0</v>
      </c>
      <c r="P805" s="2155"/>
    </row>
    <row r="806" spans="1:16" s="2105" customFormat="1" outlineLevel="1">
      <c r="A806" s="2182" t="str">
        <f t="shared" si="121"/>
        <v/>
      </c>
      <c r="B806" s="2130" t="s">
        <v>1033</v>
      </c>
      <c r="C806" s="2142"/>
      <c r="D806" s="2120">
        <v>0</v>
      </c>
      <c r="E806" s="2121" t="s">
        <v>6331</v>
      </c>
      <c r="F806" s="2120" t="s">
        <v>2248</v>
      </c>
      <c r="G806" s="2184">
        <f>ROUND(G804*0.224*69.9,1)</f>
        <v>0</v>
      </c>
      <c r="H806" s="2123">
        <v>255500</v>
      </c>
      <c r="I806" s="2128"/>
      <c r="J806" s="2123">
        <v>0</v>
      </c>
      <c r="K806" s="2123">
        <v>0</v>
      </c>
      <c r="L806" s="2209">
        <f t="shared" si="110"/>
        <v>0</v>
      </c>
      <c r="M806" s="2209">
        <f t="shared" si="111"/>
        <v>0</v>
      </c>
      <c r="N806" s="2209">
        <f t="shared" si="112"/>
        <v>0</v>
      </c>
      <c r="O806" s="2210">
        <f t="shared" si="113"/>
        <v>0</v>
      </c>
      <c r="P806" s="2155"/>
    </row>
    <row r="807" spans="1:16" s="2105" customFormat="1" outlineLevel="1">
      <c r="A807" s="2182" t="str">
        <f t="shared" si="121"/>
        <v/>
      </c>
      <c r="B807" s="2133" t="s">
        <v>1508</v>
      </c>
      <c r="C807" s="2142"/>
      <c r="D807" s="2120">
        <v>0</v>
      </c>
      <c r="E807" s="2121" t="s">
        <v>5163</v>
      </c>
      <c r="F807" s="2120" t="s">
        <v>2439</v>
      </c>
      <c r="G807" s="2184">
        <f>+H2*G804</f>
        <v>0</v>
      </c>
      <c r="H807" s="2123">
        <v>160000</v>
      </c>
      <c r="I807" s="2128"/>
      <c r="J807" s="2123">
        <v>0</v>
      </c>
      <c r="K807" s="2123">
        <v>0</v>
      </c>
      <c r="L807" s="2209">
        <f t="shared" si="110"/>
        <v>0</v>
      </c>
      <c r="M807" s="2209">
        <f t="shared" si="111"/>
        <v>0</v>
      </c>
      <c r="N807" s="2209">
        <f t="shared" si="112"/>
        <v>0</v>
      </c>
      <c r="O807" s="2210">
        <f t="shared" si="113"/>
        <v>0</v>
      </c>
      <c r="P807" s="2155"/>
    </row>
    <row r="808" spans="1:16" s="2105" customFormat="1" outlineLevel="1">
      <c r="A808" s="2182" t="str">
        <f>IF(G808&lt;&gt;0,1,"")</f>
        <v/>
      </c>
      <c r="B808" s="2133" t="s">
        <v>1585</v>
      </c>
      <c r="C808" s="2127"/>
      <c r="D808" s="2120">
        <v>0</v>
      </c>
      <c r="E808" s="2121" t="s">
        <v>5713</v>
      </c>
      <c r="F808" s="2120" t="s">
        <v>3445</v>
      </c>
      <c r="G808" s="2127">
        <f>+L3*G804</f>
        <v>0</v>
      </c>
      <c r="H808" s="2123">
        <v>0</v>
      </c>
      <c r="I808" s="2123" t="s">
        <v>6177</v>
      </c>
      <c r="J808" s="2123" t="s">
        <v>6332</v>
      </c>
      <c r="K808" s="2123">
        <v>0</v>
      </c>
      <c r="L808" s="2129">
        <f>H808*G808</f>
        <v>0</v>
      </c>
      <c r="M808" s="2128">
        <v>0</v>
      </c>
      <c r="N808" s="2123">
        <v>0</v>
      </c>
      <c r="O808" s="2128">
        <f>K808*G808</f>
        <v>0</v>
      </c>
      <c r="P808" s="2155"/>
    </row>
    <row r="809" spans="1:16" s="2105" customFormat="1" outlineLevel="1">
      <c r="A809" s="2182" t="str">
        <f t="shared" si="121"/>
        <v/>
      </c>
      <c r="B809" s="2133" t="s">
        <v>1490</v>
      </c>
      <c r="C809" s="2127"/>
      <c r="D809" s="2120">
        <v>0</v>
      </c>
      <c r="E809" s="2121" t="s">
        <v>3536</v>
      </c>
      <c r="F809" s="2120" t="s">
        <v>1823</v>
      </c>
      <c r="G809" s="2184">
        <f>4*G804</f>
        <v>0</v>
      </c>
      <c r="H809" s="2123">
        <v>6200</v>
      </c>
      <c r="I809" s="2128"/>
      <c r="J809" s="2123"/>
      <c r="K809" s="2123">
        <v>0</v>
      </c>
      <c r="L809" s="2209">
        <f t="shared" si="110"/>
        <v>0</v>
      </c>
      <c r="M809" s="2209">
        <f t="shared" si="111"/>
        <v>0</v>
      </c>
      <c r="N809" s="2209">
        <f t="shared" si="112"/>
        <v>0</v>
      </c>
      <c r="O809" s="2210">
        <f t="shared" si="113"/>
        <v>0</v>
      </c>
      <c r="P809" s="2155"/>
    </row>
    <row r="810" spans="1:16" s="2105" customFormat="1" outlineLevel="1">
      <c r="A810" s="2182" t="str">
        <f t="shared" si="121"/>
        <v/>
      </c>
      <c r="B810" s="2130" t="s">
        <v>1579</v>
      </c>
      <c r="C810" s="2142"/>
      <c r="D810" s="2120">
        <v>0</v>
      </c>
      <c r="E810" s="2121" t="s">
        <v>2873</v>
      </c>
      <c r="F810" s="2120" t="s">
        <v>2555</v>
      </c>
      <c r="G810" s="2184">
        <f>G804*2</f>
        <v>0</v>
      </c>
      <c r="H810" s="2123">
        <v>8000</v>
      </c>
      <c r="I810" s="2123"/>
      <c r="J810" s="2123">
        <v>0</v>
      </c>
      <c r="K810" s="2123">
        <v>0</v>
      </c>
      <c r="L810" s="2209">
        <f t="shared" si="110"/>
        <v>0</v>
      </c>
      <c r="M810" s="2209">
        <f t="shared" si="111"/>
        <v>0</v>
      </c>
      <c r="N810" s="2209">
        <f t="shared" si="112"/>
        <v>0</v>
      </c>
      <c r="O810" s="2210">
        <f t="shared" si="113"/>
        <v>0</v>
      </c>
      <c r="P810" s="2155"/>
    </row>
    <row r="811" spans="1:16" s="2105" customFormat="1" outlineLevel="1">
      <c r="A811" s="2182" t="str">
        <f t="shared" si="121"/>
        <v/>
      </c>
      <c r="B811" s="2130" t="s">
        <v>1114</v>
      </c>
      <c r="C811" s="2142"/>
      <c r="D811" s="2120">
        <v>0</v>
      </c>
      <c r="E811" s="2121" t="s">
        <v>2871</v>
      </c>
      <c r="F811" s="2120" t="s">
        <v>2555</v>
      </c>
      <c r="G811" s="2184"/>
      <c r="H811" s="2123">
        <v>6000</v>
      </c>
      <c r="I811" s="2123"/>
      <c r="J811" s="2123">
        <v>0</v>
      </c>
      <c r="K811" s="2123">
        <v>0</v>
      </c>
      <c r="L811" s="2209">
        <f t="shared" si="110"/>
        <v>0</v>
      </c>
      <c r="M811" s="2209">
        <f t="shared" si="111"/>
        <v>0</v>
      </c>
      <c r="N811" s="2209">
        <f t="shared" si="112"/>
        <v>0</v>
      </c>
      <c r="O811" s="2210">
        <f t="shared" si="113"/>
        <v>0</v>
      </c>
      <c r="P811" s="2155"/>
    </row>
    <row r="812" spans="1:16" s="2105" customFormat="1" outlineLevel="1">
      <c r="A812" s="2182" t="str">
        <f>IF(G812&lt;&gt;0,1,"")</f>
        <v/>
      </c>
      <c r="B812" s="2130" t="s">
        <v>6143</v>
      </c>
      <c r="C812" s="2127"/>
      <c r="D812" s="2120" t="s">
        <v>5725</v>
      </c>
      <c r="E812" s="2121" t="s">
        <v>3479</v>
      </c>
      <c r="F812" s="2120" t="s">
        <v>2555</v>
      </c>
      <c r="G812" s="2184"/>
      <c r="H812" s="2123">
        <v>9100</v>
      </c>
      <c r="I812" s="2123"/>
      <c r="J812" s="2123">
        <v>10608.955000000002</v>
      </c>
      <c r="K812" s="2123">
        <v>2777.0232475000003</v>
      </c>
      <c r="L812" s="2209">
        <f>H812*G812</f>
        <v>0</v>
      </c>
      <c r="M812" s="2209">
        <f>I812*G812</f>
        <v>0</v>
      </c>
      <c r="N812" s="2209">
        <f>J812*G812</f>
        <v>0</v>
      </c>
      <c r="O812" s="2210">
        <f>K812*G812</f>
        <v>0</v>
      </c>
      <c r="P812" s="2155"/>
    </row>
    <row r="813" spans="1:16" s="2105" customFormat="1" outlineLevel="1">
      <c r="A813" s="2182" t="str">
        <f t="shared" si="121"/>
        <v/>
      </c>
      <c r="B813" s="2130" t="s">
        <v>6178</v>
      </c>
      <c r="C813" s="2127"/>
      <c r="D813" s="2120" t="s">
        <v>5726</v>
      </c>
      <c r="E813" s="2121" t="s">
        <v>3480</v>
      </c>
      <c r="F813" s="2120" t="s">
        <v>2555</v>
      </c>
      <c r="G813" s="2184"/>
      <c r="H813" s="2123">
        <v>14000</v>
      </c>
      <c r="I813" s="2123"/>
      <c r="J813" s="2123">
        <v>16671.215</v>
      </c>
      <c r="K813" s="2123">
        <v>3332.427897</v>
      </c>
      <c r="L813" s="2209">
        <f t="shared" si="110"/>
        <v>0</v>
      </c>
      <c r="M813" s="2209">
        <f t="shared" si="111"/>
        <v>0</v>
      </c>
      <c r="N813" s="2209">
        <f t="shared" si="112"/>
        <v>0</v>
      </c>
      <c r="O813" s="2210">
        <f t="shared" si="113"/>
        <v>0</v>
      </c>
      <c r="P813" s="2155"/>
    </row>
    <row r="814" spans="1:16" s="2105" customFormat="1" outlineLevel="1">
      <c r="A814" s="2182" t="str">
        <f>IF(G814&lt;&gt;0,1,"")</f>
        <v/>
      </c>
      <c r="B814" s="2130" t="s">
        <v>2019</v>
      </c>
      <c r="C814" s="2127"/>
      <c r="D814" s="2120">
        <v>0</v>
      </c>
      <c r="E814" s="2121" t="s">
        <v>2627</v>
      </c>
      <c r="F814" s="2120" t="s">
        <v>2439</v>
      </c>
      <c r="G814" s="2184"/>
      <c r="H814" s="2123">
        <v>8500</v>
      </c>
      <c r="I814" s="2123"/>
      <c r="J814" s="2123">
        <v>0</v>
      </c>
      <c r="K814" s="2123">
        <v>0</v>
      </c>
      <c r="L814" s="2209">
        <f>H814*G814</f>
        <v>0</v>
      </c>
      <c r="M814" s="2209">
        <f>I814*G814</f>
        <v>0</v>
      </c>
      <c r="N814" s="2209">
        <f>J814*G814</f>
        <v>0</v>
      </c>
      <c r="O814" s="2210">
        <f>K814*G814</f>
        <v>0</v>
      </c>
      <c r="P814" s="2155"/>
    </row>
    <row r="815" spans="1:16" s="2105" customFormat="1" outlineLevel="1">
      <c r="A815" s="2182" t="str">
        <f t="shared" si="121"/>
        <v/>
      </c>
      <c r="B815" s="2133" t="s">
        <v>525</v>
      </c>
      <c r="C815" s="2142"/>
      <c r="D815" s="2120">
        <v>0</v>
      </c>
      <c r="E815" s="2121" t="s">
        <v>5252</v>
      </c>
      <c r="F815" s="2120" t="s">
        <v>2439</v>
      </c>
      <c r="G815" s="2184">
        <f>2*G804</f>
        <v>0</v>
      </c>
      <c r="H815" s="2123">
        <v>43000</v>
      </c>
      <c r="I815" s="2128"/>
      <c r="J815" s="2123">
        <v>0</v>
      </c>
      <c r="K815" s="2123">
        <v>0</v>
      </c>
      <c r="L815" s="2209">
        <f t="shared" si="110"/>
        <v>0</v>
      </c>
      <c r="M815" s="2209">
        <f t="shared" si="111"/>
        <v>0</v>
      </c>
      <c r="N815" s="2209">
        <f t="shared" si="112"/>
        <v>0</v>
      </c>
      <c r="O815" s="2210">
        <f t="shared" si="113"/>
        <v>0</v>
      </c>
      <c r="P815" s="2155"/>
    </row>
    <row r="816" spans="1:16" s="2105" customFormat="1" outlineLevel="1">
      <c r="A816" s="2182" t="str">
        <f t="shared" si="121"/>
        <v/>
      </c>
      <c r="B816" s="2130" t="s">
        <v>2183</v>
      </c>
      <c r="C816" s="2127"/>
      <c r="D816" s="2120" t="s">
        <v>5346</v>
      </c>
      <c r="E816" s="2121" t="s">
        <v>5347</v>
      </c>
      <c r="F816" s="2120" t="s">
        <v>2532</v>
      </c>
      <c r="G816" s="2184"/>
      <c r="H816" s="2123">
        <v>0</v>
      </c>
      <c r="I816" s="2123"/>
      <c r="J816" s="2123">
        <v>8070.7000000000007</v>
      </c>
      <c r="K816" s="2123">
        <v>2044.9974999999999</v>
      </c>
      <c r="L816" s="2129">
        <f>H816*G816</f>
        <v>0</v>
      </c>
      <c r="M816" s="2129">
        <f>I816*G816</f>
        <v>0</v>
      </c>
      <c r="N816" s="2129">
        <f>J816*G816</f>
        <v>0</v>
      </c>
      <c r="O816" s="2128">
        <f>K816*G816</f>
        <v>0</v>
      </c>
      <c r="P816" s="2155"/>
    </row>
    <row r="817" spans="1:20" s="2105" customFormat="1" outlineLevel="1">
      <c r="A817" s="2182" t="str">
        <f t="shared" si="121"/>
        <v/>
      </c>
      <c r="B817" s="2133" t="s">
        <v>902</v>
      </c>
      <c r="C817" s="2127"/>
      <c r="D817" s="2120" t="s">
        <v>5351</v>
      </c>
      <c r="E817" s="2121" t="s">
        <v>5352</v>
      </c>
      <c r="F817" s="2120" t="s">
        <v>2278</v>
      </c>
      <c r="G817" s="2184">
        <f>+G807*G804</f>
        <v>0</v>
      </c>
      <c r="H817" s="2123">
        <v>0</v>
      </c>
      <c r="I817" s="2128"/>
      <c r="J817" s="2123">
        <v>90355.896000000008</v>
      </c>
      <c r="K817" s="2123">
        <v>1573.075</v>
      </c>
      <c r="L817" s="2129">
        <f>H817*G817</f>
        <v>0</v>
      </c>
      <c r="M817" s="2129">
        <f>I817*G817</f>
        <v>0</v>
      </c>
      <c r="N817" s="2123">
        <f>J817*G817</f>
        <v>0</v>
      </c>
      <c r="O817" s="2128">
        <f>K817*G817</f>
        <v>0</v>
      </c>
      <c r="P817" s="2155"/>
    </row>
    <row r="818" spans="1:20" s="2105" customFormat="1" outlineLevel="1">
      <c r="A818" s="2182" t="str">
        <f t="shared" si="121"/>
        <v/>
      </c>
      <c r="B818" s="2130" t="s">
        <v>1055</v>
      </c>
      <c r="C818" s="2127"/>
      <c r="D818" s="2120" t="s">
        <v>5336</v>
      </c>
      <c r="E818" s="2121" t="s">
        <v>3068</v>
      </c>
      <c r="F818" s="2120" t="s">
        <v>856</v>
      </c>
      <c r="G818" s="2184"/>
      <c r="H818" s="2123">
        <v>0</v>
      </c>
      <c r="I818" s="2123"/>
      <c r="J818" s="2123">
        <v>283749.75</v>
      </c>
      <c r="K818" s="2123">
        <v>0</v>
      </c>
      <c r="L818" s="2129">
        <f>H818*G818</f>
        <v>0</v>
      </c>
      <c r="M818" s="2129">
        <f>I818*G818</f>
        <v>0</v>
      </c>
      <c r="N818" s="2129">
        <f>J818*G818</f>
        <v>0</v>
      </c>
      <c r="O818" s="2128">
        <f>K818*G818</f>
        <v>0</v>
      </c>
      <c r="P818" s="2155"/>
    </row>
    <row r="819" spans="1:20" s="2105" customFormat="1" outlineLevel="1">
      <c r="A819" s="2108">
        <f t="shared" ref="A819:A824" si="122">IF(G819&lt;&gt;0,1,0)</f>
        <v>0</v>
      </c>
      <c r="B819" s="2130"/>
      <c r="C819" s="2258">
        <f>IF(G819&gt;0,C804+1,C804)</f>
        <v>0</v>
      </c>
      <c r="D819" s="2259"/>
      <c r="E819" s="2260" t="s">
        <v>3700</v>
      </c>
      <c r="F819" s="2258" t="s">
        <v>2385</v>
      </c>
      <c r="G819" s="2230">
        <f>G755</f>
        <v>0</v>
      </c>
      <c r="H819" s="2128"/>
      <c r="I819" s="2128"/>
      <c r="J819" s="2128"/>
      <c r="K819" s="2128"/>
      <c r="L819" s="2209">
        <f t="shared" si="110"/>
        <v>0</v>
      </c>
      <c r="M819" s="2209">
        <f t="shared" si="111"/>
        <v>0</v>
      </c>
      <c r="N819" s="2209">
        <f t="shared" si="112"/>
        <v>0</v>
      </c>
      <c r="O819" s="2210">
        <f t="shared" si="113"/>
        <v>0</v>
      </c>
      <c r="P819" s="2155"/>
    </row>
    <row r="820" spans="1:20" s="2105" customFormat="1" ht="14.4" outlineLevel="1">
      <c r="A820" s="2108">
        <f t="shared" si="122"/>
        <v>0</v>
      </c>
      <c r="B820" s="2130"/>
      <c r="C820" s="2142"/>
      <c r="D820" s="2256"/>
      <c r="E820" s="2225" t="s">
        <v>6133</v>
      </c>
      <c r="F820" s="2208"/>
      <c r="G820" s="2208"/>
      <c r="H820" s="2128"/>
      <c r="I820" s="2128"/>
      <c r="J820" s="2128"/>
      <c r="K820" s="2128"/>
      <c r="L820" s="2209">
        <f t="shared" si="110"/>
        <v>0</v>
      </c>
      <c r="M820" s="2209">
        <f t="shared" si="111"/>
        <v>0</v>
      </c>
      <c r="N820" s="2209">
        <f t="shared" si="112"/>
        <v>0</v>
      </c>
      <c r="O820" s="2210">
        <f t="shared" si="113"/>
        <v>0</v>
      </c>
      <c r="P820" s="2155"/>
    </row>
    <row r="821" spans="1:20" s="2105" customFormat="1" outlineLevel="1">
      <c r="A821" s="2108">
        <f t="shared" si="122"/>
        <v>0</v>
      </c>
      <c r="B821" s="2180" t="s">
        <v>5657</v>
      </c>
      <c r="C821" s="2142"/>
      <c r="D821" s="2120" t="s">
        <v>5633</v>
      </c>
      <c r="E821" s="2121" t="s">
        <v>5658</v>
      </c>
      <c r="F821" s="2120" t="s">
        <v>2555</v>
      </c>
      <c r="G821" s="2184">
        <f>G819</f>
        <v>0</v>
      </c>
      <c r="H821" s="2123">
        <v>3664446</v>
      </c>
      <c r="I821" s="2123"/>
      <c r="J821" s="2123">
        <v>690091</v>
      </c>
      <c r="K821" s="2123">
        <v>97369</v>
      </c>
      <c r="L821" s="2209">
        <f t="shared" si="110"/>
        <v>0</v>
      </c>
      <c r="M821" s="2209">
        <f t="shared" si="111"/>
        <v>0</v>
      </c>
      <c r="N821" s="2209">
        <f t="shared" si="112"/>
        <v>0</v>
      </c>
      <c r="O821" s="2210">
        <f t="shared" si="113"/>
        <v>0</v>
      </c>
      <c r="P821" s="2155"/>
    </row>
    <row r="822" spans="1:20" s="2105" customFormat="1" outlineLevel="1">
      <c r="A822" s="2108">
        <f t="shared" si="122"/>
        <v>0</v>
      </c>
      <c r="B822" s="2130" t="s">
        <v>879</v>
      </c>
      <c r="C822" s="2142"/>
      <c r="D822" s="2256"/>
      <c r="E822" s="2121" t="s">
        <v>2982</v>
      </c>
      <c r="F822" s="2120" t="s">
        <v>2439</v>
      </c>
      <c r="G822" s="2208"/>
      <c r="H822" s="2123">
        <v>168000</v>
      </c>
      <c r="I822" s="2128"/>
      <c r="J822" s="2123">
        <v>0</v>
      </c>
      <c r="K822" s="2123">
        <v>0</v>
      </c>
      <c r="L822" s="2209">
        <f t="shared" si="110"/>
        <v>0</v>
      </c>
      <c r="M822" s="2209">
        <f t="shared" si="111"/>
        <v>0</v>
      </c>
      <c r="N822" s="2209">
        <f t="shared" si="112"/>
        <v>0</v>
      </c>
      <c r="O822" s="2210">
        <f t="shared" si="113"/>
        <v>0</v>
      </c>
      <c r="P822" s="2155"/>
    </row>
    <row r="823" spans="1:20" s="2105" customFormat="1" outlineLevel="1">
      <c r="A823" s="2108">
        <f t="shared" si="122"/>
        <v>0</v>
      </c>
      <c r="B823" s="2130" t="s">
        <v>880</v>
      </c>
      <c r="C823" s="2142"/>
      <c r="D823" s="2256"/>
      <c r="E823" s="2121" t="s">
        <v>5799</v>
      </c>
      <c r="F823" s="2120" t="s">
        <v>2555</v>
      </c>
      <c r="G823" s="2208"/>
      <c r="H823" s="2123">
        <v>284000</v>
      </c>
      <c r="I823" s="2128"/>
      <c r="J823" s="2123">
        <v>5404</v>
      </c>
      <c r="K823" s="2123">
        <v>0</v>
      </c>
      <c r="L823" s="2209">
        <f t="shared" si="110"/>
        <v>0</v>
      </c>
      <c r="M823" s="2209">
        <f t="shared" si="111"/>
        <v>0</v>
      </c>
      <c r="N823" s="2209">
        <f t="shared" si="112"/>
        <v>0</v>
      </c>
      <c r="O823" s="2210">
        <f t="shared" si="113"/>
        <v>0</v>
      </c>
      <c r="P823" s="2155"/>
    </row>
    <row r="824" spans="1:20" s="2105" customFormat="1" outlineLevel="1">
      <c r="A824" s="2108">
        <f t="shared" si="122"/>
        <v>0</v>
      </c>
      <c r="B824" s="2261"/>
      <c r="C824" s="2258">
        <f>IF(G824&gt;0,C819+1,C819)</f>
        <v>0</v>
      </c>
      <c r="D824" s="2259"/>
      <c r="E824" s="2262" t="s">
        <v>3707</v>
      </c>
      <c r="F824" s="2258" t="s">
        <v>2385</v>
      </c>
      <c r="G824" s="2263">
        <f>G755*0</f>
        <v>0</v>
      </c>
      <c r="H824" s="2264"/>
      <c r="I824" s="2264"/>
      <c r="J824" s="2264"/>
      <c r="K824" s="2264"/>
      <c r="L824" s="2264">
        <f t="shared" si="110"/>
        <v>0</v>
      </c>
      <c r="M824" s="2264">
        <f t="shared" si="111"/>
        <v>0</v>
      </c>
      <c r="N824" s="2264">
        <f t="shared" si="112"/>
        <v>0</v>
      </c>
      <c r="O824" s="2264">
        <f t="shared" si="113"/>
        <v>0</v>
      </c>
      <c r="P824" s="2265"/>
      <c r="Q824" s="2266"/>
      <c r="R824" s="2266"/>
      <c r="S824" s="2266"/>
    </row>
    <row r="825" spans="1:20" s="2105" customFormat="1" ht="14.4" outlineLevel="1">
      <c r="A825" s="2108">
        <f>A824</f>
        <v>0</v>
      </c>
      <c r="B825" s="2261"/>
      <c r="C825" s="2258"/>
      <c r="D825" s="2259"/>
      <c r="E825" s="2267" t="s">
        <v>6133</v>
      </c>
      <c r="F825" s="2268"/>
      <c r="G825" s="2269"/>
      <c r="H825" s="2264"/>
      <c r="I825" s="2264"/>
      <c r="J825" s="2264"/>
      <c r="K825" s="2264"/>
      <c r="L825" s="2264">
        <f t="shared" si="110"/>
        <v>0</v>
      </c>
      <c r="M825" s="2264">
        <f t="shared" si="111"/>
        <v>0</v>
      </c>
      <c r="N825" s="2264">
        <f t="shared" si="112"/>
        <v>0</v>
      </c>
      <c r="O825" s="2264">
        <f t="shared" si="113"/>
        <v>0</v>
      </c>
      <c r="P825" s="2265"/>
      <c r="Q825" s="2266"/>
      <c r="R825" s="2266"/>
      <c r="S825" s="2266"/>
    </row>
    <row r="826" spans="1:20" s="2105" customFormat="1" outlineLevel="1">
      <c r="A826" s="2182" t="str">
        <f>IF(G826&lt;&gt;0,1,"")</f>
        <v/>
      </c>
      <c r="B826" s="2261" t="s">
        <v>653</v>
      </c>
      <c r="C826" s="2268"/>
      <c r="D826" s="2152">
        <v>0</v>
      </c>
      <c r="E826" s="2194" t="s">
        <v>5289</v>
      </c>
      <c r="F826" s="2152" t="s">
        <v>2248</v>
      </c>
      <c r="G826" s="2270">
        <f>G829*Q829</f>
        <v>0</v>
      </c>
      <c r="H826" s="2264">
        <v>1740</v>
      </c>
      <c r="I826" s="2264"/>
      <c r="J826" s="2264">
        <v>0</v>
      </c>
      <c r="K826" s="2264">
        <v>0</v>
      </c>
      <c r="L826" s="2264">
        <f t="shared" si="110"/>
        <v>0</v>
      </c>
      <c r="M826" s="2264">
        <f t="shared" si="111"/>
        <v>0</v>
      </c>
      <c r="N826" s="2264">
        <f t="shared" si="112"/>
        <v>0</v>
      </c>
      <c r="O826" s="2264">
        <f t="shared" si="113"/>
        <v>0</v>
      </c>
      <c r="P826" s="2265"/>
      <c r="Q826" s="2266"/>
      <c r="R826" s="2266"/>
      <c r="S826" s="2266"/>
    </row>
    <row r="827" spans="1:20" s="2105" customFormat="1" outlineLevel="1">
      <c r="A827" s="2182" t="str">
        <f>IF(G827&lt;&gt;0,1,"")</f>
        <v/>
      </c>
      <c r="B827" s="2261" t="s">
        <v>752</v>
      </c>
      <c r="C827" s="2258"/>
      <c r="D827" s="2152">
        <v>0</v>
      </c>
      <c r="E827" s="2194" t="s">
        <v>3004</v>
      </c>
      <c r="F827" s="2152" t="s">
        <v>856</v>
      </c>
      <c r="G827" s="2271">
        <f>G829*R829</f>
        <v>0</v>
      </c>
      <c r="H827" s="2264">
        <v>512000</v>
      </c>
      <c r="I827" s="2264"/>
      <c r="J827" s="2264">
        <v>0</v>
      </c>
      <c r="K827" s="2264">
        <v>0</v>
      </c>
      <c r="L827" s="2264">
        <f t="shared" si="110"/>
        <v>0</v>
      </c>
      <c r="M827" s="2264">
        <f t="shared" si="111"/>
        <v>0</v>
      </c>
      <c r="N827" s="2264">
        <f t="shared" si="112"/>
        <v>0</v>
      </c>
      <c r="O827" s="2264">
        <f t="shared" si="113"/>
        <v>0</v>
      </c>
      <c r="P827" s="2265"/>
      <c r="Q827" s="2266"/>
      <c r="R827" s="2266"/>
      <c r="S827" s="2266"/>
    </row>
    <row r="828" spans="1:20" s="2105" customFormat="1" outlineLevel="1">
      <c r="A828" s="2182" t="str">
        <f>IF(G828&lt;&gt;0,1,"")</f>
        <v/>
      </c>
      <c r="B828" s="2261" t="s">
        <v>216</v>
      </c>
      <c r="C828" s="2258"/>
      <c r="D828" s="2152">
        <v>0</v>
      </c>
      <c r="E828" s="2194" t="s">
        <v>3000</v>
      </c>
      <c r="F828" s="2152" t="s">
        <v>856</v>
      </c>
      <c r="G828" s="2271">
        <f>G829*S829</f>
        <v>0</v>
      </c>
      <c r="H828" s="2264">
        <v>335000</v>
      </c>
      <c r="I828" s="2264"/>
      <c r="J828" s="2264">
        <v>0</v>
      </c>
      <c r="K828" s="2264">
        <v>0</v>
      </c>
      <c r="L828" s="2264">
        <f t="shared" si="110"/>
        <v>0</v>
      </c>
      <c r="M828" s="2264">
        <f t="shared" si="111"/>
        <v>0</v>
      </c>
      <c r="N828" s="2264">
        <f t="shared" si="112"/>
        <v>0</v>
      </c>
      <c r="O828" s="2264">
        <f t="shared" si="113"/>
        <v>0</v>
      </c>
      <c r="P828" s="2265"/>
      <c r="Q828" s="2266"/>
      <c r="R828" s="2266"/>
      <c r="S828" s="2266"/>
    </row>
    <row r="829" spans="1:20" s="2105" customFormat="1" outlineLevel="1">
      <c r="A829" s="2182" t="str">
        <f>IF(G829&lt;&gt;0,1,"")</f>
        <v/>
      </c>
      <c r="B829" s="2261" t="s">
        <v>654</v>
      </c>
      <c r="C829" s="2268"/>
      <c r="D829" s="2152" t="s">
        <v>5471</v>
      </c>
      <c r="E829" s="2194" t="s">
        <v>5474</v>
      </c>
      <c r="F829" s="2152" t="s">
        <v>856</v>
      </c>
      <c r="G829" s="2270">
        <f>G824*(0.4*1.5-2*3.14*0.15^2)</f>
        <v>0</v>
      </c>
      <c r="H829" s="2264"/>
      <c r="I829" s="2264"/>
      <c r="J829" s="2264">
        <v>466397.5</v>
      </c>
      <c r="K829" s="2264">
        <v>0</v>
      </c>
      <c r="L829" s="2264">
        <f t="shared" si="110"/>
        <v>0</v>
      </c>
      <c r="M829" s="2264">
        <f t="shared" si="111"/>
        <v>0</v>
      </c>
      <c r="N829" s="2264">
        <f t="shared" si="112"/>
        <v>0</v>
      </c>
      <c r="O829" s="2264">
        <f t="shared" si="113"/>
        <v>0</v>
      </c>
      <c r="P829" s="2265"/>
      <c r="Q829" s="2272">
        <f>1.025*361</f>
        <v>370.02499999999998</v>
      </c>
      <c r="R829" s="2272">
        <f>1.025*0.45</f>
        <v>0.46124999999999999</v>
      </c>
      <c r="S829" s="2272">
        <f>1.025*0.866</f>
        <v>0.88764999999999994</v>
      </c>
      <c r="T829" s="2273"/>
    </row>
    <row r="830" spans="1:20" s="2105" customFormat="1" outlineLevel="1">
      <c r="A830" s="2182" t="str">
        <f>IF(G830&lt;&gt;0,1,"")</f>
        <v/>
      </c>
      <c r="B830" s="2261"/>
      <c r="C830" s="2258">
        <f>IF(G830&gt;0,C824+1,C824)</f>
        <v>0</v>
      </c>
      <c r="D830" s="2259"/>
      <c r="E830" s="2260" t="s">
        <v>3708</v>
      </c>
      <c r="F830" s="2258" t="s">
        <v>2385</v>
      </c>
      <c r="G830" s="2263">
        <f>G824</f>
        <v>0</v>
      </c>
      <c r="H830" s="2264"/>
      <c r="I830" s="2264"/>
      <c r="J830" s="2264"/>
      <c r="K830" s="2264"/>
      <c r="L830" s="2264"/>
      <c r="M830" s="2264"/>
      <c r="N830" s="2264"/>
      <c r="O830" s="2264"/>
      <c r="P830" s="2265"/>
      <c r="Q830" s="2266"/>
      <c r="R830" s="2266"/>
      <c r="S830" s="2266"/>
    </row>
    <row r="831" spans="1:20" s="2105" customFormat="1" ht="14.4" outlineLevel="1">
      <c r="A831" s="2182" t="str">
        <f>A830</f>
        <v/>
      </c>
      <c r="B831" s="2261"/>
      <c r="C831" s="2258"/>
      <c r="D831" s="2259"/>
      <c r="E831" s="2274" t="s">
        <v>6133</v>
      </c>
      <c r="F831" s="2258"/>
      <c r="G831" s="2263"/>
      <c r="H831" s="2264"/>
      <c r="I831" s="2264"/>
      <c r="J831" s="2264"/>
      <c r="K831" s="2264"/>
      <c r="L831" s="2264"/>
      <c r="M831" s="2264"/>
      <c r="N831" s="2264"/>
      <c r="O831" s="2264"/>
      <c r="P831" s="2265"/>
      <c r="Q831" s="2266"/>
      <c r="R831" s="2266"/>
      <c r="S831" s="2266"/>
    </row>
    <row r="832" spans="1:20" s="2105" customFormat="1" outlineLevel="1">
      <c r="A832" s="2182" t="str">
        <f>IF(G832&lt;&gt;0,1,"")</f>
        <v/>
      </c>
      <c r="B832" s="2261" t="s">
        <v>1489</v>
      </c>
      <c r="C832" s="2268"/>
      <c r="D832" s="2152">
        <v>0</v>
      </c>
      <c r="E832" s="2194" t="s">
        <v>3532</v>
      </c>
      <c r="F832" s="2152" t="s">
        <v>1823</v>
      </c>
      <c r="G832" s="2269">
        <f>G830*2</f>
        <v>0</v>
      </c>
      <c r="H832" s="2264">
        <v>63200</v>
      </c>
      <c r="I832" s="2264"/>
      <c r="J832" s="2264">
        <v>0</v>
      </c>
      <c r="K832" s="2264">
        <v>0</v>
      </c>
      <c r="L832" s="2264">
        <f>H832*G832</f>
        <v>0</v>
      </c>
      <c r="M832" s="2264">
        <f>I832*G832</f>
        <v>0</v>
      </c>
      <c r="N832" s="2264">
        <f>J832*G832</f>
        <v>0</v>
      </c>
      <c r="O832" s="2264">
        <f>K832*G832</f>
        <v>0</v>
      </c>
      <c r="P832" s="2265"/>
      <c r="Q832" s="2266"/>
      <c r="R832" s="2266"/>
      <c r="S832" s="2266"/>
    </row>
    <row r="833" spans="1:19" s="2105" customFormat="1" outlineLevel="1">
      <c r="A833" s="2182" t="str">
        <f>IF(G833&lt;&gt;0,1,"")</f>
        <v/>
      </c>
      <c r="B833" s="2261" t="s">
        <v>86</v>
      </c>
      <c r="C833" s="2268"/>
      <c r="D833" s="2152">
        <v>0</v>
      </c>
      <c r="E833" s="2194" t="s">
        <v>5797</v>
      </c>
      <c r="F833" s="2152" t="s">
        <v>2555</v>
      </c>
      <c r="G833" s="2269">
        <f>G830</f>
        <v>0</v>
      </c>
      <c r="H833" s="2264">
        <v>45400</v>
      </c>
      <c r="I833" s="2264"/>
      <c r="J833" s="2264">
        <v>0</v>
      </c>
      <c r="K833" s="2264">
        <v>0</v>
      </c>
      <c r="L833" s="2264">
        <f>H833*G833</f>
        <v>0</v>
      </c>
      <c r="M833" s="2264">
        <f>I833*G833</f>
        <v>0</v>
      </c>
      <c r="N833" s="2264">
        <f>J833*G833</f>
        <v>0</v>
      </c>
      <c r="O833" s="2264">
        <f>K833*G833</f>
        <v>0</v>
      </c>
      <c r="P833" s="2265"/>
      <c r="Q833" s="2266"/>
      <c r="R833" s="2266"/>
      <c r="S833" s="2266"/>
    </row>
    <row r="834" spans="1:19" s="2105" customFormat="1" outlineLevel="1">
      <c r="A834" s="2108">
        <f>IF(G834&lt;&gt;0,1,0)</f>
        <v>0</v>
      </c>
      <c r="B834" s="2130"/>
      <c r="C834" s="2142">
        <f>IF(G834&gt;0,C830+1,C830)</f>
        <v>0</v>
      </c>
      <c r="D834" s="2256"/>
      <c r="E834" s="2275" t="s">
        <v>6165</v>
      </c>
      <c r="F834" s="2253" t="s">
        <v>2385</v>
      </c>
      <c r="G834" s="2187">
        <f>G755</f>
        <v>0</v>
      </c>
      <c r="H834" s="2128"/>
      <c r="I834" s="2128"/>
      <c r="J834" s="2128"/>
      <c r="K834" s="2128"/>
      <c r="L834" s="2209">
        <f t="shared" si="110"/>
        <v>0</v>
      </c>
      <c r="M834" s="2209">
        <f t="shared" si="111"/>
        <v>0</v>
      </c>
      <c r="N834" s="2209">
        <f t="shared" si="112"/>
        <v>0</v>
      </c>
      <c r="O834" s="2210">
        <f t="shared" si="113"/>
        <v>0</v>
      </c>
      <c r="P834" s="2155"/>
    </row>
    <row r="835" spans="1:19" s="2105" customFormat="1" ht="14.4" outlineLevel="1">
      <c r="A835" s="2108">
        <f>A834</f>
        <v>0</v>
      </c>
      <c r="B835" s="2130"/>
      <c r="C835" s="2142"/>
      <c r="D835" s="2256"/>
      <c r="E835" s="2225" t="s">
        <v>6133</v>
      </c>
      <c r="F835" s="2208"/>
      <c r="G835" s="2184"/>
      <c r="H835" s="2128"/>
      <c r="I835" s="2128"/>
      <c r="J835" s="2128"/>
      <c r="K835" s="2128"/>
      <c r="L835" s="2209">
        <f t="shared" si="110"/>
        <v>0</v>
      </c>
      <c r="M835" s="2209">
        <f t="shared" si="111"/>
        <v>0</v>
      </c>
      <c r="N835" s="2209">
        <f t="shared" si="112"/>
        <v>0</v>
      </c>
      <c r="O835" s="2210">
        <f t="shared" si="113"/>
        <v>0</v>
      </c>
      <c r="P835" s="2155"/>
    </row>
    <row r="836" spans="1:19" s="2105" customFormat="1" outlineLevel="1">
      <c r="A836" s="2108">
        <f>A835</f>
        <v>0</v>
      </c>
      <c r="B836" s="2159" t="s">
        <v>697</v>
      </c>
      <c r="C836" s="2142"/>
      <c r="D836" s="2120">
        <v>0</v>
      </c>
      <c r="E836" s="2121" t="s">
        <v>5087</v>
      </c>
      <c r="F836" s="2120" t="s">
        <v>2532</v>
      </c>
      <c r="G836" s="2184">
        <f>12*G834</f>
        <v>0</v>
      </c>
      <c r="H836" s="2123">
        <v>50996</v>
      </c>
      <c r="I836" s="2123"/>
      <c r="J836" s="2123">
        <v>0</v>
      </c>
      <c r="K836" s="2123">
        <v>0</v>
      </c>
      <c r="L836" s="2209">
        <f t="shared" si="110"/>
        <v>0</v>
      </c>
      <c r="M836" s="2209">
        <f t="shared" si="111"/>
        <v>0</v>
      </c>
      <c r="N836" s="2209">
        <f t="shared" si="112"/>
        <v>0</v>
      </c>
      <c r="O836" s="2210">
        <f t="shared" si="113"/>
        <v>0</v>
      </c>
      <c r="P836" s="2155"/>
    </row>
    <row r="837" spans="1:19" s="2105" customFormat="1" outlineLevel="1">
      <c r="A837" s="2108">
        <f>A836</f>
        <v>0</v>
      </c>
      <c r="B837" s="2118" t="s">
        <v>1479</v>
      </c>
      <c r="C837" s="2142"/>
      <c r="D837" s="2120">
        <v>0</v>
      </c>
      <c r="E837" s="2121" t="s">
        <v>3791</v>
      </c>
      <c r="F837" s="2120" t="s">
        <v>2555</v>
      </c>
      <c r="G837" s="2184">
        <f>G834*3</f>
        <v>0</v>
      </c>
      <c r="H837" s="2123">
        <v>46000</v>
      </c>
      <c r="I837" s="2123"/>
      <c r="J837" s="2123">
        <v>0</v>
      </c>
      <c r="K837" s="2123">
        <v>0</v>
      </c>
      <c r="L837" s="2209">
        <f t="shared" si="110"/>
        <v>0</v>
      </c>
      <c r="M837" s="2209">
        <f t="shared" si="111"/>
        <v>0</v>
      </c>
      <c r="N837" s="2209">
        <f t="shared" si="112"/>
        <v>0</v>
      </c>
      <c r="O837" s="2210">
        <f t="shared" si="113"/>
        <v>0</v>
      </c>
      <c r="P837" s="2155"/>
    </row>
    <row r="838" spans="1:19" s="2105" customFormat="1" outlineLevel="1">
      <c r="A838" s="2108">
        <f>A837</f>
        <v>0</v>
      </c>
      <c r="B838" s="2118" t="s">
        <v>1477</v>
      </c>
      <c r="C838" s="2142"/>
      <c r="D838" s="2120"/>
      <c r="E838" s="2121" t="s">
        <v>4335</v>
      </c>
      <c r="F838" s="2120" t="s">
        <v>2555</v>
      </c>
      <c r="G838" s="2184">
        <f>G837</f>
        <v>0</v>
      </c>
      <c r="H838" s="2123">
        <v>77000</v>
      </c>
      <c r="I838" s="2123"/>
      <c r="J838" s="2123"/>
      <c r="K838" s="2123">
        <v>0</v>
      </c>
      <c r="L838" s="2209">
        <f t="shared" si="110"/>
        <v>0</v>
      </c>
      <c r="M838" s="2209">
        <f t="shared" si="111"/>
        <v>0</v>
      </c>
      <c r="N838" s="2209">
        <f t="shared" si="112"/>
        <v>0</v>
      </c>
      <c r="O838" s="2210">
        <f t="shared" si="113"/>
        <v>0</v>
      </c>
      <c r="P838" s="2155"/>
    </row>
    <row r="839" spans="1:19" s="2105" customFormat="1" outlineLevel="1">
      <c r="A839" s="2108">
        <f>IF(G839&lt;&gt;0,1,0)</f>
        <v>0</v>
      </c>
      <c r="B839" s="2180" t="s">
        <v>5704</v>
      </c>
      <c r="C839" s="2127"/>
      <c r="D839" s="2120">
        <v>0</v>
      </c>
      <c r="E839" s="2121" t="s">
        <v>4538</v>
      </c>
      <c r="F839" s="2152" t="s">
        <v>3445</v>
      </c>
      <c r="G839" s="2184"/>
      <c r="H839" s="2123">
        <v>136800</v>
      </c>
      <c r="I839" s="2123"/>
      <c r="J839" s="2123">
        <v>0</v>
      </c>
      <c r="K839" s="2123">
        <v>0</v>
      </c>
      <c r="L839" s="2129">
        <f>H839*G839</f>
        <v>0</v>
      </c>
      <c r="M839" s="2129">
        <f>I839*G839</f>
        <v>0</v>
      </c>
      <c r="N839" s="2129">
        <f>J839*G839</f>
        <v>0</v>
      </c>
      <c r="O839" s="2128">
        <f>K839*G839</f>
        <v>0</v>
      </c>
      <c r="P839" s="2155"/>
    </row>
    <row r="840" spans="1:19" s="2105" customFormat="1" outlineLevel="1">
      <c r="A840" s="2108">
        <f>IF(G840&lt;&gt;0,1,0)</f>
        <v>0</v>
      </c>
      <c r="B840" s="2118" t="s">
        <v>5699</v>
      </c>
      <c r="C840" s="2127"/>
      <c r="D840" s="2120">
        <v>0</v>
      </c>
      <c r="E840" s="2121" t="s">
        <v>5700</v>
      </c>
      <c r="F840" s="2152" t="s">
        <v>2555</v>
      </c>
      <c r="G840" s="2184">
        <f>3*G834</f>
        <v>0</v>
      </c>
      <c r="H840" s="2123">
        <v>218200</v>
      </c>
      <c r="I840" s="2123"/>
      <c r="J840" s="2123">
        <v>0</v>
      </c>
      <c r="K840" s="2123">
        <v>0</v>
      </c>
      <c r="L840" s="2129">
        <f t="shared" si="110"/>
        <v>0</v>
      </c>
      <c r="M840" s="2129">
        <f t="shared" si="111"/>
        <v>0</v>
      </c>
      <c r="N840" s="2129">
        <f t="shared" si="112"/>
        <v>0</v>
      </c>
      <c r="O840" s="2128">
        <f t="shared" si="113"/>
        <v>0</v>
      </c>
      <c r="P840" s="2155"/>
    </row>
    <row r="841" spans="1:19" s="2105" customFormat="1" outlineLevel="1">
      <c r="A841" s="2108">
        <f>IF(G841&lt;&gt;0,1,0)</f>
        <v>0</v>
      </c>
      <c r="B841" s="2118" t="s">
        <v>5705</v>
      </c>
      <c r="C841" s="2127"/>
      <c r="D841" s="2120">
        <v>0</v>
      </c>
      <c r="E841" s="2121" t="s">
        <v>5706</v>
      </c>
      <c r="F841" s="2152" t="s">
        <v>2555</v>
      </c>
      <c r="G841" s="2184">
        <f>3*G834</f>
        <v>0</v>
      </c>
      <c r="H841" s="2123">
        <v>39100</v>
      </c>
      <c r="I841" s="2123"/>
      <c r="J841" s="2123">
        <v>0</v>
      </c>
      <c r="K841" s="2123">
        <v>0</v>
      </c>
      <c r="L841" s="2129">
        <f t="shared" si="110"/>
        <v>0</v>
      </c>
      <c r="M841" s="2129">
        <f t="shared" si="111"/>
        <v>0</v>
      </c>
      <c r="N841" s="2129">
        <f t="shared" si="112"/>
        <v>0</v>
      </c>
      <c r="O841" s="2128">
        <f t="shared" si="113"/>
        <v>0</v>
      </c>
      <c r="P841" s="2155"/>
    </row>
    <row r="842" spans="1:19" s="2105" customFormat="1" outlineLevel="1">
      <c r="A842" s="2108">
        <f>IF(G842&lt;&gt;0,1,0)</f>
        <v>0</v>
      </c>
      <c r="B842" s="2118" t="s">
        <v>5707</v>
      </c>
      <c r="C842" s="2127"/>
      <c r="D842" s="2120">
        <v>0</v>
      </c>
      <c r="E842" s="2121" t="s">
        <v>5708</v>
      </c>
      <c r="F842" s="2152" t="s">
        <v>2555</v>
      </c>
      <c r="G842" s="2184">
        <f>3*G834</f>
        <v>0</v>
      </c>
      <c r="H842" s="2123">
        <v>56700</v>
      </c>
      <c r="I842" s="2123"/>
      <c r="J842" s="2123">
        <v>0</v>
      </c>
      <c r="K842" s="2123">
        <v>0</v>
      </c>
      <c r="L842" s="2129">
        <f t="shared" si="110"/>
        <v>0</v>
      </c>
      <c r="M842" s="2129">
        <f t="shared" si="111"/>
        <v>0</v>
      </c>
      <c r="N842" s="2129">
        <f t="shared" si="112"/>
        <v>0</v>
      </c>
      <c r="O842" s="2128">
        <f t="shared" si="113"/>
        <v>0</v>
      </c>
      <c r="P842" s="2155"/>
    </row>
    <row r="843" spans="1:19" s="2105" customFormat="1" outlineLevel="1">
      <c r="A843" s="2182" t="str">
        <f>IF(G843&lt;&gt;0,1,"")</f>
        <v/>
      </c>
      <c r="B843" s="2130" t="s">
        <v>6143</v>
      </c>
      <c r="C843" s="2127"/>
      <c r="D843" s="2120" t="s">
        <v>5725</v>
      </c>
      <c r="E843" s="2121" t="s">
        <v>3479</v>
      </c>
      <c r="F843" s="2120" t="s">
        <v>2555</v>
      </c>
      <c r="G843" s="2184"/>
      <c r="H843" s="2123">
        <v>9100</v>
      </c>
      <c r="I843" s="2123"/>
      <c r="J843" s="2123">
        <v>10608.955000000002</v>
      </c>
      <c r="K843" s="2123">
        <v>2777.0232475000003</v>
      </c>
      <c r="L843" s="2209">
        <f>H843*G843</f>
        <v>0</v>
      </c>
      <c r="M843" s="2209">
        <f>I843*G843</f>
        <v>0</v>
      </c>
      <c r="N843" s="2209">
        <f>J843*G843</f>
        <v>0</v>
      </c>
      <c r="O843" s="2210">
        <f>K843*G843</f>
        <v>0</v>
      </c>
      <c r="P843" s="2155"/>
    </row>
    <row r="844" spans="1:19" s="2105" customFormat="1" outlineLevel="1">
      <c r="A844" s="2182" t="str">
        <f>IF(G844&lt;&gt;0,1,"")</f>
        <v/>
      </c>
      <c r="B844" s="2130" t="s">
        <v>6178</v>
      </c>
      <c r="C844" s="2127"/>
      <c r="D844" s="2120" t="s">
        <v>5726</v>
      </c>
      <c r="E844" s="2121" t="s">
        <v>3480</v>
      </c>
      <c r="F844" s="2120" t="s">
        <v>2555</v>
      </c>
      <c r="G844" s="2184"/>
      <c r="H844" s="2123">
        <v>14000</v>
      </c>
      <c r="I844" s="2123"/>
      <c r="J844" s="2123">
        <v>16671.215</v>
      </c>
      <c r="K844" s="2123">
        <v>3332.427897</v>
      </c>
      <c r="L844" s="2209">
        <f>H844*G844</f>
        <v>0</v>
      </c>
      <c r="M844" s="2209">
        <f>I844*G844</f>
        <v>0</v>
      </c>
      <c r="N844" s="2209">
        <f>J844*G844</f>
        <v>0</v>
      </c>
      <c r="O844" s="2210">
        <f>K844*G844</f>
        <v>0</v>
      </c>
      <c r="P844" s="2155"/>
    </row>
    <row r="845" spans="1:19" s="2105" customFormat="1" outlineLevel="1">
      <c r="A845" s="2182" t="str">
        <f>IF(G845&lt;&gt;0,1,"")</f>
        <v/>
      </c>
      <c r="B845" s="2130" t="s">
        <v>6179</v>
      </c>
      <c r="C845" s="2127"/>
      <c r="D845" s="2120" t="s">
        <v>5725</v>
      </c>
      <c r="E845" s="2121" t="s">
        <v>5760</v>
      </c>
      <c r="F845" s="2120" t="s">
        <v>2555</v>
      </c>
      <c r="G845" s="2184"/>
      <c r="H845" s="2123">
        <v>0</v>
      </c>
      <c r="I845" s="2123"/>
      <c r="J845" s="2123">
        <v>8387</v>
      </c>
      <c r="K845" s="2123">
        <v>2688</v>
      </c>
      <c r="L845" s="2209">
        <f t="shared" si="110"/>
        <v>0</v>
      </c>
      <c r="M845" s="2209">
        <f t="shared" si="111"/>
        <v>0</v>
      </c>
      <c r="N845" s="2209">
        <f t="shared" si="112"/>
        <v>0</v>
      </c>
      <c r="O845" s="2210">
        <f t="shared" si="113"/>
        <v>0</v>
      </c>
      <c r="P845" s="2155"/>
    </row>
    <row r="846" spans="1:19" s="2105" customFormat="1" outlineLevel="1">
      <c r="A846" s="2182" t="str">
        <f>IF(G846&lt;&gt;0,1,"")</f>
        <v/>
      </c>
      <c r="B846" s="2130" t="s">
        <v>6180</v>
      </c>
      <c r="C846" s="2127"/>
      <c r="D846" s="2120" t="s">
        <v>5726</v>
      </c>
      <c r="E846" s="2121" t="s">
        <v>5762</v>
      </c>
      <c r="F846" s="2120" t="s">
        <v>2555</v>
      </c>
      <c r="G846" s="2184"/>
      <c r="H846" s="2123">
        <v>0</v>
      </c>
      <c r="I846" s="2123"/>
      <c r="J846" s="2123">
        <v>13179</v>
      </c>
      <c r="K846" s="2123">
        <v>3226</v>
      </c>
      <c r="L846" s="2209">
        <f>H846*G846</f>
        <v>0</v>
      </c>
      <c r="M846" s="2209">
        <f>I846*G846</f>
        <v>0</v>
      </c>
      <c r="N846" s="2209">
        <f>J846*G846</f>
        <v>0</v>
      </c>
      <c r="O846" s="2210">
        <f>K846*G846</f>
        <v>0</v>
      </c>
      <c r="P846" s="2155"/>
    </row>
    <row r="847" spans="1:19" s="2105" customFormat="1" outlineLevel="1">
      <c r="A847" s="2108">
        <f>A838</f>
        <v>0</v>
      </c>
      <c r="B847" s="2118" t="s">
        <v>1525</v>
      </c>
      <c r="C847" s="2142"/>
      <c r="D847" s="2120" t="s">
        <v>5571</v>
      </c>
      <c r="E847" s="2121" t="s">
        <v>3292</v>
      </c>
      <c r="F847" s="2120" t="s">
        <v>1823</v>
      </c>
      <c r="G847" s="2184">
        <f>G836</f>
        <v>0</v>
      </c>
      <c r="H847" s="2123">
        <v>0</v>
      </c>
      <c r="I847" s="2123"/>
      <c r="J847" s="2123">
        <v>13915</v>
      </c>
      <c r="K847" s="2123">
        <v>0</v>
      </c>
      <c r="L847" s="2209">
        <f>H847*G847</f>
        <v>0</v>
      </c>
      <c r="M847" s="2209">
        <f>I847*G847</f>
        <v>0</v>
      </c>
      <c r="N847" s="2209">
        <f>J847*G847</f>
        <v>0</v>
      </c>
      <c r="O847" s="2210">
        <f>K847*G847</f>
        <v>0</v>
      </c>
      <c r="P847" s="2155"/>
    </row>
    <row r="848" spans="1:19" s="2105" customFormat="1" outlineLevel="1">
      <c r="A848" s="2182" t="str">
        <f>IF(G848&lt;&gt;0,1,"")</f>
        <v/>
      </c>
      <c r="B848" s="2130"/>
      <c r="C848" s="2142">
        <f>IF(G848&gt;0,C834+1,C834)</f>
        <v>0</v>
      </c>
      <c r="D848" s="2256"/>
      <c r="E848" s="2276" t="s">
        <v>6181</v>
      </c>
      <c r="F848" s="2253" t="s">
        <v>2385</v>
      </c>
      <c r="G848" s="2187">
        <f>K8</f>
        <v>0</v>
      </c>
      <c r="H848" s="2128"/>
      <c r="I848" s="2128"/>
      <c r="J848" s="2128"/>
      <c r="K848" s="2128"/>
      <c r="L848" s="2209">
        <f t="shared" si="110"/>
        <v>0</v>
      </c>
      <c r="M848" s="2209">
        <f t="shared" si="111"/>
        <v>0</v>
      </c>
      <c r="N848" s="2209">
        <f t="shared" si="112"/>
        <v>0</v>
      </c>
      <c r="O848" s="2210">
        <f t="shared" si="113"/>
        <v>0</v>
      </c>
      <c r="P848" s="2155"/>
    </row>
    <row r="849" spans="1:16" s="2105" customFormat="1" ht="14.4" outlineLevel="1">
      <c r="A849" s="2108" t="str">
        <f>A848</f>
        <v/>
      </c>
      <c r="B849" s="2130"/>
      <c r="C849" s="2142"/>
      <c r="D849" s="2256"/>
      <c r="E849" s="2277" t="s">
        <v>6133</v>
      </c>
      <c r="F849" s="2253"/>
      <c r="G849" s="2187"/>
      <c r="H849" s="2128"/>
      <c r="I849" s="2128"/>
      <c r="J849" s="2128"/>
      <c r="K849" s="2128"/>
      <c r="L849" s="2209">
        <f t="shared" si="110"/>
        <v>0</v>
      </c>
      <c r="M849" s="2209">
        <f t="shared" si="111"/>
        <v>0</v>
      </c>
      <c r="N849" s="2209">
        <f t="shared" si="112"/>
        <v>0</v>
      </c>
      <c r="O849" s="2210">
        <f t="shared" si="113"/>
        <v>0</v>
      </c>
      <c r="P849" s="2155"/>
    </row>
    <row r="850" spans="1:16" s="2105" customFormat="1" ht="27.6" outlineLevel="1">
      <c r="A850" s="2182" t="str">
        <f t="shared" ref="A850:A879" si="123">IF(G850&lt;&gt;0,1,"")</f>
        <v/>
      </c>
      <c r="B850" s="2130" t="s">
        <v>32</v>
      </c>
      <c r="C850" s="2127"/>
      <c r="D850" s="2120">
        <v>0</v>
      </c>
      <c r="E850" s="2278" t="s">
        <v>6333</v>
      </c>
      <c r="F850" s="2120" t="s">
        <v>2532</v>
      </c>
      <c r="G850" s="2184">
        <f>(3*7.5+3*2)*G848</f>
        <v>0</v>
      </c>
      <c r="H850" s="2123">
        <v>236300</v>
      </c>
      <c r="I850" s="2123"/>
      <c r="J850" s="2123">
        <v>0</v>
      </c>
      <c r="K850" s="2123">
        <v>0</v>
      </c>
      <c r="L850" s="2209">
        <f t="shared" si="110"/>
        <v>0</v>
      </c>
      <c r="M850" s="2209">
        <f t="shared" si="111"/>
        <v>0</v>
      </c>
      <c r="N850" s="2209">
        <f t="shared" si="112"/>
        <v>0</v>
      </c>
      <c r="O850" s="2210">
        <f t="shared" si="113"/>
        <v>0</v>
      </c>
      <c r="P850" s="2155"/>
    </row>
    <row r="851" spans="1:16" s="2105" customFormat="1" outlineLevel="1">
      <c r="A851" s="2182" t="str">
        <f t="shared" si="123"/>
        <v/>
      </c>
      <c r="B851" s="2130" t="s">
        <v>1406</v>
      </c>
      <c r="C851" s="2127"/>
      <c r="D851" s="2120">
        <v>0</v>
      </c>
      <c r="E851" s="2121" t="s">
        <v>6334</v>
      </c>
      <c r="F851" s="2120" t="s">
        <v>2532</v>
      </c>
      <c r="G851" s="2184">
        <f>7.5*G848</f>
        <v>0</v>
      </c>
      <c r="H851" s="2123">
        <v>59600</v>
      </c>
      <c r="I851" s="2123"/>
      <c r="J851" s="2123">
        <v>0</v>
      </c>
      <c r="K851" s="2123">
        <v>0</v>
      </c>
      <c r="L851" s="2209">
        <f t="shared" si="110"/>
        <v>0</v>
      </c>
      <c r="M851" s="2209">
        <f t="shared" si="111"/>
        <v>0</v>
      </c>
      <c r="N851" s="2209">
        <f t="shared" si="112"/>
        <v>0</v>
      </c>
      <c r="O851" s="2210">
        <f t="shared" si="113"/>
        <v>0</v>
      </c>
      <c r="P851" s="2155"/>
    </row>
    <row r="852" spans="1:16" s="2105" customFormat="1" outlineLevel="1">
      <c r="A852" s="2182" t="str">
        <f t="shared" si="123"/>
        <v/>
      </c>
      <c r="B852" s="2130" t="s">
        <v>6182</v>
      </c>
      <c r="C852" s="2127"/>
      <c r="D852" s="2120">
        <v>0</v>
      </c>
      <c r="E852" s="2121" t="s">
        <v>6335</v>
      </c>
      <c r="F852" s="2120" t="s">
        <v>2532</v>
      </c>
      <c r="G852" s="2184"/>
      <c r="H852" s="2123">
        <v>119400</v>
      </c>
      <c r="I852" s="2123"/>
      <c r="J852" s="2123">
        <v>0</v>
      </c>
      <c r="K852" s="2123">
        <v>0</v>
      </c>
      <c r="L852" s="2209">
        <f>H852*G852</f>
        <v>0</v>
      </c>
      <c r="M852" s="2209">
        <f>I852*G852</f>
        <v>0</v>
      </c>
      <c r="N852" s="2209">
        <f>J852*G852</f>
        <v>0</v>
      </c>
      <c r="O852" s="2210">
        <f>K852*G852</f>
        <v>0</v>
      </c>
      <c r="P852" s="2155"/>
    </row>
    <row r="853" spans="1:16" s="2105" customFormat="1" outlineLevel="1">
      <c r="A853" s="2182" t="str">
        <f t="shared" si="123"/>
        <v/>
      </c>
      <c r="B853" s="2130" t="s">
        <v>2276</v>
      </c>
      <c r="C853" s="2127"/>
      <c r="D853" s="2120"/>
      <c r="E853" s="2121" t="s">
        <v>2786</v>
      </c>
      <c r="F853" s="2120" t="s">
        <v>2532</v>
      </c>
      <c r="G853" s="2184">
        <f>4*G848</f>
        <v>0</v>
      </c>
      <c r="H853" s="2123">
        <v>63200</v>
      </c>
      <c r="I853" s="2123"/>
      <c r="J853" s="2123">
        <v>0</v>
      </c>
      <c r="K853" s="2123">
        <v>0</v>
      </c>
      <c r="L853" s="2209">
        <f t="shared" si="110"/>
        <v>0</v>
      </c>
      <c r="M853" s="2209">
        <f t="shared" si="111"/>
        <v>0</v>
      </c>
      <c r="N853" s="2209">
        <f t="shared" si="112"/>
        <v>0</v>
      </c>
      <c r="O853" s="2210">
        <f t="shared" si="113"/>
        <v>0</v>
      </c>
      <c r="P853" s="2155"/>
    </row>
    <row r="854" spans="1:16" s="2105" customFormat="1" outlineLevel="1">
      <c r="A854" s="2182" t="str">
        <f t="shared" si="123"/>
        <v/>
      </c>
      <c r="B854" s="2130" t="s">
        <v>6183</v>
      </c>
      <c r="C854" s="2127"/>
      <c r="D854" s="2120" t="s">
        <v>5728</v>
      </c>
      <c r="E854" s="2121" t="s">
        <v>3482</v>
      </c>
      <c r="F854" s="2120" t="s">
        <v>2555</v>
      </c>
      <c r="G854" s="2184"/>
      <c r="H854" s="2123">
        <v>27000</v>
      </c>
      <c r="I854" s="2123"/>
      <c r="J854" s="2123">
        <v>27280.17</v>
      </c>
      <c r="K854" s="2123">
        <v>3887.8325465000003</v>
      </c>
      <c r="L854" s="2209">
        <f t="shared" si="110"/>
        <v>0</v>
      </c>
      <c r="M854" s="2209">
        <f t="shared" si="111"/>
        <v>0</v>
      </c>
      <c r="N854" s="2209">
        <f t="shared" si="112"/>
        <v>0</v>
      </c>
      <c r="O854" s="2210">
        <f t="shared" si="113"/>
        <v>0</v>
      </c>
      <c r="P854" s="2155"/>
    </row>
    <row r="855" spans="1:16" s="2105" customFormat="1" outlineLevel="1">
      <c r="A855" s="2182" t="str">
        <f t="shared" si="123"/>
        <v/>
      </c>
      <c r="B855" s="2130" t="s">
        <v>2143</v>
      </c>
      <c r="C855" s="2127"/>
      <c r="D855" s="2120" t="s">
        <v>5728</v>
      </c>
      <c r="E855" s="2121" t="s">
        <v>3463</v>
      </c>
      <c r="F855" s="2120" t="s">
        <v>2555</v>
      </c>
      <c r="G855" s="2184"/>
      <c r="H855" s="2123">
        <v>34000</v>
      </c>
      <c r="I855" s="2123"/>
      <c r="J855" s="2123">
        <v>27280.17</v>
      </c>
      <c r="K855" s="2123">
        <v>3887.8325465000003</v>
      </c>
      <c r="L855" s="2209">
        <f t="shared" si="110"/>
        <v>0</v>
      </c>
      <c r="M855" s="2209">
        <f t="shared" si="111"/>
        <v>0</v>
      </c>
      <c r="N855" s="2209">
        <f t="shared" si="112"/>
        <v>0</v>
      </c>
      <c r="O855" s="2210">
        <f t="shared" si="113"/>
        <v>0</v>
      </c>
      <c r="P855" s="2155"/>
    </row>
    <row r="856" spans="1:16" s="2105" customFormat="1" outlineLevel="1">
      <c r="A856" s="2182" t="str">
        <f t="shared" si="123"/>
        <v/>
      </c>
      <c r="B856" s="2130" t="s">
        <v>6142</v>
      </c>
      <c r="C856" s="2127"/>
      <c r="D856" s="2120" t="s">
        <v>5724</v>
      </c>
      <c r="E856" s="2121" t="s">
        <v>5737</v>
      </c>
      <c r="F856" s="2120" t="s">
        <v>2555</v>
      </c>
      <c r="G856" s="2184"/>
      <c r="H856" s="2123">
        <v>6500</v>
      </c>
      <c r="I856" s="2123"/>
      <c r="J856" s="2123">
        <v>6062.26</v>
      </c>
      <c r="K856" s="2123">
        <v>2777.0232475000003</v>
      </c>
      <c r="L856" s="2209">
        <f>H856*G856</f>
        <v>0</v>
      </c>
      <c r="M856" s="2209">
        <f>I856*G856</f>
        <v>0</v>
      </c>
      <c r="N856" s="2209">
        <f>J856*G856</f>
        <v>0</v>
      </c>
      <c r="O856" s="2210">
        <f>K856*G856</f>
        <v>0</v>
      </c>
      <c r="P856" s="2155"/>
    </row>
    <row r="857" spans="1:16" s="2105" customFormat="1" outlineLevel="1">
      <c r="A857" s="2182" t="str">
        <f t="shared" si="123"/>
        <v/>
      </c>
      <c r="B857" s="2130" t="s">
        <v>6184</v>
      </c>
      <c r="C857" s="2127"/>
      <c r="D857" s="2120" t="s">
        <v>5727</v>
      </c>
      <c r="E857" s="2121" t="s">
        <v>5764</v>
      </c>
      <c r="F857" s="2120" t="s">
        <v>2555</v>
      </c>
      <c r="G857" s="2184"/>
      <c r="H857" s="2123">
        <v>0</v>
      </c>
      <c r="I857" s="2123"/>
      <c r="J857" s="2123">
        <v>16773</v>
      </c>
      <c r="K857" s="2123">
        <v>3226</v>
      </c>
      <c r="L857" s="2209">
        <f>H857*G857</f>
        <v>0</v>
      </c>
      <c r="M857" s="2209">
        <f>I857*G857</f>
        <v>0</v>
      </c>
      <c r="N857" s="2209">
        <f>J857*G857</f>
        <v>0</v>
      </c>
      <c r="O857" s="2210">
        <f>K857*G857</f>
        <v>0</v>
      </c>
      <c r="P857" s="2155"/>
    </row>
    <row r="858" spans="1:16" s="2105" customFormat="1" outlineLevel="1">
      <c r="A858" s="2182" t="str">
        <f t="shared" si="123"/>
        <v/>
      </c>
      <c r="B858" s="2130" t="s">
        <v>6185</v>
      </c>
      <c r="C858" s="2127"/>
      <c r="D858" s="2120" t="s">
        <v>5728</v>
      </c>
      <c r="E858" s="2121" t="s">
        <v>5766</v>
      </c>
      <c r="F858" s="2120" t="s">
        <v>2555</v>
      </c>
      <c r="G858" s="2184"/>
      <c r="H858" s="2123">
        <v>0</v>
      </c>
      <c r="I858" s="2123"/>
      <c r="J858" s="2123">
        <v>21565</v>
      </c>
      <c r="K858" s="2123">
        <v>3764</v>
      </c>
      <c r="L858" s="2209">
        <f>H858*G858</f>
        <v>0</v>
      </c>
      <c r="M858" s="2209">
        <f>I858*G858</f>
        <v>0</v>
      </c>
      <c r="N858" s="2209">
        <f>J858*G858</f>
        <v>0</v>
      </c>
      <c r="O858" s="2210">
        <f>K858*G858</f>
        <v>0</v>
      </c>
      <c r="P858" s="2155"/>
    </row>
    <row r="859" spans="1:16" s="2105" customFormat="1" outlineLevel="1">
      <c r="A859" s="2182" t="str">
        <f t="shared" si="123"/>
        <v/>
      </c>
      <c r="B859" s="2130" t="s">
        <v>6186</v>
      </c>
      <c r="C859" s="2127"/>
      <c r="D859" s="2120" t="s">
        <v>5724</v>
      </c>
      <c r="E859" s="2121" t="s">
        <v>5758</v>
      </c>
      <c r="F859" s="2120" t="s">
        <v>2555</v>
      </c>
      <c r="G859" s="2184">
        <f>G848*1</f>
        <v>0</v>
      </c>
      <c r="H859" s="2123">
        <v>0</v>
      </c>
      <c r="I859" s="2123"/>
      <c r="J859" s="2123">
        <v>4792</v>
      </c>
      <c r="K859" s="2123">
        <v>2688</v>
      </c>
      <c r="L859" s="2209">
        <f t="shared" si="110"/>
        <v>0</v>
      </c>
      <c r="M859" s="2209">
        <f t="shared" si="111"/>
        <v>0</v>
      </c>
      <c r="N859" s="2209">
        <f t="shared" si="112"/>
        <v>0</v>
      </c>
      <c r="O859" s="2210">
        <f t="shared" si="113"/>
        <v>0</v>
      </c>
      <c r="P859" s="2155"/>
    </row>
    <row r="860" spans="1:16" s="2105" customFormat="1" outlineLevel="1">
      <c r="A860" s="2182" t="str">
        <f t="shared" si="123"/>
        <v/>
      </c>
      <c r="B860" s="2130" t="s">
        <v>13</v>
      </c>
      <c r="C860" s="2127"/>
      <c r="D860" s="2120">
        <v>0</v>
      </c>
      <c r="E860" s="2121" t="s">
        <v>2876</v>
      </c>
      <c r="F860" s="2120" t="s">
        <v>2555</v>
      </c>
      <c r="G860" s="2184"/>
      <c r="H860" s="2123">
        <v>14000</v>
      </c>
      <c r="I860" s="2123"/>
      <c r="J860" s="2123">
        <v>0</v>
      </c>
      <c r="K860" s="2123">
        <v>0</v>
      </c>
      <c r="L860" s="2209">
        <f>H860*G860</f>
        <v>0</v>
      </c>
      <c r="M860" s="2209">
        <f>I860*G860</f>
        <v>0</v>
      </c>
      <c r="N860" s="2209">
        <f>J860*G860</f>
        <v>0</v>
      </c>
      <c r="O860" s="2210">
        <f>K860*G860</f>
        <v>0</v>
      </c>
      <c r="P860" s="2155"/>
    </row>
    <row r="861" spans="1:16" s="2105" customFormat="1" outlineLevel="1">
      <c r="A861" s="2182" t="str">
        <f t="shared" si="123"/>
        <v/>
      </c>
      <c r="B861" s="2130" t="s">
        <v>13</v>
      </c>
      <c r="C861" s="2127"/>
      <c r="D861" s="2120">
        <v>0</v>
      </c>
      <c r="E861" s="2278" t="s">
        <v>2876</v>
      </c>
      <c r="F861" s="2120" t="s">
        <v>2555</v>
      </c>
      <c r="G861" s="2184"/>
      <c r="H861" s="2123">
        <v>14000</v>
      </c>
      <c r="I861" s="2123"/>
      <c r="J861" s="2123">
        <v>0</v>
      </c>
      <c r="K861" s="2123">
        <v>0</v>
      </c>
      <c r="L861" s="2209">
        <f>H861*G861</f>
        <v>0</v>
      </c>
      <c r="M861" s="2209">
        <f>I861*G861</f>
        <v>0</v>
      </c>
      <c r="N861" s="2209">
        <f>J861*G861</f>
        <v>0</v>
      </c>
      <c r="O861" s="2210">
        <f>K861*G861</f>
        <v>0</v>
      </c>
      <c r="P861" s="2155"/>
    </row>
    <row r="862" spans="1:16" s="2105" customFormat="1" outlineLevel="1">
      <c r="A862" s="2182" t="str">
        <f t="shared" si="123"/>
        <v/>
      </c>
      <c r="B862" s="2133" t="s">
        <v>672</v>
      </c>
      <c r="C862" s="2127"/>
      <c r="D862" s="2120">
        <v>0</v>
      </c>
      <c r="E862" s="2121" t="s">
        <v>5801</v>
      </c>
      <c r="F862" s="2120" t="s">
        <v>3566</v>
      </c>
      <c r="G862" s="2184"/>
      <c r="H862" s="2123">
        <v>6500</v>
      </c>
      <c r="I862" s="2128"/>
      <c r="J862" s="2123">
        <v>0</v>
      </c>
      <c r="K862" s="2123">
        <v>0</v>
      </c>
      <c r="L862" s="2209">
        <f>H862*G862</f>
        <v>0</v>
      </c>
      <c r="M862" s="2209">
        <f>I862*G862</f>
        <v>0</v>
      </c>
      <c r="N862" s="2209">
        <f>J862*G862</f>
        <v>0</v>
      </c>
      <c r="O862" s="2210">
        <f>K862*G862</f>
        <v>0</v>
      </c>
      <c r="P862" s="2155"/>
    </row>
    <row r="863" spans="1:16" s="2105" customFormat="1" outlineLevel="1">
      <c r="A863" s="2182" t="str">
        <f t="shared" si="123"/>
        <v/>
      </c>
      <c r="B863" s="2130" t="s">
        <v>93</v>
      </c>
      <c r="C863" s="2127"/>
      <c r="D863" s="2120">
        <v>0</v>
      </c>
      <c r="E863" s="2121" t="s">
        <v>3496</v>
      </c>
      <c r="F863" s="2120" t="s">
        <v>2555</v>
      </c>
      <c r="G863" s="2184"/>
      <c r="H863" s="2123">
        <v>4000</v>
      </c>
      <c r="I863" s="2123"/>
      <c r="J863" s="2123">
        <v>0</v>
      </c>
      <c r="K863" s="2123">
        <v>0</v>
      </c>
      <c r="L863" s="2209">
        <f t="shared" si="110"/>
        <v>0</v>
      </c>
      <c r="M863" s="2209">
        <f t="shared" si="111"/>
        <v>0</v>
      </c>
      <c r="N863" s="2209">
        <f t="shared" si="112"/>
        <v>0</v>
      </c>
      <c r="O863" s="2210">
        <f t="shared" si="113"/>
        <v>0</v>
      </c>
      <c r="P863" s="2155"/>
    </row>
    <row r="864" spans="1:16" s="2105" customFormat="1" outlineLevel="1">
      <c r="A864" s="2182" t="str">
        <f t="shared" si="123"/>
        <v/>
      </c>
      <c r="B864" s="2130" t="s">
        <v>93</v>
      </c>
      <c r="C864" s="2127"/>
      <c r="D864" s="2120">
        <v>0</v>
      </c>
      <c r="E864" s="2121" t="s">
        <v>3496</v>
      </c>
      <c r="F864" s="2120" t="s">
        <v>2555</v>
      </c>
      <c r="G864" s="2184"/>
      <c r="H864" s="2123">
        <v>4000</v>
      </c>
      <c r="I864" s="2123"/>
      <c r="J864" s="2123">
        <v>0</v>
      </c>
      <c r="K864" s="2123">
        <v>0</v>
      </c>
      <c r="L864" s="2209">
        <f>H864*G864</f>
        <v>0</v>
      </c>
      <c r="M864" s="2209">
        <f>I864*G864</f>
        <v>0</v>
      </c>
      <c r="N864" s="2209">
        <f>J864*G864</f>
        <v>0</v>
      </c>
      <c r="O864" s="2210">
        <f>K864*G864</f>
        <v>0</v>
      </c>
      <c r="P864" s="2155"/>
    </row>
    <row r="865" spans="1:16" s="2105" customFormat="1" outlineLevel="1">
      <c r="A865" s="2182" t="str">
        <f t="shared" si="123"/>
        <v/>
      </c>
      <c r="B865" s="2130" t="s">
        <v>1916</v>
      </c>
      <c r="C865" s="2127"/>
      <c r="D865" s="2120">
        <v>0</v>
      </c>
      <c r="E865" s="2121" t="s">
        <v>3491</v>
      </c>
      <c r="F865" s="2120" t="s">
        <v>2555</v>
      </c>
      <c r="G865" s="2184">
        <f>G859</f>
        <v>0</v>
      </c>
      <c r="H865" s="2123">
        <v>1000</v>
      </c>
      <c r="I865" s="2123"/>
      <c r="J865" s="2123">
        <v>0</v>
      </c>
      <c r="K865" s="2123">
        <v>0</v>
      </c>
      <c r="L865" s="2209">
        <f t="shared" si="110"/>
        <v>0</v>
      </c>
      <c r="M865" s="2209">
        <f t="shared" si="111"/>
        <v>0</v>
      </c>
      <c r="N865" s="2209">
        <f t="shared" si="112"/>
        <v>0</v>
      </c>
      <c r="O865" s="2210">
        <f t="shared" si="113"/>
        <v>0</v>
      </c>
      <c r="P865" s="2155"/>
    </row>
    <row r="866" spans="1:16" s="2105" customFormat="1" outlineLevel="1">
      <c r="A866" s="2182" t="str">
        <f t="shared" si="123"/>
        <v/>
      </c>
      <c r="B866" s="2180" t="s">
        <v>5802</v>
      </c>
      <c r="C866" s="2127"/>
      <c r="D866" s="2120">
        <v>0</v>
      </c>
      <c r="E866" s="2121" t="s">
        <v>5803</v>
      </c>
      <c r="F866" s="2120" t="s">
        <v>2555</v>
      </c>
      <c r="G866" s="2184"/>
      <c r="H866" s="2123">
        <v>190000</v>
      </c>
      <c r="I866" s="2123"/>
      <c r="J866" s="2123">
        <v>0</v>
      </c>
      <c r="K866" s="2123">
        <v>0</v>
      </c>
      <c r="L866" s="2209">
        <f>H866*G866</f>
        <v>0</v>
      </c>
      <c r="M866" s="2209">
        <f>I866*G866</f>
        <v>0</v>
      </c>
      <c r="N866" s="2209">
        <f>J866*G866</f>
        <v>0</v>
      </c>
      <c r="O866" s="2210">
        <f>K866*G866</f>
        <v>0</v>
      </c>
      <c r="P866" s="2155"/>
    </row>
    <row r="867" spans="1:16" s="2105" customFormat="1" outlineLevel="1">
      <c r="A867" s="2182" t="str">
        <f t="shared" si="123"/>
        <v/>
      </c>
      <c r="B867" s="2130" t="s">
        <v>1042</v>
      </c>
      <c r="C867" s="2127"/>
      <c r="D867" s="2120">
        <v>0</v>
      </c>
      <c r="E867" s="2121" t="s">
        <v>3531</v>
      </c>
      <c r="F867" s="2120" t="s">
        <v>1823</v>
      </c>
      <c r="G867" s="2184"/>
      <c r="H867" s="2123">
        <v>103700</v>
      </c>
      <c r="I867" s="2128"/>
      <c r="J867" s="2123">
        <v>0</v>
      </c>
      <c r="K867" s="2123">
        <v>0</v>
      </c>
      <c r="L867" s="2209">
        <f t="shared" si="110"/>
        <v>0</v>
      </c>
      <c r="M867" s="2209">
        <f t="shared" si="111"/>
        <v>0</v>
      </c>
      <c r="N867" s="2209">
        <f t="shared" si="112"/>
        <v>0</v>
      </c>
      <c r="O867" s="2210">
        <f t="shared" si="113"/>
        <v>0</v>
      </c>
      <c r="P867" s="2155"/>
    </row>
    <row r="868" spans="1:16" s="2105" customFormat="1" outlineLevel="1">
      <c r="A868" s="2182" t="str">
        <f t="shared" si="123"/>
        <v/>
      </c>
      <c r="B868" s="2180" t="s">
        <v>1740</v>
      </c>
      <c r="C868" s="2127"/>
      <c r="D868" s="2120">
        <v>0</v>
      </c>
      <c r="E868" s="2121" t="s">
        <v>5795</v>
      </c>
      <c r="F868" s="2120" t="s">
        <v>1823</v>
      </c>
      <c r="G868" s="2184"/>
      <c r="H868" s="2123">
        <v>58700</v>
      </c>
      <c r="I868" s="2128"/>
      <c r="J868" s="2123">
        <v>0</v>
      </c>
      <c r="K868" s="2123">
        <v>0</v>
      </c>
      <c r="L868" s="2209">
        <f>H868*G868</f>
        <v>0</v>
      </c>
      <c r="M868" s="2209">
        <f>I868*G868</f>
        <v>0</v>
      </c>
      <c r="N868" s="2209">
        <f>J868*G868</f>
        <v>0</v>
      </c>
      <c r="O868" s="2210">
        <f>K868*G868</f>
        <v>0</v>
      </c>
      <c r="P868" s="2155"/>
    </row>
    <row r="869" spans="1:16" s="2105" customFormat="1" outlineLevel="1">
      <c r="A869" s="2182" t="str">
        <f t="shared" si="123"/>
        <v/>
      </c>
      <c r="B869" s="2180" t="s">
        <v>1964</v>
      </c>
      <c r="C869" s="2127"/>
      <c r="D869" s="2120">
        <v>0</v>
      </c>
      <c r="E869" s="2121" t="s">
        <v>3575</v>
      </c>
      <c r="F869" s="2120" t="s">
        <v>2555</v>
      </c>
      <c r="G869" s="2184"/>
      <c r="H869" s="2123">
        <v>41900</v>
      </c>
      <c r="I869" s="2128"/>
      <c r="J869" s="2123">
        <v>0</v>
      </c>
      <c r="K869" s="2123">
        <v>0</v>
      </c>
      <c r="L869" s="2209">
        <f>H869*G869</f>
        <v>0</v>
      </c>
      <c r="M869" s="2209">
        <f>I869*G869</f>
        <v>0</v>
      </c>
      <c r="N869" s="2209">
        <f>J869*G869</f>
        <v>0</v>
      </c>
      <c r="O869" s="2210">
        <f>K869*G869</f>
        <v>0</v>
      </c>
      <c r="P869" s="2155"/>
    </row>
    <row r="870" spans="1:16" s="2105" customFormat="1" outlineLevel="1">
      <c r="A870" s="2182" t="str">
        <f t="shared" si="123"/>
        <v/>
      </c>
      <c r="B870" s="2180" t="s">
        <v>1965</v>
      </c>
      <c r="C870" s="2127"/>
      <c r="D870" s="2120">
        <v>0</v>
      </c>
      <c r="E870" s="2121" t="s">
        <v>3579</v>
      </c>
      <c r="F870" s="2120" t="s">
        <v>2555</v>
      </c>
      <c r="G870" s="2184"/>
      <c r="H870" s="2123">
        <v>41900</v>
      </c>
      <c r="I870" s="2128"/>
      <c r="J870" s="2123">
        <v>0</v>
      </c>
      <c r="K870" s="2123">
        <v>0</v>
      </c>
      <c r="L870" s="2209">
        <f>H870*G870</f>
        <v>0</v>
      </c>
      <c r="M870" s="2209">
        <f>I870*G870</f>
        <v>0</v>
      </c>
      <c r="N870" s="2209">
        <f>J870*G870</f>
        <v>0</v>
      </c>
      <c r="O870" s="2210">
        <f>K870*G870</f>
        <v>0</v>
      </c>
      <c r="P870" s="2155"/>
    </row>
    <row r="871" spans="1:16" s="2105" customFormat="1" outlineLevel="1">
      <c r="A871" s="2182" t="str">
        <f t="shared" si="123"/>
        <v/>
      </c>
      <c r="B871" s="2133" t="s">
        <v>1862</v>
      </c>
      <c r="C871" s="2127"/>
      <c r="D871" s="2120">
        <v>0</v>
      </c>
      <c r="E871" s="2121" t="s">
        <v>5258</v>
      </c>
      <c r="F871" s="2120" t="s">
        <v>2439</v>
      </c>
      <c r="G871" s="2184"/>
      <c r="H871" s="2123">
        <v>50000</v>
      </c>
      <c r="I871" s="2128"/>
      <c r="J871" s="2123">
        <v>0</v>
      </c>
      <c r="K871" s="2123">
        <v>0</v>
      </c>
      <c r="L871" s="2209">
        <f t="shared" si="110"/>
        <v>0</v>
      </c>
      <c r="M871" s="2209">
        <f t="shared" si="111"/>
        <v>0</v>
      </c>
      <c r="N871" s="2209">
        <f t="shared" si="112"/>
        <v>0</v>
      </c>
      <c r="O871" s="2210">
        <f t="shared" si="113"/>
        <v>0</v>
      </c>
      <c r="P871" s="2155"/>
    </row>
    <row r="872" spans="1:16" s="2105" customFormat="1" outlineLevel="1">
      <c r="A872" s="2182" t="str">
        <f t="shared" si="123"/>
        <v/>
      </c>
      <c r="B872" s="2130" t="s">
        <v>1864</v>
      </c>
      <c r="C872" s="2127"/>
      <c r="D872" s="2120">
        <v>0</v>
      </c>
      <c r="E872" s="2121" t="s">
        <v>3549</v>
      </c>
      <c r="F872" s="2120" t="s">
        <v>2555</v>
      </c>
      <c r="G872" s="2184"/>
      <c r="H872" s="2123">
        <v>104800</v>
      </c>
      <c r="I872" s="2128"/>
      <c r="J872" s="2123">
        <v>0</v>
      </c>
      <c r="K872" s="2123">
        <v>0</v>
      </c>
      <c r="L872" s="2209">
        <f t="shared" si="110"/>
        <v>0</v>
      </c>
      <c r="M872" s="2209">
        <f t="shared" si="111"/>
        <v>0</v>
      </c>
      <c r="N872" s="2209">
        <f t="shared" si="112"/>
        <v>0</v>
      </c>
      <c r="O872" s="2210">
        <f t="shared" si="113"/>
        <v>0</v>
      </c>
      <c r="P872" s="2155"/>
    </row>
    <row r="873" spans="1:16" s="2105" customFormat="1" outlineLevel="1">
      <c r="A873" s="2182" t="str">
        <f t="shared" si="123"/>
        <v/>
      </c>
      <c r="B873" s="2130" t="s">
        <v>725</v>
      </c>
      <c r="C873" s="2127"/>
      <c r="D873" s="2120">
        <v>0</v>
      </c>
      <c r="E873" s="2121" t="s">
        <v>3555</v>
      </c>
      <c r="F873" s="2120" t="s">
        <v>2555</v>
      </c>
      <c r="G873" s="2208">
        <f>G848*0</f>
        <v>0</v>
      </c>
      <c r="H873" s="2123">
        <v>12400</v>
      </c>
      <c r="I873" s="2128"/>
      <c r="J873" s="2123">
        <v>0</v>
      </c>
      <c r="K873" s="2123">
        <v>0</v>
      </c>
      <c r="L873" s="2209">
        <f>H873*G873</f>
        <v>0</v>
      </c>
      <c r="M873" s="2209">
        <f>I873*G873</f>
        <v>0</v>
      </c>
      <c r="N873" s="2209">
        <f>J873*G873</f>
        <v>0</v>
      </c>
      <c r="O873" s="2210">
        <f>K873*G873</f>
        <v>0</v>
      </c>
      <c r="P873" s="2155"/>
    </row>
    <row r="874" spans="1:16" s="2105" customFormat="1" outlineLevel="1">
      <c r="A874" s="2182" t="str">
        <f t="shared" si="123"/>
        <v/>
      </c>
      <c r="B874" s="2130" t="s">
        <v>419</v>
      </c>
      <c r="C874" s="2127"/>
      <c r="D874" s="2120">
        <v>0</v>
      </c>
      <c r="E874" s="2121" t="s">
        <v>3570</v>
      </c>
      <c r="F874" s="2120" t="s">
        <v>3571</v>
      </c>
      <c r="G874" s="2184"/>
      <c r="H874" s="2123">
        <v>11500</v>
      </c>
      <c r="I874" s="2128"/>
      <c r="J874" s="2123">
        <v>0</v>
      </c>
      <c r="K874" s="2123">
        <v>0</v>
      </c>
      <c r="L874" s="2209">
        <f t="shared" si="110"/>
        <v>0</v>
      </c>
      <c r="M874" s="2209">
        <f t="shared" si="111"/>
        <v>0</v>
      </c>
      <c r="N874" s="2209">
        <f t="shared" si="112"/>
        <v>0</v>
      </c>
      <c r="O874" s="2210">
        <f t="shared" si="113"/>
        <v>0</v>
      </c>
      <c r="P874" s="2155"/>
    </row>
    <row r="875" spans="1:16" s="2105" customFormat="1" outlineLevel="1">
      <c r="A875" s="2182" t="str">
        <f t="shared" si="123"/>
        <v/>
      </c>
      <c r="B875" s="2130" t="s">
        <v>1179</v>
      </c>
      <c r="C875" s="2127"/>
      <c r="D875" s="2120">
        <v>0</v>
      </c>
      <c r="E875" s="2121" t="s">
        <v>3567</v>
      </c>
      <c r="F875" s="2120" t="s">
        <v>5806</v>
      </c>
      <c r="G875" s="2184"/>
      <c r="H875" s="2123">
        <v>45000</v>
      </c>
      <c r="I875" s="2128"/>
      <c r="J875" s="2123">
        <v>0</v>
      </c>
      <c r="K875" s="2123">
        <v>0</v>
      </c>
      <c r="L875" s="2209">
        <f>H875*G875</f>
        <v>0</v>
      </c>
      <c r="M875" s="2209">
        <f>I875*G875</f>
        <v>0</v>
      </c>
      <c r="N875" s="2209">
        <f>J875*G875</f>
        <v>0</v>
      </c>
      <c r="O875" s="2210">
        <f>K875*G875</f>
        <v>0</v>
      </c>
      <c r="P875" s="2155"/>
    </row>
    <row r="876" spans="1:16" s="2105" customFormat="1" outlineLevel="1">
      <c r="A876" s="2182" t="str">
        <f t="shared" si="123"/>
        <v/>
      </c>
      <c r="B876" s="2130" t="s">
        <v>1863</v>
      </c>
      <c r="C876" s="2127"/>
      <c r="D876" s="2120" t="s">
        <v>5548</v>
      </c>
      <c r="E876" s="2121" t="s">
        <v>3253</v>
      </c>
      <c r="F876" s="2120" t="s">
        <v>2532</v>
      </c>
      <c r="G876" s="2184"/>
      <c r="H876" s="2123"/>
      <c r="I876" s="2128"/>
      <c r="J876" s="2123">
        <v>65150.03</v>
      </c>
      <c r="K876" s="2123">
        <v>0</v>
      </c>
      <c r="L876" s="2129">
        <f t="shared" si="110"/>
        <v>0</v>
      </c>
      <c r="M876" s="2129">
        <f t="shared" si="111"/>
        <v>0</v>
      </c>
      <c r="N876" s="2129">
        <f t="shared" si="112"/>
        <v>0</v>
      </c>
      <c r="O876" s="2128">
        <f t="shared" si="113"/>
        <v>0</v>
      </c>
      <c r="P876" s="2155"/>
    </row>
    <row r="877" spans="1:16" s="2105" customFormat="1" outlineLevel="1">
      <c r="A877" s="2182" t="str">
        <f t="shared" si="123"/>
        <v/>
      </c>
      <c r="B877" s="2133" t="s">
        <v>1525</v>
      </c>
      <c r="C877" s="2127"/>
      <c r="D877" s="2120" t="s">
        <v>5571</v>
      </c>
      <c r="E877" s="2121" t="s">
        <v>3292</v>
      </c>
      <c r="F877" s="2120" t="s">
        <v>1823</v>
      </c>
      <c r="G877" s="2184">
        <f>G851+G850</f>
        <v>0</v>
      </c>
      <c r="H877" s="2123"/>
      <c r="I877" s="2128"/>
      <c r="J877" s="2123">
        <v>13915</v>
      </c>
      <c r="K877" s="2123">
        <v>0</v>
      </c>
      <c r="L877" s="2129">
        <f>H877*G877</f>
        <v>0</v>
      </c>
      <c r="M877" s="2129">
        <f>I877*G877</f>
        <v>0</v>
      </c>
      <c r="N877" s="2129">
        <f>J877*G877</f>
        <v>0</v>
      </c>
      <c r="O877" s="2128">
        <f>K877*G877</f>
        <v>0</v>
      </c>
      <c r="P877" s="2155"/>
    </row>
    <row r="878" spans="1:16" s="2105" customFormat="1" outlineLevel="1">
      <c r="A878" s="2182" t="str">
        <f t="shared" si="123"/>
        <v/>
      </c>
      <c r="B878" s="2133" t="s">
        <v>6187</v>
      </c>
      <c r="C878" s="2127"/>
      <c r="D878" s="2120" t="s">
        <v>5493</v>
      </c>
      <c r="E878" s="2121" t="s">
        <v>5501</v>
      </c>
      <c r="F878" s="2120" t="s">
        <v>2037</v>
      </c>
      <c r="G878" s="2184">
        <f>G852/1000</f>
        <v>0</v>
      </c>
      <c r="H878" s="2123"/>
      <c r="I878" s="2128"/>
      <c r="J878" s="2123">
        <v>9637980</v>
      </c>
      <c r="K878" s="2123">
        <v>0</v>
      </c>
      <c r="L878" s="2129">
        <f>H878*G878</f>
        <v>0</v>
      </c>
      <c r="M878" s="2129">
        <f>I878*G878</f>
        <v>0</v>
      </c>
      <c r="N878" s="2129">
        <f>J878*G878</f>
        <v>0</v>
      </c>
      <c r="O878" s="2128">
        <f>K878*G878</f>
        <v>0</v>
      </c>
      <c r="P878" s="2155"/>
    </row>
    <row r="879" spans="1:16" s="2288" customFormat="1" outlineLevel="1">
      <c r="A879" s="2279" t="str">
        <f t="shared" si="123"/>
        <v/>
      </c>
      <c r="B879" s="2280" t="s">
        <v>289</v>
      </c>
      <c r="C879" s="2160">
        <f>IF(G879&gt;0,C848+1,C848)</f>
        <v>0</v>
      </c>
      <c r="D879" s="2281"/>
      <c r="E879" s="2282" t="s">
        <v>5712</v>
      </c>
      <c r="F879" s="2283" t="s">
        <v>2555</v>
      </c>
      <c r="G879" s="2188">
        <f>G788</f>
        <v>0</v>
      </c>
      <c r="H879" s="2284">
        <v>300000</v>
      </c>
      <c r="I879" s="2285"/>
      <c r="J879" s="2284">
        <v>0</v>
      </c>
      <c r="K879" s="2284">
        <v>0</v>
      </c>
      <c r="L879" s="2286">
        <f>H879*G879</f>
        <v>0</v>
      </c>
      <c r="M879" s="2286">
        <f>I879*G879</f>
        <v>0</v>
      </c>
      <c r="N879" s="2286">
        <f>J879*G879</f>
        <v>0</v>
      </c>
      <c r="O879" s="2287">
        <f>K879*G879</f>
        <v>0</v>
      </c>
      <c r="P879" s="2171"/>
    </row>
    <row r="880" spans="1:16" s="2105" customFormat="1" outlineLevel="1">
      <c r="A880" s="2182"/>
      <c r="B880" s="2130"/>
      <c r="C880" s="2160">
        <f>C879+1</f>
        <v>1</v>
      </c>
      <c r="D880" s="2289"/>
      <c r="E880" s="2282" t="s">
        <v>6188</v>
      </c>
      <c r="F880" s="2120"/>
      <c r="G880" s="2290"/>
      <c r="H880" s="2123"/>
      <c r="I880" s="2163"/>
      <c r="J880" s="2123"/>
      <c r="K880" s="2123"/>
      <c r="L880" s="2291"/>
      <c r="M880" s="2291"/>
      <c r="N880" s="2291"/>
      <c r="O880" s="2292"/>
      <c r="P880" s="2155"/>
    </row>
    <row r="881" spans="1:16" s="2105" customFormat="1" outlineLevel="1">
      <c r="A881" s="2182" t="str">
        <f t="shared" ref="A881:A887" si="124">IF(G881&lt;&gt;0,1,"")</f>
        <v/>
      </c>
      <c r="B881" s="2293" t="s">
        <v>5200</v>
      </c>
      <c r="C881" s="2160"/>
      <c r="D881" s="2289"/>
      <c r="E881" s="2294" t="s">
        <v>4761</v>
      </c>
      <c r="F881" s="2120" t="s">
        <v>2555</v>
      </c>
      <c r="G881" s="2184"/>
      <c r="H881" s="2123">
        <v>50000</v>
      </c>
      <c r="I881" s="2163"/>
      <c r="J881" s="2123">
        <v>0</v>
      </c>
      <c r="K881" s="2123">
        <v>0</v>
      </c>
      <c r="L881" s="2291">
        <f t="shared" ref="L881:L887" si="125">H881*G881</f>
        <v>0</v>
      </c>
      <c r="M881" s="2291">
        <f t="shared" ref="M881:M887" si="126">I881*G881</f>
        <v>0</v>
      </c>
      <c r="N881" s="2291">
        <f t="shared" ref="N881:N887" si="127">J881*G881</f>
        <v>0</v>
      </c>
      <c r="O881" s="2292">
        <f t="shared" ref="O881:O887" si="128">K881*G881</f>
        <v>0</v>
      </c>
      <c r="P881" s="2155"/>
    </row>
    <row r="882" spans="1:16" s="2105" customFormat="1" outlineLevel="1">
      <c r="A882" s="2182" t="str">
        <f t="shared" si="124"/>
        <v/>
      </c>
      <c r="B882" s="2295" t="s">
        <v>6189</v>
      </c>
      <c r="C882" s="2160"/>
      <c r="D882" s="2289"/>
      <c r="E882" s="2121" t="s">
        <v>5075</v>
      </c>
      <c r="F882" s="2120" t="s">
        <v>2439</v>
      </c>
      <c r="G882" s="2184"/>
      <c r="H882" s="2123">
        <v>30200</v>
      </c>
      <c r="I882" s="2163"/>
      <c r="J882" s="2123">
        <v>0</v>
      </c>
      <c r="K882" s="2123">
        <v>0</v>
      </c>
      <c r="L882" s="2291">
        <f t="shared" si="125"/>
        <v>0</v>
      </c>
      <c r="M882" s="2291">
        <f t="shared" si="126"/>
        <v>0</v>
      </c>
      <c r="N882" s="2291">
        <f t="shared" si="127"/>
        <v>0</v>
      </c>
      <c r="O882" s="2292">
        <f t="shared" si="128"/>
        <v>0</v>
      </c>
      <c r="P882" s="2155"/>
    </row>
    <row r="883" spans="1:16" s="2105" customFormat="1" outlineLevel="1">
      <c r="A883" s="2182" t="str">
        <f t="shared" si="124"/>
        <v/>
      </c>
      <c r="B883" s="2272" t="s">
        <v>5228</v>
      </c>
      <c r="C883" s="2160"/>
      <c r="D883" s="2289"/>
      <c r="E883" s="2121" t="s">
        <v>5229</v>
      </c>
      <c r="F883" s="2120" t="s">
        <v>5174</v>
      </c>
      <c r="G883" s="2184"/>
      <c r="H883" s="2123">
        <v>86065.309080000006</v>
      </c>
      <c r="I883" s="2163"/>
      <c r="J883" s="2123">
        <v>0</v>
      </c>
      <c r="K883" s="2123">
        <v>0</v>
      </c>
      <c r="L883" s="2291">
        <f t="shared" si="125"/>
        <v>0</v>
      </c>
      <c r="M883" s="2291">
        <f t="shared" si="126"/>
        <v>0</v>
      </c>
      <c r="N883" s="2291">
        <f t="shared" si="127"/>
        <v>0</v>
      </c>
      <c r="O883" s="2292">
        <f t="shared" si="128"/>
        <v>0</v>
      </c>
      <c r="P883" s="2155"/>
    </row>
    <row r="884" spans="1:16" s="2105" customFormat="1" outlineLevel="1">
      <c r="A884" s="2182" t="str">
        <f t="shared" si="124"/>
        <v/>
      </c>
      <c r="B884" s="2293" t="s">
        <v>5200</v>
      </c>
      <c r="C884" s="2160"/>
      <c r="D884" s="2289"/>
      <c r="E884" s="2294" t="s">
        <v>4761</v>
      </c>
      <c r="F884" s="2120" t="s">
        <v>2555</v>
      </c>
      <c r="G884" s="2184"/>
      <c r="H884" s="2123">
        <v>50000</v>
      </c>
      <c r="I884" s="2163"/>
      <c r="J884" s="2123">
        <v>0</v>
      </c>
      <c r="K884" s="2123">
        <v>0</v>
      </c>
      <c r="L884" s="2291">
        <f t="shared" si="125"/>
        <v>0</v>
      </c>
      <c r="M884" s="2291">
        <f t="shared" si="126"/>
        <v>0</v>
      </c>
      <c r="N884" s="2291">
        <f t="shared" si="127"/>
        <v>0</v>
      </c>
      <c r="O884" s="2292">
        <f t="shared" si="128"/>
        <v>0</v>
      </c>
      <c r="P884" s="2155"/>
    </row>
    <row r="885" spans="1:16" s="2105" customFormat="1" outlineLevel="1">
      <c r="A885" s="2182" t="str">
        <f t="shared" si="124"/>
        <v/>
      </c>
      <c r="B885" s="2295" t="s">
        <v>525</v>
      </c>
      <c r="C885" s="2160"/>
      <c r="D885" s="2289"/>
      <c r="E885" s="2121" t="s">
        <v>5252</v>
      </c>
      <c r="F885" s="2120" t="s">
        <v>2439</v>
      </c>
      <c r="G885" s="2184"/>
      <c r="H885" s="2123">
        <v>43000</v>
      </c>
      <c r="I885" s="2163"/>
      <c r="J885" s="2123">
        <v>0</v>
      </c>
      <c r="K885" s="2123">
        <v>0</v>
      </c>
      <c r="L885" s="2291">
        <f t="shared" si="125"/>
        <v>0</v>
      </c>
      <c r="M885" s="2291">
        <f t="shared" si="126"/>
        <v>0</v>
      </c>
      <c r="N885" s="2291">
        <f t="shared" si="127"/>
        <v>0</v>
      </c>
      <c r="O885" s="2292">
        <f t="shared" si="128"/>
        <v>0</v>
      </c>
      <c r="P885" s="2155"/>
    </row>
    <row r="886" spans="1:16" s="2105" customFormat="1" outlineLevel="1">
      <c r="A886" s="2182" t="str">
        <f t="shared" si="124"/>
        <v/>
      </c>
      <c r="B886" s="2272" t="s">
        <v>5228</v>
      </c>
      <c r="C886" s="2160"/>
      <c r="D886" s="2289"/>
      <c r="E886" s="2121" t="s">
        <v>5229</v>
      </c>
      <c r="F886" s="2120" t="s">
        <v>5174</v>
      </c>
      <c r="G886" s="2184"/>
      <c r="H886" s="2123">
        <v>86065.309080000006</v>
      </c>
      <c r="I886" s="2163"/>
      <c r="J886" s="2123">
        <v>0</v>
      </c>
      <c r="K886" s="2123">
        <v>0</v>
      </c>
      <c r="L886" s="2291">
        <f t="shared" si="125"/>
        <v>0</v>
      </c>
      <c r="M886" s="2291">
        <f t="shared" si="126"/>
        <v>0</v>
      </c>
      <c r="N886" s="2291">
        <f t="shared" si="127"/>
        <v>0</v>
      </c>
      <c r="O886" s="2292">
        <f t="shared" si="128"/>
        <v>0</v>
      </c>
      <c r="P886" s="2155"/>
    </row>
    <row r="887" spans="1:16" s="2105" customFormat="1" ht="27.6" outlineLevel="1">
      <c r="A887" s="2182" t="str">
        <f t="shared" si="124"/>
        <v/>
      </c>
      <c r="B887" s="2130" t="s">
        <v>36</v>
      </c>
      <c r="C887" s="2160"/>
      <c r="D887" s="2289"/>
      <c r="E887" s="2278" t="s">
        <v>6336</v>
      </c>
      <c r="F887" s="2120" t="s">
        <v>2555</v>
      </c>
      <c r="G887" s="2184"/>
      <c r="H887" s="2123">
        <v>13000</v>
      </c>
      <c r="I887" s="2163"/>
      <c r="J887" s="2123">
        <v>0</v>
      </c>
      <c r="K887" s="2123">
        <v>0</v>
      </c>
      <c r="L887" s="2291">
        <f t="shared" si="125"/>
        <v>0</v>
      </c>
      <c r="M887" s="2291">
        <f t="shared" si="126"/>
        <v>0</v>
      </c>
      <c r="N887" s="2291">
        <f t="shared" si="127"/>
        <v>0</v>
      </c>
      <c r="O887" s="2292">
        <f t="shared" si="128"/>
        <v>0</v>
      </c>
      <c r="P887" s="2155"/>
    </row>
    <row r="888" spans="1:16" s="2105" customFormat="1" outlineLevel="1">
      <c r="A888" s="2182"/>
      <c r="B888" s="2130"/>
      <c r="C888" s="2160">
        <f>C880+1</f>
        <v>2</v>
      </c>
      <c r="D888" s="2289"/>
      <c r="E888" s="2282" t="s">
        <v>6190</v>
      </c>
      <c r="F888" s="2120"/>
      <c r="G888" s="2290"/>
      <c r="H888" s="2123"/>
      <c r="I888" s="2163"/>
      <c r="J888" s="2123"/>
      <c r="K888" s="2123"/>
      <c r="L888" s="2291"/>
      <c r="M888" s="2291"/>
      <c r="N888" s="2291"/>
      <c r="O888" s="2292"/>
      <c r="P888" s="2155"/>
    </row>
    <row r="889" spans="1:16" s="2105" customFormat="1" outlineLevel="1">
      <c r="A889" s="2182" t="str">
        <f t="shared" ref="A889:A899" si="129">IF(G889&lt;&gt;0,1,"")</f>
        <v/>
      </c>
      <c r="B889" s="2296" t="s">
        <v>1598</v>
      </c>
      <c r="C889" s="2160"/>
      <c r="D889" s="2289"/>
      <c r="E889" s="2294" t="s">
        <v>2888</v>
      </c>
      <c r="F889" s="2120" t="s">
        <v>2555</v>
      </c>
      <c r="G889" s="2184"/>
      <c r="H889" s="2123">
        <v>17000</v>
      </c>
      <c r="I889" s="2163"/>
      <c r="J889" s="2123">
        <v>0</v>
      </c>
      <c r="K889" s="2123">
        <v>0</v>
      </c>
      <c r="L889" s="2291">
        <f t="shared" ref="L889:L899" si="130">H889*G889</f>
        <v>0</v>
      </c>
      <c r="M889" s="2291">
        <f t="shared" ref="M889:M899" si="131">I889*G889</f>
        <v>0</v>
      </c>
      <c r="N889" s="2291">
        <f t="shared" ref="N889:N899" si="132">J889*G889</f>
        <v>0</v>
      </c>
      <c r="O889" s="2292">
        <f t="shared" ref="O889:O899" si="133">K889*G889</f>
        <v>0</v>
      </c>
      <c r="P889" s="2155"/>
    </row>
    <row r="890" spans="1:16" s="2105" customFormat="1" outlineLevel="1">
      <c r="A890" s="2182" t="str">
        <f t="shared" si="129"/>
        <v/>
      </c>
      <c r="B890" s="2133" t="s">
        <v>278</v>
      </c>
      <c r="C890" s="2160"/>
      <c r="D890" s="2289"/>
      <c r="E890" s="2121" t="s">
        <v>2934</v>
      </c>
      <c r="F890" s="2120" t="s">
        <v>2439</v>
      </c>
      <c r="G890" s="2184"/>
      <c r="H890" s="2123">
        <v>147000</v>
      </c>
      <c r="I890" s="2163"/>
      <c r="J890" s="2123">
        <v>0</v>
      </c>
      <c r="K890" s="2123">
        <v>0</v>
      </c>
      <c r="L890" s="2291">
        <f t="shared" si="130"/>
        <v>0</v>
      </c>
      <c r="M890" s="2291">
        <f t="shared" si="131"/>
        <v>0</v>
      </c>
      <c r="N890" s="2291">
        <f t="shared" si="132"/>
        <v>0</v>
      </c>
      <c r="O890" s="2292">
        <f t="shared" si="133"/>
        <v>0</v>
      </c>
      <c r="P890" s="2155"/>
    </row>
    <row r="891" spans="1:16" s="2105" customFormat="1" outlineLevel="1">
      <c r="A891" s="2182" t="str">
        <f t="shared" si="129"/>
        <v/>
      </c>
      <c r="B891" s="2133" t="s">
        <v>1568</v>
      </c>
      <c r="C891" s="2160"/>
      <c r="D891" s="2289"/>
      <c r="E891" s="2121" t="s">
        <v>5227</v>
      </c>
      <c r="F891" s="2120" t="s">
        <v>2439</v>
      </c>
      <c r="G891" s="2184"/>
      <c r="H891" s="2123">
        <v>35000</v>
      </c>
      <c r="I891" s="2163"/>
      <c r="J891" s="2123">
        <v>0</v>
      </c>
      <c r="K891" s="2123">
        <v>0</v>
      </c>
      <c r="L891" s="2291">
        <f>H891*G891</f>
        <v>0</v>
      </c>
      <c r="M891" s="2291">
        <f>I891*G891</f>
        <v>0</v>
      </c>
      <c r="N891" s="2291">
        <f>J891*G891</f>
        <v>0</v>
      </c>
      <c r="O891" s="2292">
        <f>K891*G891</f>
        <v>0</v>
      </c>
      <c r="P891" s="2155"/>
    </row>
    <row r="892" spans="1:16" s="2105" customFormat="1" outlineLevel="1">
      <c r="A892" s="2182" t="str">
        <f t="shared" si="129"/>
        <v/>
      </c>
      <c r="B892" s="2133" t="s">
        <v>6149</v>
      </c>
      <c r="C892" s="2160"/>
      <c r="D892" s="2289"/>
      <c r="E892" s="2121" t="s">
        <v>2645</v>
      </c>
      <c r="F892" s="2120" t="s">
        <v>2439</v>
      </c>
      <c r="G892" s="2184"/>
      <c r="H892" s="2123">
        <v>13400</v>
      </c>
      <c r="I892" s="2163"/>
      <c r="J892" s="2123">
        <v>0</v>
      </c>
      <c r="K892" s="2123">
        <v>0</v>
      </c>
      <c r="L892" s="2291">
        <f>H892*G892</f>
        <v>0</v>
      </c>
      <c r="M892" s="2291">
        <f>I892*G892</f>
        <v>0</v>
      </c>
      <c r="N892" s="2291">
        <f>J892*G892</f>
        <v>0</v>
      </c>
      <c r="O892" s="2292">
        <f>K892*G892</f>
        <v>0</v>
      </c>
      <c r="P892" s="2155"/>
    </row>
    <row r="893" spans="1:16" s="2105" customFormat="1" outlineLevel="1">
      <c r="A893" s="2182" t="str">
        <f t="shared" si="129"/>
        <v/>
      </c>
      <c r="B893" s="2133" t="s">
        <v>6191</v>
      </c>
      <c r="C893" s="2160"/>
      <c r="D893" s="2289"/>
      <c r="E893" s="2121" t="s">
        <v>5251</v>
      </c>
      <c r="F893" s="2120" t="s">
        <v>2439</v>
      </c>
      <c r="G893" s="2184"/>
      <c r="H893" s="2123">
        <v>43000</v>
      </c>
      <c r="I893" s="2163"/>
      <c r="J893" s="2123">
        <v>0</v>
      </c>
      <c r="K893" s="2123">
        <v>0</v>
      </c>
      <c r="L893" s="2291">
        <f>H893*G893</f>
        <v>0</v>
      </c>
      <c r="M893" s="2291">
        <f>I893*G893</f>
        <v>0</v>
      </c>
      <c r="N893" s="2291">
        <f>J893*G893</f>
        <v>0</v>
      </c>
      <c r="O893" s="2292">
        <f>K893*G893</f>
        <v>0</v>
      </c>
      <c r="P893" s="2155"/>
    </row>
    <row r="894" spans="1:16" s="2105" customFormat="1" outlineLevel="1">
      <c r="A894" s="2182" t="str">
        <f t="shared" si="129"/>
        <v/>
      </c>
      <c r="B894" s="2130" t="s">
        <v>211</v>
      </c>
      <c r="C894" s="2160"/>
      <c r="D894" s="2289"/>
      <c r="E894" s="2121" t="s">
        <v>2769</v>
      </c>
      <c r="F894" s="2120" t="s">
        <v>2532</v>
      </c>
      <c r="G894" s="2184"/>
      <c r="H894" s="2123">
        <v>20200</v>
      </c>
      <c r="I894" s="2163"/>
      <c r="J894" s="2123">
        <v>0</v>
      </c>
      <c r="K894" s="2123">
        <v>0</v>
      </c>
      <c r="L894" s="2291">
        <f>H894*G894</f>
        <v>0</v>
      </c>
      <c r="M894" s="2291">
        <f>I894*G894</f>
        <v>0</v>
      </c>
      <c r="N894" s="2291">
        <f>J894*G894</f>
        <v>0</v>
      </c>
      <c r="O894" s="2292">
        <f>K894*G894</f>
        <v>0</v>
      </c>
      <c r="P894" s="2155"/>
    </row>
    <row r="895" spans="1:16" s="2105" customFormat="1" outlineLevel="1">
      <c r="A895" s="2182" t="str">
        <f t="shared" si="129"/>
        <v/>
      </c>
      <c r="B895" s="2297" t="s">
        <v>523</v>
      </c>
      <c r="C895" s="2160"/>
      <c r="D895" s="2289"/>
      <c r="E895" s="2121" t="s">
        <v>2920</v>
      </c>
      <c r="F895" s="2120" t="s">
        <v>2555</v>
      </c>
      <c r="G895" s="2184"/>
      <c r="H895" s="2123">
        <v>18000</v>
      </c>
      <c r="I895" s="2163"/>
      <c r="J895" s="2123">
        <v>0</v>
      </c>
      <c r="K895" s="2123">
        <v>0</v>
      </c>
      <c r="L895" s="2291">
        <f t="shared" si="130"/>
        <v>0</v>
      </c>
      <c r="M895" s="2291">
        <f t="shared" si="131"/>
        <v>0</v>
      </c>
      <c r="N895" s="2291">
        <f t="shared" si="132"/>
        <v>0</v>
      </c>
      <c r="O895" s="2292">
        <f t="shared" si="133"/>
        <v>0</v>
      </c>
      <c r="P895" s="2155"/>
    </row>
    <row r="896" spans="1:16" s="2105" customFormat="1" outlineLevel="1">
      <c r="A896" s="2182" t="str">
        <f t="shared" si="129"/>
        <v/>
      </c>
      <c r="B896" s="2130" t="s">
        <v>672</v>
      </c>
      <c r="C896" s="2160"/>
      <c r="D896" s="2289"/>
      <c r="E896" s="2121" t="s">
        <v>5801</v>
      </c>
      <c r="F896" s="2120" t="s">
        <v>3566</v>
      </c>
      <c r="G896" s="2184"/>
      <c r="H896" s="2123">
        <v>6500</v>
      </c>
      <c r="I896" s="2163"/>
      <c r="J896" s="2123">
        <v>0</v>
      </c>
      <c r="K896" s="2123">
        <v>0</v>
      </c>
      <c r="L896" s="2291">
        <f t="shared" si="130"/>
        <v>0</v>
      </c>
      <c r="M896" s="2291">
        <f t="shared" si="131"/>
        <v>0</v>
      </c>
      <c r="N896" s="2291">
        <f t="shared" si="132"/>
        <v>0</v>
      </c>
      <c r="O896" s="2292">
        <f t="shared" si="133"/>
        <v>0</v>
      </c>
      <c r="P896" s="2155"/>
    </row>
    <row r="897" spans="1:16" s="2105" customFormat="1" outlineLevel="1">
      <c r="A897" s="2182" t="str">
        <f t="shared" si="129"/>
        <v/>
      </c>
      <c r="B897" s="2133" t="s">
        <v>689</v>
      </c>
      <c r="C897" s="2160"/>
      <c r="D897" s="2120" t="s">
        <v>5569</v>
      </c>
      <c r="E897" s="2121" t="s">
        <v>3281</v>
      </c>
      <c r="F897" s="2120" t="s">
        <v>2439</v>
      </c>
      <c r="G897" s="2184"/>
      <c r="H897" s="2123">
        <v>0</v>
      </c>
      <c r="I897" s="2163"/>
      <c r="J897" s="2123">
        <v>112115</v>
      </c>
      <c r="K897" s="2123">
        <v>0</v>
      </c>
      <c r="L897" s="2291">
        <f>H897*G897</f>
        <v>0</v>
      </c>
      <c r="M897" s="2291">
        <f>I897*G897</f>
        <v>0</v>
      </c>
      <c r="N897" s="2291">
        <f>J897*G897</f>
        <v>0</v>
      </c>
      <c r="O897" s="2292">
        <f>K897*G897</f>
        <v>0</v>
      </c>
      <c r="P897" s="2155"/>
    </row>
    <row r="898" spans="1:16" s="2105" customFormat="1" outlineLevel="1">
      <c r="A898" s="2182" t="str">
        <f t="shared" si="129"/>
        <v/>
      </c>
      <c r="B898" s="2133" t="s">
        <v>452</v>
      </c>
      <c r="C898" s="2160"/>
      <c r="D898" s="2120" t="s">
        <v>5568</v>
      </c>
      <c r="E898" s="2121" t="s">
        <v>3280</v>
      </c>
      <c r="F898" s="2120" t="s">
        <v>2439</v>
      </c>
      <c r="G898" s="2184"/>
      <c r="H898" s="2123">
        <v>0</v>
      </c>
      <c r="I898" s="2163"/>
      <c r="J898" s="2123">
        <v>79500</v>
      </c>
      <c r="K898" s="2123">
        <v>0</v>
      </c>
      <c r="L898" s="2291">
        <f t="shared" si="130"/>
        <v>0</v>
      </c>
      <c r="M898" s="2291">
        <f t="shared" si="131"/>
        <v>0</v>
      </c>
      <c r="N898" s="2291">
        <f t="shared" si="132"/>
        <v>0</v>
      </c>
      <c r="O898" s="2292">
        <f t="shared" si="133"/>
        <v>0</v>
      </c>
      <c r="P898" s="2155"/>
    </row>
    <row r="899" spans="1:16" s="2105" customFormat="1" outlineLevel="1">
      <c r="A899" s="2182" t="str">
        <f t="shared" si="129"/>
        <v/>
      </c>
      <c r="B899" s="2133" t="s">
        <v>1895</v>
      </c>
      <c r="C899" s="2160"/>
      <c r="D899" s="2120" t="s">
        <v>5567</v>
      </c>
      <c r="E899" s="2121" t="s">
        <v>3278</v>
      </c>
      <c r="F899" s="2120" t="s">
        <v>2439</v>
      </c>
      <c r="G899" s="2184"/>
      <c r="H899" s="2123">
        <v>115</v>
      </c>
      <c r="I899" s="2163"/>
      <c r="J899" s="2123">
        <v>15471.9</v>
      </c>
      <c r="K899" s="2123">
        <v>0</v>
      </c>
      <c r="L899" s="2291">
        <f t="shared" si="130"/>
        <v>0</v>
      </c>
      <c r="M899" s="2291">
        <f t="shared" si="131"/>
        <v>0</v>
      </c>
      <c r="N899" s="2291">
        <f t="shared" si="132"/>
        <v>0</v>
      </c>
      <c r="O899" s="2292">
        <f t="shared" si="133"/>
        <v>0</v>
      </c>
      <c r="P899" s="2155"/>
    </row>
    <row r="900" spans="1:16" s="2105" customFormat="1" outlineLevel="1">
      <c r="A900" s="2108"/>
      <c r="B900" s="2212"/>
      <c r="C900" s="2135"/>
      <c r="D900" s="2136"/>
      <c r="E900" s="2217"/>
      <c r="F900" s="2629"/>
      <c r="G900" s="2629"/>
      <c r="H900" s="2629"/>
      <c r="I900" s="2629"/>
      <c r="J900" s="2657" t="s">
        <v>6131</v>
      </c>
      <c r="K900" s="2657"/>
      <c r="L900" s="2298">
        <f>SUM(L757:M899)</f>
        <v>0</v>
      </c>
      <c r="M900" s="2298"/>
      <c r="N900" s="2298">
        <f>SUM(N757:O899)</f>
        <v>296544.75</v>
      </c>
      <c r="O900" s="2298">
        <f>SUM(O757:P899)</f>
        <v>0</v>
      </c>
      <c r="P900" s="2299"/>
    </row>
    <row r="901" spans="1:16" s="2105" customFormat="1" outlineLevel="1">
      <c r="A901" s="2149" t="str">
        <f>IF(G907&lt;&gt;0,1,"")</f>
        <v/>
      </c>
      <c r="B901" s="2212"/>
      <c r="C901" s="2149"/>
      <c r="D901" s="2300"/>
      <c r="E901" s="2301"/>
      <c r="F901" s="2630"/>
      <c r="G901" s="2630"/>
      <c r="H901" s="2630"/>
      <c r="I901" s="2630"/>
      <c r="J901" s="2301"/>
      <c r="K901" s="2301"/>
      <c r="L901" s="2302"/>
      <c r="M901" s="2302"/>
      <c r="N901" s="2302"/>
      <c r="O901" s="2302"/>
    </row>
    <row r="902" spans="1:16" s="2105" customFormat="1" outlineLevel="1">
      <c r="A902" s="2149"/>
      <c r="B902" s="2212"/>
      <c r="C902" s="2149"/>
      <c r="D902" s="2300"/>
      <c r="E902" s="2144" t="s">
        <v>6192</v>
      </c>
      <c r="F902" s="2630"/>
      <c r="G902" s="2630"/>
      <c r="H902" s="2630"/>
      <c r="I902" s="2630"/>
      <c r="J902" s="2301"/>
      <c r="K902" s="2301"/>
      <c r="L902" s="2302"/>
      <c r="M902" s="2302"/>
      <c r="N902" s="2302"/>
      <c r="O902" s="2302"/>
    </row>
    <row r="903" spans="1:16" s="2105" customFormat="1" outlineLevel="1">
      <c r="A903" s="2149" t="str">
        <f>A901</f>
        <v/>
      </c>
      <c r="B903" s="2303"/>
      <c r="C903" s="2624" t="str">
        <f>"BẢNG TỔNG HỢP VẬT LIỆU, NHÂN CÔNG, MÁY THI CÔNG: "&amp;K9&amp;" TRẠM 3P_3x50KVA"</f>
        <v>BẢNG TỔNG HỢP VẬT LIỆU, NHÂN CÔNG, MÁY THI CÔNG: 0 TRẠM 3P_3x50KVA</v>
      </c>
      <c r="D903" s="2624"/>
      <c r="E903" s="2624"/>
      <c r="F903" s="2624"/>
      <c r="G903" s="2624"/>
      <c r="H903" s="2624"/>
      <c r="I903" s="2624"/>
      <c r="J903" s="2624"/>
      <c r="K903" s="2624"/>
      <c r="L903" s="2624"/>
      <c r="M903" s="2624"/>
      <c r="N903" s="2624"/>
      <c r="O903" s="2624"/>
    </row>
    <row r="904" spans="1:16" s="2105" customFormat="1" outlineLevel="1">
      <c r="A904" s="2108" t="str">
        <f>A903</f>
        <v/>
      </c>
      <c r="B904" s="2130" t="s">
        <v>6112</v>
      </c>
      <c r="C904" s="2648" t="s">
        <v>1708</v>
      </c>
      <c r="D904" s="2649" t="s">
        <v>2597</v>
      </c>
      <c r="E904" s="2651" t="s">
        <v>2598</v>
      </c>
      <c r="F904" s="2648" t="s">
        <v>2593</v>
      </c>
      <c r="G904" s="2109" t="s">
        <v>6113</v>
      </c>
      <c r="H904" s="2112" t="s">
        <v>6114</v>
      </c>
      <c r="I904" s="2619"/>
      <c r="J904" s="2619"/>
      <c r="K904" s="2620"/>
      <c r="L904" s="2112" t="s">
        <v>6115</v>
      </c>
      <c r="M904" s="2619"/>
      <c r="N904" s="2619"/>
      <c r="O904" s="2620"/>
      <c r="P904" s="2648" t="s">
        <v>2599</v>
      </c>
    </row>
    <row r="905" spans="1:16" s="2105" customFormat="1" outlineLevel="1">
      <c r="A905" s="2108" t="str">
        <f>A904</f>
        <v/>
      </c>
      <c r="B905" s="2130"/>
      <c r="C905" s="2648"/>
      <c r="D905" s="2650"/>
      <c r="E905" s="2652"/>
      <c r="F905" s="2648"/>
      <c r="G905" s="2111" t="s">
        <v>2286</v>
      </c>
      <c r="H905" s="2112" t="s">
        <v>6116</v>
      </c>
      <c r="I905" s="2112" t="s">
        <v>6117</v>
      </c>
      <c r="J905" s="2112" t="s">
        <v>6118</v>
      </c>
      <c r="K905" s="2112" t="s">
        <v>6119</v>
      </c>
      <c r="L905" s="2112" t="s">
        <v>6116</v>
      </c>
      <c r="M905" s="2112" t="s">
        <v>6117</v>
      </c>
      <c r="N905" s="2112" t="s">
        <v>6118</v>
      </c>
      <c r="O905" s="2112" t="s">
        <v>6119</v>
      </c>
      <c r="P905" s="2648"/>
    </row>
    <row r="906" spans="1:16" s="2105" customFormat="1" outlineLevel="1">
      <c r="A906" s="2108" t="str">
        <f>A905</f>
        <v/>
      </c>
      <c r="B906" s="2130"/>
      <c r="C906" s="2113"/>
      <c r="D906" s="2114"/>
      <c r="E906" s="2115" t="s">
        <v>3672</v>
      </c>
      <c r="F906" s="2116"/>
      <c r="G906" s="2116"/>
      <c r="H906" s="2116"/>
      <c r="I906" s="2116"/>
      <c r="J906" s="2116"/>
      <c r="K906" s="2116"/>
      <c r="L906" s="2116"/>
      <c r="M906" s="2116"/>
      <c r="N906" s="2116"/>
      <c r="O906" s="2114"/>
      <c r="P906" s="2117"/>
    </row>
    <row r="907" spans="1:16" s="2105" customFormat="1" outlineLevel="1">
      <c r="A907" s="2108" t="str">
        <f>IF(G907&lt;&gt;0,1,"")</f>
        <v/>
      </c>
      <c r="B907" s="2118" t="str">
        <f>IF($F$8=22,"TR501","TR50")</f>
        <v>TR501</v>
      </c>
      <c r="C907" s="2119">
        <f>IF(G907&gt;0,1,0)</f>
        <v>0</v>
      </c>
      <c r="D907" s="2120" t="s">
        <v>5584</v>
      </c>
      <c r="E907" s="2121" t="s">
        <v>5587</v>
      </c>
      <c r="F907" s="2120" t="s">
        <v>3300</v>
      </c>
      <c r="G907" s="2183">
        <f>K9*3</f>
        <v>0</v>
      </c>
      <c r="H907" s="2123">
        <v>44055000</v>
      </c>
      <c r="I907" s="2123"/>
      <c r="J907" s="2123">
        <v>630187</v>
      </c>
      <c r="K907" s="2123">
        <v>284508</v>
      </c>
      <c r="L907" s="2304">
        <f t="shared" ref="L907:L914" si="134">H907*G907</f>
        <v>0</v>
      </c>
      <c r="M907" s="2304">
        <f t="shared" ref="M907:M913" si="135">I907*G907</f>
        <v>0</v>
      </c>
      <c r="N907" s="2304">
        <f t="shared" ref="N907:N913" si="136">J907*G907</f>
        <v>0</v>
      </c>
      <c r="O907" s="2305">
        <f t="shared" ref="O907:O913" si="137">K907*G907</f>
        <v>0</v>
      </c>
      <c r="P907" s="2169"/>
    </row>
    <row r="908" spans="1:16" s="2105" customFormat="1" outlineLevel="1">
      <c r="A908" s="2108" t="str">
        <f t="shared" ref="A908:A914" si="138">IF(G908&lt;&gt;0,1,"")</f>
        <v/>
      </c>
      <c r="B908" s="2118" t="str">
        <f>"FCO100-"&amp;$F$8</f>
        <v>FCO100-22</v>
      </c>
      <c r="C908" s="2119">
        <f t="shared" ref="C908:C914" si="139">IF(G908&gt;0,C907+1,C907)</f>
        <v>0</v>
      </c>
      <c r="D908" s="2120" t="s">
        <v>5598</v>
      </c>
      <c r="E908" s="2121" t="s">
        <v>95</v>
      </c>
      <c r="F908" s="2120" t="s">
        <v>2555</v>
      </c>
      <c r="G908" s="2184">
        <f>+G907</f>
        <v>0</v>
      </c>
      <c r="H908" s="2123">
        <v>2244280</v>
      </c>
      <c r="I908" s="2123"/>
      <c r="J908" s="2123">
        <v>222639.99999999997</v>
      </c>
      <c r="K908" s="2123">
        <v>0</v>
      </c>
      <c r="L908" s="2304">
        <f t="shared" si="134"/>
        <v>0</v>
      </c>
      <c r="M908" s="2304">
        <f t="shared" si="135"/>
        <v>0</v>
      </c>
      <c r="N908" s="2304">
        <f t="shared" si="136"/>
        <v>0</v>
      </c>
      <c r="O908" s="2305">
        <f t="shared" si="137"/>
        <v>0</v>
      </c>
      <c r="P908" s="2155"/>
    </row>
    <row r="909" spans="1:16" s="2105" customFormat="1" outlineLevel="1">
      <c r="A909" s="2108" t="str">
        <f t="shared" si="138"/>
        <v/>
      </c>
      <c r="B909" s="2130" t="s">
        <v>26</v>
      </c>
      <c r="C909" s="2119">
        <f t="shared" si="139"/>
        <v>0</v>
      </c>
      <c r="D909" s="2120">
        <v>0</v>
      </c>
      <c r="E909" s="2121" t="s">
        <v>3423</v>
      </c>
      <c r="F909" s="2120" t="s">
        <v>2600</v>
      </c>
      <c r="G909" s="2184">
        <f>G908</f>
        <v>0</v>
      </c>
      <c r="H909" s="2123">
        <v>84000</v>
      </c>
      <c r="I909" s="2123"/>
      <c r="J909" s="2123">
        <v>0</v>
      </c>
      <c r="K909" s="2123">
        <v>0</v>
      </c>
      <c r="L909" s="2304">
        <f t="shared" si="134"/>
        <v>0</v>
      </c>
      <c r="M909" s="2304">
        <f t="shared" si="135"/>
        <v>0</v>
      </c>
      <c r="N909" s="2304">
        <f t="shared" si="136"/>
        <v>0</v>
      </c>
      <c r="O909" s="2305">
        <f t="shared" si="137"/>
        <v>0</v>
      </c>
      <c r="P909" s="2155"/>
    </row>
    <row r="910" spans="1:16" s="2105" customFormat="1" outlineLevel="1">
      <c r="A910" s="2108" t="str">
        <f t="shared" si="138"/>
        <v/>
      </c>
      <c r="B910" s="2130" t="str">
        <f>IF($F$6=12,"LA12","LA18")</f>
        <v>LA18</v>
      </c>
      <c r="C910" s="2119">
        <f t="shared" si="139"/>
        <v>0</v>
      </c>
      <c r="D910" s="2120" t="s">
        <v>5602</v>
      </c>
      <c r="E910" s="2121" t="s">
        <v>1193</v>
      </c>
      <c r="F910" s="2120" t="s">
        <v>2555</v>
      </c>
      <c r="G910" s="2184">
        <f>G908</f>
        <v>0</v>
      </c>
      <c r="H910" s="2123">
        <v>1106000</v>
      </c>
      <c r="I910" s="2123"/>
      <c r="J910" s="2123">
        <v>83490</v>
      </c>
      <c r="K910" s="2123">
        <v>0</v>
      </c>
      <c r="L910" s="2304">
        <f t="shared" si="134"/>
        <v>0</v>
      </c>
      <c r="M910" s="2304">
        <f t="shared" si="135"/>
        <v>0</v>
      </c>
      <c r="N910" s="2304">
        <f t="shared" si="136"/>
        <v>0</v>
      </c>
      <c r="O910" s="2305">
        <f t="shared" si="137"/>
        <v>0</v>
      </c>
      <c r="P910" s="2155"/>
    </row>
    <row r="911" spans="1:16" s="2105" customFormat="1" outlineLevel="1">
      <c r="A911" s="2108" t="str">
        <f t="shared" si="138"/>
        <v/>
      </c>
      <c r="B911" s="2118" t="s">
        <v>710</v>
      </c>
      <c r="C911" s="2119">
        <f t="shared" si="139"/>
        <v>0</v>
      </c>
      <c r="D911" s="2120">
        <v>0</v>
      </c>
      <c r="E911" s="2121" t="s">
        <v>5682</v>
      </c>
      <c r="F911" s="2120" t="s">
        <v>2555</v>
      </c>
      <c r="G911" s="2306">
        <f>G907/3</f>
        <v>0</v>
      </c>
      <c r="H911" s="2123">
        <v>4990000</v>
      </c>
      <c r="I911" s="2123"/>
      <c r="J911" s="2123"/>
      <c r="K911" s="2123">
        <v>0</v>
      </c>
      <c r="L911" s="2129">
        <f t="shared" si="134"/>
        <v>0</v>
      </c>
      <c r="M911" s="2304">
        <f t="shared" si="135"/>
        <v>0</v>
      </c>
      <c r="N911" s="2304">
        <f t="shared" si="136"/>
        <v>0</v>
      </c>
      <c r="O911" s="2305">
        <f t="shared" si="137"/>
        <v>0</v>
      </c>
      <c r="P911" s="2155"/>
    </row>
    <row r="912" spans="1:16" s="2105" customFormat="1" outlineLevel="1">
      <c r="A912" s="2108" t="str">
        <f>IF(G912&lt;&gt;0,1,"")</f>
        <v/>
      </c>
      <c r="B912" s="2118" t="s">
        <v>2192</v>
      </c>
      <c r="C912" s="2119">
        <f t="shared" si="139"/>
        <v>0</v>
      </c>
      <c r="D912" s="2120" t="s">
        <v>1025</v>
      </c>
      <c r="E912" s="2121" t="s">
        <v>3383</v>
      </c>
      <c r="F912" s="2120" t="s">
        <v>3370</v>
      </c>
      <c r="G912" s="2307">
        <f>+G911*0</f>
        <v>0</v>
      </c>
      <c r="H912" s="2123">
        <v>9797887</v>
      </c>
      <c r="I912" s="2123"/>
      <c r="J912" s="2123">
        <v>98101</v>
      </c>
      <c r="K912" s="2123">
        <v>59254</v>
      </c>
      <c r="L912" s="2129">
        <f>H912*G912</f>
        <v>0</v>
      </c>
      <c r="M912" s="2304">
        <f>I912*G912</f>
        <v>0</v>
      </c>
      <c r="N912" s="2304">
        <f>J912*G912</f>
        <v>0</v>
      </c>
      <c r="O912" s="2305">
        <f>K912*G912</f>
        <v>0</v>
      </c>
      <c r="P912" s="2155"/>
    </row>
    <row r="913" spans="1:18" s="2105" customFormat="1" outlineLevel="1">
      <c r="A913" s="2108" t="str">
        <f t="shared" si="138"/>
        <v/>
      </c>
      <c r="B913" s="2159" t="s">
        <v>1116</v>
      </c>
      <c r="C913" s="2119">
        <f t="shared" si="139"/>
        <v>0</v>
      </c>
      <c r="D913" s="2120">
        <v>0</v>
      </c>
      <c r="E913" s="2121" t="s">
        <v>3359</v>
      </c>
      <c r="F913" s="2120" t="s">
        <v>2555</v>
      </c>
      <c r="G913" s="2184">
        <f>G907</f>
        <v>0</v>
      </c>
      <c r="H913" s="2123">
        <v>0</v>
      </c>
      <c r="I913" s="2123"/>
      <c r="J913" s="2123">
        <v>0</v>
      </c>
      <c r="K913" s="2123">
        <v>0</v>
      </c>
      <c r="L913" s="2129">
        <f t="shared" si="134"/>
        <v>0</v>
      </c>
      <c r="M913" s="2304">
        <f t="shared" si="135"/>
        <v>0</v>
      </c>
      <c r="N913" s="2304">
        <f t="shared" si="136"/>
        <v>0</v>
      </c>
      <c r="O913" s="2305">
        <f t="shared" si="137"/>
        <v>0</v>
      </c>
      <c r="P913" s="2127" t="s">
        <v>2601</v>
      </c>
    </row>
    <row r="914" spans="1:18" s="2105" customFormat="1" outlineLevel="1">
      <c r="A914" s="2108" t="str">
        <f t="shared" si="138"/>
        <v/>
      </c>
      <c r="B914" s="2133" t="s">
        <v>288</v>
      </c>
      <c r="C914" s="2119">
        <f t="shared" si="139"/>
        <v>0</v>
      </c>
      <c r="D914" s="2120">
        <v>0</v>
      </c>
      <c r="E914" s="2121" t="s">
        <v>3441</v>
      </c>
      <c r="F914" s="2120" t="s">
        <v>2555</v>
      </c>
      <c r="G914" s="2184">
        <f>G909/3</f>
        <v>0</v>
      </c>
      <c r="H914" s="2123">
        <v>0</v>
      </c>
      <c r="I914" s="2123"/>
      <c r="J914" s="2123">
        <v>0</v>
      </c>
      <c r="K914" s="2123">
        <v>0</v>
      </c>
      <c r="L914" s="2129">
        <f t="shared" si="134"/>
        <v>0</v>
      </c>
      <c r="M914" s="2304">
        <f>I914*G914</f>
        <v>0</v>
      </c>
      <c r="N914" s="2304">
        <f>J914*G914</f>
        <v>0</v>
      </c>
      <c r="O914" s="2305">
        <f>K914*G914</f>
        <v>0</v>
      </c>
      <c r="P914" s="2127" t="s">
        <v>2601</v>
      </c>
    </row>
    <row r="915" spans="1:18" s="2105" customFormat="1" outlineLevel="1">
      <c r="A915" s="2108" t="str">
        <f>A914</f>
        <v/>
      </c>
      <c r="B915" s="2130"/>
      <c r="C915" s="2308"/>
      <c r="D915" s="2309"/>
      <c r="E915" s="2310"/>
      <c r="F915" s="2308"/>
      <c r="G915" s="2628"/>
      <c r="H915" s="2308"/>
      <c r="I915" s="2308"/>
      <c r="J915" s="2117" t="s">
        <v>6121</v>
      </c>
      <c r="K915" s="2308"/>
      <c r="L915" s="2310">
        <f>SUM(L907:L914)</f>
        <v>0</v>
      </c>
      <c r="M915" s="2310"/>
      <c r="N915" s="2310">
        <f>SUM(N907:N914)</f>
        <v>0</v>
      </c>
      <c r="O915" s="2310">
        <f>SUM(O907:O914)</f>
        <v>0</v>
      </c>
      <c r="P915" s="2299"/>
    </row>
    <row r="916" spans="1:18" s="2105" customFormat="1" outlineLevel="1">
      <c r="A916" s="2108" t="str">
        <f>A915</f>
        <v/>
      </c>
      <c r="B916" s="2130"/>
      <c r="C916" s="2311"/>
      <c r="D916" s="2312"/>
      <c r="E916" s="2313" t="s">
        <v>3673</v>
      </c>
      <c r="F916" s="2313"/>
      <c r="G916" s="2217"/>
      <c r="H916" s="2313"/>
      <c r="I916" s="2313"/>
      <c r="J916" s="2313"/>
      <c r="K916" s="2313"/>
      <c r="L916" s="2313"/>
      <c r="M916" s="2313"/>
      <c r="N916" s="2313"/>
      <c r="O916" s="2312"/>
      <c r="P916" s="2170"/>
    </row>
    <row r="917" spans="1:18" s="2105" customFormat="1" outlineLevel="1">
      <c r="A917" s="2108" t="str">
        <f>A916</f>
        <v/>
      </c>
      <c r="B917" s="2130"/>
      <c r="C917" s="2140">
        <f>IF(G917&gt;0,1,0)</f>
        <v>0</v>
      </c>
      <c r="D917" s="2314"/>
      <c r="E917" s="2315" t="s">
        <v>3692</v>
      </c>
      <c r="F917" s="2140" t="s">
        <v>2385</v>
      </c>
      <c r="G917" s="2316">
        <f>G907/3</f>
        <v>0</v>
      </c>
      <c r="H917" s="2317"/>
      <c r="I917" s="2317"/>
      <c r="J917" s="2317"/>
      <c r="K917" s="2317"/>
      <c r="L917" s="2317"/>
      <c r="M917" s="2317"/>
      <c r="N917" s="2317"/>
      <c r="O917" s="2140"/>
      <c r="P917" s="2169"/>
    </row>
    <row r="918" spans="1:18" s="2105" customFormat="1" ht="14.4" outlineLevel="1">
      <c r="A918" s="2108" t="str">
        <f>A917</f>
        <v/>
      </c>
      <c r="B918" s="2130"/>
      <c r="C918" s="2145"/>
      <c r="D918" s="2318"/>
      <c r="E918" s="2319" t="s">
        <v>6133</v>
      </c>
      <c r="F918" s="2119"/>
      <c r="G918" s="2320"/>
      <c r="H918" s="2321"/>
      <c r="I918" s="2321"/>
      <c r="J918" s="2321"/>
      <c r="K918" s="2321"/>
      <c r="L918" s="2321"/>
      <c r="M918" s="2321"/>
      <c r="N918" s="2321"/>
      <c r="O918" s="2322"/>
      <c r="P918" s="2155"/>
    </row>
    <row r="919" spans="1:18" s="2105" customFormat="1" outlineLevel="1">
      <c r="A919" s="2108" t="str">
        <f>IF(G919&lt;&gt;0,1,"")</f>
        <v/>
      </c>
      <c r="B919" s="2133" t="s">
        <v>1041</v>
      </c>
      <c r="C919" s="2145"/>
      <c r="D919" s="2120">
        <v>0</v>
      </c>
      <c r="E919" s="2121" t="s">
        <v>5717</v>
      </c>
      <c r="F919" s="2120" t="s">
        <v>3457</v>
      </c>
      <c r="G919" s="2320">
        <f>G917</f>
        <v>0</v>
      </c>
      <c r="H919" s="2123">
        <v>1540000</v>
      </c>
      <c r="I919" s="2128"/>
      <c r="J919" s="2123"/>
      <c r="K919" s="2123">
        <v>0</v>
      </c>
      <c r="L919" s="2304">
        <f t="shared" ref="L919:L973" si="140">H919*G919</f>
        <v>0</v>
      </c>
      <c r="M919" s="2304">
        <f t="shared" ref="M919:M973" si="141">I919*G919</f>
        <v>0</v>
      </c>
      <c r="N919" s="2304">
        <f t="shared" ref="N919:N973" si="142">J919*G919</f>
        <v>0</v>
      </c>
      <c r="O919" s="2305">
        <f t="shared" ref="O919:O973" si="143">K919*G919</f>
        <v>0</v>
      </c>
      <c r="P919" s="2155"/>
    </row>
    <row r="920" spans="1:18" s="2105" customFormat="1" outlineLevel="1">
      <c r="A920" s="2108" t="str">
        <f>IF(G920&lt;&gt;0,1,"")</f>
        <v/>
      </c>
      <c r="B920" s="2130" t="s">
        <v>1786</v>
      </c>
      <c r="C920" s="2145"/>
      <c r="D920" s="2120">
        <v>0</v>
      </c>
      <c r="E920" s="2121" t="s">
        <v>2639</v>
      </c>
      <c r="F920" s="2120" t="s">
        <v>2439</v>
      </c>
      <c r="G920" s="2320">
        <f>6*G917</f>
        <v>0</v>
      </c>
      <c r="H920" s="2123">
        <v>12400</v>
      </c>
      <c r="I920" s="2128"/>
      <c r="J920" s="2123">
        <v>0</v>
      </c>
      <c r="K920" s="2123">
        <v>0</v>
      </c>
      <c r="L920" s="2304">
        <f t="shared" si="140"/>
        <v>0</v>
      </c>
      <c r="M920" s="2304">
        <f t="shared" si="141"/>
        <v>0</v>
      </c>
      <c r="N920" s="2304">
        <f t="shared" si="142"/>
        <v>0</v>
      </c>
      <c r="O920" s="2305">
        <f t="shared" si="143"/>
        <v>0</v>
      </c>
      <c r="P920" s="2155"/>
    </row>
    <row r="921" spans="1:18" s="2105" customFormat="1" outlineLevel="1">
      <c r="A921" s="2108" t="str">
        <f>IF(G921&lt;&gt;0,1,"")</f>
        <v/>
      </c>
      <c r="B921" s="2130" t="s">
        <v>1610</v>
      </c>
      <c r="C921" s="2145"/>
      <c r="D921" s="2120">
        <v>0</v>
      </c>
      <c r="E921" s="2121" t="s">
        <v>2649</v>
      </c>
      <c r="F921" s="2120" t="s">
        <v>2439</v>
      </c>
      <c r="G921" s="2320">
        <f>2*G917</f>
        <v>0</v>
      </c>
      <c r="H921" s="2123">
        <v>25400</v>
      </c>
      <c r="I921" s="2128"/>
      <c r="J921" s="2123">
        <v>0</v>
      </c>
      <c r="K921" s="2123">
        <v>0</v>
      </c>
      <c r="L921" s="2304">
        <f>H921*G921</f>
        <v>0</v>
      </c>
      <c r="M921" s="2304">
        <f>I921*G921</f>
        <v>0</v>
      </c>
      <c r="N921" s="2304">
        <f>J921*G921</f>
        <v>0</v>
      </c>
      <c r="O921" s="2305">
        <f>K921*G921</f>
        <v>0</v>
      </c>
      <c r="P921" s="2155"/>
    </row>
    <row r="922" spans="1:18" s="2105" customFormat="1" outlineLevel="1">
      <c r="A922" s="2108" t="str">
        <f>IF(G922&lt;&gt;0,1,"")</f>
        <v/>
      </c>
      <c r="B922" s="2133" t="s">
        <v>5720</v>
      </c>
      <c r="C922" s="2145"/>
      <c r="D922" s="2120" t="s">
        <v>5426</v>
      </c>
      <c r="E922" s="2121" t="s">
        <v>5721</v>
      </c>
      <c r="F922" s="2120" t="s">
        <v>3457</v>
      </c>
      <c r="G922" s="2320">
        <f>45*G917</f>
        <v>0</v>
      </c>
      <c r="H922" s="2123">
        <v>0</v>
      </c>
      <c r="I922" s="2128"/>
      <c r="J922" s="2123">
        <v>2025</v>
      </c>
      <c r="K922" s="2123">
        <v>0</v>
      </c>
      <c r="L922" s="2304">
        <f t="shared" si="140"/>
        <v>0</v>
      </c>
      <c r="M922" s="2304">
        <f t="shared" si="141"/>
        <v>0</v>
      </c>
      <c r="N922" s="2304">
        <f t="shared" si="142"/>
        <v>0</v>
      </c>
      <c r="O922" s="2305">
        <f t="shared" si="143"/>
        <v>0</v>
      </c>
      <c r="P922" s="2155"/>
    </row>
    <row r="923" spans="1:18" s="2105" customFormat="1" outlineLevel="1">
      <c r="A923" s="2108">
        <f>IF(G923&lt;&gt;0,1,)</f>
        <v>0</v>
      </c>
      <c r="B923" s="2130"/>
      <c r="C923" s="2145">
        <f>IF(G923&gt;0,C917+1,C917)</f>
        <v>0</v>
      </c>
      <c r="D923" s="2146"/>
      <c r="E923" s="2147" t="s">
        <v>6138</v>
      </c>
      <c r="F923" s="2142" t="s">
        <v>2385</v>
      </c>
      <c r="G923" s="2142"/>
      <c r="H923" s="2128"/>
      <c r="I923" s="2128"/>
      <c r="J923" s="2128"/>
      <c r="K923" s="2128"/>
      <c r="L923" s="2129">
        <f t="shared" si="140"/>
        <v>0</v>
      </c>
      <c r="M923" s="2129">
        <f t="shared" si="141"/>
        <v>0</v>
      </c>
      <c r="N923" s="2129">
        <f t="shared" si="142"/>
        <v>0</v>
      </c>
      <c r="O923" s="2128">
        <f t="shared" si="143"/>
        <v>0</v>
      </c>
      <c r="P923" s="2127"/>
    </row>
    <row r="924" spans="1:18" s="2105" customFormat="1" ht="14.4" outlineLevel="1">
      <c r="A924" s="2108">
        <f>A923</f>
        <v>0</v>
      </c>
      <c r="B924" s="2130"/>
      <c r="C924" s="2142"/>
      <c r="D924" s="2146"/>
      <c r="E924" s="2148" t="s">
        <v>6133</v>
      </c>
      <c r="F924" s="2127"/>
      <c r="G924" s="2127"/>
      <c r="H924" s="2128"/>
      <c r="I924" s="2128"/>
      <c r="J924" s="2128"/>
      <c r="K924" s="2128"/>
      <c r="L924" s="2129">
        <f t="shared" si="140"/>
        <v>0</v>
      </c>
      <c r="M924" s="2129">
        <f t="shared" si="141"/>
        <v>0</v>
      </c>
      <c r="N924" s="2129">
        <f t="shared" si="142"/>
        <v>0</v>
      </c>
      <c r="O924" s="2128">
        <f t="shared" si="143"/>
        <v>0</v>
      </c>
      <c r="P924" s="2127"/>
      <c r="R924" s="2149"/>
    </row>
    <row r="925" spans="1:18" s="2105" customFormat="1" outlineLevel="1">
      <c r="A925" s="2108">
        <f>IF(G925&lt;&gt;0,1,)</f>
        <v>0</v>
      </c>
      <c r="B925" s="2133" t="s">
        <v>115</v>
      </c>
      <c r="C925" s="2127"/>
      <c r="D925" s="2120">
        <v>0</v>
      </c>
      <c r="E925" s="2121" t="s">
        <v>2992</v>
      </c>
      <c r="F925" s="2120" t="s">
        <v>2831</v>
      </c>
      <c r="G925" s="2127">
        <f>1*G923</f>
        <v>0</v>
      </c>
      <c r="H925" s="2123">
        <v>4400000</v>
      </c>
      <c r="I925" s="2123"/>
      <c r="J925" s="2123">
        <v>0</v>
      </c>
      <c r="K925" s="2123">
        <v>0</v>
      </c>
      <c r="L925" s="2129">
        <f t="shared" si="140"/>
        <v>0</v>
      </c>
      <c r="M925" s="2129">
        <f t="shared" si="141"/>
        <v>0</v>
      </c>
      <c r="N925" s="2129">
        <f t="shared" si="142"/>
        <v>0</v>
      </c>
      <c r="O925" s="2128">
        <f t="shared" si="143"/>
        <v>0</v>
      </c>
      <c r="P925" s="2127"/>
      <c r="R925" s="2149"/>
    </row>
    <row r="926" spans="1:18" s="2105" customFormat="1" outlineLevel="1">
      <c r="A926" s="2108">
        <f>IF(G926&lt;&gt;0,1,)</f>
        <v>0</v>
      </c>
      <c r="B926" s="2133" t="s">
        <v>1814</v>
      </c>
      <c r="C926" s="2127"/>
      <c r="D926" s="2150"/>
      <c r="E926" s="2121" t="s">
        <v>2830</v>
      </c>
      <c r="F926" s="2120" t="s">
        <v>2831</v>
      </c>
      <c r="G926" s="2127">
        <f>G925</f>
        <v>0</v>
      </c>
      <c r="H926" s="2123">
        <v>17400</v>
      </c>
      <c r="I926" s="2123"/>
      <c r="J926" s="2123">
        <v>0</v>
      </c>
      <c r="K926" s="2123">
        <v>0</v>
      </c>
      <c r="L926" s="2129">
        <f t="shared" si="140"/>
        <v>0</v>
      </c>
      <c r="M926" s="2129">
        <f t="shared" si="141"/>
        <v>0</v>
      </c>
      <c r="N926" s="2129">
        <f t="shared" si="142"/>
        <v>0</v>
      </c>
      <c r="O926" s="2128">
        <f t="shared" si="143"/>
        <v>0</v>
      </c>
      <c r="P926" s="2127"/>
      <c r="R926" s="2149"/>
    </row>
    <row r="927" spans="1:18" s="2105" customFormat="1" outlineLevel="1">
      <c r="A927" s="2108">
        <f>IF(G927&lt;&gt;0,1,)</f>
        <v>0</v>
      </c>
      <c r="B927" s="2133" t="s">
        <v>2126</v>
      </c>
      <c r="C927" s="2127"/>
      <c r="D927" s="2150"/>
      <c r="E927" s="2121" t="s">
        <v>3167</v>
      </c>
      <c r="F927" s="2120" t="s">
        <v>2831</v>
      </c>
      <c r="G927" s="2127">
        <f>G925</f>
        <v>0</v>
      </c>
      <c r="H927" s="2123">
        <v>0</v>
      </c>
      <c r="I927" s="2123"/>
      <c r="J927" s="2123">
        <v>112286</v>
      </c>
      <c r="K927" s="2123">
        <v>105970</v>
      </c>
      <c r="L927" s="2129">
        <f t="shared" si="140"/>
        <v>0</v>
      </c>
      <c r="M927" s="2129">
        <f t="shared" si="141"/>
        <v>0</v>
      </c>
      <c r="N927" s="2129">
        <f t="shared" si="142"/>
        <v>0</v>
      </c>
      <c r="O927" s="2128">
        <f t="shared" si="143"/>
        <v>0</v>
      </c>
      <c r="P927" s="2127"/>
      <c r="R927" s="2149"/>
    </row>
    <row r="928" spans="1:18" s="2105" customFormat="1" outlineLevel="1">
      <c r="A928" s="2108">
        <f>IF(G928&lt;&gt;0,1,)</f>
        <v>0</v>
      </c>
      <c r="B928" s="2130"/>
      <c r="C928" s="2145">
        <f>IF(G928&gt;0,C923+1,C923)</f>
        <v>0</v>
      </c>
      <c r="D928" s="2146"/>
      <c r="E928" s="2147" t="s">
        <v>2352</v>
      </c>
      <c r="F928" s="2142" t="s">
        <v>2385</v>
      </c>
      <c r="G928" s="2142">
        <f>G923</f>
        <v>0</v>
      </c>
      <c r="H928" s="2128"/>
      <c r="I928" s="2128"/>
      <c r="J928" s="2128"/>
      <c r="K928" s="2128"/>
      <c r="L928" s="2129">
        <f t="shared" si="140"/>
        <v>0</v>
      </c>
      <c r="M928" s="2129">
        <f t="shared" si="141"/>
        <v>0</v>
      </c>
      <c r="N928" s="2129">
        <f t="shared" si="142"/>
        <v>0</v>
      </c>
      <c r="O928" s="2128">
        <f t="shared" si="143"/>
        <v>0</v>
      </c>
      <c r="P928" s="2127"/>
    </row>
    <row r="929" spans="1:18" s="2105" customFormat="1" ht="14.4" outlineLevel="1">
      <c r="A929" s="2108">
        <f>A928</f>
        <v>0</v>
      </c>
      <c r="B929" s="2130"/>
      <c r="C929" s="2142"/>
      <c r="D929" s="2146"/>
      <c r="E929" s="2148" t="s">
        <v>6133</v>
      </c>
      <c r="F929" s="2127"/>
      <c r="G929" s="2127"/>
      <c r="H929" s="2128"/>
      <c r="I929" s="2128"/>
      <c r="J929" s="2128"/>
      <c r="K929" s="2128"/>
      <c r="L929" s="2129">
        <f t="shared" si="140"/>
        <v>0</v>
      </c>
      <c r="M929" s="2129">
        <f t="shared" si="141"/>
        <v>0</v>
      </c>
      <c r="N929" s="2129">
        <f t="shared" si="142"/>
        <v>0</v>
      </c>
      <c r="O929" s="2128">
        <f t="shared" si="143"/>
        <v>0</v>
      </c>
      <c r="P929" s="2127"/>
      <c r="R929" s="2149"/>
    </row>
    <row r="930" spans="1:18" s="2105" customFormat="1" outlineLevel="1">
      <c r="A930" s="2108">
        <f>IF(G930&lt;&gt;0,1,)</f>
        <v>0</v>
      </c>
      <c r="B930" s="2133" t="s">
        <v>636</v>
      </c>
      <c r="C930" s="2127"/>
      <c r="D930" s="2120" t="s">
        <v>5047</v>
      </c>
      <c r="E930" s="2121" t="s">
        <v>2607</v>
      </c>
      <c r="F930" s="2120" t="s">
        <v>2555</v>
      </c>
      <c r="G930" s="2127">
        <f>1*G928</f>
        <v>0</v>
      </c>
      <c r="H930" s="2123">
        <v>354545</v>
      </c>
      <c r="I930" s="2123"/>
      <c r="J930" s="2123">
        <v>37220.25</v>
      </c>
      <c r="K930" s="2123">
        <v>0</v>
      </c>
      <c r="L930" s="2129">
        <f t="shared" si="140"/>
        <v>0</v>
      </c>
      <c r="M930" s="2129">
        <f t="shared" si="141"/>
        <v>0</v>
      </c>
      <c r="N930" s="2129">
        <f t="shared" si="142"/>
        <v>0</v>
      </c>
      <c r="O930" s="2128">
        <f t="shared" si="143"/>
        <v>0</v>
      </c>
      <c r="P930" s="2127"/>
      <c r="R930" s="2149"/>
    </row>
    <row r="931" spans="1:18" s="2105" customFormat="1" outlineLevel="1">
      <c r="A931" s="2108">
        <f>IF(G931&lt;&gt;0,1,)</f>
        <v>0</v>
      </c>
      <c r="B931" s="2133" t="s">
        <v>566</v>
      </c>
      <c r="C931" s="2127"/>
      <c r="D931" s="2120">
        <v>0</v>
      </c>
      <c r="E931" s="2121" t="s">
        <v>5072</v>
      </c>
      <c r="F931" s="2120" t="s">
        <v>2439</v>
      </c>
      <c r="G931" s="2127">
        <f>G928</f>
        <v>0</v>
      </c>
      <c r="H931" s="2123">
        <v>92200</v>
      </c>
      <c r="I931" s="2123"/>
      <c r="J931" s="2123">
        <v>0</v>
      </c>
      <c r="K931" s="2123">
        <v>0</v>
      </c>
      <c r="L931" s="2129">
        <f t="shared" si="140"/>
        <v>0</v>
      </c>
      <c r="M931" s="2129">
        <f t="shared" si="141"/>
        <v>0</v>
      </c>
      <c r="N931" s="2129">
        <f t="shared" si="142"/>
        <v>0</v>
      </c>
      <c r="O931" s="2128">
        <f t="shared" si="143"/>
        <v>0</v>
      </c>
      <c r="P931" s="2127"/>
      <c r="R931" s="2149"/>
    </row>
    <row r="932" spans="1:18" s="2105" customFormat="1" outlineLevel="1">
      <c r="A932" s="2108">
        <f>IF(G932&lt;&gt;0,1,)</f>
        <v>0</v>
      </c>
      <c r="B932" s="2133" t="s">
        <v>639</v>
      </c>
      <c r="C932" s="2127"/>
      <c r="D932" s="2120" t="s">
        <v>1747</v>
      </c>
      <c r="E932" s="2121" t="s">
        <v>5324</v>
      </c>
      <c r="F932" s="2120" t="s">
        <v>856</v>
      </c>
      <c r="G932" s="2151">
        <f>G928*0.87</f>
        <v>0</v>
      </c>
      <c r="H932" s="2123">
        <v>0</v>
      </c>
      <c r="I932" s="2123"/>
      <c r="J932" s="2123">
        <v>296500.89999999997</v>
      </c>
      <c r="K932" s="2123">
        <v>0</v>
      </c>
      <c r="L932" s="2129">
        <f t="shared" si="140"/>
        <v>0</v>
      </c>
      <c r="M932" s="2129">
        <f t="shared" si="141"/>
        <v>0</v>
      </c>
      <c r="N932" s="2129">
        <f t="shared" si="142"/>
        <v>0</v>
      </c>
      <c r="O932" s="2128">
        <f t="shared" si="143"/>
        <v>0</v>
      </c>
      <c r="P932" s="2127"/>
      <c r="R932" s="2149"/>
    </row>
    <row r="933" spans="1:18" s="2105" customFormat="1" outlineLevel="1">
      <c r="A933" s="2108">
        <f>IF(G933&lt;&gt;0,1,)</f>
        <v>0</v>
      </c>
      <c r="B933" s="2133" t="s">
        <v>21</v>
      </c>
      <c r="C933" s="2127"/>
      <c r="D933" s="2120" t="s">
        <v>5325</v>
      </c>
      <c r="E933" s="2121" t="s">
        <v>5326</v>
      </c>
      <c r="F933" s="2120" t="s">
        <v>856</v>
      </c>
      <c r="G933" s="2151">
        <f>G928*0.79</f>
        <v>0</v>
      </c>
      <c r="H933" s="2123">
        <v>0</v>
      </c>
      <c r="I933" s="2123"/>
      <c r="J933" s="2123">
        <v>117703.6</v>
      </c>
      <c r="K933" s="2123">
        <v>0</v>
      </c>
      <c r="L933" s="2129">
        <f t="shared" si="140"/>
        <v>0</v>
      </c>
      <c r="M933" s="2129">
        <f t="shared" si="141"/>
        <v>0</v>
      </c>
      <c r="N933" s="2129">
        <f t="shared" si="142"/>
        <v>0</v>
      </c>
      <c r="O933" s="2128">
        <f t="shared" si="143"/>
        <v>0</v>
      </c>
      <c r="P933" s="2127"/>
      <c r="R933" s="2149"/>
    </row>
    <row r="934" spans="1:18" s="2105" customFormat="1" outlineLevel="1">
      <c r="A934" s="2108">
        <f>IF(G934&lt;&gt;0,1,0)</f>
        <v>0</v>
      </c>
      <c r="B934" s="2133" t="s">
        <v>6159</v>
      </c>
      <c r="C934" s="2142">
        <f>IF(G934&gt;0,C928+1,C928)</f>
        <v>0</v>
      </c>
      <c r="D934" s="2202"/>
      <c r="E934" s="2171" t="s">
        <v>6160</v>
      </c>
      <c r="F934" s="2142" t="s">
        <v>2385</v>
      </c>
      <c r="G934" s="2193">
        <f>G907/3</f>
        <v>0</v>
      </c>
      <c r="H934" s="2128"/>
      <c r="I934" s="2128"/>
      <c r="J934" s="2128"/>
      <c r="K934" s="2128"/>
      <c r="L934" s="2129">
        <f t="shared" si="140"/>
        <v>0</v>
      </c>
      <c r="M934" s="2129">
        <f t="shared" si="141"/>
        <v>0</v>
      </c>
      <c r="N934" s="2129">
        <f t="shared" si="142"/>
        <v>0</v>
      </c>
      <c r="O934" s="2128">
        <f t="shared" si="143"/>
        <v>0</v>
      </c>
      <c r="P934" s="2155"/>
    </row>
    <row r="935" spans="1:18" s="2105" customFormat="1" ht="14.4" outlineLevel="1">
      <c r="A935" s="2108">
        <f>A934</f>
        <v>0</v>
      </c>
      <c r="B935" s="2130"/>
      <c r="C935" s="2142"/>
      <c r="D935" s="2202"/>
      <c r="E935" s="2172" t="s">
        <v>6133</v>
      </c>
      <c r="F935" s="2127"/>
      <c r="G935" s="2323"/>
      <c r="H935" s="2128"/>
      <c r="I935" s="2128"/>
      <c r="J935" s="2128"/>
      <c r="K935" s="2128"/>
      <c r="L935" s="2129">
        <f t="shared" si="140"/>
        <v>0</v>
      </c>
      <c r="M935" s="2129">
        <f t="shared" si="141"/>
        <v>0</v>
      </c>
      <c r="N935" s="2129">
        <f t="shared" si="142"/>
        <v>0</v>
      </c>
      <c r="O935" s="2128">
        <f t="shared" si="143"/>
        <v>0</v>
      </c>
      <c r="P935" s="2155"/>
    </row>
    <row r="936" spans="1:18" s="2105" customFormat="1" outlineLevel="1">
      <c r="A936" s="2108">
        <f t="shared" ref="A936:A941" si="144">IF(G936&lt;&gt;0,1,0)</f>
        <v>0</v>
      </c>
      <c r="B936" s="2133" t="s">
        <v>5151</v>
      </c>
      <c r="C936" s="2142"/>
      <c r="D936" s="2120">
        <v>0</v>
      </c>
      <c r="E936" s="2121" t="s">
        <v>5152</v>
      </c>
      <c r="F936" s="2120" t="s">
        <v>2590</v>
      </c>
      <c r="G936" s="2191">
        <f>+G934</f>
        <v>0</v>
      </c>
      <c r="H936" s="2123">
        <v>960000</v>
      </c>
      <c r="I936" s="2128"/>
      <c r="J936" s="2123">
        <v>0</v>
      </c>
      <c r="K936" s="2123">
        <v>0</v>
      </c>
      <c r="L936" s="2129">
        <f t="shared" si="140"/>
        <v>0</v>
      </c>
      <c r="M936" s="2129">
        <f t="shared" si="141"/>
        <v>0</v>
      </c>
      <c r="N936" s="2129">
        <f t="shared" si="142"/>
        <v>0</v>
      </c>
      <c r="O936" s="2128">
        <f t="shared" si="143"/>
        <v>0</v>
      </c>
      <c r="P936" s="2155"/>
    </row>
    <row r="937" spans="1:18" s="2105" customFormat="1" outlineLevel="1">
      <c r="A937" s="2108">
        <f t="shared" si="144"/>
        <v>0</v>
      </c>
      <c r="B937" s="2133" t="s">
        <v>5158</v>
      </c>
      <c r="C937" s="2142"/>
      <c r="D937" s="2120">
        <v>0</v>
      </c>
      <c r="E937" s="2121" t="s">
        <v>5159</v>
      </c>
      <c r="F937" s="2120" t="s">
        <v>5160</v>
      </c>
      <c r="G937" s="2191">
        <f>+G936*2</f>
        <v>0</v>
      </c>
      <c r="H937" s="2123">
        <v>140000</v>
      </c>
      <c r="I937" s="2128"/>
      <c r="J937" s="2123">
        <v>0</v>
      </c>
      <c r="K937" s="2123">
        <v>0</v>
      </c>
      <c r="L937" s="2129">
        <f t="shared" si="140"/>
        <v>0</v>
      </c>
      <c r="M937" s="2129">
        <f t="shared" si="141"/>
        <v>0</v>
      </c>
      <c r="N937" s="2129">
        <f t="shared" si="142"/>
        <v>0</v>
      </c>
      <c r="O937" s="2128">
        <f t="shared" si="143"/>
        <v>0</v>
      </c>
      <c r="P937" s="2155"/>
    </row>
    <row r="938" spans="1:18" s="2105" customFormat="1" outlineLevel="1">
      <c r="A938" s="2108">
        <f t="shared" si="144"/>
        <v>0</v>
      </c>
      <c r="B938" s="2130" t="s">
        <v>488</v>
      </c>
      <c r="C938" s="2142"/>
      <c r="D938" s="2120">
        <v>0</v>
      </c>
      <c r="E938" s="2121" t="s">
        <v>5078</v>
      </c>
      <c r="F938" s="2120" t="s">
        <v>2439</v>
      </c>
      <c r="G938" s="2191">
        <f>G934*3</f>
        <v>0</v>
      </c>
      <c r="H938" s="2123">
        <v>65000</v>
      </c>
      <c r="I938" s="2128"/>
      <c r="J938" s="2123">
        <v>0</v>
      </c>
      <c r="K938" s="2123">
        <v>0</v>
      </c>
      <c r="L938" s="2129">
        <f t="shared" si="140"/>
        <v>0</v>
      </c>
      <c r="M938" s="2129">
        <f t="shared" si="141"/>
        <v>0</v>
      </c>
      <c r="N938" s="2129">
        <f t="shared" si="142"/>
        <v>0</v>
      </c>
      <c r="O938" s="2128">
        <f t="shared" si="143"/>
        <v>0</v>
      </c>
      <c r="P938" s="2155"/>
    </row>
    <row r="939" spans="1:18" s="2105" customFormat="1" outlineLevel="1">
      <c r="A939" s="2108">
        <f t="shared" si="144"/>
        <v>0</v>
      </c>
      <c r="B939" s="2130" t="s">
        <v>244</v>
      </c>
      <c r="C939" s="2142"/>
      <c r="D939" s="2120">
        <v>0</v>
      </c>
      <c r="E939" s="2121" t="s">
        <v>2641</v>
      </c>
      <c r="F939" s="2120" t="s">
        <v>2439</v>
      </c>
      <c r="G939" s="2191">
        <f>2*G934</f>
        <v>0</v>
      </c>
      <c r="H939" s="2123">
        <v>18900</v>
      </c>
      <c r="I939" s="2128"/>
      <c r="J939" s="2123">
        <v>0</v>
      </c>
      <c r="K939" s="2123">
        <v>0</v>
      </c>
      <c r="L939" s="2129">
        <f t="shared" si="140"/>
        <v>0</v>
      </c>
      <c r="M939" s="2129">
        <f t="shared" si="141"/>
        <v>0</v>
      </c>
      <c r="N939" s="2129">
        <f t="shared" si="142"/>
        <v>0</v>
      </c>
      <c r="O939" s="2128">
        <f t="shared" si="143"/>
        <v>0</v>
      </c>
      <c r="P939" s="2155"/>
    </row>
    <row r="940" spans="1:18" s="2105" customFormat="1" outlineLevel="1">
      <c r="A940" s="2108">
        <f t="shared" si="144"/>
        <v>0</v>
      </c>
      <c r="B940" s="2130" t="s">
        <v>1609</v>
      </c>
      <c r="C940" s="2142"/>
      <c r="D940" s="2120">
        <v>0</v>
      </c>
      <c r="E940" s="2121" t="s">
        <v>2645</v>
      </c>
      <c r="F940" s="2120" t="s">
        <v>2439</v>
      </c>
      <c r="G940" s="2191">
        <f>1*G934</f>
        <v>0</v>
      </c>
      <c r="H940" s="2123">
        <v>13400</v>
      </c>
      <c r="I940" s="2128"/>
      <c r="J940" s="2123">
        <v>0</v>
      </c>
      <c r="K940" s="2123">
        <v>0</v>
      </c>
      <c r="L940" s="2129">
        <f t="shared" si="140"/>
        <v>0</v>
      </c>
      <c r="M940" s="2129">
        <f t="shared" si="141"/>
        <v>0</v>
      </c>
      <c r="N940" s="2129">
        <f t="shared" si="142"/>
        <v>0</v>
      </c>
      <c r="O940" s="2128">
        <f t="shared" si="143"/>
        <v>0</v>
      </c>
      <c r="P940" s="2155"/>
    </row>
    <row r="941" spans="1:18" s="2105" customFormat="1" outlineLevel="1">
      <c r="A941" s="2108">
        <f t="shared" si="144"/>
        <v>0</v>
      </c>
      <c r="B941" s="2130" t="s">
        <v>1079</v>
      </c>
      <c r="C941" s="2142"/>
      <c r="D941" s="2120">
        <v>0</v>
      </c>
      <c r="E941" s="2121" t="s">
        <v>2651</v>
      </c>
      <c r="F941" s="2120" t="s">
        <v>2439</v>
      </c>
      <c r="G941" s="2191">
        <f>1*G934</f>
        <v>0</v>
      </c>
      <c r="H941" s="2123">
        <v>27900</v>
      </c>
      <c r="I941" s="2128"/>
      <c r="J941" s="2123">
        <v>0</v>
      </c>
      <c r="K941" s="2123">
        <v>0</v>
      </c>
      <c r="L941" s="2129">
        <f t="shared" si="140"/>
        <v>0</v>
      </c>
      <c r="M941" s="2129">
        <f t="shared" si="141"/>
        <v>0</v>
      </c>
      <c r="N941" s="2129">
        <f t="shared" si="142"/>
        <v>0</v>
      </c>
      <c r="O941" s="2128">
        <f t="shared" si="143"/>
        <v>0</v>
      </c>
      <c r="P941" s="2155"/>
    </row>
    <row r="942" spans="1:18" s="2105" customFormat="1" outlineLevel="1">
      <c r="A942" s="2108">
        <f>IF(G942&lt;&gt;0,1,0)</f>
        <v>0</v>
      </c>
      <c r="B942" s="2180" t="s">
        <v>5372</v>
      </c>
      <c r="C942" s="2142"/>
      <c r="D942" s="2120" t="s">
        <v>5148</v>
      </c>
      <c r="E942" s="2121" t="s">
        <v>5373</v>
      </c>
      <c r="F942" s="2120" t="s">
        <v>2439</v>
      </c>
      <c r="G942" s="2191">
        <f>G934</f>
        <v>0</v>
      </c>
      <c r="H942" s="2123">
        <v>0</v>
      </c>
      <c r="I942" s="2128"/>
      <c r="J942" s="2123" t="s">
        <v>6337</v>
      </c>
      <c r="K942" s="2123">
        <v>0</v>
      </c>
      <c r="L942" s="2129">
        <f>H942*G942</f>
        <v>0</v>
      </c>
      <c r="M942" s="2129">
        <f>I942*G942</f>
        <v>0</v>
      </c>
      <c r="N942" s="2123">
        <v>0</v>
      </c>
      <c r="O942" s="2128">
        <f>K942*G942</f>
        <v>0</v>
      </c>
      <c r="P942" s="2155"/>
    </row>
    <row r="943" spans="1:18" s="2105" customFormat="1" outlineLevel="1">
      <c r="A943" s="2108">
        <f>+IF(G943&gt;0,1,0)</f>
        <v>0</v>
      </c>
      <c r="B943" s="2130"/>
      <c r="C943" s="2145">
        <f>IF(G943&gt;0,C934+1,C934)</f>
        <v>0</v>
      </c>
      <c r="D943" s="2318"/>
      <c r="E943" s="2324" t="s">
        <v>3694</v>
      </c>
      <c r="F943" s="2145" t="s">
        <v>2385</v>
      </c>
      <c r="G943" s="2325">
        <f>+G907/3</f>
        <v>0</v>
      </c>
      <c r="H943" s="2128"/>
      <c r="I943" s="2128"/>
      <c r="J943" s="2128"/>
      <c r="K943" s="2128"/>
      <c r="L943" s="2304">
        <f t="shared" si="140"/>
        <v>0</v>
      </c>
      <c r="M943" s="2304">
        <f t="shared" si="141"/>
        <v>0</v>
      </c>
      <c r="N943" s="2304">
        <f t="shared" si="142"/>
        <v>0</v>
      </c>
      <c r="O943" s="2305">
        <f t="shared" si="143"/>
        <v>0</v>
      </c>
      <c r="P943" s="2155"/>
    </row>
    <row r="944" spans="1:18" s="2105" customFormat="1" ht="14.4" outlineLevel="1">
      <c r="A944" s="2108">
        <f>A943</f>
        <v>0</v>
      </c>
      <c r="B944" s="2130"/>
      <c r="C944" s="2145"/>
      <c r="D944" s="2318"/>
      <c r="E944" s="2319" t="s">
        <v>6133</v>
      </c>
      <c r="F944" s="2120"/>
      <c r="G944" s="2320"/>
      <c r="H944" s="2128"/>
      <c r="I944" s="2128"/>
      <c r="J944" s="2128"/>
      <c r="K944" s="2128"/>
      <c r="L944" s="2304">
        <f t="shared" si="140"/>
        <v>0</v>
      </c>
      <c r="M944" s="2304">
        <f t="shared" si="141"/>
        <v>0</v>
      </c>
      <c r="N944" s="2304">
        <f t="shared" si="142"/>
        <v>0</v>
      </c>
      <c r="O944" s="2305">
        <f t="shared" si="143"/>
        <v>0</v>
      </c>
      <c r="P944" s="2155"/>
    </row>
    <row r="945" spans="1:16" s="2105" customFormat="1" outlineLevel="1">
      <c r="A945" s="2108" t="str">
        <f t="shared" ref="A945:A956" si="145">IF(G945&lt;&gt;0,1,"")</f>
        <v/>
      </c>
      <c r="B945" s="2130" t="s">
        <v>1033</v>
      </c>
      <c r="C945" s="2119"/>
      <c r="D945" s="2120">
        <v>0</v>
      </c>
      <c r="E945" s="2121" t="s">
        <v>2700</v>
      </c>
      <c r="F945" s="2120" t="s">
        <v>2248</v>
      </c>
      <c r="G945" s="2191">
        <f>64.7*G943*0.224</f>
        <v>0</v>
      </c>
      <c r="H945" s="2123">
        <v>255500</v>
      </c>
      <c r="I945" s="2128"/>
      <c r="J945" s="2123">
        <v>0</v>
      </c>
      <c r="K945" s="2123">
        <v>0</v>
      </c>
      <c r="L945" s="2304">
        <f t="shared" si="140"/>
        <v>0</v>
      </c>
      <c r="M945" s="2304">
        <f t="shared" si="141"/>
        <v>0</v>
      </c>
      <c r="N945" s="2304">
        <f t="shared" si="142"/>
        <v>0</v>
      </c>
      <c r="O945" s="2305">
        <f t="shared" si="143"/>
        <v>0</v>
      </c>
      <c r="P945" s="2155"/>
    </row>
    <row r="946" spans="1:16" s="2105" customFormat="1" outlineLevel="1">
      <c r="A946" s="2108" t="str">
        <f t="shared" si="145"/>
        <v/>
      </c>
      <c r="B946" s="2133" t="s">
        <v>1508</v>
      </c>
      <c r="C946" s="2119"/>
      <c r="D946" s="2120">
        <v>0</v>
      </c>
      <c r="E946" s="2121" t="s">
        <v>5163</v>
      </c>
      <c r="F946" s="2120" t="s">
        <v>2439</v>
      </c>
      <c r="G946" s="2191">
        <f>12*G943</f>
        <v>0</v>
      </c>
      <c r="H946" s="2123">
        <v>160000</v>
      </c>
      <c r="I946" s="2128"/>
      <c r="J946" s="2123">
        <v>0</v>
      </c>
      <c r="K946" s="2123">
        <v>0</v>
      </c>
      <c r="L946" s="2304">
        <f t="shared" si="140"/>
        <v>0</v>
      </c>
      <c r="M946" s="2304">
        <f t="shared" si="141"/>
        <v>0</v>
      </c>
      <c r="N946" s="2304">
        <f t="shared" si="142"/>
        <v>0</v>
      </c>
      <c r="O946" s="2305">
        <f t="shared" si="143"/>
        <v>0</v>
      </c>
      <c r="P946" s="2155"/>
    </row>
    <row r="947" spans="1:16" s="2105" customFormat="1" outlineLevel="1">
      <c r="A947" s="2108" t="str">
        <f t="shared" si="145"/>
        <v/>
      </c>
      <c r="B947" s="2133" t="s">
        <v>1490</v>
      </c>
      <c r="C947" s="2127"/>
      <c r="D947" s="2120">
        <v>0</v>
      </c>
      <c r="E947" s="2121" t="s">
        <v>3536</v>
      </c>
      <c r="F947" s="2120" t="s">
        <v>1823</v>
      </c>
      <c r="G947" s="2191">
        <f>1*G943</f>
        <v>0</v>
      </c>
      <c r="H947" s="2123">
        <v>6200</v>
      </c>
      <c r="I947" s="2128"/>
      <c r="J947" s="2123">
        <v>0</v>
      </c>
      <c r="K947" s="2123">
        <v>0</v>
      </c>
      <c r="L947" s="2304">
        <f t="shared" si="140"/>
        <v>0</v>
      </c>
      <c r="M947" s="2304">
        <f t="shared" si="141"/>
        <v>0</v>
      </c>
      <c r="N947" s="2304">
        <f t="shared" si="142"/>
        <v>0</v>
      </c>
      <c r="O947" s="2305">
        <f t="shared" si="143"/>
        <v>0</v>
      </c>
      <c r="P947" s="2155"/>
    </row>
    <row r="948" spans="1:16" s="2105" customFormat="1" outlineLevel="1">
      <c r="A948" s="2108" t="str">
        <f>IF(G948&lt;&gt;0,1,"")</f>
        <v/>
      </c>
      <c r="B948" s="2133" t="s">
        <v>6150</v>
      </c>
      <c r="C948" s="2127"/>
      <c r="D948" s="2120">
        <v>0</v>
      </c>
      <c r="E948" s="2121" t="s">
        <v>5796</v>
      </c>
      <c r="F948" s="2120" t="s">
        <v>2555</v>
      </c>
      <c r="G948" s="2191"/>
      <c r="H948" s="2123">
        <v>2100</v>
      </c>
      <c r="I948" s="2128"/>
      <c r="J948" s="2123">
        <v>0</v>
      </c>
      <c r="K948" s="2123">
        <v>0</v>
      </c>
      <c r="L948" s="2304">
        <f>H948*G948</f>
        <v>0</v>
      </c>
      <c r="M948" s="2304">
        <f>I948*G948</f>
        <v>0</v>
      </c>
      <c r="N948" s="2304">
        <f>J948*G948</f>
        <v>0</v>
      </c>
      <c r="O948" s="2305">
        <f>K948*G948</f>
        <v>0</v>
      </c>
      <c r="P948" s="2155"/>
    </row>
    <row r="949" spans="1:16" s="2105" customFormat="1" outlineLevel="1">
      <c r="A949" s="2108" t="str">
        <f t="shared" si="145"/>
        <v/>
      </c>
      <c r="B949" s="2130" t="s">
        <v>1579</v>
      </c>
      <c r="C949" s="2119"/>
      <c r="D949" s="2120">
        <v>0</v>
      </c>
      <c r="E949" s="2121" t="s">
        <v>2873</v>
      </c>
      <c r="F949" s="2120" t="s">
        <v>2555</v>
      </c>
      <c r="G949" s="2191">
        <f>2*G943</f>
        <v>0</v>
      </c>
      <c r="H949" s="2123">
        <v>8000</v>
      </c>
      <c r="I949" s="2123"/>
      <c r="J949" s="2123">
        <v>0</v>
      </c>
      <c r="K949" s="2123">
        <v>0</v>
      </c>
      <c r="L949" s="2304">
        <f t="shared" si="140"/>
        <v>0</v>
      </c>
      <c r="M949" s="2304">
        <f t="shared" si="141"/>
        <v>0</v>
      </c>
      <c r="N949" s="2304">
        <f t="shared" si="142"/>
        <v>0</v>
      </c>
      <c r="O949" s="2305">
        <f t="shared" si="143"/>
        <v>0</v>
      </c>
      <c r="P949" s="2155"/>
    </row>
    <row r="950" spans="1:16" s="2105" customFormat="1" outlineLevel="1">
      <c r="A950" s="2108" t="str">
        <f t="shared" si="145"/>
        <v/>
      </c>
      <c r="B950" s="2130" t="s">
        <v>816</v>
      </c>
      <c r="C950" s="2119"/>
      <c r="D950" s="2120">
        <v>0</v>
      </c>
      <c r="E950" s="2121" t="s">
        <v>3581</v>
      </c>
      <c r="F950" s="2120" t="s">
        <v>2555</v>
      </c>
      <c r="G950" s="2191">
        <f>G943*3</f>
        <v>0</v>
      </c>
      <c r="H950" s="2123">
        <v>17600</v>
      </c>
      <c r="I950" s="2123"/>
      <c r="J950" s="2123">
        <v>0</v>
      </c>
      <c r="K950" s="2123">
        <v>0</v>
      </c>
      <c r="L950" s="2304">
        <f t="shared" si="140"/>
        <v>0</v>
      </c>
      <c r="M950" s="2304">
        <f t="shared" si="141"/>
        <v>0</v>
      </c>
      <c r="N950" s="2304">
        <f t="shared" si="142"/>
        <v>0</v>
      </c>
      <c r="O950" s="2305">
        <f t="shared" si="143"/>
        <v>0</v>
      </c>
      <c r="P950" s="2155"/>
    </row>
    <row r="951" spans="1:16" s="2105" customFormat="1" outlineLevel="1">
      <c r="A951" s="2108" t="str">
        <f>IF(G951&lt;&gt;0,1,"")</f>
        <v/>
      </c>
      <c r="B951" s="2130" t="s">
        <v>6193</v>
      </c>
      <c r="C951" s="2119"/>
      <c r="D951" s="2120" t="s">
        <v>5725</v>
      </c>
      <c r="E951" s="2121" t="s">
        <v>3479</v>
      </c>
      <c r="F951" s="2120" t="s">
        <v>2555</v>
      </c>
      <c r="G951" s="2191">
        <f>G942*7</f>
        <v>0</v>
      </c>
      <c r="H951" s="2123">
        <v>9100</v>
      </c>
      <c r="I951" s="2123"/>
      <c r="J951" s="2123">
        <v>10608.955000000002</v>
      </c>
      <c r="K951" s="2123">
        <v>2777.0232475000003</v>
      </c>
      <c r="L951" s="2304">
        <f>H951*G951</f>
        <v>0</v>
      </c>
      <c r="M951" s="2304">
        <f>I951*G951</f>
        <v>0</v>
      </c>
      <c r="N951" s="2304">
        <f>J951*G951</f>
        <v>0</v>
      </c>
      <c r="O951" s="2305">
        <f>K951*G951</f>
        <v>0</v>
      </c>
      <c r="P951" s="2155"/>
    </row>
    <row r="952" spans="1:16" s="2105" customFormat="1" outlineLevel="1">
      <c r="A952" s="2108" t="str">
        <f>IF(G952&lt;&gt;0,1,"")</f>
        <v/>
      </c>
      <c r="B952" s="2130" t="s">
        <v>6194</v>
      </c>
      <c r="C952" s="2119"/>
      <c r="D952" s="2120" t="s">
        <v>5726</v>
      </c>
      <c r="E952" s="2121" t="s">
        <v>3480</v>
      </c>
      <c r="F952" s="2120" t="s">
        <v>2555</v>
      </c>
      <c r="G952" s="2191">
        <f>G943*2</f>
        <v>0</v>
      </c>
      <c r="H952" s="2123">
        <v>14000</v>
      </c>
      <c r="I952" s="2123"/>
      <c r="J952" s="2123">
        <v>16671.215</v>
      </c>
      <c r="K952" s="2123">
        <v>3332.427897</v>
      </c>
      <c r="L952" s="2304">
        <f>H952*G952</f>
        <v>0</v>
      </c>
      <c r="M952" s="2304">
        <f>I952*G952</f>
        <v>0</v>
      </c>
      <c r="N952" s="2304">
        <f>J952*G952</f>
        <v>0</v>
      </c>
      <c r="O952" s="2305">
        <f>K952*G952</f>
        <v>0</v>
      </c>
      <c r="P952" s="2155"/>
    </row>
    <row r="953" spans="1:16" s="2105" customFormat="1" outlineLevel="1">
      <c r="A953" s="2108" t="str">
        <f>IF(G953&lt;&gt;0,1,"")</f>
        <v/>
      </c>
      <c r="B953" s="2130" t="s">
        <v>2019</v>
      </c>
      <c r="C953" s="2119"/>
      <c r="D953" s="2120">
        <v>0</v>
      </c>
      <c r="E953" s="2121" t="s">
        <v>2627</v>
      </c>
      <c r="F953" s="2120" t="s">
        <v>2439</v>
      </c>
      <c r="G953" s="2191">
        <f>G943*2</f>
        <v>0</v>
      </c>
      <c r="H953" s="2123">
        <v>8500</v>
      </c>
      <c r="I953" s="2123"/>
      <c r="J953" s="2123">
        <v>0</v>
      </c>
      <c r="K953" s="2123">
        <v>0</v>
      </c>
      <c r="L953" s="2304">
        <f>H953*G953</f>
        <v>0</v>
      </c>
      <c r="M953" s="2304">
        <f>I953*G953</f>
        <v>0</v>
      </c>
      <c r="N953" s="2304">
        <f>J953*G953</f>
        <v>0</v>
      </c>
      <c r="O953" s="2305">
        <f>K953*G953</f>
        <v>0</v>
      </c>
      <c r="P953" s="2155"/>
    </row>
    <row r="954" spans="1:16" s="2105" customFormat="1" outlineLevel="1">
      <c r="A954" s="2108" t="str">
        <f>IF(G954&lt;&gt;0,1,"")</f>
        <v/>
      </c>
      <c r="B954" s="2130" t="s">
        <v>5181</v>
      </c>
      <c r="C954" s="2119"/>
      <c r="D954" s="2120">
        <v>0</v>
      </c>
      <c r="E954" s="2121" t="s">
        <v>5182</v>
      </c>
      <c r="F954" s="2120" t="s">
        <v>2532</v>
      </c>
      <c r="G954" s="2191"/>
      <c r="H954" s="2123">
        <v>11000</v>
      </c>
      <c r="I954" s="2123"/>
      <c r="J954" s="2123">
        <v>0</v>
      </c>
      <c r="K954" s="2123">
        <v>0</v>
      </c>
      <c r="L954" s="2304">
        <f>H954*G954</f>
        <v>0</v>
      </c>
      <c r="M954" s="2304">
        <f>I954*G954</f>
        <v>0</v>
      </c>
      <c r="N954" s="2304">
        <f>J954*G954</f>
        <v>0</v>
      </c>
      <c r="O954" s="2305">
        <f>K954*G954</f>
        <v>0</v>
      </c>
      <c r="P954" s="2155"/>
    </row>
    <row r="955" spans="1:16" s="2105" customFormat="1" outlineLevel="1">
      <c r="A955" s="2108" t="str">
        <f>IF(G955&lt;&gt;0,1,"")</f>
        <v/>
      </c>
      <c r="B955" s="2130" t="s">
        <v>5183</v>
      </c>
      <c r="C955" s="2119"/>
      <c r="D955" s="2120">
        <v>0</v>
      </c>
      <c r="E955" s="2121" t="s">
        <v>5184</v>
      </c>
      <c r="F955" s="2120" t="s">
        <v>2555</v>
      </c>
      <c r="G955" s="2191">
        <f>G943*2</f>
        <v>0</v>
      </c>
      <c r="H955" s="2123">
        <v>4000</v>
      </c>
      <c r="I955" s="2123"/>
      <c r="J955" s="2123">
        <v>0</v>
      </c>
      <c r="K955" s="2123">
        <v>0</v>
      </c>
      <c r="L955" s="2304">
        <f>H955*G955</f>
        <v>0</v>
      </c>
      <c r="M955" s="2304">
        <f>I955*G955</f>
        <v>0</v>
      </c>
      <c r="N955" s="2304">
        <f>J955*G955</f>
        <v>0</v>
      </c>
      <c r="O955" s="2305">
        <f>K955*G955</f>
        <v>0</v>
      </c>
      <c r="P955" s="2155"/>
    </row>
    <row r="956" spans="1:16" s="2105" customFormat="1" outlineLevel="1">
      <c r="A956" s="2108" t="str">
        <f t="shared" si="145"/>
        <v/>
      </c>
      <c r="B956" s="2133" t="s">
        <v>525</v>
      </c>
      <c r="C956" s="2119"/>
      <c r="D956" s="2120">
        <v>0</v>
      </c>
      <c r="E956" s="2121" t="s">
        <v>5252</v>
      </c>
      <c r="F956" s="2120" t="s">
        <v>2439</v>
      </c>
      <c r="G956" s="2191"/>
      <c r="H956" s="2123">
        <v>43000</v>
      </c>
      <c r="I956" s="2128"/>
      <c r="J956" s="2123">
        <v>0</v>
      </c>
      <c r="K956" s="2123">
        <v>0</v>
      </c>
      <c r="L956" s="2304">
        <f t="shared" si="140"/>
        <v>0</v>
      </c>
      <c r="M956" s="2304">
        <f t="shared" si="141"/>
        <v>0</v>
      </c>
      <c r="N956" s="2304">
        <f t="shared" si="142"/>
        <v>0</v>
      </c>
      <c r="O956" s="2305">
        <f t="shared" si="143"/>
        <v>0</v>
      </c>
      <c r="P956" s="2155"/>
    </row>
    <row r="957" spans="1:16" s="2105" customFormat="1" outlineLevel="1">
      <c r="A957" s="2108" t="str">
        <f>IF(G957&lt;&gt;0,1,"")</f>
        <v/>
      </c>
      <c r="B957" s="2130" t="s">
        <v>6151</v>
      </c>
      <c r="C957" s="2119"/>
      <c r="D957" s="2120">
        <v>0</v>
      </c>
      <c r="E957" s="2121" t="s">
        <v>5713</v>
      </c>
      <c r="F957" s="2120" t="s">
        <v>3445</v>
      </c>
      <c r="G957" s="2191"/>
      <c r="H957" s="2123">
        <v>0</v>
      </c>
      <c r="I957" s="2128"/>
      <c r="J957" s="2129">
        <v>1500000</v>
      </c>
      <c r="K957" s="2129">
        <v>0</v>
      </c>
      <c r="L957" s="2129">
        <f>H957*G957</f>
        <v>0</v>
      </c>
      <c r="M957" s="2129">
        <f>I957*G957</f>
        <v>0</v>
      </c>
      <c r="N957" s="2129">
        <f>J957*G957</f>
        <v>0</v>
      </c>
      <c r="O957" s="2305">
        <f>K957*G957</f>
        <v>0</v>
      </c>
      <c r="P957" s="2155"/>
    </row>
    <row r="958" spans="1:16" s="2105" customFormat="1" outlineLevel="1">
      <c r="A958" s="2108" t="str">
        <f>IF(G958&lt;&gt;0,1,"")</f>
        <v/>
      </c>
      <c r="B958" s="2130" t="s">
        <v>2183</v>
      </c>
      <c r="C958" s="2119"/>
      <c r="D958" s="2120" t="s">
        <v>5346</v>
      </c>
      <c r="E958" s="2121" t="s">
        <v>5347</v>
      </c>
      <c r="F958" s="2120" t="s">
        <v>2532</v>
      </c>
      <c r="G958" s="2191">
        <f>G945/0.224</f>
        <v>0</v>
      </c>
      <c r="H958" s="2123">
        <v>0</v>
      </c>
      <c r="I958" s="2123"/>
      <c r="J958" s="2123">
        <v>8070.7000000000007</v>
      </c>
      <c r="K958" s="2123">
        <v>2044.9974999999999</v>
      </c>
      <c r="L958" s="2304">
        <f>H958*G958</f>
        <v>0</v>
      </c>
      <c r="M958" s="2304">
        <f>I958*G958</f>
        <v>0</v>
      </c>
      <c r="N958" s="2304">
        <f>J958*G958</f>
        <v>0</v>
      </c>
      <c r="O958" s="2305">
        <f>K958*G958</f>
        <v>0</v>
      </c>
      <c r="P958" s="2155"/>
    </row>
    <row r="959" spans="1:16" s="2105" customFormat="1" outlineLevel="1">
      <c r="A959" s="2108" t="str">
        <f>IF(G959&lt;&gt;0,1,"")</f>
        <v/>
      </c>
      <c r="B959" s="2133" t="s">
        <v>902</v>
      </c>
      <c r="C959" s="2119"/>
      <c r="D959" s="2120" t="s">
        <v>5351</v>
      </c>
      <c r="E959" s="2121" t="s">
        <v>5352</v>
      </c>
      <c r="F959" s="2120" t="s">
        <v>2278</v>
      </c>
      <c r="G959" s="2191">
        <f>G946</f>
        <v>0</v>
      </c>
      <c r="H959" s="2123">
        <v>0</v>
      </c>
      <c r="I959" s="2123"/>
      <c r="J959" s="2129" t="s">
        <v>6312</v>
      </c>
      <c r="K959" s="2129">
        <v>0</v>
      </c>
      <c r="L959" s="2129">
        <f>H959*$G959</f>
        <v>0</v>
      </c>
      <c r="M959" s="2129">
        <f>I959*$G959</f>
        <v>0</v>
      </c>
      <c r="N959" s="2129">
        <v>0</v>
      </c>
      <c r="O959" s="2305">
        <f>K959*G959</f>
        <v>0</v>
      </c>
      <c r="P959" s="2155"/>
    </row>
    <row r="960" spans="1:16" s="2105" customFormat="1" outlineLevel="1">
      <c r="A960" s="2108" t="str">
        <f>IF(G960&lt;&gt;0,1,"")</f>
        <v/>
      </c>
      <c r="B960" s="2130" t="s">
        <v>1055</v>
      </c>
      <c r="C960" s="2119"/>
      <c r="D960" s="2120" t="s">
        <v>5336</v>
      </c>
      <c r="E960" s="2121" t="s">
        <v>3068</v>
      </c>
      <c r="F960" s="2120" t="s">
        <v>856</v>
      </c>
      <c r="G960" s="2191">
        <f>G943*48*0.3*0.5</f>
        <v>0</v>
      </c>
      <c r="H960" s="2123">
        <v>0</v>
      </c>
      <c r="I960" s="2123"/>
      <c r="J960" s="2129">
        <v>283749.75</v>
      </c>
      <c r="K960" s="2129">
        <v>0</v>
      </c>
      <c r="L960" s="2129">
        <f>H960*G960</f>
        <v>0</v>
      </c>
      <c r="M960" s="2129">
        <f>I960*G960</f>
        <v>0</v>
      </c>
      <c r="N960" s="2129">
        <f>J960*G960</f>
        <v>0</v>
      </c>
      <c r="O960" s="2305">
        <f>K960*G960</f>
        <v>0</v>
      </c>
      <c r="P960" s="2155"/>
    </row>
    <row r="961" spans="1:16" s="2336" customFormat="1" outlineLevel="1">
      <c r="A961" s="2326">
        <f>+IF(G961&gt;0,1,0)</f>
        <v>0</v>
      </c>
      <c r="B961" s="2326"/>
      <c r="C961" s="2327">
        <f>IF(G961&gt;0,C943+1,C943)</f>
        <v>0</v>
      </c>
      <c r="D961" s="2328"/>
      <c r="E961" s="2329" t="s">
        <v>6195</v>
      </c>
      <c r="F961" s="2330" t="s">
        <v>2385</v>
      </c>
      <c r="G961" s="2331">
        <f>G917</f>
        <v>0</v>
      </c>
      <c r="H961" s="2332"/>
      <c r="I961" s="2332"/>
      <c r="J961" s="2332"/>
      <c r="K961" s="2332"/>
      <c r="L961" s="2333">
        <f t="shared" si="140"/>
        <v>0</v>
      </c>
      <c r="M961" s="2333">
        <f t="shared" si="141"/>
        <v>0</v>
      </c>
      <c r="N961" s="2333">
        <f t="shared" si="142"/>
        <v>0</v>
      </c>
      <c r="O961" s="2334">
        <f t="shared" si="143"/>
        <v>0</v>
      </c>
      <c r="P961" s="2335"/>
    </row>
    <row r="962" spans="1:16" s="2105" customFormat="1" outlineLevel="1">
      <c r="A962" s="2108" t="str">
        <f>IF(G962&lt;&gt;0,1,"")</f>
        <v/>
      </c>
      <c r="B962" s="2180" t="s">
        <v>5657</v>
      </c>
      <c r="C962" s="2337"/>
      <c r="D962" s="2120" t="s">
        <v>5633</v>
      </c>
      <c r="E962" s="2121" t="s">
        <v>5658</v>
      </c>
      <c r="F962" s="2120" t="s">
        <v>2555</v>
      </c>
      <c r="G962" s="2320">
        <f>G961</f>
        <v>0</v>
      </c>
      <c r="H962" s="2123">
        <v>3664446</v>
      </c>
      <c r="I962" s="2123"/>
      <c r="J962" s="2123">
        <v>690091</v>
      </c>
      <c r="K962" s="2123">
        <v>97369</v>
      </c>
      <c r="L962" s="2304">
        <f>H962*G962</f>
        <v>0</v>
      </c>
      <c r="M962" s="2304">
        <f>I962*G962</f>
        <v>0</v>
      </c>
      <c r="N962" s="2304">
        <f>J962*G962</f>
        <v>0</v>
      </c>
      <c r="O962" s="2305">
        <f>K962*G962</f>
        <v>0</v>
      </c>
      <c r="P962" s="2155"/>
    </row>
    <row r="963" spans="1:16" s="2105" customFormat="1" outlineLevel="1">
      <c r="A963" s="2108" t="str">
        <f>IF(G963&lt;&gt;0,1,"")</f>
        <v/>
      </c>
      <c r="B963" s="2130" t="s">
        <v>319</v>
      </c>
      <c r="C963" s="2119"/>
      <c r="D963" s="2120">
        <v>0</v>
      </c>
      <c r="E963" s="2121" t="s">
        <v>5269</v>
      </c>
      <c r="F963" s="2120" t="s">
        <v>2439</v>
      </c>
      <c r="G963" s="2320"/>
      <c r="H963" s="2123">
        <v>168000</v>
      </c>
      <c r="I963" s="2128"/>
      <c r="J963" s="2123">
        <v>0</v>
      </c>
      <c r="K963" s="2123">
        <v>0</v>
      </c>
      <c r="L963" s="2304">
        <f t="shared" si="140"/>
        <v>0</v>
      </c>
      <c r="M963" s="2304">
        <f t="shared" si="141"/>
        <v>0</v>
      </c>
      <c r="N963" s="2304">
        <f t="shared" si="142"/>
        <v>0</v>
      </c>
      <c r="O963" s="2305">
        <f t="shared" si="143"/>
        <v>0</v>
      </c>
      <c r="P963" s="2155"/>
    </row>
    <row r="964" spans="1:16" s="2105" customFormat="1" outlineLevel="1">
      <c r="A964" s="2108" t="str">
        <f>IF(G964&lt;&gt;0,1,"")</f>
        <v/>
      </c>
      <c r="B964" s="2130" t="s">
        <v>880</v>
      </c>
      <c r="C964" s="2119"/>
      <c r="D964" s="2338"/>
      <c r="E964" s="2121" t="s">
        <v>5799</v>
      </c>
      <c r="F964" s="2120" t="s">
        <v>2555</v>
      </c>
      <c r="G964" s="2320"/>
      <c r="H964" s="2123">
        <v>284000</v>
      </c>
      <c r="I964" s="2128"/>
      <c r="J964" s="2123">
        <v>5404</v>
      </c>
      <c r="K964" s="2123">
        <v>0</v>
      </c>
      <c r="L964" s="2304">
        <f t="shared" si="140"/>
        <v>0</v>
      </c>
      <c r="M964" s="2304">
        <f t="shared" si="141"/>
        <v>0</v>
      </c>
      <c r="N964" s="2304">
        <f t="shared" si="142"/>
        <v>0</v>
      </c>
      <c r="O964" s="2305">
        <f t="shared" si="143"/>
        <v>0</v>
      </c>
      <c r="P964" s="2155"/>
    </row>
    <row r="965" spans="1:16" s="2105" customFormat="1" outlineLevel="1">
      <c r="A965" s="2326">
        <f>+IF(G965&gt;0,1,0)</f>
        <v>0</v>
      </c>
      <c r="B965" s="2130"/>
      <c r="C965" s="2145">
        <f>IF(G965&gt;0,C961+1,C961)</f>
        <v>0</v>
      </c>
      <c r="D965" s="2318"/>
      <c r="E965" s="2339" t="s">
        <v>6165</v>
      </c>
      <c r="F965" s="2145" t="s">
        <v>2385</v>
      </c>
      <c r="G965" s="2325">
        <f>G917</f>
        <v>0</v>
      </c>
      <c r="H965" s="2128"/>
      <c r="I965" s="2128"/>
      <c r="J965" s="2128"/>
      <c r="K965" s="2128"/>
      <c r="L965" s="2304">
        <f t="shared" si="140"/>
        <v>0</v>
      </c>
      <c r="M965" s="2304">
        <f t="shared" si="141"/>
        <v>0</v>
      </c>
      <c r="N965" s="2304">
        <f t="shared" si="142"/>
        <v>0</v>
      </c>
      <c r="O965" s="2305">
        <f t="shared" si="143"/>
        <v>0</v>
      </c>
      <c r="P965" s="2155"/>
    </row>
    <row r="966" spans="1:16" s="2105" customFormat="1" ht="14.4" outlineLevel="1">
      <c r="A966" s="2108">
        <f>A965</f>
        <v>0</v>
      </c>
      <c r="B966" s="2130"/>
      <c r="C966" s="2145"/>
      <c r="D966" s="2318"/>
      <c r="E966" s="2319" t="s">
        <v>6133</v>
      </c>
      <c r="F966" s="2120"/>
      <c r="G966" s="2320"/>
      <c r="H966" s="2128"/>
      <c r="I966" s="2128"/>
      <c r="J966" s="2128"/>
      <c r="K966" s="2128"/>
      <c r="L966" s="2304">
        <f t="shared" si="140"/>
        <v>0</v>
      </c>
      <c r="M966" s="2304">
        <f t="shared" si="141"/>
        <v>0</v>
      </c>
      <c r="N966" s="2304">
        <f t="shared" si="142"/>
        <v>0</v>
      </c>
      <c r="O966" s="2305">
        <f t="shared" si="143"/>
        <v>0</v>
      </c>
      <c r="P966" s="2155"/>
    </row>
    <row r="967" spans="1:16" s="2105" customFormat="1" outlineLevel="1">
      <c r="A967" s="2108" t="str">
        <f>IF(G967&lt;&gt;0,1,"")</f>
        <v/>
      </c>
      <c r="B967" s="2133" t="s">
        <v>697</v>
      </c>
      <c r="C967" s="2119"/>
      <c r="D967" s="2120">
        <v>0</v>
      </c>
      <c r="E967" s="2121" t="s">
        <v>5087</v>
      </c>
      <c r="F967" s="2120" t="s">
        <v>2532</v>
      </c>
      <c r="G967" s="2320">
        <f>3*G965*4</f>
        <v>0</v>
      </c>
      <c r="H967" s="2123">
        <v>50996</v>
      </c>
      <c r="I967" s="2123"/>
      <c r="J967" s="2123">
        <v>0</v>
      </c>
      <c r="K967" s="2123">
        <v>0</v>
      </c>
      <c r="L967" s="2304">
        <f t="shared" si="140"/>
        <v>0</v>
      </c>
      <c r="M967" s="2304">
        <f t="shared" si="141"/>
        <v>0</v>
      </c>
      <c r="N967" s="2304">
        <f t="shared" si="142"/>
        <v>0</v>
      </c>
      <c r="O967" s="2305">
        <f t="shared" si="143"/>
        <v>0</v>
      </c>
      <c r="P967" s="2155"/>
    </row>
    <row r="968" spans="1:16" s="2105" customFormat="1" outlineLevel="1">
      <c r="A968" s="2108" t="str">
        <f>IF(G968&lt;&gt;0,1,"")</f>
        <v/>
      </c>
      <c r="B968" s="2133" t="s">
        <v>905</v>
      </c>
      <c r="C968" s="2119"/>
      <c r="D968" s="2120">
        <v>0</v>
      </c>
      <c r="E968" s="2121" t="s">
        <v>2873</v>
      </c>
      <c r="F968" s="2120" t="s">
        <v>2555</v>
      </c>
      <c r="G968" s="2184">
        <f>3*G965*2*0</f>
        <v>0</v>
      </c>
      <c r="H968" s="2123">
        <v>8000</v>
      </c>
      <c r="I968" s="2123"/>
      <c r="J968" s="2123">
        <v>0</v>
      </c>
      <c r="K968" s="2123">
        <v>0</v>
      </c>
      <c r="L968" s="2304">
        <f>H968*G968</f>
        <v>0</v>
      </c>
      <c r="M968" s="2304">
        <f>I968*G968</f>
        <v>0</v>
      </c>
      <c r="N968" s="2304">
        <f>J968*G968</f>
        <v>0</v>
      </c>
      <c r="O968" s="2305">
        <f>K968*G968</f>
        <v>0</v>
      </c>
      <c r="P968" s="2155"/>
    </row>
    <row r="969" spans="1:16" s="2105" customFormat="1" outlineLevel="1">
      <c r="A969" s="2108" t="str">
        <f>IF(G969&lt;&gt;0,1,"")</f>
        <v/>
      </c>
      <c r="B969" s="2118" t="s">
        <v>1479</v>
      </c>
      <c r="C969" s="2119"/>
      <c r="D969" s="2120">
        <v>0</v>
      </c>
      <c r="E969" s="2121" t="s">
        <v>3791</v>
      </c>
      <c r="F969" s="2120" t="s">
        <v>2555</v>
      </c>
      <c r="G969" s="2320">
        <f>3*G965</f>
        <v>0</v>
      </c>
      <c r="H969" s="2123">
        <v>46000</v>
      </c>
      <c r="I969" s="2123"/>
      <c r="J969" s="2123">
        <v>0</v>
      </c>
      <c r="K969" s="2123">
        <v>0</v>
      </c>
      <c r="L969" s="2304">
        <f t="shared" si="140"/>
        <v>0</v>
      </c>
      <c r="M969" s="2304">
        <f t="shared" si="141"/>
        <v>0</v>
      </c>
      <c r="N969" s="2304">
        <f t="shared" si="142"/>
        <v>0</v>
      </c>
      <c r="O969" s="2305">
        <f t="shared" si="143"/>
        <v>0</v>
      </c>
      <c r="P969" s="2155"/>
    </row>
    <row r="970" spans="1:16" s="2105" customFormat="1" outlineLevel="1">
      <c r="A970" s="2108" t="str">
        <f>IF(G970&lt;&gt;0,1,"")</f>
        <v/>
      </c>
      <c r="B970" s="2118" t="s">
        <v>1477</v>
      </c>
      <c r="C970" s="2119"/>
      <c r="D970" s="2120"/>
      <c r="E970" s="2121" t="s">
        <v>4335</v>
      </c>
      <c r="F970" s="2120" t="s">
        <v>2555</v>
      </c>
      <c r="G970" s="2320">
        <f>3*G965</f>
        <v>0</v>
      </c>
      <c r="H970" s="2123">
        <v>77000</v>
      </c>
      <c r="I970" s="2123"/>
      <c r="J970" s="2123"/>
      <c r="K970" s="2123">
        <v>0</v>
      </c>
      <c r="L970" s="2304">
        <f t="shared" si="140"/>
        <v>0</v>
      </c>
      <c r="M970" s="2304">
        <f t="shared" si="141"/>
        <v>0</v>
      </c>
      <c r="N970" s="2304">
        <f t="shared" si="142"/>
        <v>0</v>
      </c>
      <c r="O970" s="2305">
        <f t="shared" si="143"/>
        <v>0</v>
      </c>
      <c r="P970" s="2155"/>
    </row>
    <row r="971" spans="1:16" s="2105" customFormat="1" outlineLevel="1">
      <c r="A971" s="2108">
        <f>IF(G971&lt;&gt;0,1,0)</f>
        <v>0</v>
      </c>
      <c r="B971" s="2118" t="s">
        <v>5699</v>
      </c>
      <c r="C971" s="2127"/>
      <c r="D971" s="2120">
        <v>0</v>
      </c>
      <c r="E971" s="2121" t="s">
        <v>5700</v>
      </c>
      <c r="F971" s="2152" t="s">
        <v>2555</v>
      </c>
      <c r="G971" s="2320">
        <f>G908</f>
        <v>0</v>
      </c>
      <c r="H971" s="2123">
        <v>218200</v>
      </c>
      <c r="I971" s="2123"/>
      <c r="J971" s="2123">
        <v>0</v>
      </c>
      <c r="K971" s="2123">
        <v>0</v>
      </c>
      <c r="L971" s="2129">
        <f t="shared" si="140"/>
        <v>0</v>
      </c>
      <c r="M971" s="2129">
        <f t="shared" si="141"/>
        <v>0</v>
      </c>
      <c r="N971" s="2129">
        <f t="shared" si="142"/>
        <v>0</v>
      </c>
      <c r="O971" s="2128">
        <f t="shared" si="143"/>
        <v>0</v>
      </c>
      <c r="P971" s="2155"/>
    </row>
    <row r="972" spans="1:16" s="2105" customFormat="1" outlineLevel="1">
      <c r="A972" s="2108">
        <f>IF(G972&lt;&gt;0,1,0)</f>
        <v>0</v>
      </c>
      <c r="B972" s="2118" t="s">
        <v>5705</v>
      </c>
      <c r="C972" s="2127"/>
      <c r="D972" s="2120">
        <v>0</v>
      </c>
      <c r="E972" s="2121" t="s">
        <v>5706</v>
      </c>
      <c r="F972" s="2152" t="s">
        <v>2555</v>
      </c>
      <c r="G972" s="2320">
        <f>G910</f>
        <v>0</v>
      </c>
      <c r="H972" s="2123">
        <v>39100</v>
      </c>
      <c r="I972" s="2123"/>
      <c r="J972" s="2123">
        <v>0</v>
      </c>
      <c r="K972" s="2123">
        <v>0</v>
      </c>
      <c r="L972" s="2129">
        <f t="shared" si="140"/>
        <v>0</v>
      </c>
      <c r="M972" s="2129">
        <f t="shared" si="141"/>
        <v>0</v>
      </c>
      <c r="N972" s="2129">
        <f t="shared" si="142"/>
        <v>0</v>
      </c>
      <c r="O972" s="2128">
        <f t="shared" si="143"/>
        <v>0</v>
      </c>
      <c r="P972" s="2155"/>
    </row>
    <row r="973" spans="1:16" s="2105" customFormat="1" outlineLevel="1">
      <c r="A973" s="2108">
        <f>IF(G973&lt;&gt;0,1,0)</f>
        <v>0</v>
      </c>
      <c r="B973" s="2118" t="s">
        <v>5707</v>
      </c>
      <c r="C973" s="2127"/>
      <c r="D973" s="2120">
        <v>0</v>
      </c>
      <c r="E973" s="2121" t="s">
        <v>5708</v>
      </c>
      <c r="F973" s="2152" t="s">
        <v>2555</v>
      </c>
      <c r="G973" s="2320">
        <f>G907</f>
        <v>0</v>
      </c>
      <c r="H973" s="2123">
        <v>56700</v>
      </c>
      <c r="I973" s="2123"/>
      <c r="J973" s="2123">
        <v>0</v>
      </c>
      <c r="K973" s="2123">
        <v>0</v>
      </c>
      <c r="L973" s="2129">
        <f t="shared" si="140"/>
        <v>0</v>
      </c>
      <c r="M973" s="2129">
        <f t="shared" si="141"/>
        <v>0</v>
      </c>
      <c r="N973" s="2129">
        <f t="shared" si="142"/>
        <v>0</v>
      </c>
      <c r="O973" s="2128">
        <f t="shared" si="143"/>
        <v>0</v>
      </c>
      <c r="P973" s="2155"/>
    </row>
    <row r="974" spans="1:16" s="2105" customFormat="1" outlineLevel="1">
      <c r="A974" s="2108">
        <f>IF(G974&lt;&gt;0,1,0)</f>
        <v>0</v>
      </c>
      <c r="B974" s="2118" t="s">
        <v>6156</v>
      </c>
      <c r="C974" s="2127"/>
      <c r="D974" s="2120">
        <v>0</v>
      </c>
      <c r="E974" s="2121" t="s">
        <v>4538</v>
      </c>
      <c r="F974" s="2152" t="s">
        <v>3445</v>
      </c>
      <c r="G974" s="2320">
        <f>G969</f>
        <v>0</v>
      </c>
      <c r="H974" s="2123">
        <v>136800</v>
      </c>
      <c r="I974" s="2123"/>
      <c r="J974" s="2123">
        <v>0</v>
      </c>
      <c r="K974" s="2123">
        <v>0</v>
      </c>
      <c r="L974" s="2129">
        <f>H974*G974</f>
        <v>0</v>
      </c>
      <c r="M974" s="2129">
        <f>I974*G974</f>
        <v>0</v>
      </c>
      <c r="N974" s="2129">
        <f>J974*G974</f>
        <v>0</v>
      </c>
      <c r="O974" s="2128">
        <f>K974*G974</f>
        <v>0</v>
      </c>
      <c r="P974" s="2155"/>
    </row>
    <row r="975" spans="1:16" s="2105" customFormat="1" outlineLevel="1">
      <c r="A975" s="2108" t="str">
        <f>IF(G975&lt;&gt;0,1,"")</f>
        <v/>
      </c>
      <c r="B975" s="2118" t="s">
        <v>1525</v>
      </c>
      <c r="C975" s="2119"/>
      <c r="D975" s="2120" t="s">
        <v>5571</v>
      </c>
      <c r="E975" s="2121" t="s">
        <v>3292</v>
      </c>
      <c r="F975" s="2120" t="s">
        <v>1823</v>
      </c>
      <c r="G975" s="2320">
        <f>G967</f>
        <v>0</v>
      </c>
      <c r="H975" s="2123">
        <v>0</v>
      </c>
      <c r="I975" s="2123"/>
      <c r="J975" s="2123">
        <v>13915</v>
      </c>
      <c r="K975" s="2123">
        <v>0</v>
      </c>
      <c r="L975" s="2304">
        <f>H975*G975</f>
        <v>0</v>
      </c>
      <c r="M975" s="2304">
        <f>I975*G975</f>
        <v>0</v>
      </c>
      <c r="N975" s="2304">
        <f>J975*G975</f>
        <v>0</v>
      </c>
      <c r="O975" s="2305">
        <f>K975*G975</f>
        <v>0</v>
      </c>
      <c r="P975" s="2155"/>
    </row>
    <row r="976" spans="1:16" s="2105" customFormat="1" outlineLevel="1">
      <c r="A976" s="2108" t="str">
        <f>A970</f>
        <v/>
      </c>
      <c r="B976" s="2130"/>
      <c r="C976" s="2145">
        <f>IF(G976&gt;0,C965+1,C965)</f>
        <v>0</v>
      </c>
      <c r="D976" s="2318"/>
      <c r="E976" s="2340" t="s">
        <v>6196</v>
      </c>
      <c r="F976" s="2145" t="s">
        <v>2385</v>
      </c>
      <c r="G976" s="2325">
        <f>G917</f>
        <v>0</v>
      </c>
      <c r="H976" s="2128"/>
      <c r="I976" s="2128"/>
      <c r="J976" s="2128"/>
      <c r="K976" s="2128"/>
      <c r="L976" s="2304">
        <f>H976*G976</f>
        <v>0</v>
      </c>
      <c r="M976" s="2304">
        <f>I976*G976</f>
        <v>0</v>
      </c>
      <c r="N976" s="2304">
        <f>J976*G976</f>
        <v>0</v>
      </c>
      <c r="O976" s="2305">
        <f>K976*G976</f>
        <v>0</v>
      </c>
      <c r="P976" s="2155"/>
    </row>
    <row r="977" spans="1:16" s="2105" customFormat="1" ht="14.4" outlineLevel="1">
      <c r="A977" s="2108" t="str">
        <f>A976</f>
        <v/>
      </c>
      <c r="B977" s="2130"/>
      <c r="C977" s="2145"/>
      <c r="D977" s="2318"/>
      <c r="E977" s="2341" t="s">
        <v>6133</v>
      </c>
      <c r="F977" s="2120"/>
      <c r="G977" s="2227"/>
      <c r="H977" s="2128"/>
      <c r="I977" s="2128"/>
      <c r="J977" s="2128"/>
      <c r="K977" s="2128"/>
      <c r="L977" s="2304">
        <f t="shared" ref="L977:L993" si="146">H977*G977</f>
        <v>0</v>
      </c>
      <c r="M977" s="2304">
        <f t="shared" ref="M977:M993" si="147">I977*G977</f>
        <v>0</v>
      </c>
      <c r="N977" s="2304">
        <f t="shared" ref="N977:N993" si="148">J977*G977</f>
        <v>0</v>
      </c>
      <c r="O977" s="2305">
        <f t="shared" ref="O977:O993" si="149">K977*G977</f>
        <v>0</v>
      </c>
      <c r="P977" s="2155"/>
    </row>
    <row r="978" spans="1:16" s="2105" customFormat="1" outlineLevel="1">
      <c r="A978" s="2108" t="str">
        <f>IF(G978&lt;&gt;0,1,"")</f>
        <v/>
      </c>
      <c r="B978" s="2130" t="s">
        <v>6158</v>
      </c>
      <c r="C978" s="2119"/>
      <c r="D978" s="2120">
        <v>0</v>
      </c>
      <c r="E978" s="2121" t="s">
        <v>2796</v>
      </c>
      <c r="F978" s="2120" t="s">
        <v>2532</v>
      </c>
      <c r="G978" s="2320">
        <f>G976*27.5</f>
        <v>0</v>
      </c>
      <c r="H978" s="2123">
        <v>194893</v>
      </c>
      <c r="I978" s="2123"/>
      <c r="J978" s="2123">
        <v>0</v>
      </c>
      <c r="K978" s="2123">
        <v>0</v>
      </c>
      <c r="L978" s="2304">
        <f t="shared" si="146"/>
        <v>0</v>
      </c>
      <c r="M978" s="2304">
        <f t="shared" si="147"/>
        <v>0</v>
      </c>
      <c r="N978" s="2304">
        <f t="shared" si="148"/>
        <v>0</v>
      </c>
      <c r="O978" s="2305">
        <f t="shared" si="149"/>
        <v>0</v>
      </c>
      <c r="P978" s="2155"/>
    </row>
    <row r="979" spans="1:16" s="2105" customFormat="1" outlineLevel="1">
      <c r="A979" s="2108" t="str">
        <f t="shared" ref="A979:A995" si="150">IF(G979&lt;&gt;0,1,"")</f>
        <v/>
      </c>
      <c r="B979" s="2130" t="s">
        <v>1406</v>
      </c>
      <c r="C979" s="2119"/>
      <c r="D979" s="2120">
        <v>0</v>
      </c>
      <c r="E979" s="2121" t="s">
        <v>2790</v>
      </c>
      <c r="F979" s="2120" t="s">
        <v>2532</v>
      </c>
      <c r="G979" s="2320">
        <f>G976*7</f>
        <v>0</v>
      </c>
      <c r="H979" s="2123">
        <v>59600</v>
      </c>
      <c r="I979" s="2123"/>
      <c r="J979" s="2123">
        <v>0</v>
      </c>
      <c r="K979" s="2123">
        <v>0</v>
      </c>
      <c r="L979" s="2304">
        <f t="shared" si="146"/>
        <v>0</v>
      </c>
      <c r="M979" s="2304">
        <f t="shared" si="147"/>
        <v>0</v>
      </c>
      <c r="N979" s="2304">
        <f t="shared" si="148"/>
        <v>0</v>
      </c>
      <c r="O979" s="2305">
        <f t="shared" si="149"/>
        <v>0</v>
      </c>
      <c r="P979" s="2155"/>
    </row>
    <row r="980" spans="1:16" s="2105" customFormat="1" outlineLevel="1">
      <c r="A980" s="2108" t="str">
        <f t="shared" si="150"/>
        <v/>
      </c>
      <c r="B980" s="2130" t="s">
        <v>2276</v>
      </c>
      <c r="C980" s="2127"/>
      <c r="D980" s="2120"/>
      <c r="E980" s="2121" t="s">
        <v>2786</v>
      </c>
      <c r="F980" s="2120" t="s">
        <v>2532</v>
      </c>
      <c r="G980" s="2320">
        <f>4*G976</f>
        <v>0</v>
      </c>
      <c r="H980" s="2123">
        <v>63200</v>
      </c>
      <c r="I980" s="2123"/>
      <c r="J980" s="2123">
        <v>0</v>
      </c>
      <c r="K980" s="2123">
        <v>0</v>
      </c>
      <c r="L980" s="2209">
        <f t="shared" si="146"/>
        <v>0</v>
      </c>
      <c r="M980" s="2209">
        <f t="shared" si="147"/>
        <v>0</v>
      </c>
      <c r="N980" s="2209">
        <f t="shared" si="148"/>
        <v>0</v>
      </c>
      <c r="O980" s="2210">
        <f t="shared" si="149"/>
        <v>0</v>
      </c>
      <c r="P980" s="2155"/>
    </row>
    <row r="981" spans="1:16" s="2105" customFormat="1" outlineLevel="1">
      <c r="A981" s="2108" t="str">
        <f t="shared" si="150"/>
        <v/>
      </c>
      <c r="B981" s="2130" t="s">
        <v>6197</v>
      </c>
      <c r="C981" s="2119"/>
      <c r="D981" s="2120" t="s">
        <v>5729</v>
      </c>
      <c r="E981" s="2121" t="s">
        <v>3483</v>
      </c>
      <c r="F981" s="2120" t="s">
        <v>2555</v>
      </c>
      <c r="G981" s="2320">
        <f>G976*6</f>
        <v>0</v>
      </c>
      <c r="H981" s="2123">
        <v>36000</v>
      </c>
      <c r="I981" s="2123"/>
      <c r="J981" s="2123">
        <v>33342.43</v>
      </c>
      <c r="K981" s="2123">
        <v>4443.237196</v>
      </c>
      <c r="L981" s="2304">
        <f t="shared" si="146"/>
        <v>0</v>
      </c>
      <c r="M981" s="2304">
        <f t="shared" si="147"/>
        <v>0</v>
      </c>
      <c r="N981" s="2304">
        <f t="shared" si="148"/>
        <v>0</v>
      </c>
      <c r="O981" s="2305">
        <f t="shared" si="149"/>
        <v>0</v>
      </c>
      <c r="P981" s="2155"/>
    </row>
    <row r="982" spans="1:16" s="2105" customFormat="1" outlineLevel="1">
      <c r="A982" s="2108" t="str">
        <f t="shared" si="150"/>
        <v/>
      </c>
      <c r="B982" s="2130" t="s">
        <v>6198</v>
      </c>
      <c r="C982" s="2119"/>
      <c r="D982" s="2120" t="s">
        <v>5725</v>
      </c>
      <c r="E982" s="2121" t="s">
        <v>3479</v>
      </c>
      <c r="F982" s="2120" t="s">
        <v>2555</v>
      </c>
      <c r="G982" s="2320">
        <f>G976*2</f>
        <v>0</v>
      </c>
      <c r="H982" s="2123">
        <v>9100</v>
      </c>
      <c r="I982" s="2123"/>
      <c r="J982" s="2123">
        <v>10608.955000000002</v>
      </c>
      <c r="K982" s="2123">
        <v>2777.0232475000003</v>
      </c>
      <c r="L982" s="2304">
        <f t="shared" si="146"/>
        <v>0</v>
      </c>
      <c r="M982" s="2304">
        <f t="shared" si="147"/>
        <v>0</v>
      </c>
      <c r="N982" s="2304">
        <f t="shared" si="148"/>
        <v>0</v>
      </c>
      <c r="O982" s="2305">
        <f t="shared" si="149"/>
        <v>0</v>
      </c>
      <c r="P982" s="2155"/>
    </row>
    <row r="983" spans="1:16" s="2105" customFormat="1" outlineLevel="1">
      <c r="A983" s="2108" t="str">
        <f t="shared" si="150"/>
        <v/>
      </c>
      <c r="B983" s="2130" t="s">
        <v>6199</v>
      </c>
      <c r="C983" s="2119"/>
      <c r="D983" s="2120">
        <v>0</v>
      </c>
      <c r="E983" s="2121" t="s">
        <v>3497</v>
      </c>
      <c r="F983" s="2120" t="s">
        <v>2555</v>
      </c>
      <c r="G983" s="2320">
        <f>G981</f>
        <v>0</v>
      </c>
      <c r="H983" s="2123">
        <v>5000</v>
      </c>
      <c r="I983" s="2123"/>
      <c r="J983" s="2123">
        <v>0</v>
      </c>
      <c r="K983" s="2123">
        <v>0</v>
      </c>
      <c r="L983" s="2304">
        <f t="shared" si="146"/>
        <v>0</v>
      </c>
      <c r="M983" s="2304">
        <f t="shared" si="147"/>
        <v>0</v>
      </c>
      <c r="N983" s="2304">
        <f t="shared" si="148"/>
        <v>0</v>
      </c>
      <c r="O983" s="2305">
        <f t="shared" si="149"/>
        <v>0</v>
      </c>
      <c r="P983" s="2155"/>
    </row>
    <row r="984" spans="1:16" s="2105" customFormat="1" outlineLevel="1">
      <c r="A984" s="2108" t="str">
        <f t="shared" si="150"/>
        <v/>
      </c>
      <c r="B984" s="2130" t="s">
        <v>1178</v>
      </c>
      <c r="C984" s="2119"/>
      <c r="D984" s="2120">
        <v>0</v>
      </c>
      <c r="E984" s="2121" t="s">
        <v>3493</v>
      </c>
      <c r="F984" s="2120" t="s">
        <v>2555</v>
      </c>
      <c r="G984" s="2320">
        <f>G982</f>
        <v>0</v>
      </c>
      <c r="H984" s="2123">
        <v>1000</v>
      </c>
      <c r="I984" s="2123"/>
      <c r="J984" s="2123">
        <v>0</v>
      </c>
      <c r="K984" s="2123">
        <v>0</v>
      </c>
      <c r="L984" s="2304">
        <f t="shared" si="146"/>
        <v>0</v>
      </c>
      <c r="M984" s="2304">
        <f t="shared" si="147"/>
        <v>0</v>
      </c>
      <c r="N984" s="2304">
        <f t="shared" si="148"/>
        <v>0</v>
      </c>
      <c r="O984" s="2305">
        <f t="shared" si="149"/>
        <v>0</v>
      </c>
      <c r="P984" s="2155"/>
    </row>
    <row r="985" spans="1:16" s="2105" customFormat="1" outlineLevel="1">
      <c r="A985" s="2108" t="str">
        <f t="shared" si="150"/>
        <v/>
      </c>
      <c r="B985" s="2130" t="s">
        <v>1042</v>
      </c>
      <c r="C985" s="2119"/>
      <c r="D985" s="2120">
        <v>0</v>
      </c>
      <c r="E985" s="2121" t="s">
        <v>3531</v>
      </c>
      <c r="F985" s="2120" t="s">
        <v>1823</v>
      </c>
      <c r="G985" s="2320">
        <f>4*G976</f>
        <v>0</v>
      </c>
      <c r="H985" s="2123">
        <v>103700</v>
      </c>
      <c r="I985" s="2128"/>
      <c r="J985" s="2123">
        <v>0</v>
      </c>
      <c r="K985" s="2123">
        <v>0</v>
      </c>
      <c r="L985" s="2304">
        <f t="shared" si="146"/>
        <v>0</v>
      </c>
      <c r="M985" s="2304">
        <f t="shared" si="147"/>
        <v>0</v>
      </c>
      <c r="N985" s="2304">
        <f t="shared" si="148"/>
        <v>0</v>
      </c>
      <c r="O985" s="2305">
        <f t="shared" si="149"/>
        <v>0</v>
      </c>
      <c r="P985" s="2155"/>
    </row>
    <row r="986" spans="1:16" s="2105" customFormat="1" outlineLevel="1">
      <c r="A986" s="2108" t="str">
        <f t="shared" si="150"/>
        <v/>
      </c>
      <c r="B986" s="2133" t="s">
        <v>1862</v>
      </c>
      <c r="C986" s="2119"/>
      <c r="D986" s="2120">
        <v>0</v>
      </c>
      <c r="E986" s="2121" t="s">
        <v>5258</v>
      </c>
      <c r="F986" s="2120" t="s">
        <v>2439</v>
      </c>
      <c r="G986" s="2320">
        <f>2*G976</f>
        <v>0</v>
      </c>
      <c r="H986" s="2123">
        <v>50000</v>
      </c>
      <c r="I986" s="2128"/>
      <c r="J986" s="2123">
        <v>0</v>
      </c>
      <c r="K986" s="2123">
        <v>0</v>
      </c>
      <c r="L986" s="2304">
        <f t="shared" si="146"/>
        <v>0</v>
      </c>
      <c r="M986" s="2304">
        <f t="shared" si="147"/>
        <v>0</v>
      </c>
      <c r="N986" s="2304">
        <f t="shared" si="148"/>
        <v>0</v>
      </c>
      <c r="O986" s="2305">
        <f t="shared" si="149"/>
        <v>0</v>
      </c>
      <c r="P986" s="2155"/>
    </row>
    <row r="987" spans="1:16" s="2105" customFormat="1" outlineLevel="1">
      <c r="A987" s="2108" t="str">
        <f t="shared" si="150"/>
        <v/>
      </c>
      <c r="B987" s="2130" t="s">
        <v>70</v>
      </c>
      <c r="C987" s="2119"/>
      <c r="D987" s="2120">
        <v>0</v>
      </c>
      <c r="E987" s="2121" t="s">
        <v>5797</v>
      </c>
      <c r="F987" s="2120" t="s">
        <v>2555</v>
      </c>
      <c r="G987" s="2320">
        <f>2*G976</f>
        <v>0</v>
      </c>
      <c r="H987" s="2123">
        <v>45400</v>
      </c>
      <c r="I987" s="2128"/>
      <c r="J987" s="2123">
        <v>0</v>
      </c>
      <c r="K987" s="2123">
        <v>0</v>
      </c>
      <c r="L987" s="2304">
        <f t="shared" si="146"/>
        <v>0</v>
      </c>
      <c r="M987" s="2304">
        <f t="shared" si="147"/>
        <v>0</v>
      </c>
      <c r="N987" s="2304">
        <f t="shared" si="148"/>
        <v>0</v>
      </c>
      <c r="O987" s="2305">
        <f t="shared" si="149"/>
        <v>0</v>
      </c>
      <c r="P987" s="2155"/>
    </row>
    <row r="988" spans="1:16" s="2105" customFormat="1" outlineLevel="1">
      <c r="A988" s="2108" t="str">
        <f t="shared" si="150"/>
        <v/>
      </c>
      <c r="B988" s="2130" t="s">
        <v>2167</v>
      </c>
      <c r="C988" s="2119"/>
      <c r="D988" s="2120">
        <v>0</v>
      </c>
      <c r="E988" s="2121" t="s">
        <v>3575</v>
      </c>
      <c r="F988" s="2120" t="s">
        <v>2555</v>
      </c>
      <c r="G988" s="2320">
        <f>+G976</f>
        <v>0</v>
      </c>
      <c r="H988" s="2123">
        <v>41900</v>
      </c>
      <c r="I988" s="2128"/>
      <c r="J988" s="2123">
        <v>0</v>
      </c>
      <c r="K988" s="2123">
        <v>0</v>
      </c>
      <c r="L988" s="2304">
        <f t="shared" si="146"/>
        <v>0</v>
      </c>
      <c r="M988" s="2304">
        <f t="shared" si="147"/>
        <v>0</v>
      </c>
      <c r="N988" s="2304">
        <f t="shared" si="148"/>
        <v>0</v>
      </c>
      <c r="O988" s="2305">
        <f t="shared" si="149"/>
        <v>0</v>
      </c>
      <c r="P988" s="2155"/>
    </row>
    <row r="989" spans="1:16" s="2105" customFormat="1" outlineLevel="1">
      <c r="A989" s="2108" t="str">
        <f t="shared" si="150"/>
        <v/>
      </c>
      <c r="B989" s="2130" t="s">
        <v>2168</v>
      </c>
      <c r="C989" s="2119"/>
      <c r="D989" s="2120">
        <v>0</v>
      </c>
      <c r="E989" s="2121" t="s">
        <v>3579</v>
      </c>
      <c r="F989" s="2120" t="s">
        <v>2555</v>
      </c>
      <c r="G989" s="2320">
        <f>+G988</f>
        <v>0</v>
      </c>
      <c r="H989" s="2123">
        <v>41900</v>
      </c>
      <c r="I989" s="2128"/>
      <c r="J989" s="2123">
        <v>0</v>
      </c>
      <c r="K989" s="2123">
        <v>0</v>
      </c>
      <c r="L989" s="2304">
        <f>H989*G989</f>
        <v>0</v>
      </c>
      <c r="M989" s="2304">
        <f>I989*G989</f>
        <v>0</v>
      </c>
      <c r="N989" s="2304">
        <f>J989*G989</f>
        <v>0</v>
      </c>
      <c r="O989" s="2305">
        <f>K989*G989</f>
        <v>0</v>
      </c>
      <c r="P989" s="2155"/>
    </row>
    <row r="990" spans="1:16" s="2105" customFormat="1" outlineLevel="1">
      <c r="A990" s="2108" t="str">
        <f t="shared" si="150"/>
        <v/>
      </c>
      <c r="B990" s="2130" t="s">
        <v>419</v>
      </c>
      <c r="C990" s="2119"/>
      <c r="D990" s="2120">
        <v>0</v>
      </c>
      <c r="E990" s="2121" t="s">
        <v>3570</v>
      </c>
      <c r="F990" s="2120" t="s">
        <v>3571</v>
      </c>
      <c r="G990" s="2320">
        <f>G976*1</f>
        <v>0</v>
      </c>
      <c r="H990" s="2123">
        <v>11500</v>
      </c>
      <c r="I990" s="2128"/>
      <c r="J990" s="2123">
        <v>0</v>
      </c>
      <c r="K990" s="2123">
        <v>0</v>
      </c>
      <c r="L990" s="2304">
        <f t="shared" si="146"/>
        <v>0</v>
      </c>
      <c r="M990" s="2304">
        <f t="shared" si="147"/>
        <v>0</v>
      </c>
      <c r="N990" s="2304">
        <f t="shared" si="148"/>
        <v>0</v>
      </c>
      <c r="O990" s="2305">
        <f t="shared" si="149"/>
        <v>0</v>
      </c>
      <c r="P990" s="2155"/>
    </row>
    <row r="991" spans="1:16" s="2105" customFormat="1" outlineLevel="1">
      <c r="A991" s="2108" t="str">
        <f t="shared" si="150"/>
        <v/>
      </c>
      <c r="B991" s="2130" t="s">
        <v>489</v>
      </c>
      <c r="C991" s="2119"/>
      <c r="D991" s="2120">
        <v>0</v>
      </c>
      <c r="E991" s="2121" t="s">
        <v>3567</v>
      </c>
      <c r="F991" s="2120" t="s">
        <v>5806</v>
      </c>
      <c r="G991" s="2320">
        <f>G990</f>
        <v>0</v>
      </c>
      <c r="H991" s="2123">
        <v>45000</v>
      </c>
      <c r="I991" s="2128"/>
      <c r="J991" s="2123">
        <v>0</v>
      </c>
      <c r="K991" s="2123">
        <v>0</v>
      </c>
      <c r="L991" s="2304">
        <f>H991*G991</f>
        <v>0</v>
      </c>
      <c r="M991" s="2304">
        <f>I991*G991</f>
        <v>0</v>
      </c>
      <c r="N991" s="2304">
        <f>J991*G991</f>
        <v>0</v>
      </c>
      <c r="O991" s="2305">
        <f>K991*G991</f>
        <v>0</v>
      </c>
      <c r="P991" s="2155"/>
    </row>
    <row r="992" spans="1:16" s="2105" customFormat="1" outlineLevel="1">
      <c r="A992" s="2108" t="str">
        <f t="shared" si="150"/>
        <v/>
      </c>
      <c r="B992" s="2133" t="s">
        <v>672</v>
      </c>
      <c r="C992" s="2119"/>
      <c r="D992" s="2120">
        <v>0</v>
      </c>
      <c r="E992" s="2121" t="s">
        <v>5801</v>
      </c>
      <c r="F992" s="2120" t="s">
        <v>3566</v>
      </c>
      <c r="G992" s="2320">
        <f>G976*2</f>
        <v>0</v>
      </c>
      <c r="H992" s="2123">
        <v>6500</v>
      </c>
      <c r="I992" s="2128"/>
      <c r="J992" s="2123">
        <v>0</v>
      </c>
      <c r="K992" s="2123">
        <v>0</v>
      </c>
      <c r="L992" s="2304">
        <f t="shared" si="146"/>
        <v>0</v>
      </c>
      <c r="M992" s="2304">
        <f t="shared" si="147"/>
        <v>0</v>
      </c>
      <c r="N992" s="2304">
        <f t="shared" si="148"/>
        <v>0</v>
      </c>
      <c r="O992" s="2305">
        <f t="shared" si="149"/>
        <v>0</v>
      </c>
      <c r="P992" s="2179"/>
    </row>
    <row r="993" spans="1:18" s="2105" customFormat="1" outlineLevel="1">
      <c r="A993" s="2108" t="str">
        <f t="shared" si="150"/>
        <v/>
      </c>
      <c r="B993" s="2130" t="s">
        <v>2182</v>
      </c>
      <c r="C993" s="2127"/>
      <c r="D993" s="2120" t="s">
        <v>5547</v>
      </c>
      <c r="E993" s="2121" t="s">
        <v>3252</v>
      </c>
      <c r="F993" s="2120" t="s">
        <v>2532</v>
      </c>
      <c r="G993" s="2320"/>
      <c r="H993" s="2123"/>
      <c r="I993" s="2128"/>
      <c r="J993" s="2123">
        <v>55493.02</v>
      </c>
      <c r="K993" s="2123">
        <v>0</v>
      </c>
      <c r="L993" s="2129">
        <f t="shared" si="146"/>
        <v>0</v>
      </c>
      <c r="M993" s="2129">
        <f t="shared" si="147"/>
        <v>0</v>
      </c>
      <c r="N993" s="2129">
        <f t="shared" si="148"/>
        <v>0</v>
      </c>
      <c r="O993" s="2128">
        <f t="shared" si="149"/>
        <v>0</v>
      </c>
      <c r="P993" s="2155"/>
    </row>
    <row r="994" spans="1:18" s="2105" customFormat="1" outlineLevel="1">
      <c r="A994" s="2108" t="str">
        <f t="shared" si="150"/>
        <v/>
      </c>
      <c r="B994" s="2133" t="s">
        <v>1525</v>
      </c>
      <c r="C994" s="2127"/>
      <c r="D994" s="2120" t="s">
        <v>5571</v>
      </c>
      <c r="E994" s="2121" t="s">
        <v>3292</v>
      </c>
      <c r="F994" s="2120" t="s">
        <v>1823</v>
      </c>
      <c r="G994" s="2320">
        <f>G978+G979</f>
        <v>0</v>
      </c>
      <c r="H994" s="2123"/>
      <c r="I994" s="2128"/>
      <c r="J994" s="2123">
        <v>13915</v>
      </c>
      <c r="K994" s="2123">
        <v>0</v>
      </c>
      <c r="L994" s="2129">
        <f>H994*G994</f>
        <v>0</v>
      </c>
      <c r="M994" s="2129">
        <f>I994*G994</f>
        <v>0</v>
      </c>
      <c r="N994" s="2129">
        <f>J994*G994</f>
        <v>0</v>
      </c>
      <c r="O994" s="2128">
        <f>K994*G994</f>
        <v>0</v>
      </c>
      <c r="P994" s="2155"/>
    </row>
    <row r="995" spans="1:18" s="2105" customFormat="1" outlineLevel="1">
      <c r="A995" s="2108" t="str">
        <f t="shared" si="150"/>
        <v/>
      </c>
      <c r="B995" s="2130" t="s">
        <v>289</v>
      </c>
      <c r="C995" s="2342">
        <f>IF(G995&gt;0,C976+1,C976)</f>
        <v>0</v>
      </c>
      <c r="D995" s="2343"/>
      <c r="E995" s="2121" t="s">
        <v>5712</v>
      </c>
      <c r="F995" s="2120" t="s">
        <v>2555</v>
      </c>
      <c r="G995" s="2320">
        <f>G976</f>
        <v>0</v>
      </c>
      <c r="H995" s="2123">
        <v>300000</v>
      </c>
      <c r="I995" s="2163"/>
      <c r="J995" s="2123"/>
      <c r="K995" s="2123">
        <v>0</v>
      </c>
      <c r="L995" s="2344">
        <f>H995*G995</f>
        <v>0</v>
      </c>
      <c r="M995" s="2344">
        <f>I995*G995</f>
        <v>0</v>
      </c>
      <c r="N995" s="2344">
        <f>J995*G995</f>
        <v>0</v>
      </c>
      <c r="O995" s="2345">
        <f>K995*G995</f>
        <v>0</v>
      </c>
      <c r="P995" s="2299"/>
    </row>
    <row r="996" spans="1:18" s="2105" customFormat="1" outlineLevel="1">
      <c r="A996" s="2108" t="str">
        <f>A995</f>
        <v/>
      </c>
      <c r="B996" s="2130"/>
      <c r="C996" s="2346"/>
      <c r="D996" s="2347"/>
      <c r="E996" s="2313"/>
      <c r="F996" s="2631"/>
      <c r="G996" s="2631"/>
      <c r="H996" s="2631"/>
      <c r="I996" s="2631"/>
      <c r="J996" s="2656" t="s">
        <v>6131</v>
      </c>
      <c r="K996" s="2656"/>
      <c r="L996" s="2348">
        <f>SUM(L919:L995)</f>
        <v>0</v>
      </c>
      <c r="M996" s="2348"/>
      <c r="N996" s="2348">
        <f>SUM(N919:N995)</f>
        <v>0</v>
      </c>
      <c r="O996" s="2348">
        <f>SUM(O919:O995)</f>
        <v>0</v>
      </c>
      <c r="P996" s="2349"/>
    </row>
    <row r="997" spans="1:18" s="2105" customFormat="1" outlineLevel="1">
      <c r="A997" s="2108"/>
      <c r="B997" s="2130"/>
      <c r="C997" s="2350"/>
      <c r="D997" s="2350"/>
      <c r="E997" s="2351"/>
      <c r="F997" s="2632"/>
      <c r="G997" s="2632"/>
      <c r="H997" s="2632"/>
      <c r="I997" s="2632"/>
      <c r="J997" s="2351"/>
      <c r="K997" s="2351"/>
      <c r="L997" s="2352"/>
      <c r="M997" s="2352"/>
      <c r="N997" s="2352"/>
      <c r="O997" s="2352"/>
    </row>
    <row r="998" spans="1:18" s="2105" customFormat="1" outlineLevel="1">
      <c r="A998" s="2149" t="str">
        <f>IF(G1004&lt;&gt;0,1,"")</f>
        <v/>
      </c>
      <c r="B998" s="2130"/>
      <c r="C998" s="2350"/>
      <c r="D998" s="2350"/>
      <c r="E998" s="2351"/>
      <c r="F998" s="2632"/>
      <c r="G998" s="2632"/>
      <c r="H998" s="2632"/>
      <c r="I998" s="2632"/>
      <c r="J998" s="2351"/>
      <c r="K998" s="2351"/>
      <c r="L998" s="2352"/>
      <c r="M998" s="2352"/>
      <c r="N998" s="2352"/>
      <c r="O998" s="2352"/>
      <c r="P998" s="2353"/>
    </row>
    <row r="999" spans="1:18" s="2105" customFormat="1" outlineLevel="1">
      <c r="A999" s="2149"/>
      <c r="B999" s="2212"/>
      <c r="C999" s="2149"/>
      <c r="D999" s="2300"/>
      <c r="E999" s="2144" t="s">
        <v>6200</v>
      </c>
      <c r="F999" s="2630"/>
      <c r="G999" s="2630"/>
      <c r="H999" s="2630"/>
      <c r="I999" s="2630"/>
      <c r="J999" s="2301"/>
      <c r="K999" s="2301"/>
      <c r="L999" s="2302"/>
      <c r="M999" s="2302"/>
      <c r="N999" s="2302"/>
      <c r="O999" s="2302"/>
    </row>
    <row r="1000" spans="1:18" s="2105" customFormat="1" outlineLevel="1">
      <c r="A1000" s="2149" t="str">
        <f>A998</f>
        <v/>
      </c>
      <c r="B1000" s="2303"/>
      <c r="C1000" s="2624" t="str">
        <f>"BẢNG TỔNG HỢP VẬT LIỆU, NHÂN CÔNG, MÁY THI CÔNG 1 TRẠM3P_3x100KVA"</f>
        <v>BẢNG TỔNG HỢP VẬT LIỆU, NHÂN CÔNG, MÁY THI CÔNG 1 TRẠM3P_3x100KVA</v>
      </c>
      <c r="D1000" s="2624"/>
      <c r="E1000" s="2624"/>
      <c r="F1000" s="2624"/>
      <c r="G1000" s="2624"/>
      <c r="H1000" s="2624"/>
      <c r="I1000" s="2624"/>
      <c r="J1000" s="2624"/>
      <c r="K1000" s="2624"/>
      <c r="L1000" s="2624"/>
      <c r="M1000" s="2624"/>
      <c r="N1000" s="2624"/>
      <c r="O1000" s="2624"/>
      <c r="P1000" s="2353"/>
    </row>
    <row r="1001" spans="1:18" s="2105" customFormat="1" outlineLevel="1">
      <c r="A1001" s="2108" t="str">
        <f>A1000</f>
        <v/>
      </c>
      <c r="B1001" s="2130" t="s">
        <v>6112</v>
      </c>
      <c r="C1001" s="2648" t="s">
        <v>1708</v>
      </c>
      <c r="D1001" s="2649" t="s">
        <v>2597</v>
      </c>
      <c r="E1001" s="2651" t="s">
        <v>2598</v>
      </c>
      <c r="F1001" s="2648" t="s">
        <v>2593</v>
      </c>
      <c r="G1001" s="2109" t="s">
        <v>6113</v>
      </c>
      <c r="H1001" s="2112" t="s">
        <v>6114</v>
      </c>
      <c r="I1001" s="2619"/>
      <c r="J1001" s="2619"/>
      <c r="K1001" s="2620"/>
      <c r="L1001" s="2112" t="s">
        <v>6115</v>
      </c>
      <c r="M1001" s="2619"/>
      <c r="N1001" s="2619"/>
      <c r="O1001" s="2620"/>
      <c r="P1001" s="2648" t="s">
        <v>2599</v>
      </c>
    </row>
    <row r="1002" spans="1:18" s="2105" customFormat="1" outlineLevel="1">
      <c r="A1002" s="2108" t="str">
        <f>A1001</f>
        <v/>
      </c>
      <c r="B1002" s="2130"/>
      <c r="C1002" s="2648"/>
      <c r="D1002" s="2650"/>
      <c r="E1002" s="2652"/>
      <c r="F1002" s="2648"/>
      <c r="G1002" s="2111" t="s">
        <v>2286</v>
      </c>
      <c r="H1002" s="2112" t="s">
        <v>6116</v>
      </c>
      <c r="I1002" s="2112" t="s">
        <v>6117</v>
      </c>
      <c r="J1002" s="2112" t="s">
        <v>6118</v>
      </c>
      <c r="K1002" s="2112" t="s">
        <v>6119</v>
      </c>
      <c r="L1002" s="2112" t="s">
        <v>6116</v>
      </c>
      <c r="M1002" s="2112" t="s">
        <v>6117</v>
      </c>
      <c r="N1002" s="2112" t="s">
        <v>6118</v>
      </c>
      <c r="O1002" s="2112" t="s">
        <v>6119</v>
      </c>
      <c r="P1002" s="2648"/>
    </row>
    <row r="1003" spans="1:18" s="2105" customFormat="1" outlineLevel="1">
      <c r="A1003" s="2108" t="str">
        <f>A1002</f>
        <v/>
      </c>
      <c r="B1003" s="2130"/>
      <c r="C1003" s="2113"/>
      <c r="D1003" s="2114"/>
      <c r="E1003" s="2115" t="s">
        <v>3672</v>
      </c>
      <c r="F1003" s="2116"/>
      <c r="G1003" s="2116"/>
      <c r="H1003" s="2116"/>
      <c r="I1003" s="2116"/>
      <c r="J1003" s="2116"/>
      <c r="K1003" s="2116"/>
      <c r="L1003" s="2116"/>
      <c r="M1003" s="2116"/>
      <c r="N1003" s="2116"/>
      <c r="O1003" s="2114"/>
      <c r="P1003" s="2354"/>
    </row>
    <row r="1004" spans="1:18" s="2105" customFormat="1" outlineLevel="1">
      <c r="A1004" s="2108" t="str">
        <f t="shared" ref="A1004:A1013" si="151">IF(G1004&lt;&gt;0,1,"")</f>
        <v/>
      </c>
      <c r="B1004" s="2118" t="s">
        <v>6201</v>
      </c>
      <c r="C1004" s="2119">
        <f>IF(G1004&gt;0,1,0)</f>
        <v>0</v>
      </c>
      <c r="D1004" s="2120" t="s">
        <v>5586</v>
      </c>
      <c r="E1004" s="2121" t="s">
        <v>3309</v>
      </c>
      <c r="F1004" s="2120" t="s">
        <v>3300</v>
      </c>
      <c r="G1004" s="2305"/>
      <c r="H1004" s="2123"/>
      <c r="I1004" s="2123"/>
      <c r="J1004" s="2123">
        <v>891368</v>
      </c>
      <c r="K1004" s="2123">
        <v>284508</v>
      </c>
      <c r="L1004" s="2304">
        <f t="shared" ref="L1004:L1013" si="152">H1004*G1004</f>
        <v>0</v>
      </c>
      <c r="M1004" s="2304">
        <f t="shared" ref="M1004:M1013" si="153">I1004*G1004</f>
        <v>0</v>
      </c>
      <c r="N1004" s="2304">
        <f t="shared" ref="N1004:N1013" si="154">J1004*G1004</f>
        <v>0</v>
      </c>
      <c r="O1004" s="2305">
        <f t="shared" ref="O1004:O1013" si="155">K1004*G1004</f>
        <v>0</v>
      </c>
      <c r="P1004" s="2355" t="s">
        <v>6173</v>
      </c>
    </row>
    <row r="1005" spans="1:18" s="2105" customFormat="1" outlineLevel="1">
      <c r="A1005" s="2108" t="str">
        <f t="shared" si="151"/>
        <v/>
      </c>
      <c r="B1005" s="2118" t="str">
        <f>"FCO100-"&amp;$F$8</f>
        <v>FCO100-22</v>
      </c>
      <c r="C1005" s="2119">
        <f t="shared" ref="C1005:C1013" si="156">IF(G1005&gt;0,C1004+1,C1004)</f>
        <v>0</v>
      </c>
      <c r="D1005" s="2120" t="s">
        <v>5598</v>
      </c>
      <c r="E1005" s="2121" t="s">
        <v>95</v>
      </c>
      <c r="F1005" s="2120" t="s">
        <v>2555</v>
      </c>
      <c r="G1005" s="2356">
        <f>+G1004-G1006</f>
        <v>0</v>
      </c>
      <c r="H1005" s="2264">
        <v>2244280</v>
      </c>
      <c r="I1005" s="2123"/>
      <c r="J1005" s="2123">
        <v>222639.99999999997</v>
      </c>
      <c r="K1005" s="2123">
        <v>0</v>
      </c>
      <c r="L1005" s="2304">
        <f t="shared" si="152"/>
        <v>0</v>
      </c>
      <c r="M1005" s="2304">
        <f t="shared" si="153"/>
        <v>0</v>
      </c>
      <c r="N1005" s="2304">
        <f t="shared" si="154"/>
        <v>0</v>
      </c>
      <c r="O1005" s="2305">
        <f t="shared" si="155"/>
        <v>0</v>
      </c>
      <c r="P1005" s="2355"/>
    </row>
    <row r="1006" spans="1:18" s="2266" customFormat="1" ht="27.6" outlineLevel="1">
      <c r="A1006" s="2182" t="str">
        <f>IF(G1006&lt;&gt;0,1,"")</f>
        <v/>
      </c>
      <c r="B1006" s="2357" t="str">
        <f>"FCO100-"&amp;$F$8</f>
        <v>FCO100-22</v>
      </c>
      <c r="C1006" s="2268">
        <f>IF(G1006&gt;0,C1005+1,C1005)</f>
        <v>0</v>
      </c>
      <c r="D1006" s="2152" t="s">
        <v>5598</v>
      </c>
      <c r="E1006" s="2194" t="s">
        <v>95</v>
      </c>
      <c r="F1006" s="2152" t="s">
        <v>2555</v>
      </c>
      <c r="G1006" s="2358"/>
      <c r="H1006" s="2359"/>
      <c r="I1006" s="2123"/>
      <c r="J1006" s="2359">
        <v>222639.99999999997</v>
      </c>
      <c r="K1006" s="2359">
        <v>0</v>
      </c>
      <c r="L1006" s="2360">
        <f>H1006*G1006</f>
        <v>0</v>
      </c>
      <c r="M1006" s="2360">
        <f>I1006*G1006</f>
        <v>0</v>
      </c>
      <c r="N1006" s="2360">
        <f>J1006*G1006</f>
        <v>0</v>
      </c>
      <c r="O1006" s="2361">
        <f>K1006*G1006</f>
        <v>0</v>
      </c>
      <c r="P1006" s="2362" t="s">
        <v>6202</v>
      </c>
      <c r="R1006" s="2105"/>
    </row>
    <row r="1007" spans="1:18" s="2105" customFormat="1" outlineLevel="1">
      <c r="A1007" s="2108" t="str">
        <f t="shared" si="151"/>
        <v/>
      </c>
      <c r="B1007" s="2130" t="s">
        <v>1146</v>
      </c>
      <c r="C1007" s="2119">
        <f>IF(G1007&gt;0,C1005+1,C1005)</f>
        <v>0</v>
      </c>
      <c r="D1007" s="2120">
        <v>0</v>
      </c>
      <c r="E1007" s="2121" t="s">
        <v>3425</v>
      </c>
      <c r="F1007" s="2120" t="s">
        <v>2600</v>
      </c>
      <c r="G1007" s="2363"/>
      <c r="H1007" s="2123">
        <v>84000</v>
      </c>
      <c r="I1007" s="2123"/>
      <c r="J1007" s="2123">
        <v>0</v>
      </c>
      <c r="K1007" s="2123">
        <v>0</v>
      </c>
      <c r="L1007" s="2304">
        <f t="shared" si="152"/>
        <v>0</v>
      </c>
      <c r="M1007" s="2304">
        <f t="shared" si="153"/>
        <v>0</v>
      </c>
      <c r="N1007" s="2304">
        <f t="shared" si="154"/>
        <v>0</v>
      </c>
      <c r="O1007" s="2305">
        <f t="shared" si="155"/>
        <v>0</v>
      </c>
      <c r="P1007" s="2364"/>
    </row>
    <row r="1008" spans="1:18" s="2105" customFormat="1" outlineLevel="1">
      <c r="A1008" s="2108" t="str">
        <f t="shared" si="151"/>
        <v/>
      </c>
      <c r="B1008" s="2130" t="str">
        <f>IF($F$6=12,"LA12","LA18")</f>
        <v>LA18</v>
      </c>
      <c r="C1008" s="2119">
        <f t="shared" si="156"/>
        <v>0</v>
      </c>
      <c r="D1008" s="2120" t="s">
        <v>5602</v>
      </c>
      <c r="E1008" s="2121" t="s">
        <v>1193</v>
      </c>
      <c r="F1008" s="2120" t="s">
        <v>2555</v>
      </c>
      <c r="G1008" s="2356">
        <f>G1004-G1009</f>
        <v>0</v>
      </c>
      <c r="H1008" s="2264">
        <v>1106000</v>
      </c>
      <c r="I1008" s="2123"/>
      <c r="J1008" s="2123">
        <v>83490</v>
      </c>
      <c r="K1008" s="2123">
        <v>0</v>
      </c>
      <c r="L1008" s="2304">
        <f t="shared" si="152"/>
        <v>0</v>
      </c>
      <c r="M1008" s="2304">
        <f t="shared" si="153"/>
        <v>0</v>
      </c>
      <c r="N1008" s="2304">
        <f t="shared" si="154"/>
        <v>0</v>
      </c>
      <c r="O1008" s="2305">
        <f t="shared" si="155"/>
        <v>0</v>
      </c>
      <c r="P1008" s="2355"/>
    </row>
    <row r="1009" spans="1:18" s="2266" customFormat="1" ht="41.4" outlineLevel="1">
      <c r="A1009" s="2182" t="str">
        <f>IF(G1009&lt;&gt;0,1,"")</f>
        <v/>
      </c>
      <c r="B1009" s="2261" t="str">
        <f>IF($F$6=12,"LA12","LA18")</f>
        <v>LA18</v>
      </c>
      <c r="C1009" s="2268">
        <f>IF(G1009&gt;0,C1008+1,C1008)</f>
        <v>0</v>
      </c>
      <c r="D1009" s="2152" t="s">
        <v>5602</v>
      </c>
      <c r="E1009" s="2194" t="s">
        <v>1193</v>
      </c>
      <c r="F1009" s="2152" t="s">
        <v>2555</v>
      </c>
      <c r="G1009" s="2358"/>
      <c r="H1009" s="2359"/>
      <c r="I1009" s="2123"/>
      <c r="J1009" s="2359">
        <v>83490</v>
      </c>
      <c r="K1009" s="2359">
        <v>0</v>
      </c>
      <c r="L1009" s="2360">
        <f>H1009*G1009</f>
        <v>0</v>
      </c>
      <c r="M1009" s="2360">
        <f>I1009*G1009</f>
        <v>0</v>
      </c>
      <c r="N1009" s="2360">
        <f>J1009*G1009</f>
        <v>0</v>
      </c>
      <c r="O1009" s="2361">
        <f>K1009*G1009</f>
        <v>0</v>
      </c>
      <c r="P1009" s="2362" t="s">
        <v>6203</v>
      </c>
      <c r="R1009" s="2105"/>
    </row>
    <row r="1010" spans="1:18" s="2105" customFormat="1" outlineLevel="1">
      <c r="A1010" s="2149" t="str">
        <f t="shared" si="151"/>
        <v/>
      </c>
      <c r="B1010" s="2273" t="s">
        <v>1459</v>
      </c>
      <c r="C1010" s="2119">
        <f>IF(G1010&gt;0,C1008+1,C1008)</f>
        <v>0</v>
      </c>
      <c r="D1010" s="2120">
        <v>0</v>
      </c>
      <c r="E1010" s="2121" t="s">
        <v>5687</v>
      </c>
      <c r="F1010" s="2120" t="s">
        <v>2555</v>
      </c>
      <c r="G1010" s="2363"/>
      <c r="H1010" s="2123">
        <v>11490000</v>
      </c>
      <c r="I1010" s="2123"/>
      <c r="J1010" s="2123">
        <v>0</v>
      </c>
      <c r="K1010" s="2123">
        <v>0</v>
      </c>
      <c r="L1010" s="2134">
        <f t="shared" si="152"/>
        <v>0</v>
      </c>
      <c r="M1010" s="2365">
        <f t="shared" si="153"/>
        <v>0</v>
      </c>
      <c r="N1010" s="2365">
        <f t="shared" si="154"/>
        <v>0</v>
      </c>
      <c r="O1010" s="2366">
        <f t="shared" si="155"/>
        <v>0</v>
      </c>
      <c r="P1010" s="2367"/>
    </row>
    <row r="1011" spans="1:18" s="2105" customFormat="1" outlineLevel="1">
      <c r="A1011" s="2108" t="str">
        <f t="shared" si="151"/>
        <v/>
      </c>
      <c r="B1011" s="2118" t="s">
        <v>2192</v>
      </c>
      <c r="C1011" s="2119">
        <f t="shared" si="156"/>
        <v>0</v>
      </c>
      <c r="D1011" s="2120" t="s">
        <v>1025</v>
      </c>
      <c r="E1011" s="2121" t="s">
        <v>3383</v>
      </c>
      <c r="F1011" s="2120" t="s">
        <v>3370</v>
      </c>
      <c r="G1011" s="2307">
        <f>+G1010*0</f>
        <v>0</v>
      </c>
      <c r="H1011" s="2123">
        <v>9797887</v>
      </c>
      <c r="I1011" s="2123"/>
      <c r="J1011" s="2123">
        <v>98101</v>
      </c>
      <c r="K1011" s="2123">
        <v>59254</v>
      </c>
      <c r="L1011" s="2129">
        <f t="shared" si="152"/>
        <v>0</v>
      </c>
      <c r="M1011" s="2304">
        <f t="shared" si="153"/>
        <v>0</v>
      </c>
      <c r="N1011" s="2304">
        <f t="shared" si="154"/>
        <v>0</v>
      </c>
      <c r="O1011" s="2305">
        <f t="shared" si="155"/>
        <v>0</v>
      </c>
      <c r="P1011" s="2155"/>
    </row>
    <row r="1012" spans="1:18" s="2105" customFormat="1" outlineLevel="1">
      <c r="A1012" s="2108" t="str">
        <f t="shared" si="151"/>
        <v/>
      </c>
      <c r="B1012" s="2159" t="s">
        <v>6204</v>
      </c>
      <c r="C1012" s="2119">
        <f t="shared" si="156"/>
        <v>0</v>
      </c>
      <c r="D1012" s="2120">
        <v>0</v>
      </c>
      <c r="E1012" s="2121" t="s">
        <v>3362</v>
      </c>
      <c r="F1012" s="2120" t="s">
        <v>2555</v>
      </c>
      <c r="G1012" s="2363">
        <f>G1004</f>
        <v>0</v>
      </c>
      <c r="H1012" s="2123">
        <v>0</v>
      </c>
      <c r="I1012" s="2123"/>
      <c r="J1012" s="2123">
        <v>0</v>
      </c>
      <c r="K1012" s="2123">
        <v>0</v>
      </c>
      <c r="L1012" s="2129">
        <f t="shared" si="152"/>
        <v>0</v>
      </c>
      <c r="M1012" s="2304">
        <f t="shared" si="153"/>
        <v>0</v>
      </c>
      <c r="N1012" s="2304">
        <f t="shared" si="154"/>
        <v>0</v>
      </c>
      <c r="O1012" s="2305">
        <f t="shared" si="155"/>
        <v>0</v>
      </c>
      <c r="P1012" s="2364" t="s">
        <v>2601</v>
      </c>
    </row>
    <row r="1013" spans="1:18" s="2105" customFormat="1" outlineLevel="1">
      <c r="A1013" s="2108" t="str">
        <f t="shared" si="151"/>
        <v/>
      </c>
      <c r="B1013" s="2133" t="s">
        <v>288</v>
      </c>
      <c r="C1013" s="2119">
        <f t="shared" si="156"/>
        <v>0</v>
      </c>
      <c r="D1013" s="2120">
        <v>0</v>
      </c>
      <c r="E1013" s="2121" t="s">
        <v>3441</v>
      </c>
      <c r="F1013" s="2120" t="s">
        <v>2555</v>
      </c>
      <c r="G1013" s="2363">
        <f>G1007/3</f>
        <v>0</v>
      </c>
      <c r="H1013" s="2123">
        <v>0</v>
      </c>
      <c r="I1013" s="2123"/>
      <c r="J1013" s="2123">
        <v>0</v>
      </c>
      <c r="K1013" s="2123">
        <v>0</v>
      </c>
      <c r="L1013" s="2129">
        <f t="shared" si="152"/>
        <v>0</v>
      </c>
      <c r="M1013" s="2304">
        <f t="shared" si="153"/>
        <v>0</v>
      </c>
      <c r="N1013" s="2304">
        <f t="shared" si="154"/>
        <v>0</v>
      </c>
      <c r="O1013" s="2305">
        <f t="shared" si="155"/>
        <v>0</v>
      </c>
      <c r="P1013" s="2364" t="s">
        <v>2601</v>
      </c>
    </row>
    <row r="1014" spans="1:18" s="2105" customFormat="1" outlineLevel="1">
      <c r="A1014" s="2108" t="str">
        <f>A1004</f>
        <v/>
      </c>
      <c r="B1014" s="2130"/>
      <c r="C1014" s="2308"/>
      <c r="D1014" s="2309"/>
      <c r="E1014" s="2310"/>
      <c r="F1014" s="2308"/>
      <c r="G1014" s="2368"/>
      <c r="H1014" s="2308"/>
      <c r="I1014" s="2308"/>
      <c r="J1014" s="2117" t="s">
        <v>6121</v>
      </c>
      <c r="K1014" s="2308"/>
      <c r="L1014" s="2310">
        <f>SUM(L1004:L1013)</f>
        <v>0</v>
      </c>
      <c r="M1014" s="2310"/>
      <c r="N1014" s="2310">
        <f>SUM(N1004:N1013)</f>
        <v>0</v>
      </c>
      <c r="O1014" s="2310">
        <f>SUM(O1004:O1013)</f>
        <v>0</v>
      </c>
      <c r="P1014" s="2369"/>
    </row>
    <row r="1015" spans="1:18" s="2105" customFormat="1" outlineLevel="1">
      <c r="A1015" s="2108" t="str">
        <f>A1014</f>
        <v/>
      </c>
      <c r="B1015" s="2130"/>
      <c r="C1015" s="2311"/>
      <c r="D1015" s="2312"/>
      <c r="E1015" s="2313" t="s">
        <v>3673</v>
      </c>
      <c r="F1015" s="2313"/>
      <c r="G1015" s="2370"/>
      <c r="H1015" s="2313"/>
      <c r="I1015" s="2313"/>
      <c r="J1015" s="2313"/>
      <c r="K1015" s="2313"/>
      <c r="L1015" s="2313"/>
      <c r="M1015" s="2313"/>
      <c r="N1015" s="2313"/>
      <c r="O1015" s="2312"/>
      <c r="P1015" s="2371"/>
    </row>
    <row r="1016" spans="1:18" s="2105" customFormat="1" outlineLevel="1">
      <c r="A1016" s="2108" t="str">
        <f>A1015</f>
        <v/>
      </c>
      <c r="B1016" s="2130"/>
      <c r="C1016" s="2140">
        <f>IF(G1016&gt;0,1,0)</f>
        <v>0</v>
      </c>
      <c r="D1016" s="2314"/>
      <c r="E1016" s="2315" t="s">
        <v>3692</v>
      </c>
      <c r="F1016" s="2140" t="s">
        <v>2385</v>
      </c>
      <c r="G1016" s="2372">
        <f>G1004/3</f>
        <v>0</v>
      </c>
      <c r="H1016" s="2317"/>
      <c r="I1016" s="2317"/>
      <c r="J1016" s="2317"/>
      <c r="K1016" s="2317"/>
      <c r="L1016" s="2317"/>
      <c r="M1016" s="2317"/>
      <c r="N1016" s="2317"/>
      <c r="O1016" s="2140"/>
      <c r="P1016" s="2355" t="s">
        <v>6173</v>
      </c>
    </row>
    <row r="1017" spans="1:18" s="2105" customFormat="1" ht="14.4" outlineLevel="1">
      <c r="A1017" s="2108" t="str">
        <f>A1016</f>
        <v/>
      </c>
      <c r="B1017" s="2130"/>
      <c r="C1017" s="2145"/>
      <c r="D1017" s="2318"/>
      <c r="E1017" s="2319" t="s">
        <v>6133</v>
      </c>
      <c r="F1017" s="2119"/>
      <c r="G1017" s="2363"/>
      <c r="H1017" s="2321"/>
      <c r="I1017" s="2321"/>
      <c r="J1017" s="2321"/>
      <c r="K1017" s="2321"/>
      <c r="L1017" s="2321"/>
      <c r="M1017" s="2321"/>
      <c r="N1017" s="2321"/>
      <c r="O1017" s="2322"/>
      <c r="P1017" s="2373"/>
    </row>
    <row r="1018" spans="1:18" s="2105" customFormat="1" outlineLevel="1">
      <c r="A1018" s="2108" t="str">
        <f>IF(G1018&lt;&gt;0,1,"")</f>
        <v/>
      </c>
      <c r="B1018" s="2133" t="s">
        <v>5722</v>
      </c>
      <c r="C1018" s="2145"/>
      <c r="D1018" s="2120" t="s">
        <v>691</v>
      </c>
      <c r="E1018" s="2121" t="s">
        <v>5723</v>
      </c>
      <c r="F1018" s="2120" t="s">
        <v>3457</v>
      </c>
      <c r="G1018" s="2356">
        <f>G1016*0</f>
        <v>0</v>
      </c>
      <c r="H1018" s="2123">
        <v>1470000</v>
      </c>
      <c r="I1018" s="2128"/>
      <c r="J1018" s="2123">
        <v>26506</v>
      </c>
      <c r="K1018" s="2123">
        <v>0</v>
      </c>
      <c r="L1018" s="2304">
        <f t="shared" ref="L1018:L1052" si="157">H1018*G1018</f>
        <v>0</v>
      </c>
      <c r="M1018" s="2304">
        <f t="shared" ref="M1018:M1039" si="158">I1018*G1018</f>
        <v>0</v>
      </c>
      <c r="N1018" s="2304">
        <f t="shared" ref="N1018:N1039" si="159">J1018*G1018</f>
        <v>0</v>
      </c>
      <c r="O1018" s="2305">
        <f t="shared" ref="O1018:O1081" si="160">K1018*G1018</f>
        <v>0</v>
      </c>
      <c r="P1018" s="2373"/>
    </row>
    <row r="1019" spans="1:18" s="2105" customFormat="1" outlineLevel="1">
      <c r="A1019" s="2108" t="str">
        <f>IF(G1019&lt;&gt;0,1,"")</f>
        <v/>
      </c>
      <c r="B1019" s="2130" t="s">
        <v>1786</v>
      </c>
      <c r="C1019" s="2145"/>
      <c r="D1019" s="2120">
        <v>0</v>
      </c>
      <c r="E1019" s="2121" t="s">
        <v>2639</v>
      </c>
      <c r="F1019" s="2120" t="s">
        <v>2439</v>
      </c>
      <c r="G1019" s="2356">
        <f>6*G1016*0</f>
        <v>0</v>
      </c>
      <c r="H1019" s="2123">
        <v>12400</v>
      </c>
      <c r="I1019" s="2128"/>
      <c r="J1019" s="2123">
        <v>0</v>
      </c>
      <c r="K1019" s="2123">
        <v>0</v>
      </c>
      <c r="L1019" s="2304">
        <f t="shared" si="157"/>
        <v>0</v>
      </c>
      <c r="M1019" s="2304">
        <f t="shared" si="158"/>
        <v>0</v>
      </c>
      <c r="N1019" s="2304">
        <f t="shared" si="159"/>
        <v>0</v>
      </c>
      <c r="O1019" s="2305">
        <f t="shared" si="160"/>
        <v>0</v>
      </c>
      <c r="P1019" s="2373"/>
    </row>
    <row r="1020" spans="1:18" s="2105" customFormat="1" outlineLevel="1">
      <c r="A1020" s="2108" t="str">
        <f>IF(G1020&lt;&gt;0,1,"")</f>
        <v/>
      </c>
      <c r="B1020" s="2130" t="s">
        <v>1610</v>
      </c>
      <c r="C1020" s="2145"/>
      <c r="D1020" s="2120">
        <v>0</v>
      </c>
      <c r="E1020" s="2121" t="s">
        <v>2649</v>
      </c>
      <c r="F1020" s="2120" t="s">
        <v>2439</v>
      </c>
      <c r="G1020" s="2356">
        <f>2*G1016*0</f>
        <v>0</v>
      </c>
      <c r="H1020" s="2123">
        <v>25400</v>
      </c>
      <c r="I1020" s="2128"/>
      <c r="J1020" s="2123">
        <v>0</v>
      </c>
      <c r="K1020" s="2123">
        <v>0</v>
      </c>
      <c r="L1020" s="2304">
        <f t="shared" si="157"/>
        <v>0</v>
      </c>
      <c r="M1020" s="2304">
        <f t="shared" si="158"/>
        <v>0</v>
      </c>
      <c r="N1020" s="2304">
        <f t="shared" si="159"/>
        <v>0</v>
      </c>
      <c r="O1020" s="2305">
        <f t="shared" si="160"/>
        <v>0</v>
      </c>
      <c r="P1020" s="2373"/>
    </row>
    <row r="1021" spans="1:18" s="2105" customFormat="1" outlineLevel="1">
      <c r="A1021" s="2108">
        <f>IF(G1021&lt;&gt;0,1,)</f>
        <v>0</v>
      </c>
      <c r="B1021" s="2130"/>
      <c r="C1021" s="2145">
        <f>IF(G1021&gt;0,C1016+1,C1016)</f>
        <v>0</v>
      </c>
      <c r="D1021" s="2146"/>
      <c r="E1021" s="2147" t="s">
        <v>6138</v>
      </c>
      <c r="F1021" s="2142" t="s">
        <v>2385</v>
      </c>
      <c r="G1021" s="2142"/>
      <c r="H1021" s="2128"/>
      <c r="I1021" s="2128"/>
      <c r="J1021" s="2128"/>
      <c r="K1021" s="2128"/>
      <c r="L1021" s="2129">
        <f t="shared" si="157"/>
        <v>0</v>
      </c>
      <c r="M1021" s="2129">
        <f t="shared" si="158"/>
        <v>0</v>
      </c>
      <c r="N1021" s="2129">
        <f t="shared" si="159"/>
        <v>0</v>
      </c>
      <c r="O1021" s="2128">
        <f t="shared" si="160"/>
        <v>0</v>
      </c>
      <c r="P1021" s="2127"/>
    </row>
    <row r="1022" spans="1:18" s="2105" customFormat="1" ht="14.4" outlineLevel="1">
      <c r="A1022" s="2108">
        <f>A1021</f>
        <v>0</v>
      </c>
      <c r="B1022" s="2130"/>
      <c r="C1022" s="2142"/>
      <c r="D1022" s="2146"/>
      <c r="E1022" s="2148" t="s">
        <v>6133</v>
      </c>
      <c r="F1022" s="2127"/>
      <c r="G1022" s="2127"/>
      <c r="H1022" s="2128"/>
      <c r="I1022" s="2128"/>
      <c r="J1022" s="2128"/>
      <c r="K1022" s="2128"/>
      <c r="L1022" s="2129">
        <f t="shared" si="157"/>
        <v>0</v>
      </c>
      <c r="M1022" s="2129">
        <f t="shared" si="158"/>
        <v>0</v>
      </c>
      <c r="N1022" s="2129">
        <f t="shared" si="159"/>
        <v>0</v>
      </c>
      <c r="O1022" s="2128">
        <f t="shared" si="160"/>
        <v>0</v>
      </c>
      <c r="P1022" s="2127"/>
      <c r="R1022" s="2149"/>
    </row>
    <row r="1023" spans="1:18" s="2105" customFormat="1" outlineLevel="1">
      <c r="A1023" s="2108">
        <f>IF(G1023&lt;&gt;0,1,)</f>
        <v>0</v>
      </c>
      <c r="B1023" s="2133" t="s">
        <v>115</v>
      </c>
      <c r="C1023" s="2127"/>
      <c r="D1023" s="2120">
        <v>0</v>
      </c>
      <c r="E1023" s="2121" t="s">
        <v>2992</v>
      </c>
      <c r="F1023" s="2120" t="s">
        <v>2831</v>
      </c>
      <c r="G1023" s="2127">
        <f>1*G1021</f>
        <v>0</v>
      </c>
      <c r="H1023" s="2123">
        <v>4400000</v>
      </c>
      <c r="I1023" s="2123"/>
      <c r="J1023" s="2123">
        <v>0</v>
      </c>
      <c r="K1023" s="2123">
        <v>0</v>
      </c>
      <c r="L1023" s="2129">
        <f t="shared" si="157"/>
        <v>0</v>
      </c>
      <c r="M1023" s="2129">
        <f t="shared" si="158"/>
        <v>0</v>
      </c>
      <c r="N1023" s="2129">
        <f t="shared" si="159"/>
        <v>0</v>
      </c>
      <c r="O1023" s="2128">
        <f t="shared" si="160"/>
        <v>0</v>
      </c>
      <c r="P1023" s="2127"/>
      <c r="R1023" s="2149"/>
    </row>
    <row r="1024" spans="1:18" s="2105" customFormat="1" outlineLevel="1">
      <c r="A1024" s="2108">
        <f>IF(G1024&lt;&gt;0,1,)</f>
        <v>0</v>
      </c>
      <c r="B1024" s="2133" t="s">
        <v>1814</v>
      </c>
      <c r="C1024" s="2127"/>
      <c r="D1024" s="2150"/>
      <c r="E1024" s="2121" t="s">
        <v>2830</v>
      </c>
      <c r="F1024" s="2120" t="s">
        <v>2831</v>
      </c>
      <c r="G1024" s="2127">
        <f>G1023</f>
        <v>0</v>
      </c>
      <c r="H1024" s="2123">
        <v>17400</v>
      </c>
      <c r="I1024" s="2123"/>
      <c r="J1024" s="2123">
        <v>0</v>
      </c>
      <c r="K1024" s="2123">
        <v>0</v>
      </c>
      <c r="L1024" s="2129">
        <f t="shared" si="157"/>
        <v>0</v>
      </c>
      <c r="M1024" s="2129">
        <f t="shared" si="158"/>
        <v>0</v>
      </c>
      <c r="N1024" s="2129">
        <f t="shared" si="159"/>
        <v>0</v>
      </c>
      <c r="O1024" s="2128">
        <f t="shared" si="160"/>
        <v>0</v>
      </c>
      <c r="P1024" s="2127"/>
      <c r="R1024" s="2149"/>
    </row>
    <row r="1025" spans="1:18" s="2105" customFormat="1" outlineLevel="1">
      <c r="A1025" s="2108">
        <f>IF(G1025&lt;&gt;0,1,)</f>
        <v>0</v>
      </c>
      <c r="B1025" s="2133" t="s">
        <v>2126</v>
      </c>
      <c r="C1025" s="2127"/>
      <c r="D1025" s="2150"/>
      <c r="E1025" s="2121" t="s">
        <v>3167</v>
      </c>
      <c r="F1025" s="2120" t="s">
        <v>2831</v>
      </c>
      <c r="G1025" s="2127">
        <f>G1023</f>
        <v>0</v>
      </c>
      <c r="H1025" s="2123">
        <v>0</v>
      </c>
      <c r="I1025" s="2123"/>
      <c r="J1025" s="2123">
        <v>112286</v>
      </c>
      <c r="K1025" s="2123">
        <v>105970</v>
      </c>
      <c r="L1025" s="2129">
        <f t="shared" si="157"/>
        <v>0</v>
      </c>
      <c r="M1025" s="2129">
        <f t="shared" si="158"/>
        <v>0</v>
      </c>
      <c r="N1025" s="2129">
        <f t="shared" si="159"/>
        <v>0</v>
      </c>
      <c r="O1025" s="2128">
        <f t="shared" si="160"/>
        <v>0</v>
      </c>
      <c r="P1025" s="2127"/>
      <c r="R1025" s="2149"/>
    </row>
    <row r="1026" spans="1:18" s="2105" customFormat="1" outlineLevel="1">
      <c r="A1026" s="2108">
        <f>IF(G1026&lt;&gt;0,1,)</f>
        <v>0</v>
      </c>
      <c r="B1026" s="2130"/>
      <c r="C1026" s="2145">
        <f>IF(G1026&gt;0,C1021+1,C1021)</f>
        <v>0</v>
      </c>
      <c r="D1026" s="2146"/>
      <c r="E1026" s="2147" t="s">
        <v>2352</v>
      </c>
      <c r="F1026" s="2142" t="s">
        <v>2385</v>
      </c>
      <c r="G1026" s="2142">
        <f>G1021</f>
        <v>0</v>
      </c>
      <c r="H1026" s="2128"/>
      <c r="I1026" s="2128"/>
      <c r="J1026" s="2128"/>
      <c r="K1026" s="2128"/>
      <c r="L1026" s="2129">
        <f t="shared" si="157"/>
        <v>0</v>
      </c>
      <c r="M1026" s="2129">
        <f t="shared" si="158"/>
        <v>0</v>
      </c>
      <c r="N1026" s="2129">
        <f t="shared" si="159"/>
        <v>0</v>
      </c>
      <c r="O1026" s="2128">
        <f t="shared" si="160"/>
        <v>0</v>
      </c>
      <c r="P1026" s="2127"/>
    </row>
    <row r="1027" spans="1:18" s="2105" customFormat="1" ht="14.4" outlineLevel="1">
      <c r="A1027" s="2108">
        <f>A1026</f>
        <v>0</v>
      </c>
      <c r="B1027" s="2130"/>
      <c r="C1027" s="2142"/>
      <c r="D1027" s="2146"/>
      <c r="E1027" s="2148" t="s">
        <v>6133</v>
      </c>
      <c r="F1027" s="2127"/>
      <c r="G1027" s="2127"/>
      <c r="H1027" s="2128"/>
      <c r="I1027" s="2128"/>
      <c r="J1027" s="2128"/>
      <c r="K1027" s="2128"/>
      <c r="L1027" s="2129">
        <f t="shared" si="157"/>
        <v>0</v>
      </c>
      <c r="M1027" s="2129">
        <f t="shared" si="158"/>
        <v>0</v>
      </c>
      <c r="N1027" s="2129">
        <f t="shared" si="159"/>
        <v>0</v>
      </c>
      <c r="O1027" s="2128">
        <f t="shared" si="160"/>
        <v>0</v>
      </c>
      <c r="P1027" s="2127"/>
      <c r="R1027" s="2149"/>
    </row>
    <row r="1028" spans="1:18" s="2105" customFormat="1" outlineLevel="1">
      <c r="A1028" s="2108">
        <f>IF(G1028&lt;&gt;0,1,)</f>
        <v>0</v>
      </c>
      <c r="B1028" s="2133" t="s">
        <v>636</v>
      </c>
      <c r="C1028" s="2127"/>
      <c r="D1028" s="2120" t="s">
        <v>5047</v>
      </c>
      <c r="E1028" s="2121" t="s">
        <v>2607</v>
      </c>
      <c r="F1028" s="2120" t="s">
        <v>2555</v>
      </c>
      <c r="G1028" s="2127">
        <f>1*G1026</f>
        <v>0</v>
      </c>
      <c r="H1028" s="2123">
        <v>354545</v>
      </c>
      <c r="I1028" s="2123"/>
      <c r="J1028" s="2123">
        <v>37220.25</v>
      </c>
      <c r="K1028" s="2123">
        <v>0</v>
      </c>
      <c r="L1028" s="2129">
        <f t="shared" si="157"/>
        <v>0</v>
      </c>
      <c r="M1028" s="2129">
        <f t="shared" si="158"/>
        <v>0</v>
      </c>
      <c r="N1028" s="2129">
        <f t="shared" si="159"/>
        <v>0</v>
      </c>
      <c r="O1028" s="2128">
        <f t="shared" si="160"/>
        <v>0</v>
      </c>
      <c r="P1028" s="2127"/>
      <c r="R1028" s="2149"/>
    </row>
    <row r="1029" spans="1:18" s="2105" customFormat="1" outlineLevel="1">
      <c r="A1029" s="2108">
        <f>IF(G1029&lt;&gt;0,1,)</f>
        <v>0</v>
      </c>
      <c r="B1029" s="2133" t="s">
        <v>566</v>
      </c>
      <c r="C1029" s="2127"/>
      <c r="D1029" s="2120">
        <v>0</v>
      </c>
      <c r="E1029" s="2121" t="s">
        <v>5072</v>
      </c>
      <c r="F1029" s="2120" t="s">
        <v>2439</v>
      </c>
      <c r="G1029" s="2127">
        <f>G1026</f>
        <v>0</v>
      </c>
      <c r="H1029" s="2123">
        <v>92200</v>
      </c>
      <c r="I1029" s="2123"/>
      <c r="J1029" s="2123">
        <v>0</v>
      </c>
      <c r="K1029" s="2123">
        <v>0</v>
      </c>
      <c r="L1029" s="2129">
        <f t="shared" si="157"/>
        <v>0</v>
      </c>
      <c r="M1029" s="2129">
        <f t="shared" si="158"/>
        <v>0</v>
      </c>
      <c r="N1029" s="2129">
        <f t="shared" si="159"/>
        <v>0</v>
      </c>
      <c r="O1029" s="2128">
        <f t="shared" si="160"/>
        <v>0</v>
      </c>
      <c r="P1029" s="2127"/>
      <c r="R1029" s="2149"/>
    </row>
    <row r="1030" spans="1:18" s="2105" customFormat="1" outlineLevel="1">
      <c r="A1030" s="2108">
        <f>IF(G1030&lt;&gt;0,1,)</f>
        <v>0</v>
      </c>
      <c r="B1030" s="2133" t="s">
        <v>639</v>
      </c>
      <c r="C1030" s="2127"/>
      <c r="D1030" s="2120" t="s">
        <v>1747</v>
      </c>
      <c r="E1030" s="2121" t="s">
        <v>5324</v>
      </c>
      <c r="F1030" s="2120" t="s">
        <v>856</v>
      </c>
      <c r="G1030" s="2151">
        <f>G1026*0.87</f>
        <v>0</v>
      </c>
      <c r="H1030" s="2123">
        <v>0</v>
      </c>
      <c r="I1030" s="2123"/>
      <c r="J1030" s="2123">
        <v>296500.89999999997</v>
      </c>
      <c r="K1030" s="2123">
        <v>0</v>
      </c>
      <c r="L1030" s="2129">
        <f t="shared" si="157"/>
        <v>0</v>
      </c>
      <c r="M1030" s="2129">
        <f t="shared" si="158"/>
        <v>0</v>
      </c>
      <c r="N1030" s="2129">
        <f t="shared" si="159"/>
        <v>0</v>
      </c>
      <c r="O1030" s="2128">
        <f t="shared" si="160"/>
        <v>0</v>
      </c>
      <c r="P1030" s="2127"/>
      <c r="R1030" s="2149"/>
    </row>
    <row r="1031" spans="1:18" s="2105" customFormat="1" outlineLevel="1">
      <c r="A1031" s="2108">
        <f>IF(G1031&lt;&gt;0,1,)</f>
        <v>0</v>
      </c>
      <c r="B1031" s="2133" t="s">
        <v>21</v>
      </c>
      <c r="C1031" s="2127"/>
      <c r="D1031" s="2120" t="s">
        <v>5325</v>
      </c>
      <c r="E1031" s="2121" t="s">
        <v>5326</v>
      </c>
      <c r="F1031" s="2120" t="s">
        <v>856</v>
      </c>
      <c r="G1031" s="2151">
        <f>G1026*0.79</f>
        <v>0</v>
      </c>
      <c r="H1031" s="2123">
        <v>0</v>
      </c>
      <c r="I1031" s="2123"/>
      <c r="J1031" s="2123">
        <v>117703.6</v>
      </c>
      <c r="K1031" s="2123">
        <v>0</v>
      </c>
      <c r="L1031" s="2129">
        <f t="shared" si="157"/>
        <v>0</v>
      </c>
      <c r="M1031" s="2129">
        <f t="shared" si="158"/>
        <v>0</v>
      </c>
      <c r="N1031" s="2129">
        <f t="shared" si="159"/>
        <v>0</v>
      </c>
      <c r="O1031" s="2128">
        <f t="shared" si="160"/>
        <v>0</v>
      </c>
      <c r="P1031" s="2127"/>
      <c r="R1031" s="2149"/>
    </row>
    <row r="1032" spans="1:18" s="2105" customFormat="1" outlineLevel="1">
      <c r="A1032" s="2108">
        <f>IF(G1032&lt;&gt;0,1,0)</f>
        <v>0</v>
      </c>
      <c r="B1032" s="2133" t="s">
        <v>6159</v>
      </c>
      <c r="C1032" s="2142">
        <f>IF(G1032&gt;0,C1026+1,C1026)</f>
        <v>0</v>
      </c>
      <c r="D1032" s="2202"/>
      <c r="E1032" s="2171" t="s">
        <v>6160</v>
      </c>
      <c r="F1032" s="2142" t="s">
        <v>2385</v>
      </c>
      <c r="G1032" s="2204">
        <f>G1004/3</f>
        <v>0</v>
      </c>
      <c r="H1032" s="2128"/>
      <c r="I1032" s="2128"/>
      <c r="J1032" s="2128"/>
      <c r="K1032" s="2128"/>
      <c r="L1032" s="2129">
        <f t="shared" si="157"/>
        <v>0</v>
      </c>
      <c r="M1032" s="2129">
        <f t="shared" si="158"/>
        <v>0</v>
      </c>
      <c r="N1032" s="2129">
        <f t="shared" si="159"/>
        <v>0</v>
      </c>
      <c r="O1032" s="2128">
        <f t="shared" si="160"/>
        <v>0</v>
      </c>
      <c r="P1032" s="2374" t="s">
        <v>6205</v>
      </c>
    </row>
    <row r="1033" spans="1:18" s="2105" customFormat="1" ht="14.4" outlineLevel="1">
      <c r="A1033" s="2108">
        <f>A1032</f>
        <v>0</v>
      </c>
      <c r="B1033" s="2130"/>
      <c r="C1033" s="2142"/>
      <c r="D1033" s="2202"/>
      <c r="E1033" s="2172" t="s">
        <v>6133</v>
      </c>
      <c r="F1033" s="2127"/>
      <c r="G1033" s="2323"/>
      <c r="H1033" s="2128"/>
      <c r="I1033" s="2128"/>
      <c r="J1033" s="2128"/>
      <c r="K1033" s="2128"/>
      <c r="L1033" s="2129">
        <f t="shared" si="157"/>
        <v>0</v>
      </c>
      <c r="M1033" s="2129">
        <f t="shared" si="158"/>
        <v>0</v>
      </c>
      <c r="N1033" s="2129">
        <f t="shared" si="159"/>
        <v>0</v>
      </c>
      <c r="O1033" s="2128">
        <f t="shared" si="160"/>
        <v>0</v>
      </c>
      <c r="P1033" s="2373"/>
    </row>
    <row r="1034" spans="1:18" s="2105" customFormat="1" outlineLevel="1">
      <c r="A1034" s="2108">
        <f t="shared" ref="A1034:A1039" si="161">IF(G1034&lt;&gt;0,1,0)</f>
        <v>0</v>
      </c>
      <c r="B1034" s="2133" t="s">
        <v>5151</v>
      </c>
      <c r="C1034" s="2142"/>
      <c r="D1034" s="2120">
        <v>0</v>
      </c>
      <c r="E1034" s="2121" t="s">
        <v>5152</v>
      </c>
      <c r="F1034" s="2120" t="s">
        <v>2590</v>
      </c>
      <c r="G1034" s="2151">
        <f>+G1032*0</f>
        <v>0</v>
      </c>
      <c r="H1034" s="2123">
        <v>960000</v>
      </c>
      <c r="I1034" s="2128"/>
      <c r="J1034" s="2123">
        <v>0</v>
      </c>
      <c r="K1034" s="2123">
        <v>0</v>
      </c>
      <c r="L1034" s="2129">
        <f t="shared" si="157"/>
        <v>0</v>
      </c>
      <c r="M1034" s="2129">
        <f t="shared" si="158"/>
        <v>0</v>
      </c>
      <c r="N1034" s="2129">
        <f t="shared" si="159"/>
        <v>0</v>
      </c>
      <c r="O1034" s="2128">
        <f t="shared" si="160"/>
        <v>0</v>
      </c>
      <c r="P1034" s="2155"/>
    </row>
    <row r="1035" spans="1:18" s="2105" customFormat="1" outlineLevel="1">
      <c r="A1035" s="2108">
        <f t="shared" si="161"/>
        <v>0</v>
      </c>
      <c r="B1035" s="2133" t="s">
        <v>5158</v>
      </c>
      <c r="C1035" s="2142"/>
      <c r="D1035" s="2120">
        <v>0</v>
      </c>
      <c r="E1035" s="2121" t="s">
        <v>5159</v>
      </c>
      <c r="F1035" s="2120" t="s">
        <v>5160</v>
      </c>
      <c r="G1035" s="2151">
        <f>+G1034*2</f>
        <v>0</v>
      </c>
      <c r="H1035" s="2123">
        <v>140000</v>
      </c>
      <c r="I1035" s="2128"/>
      <c r="J1035" s="2123">
        <v>0</v>
      </c>
      <c r="K1035" s="2123">
        <v>0</v>
      </c>
      <c r="L1035" s="2129">
        <f t="shared" si="157"/>
        <v>0</v>
      </c>
      <c r="M1035" s="2129">
        <f t="shared" si="158"/>
        <v>0</v>
      </c>
      <c r="N1035" s="2129">
        <f t="shared" si="159"/>
        <v>0</v>
      </c>
      <c r="O1035" s="2128">
        <f t="shared" si="160"/>
        <v>0</v>
      </c>
      <c r="P1035" s="2155"/>
    </row>
    <row r="1036" spans="1:18" s="2105" customFormat="1" outlineLevel="1">
      <c r="A1036" s="2108">
        <f t="shared" si="161"/>
        <v>0</v>
      </c>
      <c r="B1036" s="2130" t="s">
        <v>488</v>
      </c>
      <c r="C1036" s="2142"/>
      <c r="D1036" s="2120">
        <v>0</v>
      </c>
      <c r="E1036" s="2121" t="s">
        <v>5078</v>
      </c>
      <c r="F1036" s="2120" t="s">
        <v>2439</v>
      </c>
      <c r="G1036" s="2127">
        <f>G1032*1*0</f>
        <v>0</v>
      </c>
      <c r="H1036" s="2123">
        <v>65000</v>
      </c>
      <c r="I1036" s="2128"/>
      <c r="J1036" s="2123">
        <v>0</v>
      </c>
      <c r="K1036" s="2123">
        <v>0</v>
      </c>
      <c r="L1036" s="2129">
        <f t="shared" si="157"/>
        <v>0</v>
      </c>
      <c r="M1036" s="2129">
        <f t="shared" si="158"/>
        <v>0</v>
      </c>
      <c r="N1036" s="2129">
        <f t="shared" si="159"/>
        <v>0</v>
      </c>
      <c r="O1036" s="2128">
        <f t="shared" si="160"/>
        <v>0</v>
      </c>
      <c r="P1036" s="2373"/>
    </row>
    <row r="1037" spans="1:18" s="2105" customFormat="1" outlineLevel="1">
      <c r="A1037" s="2108">
        <f t="shared" si="161"/>
        <v>0</v>
      </c>
      <c r="B1037" s="2130" t="s">
        <v>244</v>
      </c>
      <c r="C1037" s="2142"/>
      <c r="D1037" s="2120">
        <v>0</v>
      </c>
      <c r="E1037" s="2121" t="s">
        <v>2641</v>
      </c>
      <c r="F1037" s="2120" t="s">
        <v>2439</v>
      </c>
      <c r="G1037" s="2127">
        <f>2*G1032*0</f>
        <v>0</v>
      </c>
      <c r="H1037" s="2123">
        <v>18900</v>
      </c>
      <c r="I1037" s="2128"/>
      <c r="J1037" s="2123">
        <v>0</v>
      </c>
      <c r="K1037" s="2123">
        <v>0</v>
      </c>
      <c r="L1037" s="2129">
        <f t="shared" si="157"/>
        <v>0</v>
      </c>
      <c r="M1037" s="2129">
        <f t="shared" si="158"/>
        <v>0</v>
      </c>
      <c r="N1037" s="2129">
        <f t="shared" si="159"/>
        <v>0</v>
      </c>
      <c r="O1037" s="2128">
        <f t="shared" si="160"/>
        <v>0</v>
      </c>
      <c r="P1037" s="2155"/>
    </row>
    <row r="1038" spans="1:18" s="2105" customFormat="1" outlineLevel="1">
      <c r="A1038" s="2108">
        <f t="shared" si="161"/>
        <v>0</v>
      </c>
      <c r="B1038" s="2130" t="s">
        <v>1079</v>
      </c>
      <c r="C1038" s="2142"/>
      <c r="D1038" s="2120">
        <v>0</v>
      </c>
      <c r="E1038" s="2121" t="s">
        <v>2651</v>
      </c>
      <c r="F1038" s="2120" t="s">
        <v>2439</v>
      </c>
      <c r="G1038" s="2127">
        <f>1*G1032*0</f>
        <v>0</v>
      </c>
      <c r="H1038" s="2123">
        <v>27900</v>
      </c>
      <c r="I1038" s="2128"/>
      <c r="J1038" s="2123">
        <v>0</v>
      </c>
      <c r="K1038" s="2123">
        <v>0</v>
      </c>
      <c r="L1038" s="2129">
        <f t="shared" si="157"/>
        <v>0</v>
      </c>
      <c r="M1038" s="2129">
        <f t="shared" si="158"/>
        <v>0</v>
      </c>
      <c r="N1038" s="2129">
        <f t="shared" si="159"/>
        <v>0</v>
      </c>
      <c r="O1038" s="2128">
        <f t="shared" si="160"/>
        <v>0</v>
      </c>
      <c r="P1038" s="2155"/>
    </row>
    <row r="1039" spans="1:18" s="2105" customFormat="1" outlineLevel="1">
      <c r="A1039" s="2108">
        <f t="shared" si="161"/>
        <v>0</v>
      </c>
      <c r="B1039" s="2130" t="s">
        <v>1610</v>
      </c>
      <c r="C1039" s="2142"/>
      <c r="D1039" s="2120">
        <v>0</v>
      </c>
      <c r="E1039" s="2121" t="s">
        <v>2649</v>
      </c>
      <c r="F1039" s="2120" t="s">
        <v>2439</v>
      </c>
      <c r="G1039" s="2127">
        <f>1*G1032*0</f>
        <v>0</v>
      </c>
      <c r="H1039" s="2123">
        <v>25400</v>
      </c>
      <c r="I1039" s="2128"/>
      <c r="J1039" s="2123">
        <v>0</v>
      </c>
      <c r="K1039" s="2123">
        <v>0</v>
      </c>
      <c r="L1039" s="2129">
        <f t="shared" si="157"/>
        <v>0</v>
      </c>
      <c r="M1039" s="2129">
        <f t="shared" si="158"/>
        <v>0</v>
      </c>
      <c r="N1039" s="2129">
        <f t="shared" si="159"/>
        <v>0</v>
      </c>
      <c r="O1039" s="2128">
        <f t="shared" si="160"/>
        <v>0</v>
      </c>
      <c r="P1039" s="2155"/>
    </row>
    <row r="1040" spans="1:18" s="2105" customFormat="1" outlineLevel="1">
      <c r="A1040" s="2108">
        <f>IF(G1040&lt;&gt;0,1,0)</f>
        <v>0</v>
      </c>
      <c r="B1040" s="2130" t="s">
        <v>420</v>
      </c>
      <c r="C1040" s="2142"/>
      <c r="D1040" s="2120" t="s">
        <v>5421</v>
      </c>
      <c r="E1040" s="2121" t="s">
        <v>5422</v>
      </c>
      <c r="F1040" s="2120" t="s">
        <v>2439</v>
      </c>
      <c r="G1040" s="2375">
        <f>G1032*0</f>
        <v>0</v>
      </c>
      <c r="H1040" s="2123">
        <v>0</v>
      </c>
      <c r="I1040" s="2128"/>
      <c r="J1040" s="2123" t="s">
        <v>6326</v>
      </c>
      <c r="K1040" s="2123">
        <v>0</v>
      </c>
      <c r="L1040" s="2129">
        <f t="shared" si="157"/>
        <v>0</v>
      </c>
      <c r="M1040" s="2129">
        <f>I1040*G1040</f>
        <v>0</v>
      </c>
      <c r="N1040" s="2123">
        <v>0</v>
      </c>
      <c r="O1040" s="2128">
        <f t="shared" si="160"/>
        <v>0</v>
      </c>
      <c r="P1040" s="2373"/>
    </row>
    <row r="1041" spans="1:16" s="2105" customFormat="1" outlineLevel="1">
      <c r="A1041" s="2108">
        <f>+IF(G1041&gt;0,1,0)</f>
        <v>0</v>
      </c>
      <c r="B1041" s="2130"/>
      <c r="C1041" s="2145">
        <f>IF(G1041&gt;0,C1032+1,C1032)</f>
        <v>0</v>
      </c>
      <c r="D1041" s="2318"/>
      <c r="E1041" s="2324" t="s">
        <v>3694</v>
      </c>
      <c r="F1041" s="2145" t="s">
        <v>2385</v>
      </c>
      <c r="G1041" s="2227">
        <f>+G1004/3</f>
        <v>0</v>
      </c>
      <c r="H1041" s="2128"/>
      <c r="I1041" s="2128"/>
      <c r="J1041" s="2128"/>
      <c r="K1041" s="2128"/>
      <c r="L1041" s="2304">
        <f t="shared" si="157"/>
        <v>0</v>
      </c>
      <c r="M1041" s="2304">
        <f>I1041*G1041</f>
        <v>0</v>
      </c>
      <c r="N1041" s="2304">
        <f t="shared" ref="N1041:N1052" si="162">J1041*G1041</f>
        <v>0</v>
      </c>
      <c r="O1041" s="2305">
        <f t="shared" si="160"/>
        <v>0</v>
      </c>
      <c r="P1041" s="2374" t="s">
        <v>6205</v>
      </c>
    </row>
    <row r="1042" spans="1:16" s="2105" customFormat="1" ht="14.4" outlineLevel="1">
      <c r="A1042" s="2108">
        <f>A1041</f>
        <v>0</v>
      </c>
      <c r="B1042" s="2130"/>
      <c r="C1042" s="2145"/>
      <c r="D1042" s="2318"/>
      <c r="E1042" s="2319" t="s">
        <v>6133</v>
      </c>
      <c r="F1042" s="2120"/>
      <c r="G1042" s="2363"/>
      <c r="H1042" s="2128"/>
      <c r="I1042" s="2128"/>
      <c r="J1042" s="2128"/>
      <c r="K1042" s="2128"/>
      <c r="L1042" s="2304">
        <f t="shared" si="157"/>
        <v>0</v>
      </c>
      <c r="M1042" s="2304">
        <f>I1042*G1042</f>
        <v>0</v>
      </c>
      <c r="N1042" s="2304">
        <f t="shared" si="162"/>
        <v>0</v>
      </c>
      <c r="O1042" s="2305">
        <f t="shared" si="160"/>
        <v>0</v>
      </c>
      <c r="P1042" s="2373"/>
    </row>
    <row r="1043" spans="1:16" s="2105" customFormat="1" outlineLevel="1">
      <c r="A1043" s="2108" t="str">
        <f t="shared" ref="A1043:A1054" si="163">IF(G1043&lt;&gt;0,1,"")</f>
        <v/>
      </c>
      <c r="B1043" s="2130" t="s">
        <v>1033</v>
      </c>
      <c r="C1043" s="2119"/>
      <c r="D1043" s="2120">
        <v>0</v>
      </c>
      <c r="E1043" s="2121" t="s">
        <v>2700</v>
      </c>
      <c r="F1043" s="2120" t="s">
        <v>2248</v>
      </c>
      <c r="G1043" s="2323">
        <f>$H$3*G1041*0.224*0+G1041*4.5*0.224</f>
        <v>0</v>
      </c>
      <c r="H1043" s="2123">
        <v>255500</v>
      </c>
      <c r="I1043" s="2128"/>
      <c r="J1043" s="2123">
        <v>0</v>
      </c>
      <c r="K1043" s="2123">
        <v>0</v>
      </c>
      <c r="L1043" s="2304">
        <f t="shared" si="157"/>
        <v>0</v>
      </c>
      <c r="M1043" s="2304">
        <f>I1043*G1043</f>
        <v>0</v>
      </c>
      <c r="N1043" s="2304">
        <f t="shared" si="162"/>
        <v>0</v>
      </c>
      <c r="O1043" s="2305">
        <f t="shared" si="160"/>
        <v>0</v>
      </c>
      <c r="P1043" s="2373" t="s">
        <v>6206</v>
      </c>
    </row>
    <row r="1044" spans="1:16" s="2105" customFormat="1" outlineLevel="1">
      <c r="A1044" s="2108" t="str">
        <f t="shared" si="163"/>
        <v/>
      </c>
      <c r="B1044" s="2133" t="s">
        <v>1508</v>
      </c>
      <c r="C1044" s="2119"/>
      <c r="D1044" s="2120">
        <v>0</v>
      </c>
      <c r="E1044" s="2121" t="s">
        <v>5163</v>
      </c>
      <c r="F1044" s="2120" t="s">
        <v>2439</v>
      </c>
      <c r="G1044" s="2127">
        <f>(H92+L93)*G1041</f>
        <v>0</v>
      </c>
      <c r="H1044" s="2123">
        <v>160000</v>
      </c>
      <c r="I1044" s="2128"/>
      <c r="J1044" s="2123">
        <v>0</v>
      </c>
      <c r="K1044" s="2123">
        <v>0</v>
      </c>
      <c r="L1044" s="2304">
        <f t="shared" si="157"/>
        <v>0</v>
      </c>
      <c r="M1044" s="2304">
        <f>I1044*G1044</f>
        <v>0</v>
      </c>
      <c r="N1044" s="2304">
        <f t="shared" si="162"/>
        <v>0</v>
      </c>
      <c r="O1044" s="2305">
        <f t="shared" si="160"/>
        <v>0</v>
      </c>
      <c r="P1044" s="2155"/>
    </row>
    <row r="1045" spans="1:16" s="2105" customFormat="1" outlineLevel="1">
      <c r="A1045" s="2108" t="str">
        <f t="shared" si="163"/>
        <v/>
      </c>
      <c r="B1045" s="2133" t="s">
        <v>6207</v>
      </c>
      <c r="C1045" s="2119"/>
      <c r="D1045" s="2120">
        <v>0</v>
      </c>
      <c r="E1045" s="2121" t="s">
        <v>5713</v>
      </c>
      <c r="F1045" s="2120" t="s">
        <v>3445</v>
      </c>
      <c r="G1045" s="2127">
        <f>L93*G1041</f>
        <v>0</v>
      </c>
      <c r="H1045" s="2123">
        <v>0</v>
      </c>
      <c r="I1045" s="2128"/>
      <c r="J1045" s="2123">
        <v>1500000</v>
      </c>
      <c r="K1045" s="2123">
        <v>0</v>
      </c>
      <c r="L1045" s="2304">
        <f t="shared" si="157"/>
        <v>0</v>
      </c>
      <c r="M1045" s="2304"/>
      <c r="N1045" s="2304">
        <f t="shared" si="162"/>
        <v>0</v>
      </c>
      <c r="O1045" s="2305">
        <f t="shared" si="160"/>
        <v>0</v>
      </c>
      <c r="P1045" s="2155"/>
    </row>
    <row r="1046" spans="1:16" s="2105" customFormat="1" outlineLevel="1">
      <c r="A1046" s="2108" t="str">
        <f t="shared" si="163"/>
        <v/>
      </c>
      <c r="B1046" s="2133" t="s">
        <v>1490</v>
      </c>
      <c r="C1046" s="2127"/>
      <c r="D1046" s="2120">
        <v>0</v>
      </c>
      <c r="E1046" s="2121" t="s">
        <v>3536</v>
      </c>
      <c r="F1046" s="2120" t="s">
        <v>1823</v>
      </c>
      <c r="G1046" s="2208">
        <f>3*G1041*0</f>
        <v>0</v>
      </c>
      <c r="H1046" s="2123">
        <v>6200</v>
      </c>
      <c r="I1046" s="2128"/>
      <c r="J1046" s="2123">
        <v>0</v>
      </c>
      <c r="K1046" s="2123">
        <v>0</v>
      </c>
      <c r="L1046" s="2304">
        <f t="shared" si="157"/>
        <v>0</v>
      </c>
      <c r="M1046" s="2304">
        <f t="shared" ref="M1046:M1052" si="164">I1046*G1046</f>
        <v>0</v>
      </c>
      <c r="N1046" s="2304">
        <f t="shared" si="162"/>
        <v>0</v>
      </c>
      <c r="O1046" s="2305">
        <f t="shared" si="160"/>
        <v>0</v>
      </c>
      <c r="P1046" s="2155"/>
    </row>
    <row r="1047" spans="1:16" s="2105" customFormat="1" outlineLevel="1">
      <c r="A1047" s="2108" t="str">
        <f t="shared" si="163"/>
        <v/>
      </c>
      <c r="B1047" s="2130" t="s">
        <v>1579</v>
      </c>
      <c r="C1047" s="2119"/>
      <c r="D1047" s="2120">
        <v>0</v>
      </c>
      <c r="E1047" s="2121" t="s">
        <v>2873</v>
      </c>
      <c r="F1047" s="2120" t="s">
        <v>2555</v>
      </c>
      <c r="G1047" s="2363">
        <f>2*G1041</f>
        <v>0</v>
      </c>
      <c r="H1047" s="2123">
        <v>8000</v>
      </c>
      <c r="I1047" s="2123"/>
      <c r="J1047" s="2123">
        <v>0</v>
      </c>
      <c r="K1047" s="2123">
        <v>0</v>
      </c>
      <c r="L1047" s="2304">
        <f t="shared" si="157"/>
        <v>0</v>
      </c>
      <c r="M1047" s="2304">
        <f t="shared" si="164"/>
        <v>0</v>
      </c>
      <c r="N1047" s="2304">
        <f t="shared" si="162"/>
        <v>0</v>
      </c>
      <c r="O1047" s="2305">
        <f t="shared" si="160"/>
        <v>0</v>
      </c>
      <c r="P1047" s="2373" t="s">
        <v>6206</v>
      </c>
    </row>
    <row r="1048" spans="1:16" s="2105" customFormat="1" outlineLevel="1">
      <c r="A1048" s="2108" t="str">
        <f t="shared" si="163"/>
        <v/>
      </c>
      <c r="B1048" s="2130" t="s">
        <v>6208</v>
      </c>
      <c r="C1048" s="2119"/>
      <c r="D1048" s="2120" t="s">
        <v>5725</v>
      </c>
      <c r="E1048" s="2121" t="s">
        <v>3479</v>
      </c>
      <c r="F1048" s="2120" t="s">
        <v>2555</v>
      </c>
      <c r="G1048" s="2363">
        <f>G1041*3</f>
        <v>0</v>
      </c>
      <c r="H1048" s="2123">
        <v>9100</v>
      </c>
      <c r="I1048" s="2123"/>
      <c r="J1048" s="2123">
        <v>10608.955000000002</v>
      </c>
      <c r="K1048" s="2123">
        <v>2777.0232475000003</v>
      </c>
      <c r="L1048" s="2304">
        <f t="shared" si="157"/>
        <v>0</v>
      </c>
      <c r="M1048" s="2304">
        <f t="shared" si="164"/>
        <v>0</v>
      </c>
      <c r="N1048" s="2304">
        <f t="shared" si="162"/>
        <v>0</v>
      </c>
      <c r="O1048" s="2305">
        <f t="shared" si="160"/>
        <v>0</v>
      </c>
      <c r="P1048" s="2373" t="s">
        <v>6206</v>
      </c>
    </row>
    <row r="1049" spans="1:16" s="2105" customFormat="1" outlineLevel="1">
      <c r="A1049" s="2108" t="str">
        <f t="shared" si="163"/>
        <v/>
      </c>
      <c r="B1049" s="2130" t="s">
        <v>816</v>
      </c>
      <c r="C1049" s="2119"/>
      <c r="D1049" s="2120">
        <v>0</v>
      </c>
      <c r="E1049" s="2121" t="s">
        <v>3581</v>
      </c>
      <c r="F1049" s="2120" t="s">
        <v>2555</v>
      </c>
      <c r="G1049" s="2363">
        <f>G1041*3</f>
        <v>0</v>
      </c>
      <c r="H1049" s="2123">
        <v>17600</v>
      </c>
      <c r="I1049" s="2123"/>
      <c r="J1049" s="2123">
        <v>0</v>
      </c>
      <c r="K1049" s="2123">
        <v>0</v>
      </c>
      <c r="L1049" s="2304">
        <f t="shared" si="157"/>
        <v>0</v>
      </c>
      <c r="M1049" s="2304">
        <f t="shared" si="164"/>
        <v>0</v>
      </c>
      <c r="N1049" s="2304">
        <f t="shared" si="162"/>
        <v>0</v>
      </c>
      <c r="O1049" s="2305">
        <f t="shared" si="160"/>
        <v>0</v>
      </c>
      <c r="P1049" s="2373" t="s">
        <v>6206</v>
      </c>
    </row>
    <row r="1050" spans="1:16" s="2105" customFormat="1" outlineLevel="1">
      <c r="A1050" s="2108" t="str">
        <f t="shared" si="163"/>
        <v/>
      </c>
      <c r="B1050" s="2133" t="s">
        <v>525</v>
      </c>
      <c r="C1050" s="2119"/>
      <c r="D1050" s="2120">
        <v>0</v>
      </c>
      <c r="E1050" s="2121" t="s">
        <v>5252</v>
      </c>
      <c r="F1050" s="2120" t="s">
        <v>2439</v>
      </c>
      <c r="G1050" s="2208">
        <f>2*G1041*0</f>
        <v>0</v>
      </c>
      <c r="H1050" s="2123">
        <v>43000</v>
      </c>
      <c r="I1050" s="2128"/>
      <c r="J1050" s="2123">
        <v>0</v>
      </c>
      <c r="K1050" s="2123">
        <v>0</v>
      </c>
      <c r="L1050" s="2304">
        <f t="shared" si="157"/>
        <v>0</v>
      </c>
      <c r="M1050" s="2304">
        <f t="shared" si="164"/>
        <v>0</v>
      </c>
      <c r="N1050" s="2304">
        <f t="shared" si="162"/>
        <v>0</v>
      </c>
      <c r="O1050" s="2305">
        <f t="shared" si="160"/>
        <v>0</v>
      </c>
      <c r="P1050" s="2155"/>
    </row>
    <row r="1051" spans="1:16" s="2105" customFormat="1" outlineLevel="1">
      <c r="A1051" s="2108" t="str">
        <f t="shared" si="163"/>
        <v/>
      </c>
      <c r="B1051" s="2133" t="s">
        <v>794</v>
      </c>
      <c r="C1051" s="2119"/>
      <c r="D1051" s="2120" t="s">
        <v>5336</v>
      </c>
      <c r="E1051" s="2121" t="s">
        <v>3068</v>
      </c>
      <c r="F1051" s="2120" t="s">
        <v>856</v>
      </c>
      <c r="G1051" s="2255">
        <f>H94*G1041</f>
        <v>0</v>
      </c>
      <c r="H1051" s="2123">
        <v>0</v>
      </c>
      <c r="I1051" s="2123"/>
      <c r="J1051" s="2123">
        <v>283749.75</v>
      </c>
      <c r="K1051" s="2123">
        <v>0</v>
      </c>
      <c r="L1051" s="2304">
        <f t="shared" si="157"/>
        <v>0</v>
      </c>
      <c r="M1051" s="2304">
        <f t="shared" si="164"/>
        <v>0</v>
      </c>
      <c r="N1051" s="2304">
        <f t="shared" si="162"/>
        <v>0</v>
      </c>
      <c r="O1051" s="2305">
        <f t="shared" si="160"/>
        <v>0</v>
      </c>
      <c r="P1051" s="2155"/>
    </row>
    <row r="1052" spans="1:16" s="2105" customFormat="1" outlineLevel="1">
      <c r="A1052" s="2108" t="str">
        <f t="shared" si="163"/>
        <v/>
      </c>
      <c r="B1052" s="2133" t="s">
        <v>798</v>
      </c>
      <c r="C1052" s="2119"/>
      <c r="D1052" s="2120" t="s">
        <v>5325</v>
      </c>
      <c r="E1052" s="2121" t="s">
        <v>5337</v>
      </c>
      <c r="F1052" s="2120" t="s">
        <v>856</v>
      </c>
      <c r="G1052" s="2255">
        <f>G1051</f>
        <v>0</v>
      </c>
      <c r="H1052" s="2123">
        <v>0</v>
      </c>
      <c r="I1052" s="2128"/>
      <c r="J1052" s="2123">
        <v>117703.6</v>
      </c>
      <c r="K1052" s="2123">
        <v>0</v>
      </c>
      <c r="L1052" s="2304">
        <f t="shared" si="157"/>
        <v>0</v>
      </c>
      <c r="M1052" s="2304">
        <f t="shared" si="164"/>
        <v>0</v>
      </c>
      <c r="N1052" s="2304">
        <f t="shared" si="162"/>
        <v>0</v>
      </c>
      <c r="O1052" s="2305">
        <f t="shared" si="160"/>
        <v>0</v>
      </c>
      <c r="P1052" s="2155"/>
    </row>
    <row r="1053" spans="1:16" s="2105" customFormat="1" outlineLevel="1">
      <c r="A1053" s="2108" t="str">
        <f t="shared" si="163"/>
        <v/>
      </c>
      <c r="B1053" s="2133" t="s">
        <v>902</v>
      </c>
      <c r="C1053" s="2119"/>
      <c r="D1053" s="2120" t="s">
        <v>5351</v>
      </c>
      <c r="E1053" s="2121" t="s">
        <v>5352</v>
      </c>
      <c r="F1053" s="2120" t="s">
        <v>2278</v>
      </c>
      <c r="G1053" s="2255">
        <f>G1044</f>
        <v>0</v>
      </c>
      <c r="H1053" s="2123">
        <v>0</v>
      </c>
      <c r="I1053" s="2123"/>
      <c r="J1053" s="2129" t="s">
        <v>6312</v>
      </c>
      <c r="K1053" s="2129">
        <v>0</v>
      </c>
      <c r="L1053" s="2129">
        <f>H1053*$G1053</f>
        <v>0</v>
      </c>
      <c r="M1053" s="2129">
        <f>I1053*$G1053</f>
        <v>0</v>
      </c>
      <c r="N1053" s="2129">
        <v>0</v>
      </c>
      <c r="O1053" s="2305">
        <f t="shared" si="160"/>
        <v>0</v>
      </c>
      <c r="P1053" s="2155"/>
    </row>
    <row r="1054" spans="1:16" s="2105" customFormat="1" outlineLevel="1">
      <c r="A1054" s="2108" t="str">
        <f t="shared" si="163"/>
        <v/>
      </c>
      <c r="B1054" s="2133" t="s">
        <v>1437</v>
      </c>
      <c r="C1054" s="2119"/>
      <c r="D1054" s="2120" t="s">
        <v>5346</v>
      </c>
      <c r="E1054" s="2121" t="s">
        <v>5347</v>
      </c>
      <c r="F1054" s="2120" t="s">
        <v>2532</v>
      </c>
      <c r="G1054" s="2255">
        <f>G1041*H93</f>
        <v>0</v>
      </c>
      <c r="H1054" s="2123">
        <v>0</v>
      </c>
      <c r="I1054" s="2128"/>
      <c r="J1054" s="2129">
        <v>8070.7000000000007</v>
      </c>
      <c r="K1054" s="2129">
        <v>2044.9974999999999</v>
      </c>
      <c r="L1054" s="2129">
        <f>H1054*G1054</f>
        <v>0</v>
      </c>
      <c r="M1054" s="2129">
        <f>I1054*G1054</f>
        <v>0</v>
      </c>
      <c r="N1054" s="2129">
        <f>J1054*G1054</f>
        <v>0</v>
      </c>
      <c r="O1054" s="2305">
        <f t="shared" si="160"/>
        <v>0</v>
      </c>
      <c r="P1054" s="2155"/>
    </row>
    <row r="1055" spans="1:16" s="2336" customFormat="1" outlineLevel="1">
      <c r="A1055" s="2326">
        <f>+IF(G1055&gt;0,1,0)</f>
        <v>0</v>
      </c>
      <c r="B1055" s="2261"/>
      <c r="C1055" s="2258">
        <f>IF(G1055&gt;0,C1049+4,C1049)</f>
        <v>0</v>
      </c>
      <c r="D1055" s="2259"/>
      <c r="E1055" s="2376" t="s">
        <v>6209</v>
      </c>
      <c r="F1055" s="2258" t="s">
        <v>2385</v>
      </c>
      <c r="G1055" s="2377">
        <f>G1004/3</f>
        <v>0</v>
      </c>
      <c r="H1055" s="2332"/>
      <c r="I1055" s="2332"/>
      <c r="J1055" s="2332"/>
      <c r="K1055" s="2332"/>
      <c r="L1055" s="2333">
        <f t="shared" ref="L1055:L1097" si="165">H1055*G1055</f>
        <v>0</v>
      </c>
      <c r="M1055" s="2333">
        <f t="shared" ref="M1055:M1097" si="166">I1055*G1055</f>
        <v>0</v>
      </c>
      <c r="N1055" s="2333">
        <f t="shared" ref="N1055:N1097" si="167">J1055*G1055</f>
        <v>0</v>
      </c>
      <c r="O1055" s="2334">
        <f t="shared" si="160"/>
        <v>0</v>
      </c>
      <c r="P1055" s="2374" t="s">
        <v>6205</v>
      </c>
    </row>
    <row r="1056" spans="1:16" s="2105" customFormat="1" ht="14.4" outlineLevel="1">
      <c r="A1056" s="2108">
        <f>A1055</f>
        <v>0</v>
      </c>
      <c r="B1056" s="2261"/>
      <c r="C1056" s="2258"/>
      <c r="D1056" s="2259"/>
      <c r="E1056" s="2267" t="s">
        <v>6133</v>
      </c>
      <c r="F1056" s="2268"/>
      <c r="G1056" s="2358"/>
      <c r="H1056" s="2128"/>
      <c r="I1056" s="2128"/>
      <c r="J1056" s="2128"/>
      <c r="K1056" s="2128"/>
      <c r="L1056" s="2304">
        <f t="shared" si="165"/>
        <v>0</v>
      </c>
      <c r="M1056" s="2304">
        <f t="shared" si="166"/>
        <v>0</v>
      </c>
      <c r="N1056" s="2304">
        <f t="shared" si="167"/>
        <v>0</v>
      </c>
      <c r="O1056" s="2305">
        <f t="shared" si="160"/>
        <v>0</v>
      </c>
      <c r="P1056" s="2373"/>
    </row>
    <row r="1057" spans="1:18" s="2105" customFormat="1" outlineLevel="1">
      <c r="A1057" s="2108" t="str">
        <f>IF(G1057&lt;&gt;0,1,"")</f>
        <v/>
      </c>
      <c r="B1057" s="2121" t="s">
        <v>5657</v>
      </c>
      <c r="C1057" s="2268"/>
      <c r="D1057" s="2152" t="s">
        <v>5633</v>
      </c>
      <c r="E1057" s="2194" t="s">
        <v>5658</v>
      </c>
      <c r="F1057" s="2152" t="s">
        <v>2555</v>
      </c>
      <c r="G1057" s="2378">
        <f>G1055*0</f>
        <v>0</v>
      </c>
      <c r="H1057" s="2123">
        <v>3664446</v>
      </c>
      <c r="I1057" s="2123"/>
      <c r="J1057" s="2123">
        <v>690091</v>
      </c>
      <c r="K1057" s="2123">
        <v>97369</v>
      </c>
      <c r="L1057" s="2304">
        <f t="shared" si="165"/>
        <v>0</v>
      </c>
      <c r="M1057" s="2304">
        <f t="shared" si="166"/>
        <v>0</v>
      </c>
      <c r="N1057" s="2304">
        <f t="shared" si="167"/>
        <v>0</v>
      </c>
      <c r="O1057" s="2305">
        <f t="shared" si="160"/>
        <v>0</v>
      </c>
      <c r="P1057" s="2155"/>
    </row>
    <row r="1058" spans="1:18" s="2105" customFormat="1" outlineLevel="1">
      <c r="A1058" s="2108" t="str">
        <f>IF(G1058&lt;&gt;0,1,"")</f>
        <v/>
      </c>
      <c r="B1058" s="2261" t="s">
        <v>880</v>
      </c>
      <c r="C1058" s="2258"/>
      <c r="D1058" s="2152">
        <v>0</v>
      </c>
      <c r="E1058" s="2194" t="s">
        <v>5799</v>
      </c>
      <c r="F1058" s="2152" t="s">
        <v>2555</v>
      </c>
      <c r="G1058" s="2378">
        <f>G1057</f>
        <v>0</v>
      </c>
      <c r="H1058" s="2123">
        <v>284000</v>
      </c>
      <c r="I1058" s="2128"/>
      <c r="J1058" s="2123">
        <v>5404</v>
      </c>
      <c r="K1058" s="2123">
        <v>0</v>
      </c>
      <c r="L1058" s="2304">
        <f t="shared" si="165"/>
        <v>0</v>
      </c>
      <c r="M1058" s="2304">
        <f t="shared" si="166"/>
        <v>0</v>
      </c>
      <c r="N1058" s="2304">
        <f t="shared" si="167"/>
        <v>0</v>
      </c>
      <c r="O1058" s="2305">
        <f t="shared" si="160"/>
        <v>0</v>
      </c>
      <c r="P1058" s="2155"/>
    </row>
    <row r="1059" spans="1:18" s="2105" customFormat="1" outlineLevel="1">
      <c r="A1059" s="2108" t="str">
        <f>IF(G1059&lt;&gt;0,1,"")</f>
        <v/>
      </c>
      <c r="B1059" s="2261" t="s">
        <v>289</v>
      </c>
      <c r="C1059" s="2258"/>
      <c r="D1059" s="2152">
        <v>0</v>
      </c>
      <c r="E1059" s="2194" t="s">
        <v>5712</v>
      </c>
      <c r="F1059" s="2152" t="s">
        <v>2555</v>
      </c>
      <c r="G1059" s="2378">
        <f>G1055*0</f>
        <v>0</v>
      </c>
      <c r="H1059" s="2123">
        <v>300000</v>
      </c>
      <c r="I1059" s="2128"/>
      <c r="J1059" s="2123">
        <v>0</v>
      </c>
      <c r="K1059" s="2123">
        <v>0</v>
      </c>
      <c r="L1059" s="2304">
        <f>H1059*G1059</f>
        <v>0</v>
      </c>
      <c r="M1059" s="2304">
        <f>I1059*G1059</f>
        <v>0</v>
      </c>
      <c r="N1059" s="2304">
        <f>J1059*G1059</f>
        <v>0</v>
      </c>
      <c r="O1059" s="2305">
        <f>K1059*G1059</f>
        <v>0</v>
      </c>
      <c r="P1059" s="2155"/>
    </row>
    <row r="1060" spans="1:18" s="2105" customFormat="1" outlineLevel="1">
      <c r="A1060" s="2108" t="str">
        <f t="shared" ref="A1060:A1066" si="168">IF(G1060&lt;&gt;0,1,"")</f>
        <v/>
      </c>
      <c r="B1060" s="2121" t="s">
        <v>588</v>
      </c>
      <c r="C1060" s="2268"/>
      <c r="D1060" s="2152">
        <v>0</v>
      </c>
      <c r="E1060" s="2194" t="s">
        <v>2982</v>
      </c>
      <c r="F1060" s="2152" t="s">
        <v>2439</v>
      </c>
      <c r="G1060" s="2378">
        <f>G1055*2*0</f>
        <v>0</v>
      </c>
      <c r="H1060" s="2123">
        <v>168000</v>
      </c>
      <c r="I1060" s="2128"/>
      <c r="J1060" s="2123">
        <v>0</v>
      </c>
      <c r="K1060" s="2123">
        <v>0</v>
      </c>
      <c r="L1060" s="2304">
        <f t="shared" ref="L1060:L1066" si="169">H1060*G1060</f>
        <v>0</v>
      </c>
      <c r="M1060" s="2304">
        <f t="shared" ref="M1060:M1066" si="170">I1060*G1060</f>
        <v>0</v>
      </c>
      <c r="N1060" s="2304">
        <f t="shared" ref="N1060:N1066" si="171">J1060*G1060</f>
        <v>0</v>
      </c>
      <c r="O1060" s="2305">
        <f t="shared" ref="O1060:O1066" si="172">K1060*G1060</f>
        <v>0</v>
      </c>
      <c r="P1060" s="2155"/>
    </row>
    <row r="1061" spans="1:18" s="2105" customFormat="1" outlineLevel="1">
      <c r="A1061" s="2108" t="str">
        <f t="shared" si="168"/>
        <v/>
      </c>
      <c r="B1061" s="2261"/>
      <c r="C1061" s="2258">
        <f>IF(G1061&gt;0,C1054+1,C1054)</f>
        <v>0</v>
      </c>
      <c r="D1061" s="2259"/>
      <c r="E1061" s="2376" t="s">
        <v>6210</v>
      </c>
      <c r="F1061" s="2258" t="s">
        <v>2385</v>
      </c>
      <c r="G1061" s="2379">
        <f>G1004/3*0</f>
        <v>0</v>
      </c>
      <c r="H1061" s="2123"/>
      <c r="I1061" s="2128"/>
      <c r="J1061" s="2123"/>
      <c r="K1061" s="2123"/>
      <c r="L1061" s="2304"/>
      <c r="M1061" s="2304"/>
      <c r="N1061" s="2304"/>
      <c r="O1061" s="2305"/>
      <c r="P1061" s="2155"/>
    </row>
    <row r="1062" spans="1:18" s="2105" customFormat="1" ht="14.4" outlineLevel="1">
      <c r="A1062" s="2108" t="str">
        <f t="shared" si="168"/>
        <v/>
      </c>
      <c r="B1062" s="2261"/>
      <c r="C1062" s="2258"/>
      <c r="D1062" s="2259"/>
      <c r="E1062" s="2267" t="s">
        <v>6133</v>
      </c>
      <c r="F1062" s="2268"/>
      <c r="G1062" s="2378"/>
      <c r="H1062" s="2123"/>
      <c r="I1062" s="2128"/>
      <c r="J1062" s="2123"/>
      <c r="K1062" s="2123"/>
      <c r="L1062" s="2304"/>
      <c r="M1062" s="2304"/>
      <c r="N1062" s="2304"/>
      <c r="O1062" s="2305"/>
      <c r="P1062" s="2155"/>
    </row>
    <row r="1063" spans="1:18" s="2105" customFormat="1" outlineLevel="1">
      <c r="A1063" s="2108" t="str">
        <f t="shared" si="168"/>
        <v/>
      </c>
      <c r="B1063" s="2121" t="s">
        <v>838</v>
      </c>
      <c r="C1063" s="2268"/>
      <c r="D1063" s="2152" t="s">
        <v>5655</v>
      </c>
      <c r="E1063" s="2194" t="s">
        <v>5659</v>
      </c>
      <c r="F1063" s="2152" t="s">
        <v>2555</v>
      </c>
      <c r="G1063" s="2378">
        <f>G1061*1</f>
        <v>0</v>
      </c>
      <c r="H1063" s="2123">
        <v>783952</v>
      </c>
      <c r="I1063" s="2128"/>
      <c r="J1063" s="2123">
        <v>599038</v>
      </c>
      <c r="K1063" s="2123">
        <v>97369</v>
      </c>
      <c r="L1063" s="2304">
        <f t="shared" si="169"/>
        <v>0</v>
      </c>
      <c r="M1063" s="2304">
        <f t="shared" si="170"/>
        <v>0</v>
      </c>
      <c r="N1063" s="2304">
        <f t="shared" si="171"/>
        <v>0</v>
      </c>
      <c r="O1063" s="2305">
        <f t="shared" si="172"/>
        <v>0</v>
      </c>
      <c r="P1063" s="2155"/>
    </row>
    <row r="1064" spans="1:18" s="2105" customFormat="1" outlineLevel="1">
      <c r="A1064" s="2108" t="str">
        <f t="shared" si="168"/>
        <v/>
      </c>
      <c r="B1064" s="2261" t="s">
        <v>880</v>
      </c>
      <c r="C1064" s="2258"/>
      <c r="D1064" s="2152">
        <v>0</v>
      </c>
      <c r="E1064" s="2194" t="s">
        <v>5799</v>
      </c>
      <c r="F1064" s="2152" t="s">
        <v>2555</v>
      </c>
      <c r="G1064" s="2378">
        <f>G1063</f>
        <v>0</v>
      </c>
      <c r="H1064" s="2123">
        <v>284000</v>
      </c>
      <c r="I1064" s="2128"/>
      <c r="J1064" s="2123">
        <v>5404</v>
      </c>
      <c r="K1064" s="2123">
        <v>0</v>
      </c>
      <c r="L1064" s="2304">
        <f t="shared" si="169"/>
        <v>0</v>
      </c>
      <c r="M1064" s="2304">
        <f t="shared" si="170"/>
        <v>0</v>
      </c>
      <c r="N1064" s="2304">
        <f t="shared" si="171"/>
        <v>0</v>
      </c>
      <c r="O1064" s="2305">
        <f t="shared" si="172"/>
        <v>0</v>
      </c>
      <c r="P1064" s="2155"/>
    </row>
    <row r="1065" spans="1:18" s="2105" customFormat="1" outlineLevel="1">
      <c r="A1065" s="2108" t="str">
        <f t="shared" si="168"/>
        <v/>
      </c>
      <c r="B1065" s="2261" t="s">
        <v>289</v>
      </c>
      <c r="C1065" s="2258"/>
      <c r="D1065" s="2152">
        <v>0</v>
      </c>
      <c r="E1065" s="2194" t="s">
        <v>5712</v>
      </c>
      <c r="F1065" s="2152" t="s">
        <v>2555</v>
      </c>
      <c r="G1065" s="2378">
        <f>G1061</f>
        <v>0</v>
      </c>
      <c r="H1065" s="2123">
        <v>300000</v>
      </c>
      <c r="I1065" s="2128"/>
      <c r="J1065" s="2123">
        <v>0</v>
      </c>
      <c r="K1065" s="2123">
        <v>0</v>
      </c>
      <c r="L1065" s="2304">
        <f t="shared" si="169"/>
        <v>0</v>
      </c>
      <c r="M1065" s="2304">
        <f t="shared" si="170"/>
        <v>0</v>
      </c>
      <c r="N1065" s="2304">
        <f t="shared" si="171"/>
        <v>0</v>
      </c>
      <c r="O1065" s="2305">
        <f t="shared" si="172"/>
        <v>0</v>
      </c>
      <c r="P1065" s="2155"/>
    </row>
    <row r="1066" spans="1:18" s="2105" customFormat="1" outlineLevel="1">
      <c r="A1066" s="2108" t="str">
        <f t="shared" si="168"/>
        <v/>
      </c>
      <c r="B1066" s="2121" t="s">
        <v>588</v>
      </c>
      <c r="C1066" s="2268"/>
      <c r="D1066" s="2152">
        <v>0</v>
      </c>
      <c r="E1066" s="2194" t="s">
        <v>2982</v>
      </c>
      <c r="F1066" s="2152" t="s">
        <v>2439</v>
      </c>
      <c r="G1066" s="2378">
        <f>G1063*2</f>
        <v>0</v>
      </c>
      <c r="H1066" s="2123">
        <v>168000</v>
      </c>
      <c r="I1066" s="2128"/>
      <c r="J1066" s="2123">
        <v>0</v>
      </c>
      <c r="K1066" s="2123">
        <v>0</v>
      </c>
      <c r="L1066" s="2304">
        <f t="shared" si="169"/>
        <v>0</v>
      </c>
      <c r="M1066" s="2304">
        <f t="shared" si="170"/>
        <v>0</v>
      </c>
      <c r="N1066" s="2304">
        <f t="shared" si="171"/>
        <v>0</v>
      </c>
      <c r="O1066" s="2305">
        <f t="shared" si="172"/>
        <v>0</v>
      </c>
      <c r="P1066" s="2155"/>
    </row>
    <row r="1067" spans="1:18" s="2105" customFormat="1" outlineLevel="1">
      <c r="A1067" s="2326">
        <f>+IF(G1067&gt;0,1,0)</f>
        <v>0</v>
      </c>
      <c r="B1067" s="2130"/>
      <c r="C1067" s="2145">
        <f>IF(G1067&gt;0,C1055+1,C1055)</f>
        <v>0</v>
      </c>
      <c r="D1067" s="2318"/>
      <c r="E1067" s="2339" t="s">
        <v>6165</v>
      </c>
      <c r="F1067" s="2145" t="s">
        <v>2385</v>
      </c>
      <c r="G1067" s="2227">
        <f>G1016</f>
        <v>0</v>
      </c>
      <c r="H1067" s="2128"/>
      <c r="I1067" s="2128"/>
      <c r="J1067" s="2128"/>
      <c r="K1067" s="2128"/>
      <c r="L1067" s="2304">
        <f t="shared" si="165"/>
        <v>0</v>
      </c>
      <c r="M1067" s="2304">
        <f t="shared" si="166"/>
        <v>0</v>
      </c>
      <c r="N1067" s="2304">
        <f t="shared" si="167"/>
        <v>0</v>
      </c>
      <c r="O1067" s="2305">
        <f t="shared" si="160"/>
        <v>0</v>
      </c>
      <c r="P1067" s="2373"/>
    </row>
    <row r="1068" spans="1:18" s="2105" customFormat="1" ht="14.4" outlineLevel="1">
      <c r="A1068" s="2108">
        <f>A1067</f>
        <v>0</v>
      </c>
      <c r="B1068" s="2130"/>
      <c r="C1068" s="2145"/>
      <c r="D1068" s="2318"/>
      <c r="E1068" s="2319" t="s">
        <v>6133</v>
      </c>
      <c r="F1068" s="2120"/>
      <c r="G1068" s="2363"/>
      <c r="H1068" s="2128"/>
      <c r="I1068" s="2128"/>
      <c r="J1068" s="2128"/>
      <c r="K1068" s="2128"/>
      <c r="L1068" s="2304">
        <f t="shared" si="165"/>
        <v>0</v>
      </c>
      <c r="M1068" s="2304">
        <f t="shared" si="166"/>
        <v>0</v>
      </c>
      <c r="N1068" s="2304">
        <f t="shared" si="167"/>
        <v>0</v>
      </c>
      <c r="O1068" s="2305">
        <f t="shared" si="160"/>
        <v>0</v>
      </c>
      <c r="P1068" s="2373"/>
    </row>
    <row r="1069" spans="1:18" s="2266" customFormat="1" ht="41.4" outlineLevel="1">
      <c r="A1069" s="2182" t="str">
        <f>IF(G1069&lt;&gt;0,1,"")</f>
        <v/>
      </c>
      <c r="B1069" s="2252" t="s">
        <v>697</v>
      </c>
      <c r="C1069" s="2268"/>
      <c r="D1069" s="2152">
        <v>0</v>
      </c>
      <c r="E1069" s="2194" t="s">
        <v>5087</v>
      </c>
      <c r="F1069" s="2152" t="s">
        <v>2532</v>
      </c>
      <c r="G1069" s="2358">
        <f>G1067*6</f>
        <v>0</v>
      </c>
      <c r="H1069" s="2359">
        <v>50996</v>
      </c>
      <c r="I1069" s="2123"/>
      <c r="J1069" s="2359">
        <v>0</v>
      </c>
      <c r="K1069" s="2359">
        <v>0</v>
      </c>
      <c r="L1069" s="2360">
        <f t="shared" si="165"/>
        <v>0</v>
      </c>
      <c r="M1069" s="2360">
        <f t="shared" si="166"/>
        <v>0</v>
      </c>
      <c r="N1069" s="2360">
        <f t="shared" si="167"/>
        <v>0</v>
      </c>
      <c r="O1069" s="2361">
        <f t="shared" si="160"/>
        <v>0</v>
      </c>
      <c r="P1069" s="2380" t="s">
        <v>6211</v>
      </c>
      <c r="R1069" s="2105"/>
    </row>
    <row r="1070" spans="1:18" s="2105" customFormat="1" outlineLevel="1">
      <c r="A1070" s="2108" t="str">
        <f>IF(G1070&lt;&gt;0,1,"")</f>
        <v/>
      </c>
      <c r="B1070" s="2133" t="s">
        <v>905</v>
      </c>
      <c r="C1070" s="2119"/>
      <c r="D1070" s="2120">
        <v>0</v>
      </c>
      <c r="E1070" s="2121" t="s">
        <v>2873</v>
      </c>
      <c r="F1070" s="2120" t="s">
        <v>2555</v>
      </c>
      <c r="G1070" s="2356">
        <f>3*G1067*2*0</f>
        <v>0</v>
      </c>
      <c r="H1070" s="2123">
        <v>8000</v>
      </c>
      <c r="I1070" s="2123"/>
      <c r="J1070" s="2123">
        <v>0</v>
      </c>
      <c r="K1070" s="2123">
        <v>0</v>
      </c>
      <c r="L1070" s="2304">
        <f t="shared" si="165"/>
        <v>0</v>
      </c>
      <c r="M1070" s="2304">
        <f t="shared" si="166"/>
        <v>0</v>
      </c>
      <c r="N1070" s="2304">
        <f t="shared" si="167"/>
        <v>0</v>
      </c>
      <c r="O1070" s="2305">
        <f t="shared" si="160"/>
        <v>0</v>
      </c>
      <c r="P1070" s="2373"/>
    </row>
    <row r="1071" spans="1:18" s="2266" customFormat="1" ht="27.6" outlineLevel="1">
      <c r="A1071" s="2182" t="str">
        <f>IF(G1071&lt;&gt;0,1,"")</f>
        <v/>
      </c>
      <c r="B1071" s="2357" t="s">
        <v>1479</v>
      </c>
      <c r="C1071" s="2268"/>
      <c r="D1071" s="2152">
        <v>0</v>
      </c>
      <c r="E1071" s="2194" t="s">
        <v>3791</v>
      </c>
      <c r="F1071" s="2152" t="s">
        <v>2555</v>
      </c>
      <c r="G1071" s="2358">
        <f>2*G1067</f>
        <v>0</v>
      </c>
      <c r="H1071" s="2359">
        <v>46000</v>
      </c>
      <c r="I1071" s="2123"/>
      <c r="J1071" s="2359">
        <v>0</v>
      </c>
      <c r="K1071" s="2359">
        <v>0</v>
      </c>
      <c r="L1071" s="2360">
        <f t="shared" si="165"/>
        <v>0</v>
      </c>
      <c r="M1071" s="2360">
        <f t="shared" si="166"/>
        <v>0</v>
      </c>
      <c r="N1071" s="2360">
        <f t="shared" si="167"/>
        <v>0</v>
      </c>
      <c r="O1071" s="2361">
        <f t="shared" si="160"/>
        <v>0</v>
      </c>
      <c r="P1071" s="2380" t="s">
        <v>6212</v>
      </c>
      <c r="R1071" s="2105"/>
    </row>
    <row r="1072" spans="1:18" s="2105" customFormat="1" outlineLevel="1">
      <c r="A1072" s="2108" t="str">
        <f>IF(G1072&lt;&gt;0,1,"")</f>
        <v/>
      </c>
      <c r="B1072" s="2118" t="s">
        <v>1477</v>
      </c>
      <c r="C1072" s="2119"/>
      <c r="D1072" s="2120">
        <v>0</v>
      </c>
      <c r="E1072" s="2121" t="s">
        <v>4335</v>
      </c>
      <c r="F1072" s="2120" t="s">
        <v>2555</v>
      </c>
      <c r="G1072" s="2363">
        <f>G1071</f>
        <v>0</v>
      </c>
      <c r="H1072" s="2123">
        <v>77000</v>
      </c>
      <c r="I1072" s="2123"/>
      <c r="J1072" s="2123">
        <v>0</v>
      </c>
      <c r="K1072" s="2123">
        <v>0</v>
      </c>
      <c r="L1072" s="2304">
        <f t="shared" si="165"/>
        <v>0</v>
      </c>
      <c r="M1072" s="2304">
        <f t="shared" si="166"/>
        <v>0</v>
      </c>
      <c r="N1072" s="2304">
        <f t="shared" si="167"/>
        <v>0</v>
      </c>
      <c r="O1072" s="2305">
        <f t="shared" si="160"/>
        <v>0</v>
      </c>
      <c r="P1072" s="2373"/>
    </row>
    <row r="1073" spans="1:16" s="2105" customFormat="1" outlineLevel="1">
      <c r="A1073" s="2108">
        <f>IF(G1073&lt;&gt;0,1,0)</f>
        <v>0</v>
      </c>
      <c r="B1073" s="2118" t="s">
        <v>5699</v>
      </c>
      <c r="C1073" s="2127"/>
      <c r="D1073" s="2120">
        <v>0</v>
      </c>
      <c r="E1073" s="2121" t="s">
        <v>5700</v>
      </c>
      <c r="F1073" s="2152" t="s">
        <v>2555</v>
      </c>
      <c r="G1073" s="2127">
        <f>3*G1067*0</f>
        <v>0</v>
      </c>
      <c r="H1073" s="2123">
        <v>218200</v>
      </c>
      <c r="I1073" s="2123"/>
      <c r="J1073" s="2123">
        <v>0</v>
      </c>
      <c r="K1073" s="2123">
        <v>0</v>
      </c>
      <c r="L1073" s="2129">
        <f t="shared" si="165"/>
        <v>0</v>
      </c>
      <c r="M1073" s="2129">
        <f t="shared" si="166"/>
        <v>0</v>
      </c>
      <c r="N1073" s="2129">
        <f t="shared" si="167"/>
        <v>0</v>
      </c>
      <c r="O1073" s="2128">
        <f t="shared" si="160"/>
        <v>0</v>
      </c>
      <c r="P1073" s="2155"/>
    </row>
    <row r="1074" spans="1:16" s="2105" customFormat="1" outlineLevel="1">
      <c r="A1074" s="2108">
        <f>IF(G1074&lt;&gt;0,1,0)</f>
        <v>0</v>
      </c>
      <c r="B1074" s="2118" t="s">
        <v>5705</v>
      </c>
      <c r="C1074" s="2127"/>
      <c r="D1074" s="2120">
        <v>0</v>
      </c>
      <c r="E1074" s="2121" t="s">
        <v>5706</v>
      </c>
      <c r="F1074" s="2152" t="s">
        <v>2555</v>
      </c>
      <c r="G1074" s="2127">
        <f>3*G1067*0</f>
        <v>0</v>
      </c>
      <c r="H1074" s="2123">
        <v>39100</v>
      </c>
      <c r="I1074" s="2123"/>
      <c r="J1074" s="2123">
        <v>0</v>
      </c>
      <c r="K1074" s="2123">
        <v>0</v>
      </c>
      <c r="L1074" s="2129">
        <f t="shared" si="165"/>
        <v>0</v>
      </c>
      <c r="M1074" s="2129">
        <f t="shared" si="166"/>
        <v>0</v>
      </c>
      <c r="N1074" s="2129">
        <f t="shared" si="167"/>
        <v>0</v>
      </c>
      <c r="O1074" s="2128">
        <f t="shared" si="160"/>
        <v>0</v>
      </c>
      <c r="P1074" s="2155"/>
    </row>
    <row r="1075" spans="1:16" s="2105" customFormat="1" outlineLevel="1">
      <c r="A1075" s="2108" t="str">
        <f>IF(G1075&lt;&gt;0,1,"")</f>
        <v/>
      </c>
      <c r="B1075" s="2118" t="s">
        <v>5697</v>
      </c>
      <c r="C1075" s="2127"/>
      <c r="D1075" s="2120"/>
      <c r="E1075" s="2121" t="s">
        <v>5698</v>
      </c>
      <c r="F1075" s="2120" t="s">
        <v>3445</v>
      </c>
      <c r="G1075" s="2363">
        <f>3*G1055</f>
        <v>0</v>
      </c>
      <c r="H1075" s="2123">
        <v>25000</v>
      </c>
      <c r="I1075" s="2123"/>
      <c r="J1075" s="2123">
        <v>0</v>
      </c>
      <c r="K1075" s="2123">
        <v>0</v>
      </c>
      <c r="L1075" s="2304">
        <f>H1075*G1075</f>
        <v>0</v>
      </c>
      <c r="M1075" s="2304">
        <f>I1075*G1075</f>
        <v>0</v>
      </c>
      <c r="N1075" s="2304">
        <f>J1075*G1075</f>
        <v>0</v>
      </c>
      <c r="O1075" s="2305">
        <f>K1075*G1075</f>
        <v>0</v>
      </c>
      <c r="P1075" s="2373"/>
    </row>
    <row r="1076" spans="1:16" s="2105" customFormat="1" outlineLevel="1">
      <c r="A1076" s="2108">
        <f>IF(G1076&lt;&gt;0,1,0)</f>
        <v>0</v>
      </c>
      <c r="B1076" s="2118" t="s">
        <v>5707</v>
      </c>
      <c r="C1076" s="2127"/>
      <c r="D1076" s="2120">
        <v>0</v>
      </c>
      <c r="E1076" s="2121" t="s">
        <v>5708</v>
      </c>
      <c r="F1076" s="2152" t="s">
        <v>2555</v>
      </c>
      <c r="G1076" s="2323"/>
      <c r="H1076" s="2123">
        <v>56700</v>
      </c>
      <c r="I1076" s="2123"/>
      <c r="J1076" s="2123">
        <v>0</v>
      </c>
      <c r="K1076" s="2123">
        <v>0</v>
      </c>
      <c r="L1076" s="2129">
        <f t="shared" si="165"/>
        <v>0</v>
      </c>
      <c r="M1076" s="2129">
        <f t="shared" si="166"/>
        <v>0</v>
      </c>
      <c r="N1076" s="2129">
        <f t="shared" si="167"/>
        <v>0</v>
      </c>
      <c r="O1076" s="2128">
        <f t="shared" si="160"/>
        <v>0</v>
      </c>
      <c r="P1076" s="2373"/>
    </row>
    <row r="1077" spans="1:16" s="2105" customFormat="1" outlineLevel="1">
      <c r="A1077" s="2108" t="str">
        <f>IF(G1077&lt;&gt;0,1,"")</f>
        <v/>
      </c>
      <c r="B1077" s="2118" t="s">
        <v>1525</v>
      </c>
      <c r="C1077" s="2119"/>
      <c r="D1077" s="2120" t="s">
        <v>5571</v>
      </c>
      <c r="E1077" s="2121" t="s">
        <v>3292</v>
      </c>
      <c r="F1077" s="2120" t="s">
        <v>1823</v>
      </c>
      <c r="G1077" s="2363">
        <f>G1069</f>
        <v>0</v>
      </c>
      <c r="H1077" s="2123">
        <v>0</v>
      </c>
      <c r="I1077" s="2123"/>
      <c r="J1077" s="2123">
        <v>13915</v>
      </c>
      <c r="K1077" s="2123">
        <v>0</v>
      </c>
      <c r="L1077" s="2304">
        <f t="shared" si="165"/>
        <v>0</v>
      </c>
      <c r="M1077" s="2304">
        <f t="shared" si="166"/>
        <v>0</v>
      </c>
      <c r="N1077" s="2304">
        <f t="shared" si="167"/>
        <v>0</v>
      </c>
      <c r="O1077" s="2305">
        <f t="shared" si="160"/>
        <v>0</v>
      </c>
      <c r="P1077" s="2373"/>
    </row>
    <row r="1078" spans="1:16" s="2105" customFormat="1" outlineLevel="1">
      <c r="A1078" s="2108" t="str">
        <f>A1072</f>
        <v/>
      </c>
      <c r="B1078" s="2130"/>
      <c r="C1078" s="2145">
        <f>IF(G1078&gt;0,C1067+1,C1067)</f>
        <v>0</v>
      </c>
      <c r="D1078" s="2318"/>
      <c r="E1078" s="2340" t="s">
        <v>6213</v>
      </c>
      <c r="F1078" s="2145" t="s">
        <v>2385</v>
      </c>
      <c r="G1078" s="2381">
        <f>G1016</f>
        <v>0</v>
      </c>
      <c r="H1078" s="2128"/>
      <c r="I1078" s="2128"/>
      <c r="J1078" s="2128"/>
      <c r="K1078" s="2128"/>
      <c r="L1078" s="2304">
        <f t="shared" si="165"/>
        <v>0</v>
      </c>
      <c r="M1078" s="2304">
        <f t="shared" si="166"/>
        <v>0</v>
      </c>
      <c r="N1078" s="2304">
        <f t="shared" si="167"/>
        <v>0</v>
      </c>
      <c r="O1078" s="2305">
        <f t="shared" si="160"/>
        <v>0</v>
      </c>
      <c r="P1078" s="2373"/>
    </row>
    <row r="1079" spans="1:16" s="2105" customFormat="1" ht="14.4" outlineLevel="1">
      <c r="A1079" s="2108" t="str">
        <f>A1078</f>
        <v/>
      </c>
      <c r="B1079" s="2130"/>
      <c r="C1079" s="2145"/>
      <c r="D1079" s="2318"/>
      <c r="E1079" s="2341" t="s">
        <v>6133</v>
      </c>
      <c r="F1079" s="2120"/>
      <c r="G1079" s="2381"/>
      <c r="H1079" s="2128"/>
      <c r="I1079" s="2128"/>
      <c r="J1079" s="2128"/>
      <c r="K1079" s="2128"/>
      <c r="L1079" s="2304">
        <f t="shared" si="165"/>
        <v>0</v>
      </c>
      <c r="M1079" s="2304">
        <f t="shared" si="166"/>
        <v>0</v>
      </c>
      <c r="N1079" s="2304">
        <f t="shared" si="167"/>
        <v>0</v>
      </c>
      <c r="O1079" s="2305">
        <f t="shared" si="160"/>
        <v>0</v>
      </c>
      <c r="P1079" s="2373"/>
    </row>
    <row r="1080" spans="1:16" s="2105" customFormat="1" outlineLevel="1">
      <c r="A1080" s="2108" t="str">
        <f t="shared" ref="A1080:A1090" si="173">IF(G1080&lt;&gt;0,1,"")</f>
        <v/>
      </c>
      <c r="B1080" s="2130" t="s">
        <v>1222</v>
      </c>
      <c r="C1080" s="2119"/>
      <c r="D1080" s="2120">
        <v>0</v>
      </c>
      <c r="E1080" s="2121" t="s">
        <v>2801</v>
      </c>
      <c r="F1080" s="2120" t="s">
        <v>2532</v>
      </c>
      <c r="G1080" s="2363">
        <f>G1078*8*3</f>
        <v>0</v>
      </c>
      <c r="H1080" s="2123">
        <v>684900</v>
      </c>
      <c r="I1080" s="2123"/>
      <c r="J1080" s="2123">
        <v>0</v>
      </c>
      <c r="K1080" s="2123">
        <v>0</v>
      </c>
      <c r="L1080" s="2304">
        <f t="shared" si="165"/>
        <v>0</v>
      </c>
      <c r="M1080" s="2304">
        <f t="shared" si="166"/>
        <v>0</v>
      </c>
      <c r="N1080" s="2304">
        <f t="shared" si="167"/>
        <v>0</v>
      </c>
      <c r="O1080" s="2305">
        <f t="shared" si="160"/>
        <v>0</v>
      </c>
      <c r="P1080" s="2373"/>
    </row>
    <row r="1081" spans="1:16" s="2105" customFormat="1" outlineLevel="1">
      <c r="A1081" s="2108" t="str">
        <f t="shared" si="173"/>
        <v/>
      </c>
      <c r="B1081" s="2130" t="s">
        <v>6158</v>
      </c>
      <c r="C1081" s="2119"/>
      <c r="D1081" s="2120">
        <v>0</v>
      </c>
      <c r="E1081" s="2121" t="s">
        <v>2796</v>
      </c>
      <c r="F1081" s="2120" t="s">
        <v>2532</v>
      </c>
      <c r="G1081" s="2363">
        <f>G1078*8</f>
        <v>0</v>
      </c>
      <c r="H1081" s="2123">
        <v>194893</v>
      </c>
      <c r="I1081" s="2123"/>
      <c r="J1081" s="2123">
        <v>0</v>
      </c>
      <c r="K1081" s="2123">
        <v>0</v>
      </c>
      <c r="L1081" s="2304">
        <f t="shared" si="165"/>
        <v>0</v>
      </c>
      <c r="M1081" s="2304">
        <f t="shared" si="166"/>
        <v>0</v>
      </c>
      <c r="N1081" s="2304">
        <f t="shared" si="167"/>
        <v>0</v>
      </c>
      <c r="O1081" s="2305">
        <f t="shared" si="160"/>
        <v>0</v>
      </c>
      <c r="P1081" s="2373"/>
    </row>
    <row r="1082" spans="1:16" s="2105" customFormat="1" outlineLevel="1">
      <c r="A1082" s="2108" t="str">
        <f t="shared" si="173"/>
        <v/>
      </c>
      <c r="B1082" s="2130" t="s">
        <v>1822</v>
      </c>
      <c r="C1082" s="2127"/>
      <c r="D1082" s="2120" t="s">
        <v>1527</v>
      </c>
      <c r="E1082" s="2121" t="s">
        <v>2784</v>
      </c>
      <c r="F1082" s="2120" t="s">
        <v>2532</v>
      </c>
      <c r="G1082" s="2363">
        <f>4*G1078</f>
        <v>0</v>
      </c>
      <c r="H1082" s="2123">
        <v>28200</v>
      </c>
      <c r="I1082" s="2123"/>
      <c r="J1082" s="2123">
        <v>0</v>
      </c>
      <c r="K1082" s="2123">
        <v>0</v>
      </c>
      <c r="L1082" s="2209">
        <f t="shared" si="165"/>
        <v>0</v>
      </c>
      <c r="M1082" s="2209">
        <f t="shared" si="166"/>
        <v>0</v>
      </c>
      <c r="N1082" s="2209">
        <f t="shared" si="167"/>
        <v>0</v>
      </c>
      <c r="O1082" s="2210">
        <f t="shared" ref="O1082:O1097" si="174">K1082*G1082</f>
        <v>0</v>
      </c>
      <c r="P1082" s="2373"/>
    </row>
    <row r="1083" spans="1:16" s="2105" customFormat="1" outlineLevel="1">
      <c r="A1083" s="2108" t="str">
        <f t="shared" si="173"/>
        <v/>
      </c>
      <c r="B1083" s="2130" t="s">
        <v>449</v>
      </c>
      <c r="C1083" s="2119"/>
      <c r="D1083" s="2120" t="s">
        <v>5732</v>
      </c>
      <c r="E1083" s="2121" t="s">
        <v>3488</v>
      </c>
      <c r="F1083" s="2120" t="s">
        <v>2555</v>
      </c>
      <c r="G1083" s="2363">
        <f>G1078*6</f>
        <v>0</v>
      </c>
      <c r="H1083" s="2123">
        <v>108000</v>
      </c>
      <c r="I1083" s="2123"/>
      <c r="J1083" s="2123">
        <v>59410.148000000001</v>
      </c>
      <c r="K1083" s="2123">
        <v>7775.6650930000005</v>
      </c>
      <c r="L1083" s="2304">
        <f t="shared" si="165"/>
        <v>0</v>
      </c>
      <c r="M1083" s="2304">
        <f t="shared" si="166"/>
        <v>0</v>
      </c>
      <c r="N1083" s="2304">
        <f t="shared" si="167"/>
        <v>0</v>
      </c>
      <c r="O1083" s="2305">
        <f t="shared" si="174"/>
        <v>0</v>
      </c>
      <c r="P1083" s="2373"/>
    </row>
    <row r="1084" spans="1:16" s="2105" customFormat="1" outlineLevel="1">
      <c r="A1084" s="2108" t="str">
        <f t="shared" si="173"/>
        <v/>
      </c>
      <c r="B1084" s="2130" t="s">
        <v>6214</v>
      </c>
      <c r="C1084" s="2119"/>
      <c r="D1084" s="2120" t="s">
        <v>5729</v>
      </c>
      <c r="E1084" s="2121" t="s">
        <v>3483</v>
      </c>
      <c r="F1084" s="2120" t="s">
        <v>2555</v>
      </c>
      <c r="G1084" s="2363">
        <f>G1078*2</f>
        <v>0</v>
      </c>
      <c r="H1084" s="2123">
        <v>36000</v>
      </c>
      <c r="I1084" s="2123"/>
      <c r="J1084" s="2123">
        <v>33342.43</v>
      </c>
      <c r="K1084" s="2123">
        <v>4443.237196</v>
      </c>
      <c r="L1084" s="2304">
        <f t="shared" si="165"/>
        <v>0</v>
      </c>
      <c r="M1084" s="2304">
        <f t="shared" si="166"/>
        <v>0</v>
      </c>
      <c r="N1084" s="2304">
        <f t="shared" si="167"/>
        <v>0</v>
      </c>
      <c r="O1084" s="2305">
        <f t="shared" si="174"/>
        <v>0</v>
      </c>
      <c r="P1084" s="2373"/>
    </row>
    <row r="1085" spans="1:16" s="2105" customFormat="1" outlineLevel="1">
      <c r="A1085" s="2108" t="str">
        <f t="shared" si="173"/>
        <v/>
      </c>
      <c r="B1085" s="2130" t="s">
        <v>6215</v>
      </c>
      <c r="C1085" s="2119"/>
      <c r="D1085" s="2120">
        <v>0</v>
      </c>
      <c r="E1085" s="2121" t="s">
        <v>3502</v>
      </c>
      <c r="F1085" s="2120" t="s">
        <v>2555</v>
      </c>
      <c r="G1085" s="2363">
        <f>G1083</f>
        <v>0</v>
      </c>
      <c r="H1085" s="2123">
        <v>8000</v>
      </c>
      <c r="I1085" s="2123"/>
      <c r="J1085" s="2123">
        <v>0</v>
      </c>
      <c r="K1085" s="2123">
        <v>0</v>
      </c>
      <c r="L1085" s="2304">
        <f t="shared" si="165"/>
        <v>0</v>
      </c>
      <c r="M1085" s="2304">
        <f t="shared" si="166"/>
        <v>0</v>
      </c>
      <c r="N1085" s="2304">
        <f t="shared" si="167"/>
        <v>0</v>
      </c>
      <c r="O1085" s="2305">
        <f t="shared" si="174"/>
        <v>0</v>
      </c>
      <c r="P1085" s="2373"/>
    </row>
    <row r="1086" spans="1:16" s="2105" customFormat="1" outlineLevel="1">
      <c r="A1086" s="2108" t="str">
        <f t="shared" si="173"/>
        <v/>
      </c>
      <c r="B1086" s="2130" t="s">
        <v>6199</v>
      </c>
      <c r="C1086" s="2119"/>
      <c r="D1086" s="2120">
        <v>0</v>
      </c>
      <c r="E1086" s="2121" t="s">
        <v>3497</v>
      </c>
      <c r="F1086" s="2120" t="s">
        <v>2555</v>
      </c>
      <c r="G1086" s="2363">
        <f>G1084</f>
        <v>0</v>
      </c>
      <c r="H1086" s="2123">
        <v>5000</v>
      </c>
      <c r="I1086" s="2123"/>
      <c r="J1086" s="2123">
        <v>0</v>
      </c>
      <c r="K1086" s="2123">
        <v>0</v>
      </c>
      <c r="L1086" s="2304">
        <f t="shared" si="165"/>
        <v>0</v>
      </c>
      <c r="M1086" s="2304">
        <f t="shared" si="166"/>
        <v>0</v>
      </c>
      <c r="N1086" s="2304">
        <f t="shared" si="167"/>
        <v>0</v>
      </c>
      <c r="O1086" s="2305">
        <f t="shared" si="174"/>
        <v>0</v>
      </c>
      <c r="P1086" s="2373"/>
    </row>
    <row r="1087" spans="1:16" s="2105" customFormat="1" outlineLevel="1">
      <c r="A1087" s="2108" t="str">
        <f t="shared" si="173"/>
        <v/>
      </c>
      <c r="B1087" s="2130" t="s">
        <v>1042</v>
      </c>
      <c r="C1087" s="2119"/>
      <c r="D1087" s="2120">
        <v>0</v>
      </c>
      <c r="E1087" s="2121" t="s">
        <v>3531</v>
      </c>
      <c r="F1087" s="2120" t="s">
        <v>1823</v>
      </c>
      <c r="G1087" s="2363">
        <f>8*G1078</f>
        <v>0</v>
      </c>
      <c r="H1087" s="2123">
        <v>103700</v>
      </c>
      <c r="I1087" s="2128"/>
      <c r="J1087" s="2123">
        <v>0</v>
      </c>
      <c r="K1087" s="2123">
        <v>0</v>
      </c>
      <c r="L1087" s="2304">
        <f t="shared" si="165"/>
        <v>0</v>
      </c>
      <c r="M1087" s="2304">
        <f t="shared" si="166"/>
        <v>0</v>
      </c>
      <c r="N1087" s="2304">
        <f t="shared" si="167"/>
        <v>0</v>
      </c>
      <c r="O1087" s="2305">
        <f t="shared" si="174"/>
        <v>0</v>
      </c>
      <c r="P1087" s="2373"/>
    </row>
    <row r="1088" spans="1:16" s="2105" customFormat="1" outlineLevel="1">
      <c r="A1088" s="2108" t="str">
        <f t="shared" si="173"/>
        <v/>
      </c>
      <c r="B1088" s="2133" t="s">
        <v>1862</v>
      </c>
      <c r="C1088" s="2119"/>
      <c r="D1088" s="2120">
        <v>0</v>
      </c>
      <c r="E1088" s="2121" t="s">
        <v>5258</v>
      </c>
      <c r="F1088" s="2120" t="s">
        <v>2439</v>
      </c>
      <c r="G1088" s="2363">
        <f>3*G1078</f>
        <v>0</v>
      </c>
      <c r="H1088" s="2123">
        <v>50000</v>
      </c>
      <c r="I1088" s="2128"/>
      <c r="J1088" s="2123">
        <v>0</v>
      </c>
      <c r="K1088" s="2123">
        <v>0</v>
      </c>
      <c r="L1088" s="2304">
        <f t="shared" si="165"/>
        <v>0</v>
      </c>
      <c r="M1088" s="2304">
        <f t="shared" si="166"/>
        <v>0</v>
      </c>
      <c r="N1088" s="2304">
        <f t="shared" si="167"/>
        <v>0</v>
      </c>
      <c r="O1088" s="2305">
        <f t="shared" si="174"/>
        <v>0</v>
      </c>
      <c r="P1088" s="2373"/>
    </row>
    <row r="1089" spans="1:19" s="2105" customFormat="1" outlineLevel="1">
      <c r="A1089" s="2108" t="str">
        <f t="shared" si="173"/>
        <v/>
      </c>
      <c r="B1089" s="2130" t="s">
        <v>1864</v>
      </c>
      <c r="C1089" s="2119"/>
      <c r="D1089" s="2120">
        <v>0</v>
      </c>
      <c r="E1089" s="2121" t="s">
        <v>3549</v>
      </c>
      <c r="F1089" s="2120" t="s">
        <v>2555</v>
      </c>
      <c r="G1089" s="2363">
        <f>2*G1078</f>
        <v>0</v>
      </c>
      <c r="H1089" s="2123">
        <v>104800</v>
      </c>
      <c r="I1089" s="2128"/>
      <c r="J1089" s="2123">
        <v>0</v>
      </c>
      <c r="K1089" s="2123">
        <v>0</v>
      </c>
      <c r="L1089" s="2304">
        <f t="shared" si="165"/>
        <v>0</v>
      </c>
      <c r="M1089" s="2304">
        <f t="shared" si="166"/>
        <v>0</v>
      </c>
      <c r="N1089" s="2304">
        <f t="shared" si="167"/>
        <v>0</v>
      </c>
      <c r="O1089" s="2305">
        <f t="shared" si="174"/>
        <v>0</v>
      </c>
      <c r="P1089" s="2373"/>
    </row>
    <row r="1090" spans="1:19" s="2105" customFormat="1" outlineLevel="1">
      <c r="A1090" s="2108" t="str">
        <f t="shared" si="173"/>
        <v/>
      </c>
      <c r="B1090" s="2130" t="s">
        <v>2167</v>
      </c>
      <c r="C1090" s="2119"/>
      <c r="D1090" s="2120">
        <v>0</v>
      </c>
      <c r="E1090" s="2121" t="s">
        <v>3575</v>
      </c>
      <c r="F1090" s="2120" t="s">
        <v>2555</v>
      </c>
      <c r="G1090" s="2363">
        <f>+G1078</f>
        <v>0</v>
      </c>
      <c r="H1090" s="2123">
        <v>41900</v>
      </c>
      <c r="I1090" s="2128"/>
      <c r="J1090" s="2123">
        <v>0</v>
      </c>
      <c r="K1090" s="2123">
        <v>0</v>
      </c>
      <c r="L1090" s="2304">
        <f t="shared" si="165"/>
        <v>0</v>
      </c>
      <c r="M1090" s="2304">
        <f t="shared" si="166"/>
        <v>0</v>
      </c>
      <c r="N1090" s="2304">
        <f t="shared" si="167"/>
        <v>0</v>
      </c>
      <c r="O1090" s="2305">
        <f t="shared" si="174"/>
        <v>0</v>
      </c>
      <c r="P1090" s="2373"/>
    </row>
    <row r="1091" spans="1:19" s="2105" customFormat="1" outlineLevel="1">
      <c r="A1091" s="2108" t="str">
        <f>IF(G1091&lt;&gt;0,1,"")</f>
        <v/>
      </c>
      <c r="B1091" s="2130" t="s">
        <v>2168</v>
      </c>
      <c r="C1091" s="2119"/>
      <c r="D1091" s="2120">
        <v>0</v>
      </c>
      <c r="E1091" s="2121" t="s">
        <v>3579</v>
      </c>
      <c r="F1091" s="2120" t="s">
        <v>2555</v>
      </c>
      <c r="G1091" s="2363">
        <f>+G1090</f>
        <v>0</v>
      </c>
      <c r="H1091" s="2123">
        <v>41900</v>
      </c>
      <c r="I1091" s="2128"/>
      <c r="J1091" s="2123">
        <v>0</v>
      </c>
      <c r="K1091" s="2123">
        <v>0</v>
      </c>
      <c r="L1091" s="2304">
        <f t="shared" si="165"/>
        <v>0</v>
      </c>
      <c r="M1091" s="2304">
        <f t="shared" si="166"/>
        <v>0</v>
      </c>
      <c r="N1091" s="2304">
        <f t="shared" si="167"/>
        <v>0</v>
      </c>
      <c r="O1091" s="2305">
        <f t="shared" si="174"/>
        <v>0</v>
      </c>
      <c r="P1091" s="2373"/>
    </row>
    <row r="1092" spans="1:19" s="2105" customFormat="1" outlineLevel="1">
      <c r="A1092" s="2108" t="str">
        <f>IF(G1092&lt;&gt;0,1,"")</f>
        <v/>
      </c>
      <c r="B1092" s="2130" t="s">
        <v>419</v>
      </c>
      <c r="C1092" s="2119"/>
      <c r="D1092" s="2120">
        <v>0</v>
      </c>
      <c r="E1092" s="2121" t="s">
        <v>3570</v>
      </c>
      <c r="F1092" s="2120" t="s">
        <v>3571</v>
      </c>
      <c r="G1092" s="2363">
        <f>G1078*1</f>
        <v>0</v>
      </c>
      <c r="H1092" s="2123">
        <v>11500</v>
      </c>
      <c r="I1092" s="2128"/>
      <c r="J1092" s="2123">
        <v>0</v>
      </c>
      <c r="K1092" s="2123">
        <v>0</v>
      </c>
      <c r="L1092" s="2304">
        <f t="shared" si="165"/>
        <v>0</v>
      </c>
      <c r="M1092" s="2304">
        <f t="shared" si="166"/>
        <v>0</v>
      </c>
      <c r="N1092" s="2304">
        <f t="shared" si="167"/>
        <v>0</v>
      </c>
      <c r="O1092" s="2305">
        <f t="shared" si="174"/>
        <v>0</v>
      </c>
      <c r="P1092" s="2373"/>
    </row>
    <row r="1093" spans="1:19" s="2105" customFormat="1" outlineLevel="1">
      <c r="A1093" s="2108" t="str">
        <f>IF(G1093&lt;&gt;0,1,"")</f>
        <v/>
      </c>
      <c r="B1093" s="2130" t="s">
        <v>489</v>
      </c>
      <c r="C1093" s="2119"/>
      <c r="D1093" s="2120">
        <v>0</v>
      </c>
      <c r="E1093" s="2121" t="s">
        <v>3567</v>
      </c>
      <c r="F1093" s="2120" t="s">
        <v>5806</v>
      </c>
      <c r="G1093" s="2363">
        <f>G1092</f>
        <v>0</v>
      </c>
      <c r="H1093" s="2123">
        <v>45000</v>
      </c>
      <c r="I1093" s="2128"/>
      <c r="J1093" s="2123">
        <v>0</v>
      </c>
      <c r="K1093" s="2123">
        <v>0</v>
      </c>
      <c r="L1093" s="2304">
        <f t="shared" si="165"/>
        <v>0</v>
      </c>
      <c r="M1093" s="2304">
        <f t="shared" si="166"/>
        <v>0</v>
      </c>
      <c r="N1093" s="2304">
        <f t="shared" si="167"/>
        <v>0</v>
      </c>
      <c r="O1093" s="2305">
        <f t="shared" si="174"/>
        <v>0</v>
      </c>
      <c r="P1093" s="2373"/>
    </row>
    <row r="1094" spans="1:19" s="2105" customFormat="1" outlineLevel="1">
      <c r="A1094" s="2108" t="str">
        <f>IF(G1094&lt;&gt;0,1,"")</f>
        <v/>
      </c>
      <c r="B1094" s="2133" t="s">
        <v>672</v>
      </c>
      <c r="C1094" s="2119"/>
      <c r="D1094" s="2120">
        <v>0</v>
      </c>
      <c r="E1094" s="2121" t="s">
        <v>5801</v>
      </c>
      <c r="F1094" s="2120" t="s">
        <v>3566</v>
      </c>
      <c r="G1094" s="2363">
        <f>G1078*2</f>
        <v>0</v>
      </c>
      <c r="H1094" s="2123">
        <v>6500</v>
      </c>
      <c r="I1094" s="2128"/>
      <c r="J1094" s="2123">
        <v>0</v>
      </c>
      <c r="K1094" s="2123">
        <v>0</v>
      </c>
      <c r="L1094" s="2304">
        <f t="shared" si="165"/>
        <v>0</v>
      </c>
      <c r="M1094" s="2304">
        <f t="shared" si="166"/>
        <v>0</v>
      </c>
      <c r="N1094" s="2304">
        <f t="shared" si="167"/>
        <v>0</v>
      </c>
      <c r="O1094" s="2305">
        <f t="shared" si="174"/>
        <v>0</v>
      </c>
      <c r="P1094" s="2382"/>
    </row>
    <row r="1095" spans="1:19" s="2105" customFormat="1" outlineLevel="1">
      <c r="A1095" s="2108" t="str">
        <f>A1094</f>
        <v/>
      </c>
      <c r="B1095" s="2130" t="s">
        <v>1863</v>
      </c>
      <c r="C1095" s="2127"/>
      <c r="D1095" s="2120" t="s">
        <v>5548</v>
      </c>
      <c r="E1095" s="2121" t="s">
        <v>3253</v>
      </c>
      <c r="F1095" s="2120" t="s">
        <v>2532</v>
      </c>
      <c r="G1095" s="2323">
        <f>G1087</f>
        <v>0</v>
      </c>
      <c r="H1095" s="2123"/>
      <c r="I1095" s="2128"/>
      <c r="J1095" s="2123">
        <v>65150.03</v>
      </c>
      <c r="K1095" s="2123">
        <v>0</v>
      </c>
      <c r="L1095" s="2129">
        <f t="shared" si="165"/>
        <v>0</v>
      </c>
      <c r="M1095" s="2129">
        <f t="shared" si="166"/>
        <v>0</v>
      </c>
      <c r="N1095" s="2129">
        <f t="shared" si="167"/>
        <v>0</v>
      </c>
      <c r="O1095" s="2128">
        <f t="shared" si="174"/>
        <v>0</v>
      </c>
      <c r="P1095" s="2373"/>
    </row>
    <row r="1096" spans="1:19" s="2105" customFormat="1" outlineLevel="1">
      <c r="A1096" s="2108" t="str">
        <f>A1094</f>
        <v/>
      </c>
      <c r="B1096" s="2133" t="s">
        <v>247</v>
      </c>
      <c r="C1096" s="2127"/>
      <c r="D1096" s="2120" t="s">
        <v>5573</v>
      </c>
      <c r="E1096" s="2121" t="s">
        <v>5574</v>
      </c>
      <c r="F1096" s="2120" t="s">
        <v>1823</v>
      </c>
      <c r="G1096" s="2323">
        <f>G1080+G1081</f>
        <v>0</v>
      </c>
      <c r="H1096" s="2123"/>
      <c r="I1096" s="2128"/>
      <c r="J1096" s="2123">
        <v>47311</v>
      </c>
      <c r="K1096" s="2123">
        <v>0</v>
      </c>
      <c r="L1096" s="2129">
        <f t="shared" si="165"/>
        <v>0</v>
      </c>
      <c r="M1096" s="2129">
        <f t="shared" si="166"/>
        <v>0</v>
      </c>
      <c r="N1096" s="2129">
        <f t="shared" si="167"/>
        <v>0</v>
      </c>
      <c r="O1096" s="2128">
        <f t="shared" si="174"/>
        <v>0</v>
      </c>
      <c r="P1096" s="2373"/>
    </row>
    <row r="1097" spans="1:19" s="2105" customFormat="1" outlineLevel="1">
      <c r="A1097" s="2108" t="str">
        <f>IF(G1097&lt;&gt;0,1,"")</f>
        <v/>
      </c>
      <c r="B1097" s="2130" t="s">
        <v>289</v>
      </c>
      <c r="C1097" s="2342">
        <f>IF(G1097&gt;0,C1078+1,C1078)</f>
        <v>0</v>
      </c>
      <c r="D1097" s="2343"/>
      <c r="E1097" s="2121" t="s">
        <v>5712</v>
      </c>
      <c r="F1097" s="2120" t="s">
        <v>2555</v>
      </c>
      <c r="G1097" s="2383">
        <f>G1032</f>
        <v>0</v>
      </c>
      <c r="H1097" s="2123">
        <v>300000</v>
      </c>
      <c r="I1097" s="2163"/>
      <c r="J1097" s="2123">
        <v>0</v>
      </c>
      <c r="K1097" s="2123">
        <v>0</v>
      </c>
      <c r="L1097" s="2344">
        <f t="shared" si="165"/>
        <v>0</v>
      </c>
      <c r="M1097" s="2344">
        <f t="shared" si="166"/>
        <v>0</v>
      </c>
      <c r="N1097" s="2344">
        <f t="shared" si="167"/>
        <v>0</v>
      </c>
      <c r="O1097" s="2345">
        <f t="shared" si="174"/>
        <v>0</v>
      </c>
      <c r="P1097" s="2369"/>
    </row>
    <row r="1098" spans="1:19" s="2105" customFormat="1" outlineLevel="1">
      <c r="A1098" s="2108" t="str">
        <f>A1097</f>
        <v/>
      </c>
      <c r="B1098" s="2130"/>
      <c r="C1098" s="2346"/>
      <c r="D1098" s="2347"/>
      <c r="E1098" s="2313"/>
      <c r="F1098" s="2631"/>
      <c r="G1098" s="2631"/>
      <c r="H1098" s="2631"/>
      <c r="I1098" s="2631"/>
      <c r="J1098" s="2656" t="s">
        <v>6131</v>
      </c>
      <c r="K1098" s="2656"/>
      <c r="L1098" s="2348">
        <f>SUM(L1018:L1097)</f>
        <v>0</v>
      </c>
      <c r="M1098" s="2348"/>
      <c r="N1098" s="2348">
        <f>SUM(N1018:N1097)</f>
        <v>0</v>
      </c>
      <c r="O1098" s="2348">
        <f>SUM(O1018:O1097)</f>
        <v>0</v>
      </c>
      <c r="P1098" s="2384"/>
    </row>
    <row r="1099" spans="1:19" s="2105" customFormat="1" outlineLevel="1">
      <c r="A1099" s="2108"/>
      <c r="B1099" s="2130"/>
      <c r="C1099" s="2350"/>
      <c r="D1099" s="2350"/>
      <c r="E1099" s="2351"/>
      <c r="F1099" s="2632"/>
      <c r="G1099" s="2632"/>
      <c r="H1099" s="2632"/>
      <c r="I1099" s="2632"/>
      <c r="J1099" s="2351"/>
      <c r="K1099" s="2351"/>
      <c r="L1099" s="2352"/>
      <c r="M1099" s="2352"/>
      <c r="N1099" s="2352"/>
      <c r="O1099" s="2352"/>
    </row>
    <row r="1100" spans="1:19" s="2105" customFormat="1" ht="13.95" customHeight="1">
      <c r="A1100" s="2182" t="str">
        <f>IF(G1226&lt;&gt;0,1,"")</f>
        <v/>
      </c>
      <c r="B1100" s="2385"/>
      <c r="C1100" s="2633"/>
      <c r="D1100" s="2386"/>
      <c r="E1100" s="2634"/>
      <c r="F1100" s="2386"/>
      <c r="G1100" s="2635"/>
      <c r="H1100" s="2266"/>
      <c r="I1100" s="2266"/>
      <c r="J1100" s="2266"/>
      <c r="K1100" s="2266"/>
      <c r="L1100" s="2266"/>
      <c r="M1100" s="2266"/>
      <c r="N1100" s="2266"/>
      <c r="O1100" s="2266"/>
      <c r="P1100" s="2386"/>
      <c r="Q1100" s="2266"/>
      <c r="R1100" s="2266"/>
      <c r="S1100" s="2266"/>
    </row>
    <row r="1101" spans="1:19" s="2105" customFormat="1" outlineLevel="1">
      <c r="A1101" s="2182" t="str">
        <f>+A1105</f>
        <v/>
      </c>
      <c r="B1101" s="2387"/>
      <c r="C1101" s="2624" t="str">
        <f>"BẢNG TỔNG HỢP VẬT LIỆU, NHÂN CÔNG, MÁY THI CÔNG: "&amp;K23&amp;" TRẠM 3P_180KVA"</f>
        <v>BẢNG TỔNG HỢP VẬT LIỆU, NHÂN CÔNG, MÁY THI CÔNG: 0 TRẠM 3P_180KVA</v>
      </c>
      <c r="D1101" s="2633"/>
      <c r="E1101" s="2633"/>
      <c r="F1101" s="2633"/>
      <c r="G1101" s="2633"/>
      <c r="H1101" s="2528"/>
      <c r="I1101" s="2528"/>
      <c r="J1101" s="2528"/>
      <c r="K1101" s="2528"/>
      <c r="L1101" s="2528"/>
      <c r="M1101" s="2528"/>
      <c r="N1101" s="2528"/>
      <c r="O1101" s="2528"/>
      <c r="P1101" s="2386"/>
      <c r="Q1101" s="2266"/>
      <c r="R1101" s="2266"/>
      <c r="S1101" s="2266"/>
    </row>
    <row r="1102" spans="1:19" s="2105" customFormat="1" outlineLevel="1">
      <c r="A1102" s="2182" t="str">
        <f>+A1105</f>
        <v/>
      </c>
      <c r="B1102" s="2261" t="s">
        <v>6112</v>
      </c>
      <c r="C1102" s="2648" t="s">
        <v>1708</v>
      </c>
      <c r="D1102" s="2649" t="s">
        <v>2597</v>
      </c>
      <c r="E1102" s="2651" t="s">
        <v>2598</v>
      </c>
      <c r="F1102" s="2648" t="s">
        <v>2593</v>
      </c>
      <c r="G1102" s="2109" t="s">
        <v>6113</v>
      </c>
      <c r="H1102" s="2112" t="s">
        <v>6114</v>
      </c>
      <c r="I1102" s="2619"/>
      <c r="J1102" s="2619"/>
      <c r="K1102" s="2620"/>
      <c r="L1102" s="2112" t="s">
        <v>6115</v>
      </c>
      <c r="M1102" s="2619"/>
      <c r="N1102" s="2619"/>
      <c r="O1102" s="2620"/>
      <c r="P1102" s="2648" t="s">
        <v>2599</v>
      </c>
      <c r="Q1102" s="2266"/>
      <c r="R1102" s="2266"/>
      <c r="S1102" s="2266"/>
    </row>
    <row r="1103" spans="1:19" s="2105" customFormat="1" outlineLevel="1">
      <c r="A1103" s="2182" t="str">
        <f>+A1105</f>
        <v/>
      </c>
      <c r="B1103" s="2261"/>
      <c r="C1103" s="2648"/>
      <c r="D1103" s="2650"/>
      <c r="E1103" s="2652"/>
      <c r="F1103" s="2648"/>
      <c r="G1103" s="2111" t="s">
        <v>2286</v>
      </c>
      <c r="H1103" s="2112" t="s">
        <v>6116</v>
      </c>
      <c r="I1103" s="2112" t="s">
        <v>6117</v>
      </c>
      <c r="J1103" s="2112" t="s">
        <v>6118</v>
      </c>
      <c r="K1103" s="2112" t="s">
        <v>6119</v>
      </c>
      <c r="L1103" s="2112" t="s">
        <v>6116</v>
      </c>
      <c r="M1103" s="2112" t="s">
        <v>6117</v>
      </c>
      <c r="N1103" s="2112" t="s">
        <v>6118</v>
      </c>
      <c r="O1103" s="2112" t="s">
        <v>6119</v>
      </c>
      <c r="P1103" s="2648"/>
      <c r="Q1103" s="2266"/>
      <c r="R1103" s="2266"/>
      <c r="S1103" s="2266"/>
    </row>
    <row r="1104" spans="1:19" s="2105" customFormat="1" outlineLevel="1">
      <c r="A1104" s="2182" t="str">
        <f>+A1105</f>
        <v/>
      </c>
      <c r="B1104" s="2261"/>
      <c r="C1104" s="2113"/>
      <c r="D1104" s="2114"/>
      <c r="E1104" s="2115" t="s">
        <v>3672</v>
      </c>
      <c r="F1104" s="2116"/>
      <c r="G1104" s="2116"/>
      <c r="H1104" s="2116"/>
      <c r="I1104" s="2116"/>
      <c r="J1104" s="2116"/>
      <c r="K1104" s="2116"/>
      <c r="L1104" s="2116"/>
      <c r="M1104" s="2116"/>
      <c r="N1104" s="2116"/>
      <c r="O1104" s="2114"/>
      <c r="P1104" s="2117"/>
      <c r="Q1104" s="2266"/>
      <c r="R1104" s="2266"/>
      <c r="S1104" s="2266"/>
    </row>
    <row r="1105" spans="1:19" s="2105" customFormat="1" outlineLevel="1">
      <c r="A1105" s="2182" t="str">
        <f t="shared" ref="A1105:A1112" si="175">IF(G1105&lt;&gt;0,1,"")</f>
        <v/>
      </c>
      <c r="B1105" s="2252" t="str">
        <f>IF($F$8=15,"tr180","tr1801")</f>
        <v>tr1801</v>
      </c>
      <c r="C1105" s="2268">
        <f>IF(G1105&gt;0,1,0)</f>
        <v>0</v>
      </c>
      <c r="D1105" s="2152" t="s">
        <v>5590</v>
      </c>
      <c r="E1105" s="2194" t="s">
        <v>3328</v>
      </c>
      <c r="F1105" s="2152" t="s">
        <v>3300</v>
      </c>
      <c r="G1105" s="2268">
        <f>$K$23</f>
        <v>0</v>
      </c>
      <c r="H1105" s="2359">
        <v>180737000</v>
      </c>
      <c r="I1105" s="2359"/>
      <c r="J1105" s="2359">
        <v>1190887</v>
      </c>
      <c r="K1105" s="2359">
        <v>284508</v>
      </c>
      <c r="L1105" s="2360">
        <f t="shared" ref="L1105:L1112" si="176">H1105*G1105</f>
        <v>0</v>
      </c>
      <c r="M1105" s="2360">
        <f t="shared" ref="M1105:M1112" si="177">I1105*G1105</f>
        <v>0</v>
      </c>
      <c r="N1105" s="2360">
        <f t="shared" ref="N1105:N1112" si="178">J1105*G1105</f>
        <v>0</v>
      </c>
      <c r="O1105" s="2361">
        <f t="shared" ref="O1105:O1112" si="179">K1105*G1105</f>
        <v>0</v>
      </c>
      <c r="P1105" s="2388"/>
      <c r="Q1105" s="2266"/>
      <c r="R1105" s="2266"/>
      <c r="S1105" s="2266"/>
    </row>
    <row r="1106" spans="1:19" s="2105" customFormat="1" outlineLevel="1">
      <c r="A1106" s="2182" t="str">
        <f t="shared" si="175"/>
        <v/>
      </c>
      <c r="B1106" s="2118" t="str">
        <f>"FCO100-"&amp;$F$8</f>
        <v>FCO100-22</v>
      </c>
      <c r="C1106" s="2268">
        <f>IF(G1106&gt;0,C1105+1,C1105)</f>
        <v>0</v>
      </c>
      <c r="D1106" s="2152" t="s">
        <v>5598</v>
      </c>
      <c r="E1106" s="2194" t="s">
        <v>95</v>
      </c>
      <c r="F1106" s="2152" t="s">
        <v>2555</v>
      </c>
      <c r="G1106" s="2269">
        <f>+G1105*3</f>
        <v>0</v>
      </c>
      <c r="H1106" s="2264">
        <v>2244280</v>
      </c>
      <c r="I1106" s="2264">
        <v>0</v>
      </c>
      <c r="J1106" s="2264">
        <v>222639.99999999997</v>
      </c>
      <c r="K1106" s="2264">
        <v>0</v>
      </c>
      <c r="L1106" s="2264">
        <f t="shared" si="176"/>
        <v>0</v>
      </c>
      <c r="M1106" s="2264">
        <f t="shared" si="177"/>
        <v>0</v>
      </c>
      <c r="N1106" s="2264">
        <f t="shared" si="178"/>
        <v>0</v>
      </c>
      <c r="O1106" s="2264">
        <f t="shared" si="179"/>
        <v>0</v>
      </c>
      <c r="P1106" s="2389"/>
      <c r="Q1106" s="2266"/>
      <c r="R1106" s="2266"/>
      <c r="S1106" s="2266"/>
    </row>
    <row r="1107" spans="1:19" s="2105" customFormat="1" outlineLevel="1">
      <c r="A1107" s="2182" t="str">
        <f t="shared" si="175"/>
        <v/>
      </c>
      <c r="B1107" s="2252" t="str">
        <f>IF($F$14=15,"chi10","chi8k")</f>
        <v>chi8k</v>
      </c>
      <c r="C1107" s="2268">
        <f t="shared" ref="C1107:C1112" si="180">IF(G1107&gt;0,C1106+1,C1106)</f>
        <v>0</v>
      </c>
      <c r="D1107" s="2152">
        <v>0</v>
      </c>
      <c r="E1107" s="2194" t="s">
        <v>3424</v>
      </c>
      <c r="F1107" s="2152" t="s">
        <v>2600</v>
      </c>
      <c r="G1107" s="2269">
        <f>G1106</f>
        <v>0</v>
      </c>
      <c r="H1107" s="2264">
        <v>84000</v>
      </c>
      <c r="I1107" s="2264">
        <v>0</v>
      </c>
      <c r="J1107" s="2264">
        <v>0</v>
      </c>
      <c r="K1107" s="2264">
        <v>0</v>
      </c>
      <c r="L1107" s="2264">
        <f t="shared" si="176"/>
        <v>0</v>
      </c>
      <c r="M1107" s="2264">
        <f t="shared" si="177"/>
        <v>0</v>
      </c>
      <c r="N1107" s="2264">
        <f t="shared" si="178"/>
        <v>0</v>
      </c>
      <c r="O1107" s="2264">
        <f t="shared" si="179"/>
        <v>0</v>
      </c>
      <c r="P1107" s="2389"/>
      <c r="Q1107" s="2266"/>
      <c r="R1107" s="2266"/>
      <c r="S1107" s="2266"/>
    </row>
    <row r="1108" spans="1:19" s="2105" customFormat="1" outlineLevel="1">
      <c r="A1108" s="2182" t="str">
        <f t="shared" si="175"/>
        <v/>
      </c>
      <c r="B1108" s="2261" t="str">
        <f>"LA"&amp;$F$6</f>
        <v>LA18</v>
      </c>
      <c r="C1108" s="2268">
        <f t="shared" si="180"/>
        <v>0</v>
      </c>
      <c r="D1108" s="2152" t="s">
        <v>5602</v>
      </c>
      <c r="E1108" s="2194" t="s">
        <v>1193</v>
      </c>
      <c r="F1108" s="2152" t="s">
        <v>2555</v>
      </c>
      <c r="G1108" s="2269">
        <f>G1106</f>
        <v>0</v>
      </c>
      <c r="H1108" s="2264">
        <v>1106000</v>
      </c>
      <c r="I1108" s="2264">
        <v>0</v>
      </c>
      <c r="J1108" s="2264">
        <v>83490</v>
      </c>
      <c r="K1108" s="2264">
        <v>0</v>
      </c>
      <c r="L1108" s="2264">
        <f t="shared" si="176"/>
        <v>0</v>
      </c>
      <c r="M1108" s="2264">
        <f t="shared" si="177"/>
        <v>0</v>
      </c>
      <c r="N1108" s="2264">
        <f t="shared" si="178"/>
        <v>0</v>
      </c>
      <c r="O1108" s="2264">
        <f t="shared" si="179"/>
        <v>0</v>
      </c>
      <c r="P1108" s="2389"/>
      <c r="Q1108" s="2266"/>
      <c r="R1108" s="2266"/>
      <c r="S1108" s="2266"/>
    </row>
    <row r="1109" spans="1:19" s="2105" customFormat="1" outlineLevel="1">
      <c r="A1109" s="2182" t="str">
        <f t="shared" si="175"/>
        <v/>
      </c>
      <c r="B1109" s="2357" t="s">
        <v>6216</v>
      </c>
      <c r="C1109" s="2268">
        <f t="shared" si="180"/>
        <v>0</v>
      </c>
      <c r="D1109" s="2152">
        <v>0</v>
      </c>
      <c r="E1109" s="2194" t="s">
        <v>5684</v>
      </c>
      <c r="F1109" s="2152" t="s">
        <v>2555</v>
      </c>
      <c r="G1109" s="2269">
        <f>+G1105</f>
        <v>0</v>
      </c>
      <c r="H1109" s="2264">
        <v>6780000</v>
      </c>
      <c r="I1109" s="2264">
        <v>0</v>
      </c>
      <c r="J1109" s="2264">
        <v>0</v>
      </c>
      <c r="K1109" s="2264">
        <v>0</v>
      </c>
      <c r="L1109" s="2264">
        <f t="shared" si="176"/>
        <v>0</v>
      </c>
      <c r="M1109" s="2264">
        <f t="shared" si="177"/>
        <v>0</v>
      </c>
      <c r="N1109" s="2264">
        <f t="shared" si="178"/>
        <v>0</v>
      </c>
      <c r="O1109" s="2264">
        <f t="shared" si="179"/>
        <v>0</v>
      </c>
      <c r="P1109" s="2389"/>
      <c r="Q1109" s="2266"/>
      <c r="R1109" s="2266"/>
      <c r="S1109" s="2266"/>
    </row>
    <row r="1110" spans="1:19" s="2105" customFormat="1" outlineLevel="1">
      <c r="A1110" s="2182" t="str">
        <f t="shared" si="175"/>
        <v/>
      </c>
      <c r="B1110" s="2357" t="s">
        <v>685</v>
      </c>
      <c r="C1110" s="2268">
        <f t="shared" si="180"/>
        <v>0</v>
      </c>
      <c r="D1110" s="2152" t="s">
        <v>1025</v>
      </c>
      <c r="E1110" s="2194" t="s">
        <v>3382</v>
      </c>
      <c r="F1110" s="2152" t="s">
        <v>3370</v>
      </c>
      <c r="G1110" s="2269">
        <f>+G1105</f>
        <v>0</v>
      </c>
      <c r="H1110" s="2264">
        <v>12786992</v>
      </c>
      <c r="I1110" s="2264">
        <v>0</v>
      </c>
      <c r="J1110" s="2264">
        <v>98101</v>
      </c>
      <c r="K1110" s="2264">
        <v>59254</v>
      </c>
      <c r="L1110" s="2264">
        <f t="shared" si="176"/>
        <v>0</v>
      </c>
      <c r="M1110" s="2264">
        <f t="shared" si="177"/>
        <v>0</v>
      </c>
      <c r="N1110" s="2264">
        <f t="shared" si="178"/>
        <v>0</v>
      </c>
      <c r="O1110" s="2264">
        <f t="shared" si="179"/>
        <v>0</v>
      </c>
      <c r="P1110" s="2389"/>
      <c r="Q1110" s="2266"/>
      <c r="R1110" s="2266"/>
      <c r="S1110" s="2266"/>
    </row>
    <row r="1111" spans="1:19" s="2105" customFormat="1" outlineLevel="1">
      <c r="A1111" s="2182" t="str">
        <f t="shared" si="175"/>
        <v/>
      </c>
      <c r="B1111" s="2252" t="s">
        <v>1668</v>
      </c>
      <c r="C1111" s="2268">
        <f t="shared" si="180"/>
        <v>0</v>
      </c>
      <c r="D1111" s="2152">
        <v>0</v>
      </c>
      <c r="E1111" s="2194" t="s">
        <v>3360</v>
      </c>
      <c r="F1111" s="2152" t="s">
        <v>2555</v>
      </c>
      <c r="G1111" s="2390">
        <f>+G1105*3</f>
        <v>0</v>
      </c>
      <c r="H1111" s="2264">
        <v>0</v>
      </c>
      <c r="I1111" s="2264">
        <v>0</v>
      </c>
      <c r="J1111" s="2264">
        <v>0</v>
      </c>
      <c r="K1111" s="2264">
        <v>0</v>
      </c>
      <c r="L1111" s="2264">
        <f t="shared" si="176"/>
        <v>0</v>
      </c>
      <c r="M1111" s="2264">
        <f t="shared" si="177"/>
        <v>0</v>
      </c>
      <c r="N1111" s="2264">
        <f t="shared" si="178"/>
        <v>0</v>
      </c>
      <c r="O1111" s="2264">
        <f t="shared" si="179"/>
        <v>0</v>
      </c>
      <c r="P1111" s="2391" t="s">
        <v>2601</v>
      </c>
      <c r="Q1111" s="2266"/>
      <c r="R1111" s="2266"/>
      <c r="S1111" s="2266"/>
    </row>
    <row r="1112" spans="1:19" s="2105" customFormat="1" outlineLevel="1">
      <c r="A1112" s="2182" t="str">
        <f t="shared" si="175"/>
        <v/>
      </c>
      <c r="B1112" s="2252" t="s">
        <v>1460</v>
      </c>
      <c r="C1112" s="2268">
        <f t="shared" si="180"/>
        <v>0</v>
      </c>
      <c r="D1112" s="2152">
        <v>0</v>
      </c>
      <c r="E1112" s="2194" t="s">
        <v>3441</v>
      </c>
      <c r="F1112" s="2152" t="s">
        <v>2555</v>
      </c>
      <c r="G1112" s="2390">
        <f>+G1105</f>
        <v>0</v>
      </c>
      <c r="H1112" s="2264">
        <v>0</v>
      </c>
      <c r="I1112" s="2264">
        <v>0</v>
      </c>
      <c r="J1112" s="2264">
        <v>0</v>
      </c>
      <c r="K1112" s="2264">
        <v>0</v>
      </c>
      <c r="L1112" s="2264">
        <f t="shared" si="176"/>
        <v>0</v>
      </c>
      <c r="M1112" s="2360">
        <f t="shared" si="177"/>
        <v>0</v>
      </c>
      <c r="N1112" s="2360">
        <f t="shared" si="178"/>
        <v>0</v>
      </c>
      <c r="O1112" s="2361">
        <f t="shared" si="179"/>
        <v>0</v>
      </c>
      <c r="P1112" s="2392" t="s">
        <v>2601</v>
      </c>
      <c r="Q1112" s="2266"/>
      <c r="R1112" s="2266"/>
      <c r="S1112" s="2266"/>
    </row>
    <row r="1113" spans="1:19" s="2105" customFormat="1" outlineLevel="1">
      <c r="A1113" s="2182">
        <f>+IF(L1113+N1113+O1113&gt;0,1,0)</f>
        <v>0</v>
      </c>
      <c r="B1113" s="2261"/>
      <c r="C1113" s="2393"/>
      <c r="D1113" s="2394"/>
      <c r="E1113" s="2395"/>
      <c r="F1113" s="2393"/>
      <c r="G1113" s="2636"/>
      <c r="H1113" s="2393"/>
      <c r="I1113" s="2393"/>
      <c r="J1113" s="2117" t="s">
        <v>6121</v>
      </c>
      <c r="K1113" s="2393"/>
      <c r="L1113" s="2395">
        <f>SUM(L1105:L1112)</f>
        <v>0</v>
      </c>
      <c r="M1113" s="2395">
        <f>SUM(M1105:M1112)</f>
        <v>0</v>
      </c>
      <c r="N1113" s="2395">
        <f>SUM(N1105:N1112)</f>
        <v>0</v>
      </c>
      <c r="O1113" s="2395">
        <f>SUM(O1105:O1112)</f>
        <v>0</v>
      </c>
      <c r="P1113" s="2396"/>
      <c r="Q1113" s="2266"/>
      <c r="R1113" s="2266"/>
      <c r="S1113" s="2266"/>
    </row>
    <row r="1114" spans="1:19" s="2105" customFormat="1" outlineLevel="1">
      <c r="A1114" s="2182"/>
      <c r="B1114" s="2261"/>
      <c r="C1114" s="2397"/>
      <c r="D1114" s="2398"/>
      <c r="E1114" s="2399" t="s">
        <v>3673</v>
      </c>
      <c r="F1114" s="2399"/>
      <c r="G1114" s="2400"/>
      <c r="H1114" s="2399"/>
      <c r="I1114" s="2399"/>
      <c r="J1114" s="2399"/>
      <c r="K1114" s="2399"/>
      <c r="L1114" s="2399"/>
      <c r="M1114" s="2399"/>
      <c r="N1114" s="2399"/>
      <c r="O1114" s="2398"/>
      <c r="P1114" s="2396"/>
      <c r="Q1114" s="2266"/>
      <c r="R1114" s="2266"/>
      <c r="S1114" s="2266"/>
    </row>
    <row r="1115" spans="1:19" s="2105" customFormat="1" outlineLevel="1">
      <c r="A1115" s="2182" t="str">
        <f t="shared" ref="A1115:A1133" si="181">IF(G1115&lt;&gt;0,1,"")</f>
        <v/>
      </c>
      <c r="B1115" s="2401"/>
      <c r="C1115" s="2402">
        <f>IF(G1115&gt;0,1,0)</f>
        <v>0</v>
      </c>
      <c r="D1115" s="2152"/>
      <c r="E1115" s="2403" t="s">
        <v>6122</v>
      </c>
      <c r="F1115" s="2404" t="s">
        <v>2277</v>
      </c>
      <c r="G1115" s="2405">
        <f>G1105*2</f>
        <v>0</v>
      </c>
      <c r="H1115" s="2404"/>
      <c r="I1115" s="2404"/>
      <c r="J1115" s="2404"/>
      <c r="K1115" s="2404"/>
      <c r="L1115" s="2405"/>
      <c r="M1115" s="2405"/>
      <c r="N1115" s="2405"/>
      <c r="O1115" s="2406"/>
      <c r="P1115" s="2389"/>
      <c r="Q1115" s="2266"/>
      <c r="R1115" s="2266"/>
      <c r="S1115" s="2266"/>
    </row>
    <row r="1116" spans="1:19" s="2105" customFormat="1" outlineLevel="1">
      <c r="A1116" s="2182" t="str">
        <f t="shared" si="181"/>
        <v/>
      </c>
      <c r="B1116" s="2357" t="s">
        <v>115</v>
      </c>
      <c r="C1116" s="2407"/>
      <c r="D1116" s="2152"/>
      <c r="E1116" s="2408" t="s">
        <v>2992</v>
      </c>
      <c r="F1116" s="2152" t="s">
        <v>2831</v>
      </c>
      <c r="G1116" s="2152">
        <f>G1115</f>
        <v>0</v>
      </c>
      <c r="H1116" s="2359">
        <v>4400000</v>
      </c>
      <c r="I1116" s="2258"/>
      <c r="J1116" s="2359"/>
      <c r="K1116" s="2258"/>
      <c r="L1116" s="2360">
        <f>H1116*G1116</f>
        <v>0</v>
      </c>
      <c r="M1116" s="2360">
        <f>I1116*G1116</f>
        <v>0</v>
      </c>
      <c r="N1116" s="2360">
        <f>J1116*G1116</f>
        <v>0</v>
      </c>
      <c r="O1116" s="2360">
        <f>K1116*G1116</f>
        <v>0</v>
      </c>
      <c r="P1116" s="2389"/>
      <c r="Q1116" s="2266"/>
      <c r="R1116" s="2266"/>
      <c r="S1116" s="2266"/>
    </row>
    <row r="1117" spans="1:19" s="2105" customFormat="1" outlineLevel="1">
      <c r="A1117" s="2182" t="str">
        <f t="shared" si="181"/>
        <v/>
      </c>
      <c r="B1117" s="2357" t="s">
        <v>1814</v>
      </c>
      <c r="C1117" s="2407"/>
      <c r="D1117" s="2152"/>
      <c r="E1117" s="2408" t="s">
        <v>2830</v>
      </c>
      <c r="F1117" s="2152" t="s">
        <v>2831</v>
      </c>
      <c r="G1117" s="2152">
        <f>G1116</f>
        <v>0</v>
      </c>
      <c r="H1117" s="2359">
        <v>17400</v>
      </c>
      <c r="I1117" s="2359"/>
      <c r="J1117" s="2258"/>
      <c r="K1117" s="2258"/>
      <c r="L1117" s="2360">
        <f>H1117*G1117</f>
        <v>0</v>
      </c>
      <c r="M1117" s="2360">
        <f>I1117*G1117</f>
        <v>0</v>
      </c>
      <c r="N1117" s="2360">
        <f>J1117*G1117</f>
        <v>0</v>
      </c>
      <c r="O1117" s="2360">
        <f>K1117*G1117</f>
        <v>0</v>
      </c>
      <c r="P1117" s="2389"/>
      <c r="Q1117" s="2266"/>
      <c r="R1117" s="2266"/>
      <c r="S1117" s="2266"/>
    </row>
    <row r="1118" spans="1:19" s="2105" customFormat="1" outlineLevel="1">
      <c r="A1118" s="2182" t="str">
        <f t="shared" si="181"/>
        <v/>
      </c>
      <c r="B1118" s="2357" t="s">
        <v>643</v>
      </c>
      <c r="C1118" s="2407"/>
      <c r="D1118" s="2152" t="s">
        <v>2127</v>
      </c>
      <c r="E1118" s="2408" t="s">
        <v>3167</v>
      </c>
      <c r="F1118" s="2152" t="s">
        <v>2831</v>
      </c>
      <c r="G1118" s="2152">
        <f>G1116</f>
        <v>0</v>
      </c>
      <c r="H1118" s="2408"/>
      <c r="I1118" s="2359"/>
      <c r="J1118" s="2359">
        <v>112286</v>
      </c>
      <c r="K1118" s="2359">
        <v>105970</v>
      </c>
      <c r="L1118" s="2360">
        <f>H1118*G1118</f>
        <v>0</v>
      </c>
      <c r="M1118" s="2360">
        <f>I1118*G1118</f>
        <v>0</v>
      </c>
      <c r="N1118" s="2360">
        <f>J1118*G1118</f>
        <v>0</v>
      </c>
      <c r="O1118" s="2360">
        <f>K1118*G1118</f>
        <v>0</v>
      </c>
      <c r="P1118" s="2389"/>
      <c r="Q1118" s="2266"/>
      <c r="R1118" s="2266"/>
      <c r="S1118" s="2266"/>
    </row>
    <row r="1119" spans="1:19" s="2105" customFormat="1" outlineLevel="1">
      <c r="A1119" s="2182" t="str">
        <f t="shared" si="181"/>
        <v/>
      </c>
      <c r="B1119" s="2401"/>
      <c r="C1119" s="2402">
        <f>IF(G1119&gt;0,1,0)</f>
        <v>0</v>
      </c>
      <c r="D1119" s="2152"/>
      <c r="E1119" s="2403" t="s">
        <v>6217</v>
      </c>
      <c r="F1119" s="2404" t="s">
        <v>2277</v>
      </c>
      <c r="G1119" s="2405">
        <f>G1105*2</f>
        <v>0</v>
      </c>
      <c r="H1119" s="2404"/>
      <c r="I1119" s="2404"/>
      <c r="J1119" s="2404"/>
      <c r="K1119" s="2404"/>
      <c r="L1119" s="2405"/>
      <c r="M1119" s="2405"/>
      <c r="N1119" s="2405"/>
      <c r="O1119" s="2406"/>
      <c r="P1119" s="2265"/>
      <c r="Q1119" s="2266"/>
      <c r="R1119" s="2266"/>
      <c r="S1119" s="2266"/>
    </row>
    <row r="1120" spans="1:19" s="2105" customFormat="1" outlineLevel="1">
      <c r="A1120" s="2182" t="str">
        <f t="shared" si="181"/>
        <v/>
      </c>
      <c r="B1120" s="2357" t="s">
        <v>114</v>
      </c>
      <c r="C1120" s="2407"/>
      <c r="D1120" s="2152"/>
      <c r="E1120" s="2408" t="s">
        <v>2991</v>
      </c>
      <c r="F1120" s="2152" t="s">
        <v>2831</v>
      </c>
      <c r="G1120" s="2152">
        <f>G1119</f>
        <v>0</v>
      </c>
      <c r="H1120" s="2359">
        <v>4200000</v>
      </c>
      <c r="I1120" s="2258"/>
      <c r="J1120" s="2359"/>
      <c r="K1120" s="2258"/>
      <c r="L1120" s="2360">
        <f>H1120*G1120</f>
        <v>0</v>
      </c>
      <c r="M1120" s="2360">
        <f>I1120*G1120</f>
        <v>0</v>
      </c>
      <c r="N1120" s="2360">
        <f>J1120*G1120</f>
        <v>0</v>
      </c>
      <c r="O1120" s="2360">
        <f>K1120*G1120</f>
        <v>0</v>
      </c>
      <c r="P1120" s="2265"/>
      <c r="Q1120" s="2266"/>
      <c r="R1120" s="2266"/>
      <c r="S1120" s="2266"/>
    </row>
    <row r="1121" spans="1:19" s="2105" customFormat="1" outlineLevel="1">
      <c r="A1121" s="2182" t="str">
        <f t="shared" si="181"/>
        <v/>
      </c>
      <c r="B1121" s="2357" t="s">
        <v>1814</v>
      </c>
      <c r="C1121" s="2407"/>
      <c r="D1121" s="2152"/>
      <c r="E1121" s="2408" t="s">
        <v>2830</v>
      </c>
      <c r="F1121" s="2152" t="s">
        <v>2831</v>
      </c>
      <c r="G1121" s="2152">
        <f>G1120</f>
        <v>0</v>
      </c>
      <c r="H1121" s="2359">
        <v>17400</v>
      </c>
      <c r="I1121" s="2359"/>
      <c r="J1121" s="2258"/>
      <c r="K1121" s="2258"/>
      <c r="L1121" s="2360">
        <f>H1121*G1121</f>
        <v>0</v>
      </c>
      <c r="M1121" s="2360">
        <f>I1121*G1121</f>
        <v>0</v>
      </c>
      <c r="N1121" s="2360">
        <f>J1121*G1121</f>
        <v>0</v>
      </c>
      <c r="O1121" s="2360">
        <f>K1121*G1121</f>
        <v>0</v>
      </c>
      <c r="P1121" s="2265"/>
      <c r="Q1121" s="2266"/>
      <c r="R1121" s="2266"/>
      <c r="S1121" s="2266"/>
    </row>
    <row r="1122" spans="1:19" s="2105" customFormat="1" outlineLevel="1">
      <c r="A1122" s="2182" t="str">
        <f t="shared" si="181"/>
        <v/>
      </c>
      <c r="B1122" s="2357" t="s">
        <v>644</v>
      </c>
      <c r="C1122" s="2407"/>
      <c r="D1122" s="2152" t="s">
        <v>2127</v>
      </c>
      <c r="E1122" s="2408" t="s">
        <v>3168</v>
      </c>
      <c r="F1122" s="2152" t="s">
        <v>2831</v>
      </c>
      <c r="G1122" s="2152">
        <f>G1120</f>
        <v>0</v>
      </c>
      <c r="H1122" s="2408"/>
      <c r="I1122" s="2359"/>
      <c r="J1122" s="2359">
        <v>112286</v>
      </c>
      <c r="K1122" s="2359">
        <v>105970</v>
      </c>
      <c r="L1122" s="2360">
        <f>H1122*G1122</f>
        <v>0</v>
      </c>
      <c r="M1122" s="2360">
        <f>I1122*G1122</f>
        <v>0</v>
      </c>
      <c r="N1122" s="2360">
        <f>J1122*G1122</f>
        <v>0</v>
      </c>
      <c r="O1122" s="2360">
        <f>K1122*G1122</f>
        <v>0</v>
      </c>
      <c r="P1122" s="2265"/>
      <c r="Q1122" s="2266"/>
      <c r="R1122" s="2266"/>
      <c r="S1122" s="2266"/>
    </row>
    <row r="1123" spans="1:19" s="2105" customFormat="1" outlineLevel="1">
      <c r="A1123" s="2182" t="str">
        <f t="shared" si="181"/>
        <v/>
      </c>
      <c r="B1123" s="2357"/>
      <c r="C1123" s="2258">
        <f>IF(G1123&gt;0,C1115+1,C1115)</f>
        <v>0</v>
      </c>
      <c r="D1123" s="2152"/>
      <c r="E1123" s="2403" t="s">
        <v>2352</v>
      </c>
      <c r="F1123" s="2404" t="s">
        <v>2327</v>
      </c>
      <c r="G1123" s="2409">
        <f>G1115</f>
        <v>0</v>
      </c>
      <c r="H1123" s="2258"/>
      <c r="I1123" s="2258"/>
      <c r="J1123" s="2258"/>
      <c r="K1123" s="2258"/>
      <c r="L1123" s="2258"/>
      <c r="M1123" s="2258"/>
      <c r="N1123" s="2258"/>
      <c r="O1123" s="2410"/>
      <c r="P1123" s="2389"/>
      <c r="Q1123" s="2266"/>
      <c r="R1123" s="2266"/>
      <c r="S1123" s="2266"/>
    </row>
    <row r="1124" spans="1:19" s="2105" customFormat="1" outlineLevel="1">
      <c r="A1124" s="2182" t="str">
        <f t="shared" si="181"/>
        <v/>
      </c>
      <c r="B1124" s="2357" t="s">
        <v>636</v>
      </c>
      <c r="C1124" s="2407"/>
      <c r="D1124" s="2152" t="s">
        <v>5047</v>
      </c>
      <c r="E1124" s="2408" t="s">
        <v>2607</v>
      </c>
      <c r="F1124" s="2152" t="s">
        <v>2555</v>
      </c>
      <c r="G1124" s="2152">
        <f>G1123</f>
        <v>0</v>
      </c>
      <c r="H1124" s="2359">
        <v>354545</v>
      </c>
      <c r="I1124" s="2359"/>
      <c r="J1124" s="2359">
        <v>37220.25</v>
      </c>
      <c r="K1124" s="2258"/>
      <c r="L1124" s="2360">
        <f>H1124*G1124</f>
        <v>0</v>
      </c>
      <c r="M1124" s="2360">
        <f>I1124*G1124</f>
        <v>0</v>
      </c>
      <c r="N1124" s="2360">
        <f>J1124*G1124</f>
        <v>0</v>
      </c>
      <c r="O1124" s="2360">
        <f>K1124*G1124</f>
        <v>0</v>
      </c>
      <c r="P1124" s="2389"/>
      <c r="Q1124" s="2266"/>
      <c r="R1124" s="2266"/>
      <c r="S1124" s="2266"/>
    </row>
    <row r="1125" spans="1:19" s="2105" customFormat="1" outlineLevel="1">
      <c r="A1125" s="2182" t="str">
        <f t="shared" si="181"/>
        <v/>
      </c>
      <c r="B1125" s="2357" t="s">
        <v>566</v>
      </c>
      <c r="C1125" s="2407"/>
      <c r="D1125" s="2152"/>
      <c r="E1125" s="2408" t="s">
        <v>5072</v>
      </c>
      <c r="F1125" s="2152" t="s">
        <v>2439</v>
      </c>
      <c r="G1125" s="2152">
        <f>G1124</f>
        <v>0</v>
      </c>
      <c r="H1125" s="2359">
        <v>92200</v>
      </c>
      <c r="I1125" s="2408"/>
      <c r="J1125" s="2408"/>
      <c r="K1125" s="2258"/>
      <c r="L1125" s="2360">
        <f>H1125*G1125</f>
        <v>0</v>
      </c>
      <c r="M1125" s="2360">
        <f>I1125*G1125</f>
        <v>0</v>
      </c>
      <c r="N1125" s="2360">
        <f>J1125*G1125</f>
        <v>0</v>
      </c>
      <c r="O1125" s="2360">
        <f>K1125*G1125</f>
        <v>0</v>
      </c>
      <c r="P1125" s="2389"/>
      <c r="Q1125" s="2266"/>
      <c r="R1125" s="2266"/>
      <c r="S1125" s="2266"/>
    </row>
    <row r="1126" spans="1:19" s="2105" customFormat="1" outlineLevel="1">
      <c r="A1126" s="2182" t="str">
        <f t="shared" si="181"/>
        <v/>
      </c>
      <c r="B1126" s="2357" t="s">
        <v>639</v>
      </c>
      <c r="C1126" s="2407"/>
      <c r="D1126" s="2152" t="s">
        <v>1747</v>
      </c>
      <c r="E1126" s="2408" t="s">
        <v>5324</v>
      </c>
      <c r="F1126" s="2152" t="s">
        <v>856</v>
      </c>
      <c r="G1126" s="2152">
        <f>1.45*G1124</f>
        <v>0</v>
      </c>
      <c r="H1126" s="2359">
        <v>0</v>
      </c>
      <c r="I1126" s="2359"/>
      <c r="J1126" s="2359">
        <v>296500.89999999997</v>
      </c>
      <c r="K1126" s="2258"/>
      <c r="L1126" s="2360">
        <f>H1126*G1126</f>
        <v>0</v>
      </c>
      <c r="M1126" s="2360">
        <f>I1126*G1126</f>
        <v>0</v>
      </c>
      <c r="N1126" s="2360">
        <f>J1126*G1126</f>
        <v>0</v>
      </c>
      <c r="O1126" s="2360">
        <f>K1126*G1126</f>
        <v>0</v>
      </c>
      <c r="P1126" s="2389"/>
      <c r="Q1126" s="2266"/>
      <c r="R1126" s="2266"/>
      <c r="S1126" s="2266"/>
    </row>
    <row r="1127" spans="1:19" s="2105" customFormat="1" outlineLevel="1">
      <c r="A1127" s="2182" t="str">
        <f t="shared" si="181"/>
        <v/>
      </c>
      <c r="B1127" s="2357" t="s">
        <v>21</v>
      </c>
      <c r="C1127" s="2407"/>
      <c r="D1127" s="2152" t="s">
        <v>5325</v>
      </c>
      <c r="E1127" s="2408" t="s">
        <v>5326</v>
      </c>
      <c r="F1127" s="2152" t="s">
        <v>856</v>
      </c>
      <c r="G1127" s="2152">
        <f>1.37*G1123</f>
        <v>0</v>
      </c>
      <c r="H1127" s="2359">
        <v>0</v>
      </c>
      <c r="I1127" s="2359"/>
      <c r="J1127" s="2359">
        <v>117703.6</v>
      </c>
      <c r="K1127" s="2258"/>
      <c r="L1127" s="2360">
        <f>H1127*G1127</f>
        <v>0</v>
      </c>
      <c r="M1127" s="2360">
        <f>I1127*G1127</f>
        <v>0</v>
      </c>
      <c r="N1127" s="2360">
        <f>J1127*G1127</f>
        <v>0</v>
      </c>
      <c r="O1127" s="2360">
        <f>K1127*G1127</f>
        <v>0</v>
      </c>
      <c r="P1127" s="2389"/>
      <c r="Q1127" s="2266"/>
      <c r="R1127" s="2266"/>
      <c r="S1127" s="2266"/>
    </row>
    <row r="1128" spans="1:19" s="2105" customFormat="1" outlineLevel="1">
      <c r="A1128" s="2182" t="str">
        <f t="shared" si="181"/>
        <v/>
      </c>
      <c r="B1128" s="2357"/>
      <c r="C1128" s="2258">
        <f>IF(G1128&gt;0,C1120+1,C1120)</f>
        <v>0</v>
      </c>
      <c r="D1128" s="2152"/>
      <c r="E1128" s="2403" t="s">
        <v>3713</v>
      </c>
      <c r="F1128" s="2404" t="s">
        <v>2327</v>
      </c>
      <c r="G1128" s="2409">
        <f>G1119</f>
        <v>0</v>
      </c>
      <c r="H1128" s="2258"/>
      <c r="I1128" s="2258"/>
      <c r="J1128" s="2258"/>
      <c r="K1128" s="2258"/>
      <c r="L1128" s="2258"/>
      <c r="M1128" s="2258"/>
      <c r="N1128" s="2258"/>
      <c r="O1128" s="2410"/>
      <c r="P1128" s="2265"/>
      <c r="Q1128" s="2266"/>
      <c r="R1128" s="2266"/>
      <c r="S1128" s="2266"/>
    </row>
    <row r="1129" spans="1:19" s="2105" customFormat="1" outlineLevel="1">
      <c r="A1129" s="2182" t="str">
        <f t="shared" si="181"/>
        <v/>
      </c>
      <c r="B1129" s="2357" t="s">
        <v>636</v>
      </c>
      <c r="C1129" s="2407"/>
      <c r="D1129" s="2152" t="s">
        <v>5047</v>
      </c>
      <c r="E1129" s="2408" t="s">
        <v>2607</v>
      </c>
      <c r="F1129" s="2152" t="s">
        <v>2555</v>
      </c>
      <c r="G1129" s="2152">
        <f>G1128</f>
        <v>0</v>
      </c>
      <c r="H1129" s="2359">
        <v>354545</v>
      </c>
      <c r="I1129" s="2359"/>
      <c r="J1129" s="2359">
        <v>37220.25</v>
      </c>
      <c r="K1129" s="2258"/>
      <c r="L1129" s="2360">
        <f>H1129*G1129</f>
        <v>0</v>
      </c>
      <c r="M1129" s="2360">
        <f>I1129*G1129</f>
        <v>0</v>
      </c>
      <c r="N1129" s="2360">
        <f>J1129*G1129</f>
        <v>0</v>
      </c>
      <c r="O1129" s="2360">
        <f>K1129*G1129</f>
        <v>0</v>
      </c>
      <c r="P1129" s="2265"/>
      <c r="Q1129" s="2266"/>
      <c r="R1129" s="2266"/>
      <c r="S1129" s="2266"/>
    </row>
    <row r="1130" spans="1:19" s="2105" customFormat="1" outlineLevel="1">
      <c r="A1130" s="2182" t="str">
        <f t="shared" si="181"/>
        <v/>
      </c>
      <c r="B1130" s="2357" t="s">
        <v>566</v>
      </c>
      <c r="C1130" s="2407"/>
      <c r="D1130" s="2152"/>
      <c r="E1130" s="2408" t="s">
        <v>5072</v>
      </c>
      <c r="F1130" s="2152" t="s">
        <v>2439</v>
      </c>
      <c r="G1130" s="2152">
        <f>G1129</f>
        <v>0</v>
      </c>
      <c r="H1130" s="2359">
        <v>92200</v>
      </c>
      <c r="I1130" s="2408"/>
      <c r="J1130" s="2408"/>
      <c r="K1130" s="2258"/>
      <c r="L1130" s="2360">
        <f>H1130*G1130</f>
        <v>0</v>
      </c>
      <c r="M1130" s="2360">
        <f>I1130*G1130</f>
        <v>0</v>
      </c>
      <c r="N1130" s="2360">
        <f>J1130*G1130</f>
        <v>0</v>
      </c>
      <c r="O1130" s="2360">
        <f>K1130*G1130</f>
        <v>0</v>
      </c>
      <c r="P1130" s="2265"/>
      <c r="Q1130" s="2266"/>
      <c r="R1130" s="2266"/>
      <c r="S1130" s="2266"/>
    </row>
    <row r="1131" spans="1:19" s="2105" customFormat="1" outlineLevel="1">
      <c r="A1131" s="2182" t="str">
        <f t="shared" si="181"/>
        <v/>
      </c>
      <c r="B1131" s="2357" t="s">
        <v>639</v>
      </c>
      <c r="C1131" s="2407"/>
      <c r="D1131" s="2152" t="s">
        <v>1747</v>
      </c>
      <c r="E1131" s="2408" t="s">
        <v>5324</v>
      </c>
      <c r="F1131" s="2152" t="s">
        <v>856</v>
      </c>
      <c r="G1131" s="2152">
        <f>1.48*G1129</f>
        <v>0</v>
      </c>
      <c r="H1131" s="2359">
        <v>0</v>
      </c>
      <c r="I1131" s="2359"/>
      <c r="J1131" s="2359">
        <v>296500.89999999997</v>
      </c>
      <c r="K1131" s="2258"/>
      <c r="L1131" s="2360">
        <f>H1131*G1131</f>
        <v>0</v>
      </c>
      <c r="M1131" s="2360">
        <f>I1131*G1131</f>
        <v>0</v>
      </c>
      <c r="N1131" s="2360">
        <f>J1131*G1131</f>
        <v>0</v>
      </c>
      <c r="O1131" s="2360">
        <f>K1131*G1131</f>
        <v>0</v>
      </c>
      <c r="P1131" s="2265"/>
      <c r="Q1131" s="2266"/>
      <c r="R1131" s="2266"/>
      <c r="S1131" s="2266"/>
    </row>
    <row r="1132" spans="1:19" s="2105" customFormat="1" outlineLevel="1">
      <c r="A1132" s="2182" t="str">
        <f t="shared" si="181"/>
        <v/>
      </c>
      <c r="B1132" s="2357" t="s">
        <v>21</v>
      </c>
      <c r="C1132" s="2407"/>
      <c r="D1132" s="2152" t="s">
        <v>5325</v>
      </c>
      <c r="E1132" s="2408" t="s">
        <v>5326</v>
      </c>
      <c r="F1132" s="2152" t="s">
        <v>856</v>
      </c>
      <c r="G1132" s="2152">
        <f>1.39*G1128</f>
        <v>0</v>
      </c>
      <c r="H1132" s="2359">
        <v>0</v>
      </c>
      <c r="I1132" s="2359"/>
      <c r="J1132" s="2359">
        <v>117703.6</v>
      </c>
      <c r="K1132" s="2258"/>
      <c r="L1132" s="2360">
        <f>H1132*G1132</f>
        <v>0</v>
      </c>
      <c r="M1132" s="2360">
        <f>I1132*G1132</f>
        <v>0</v>
      </c>
      <c r="N1132" s="2360">
        <f>J1132*G1132</f>
        <v>0</v>
      </c>
      <c r="O1132" s="2360">
        <f>K1132*G1132</f>
        <v>0</v>
      </c>
      <c r="P1132" s="2265"/>
      <c r="Q1132" s="2266"/>
      <c r="R1132" s="2266"/>
      <c r="S1132" s="2266"/>
    </row>
    <row r="1133" spans="1:19" s="2105" customFormat="1" outlineLevel="1">
      <c r="A1133" s="2182" t="str">
        <f t="shared" si="181"/>
        <v/>
      </c>
      <c r="B1133" s="2261"/>
      <c r="C1133" s="2258">
        <f>IF(G1133&gt;0,C1123+1,C1123)</f>
        <v>0</v>
      </c>
      <c r="D1133" s="2411"/>
      <c r="E1133" s="2403" t="s">
        <v>3714</v>
      </c>
      <c r="F1133" s="2402" t="s">
        <v>2385</v>
      </c>
      <c r="G1133" s="2412">
        <f>G1105</f>
        <v>0</v>
      </c>
      <c r="H1133" s="2413"/>
      <c r="I1133" s="2413"/>
      <c r="J1133" s="2413"/>
      <c r="K1133" s="2413"/>
      <c r="L1133" s="2413"/>
      <c r="M1133" s="2413"/>
      <c r="N1133" s="2413"/>
      <c r="O1133" s="2413"/>
      <c r="P1133" s="2265"/>
      <c r="Q1133" s="2266"/>
      <c r="R1133" s="2266"/>
      <c r="S1133" s="2266"/>
    </row>
    <row r="1134" spans="1:19" s="2105" customFormat="1" ht="14.4" outlineLevel="1">
      <c r="A1134" s="2182" t="str">
        <f>A1133</f>
        <v/>
      </c>
      <c r="B1134" s="2261"/>
      <c r="C1134" s="2258"/>
      <c r="D1134" s="2414"/>
      <c r="E1134" s="2267" t="s">
        <v>6133</v>
      </c>
      <c r="F1134" s="2268"/>
      <c r="G1134" s="2269"/>
      <c r="H1134" s="2415"/>
      <c r="I1134" s="2415"/>
      <c r="J1134" s="2415"/>
      <c r="K1134" s="2415"/>
      <c r="L1134" s="2415"/>
      <c r="M1134" s="2415"/>
      <c r="N1134" s="2415"/>
      <c r="O1134" s="2415"/>
      <c r="P1134" s="2265"/>
      <c r="Q1134" s="2266"/>
      <c r="R1134" s="2266"/>
      <c r="S1134" s="2266"/>
    </row>
    <row r="1135" spans="1:19" s="2105" customFormat="1" outlineLevel="1">
      <c r="A1135" s="2182" t="str">
        <f t="shared" ref="A1135:A1140" si="182">IF(G1135&lt;&gt;0,1,"")</f>
        <v/>
      </c>
      <c r="B1135" s="2252" t="s">
        <v>1136</v>
      </c>
      <c r="C1135" s="2258"/>
      <c r="D1135" s="2152">
        <v>0</v>
      </c>
      <c r="E1135" s="2194" t="s">
        <v>6338</v>
      </c>
      <c r="F1135" s="2152" t="s">
        <v>2248</v>
      </c>
      <c r="G1135" s="2270">
        <f>15.3*2.8*2*G1133</f>
        <v>0</v>
      </c>
      <c r="H1135" s="2359">
        <v>31625</v>
      </c>
      <c r="I1135" s="2416"/>
      <c r="J1135" s="2359"/>
      <c r="K1135" s="2359">
        <v>0</v>
      </c>
      <c r="L1135" s="2360">
        <f t="shared" ref="L1135:L1168" si="183">H1135*G1135</f>
        <v>0</v>
      </c>
      <c r="M1135" s="2360">
        <f t="shared" ref="M1135:M1147" si="184">I1135*G1135</f>
        <v>0</v>
      </c>
      <c r="N1135" s="2359"/>
      <c r="O1135" s="2360">
        <f t="shared" ref="O1135:O1147" si="185">K1135*G1135</f>
        <v>0</v>
      </c>
      <c r="P1135" s="2265"/>
      <c r="Q1135" s="2266"/>
      <c r="R1135" s="2266"/>
      <c r="S1135" s="2266"/>
    </row>
    <row r="1136" spans="1:19" s="2105" customFormat="1" outlineLevel="1">
      <c r="A1136" s="2182" t="str">
        <f t="shared" si="182"/>
        <v/>
      </c>
      <c r="B1136" s="2252" t="s">
        <v>1137</v>
      </c>
      <c r="C1136" s="2258"/>
      <c r="D1136" s="2152">
        <v>0</v>
      </c>
      <c r="E1136" s="2194" t="s">
        <v>6339</v>
      </c>
      <c r="F1136" s="2152" t="s">
        <v>2248</v>
      </c>
      <c r="G1136" s="2270">
        <f>8.59*0.4*4*G1133</f>
        <v>0</v>
      </c>
      <c r="H1136" s="2359">
        <v>31625</v>
      </c>
      <c r="I1136" s="2416"/>
      <c r="J1136" s="2359"/>
      <c r="K1136" s="2359">
        <v>0</v>
      </c>
      <c r="L1136" s="2360">
        <f t="shared" si="183"/>
        <v>0</v>
      </c>
      <c r="M1136" s="2360">
        <f t="shared" si="184"/>
        <v>0</v>
      </c>
      <c r="N1136" s="2359"/>
      <c r="O1136" s="2360">
        <f t="shared" si="185"/>
        <v>0</v>
      </c>
      <c r="P1136" s="2265"/>
      <c r="Q1136" s="2266"/>
      <c r="R1136" s="2266"/>
      <c r="S1136" s="2266"/>
    </row>
    <row r="1137" spans="1:19" s="2105" customFormat="1" outlineLevel="1">
      <c r="A1137" s="2182" t="str">
        <f t="shared" si="182"/>
        <v/>
      </c>
      <c r="B1137" s="2252" t="s">
        <v>1138</v>
      </c>
      <c r="C1137" s="2258"/>
      <c r="D1137" s="2152">
        <v>0</v>
      </c>
      <c r="E1137" s="2194" t="s">
        <v>6340</v>
      </c>
      <c r="F1137" s="2152" t="s">
        <v>2248</v>
      </c>
      <c r="G1137" s="2270">
        <f>8.59*0.8*2*G1133</f>
        <v>0</v>
      </c>
      <c r="H1137" s="2359">
        <v>31625</v>
      </c>
      <c r="I1137" s="2416"/>
      <c r="J1137" s="2359"/>
      <c r="K1137" s="2359">
        <v>0</v>
      </c>
      <c r="L1137" s="2360">
        <f t="shared" si="183"/>
        <v>0</v>
      </c>
      <c r="M1137" s="2360">
        <f t="shared" si="184"/>
        <v>0</v>
      </c>
      <c r="N1137" s="2359"/>
      <c r="O1137" s="2360">
        <f t="shared" si="185"/>
        <v>0</v>
      </c>
      <c r="P1137" s="2265"/>
      <c r="Q1137" s="2266"/>
      <c r="R1137" s="2266"/>
      <c r="S1137" s="2266"/>
    </row>
    <row r="1138" spans="1:19" s="2105" customFormat="1" outlineLevel="1">
      <c r="A1138" s="2182" t="str">
        <f t="shared" si="182"/>
        <v/>
      </c>
      <c r="B1138" s="2261" t="s">
        <v>1781</v>
      </c>
      <c r="C1138" s="2258"/>
      <c r="D1138" s="2152">
        <v>0</v>
      </c>
      <c r="E1138" s="2194" t="s">
        <v>2662</v>
      </c>
      <c r="F1138" s="2152" t="s">
        <v>2439</v>
      </c>
      <c r="G1138" s="2269">
        <f>G1133*10</f>
        <v>0</v>
      </c>
      <c r="H1138" s="2359">
        <v>34800</v>
      </c>
      <c r="I1138" s="2416"/>
      <c r="J1138" s="2359">
        <v>0</v>
      </c>
      <c r="K1138" s="2359">
        <v>0</v>
      </c>
      <c r="L1138" s="2360">
        <f t="shared" si="183"/>
        <v>0</v>
      </c>
      <c r="M1138" s="2360">
        <f t="shared" si="184"/>
        <v>0</v>
      </c>
      <c r="N1138" s="2360">
        <f t="shared" ref="N1138:N1152" si="186">J1138*G1138</f>
        <v>0</v>
      </c>
      <c r="O1138" s="2360">
        <f t="shared" si="185"/>
        <v>0</v>
      </c>
      <c r="P1138" s="2265"/>
      <c r="Q1138" s="2266"/>
      <c r="R1138" s="2266"/>
      <c r="S1138" s="2266"/>
    </row>
    <row r="1139" spans="1:19" s="2105" customFormat="1" outlineLevel="1">
      <c r="A1139" s="2182" t="str">
        <f t="shared" si="182"/>
        <v/>
      </c>
      <c r="B1139" s="2261" t="s">
        <v>1083</v>
      </c>
      <c r="C1139" s="2258"/>
      <c r="D1139" s="2152">
        <v>0</v>
      </c>
      <c r="E1139" s="2194" t="s">
        <v>2652</v>
      </c>
      <c r="F1139" s="2152" t="s">
        <v>2439</v>
      </c>
      <c r="G1139" s="2269">
        <f>G1133*2</f>
        <v>0</v>
      </c>
      <c r="H1139" s="2359">
        <v>29900</v>
      </c>
      <c r="I1139" s="2416"/>
      <c r="J1139" s="2359">
        <v>0</v>
      </c>
      <c r="K1139" s="2359">
        <v>0</v>
      </c>
      <c r="L1139" s="2360">
        <f t="shared" si="183"/>
        <v>0</v>
      </c>
      <c r="M1139" s="2360">
        <f t="shared" si="184"/>
        <v>0</v>
      </c>
      <c r="N1139" s="2360">
        <f t="shared" si="186"/>
        <v>0</v>
      </c>
      <c r="O1139" s="2360">
        <f t="shared" si="185"/>
        <v>0</v>
      </c>
      <c r="P1139" s="2265"/>
      <c r="Q1139" s="2266"/>
      <c r="R1139" s="2266"/>
      <c r="S1139" s="2266"/>
    </row>
    <row r="1140" spans="1:19" s="2105" customFormat="1" outlineLevel="1">
      <c r="A1140" s="2182" t="str">
        <f t="shared" si="182"/>
        <v/>
      </c>
      <c r="B1140" s="2261" t="s">
        <v>1079</v>
      </c>
      <c r="C1140" s="2258"/>
      <c r="D1140" s="2152">
        <v>0</v>
      </c>
      <c r="E1140" s="2194" t="s">
        <v>2651</v>
      </c>
      <c r="F1140" s="2152" t="s">
        <v>2439</v>
      </c>
      <c r="G1140" s="2269">
        <f>G1133*12</f>
        <v>0</v>
      </c>
      <c r="H1140" s="2359">
        <v>27900</v>
      </c>
      <c r="I1140" s="2416"/>
      <c r="J1140" s="2359">
        <v>0</v>
      </c>
      <c r="K1140" s="2359">
        <v>0</v>
      </c>
      <c r="L1140" s="2360">
        <f t="shared" si="183"/>
        <v>0</v>
      </c>
      <c r="M1140" s="2360">
        <f t="shared" si="184"/>
        <v>0</v>
      </c>
      <c r="N1140" s="2360">
        <f t="shared" si="186"/>
        <v>0</v>
      </c>
      <c r="O1140" s="2360">
        <f t="shared" si="185"/>
        <v>0</v>
      </c>
      <c r="P1140" s="2265"/>
      <c r="Q1140" s="2266"/>
      <c r="R1140" s="2266"/>
      <c r="S1140" s="2266"/>
    </row>
    <row r="1141" spans="1:19" s="2105" customFormat="1" outlineLevel="1">
      <c r="A1141" s="2182" t="str">
        <f>IF(G1141&lt;&gt;0,1,"")</f>
        <v/>
      </c>
      <c r="B1141" s="2252" t="s">
        <v>2242</v>
      </c>
      <c r="C1141" s="2258"/>
      <c r="D1141" s="2152" t="s">
        <v>5444</v>
      </c>
      <c r="E1141" s="2194" t="s">
        <v>6341</v>
      </c>
      <c r="F1141" s="2152" t="s">
        <v>2439</v>
      </c>
      <c r="G1141" s="2269">
        <f>+G1133*1</f>
        <v>0</v>
      </c>
      <c r="H1141" s="2359">
        <v>0</v>
      </c>
      <c r="I1141" s="2416"/>
      <c r="J1141" s="2359" t="s">
        <v>6342</v>
      </c>
      <c r="K1141" s="2359">
        <v>0</v>
      </c>
      <c r="L1141" s="2360">
        <f>H1141*G1141</f>
        <v>0</v>
      </c>
      <c r="M1141" s="2360">
        <f t="shared" si="184"/>
        <v>0</v>
      </c>
      <c r="N1141" s="2359">
        <v>0</v>
      </c>
      <c r="O1141" s="2360">
        <f t="shared" si="185"/>
        <v>0</v>
      </c>
      <c r="P1141" s="2265"/>
      <c r="Q1141" s="2266"/>
      <c r="R1141" s="2266"/>
      <c r="S1141" s="2266"/>
    </row>
    <row r="1142" spans="1:19" s="2105" customFormat="1" outlineLevel="1">
      <c r="A1142" s="2182" t="str">
        <f>IF(G1142&lt;&gt;0,1,"")</f>
        <v/>
      </c>
      <c r="B1142" s="2252" t="s">
        <v>6218</v>
      </c>
      <c r="C1142" s="2258"/>
      <c r="D1142" s="2152" t="s">
        <v>5378</v>
      </c>
      <c r="E1142" s="2194" t="s">
        <v>6343</v>
      </c>
      <c r="F1142" s="2152" t="s">
        <v>2439</v>
      </c>
      <c r="G1142" s="2269">
        <f>+G1133*(IF(G1136&gt;0,2,0)+IF(G1137&gt;0,1,0))</f>
        <v>0</v>
      </c>
      <c r="H1142" s="2359">
        <v>0</v>
      </c>
      <c r="I1142" s="2416"/>
      <c r="J1142" s="2359" t="s">
        <v>6344</v>
      </c>
      <c r="K1142" s="2359">
        <v>0</v>
      </c>
      <c r="L1142" s="2360">
        <f>H1142*G1142</f>
        <v>0</v>
      </c>
      <c r="M1142" s="2360">
        <f>I1142*G1142</f>
        <v>0</v>
      </c>
      <c r="N1142" s="2359">
        <v>0</v>
      </c>
      <c r="O1142" s="2360">
        <f>K1142*G1142</f>
        <v>0</v>
      </c>
      <c r="P1142" s="2265"/>
      <c r="Q1142" s="2266"/>
      <c r="R1142" s="2266"/>
      <c r="S1142" s="2266"/>
    </row>
    <row r="1143" spans="1:19" s="2105" customFormat="1" outlineLevel="1">
      <c r="A1143" s="2182" t="str">
        <f>IF(G1143&lt;&gt;0,1,"")</f>
        <v/>
      </c>
      <c r="B1143" s="2261"/>
      <c r="C1143" s="2258">
        <f>IF(G1143&gt;0,C1128+1,C1128)</f>
        <v>0</v>
      </c>
      <c r="D1143" s="2259"/>
      <c r="E1143" s="2417" t="s">
        <v>6219</v>
      </c>
      <c r="F1143" s="2258" t="s">
        <v>2385</v>
      </c>
      <c r="G1143" s="2263">
        <f>+G1105*1</f>
        <v>0</v>
      </c>
      <c r="H1143" s="2416"/>
      <c r="I1143" s="2416"/>
      <c r="J1143" s="2416"/>
      <c r="K1143" s="2416"/>
      <c r="L1143" s="2360">
        <f t="shared" ref="L1143:L1148" si="187">H1143*G1143</f>
        <v>0</v>
      </c>
      <c r="M1143" s="2360">
        <f t="shared" si="184"/>
        <v>0</v>
      </c>
      <c r="N1143" s="2360">
        <f>J1143*G1143</f>
        <v>0</v>
      </c>
      <c r="O1143" s="2360">
        <f t="shared" si="185"/>
        <v>0</v>
      </c>
      <c r="P1143" s="2265"/>
      <c r="Q1143" s="2266"/>
      <c r="R1143" s="2266"/>
      <c r="S1143" s="2266"/>
    </row>
    <row r="1144" spans="1:19" s="2105" customFormat="1" ht="14.4" outlineLevel="1">
      <c r="A1144" s="2182" t="str">
        <f>A1143</f>
        <v/>
      </c>
      <c r="B1144" s="2261"/>
      <c r="C1144" s="2258"/>
      <c r="D1144" s="2259"/>
      <c r="E1144" s="2267" t="s">
        <v>6133</v>
      </c>
      <c r="F1144" s="2268"/>
      <c r="G1144" s="2269"/>
      <c r="H1144" s="2416"/>
      <c r="I1144" s="2416"/>
      <c r="J1144" s="2416"/>
      <c r="K1144" s="2416"/>
      <c r="L1144" s="2360">
        <f t="shared" si="187"/>
        <v>0</v>
      </c>
      <c r="M1144" s="2360">
        <f t="shared" si="184"/>
        <v>0</v>
      </c>
      <c r="N1144" s="2360">
        <f>J1144*G1144</f>
        <v>0</v>
      </c>
      <c r="O1144" s="2360">
        <f t="shared" si="185"/>
        <v>0</v>
      </c>
      <c r="P1144" s="2265"/>
      <c r="Q1144" s="2266"/>
      <c r="R1144" s="2266"/>
      <c r="S1144" s="2266"/>
    </row>
    <row r="1145" spans="1:19" s="2105" customFormat="1" outlineLevel="1">
      <c r="A1145" s="2182" t="str">
        <f>IF(G1145&lt;&gt;0,1,"")</f>
        <v/>
      </c>
      <c r="B1145" s="2133" t="s">
        <v>5155</v>
      </c>
      <c r="C1145" s="2258"/>
      <c r="D1145" s="2152">
        <v>0</v>
      </c>
      <c r="E1145" s="2194" t="s">
        <v>5156</v>
      </c>
      <c r="F1145" s="2152" t="s">
        <v>2590</v>
      </c>
      <c r="G1145" s="2270">
        <f>+G1143*1</f>
        <v>0</v>
      </c>
      <c r="H1145" s="2359">
        <v>878000</v>
      </c>
      <c r="I1145" s="2359"/>
      <c r="J1145" s="2359">
        <v>0</v>
      </c>
      <c r="K1145" s="2359">
        <v>0</v>
      </c>
      <c r="L1145" s="2360">
        <f t="shared" si="187"/>
        <v>0</v>
      </c>
      <c r="M1145" s="2360">
        <f t="shared" si="184"/>
        <v>0</v>
      </c>
      <c r="N1145" s="2360">
        <f>J1145*G1145</f>
        <v>0</v>
      </c>
      <c r="O1145" s="2360">
        <f t="shared" si="185"/>
        <v>0</v>
      </c>
      <c r="P1145" s="2265"/>
      <c r="Q1145" s="2266"/>
      <c r="R1145" s="2266"/>
      <c r="S1145" s="2266"/>
    </row>
    <row r="1146" spans="1:19" s="2105" customFormat="1" outlineLevel="1">
      <c r="A1146" s="2182" t="str">
        <f>IF(G1146&lt;&gt;0,1,"")</f>
        <v/>
      </c>
      <c r="B1146" s="2130" t="s">
        <v>488</v>
      </c>
      <c r="C1146" s="2258"/>
      <c r="D1146" s="2152">
        <v>0</v>
      </c>
      <c r="E1146" s="2194" t="s">
        <v>5078</v>
      </c>
      <c r="F1146" s="2152" t="s">
        <v>2439</v>
      </c>
      <c r="G1146" s="2269">
        <f>+G1143*3</f>
        <v>0</v>
      </c>
      <c r="H1146" s="2359">
        <v>65000</v>
      </c>
      <c r="I1146" s="2359">
        <v>0</v>
      </c>
      <c r="J1146" s="2359">
        <v>0</v>
      </c>
      <c r="K1146" s="2359">
        <v>0</v>
      </c>
      <c r="L1146" s="2360">
        <f t="shared" si="187"/>
        <v>0</v>
      </c>
      <c r="M1146" s="2360">
        <f t="shared" si="184"/>
        <v>0</v>
      </c>
      <c r="N1146" s="2360">
        <f>J1146*G1146</f>
        <v>0</v>
      </c>
      <c r="O1146" s="2360">
        <f t="shared" si="185"/>
        <v>0</v>
      </c>
      <c r="P1146" s="2265"/>
      <c r="Q1146" s="2266"/>
      <c r="R1146" s="2266"/>
      <c r="S1146" s="2266"/>
    </row>
    <row r="1147" spans="1:19" s="2105" customFormat="1" outlineLevel="1">
      <c r="A1147" s="2182" t="str">
        <f>IF(G1147&lt;&gt;0,1,"")</f>
        <v/>
      </c>
      <c r="B1147" s="2261" t="s">
        <v>1079</v>
      </c>
      <c r="C1147" s="2258"/>
      <c r="D1147" s="2152">
        <v>0</v>
      </c>
      <c r="E1147" s="2194" t="s">
        <v>2651</v>
      </c>
      <c r="F1147" s="2152" t="s">
        <v>2439</v>
      </c>
      <c r="G1147" s="2269">
        <f>+G1143*2</f>
        <v>0</v>
      </c>
      <c r="H1147" s="2359">
        <v>27900</v>
      </c>
      <c r="I1147" s="2416"/>
      <c r="J1147" s="2359">
        <v>0</v>
      </c>
      <c r="K1147" s="2359">
        <v>0</v>
      </c>
      <c r="L1147" s="2360">
        <f t="shared" si="187"/>
        <v>0</v>
      </c>
      <c r="M1147" s="2360">
        <f t="shared" si="184"/>
        <v>0</v>
      </c>
      <c r="N1147" s="2360">
        <f>J1147*G1147</f>
        <v>0</v>
      </c>
      <c r="O1147" s="2360">
        <f t="shared" si="185"/>
        <v>0</v>
      </c>
      <c r="P1147" s="2265"/>
      <c r="Q1147" s="2266"/>
      <c r="R1147" s="2266"/>
      <c r="S1147" s="2266"/>
    </row>
    <row r="1148" spans="1:19" s="2105" customFormat="1" outlineLevel="1">
      <c r="A1148" s="2182" t="str">
        <f>IF(G1148&lt;&gt;0,1,"")</f>
        <v/>
      </c>
      <c r="B1148" s="2130" t="s">
        <v>2242</v>
      </c>
      <c r="C1148" s="2258"/>
      <c r="D1148" s="2152" t="s">
        <v>5444</v>
      </c>
      <c r="E1148" s="2194" t="s">
        <v>2440</v>
      </c>
      <c r="F1148" s="2152" t="s">
        <v>2439</v>
      </c>
      <c r="G1148" s="2269">
        <f>+G1143</f>
        <v>0</v>
      </c>
      <c r="H1148" s="2264">
        <v>0</v>
      </c>
      <c r="I1148" s="2359"/>
      <c r="J1148" s="2359" t="s">
        <v>6345</v>
      </c>
      <c r="K1148" s="2359"/>
      <c r="L1148" s="2360">
        <f t="shared" si="187"/>
        <v>0</v>
      </c>
      <c r="M1148" s="2360"/>
      <c r="N1148" s="2359">
        <v>0</v>
      </c>
      <c r="O1148" s="2360"/>
      <c r="P1148" s="2265"/>
      <c r="Q1148" s="2266"/>
      <c r="R1148" s="2266"/>
      <c r="S1148" s="2266"/>
    </row>
    <row r="1149" spans="1:19" s="2105" customFormat="1" outlineLevel="1">
      <c r="A1149" s="2182" t="str">
        <f>IF(G1149&lt;&gt;0,1,"")</f>
        <v/>
      </c>
      <c r="B1149" s="2261"/>
      <c r="C1149" s="2258">
        <f>IF(G1149&gt;0,C1133+1,C1133)</f>
        <v>0</v>
      </c>
      <c r="D1149" s="2259"/>
      <c r="E1149" s="2417" t="s">
        <v>6220</v>
      </c>
      <c r="F1149" s="2258" t="s">
        <v>2385</v>
      </c>
      <c r="G1149" s="2263">
        <f>+G1133*2</f>
        <v>0</v>
      </c>
      <c r="H1149" s="2416"/>
      <c r="I1149" s="2416"/>
      <c r="J1149" s="2416"/>
      <c r="K1149" s="2416"/>
      <c r="L1149" s="2360">
        <f t="shared" si="183"/>
        <v>0</v>
      </c>
      <c r="M1149" s="2360">
        <f>I1149*G1149</f>
        <v>0</v>
      </c>
      <c r="N1149" s="2360">
        <f t="shared" si="186"/>
        <v>0</v>
      </c>
      <c r="O1149" s="2360">
        <f>K1149*G1149</f>
        <v>0</v>
      </c>
      <c r="P1149" s="2265"/>
      <c r="Q1149" s="2266"/>
      <c r="R1149" s="2266"/>
      <c r="S1149" s="2266"/>
    </row>
    <row r="1150" spans="1:19" s="2105" customFormat="1" ht="14.4" outlineLevel="1">
      <c r="A1150" s="2182" t="str">
        <f>A1149</f>
        <v/>
      </c>
      <c r="B1150" s="2261"/>
      <c r="C1150" s="2258"/>
      <c r="D1150" s="2259"/>
      <c r="E1150" s="2267" t="s">
        <v>6133</v>
      </c>
      <c r="F1150" s="2268"/>
      <c r="G1150" s="2269"/>
      <c r="H1150" s="2416"/>
      <c r="I1150" s="2416"/>
      <c r="J1150" s="2416"/>
      <c r="K1150" s="2416"/>
      <c r="L1150" s="2360">
        <f t="shared" si="183"/>
        <v>0</v>
      </c>
      <c r="M1150" s="2360">
        <f>I1150*G1150</f>
        <v>0</v>
      </c>
      <c r="N1150" s="2360">
        <f t="shared" si="186"/>
        <v>0</v>
      </c>
      <c r="O1150" s="2360">
        <f>K1150*G1150</f>
        <v>0</v>
      </c>
      <c r="P1150" s="2265"/>
      <c r="Q1150" s="2266"/>
      <c r="R1150" s="2266"/>
      <c r="S1150" s="2266"/>
    </row>
    <row r="1151" spans="1:19" s="2105" customFormat="1" outlineLevel="1">
      <c r="A1151" s="2182" t="str">
        <f>IF(G1151&lt;&gt;0,1,"")</f>
        <v/>
      </c>
      <c r="B1151" s="2252" t="s">
        <v>2022</v>
      </c>
      <c r="C1151" s="2258"/>
      <c r="D1151" s="2152">
        <v>0</v>
      </c>
      <c r="E1151" s="2194" t="s">
        <v>2437</v>
      </c>
      <c r="F1151" s="2152" t="s">
        <v>2248</v>
      </c>
      <c r="G1151" s="2270">
        <f>G1149*9.02*(2.6+3*0.07)</f>
        <v>0</v>
      </c>
      <c r="H1151" s="2264">
        <v>32074</v>
      </c>
      <c r="I1151" s="2359"/>
      <c r="J1151" s="2359">
        <v>0</v>
      </c>
      <c r="K1151" s="2359">
        <v>0</v>
      </c>
      <c r="L1151" s="2360">
        <f t="shared" si="183"/>
        <v>0</v>
      </c>
      <c r="M1151" s="2360">
        <f>I1151*G1151</f>
        <v>0</v>
      </c>
      <c r="N1151" s="2360">
        <f t="shared" si="186"/>
        <v>0</v>
      </c>
      <c r="O1151" s="2360">
        <f>K1151*G1151</f>
        <v>0</v>
      </c>
      <c r="P1151" s="2265"/>
      <c r="Q1151" s="2266"/>
      <c r="R1151" s="2266"/>
      <c r="S1151" s="2266"/>
    </row>
    <row r="1152" spans="1:19" s="2105" customFormat="1" outlineLevel="1">
      <c r="A1152" s="2182" t="str">
        <f>IF(G1152&lt;&gt;0,1,"")</f>
        <v/>
      </c>
      <c r="B1152" s="2261" t="s">
        <v>1610</v>
      </c>
      <c r="C1152" s="2258"/>
      <c r="D1152" s="2152">
        <v>0</v>
      </c>
      <c r="E1152" s="2194" t="s">
        <v>2649</v>
      </c>
      <c r="F1152" s="2152" t="s">
        <v>2439</v>
      </c>
      <c r="G1152" s="2269">
        <f>IF(G1149=0,0,2)*2</f>
        <v>0</v>
      </c>
      <c r="H1152" s="2264">
        <v>25400</v>
      </c>
      <c r="I1152" s="2359">
        <v>0</v>
      </c>
      <c r="J1152" s="2359">
        <v>0</v>
      </c>
      <c r="K1152" s="2359">
        <v>0</v>
      </c>
      <c r="L1152" s="2360">
        <f t="shared" si="183"/>
        <v>0</v>
      </c>
      <c r="M1152" s="2360">
        <f>I1152*G1152</f>
        <v>0</v>
      </c>
      <c r="N1152" s="2360">
        <f t="shared" si="186"/>
        <v>0</v>
      </c>
      <c r="O1152" s="2360">
        <f>K1152*G1152</f>
        <v>0</v>
      </c>
      <c r="P1152" s="2265"/>
      <c r="Q1152" s="2266"/>
      <c r="R1152" s="2266"/>
      <c r="S1152" s="2266"/>
    </row>
    <row r="1153" spans="1:19" s="2105" customFormat="1" outlineLevel="1">
      <c r="A1153" s="2182" t="str">
        <f>IF(G1153&lt;&gt;0,1,"")</f>
        <v/>
      </c>
      <c r="B1153" s="2261" t="s">
        <v>2242</v>
      </c>
      <c r="C1153" s="2258"/>
      <c r="D1153" s="2152" t="s">
        <v>5444</v>
      </c>
      <c r="E1153" s="2194" t="s">
        <v>2440</v>
      </c>
      <c r="F1153" s="2152" t="s">
        <v>2439</v>
      </c>
      <c r="G1153" s="2269">
        <f>+G1149</f>
        <v>0</v>
      </c>
      <c r="H1153" s="2264">
        <v>0</v>
      </c>
      <c r="I1153" s="2359"/>
      <c r="J1153" s="2359" t="s">
        <v>6345</v>
      </c>
      <c r="K1153" s="2359"/>
      <c r="L1153" s="2360">
        <f t="shared" si="183"/>
        <v>0</v>
      </c>
      <c r="M1153" s="2360"/>
      <c r="N1153" s="2359">
        <v>0</v>
      </c>
      <c r="O1153" s="2360"/>
      <c r="P1153" s="2265"/>
      <c r="Q1153" s="2266"/>
      <c r="R1153" s="2266"/>
      <c r="S1153" s="2266"/>
    </row>
    <row r="1154" spans="1:19" s="2105" customFormat="1" outlineLevel="1">
      <c r="A1154" s="2182" t="str">
        <f>IF(G1154&lt;&gt;0,1,"")</f>
        <v/>
      </c>
      <c r="B1154" s="2261"/>
      <c r="C1154" s="2258">
        <f>IF(G1154&gt;0,C1149+1,C1149)</f>
        <v>0</v>
      </c>
      <c r="D1154" s="2259"/>
      <c r="E1154" s="2417" t="s">
        <v>6221</v>
      </c>
      <c r="F1154" s="2258" t="s">
        <v>2385</v>
      </c>
      <c r="G1154" s="2263">
        <f>+G1105*2</f>
        <v>0</v>
      </c>
      <c r="H1154" s="2416"/>
      <c r="I1154" s="2416"/>
      <c r="J1154" s="2416"/>
      <c r="K1154" s="2416"/>
      <c r="L1154" s="2360">
        <f t="shared" si="183"/>
        <v>0</v>
      </c>
      <c r="M1154" s="2360">
        <f>I1154*G1154</f>
        <v>0</v>
      </c>
      <c r="N1154" s="2360">
        <f>J1154*G1154</f>
        <v>0</v>
      </c>
      <c r="O1154" s="2360">
        <f>K1154*G1154</f>
        <v>0</v>
      </c>
      <c r="P1154" s="2265"/>
      <c r="Q1154" s="2266"/>
      <c r="R1154" s="2266"/>
      <c r="S1154" s="2266"/>
    </row>
    <row r="1155" spans="1:19" s="2105" customFormat="1" ht="14.4" outlineLevel="1">
      <c r="A1155" s="2182" t="str">
        <f>A1154</f>
        <v/>
      </c>
      <c r="B1155" s="2261"/>
      <c r="C1155" s="2258"/>
      <c r="D1155" s="2259"/>
      <c r="E1155" s="2267" t="s">
        <v>6133</v>
      </c>
      <c r="F1155" s="2268"/>
      <c r="G1155" s="2269"/>
      <c r="H1155" s="2416"/>
      <c r="I1155" s="2416"/>
      <c r="J1155" s="2416"/>
      <c r="K1155" s="2416"/>
      <c r="L1155" s="2360">
        <f t="shared" si="183"/>
        <v>0</v>
      </c>
      <c r="M1155" s="2360">
        <f>I1155*G1155</f>
        <v>0</v>
      </c>
      <c r="N1155" s="2360">
        <f>J1155*G1155</f>
        <v>0</v>
      </c>
      <c r="O1155" s="2360">
        <f>K1155*G1155</f>
        <v>0</v>
      </c>
      <c r="P1155" s="2265"/>
      <c r="Q1155" s="2266"/>
      <c r="R1155" s="2266"/>
      <c r="S1155" s="2266"/>
    </row>
    <row r="1156" spans="1:19" s="2105" customFormat="1" outlineLevel="1">
      <c r="A1156" s="2182" t="str">
        <f>IF(G1156&lt;&gt;0,1,"")</f>
        <v/>
      </c>
      <c r="B1156" s="2261" t="s">
        <v>2022</v>
      </c>
      <c r="C1156" s="2258"/>
      <c r="D1156" s="2152">
        <v>0</v>
      </c>
      <c r="E1156" s="2194" t="s">
        <v>2437</v>
      </c>
      <c r="F1156" s="2152" t="s">
        <v>2248</v>
      </c>
      <c r="G1156" s="2270">
        <f>G1154*9.02*2.6</f>
        <v>0</v>
      </c>
      <c r="H1156" s="2264">
        <v>32074</v>
      </c>
      <c r="I1156" s="2359"/>
      <c r="J1156" s="2359">
        <v>0</v>
      </c>
      <c r="K1156" s="2359"/>
      <c r="L1156" s="2360">
        <f t="shared" si="183"/>
        <v>0</v>
      </c>
      <c r="M1156" s="2360"/>
      <c r="N1156" s="2360"/>
      <c r="O1156" s="2360"/>
      <c r="P1156" s="2265"/>
      <c r="Q1156" s="2266"/>
      <c r="R1156" s="2266"/>
      <c r="S1156" s="2266"/>
    </row>
    <row r="1157" spans="1:19" s="2105" customFormat="1" outlineLevel="1">
      <c r="A1157" s="2182" t="str">
        <f>IF(G1157&lt;&gt;0,1,"")</f>
        <v/>
      </c>
      <c r="B1157" s="2261" t="s">
        <v>1083</v>
      </c>
      <c r="C1157" s="2258"/>
      <c r="D1157" s="2152">
        <v>0</v>
      </c>
      <c r="E1157" s="2194" t="s">
        <v>2652</v>
      </c>
      <c r="F1157" s="2152" t="s">
        <v>2439</v>
      </c>
      <c r="G1157" s="2269">
        <f>G1154*2</f>
        <v>0</v>
      </c>
      <c r="H1157" s="2264">
        <v>29900</v>
      </c>
      <c r="I1157" s="2359">
        <v>0</v>
      </c>
      <c r="J1157" s="2359">
        <v>0</v>
      </c>
      <c r="K1157" s="2359"/>
      <c r="L1157" s="2360">
        <f t="shared" si="183"/>
        <v>0</v>
      </c>
      <c r="M1157" s="2360"/>
      <c r="N1157" s="2360"/>
      <c r="O1157" s="2360"/>
      <c r="P1157" s="2265"/>
      <c r="Q1157" s="2266"/>
      <c r="R1157" s="2266"/>
      <c r="S1157" s="2266"/>
    </row>
    <row r="1158" spans="1:19" s="2105" customFormat="1" outlineLevel="1">
      <c r="A1158" s="2182" t="str">
        <f>IF(G1158&lt;&gt;0,1,"")</f>
        <v/>
      </c>
      <c r="B1158" s="2261" t="s">
        <v>138</v>
      </c>
      <c r="C1158" s="2258"/>
      <c r="D1158" s="2152">
        <v>0</v>
      </c>
      <c r="E1158" s="2194" t="s">
        <v>2627</v>
      </c>
      <c r="F1158" s="2152" t="s">
        <v>2439</v>
      </c>
      <c r="G1158" s="2269">
        <f>G1154*2</f>
        <v>0</v>
      </c>
      <c r="H1158" s="2264">
        <v>8500</v>
      </c>
      <c r="I1158" s="2359">
        <v>0</v>
      </c>
      <c r="J1158" s="2359">
        <v>0</v>
      </c>
      <c r="K1158" s="2359"/>
      <c r="L1158" s="2360">
        <f t="shared" si="183"/>
        <v>0</v>
      </c>
      <c r="M1158" s="2360"/>
      <c r="N1158" s="2360"/>
      <c r="O1158" s="2360"/>
      <c r="P1158" s="2265"/>
      <c r="Q1158" s="2266"/>
      <c r="R1158" s="2266"/>
      <c r="S1158" s="2266"/>
    </row>
    <row r="1159" spans="1:19" s="2105" customFormat="1" outlineLevel="1">
      <c r="A1159" s="2182" t="str">
        <f>IF(G1159&lt;&gt;0,1,"")</f>
        <v/>
      </c>
      <c r="B1159" s="2261" t="s">
        <v>2242</v>
      </c>
      <c r="C1159" s="2258"/>
      <c r="D1159" s="2152" t="s">
        <v>5444</v>
      </c>
      <c r="E1159" s="2194" t="s">
        <v>2440</v>
      </c>
      <c r="F1159" s="2152" t="s">
        <v>2439</v>
      </c>
      <c r="G1159" s="2269">
        <f>G1154/2</f>
        <v>0</v>
      </c>
      <c r="H1159" s="2264">
        <v>0</v>
      </c>
      <c r="I1159" s="2359"/>
      <c r="J1159" s="2359" t="s">
        <v>6345</v>
      </c>
      <c r="K1159" s="2359"/>
      <c r="L1159" s="2360">
        <f t="shared" si="183"/>
        <v>0</v>
      </c>
      <c r="M1159" s="2360"/>
      <c r="N1159" s="2359">
        <v>0</v>
      </c>
      <c r="O1159" s="2360"/>
      <c r="P1159" s="2265"/>
      <c r="Q1159" s="2266"/>
      <c r="R1159" s="2266"/>
      <c r="S1159" s="2266"/>
    </row>
    <row r="1160" spans="1:19" s="2105" customFormat="1" outlineLevel="1">
      <c r="A1160" s="2182" t="str">
        <f>IF(G1160&lt;&gt;0,1,"")</f>
        <v/>
      </c>
      <c r="B1160" s="2261"/>
      <c r="C1160" s="2258">
        <f>IF(G1160&gt;0,C1154+1,C1154)</f>
        <v>0</v>
      </c>
      <c r="D1160" s="2259"/>
      <c r="E1160" s="2417" t="s">
        <v>3720</v>
      </c>
      <c r="F1160" s="2258" t="s">
        <v>2385</v>
      </c>
      <c r="G1160" s="2263">
        <f>G1105</f>
        <v>0</v>
      </c>
      <c r="H1160" s="2264"/>
      <c r="I1160" s="2264"/>
      <c r="J1160" s="2264"/>
      <c r="K1160" s="2264"/>
      <c r="L1160" s="2264">
        <f t="shared" si="183"/>
        <v>0</v>
      </c>
      <c r="M1160" s="2264">
        <f>I1160*G1160</f>
        <v>0</v>
      </c>
      <c r="N1160" s="2264">
        <f t="shared" ref="N1160:N1168" si="188">J1160*G1160</f>
        <v>0</v>
      </c>
      <c r="O1160" s="2264">
        <f>K1160*G1160</f>
        <v>0</v>
      </c>
      <c r="P1160" s="2389"/>
      <c r="Q1160" s="2266"/>
      <c r="R1160" s="2266"/>
      <c r="S1160" s="2266"/>
    </row>
    <row r="1161" spans="1:19" s="2105" customFormat="1" ht="14.4" outlineLevel="1">
      <c r="A1161" s="2182" t="str">
        <f>+A1160</f>
        <v/>
      </c>
      <c r="B1161" s="2418"/>
      <c r="C1161" s="2258"/>
      <c r="D1161" s="2259"/>
      <c r="E1161" s="2267" t="s">
        <v>6133</v>
      </c>
      <c r="F1161" s="2268"/>
      <c r="G1161" s="2269"/>
      <c r="H1161" s="2264"/>
      <c r="I1161" s="2264"/>
      <c r="J1161" s="2264"/>
      <c r="K1161" s="2264"/>
      <c r="L1161" s="2264">
        <f t="shared" si="183"/>
        <v>0</v>
      </c>
      <c r="M1161" s="2264">
        <f>I1161*G1161</f>
        <v>0</v>
      </c>
      <c r="N1161" s="2264">
        <f t="shared" si="188"/>
        <v>0</v>
      </c>
      <c r="O1161" s="2264">
        <f>K1161*G1161</f>
        <v>0</v>
      </c>
      <c r="P1161" s="2389"/>
      <c r="Q1161" s="2266"/>
      <c r="R1161" s="2266"/>
      <c r="S1161" s="2266"/>
    </row>
    <row r="1162" spans="1:19" s="2105" customFormat="1" outlineLevel="1">
      <c r="A1162" s="2182" t="str">
        <f t="shared" ref="A1162:A1168" si="189">IF(G1162&lt;&gt;0,1,"")</f>
        <v/>
      </c>
      <c r="B1162" s="2261" t="s">
        <v>1033</v>
      </c>
      <c r="C1162" s="2258"/>
      <c r="D1162" s="2152">
        <v>0</v>
      </c>
      <c r="E1162" s="2194" t="s">
        <v>2700</v>
      </c>
      <c r="F1162" s="2152" t="s">
        <v>2248</v>
      </c>
      <c r="G1162" s="2270">
        <f>$H$3*0.224*G1160</f>
        <v>0</v>
      </c>
      <c r="H1162" s="2264">
        <v>255500</v>
      </c>
      <c r="I1162" s="2264"/>
      <c r="J1162" s="2264">
        <v>0</v>
      </c>
      <c r="K1162" s="2264">
        <v>0</v>
      </c>
      <c r="L1162" s="2264">
        <f t="shared" si="183"/>
        <v>0</v>
      </c>
      <c r="M1162" s="2264">
        <f>I1162*G1162</f>
        <v>0</v>
      </c>
      <c r="N1162" s="2264">
        <f t="shared" si="188"/>
        <v>0</v>
      </c>
      <c r="O1162" s="2264">
        <f>K1162*G1162</f>
        <v>0</v>
      </c>
      <c r="P1162" s="2389"/>
      <c r="Q1162" s="2266"/>
      <c r="R1162" s="2266"/>
      <c r="S1162" s="2266"/>
    </row>
    <row r="1163" spans="1:19" s="2105" customFormat="1" outlineLevel="1">
      <c r="A1163" s="2182" t="str">
        <f t="shared" si="189"/>
        <v/>
      </c>
      <c r="B1163" s="2252" t="s">
        <v>1508</v>
      </c>
      <c r="C1163" s="2258"/>
      <c r="D1163" s="2152">
        <v>0</v>
      </c>
      <c r="E1163" s="2194" t="s">
        <v>5163</v>
      </c>
      <c r="F1163" s="2152" t="s">
        <v>2439</v>
      </c>
      <c r="G1163" s="2269">
        <f>$H$2*G1160</f>
        <v>0</v>
      </c>
      <c r="H1163" s="2264">
        <v>160000</v>
      </c>
      <c r="I1163" s="2264"/>
      <c r="J1163" s="2264">
        <v>0</v>
      </c>
      <c r="K1163" s="2264">
        <v>0</v>
      </c>
      <c r="L1163" s="2264">
        <f t="shared" si="183"/>
        <v>0</v>
      </c>
      <c r="M1163" s="2264">
        <f>I1163*G1163</f>
        <v>0</v>
      </c>
      <c r="N1163" s="2264">
        <f t="shared" si="188"/>
        <v>0</v>
      </c>
      <c r="O1163" s="2264">
        <f>K1163*G1163</f>
        <v>0</v>
      </c>
      <c r="P1163" s="2389"/>
      <c r="Q1163" s="2266"/>
      <c r="R1163" s="2266"/>
      <c r="S1163" s="2266"/>
    </row>
    <row r="1164" spans="1:19" s="2105" customFormat="1" outlineLevel="1">
      <c r="A1164" s="2182" t="str">
        <f t="shared" si="189"/>
        <v/>
      </c>
      <c r="B1164" s="2261" t="s">
        <v>1579</v>
      </c>
      <c r="C1164" s="2258"/>
      <c r="D1164" s="2152">
        <v>0</v>
      </c>
      <c r="E1164" s="2194" t="s">
        <v>2873</v>
      </c>
      <c r="F1164" s="2152" t="s">
        <v>2555</v>
      </c>
      <c r="G1164" s="2269">
        <f>2*G1160</f>
        <v>0</v>
      </c>
      <c r="H1164" s="2264">
        <v>8000</v>
      </c>
      <c r="I1164" s="2264"/>
      <c r="J1164" s="2264">
        <v>0</v>
      </c>
      <c r="K1164" s="2264"/>
      <c r="L1164" s="2264">
        <f t="shared" si="183"/>
        <v>0</v>
      </c>
      <c r="M1164" s="2264"/>
      <c r="N1164" s="2264">
        <f t="shared" si="188"/>
        <v>0</v>
      </c>
      <c r="O1164" s="2264"/>
      <c r="P1164" s="2389"/>
      <c r="Q1164" s="2266"/>
      <c r="R1164" s="2266"/>
      <c r="S1164" s="2266"/>
    </row>
    <row r="1165" spans="1:19" s="2105" customFormat="1" outlineLevel="1">
      <c r="A1165" s="2182" t="str">
        <f t="shared" si="189"/>
        <v/>
      </c>
      <c r="B1165" s="2261" t="s">
        <v>1062</v>
      </c>
      <c r="C1165" s="2419"/>
      <c r="D1165" s="2152">
        <v>0</v>
      </c>
      <c r="E1165" s="2194" t="s">
        <v>3581</v>
      </c>
      <c r="F1165" s="2152" t="s">
        <v>2555</v>
      </c>
      <c r="G1165" s="2269">
        <f>IF(G1163&lt;=12,15,21)*G1160</f>
        <v>0</v>
      </c>
      <c r="H1165" s="2264">
        <v>17600</v>
      </c>
      <c r="I1165" s="2264"/>
      <c r="J1165" s="2264">
        <v>0</v>
      </c>
      <c r="K1165" s="2264"/>
      <c r="L1165" s="2264">
        <f t="shared" si="183"/>
        <v>0</v>
      </c>
      <c r="M1165" s="2264">
        <f>I1165*G1165</f>
        <v>0</v>
      </c>
      <c r="N1165" s="2264">
        <f t="shared" si="188"/>
        <v>0</v>
      </c>
      <c r="O1165" s="2264">
        <f>K1165*G1165</f>
        <v>0</v>
      </c>
      <c r="P1165" s="2389"/>
      <c r="Q1165" s="2266"/>
      <c r="R1165" s="2266"/>
      <c r="S1165" s="2266"/>
    </row>
    <row r="1166" spans="1:19" s="2105" customFormat="1" outlineLevel="1">
      <c r="A1166" s="2182" t="str">
        <f t="shared" si="189"/>
        <v/>
      </c>
      <c r="B1166" s="2252" t="s">
        <v>1490</v>
      </c>
      <c r="C1166" s="2258"/>
      <c r="D1166" s="2152">
        <v>0</v>
      </c>
      <c r="E1166" s="2194" t="s">
        <v>3536</v>
      </c>
      <c r="F1166" s="2152" t="s">
        <v>1823</v>
      </c>
      <c r="G1166" s="2269">
        <f>G1160*6</f>
        <v>0</v>
      </c>
      <c r="H1166" s="2264">
        <v>6200</v>
      </c>
      <c r="I1166" s="2264"/>
      <c r="J1166" s="2264">
        <v>0</v>
      </c>
      <c r="K1166" s="2264">
        <v>0</v>
      </c>
      <c r="L1166" s="2264">
        <f t="shared" si="183"/>
        <v>0</v>
      </c>
      <c r="M1166" s="2264">
        <f>I1166*G1166</f>
        <v>0</v>
      </c>
      <c r="N1166" s="2264">
        <f t="shared" si="188"/>
        <v>0</v>
      </c>
      <c r="O1166" s="2264">
        <f>K1166*G1166</f>
        <v>0</v>
      </c>
      <c r="P1166" s="2265"/>
      <c r="Q1166" s="2266"/>
      <c r="R1166" s="2266"/>
      <c r="S1166" s="2266"/>
    </row>
    <row r="1167" spans="1:19" s="2105" customFormat="1" outlineLevel="1">
      <c r="A1167" s="2182" t="str">
        <f t="shared" si="189"/>
        <v/>
      </c>
      <c r="B1167" s="2252" t="s">
        <v>525</v>
      </c>
      <c r="C1167" s="2258"/>
      <c r="D1167" s="2152">
        <v>0</v>
      </c>
      <c r="E1167" s="2194" t="s">
        <v>5252</v>
      </c>
      <c r="F1167" s="2152" t="s">
        <v>2439</v>
      </c>
      <c r="G1167" s="2269">
        <f>G1160*4</f>
        <v>0</v>
      </c>
      <c r="H1167" s="2264">
        <v>43000</v>
      </c>
      <c r="I1167" s="2264"/>
      <c r="J1167" s="2264">
        <v>0</v>
      </c>
      <c r="K1167" s="2264">
        <v>0</v>
      </c>
      <c r="L1167" s="2264">
        <f t="shared" si="183"/>
        <v>0</v>
      </c>
      <c r="M1167" s="2264">
        <f>I1167*G1167</f>
        <v>0</v>
      </c>
      <c r="N1167" s="2264">
        <f t="shared" si="188"/>
        <v>0</v>
      </c>
      <c r="O1167" s="2264">
        <f>K1167*G1167</f>
        <v>0</v>
      </c>
      <c r="P1167" s="2265"/>
      <c r="Q1167" s="2266"/>
      <c r="R1167" s="2266"/>
      <c r="S1167" s="2266"/>
    </row>
    <row r="1168" spans="1:19" s="2105" customFormat="1" outlineLevel="1">
      <c r="A1168" s="2182" t="str">
        <f t="shared" si="189"/>
        <v/>
      </c>
      <c r="B1168" s="2252" t="s">
        <v>1585</v>
      </c>
      <c r="C1168" s="2258"/>
      <c r="D1168" s="2152">
        <v>0</v>
      </c>
      <c r="E1168" s="2194" t="s">
        <v>5713</v>
      </c>
      <c r="F1168" s="2152" t="s">
        <v>3445</v>
      </c>
      <c r="G1168" s="2269"/>
      <c r="H1168" s="2264">
        <v>0</v>
      </c>
      <c r="I1168" s="2264"/>
      <c r="J1168" s="2264">
        <v>1500000</v>
      </c>
      <c r="K1168" s="2264">
        <v>0</v>
      </c>
      <c r="L1168" s="2264">
        <f t="shared" si="183"/>
        <v>0</v>
      </c>
      <c r="M1168" s="2264">
        <f>I1168*G1168</f>
        <v>0</v>
      </c>
      <c r="N1168" s="2264">
        <f t="shared" si="188"/>
        <v>0</v>
      </c>
      <c r="O1168" s="2264">
        <f>K1168*G1168</f>
        <v>0</v>
      </c>
      <c r="P1168" s="2389"/>
      <c r="Q1168" s="2266"/>
      <c r="R1168" s="2266"/>
      <c r="S1168" s="2266"/>
    </row>
    <row r="1169" spans="1:20" s="2105" customFormat="1" outlineLevel="1">
      <c r="A1169" s="2182">
        <f>IF(G1169=0,0,1)</f>
        <v>0</v>
      </c>
      <c r="B1169" s="2252" t="s">
        <v>794</v>
      </c>
      <c r="C1169" s="2268"/>
      <c r="D1169" s="2152" t="s">
        <v>5336</v>
      </c>
      <c r="E1169" s="2194" t="s">
        <v>3068</v>
      </c>
      <c r="F1169" s="2152" t="s">
        <v>856</v>
      </c>
      <c r="G1169" s="2420">
        <f>$H$4*G1160</f>
        <v>0</v>
      </c>
      <c r="H1169" s="2264">
        <v>0</v>
      </c>
      <c r="I1169" s="2264"/>
      <c r="J1169" s="2264">
        <v>283749.75</v>
      </c>
      <c r="K1169" s="2264">
        <v>0</v>
      </c>
      <c r="L1169" s="2264">
        <f t="shared" ref="L1169:O1170" si="190">H1169*$G1169</f>
        <v>0</v>
      </c>
      <c r="M1169" s="2264">
        <f t="shared" si="190"/>
        <v>0</v>
      </c>
      <c r="N1169" s="2264">
        <f t="shared" si="190"/>
        <v>0</v>
      </c>
      <c r="O1169" s="2264">
        <f t="shared" si="190"/>
        <v>0</v>
      </c>
      <c r="P1169" s="2389"/>
      <c r="Q1169" s="2266"/>
      <c r="R1169" s="2266"/>
      <c r="S1169" s="2266"/>
    </row>
    <row r="1170" spans="1:20" s="2105" customFormat="1" outlineLevel="1">
      <c r="A1170" s="2182">
        <f>IF(G1170=0,0,1)</f>
        <v>0</v>
      </c>
      <c r="B1170" s="2252" t="s">
        <v>798</v>
      </c>
      <c r="C1170" s="2268"/>
      <c r="D1170" s="2152" t="s">
        <v>5325</v>
      </c>
      <c r="E1170" s="2194" t="s">
        <v>5337</v>
      </c>
      <c r="F1170" s="2152" t="s">
        <v>856</v>
      </c>
      <c r="G1170" s="2420">
        <f>G1169</f>
        <v>0</v>
      </c>
      <c r="H1170" s="2264">
        <v>0</v>
      </c>
      <c r="I1170" s="2264"/>
      <c r="J1170" s="2264">
        <v>117703.6</v>
      </c>
      <c r="K1170" s="2264">
        <v>0</v>
      </c>
      <c r="L1170" s="2264">
        <f t="shared" si="190"/>
        <v>0</v>
      </c>
      <c r="M1170" s="2264">
        <f t="shared" si="190"/>
        <v>0</v>
      </c>
      <c r="N1170" s="2264">
        <f t="shared" si="190"/>
        <v>0</v>
      </c>
      <c r="O1170" s="2264">
        <f t="shared" si="190"/>
        <v>0</v>
      </c>
      <c r="P1170" s="2389"/>
      <c r="Q1170" s="2266"/>
      <c r="R1170" s="2266"/>
      <c r="S1170" s="2266"/>
    </row>
    <row r="1171" spans="1:20" s="2105" customFormat="1" outlineLevel="1">
      <c r="A1171" s="2182">
        <f>IF(G1171=0,0,1)</f>
        <v>0</v>
      </c>
      <c r="B1171" s="2252" t="s">
        <v>902</v>
      </c>
      <c r="C1171" s="2268"/>
      <c r="D1171" s="2152" t="s">
        <v>5351</v>
      </c>
      <c r="E1171" s="2194" t="s">
        <v>5352</v>
      </c>
      <c r="F1171" s="2152" t="s">
        <v>2278</v>
      </c>
      <c r="G1171" s="2389">
        <f>G1163</f>
        <v>0</v>
      </c>
      <c r="H1171" s="2264">
        <v>0</v>
      </c>
      <c r="I1171" s="2264"/>
      <c r="J1171" s="2264" t="s">
        <v>6312</v>
      </c>
      <c r="K1171" s="2264">
        <v>0</v>
      </c>
      <c r="L1171" s="2264">
        <f>H1171*$G1171</f>
        <v>0</v>
      </c>
      <c r="M1171" s="2264">
        <f>I1171*$G1171</f>
        <v>0</v>
      </c>
      <c r="N1171" s="2264">
        <v>0</v>
      </c>
      <c r="O1171" s="2264">
        <f>K1171*$G1171</f>
        <v>0</v>
      </c>
      <c r="P1171" s="2389"/>
      <c r="Q1171" s="2266"/>
      <c r="R1171" s="2266"/>
      <c r="S1171" s="2266"/>
    </row>
    <row r="1172" spans="1:20" s="2105" customFormat="1" outlineLevel="1">
      <c r="A1172" s="2182" t="str">
        <f>IF(G1172&lt;&gt;0,1,"")</f>
        <v/>
      </c>
      <c r="B1172" s="2252" t="s">
        <v>1437</v>
      </c>
      <c r="C1172" s="2258"/>
      <c r="D1172" s="2152" t="s">
        <v>5346</v>
      </c>
      <c r="E1172" s="2194" t="s">
        <v>5347</v>
      </c>
      <c r="F1172" s="2152" t="s">
        <v>2532</v>
      </c>
      <c r="G1172" s="2269">
        <f>G1160*$H$3</f>
        <v>0</v>
      </c>
      <c r="H1172" s="2264">
        <v>0</v>
      </c>
      <c r="I1172" s="2264"/>
      <c r="J1172" s="2264">
        <v>8070.7000000000007</v>
      </c>
      <c r="K1172" s="2264">
        <v>2044.9974999999999</v>
      </c>
      <c r="L1172" s="2264">
        <f>H1172*G1172</f>
        <v>0</v>
      </c>
      <c r="M1172" s="2264">
        <f>I1172*G1172</f>
        <v>0</v>
      </c>
      <c r="N1172" s="2264">
        <f>J1172*G1172</f>
        <v>0</v>
      </c>
      <c r="O1172" s="2264">
        <f>K1172*G1172</f>
        <v>0</v>
      </c>
      <c r="P1172" s="2389"/>
      <c r="Q1172" s="2266"/>
      <c r="R1172" s="2266"/>
      <c r="S1172" s="2266"/>
    </row>
    <row r="1173" spans="1:20" s="2105" customFormat="1" outlineLevel="1">
      <c r="A1173" s="2182" t="str">
        <f>IF(G1173&lt;&gt;0,1,"")</f>
        <v/>
      </c>
      <c r="B1173" s="2261"/>
      <c r="C1173" s="2258">
        <f>IF(G1173&gt;0,C1160+1,C1160)</f>
        <v>0</v>
      </c>
      <c r="D1173" s="2259"/>
      <c r="E1173" s="2262" t="s">
        <v>6222</v>
      </c>
      <c r="F1173" s="2258" t="s">
        <v>2385</v>
      </c>
      <c r="G1173" s="2263">
        <f>G1110</f>
        <v>0</v>
      </c>
      <c r="H1173" s="2264"/>
      <c r="I1173" s="2264"/>
      <c r="J1173" s="2264"/>
      <c r="K1173" s="2264"/>
      <c r="L1173" s="2264">
        <f t="shared" ref="L1173:L1178" si="191">H1173*G1173</f>
        <v>0</v>
      </c>
      <c r="M1173" s="2264">
        <f t="shared" ref="M1173:M1178" si="192">I1173*G1173</f>
        <v>0</v>
      </c>
      <c r="N1173" s="2264">
        <f t="shared" ref="N1173:N1178" si="193">J1173*G1173</f>
        <v>0</v>
      </c>
      <c r="O1173" s="2264">
        <f t="shared" ref="O1173:O1178" si="194">K1173*G1173</f>
        <v>0</v>
      </c>
      <c r="P1173" s="2265"/>
      <c r="Q1173" s="2266"/>
      <c r="R1173" s="2266"/>
      <c r="S1173" s="2266"/>
    </row>
    <row r="1174" spans="1:20" s="2105" customFormat="1" ht="14.4" outlineLevel="1">
      <c r="A1174" s="2182" t="str">
        <f>A1173</f>
        <v/>
      </c>
      <c r="B1174" s="2261"/>
      <c r="C1174" s="2258"/>
      <c r="D1174" s="2259"/>
      <c r="E1174" s="2267" t="s">
        <v>6133</v>
      </c>
      <c r="F1174" s="2268"/>
      <c r="G1174" s="2269"/>
      <c r="H1174" s="2264"/>
      <c r="I1174" s="2264"/>
      <c r="J1174" s="2264"/>
      <c r="K1174" s="2264"/>
      <c r="L1174" s="2264">
        <f t="shared" si="191"/>
        <v>0</v>
      </c>
      <c r="M1174" s="2264">
        <f t="shared" si="192"/>
        <v>0</v>
      </c>
      <c r="N1174" s="2264">
        <f t="shared" si="193"/>
        <v>0</v>
      </c>
      <c r="O1174" s="2264">
        <f t="shared" si="194"/>
        <v>0</v>
      </c>
      <c r="P1174" s="2265"/>
      <c r="Q1174" s="2266"/>
      <c r="R1174" s="2266"/>
      <c r="S1174" s="2266"/>
    </row>
    <row r="1175" spans="1:20" s="2105" customFormat="1" outlineLevel="1">
      <c r="A1175" s="2182" t="str">
        <f>IF(G1175&lt;&gt;0,1,"")</f>
        <v/>
      </c>
      <c r="B1175" s="2261" t="s">
        <v>653</v>
      </c>
      <c r="C1175" s="2268"/>
      <c r="D1175" s="2152">
        <v>0</v>
      </c>
      <c r="E1175" s="2194" t="s">
        <v>5289</v>
      </c>
      <c r="F1175" s="2152" t="s">
        <v>2248</v>
      </c>
      <c r="G1175" s="2270">
        <f>+G1178*296</f>
        <v>0</v>
      </c>
      <c r="H1175" s="2264">
        <v>1740</v>
      </c>
      <c r="I1175" s="2264"/>
      <c r="J1175" s="2264">
        <v>0</v>
      </c>
      <c r="K1175" s="2264">
        <v>0</v>
      </c>
      <c r="L1175" s="2264">
        <f t="shared" si="191"/>
        <v>0</v>
      </c>
      <c r="M1175" s="2264">
        <f t="shared" si="192"/>
        <v>0</v>
      </c>
      <c r="N1175" s="2264">
        <f t="shared" si="193"/>
        <v>0</v>
      </c>
      <c r="O1175" s="2264">
        <f t="shared" si="194"/>
        <v>0</v>
      </c>
      <c r="P1175" s="2265"/>
      <c r="Q1175" s="2266"/>
      <c r="R1175" s="2266"/>
      <c r="S1175" s="2266"/>
    </row>
    <row r="1176" spans="1:20" s="2105" customFormat="1" outlineLevel="1">
      <c r="A1176" s="2182" t="str">
        <f>IF(G1176&lt;&gt;0,1,"")</f>
        <v/>
      </c>
      <c r="B1176" s="2261" t="s">
        <v>752</v>
      </c>
      <c r="C1176" s="2258"/>
      <c r="D1176" s="2152">
        <v>0</v>
      </c>
      <c r="E1176" s="2194" t="s">
        <v>3004</v>
      </c>
      <c r="F1176" s="2152" t="s">
        <v>856</v>
      </c>
      <c r="G1176" s="2270">
        <f>G1178*0.475</f>
        <v>0</v>
      </c>
      <c r="H1176" s="2264">
        <v>512000</v>
      </c>
      <c r="I1176" s="2264"/>
      <c r="J1176" s="2264">
        <v>0</v>
      </c>
      <c r="K1176" s="2264">
        <v>0</v>
      </c>
      <c r="L1176" s="2264">
        <f t="shared" si="191"/>
        <v>0</v>
      </c>
      <c r="M1176" s="2264">
        <f t="shared" si="192"/>
        <v>0</v>
      </c>
      <c r="N1176" s="2264">
        <f t="shared" si="193"/>
        <v>0</v>
      </c>
      <c r="O1176" s="2264">
        <f t="shared" si="194"/>
        <v>0</v>
      </c>
      <c r="P1176" s="2265"/>
      <c r="Q1176" s="2266"/>
      <c r="R1176" s="2266"/>
      <c r="S1176" s="2266"/>
    </row>
    <row r="1177" spans="1:20" s="2105" customFormat="1" outlineLevel="1">
      <c r="A1177" s="2182" t="str">
        <f>IF(G1177&lt;&gt;0,1,"")</f>
        <v/>
      </c>
      <c r="B1177" s="2261" t="s">
        <v>216</v>
      </c>
      <c r="C1177" s="2258"/>
      <c r="D1177" s="2152">
        <v>0</v>
      </c>
      <c r="E1177" s="2194" t="s">
        <v>3000</v>
      </c>
      <c r="F1177" s="2152" t="s">
        <v>856</v>
      </c>
      <c r="G1177" s="2270">
        <f>G1178*0.881</f>
        <v>0</v>
      </c>
      <c r="H1177" s="2264">
        <v>335000</v>
      </c>
      <c r="I1177" s="2264"/>
      <c r="J1177" s="2264">
        <v>0</v>
      </c>
      <c r="K1177" s="2264">
        <v>0</v>
      </c>
      <c r="L1177" s="2264">
        <f t="shared" si="191"/>
        <v>0</v>
      </c>
      <c r="M1177" s="2264">
        <f t="shared" si="192"/>
        <v>0</v>
      </c>
      <c r="N1177" s="2264">
        <f t="shared" si="193"/>
        <v>0</v>
      </c>
      <c r="O1177" s="2264">
        <f t="shared" si="194"/>
        <v>0</v>
      </c>
      <c r="P1177" s="2265"/>
      <c r="Q1177" s="2266"/>
      <c r="R1177" s="2266"/>
      <c r="S1177" s="2266"/>
    </row>
    <row r="1178" spans="1:20" s="2105" customFormat="1" outlineLevel="1">
      <c r="A1178" s="2182" t="str">
        <f>IF(G1178&lt;&gt;0,1,"")</f>
        <v/>
      </c>
      <c r="B1178" s="2261" t="s">
        <v>654</v>
      </c>
      <c r="C1178" s="2268"/>
      <c r="D1178" s="2152" t="s">
        <v>5471</v>
      </c>
      <c r="E1178" s="2194" t="s">
        <v>5474</v>
      </c>
      <c r="F1178" s="2152" t="s">
        <v>856</v>
      </c>
      <c r="G1178" s="2270">
        <f>G1173*(0.4*3*1-2*3.14*0.15^2*0.4)</f>
        <v>0</v>
      </c>
      <c r="H1178" s="2264"/>
      <c r="I1178" s="2264"/>
      <c r="J1178" s="2264">
        <v>466397.5</v>
      </c>
      <c r="K1178" s="2264">
        <v>0</v>
      </c>
      <c r="L1178" s="2264">
        <f t="shared" si="191"/>
        <v>0</v>
      </c>
      <c r="M1178" s="2264">
        <f t="shared" si="192"/>
        <v>0</v>
      </c>
      <c r="N1178" s="2264">
        <f t="shared" si="193"/>
        <v>0</v>
      </c>
      <c r="O1178" s="2264">
        <f t="shared" si="194"/>
        <v>0</v>
      </c>
      <c r="P1178" s="2265"/>
      <c r="Q1178" s="2272">
        <f>1.025*361</f>
        <v>370.02499999999998</v>
      </c>
      <c r="R1178" s="2272">
        <f>1.025*0.45</f>
        <v>0.46124999999999999</v>
      </c>
      <c r="S1178" s="2272">
        <f>1.025*0.866</f>
        <v>0.88764999999999994</v>
      </c>
      <c r="T1178" s="2273"/>
    </row>
    <row r="1179" spans="1:20" s="2105" customFormat="1" outlineLevel="1">
      <c r="A1179" s="2182" t="str">
        <f>IF(G1179&lt;&gt;0,1,"")</f>
        <v/>
      </c>
      <c r="B1179" s="2261"/>
      <c r="C1179" s="2258">
        <f>IF(G1179&gt;0,C1173+1,C1173)</f>
        <v>0</v>
      </c>
      <c r="D1179" s="2259"/>
      <c r="E1179" s="2376" t="s">
        <v>6209</v>
      </c>
      <c r="F1179" s="2258" t="s">
        <v>2385</v>
      </c>
      <c r="G1179" s="2263">
        <f>G1105</f>
        <v>0</v>
      </c>
      <c r="H1179" s="2264"/>
      <c r="I1179" s="2264"/>
      <c r="J1179" s="2264"/>
      <c r="K1179" s="2264"/>
      <c r="L1179" s="2264">
        <f>H1179*G1179</f>
        <v>0</v>
      </c>
      <c r="M1179" s="2264">
        <f>I1179*G1179</f>
        <v>0</v>
      </c>
      <c r="N1179" s="2264">
        <f>J1179*G1179</f>
        <v>0</v>
      </c>
      <c r="O1179" s="2264">
        <f>K1179*G1179</f>
        <v>0</v>
      </c>
      <c r="P1179" s="2389"/>
      <c r="Q1179" s="2266"/>
      <c r="R1179" s="2266"/>
      <c r="S1179" s="2266"/>
    </row>
    <row r="1180" spans="1:20" s="2105" customFormat="1" ht="14.4" outlineLevel="1">
      <c r="A1180" s="2182" t="str">
        <f>A1179</f>
        <v/>
      </c>
      <c r="B1180" s="2261"/>
      <c r="C1180" s="2258"/>
      <c r="D1180" s="2259"/>
      <c r="E1180" s="2267" t="s">
        <v>6133</v>
      </c>
      <c r="F1180" s="2268"/>
      <c r="G1180" s="2269"/>
      <c r="H1180" s="2264"/>
      <c r="I1180" s="2264"/>
      <c r="J1180" s="2264"/>
      <c r="K1180" s="2264"/>
      <c r="L1180" s="2264">
        <f>H1180*G1180</f>
        <v>0</v>
      </c>
      <c r="M1180" s="2264">
        <f>I1180*G1180</f>
        <v>0</v>
      </c>
      <c r="N1180" s="2264">
        <f>J1180*G1180</f>
        <v>0</v>
      </c>
      <c r="O1180" s="2264">
        <f>K1180*G1180</f>
        <v>0</v>
      </c>
      <c r="P1180" s="2389"/>
      <c r="Q1180" s="2266"/>
      <c r="R1180" s="2266"/>
      <c r="S1180" s="2266"/>
    </row>
    <row r="1181" spans="1:20" s="2105" customFormat="1" outlineLevel="1">
      <c r="A1181" s="2182" t="str">
        <f>IF(G1181&lt;&gt;0,1,"")</f>
        <v/>
      </c>
      <c r="B1181" s="2261" t="s">
        <v>5645</v>
      </c>
      <c r="C1181" s="2268"/>
      <c r="D1181" s="2152" t="s">
        <v>5633</v>
      </c>
      <c r="E1181" s="2194" t="s">
        <v>5646</v>
      </c>
      <c r="F1181" s="2152" t="s">
        <v>2555</v>
      </c>
      <c r="G1181" s="2269">
        <f>+G1105</f>
        <v>0</v>
      </c>
      <c r="H1181" s="2264">
        <v>5000000</v>
      </c>
      <c r="I1181" s="2264"/>
      <c r="J1181" s="2264">
        <v>690091</v>
      </c>
      <c r="K1181" s="2264">
        <v>97369</v>
      </c>
      <c r="L1181" s="2264">
        <f>H1181*G1181</f>
        <v>0</v>
      </c>
      <c r="M1181" s="2264">
        <f>I1181*G1181</f>
        <v>0</v>
      </c>
      <c r="N1181" s="2264">
        <f>J1181*G1181</f>
        <v>0</v>
      </c>
      <c r="O1181" s="2264">
        <f>K1181*G1181</f>
        <v>0</v>
      </c>
      <c r="P1181" s="2389"/>
      <c r="Q1181" s="2266"/>
      <c r="R1181" s="2266"/>
      <c r="S1181" s="2266"/>
    </row>
    <row r="1182" spans="1:20" s="2105" customFormat="1" outlineLevel="1">
      <c r="A1182" s="2182" t="str">
        <f>IF(G1182&lt;&gt;0,1,"")</f>
        <v/>
      </c>
      <c r="B1182" s="2261" t="s">
        <v>880</v>
      </c>
      <c r="C1182" s="2258"/>
      <c r="D1182" s="2152">
        <v>0</v>
      </c>
      <c r="E1182" s="2194" t="s">
        <v>5799</v>
      </c>
      <c r="F1182" s="2152" t="s">
        <v>2555</v>
      </c>
      <c r="G1182" s="2263">
        <f>G1179*1</f>
        <v>0</v>
      </c>
      <c r="H1182" s="2264">
        <v>284000</v>
      </c>
      <c r="I1182" s="2264"/>
      <c r="J1182" s="2264">
        <v>5404</v>
      </c>
      <c r="K1182" s="2264">
        <v>0</v>
      </c>
      <c r="L1182" s="2264">
        <f>H1182*G1182</f>
        <v>0</v>
      </c>
      <c r="M1182" s="2264">
        <f>I1182*G1182</f>
        <v>0</v>
      </c>
      <c r="N1182" s="2264">
        <f>J1182*G1182</f>
        <v>0</v>
      </c>
      <c r="O1182" s="2264">
        <f>K1182*G1182</f>
        <v>0</v>
      </c>
      <c r="P1182" s="2389"/>
      <c r="Q1182" s="2266"/>
      <c r="R1182" s="2266"/>
      <c r="S1182" s="2266"/>
    </row>
    <row r="1183" spans="1:20" s="2105" customFormat="1" outlineLevel="1">
      <c r="A1183" s="2182" t="str">
        <f>IF(G1183&lt;&gt;0,1,"")</f>
        <v/>
      </c>
      <c r="B1183" s="2261" t="s">
        <v>289</v>
      </c>
      <c r="C1183" s="2268"/>
      <c r="D1183" s="2152">
        <v>0</v>
      </c>
      <c r="E1183" s="2194" t="s">
        <v>5712</v>
      </c>
      <c r="F1183" s="2152" t="s">
        <v>2555</v>
      </c>
      <c r="G1183" s="2269">
        <f>G1179</f>
        <v>0</v>
      </c>
      <c r="H1183" s="2264">
        <v>300000</v>
      </c>
      <c r="I1183" s="2264"/>
      <c r="J1183" s="2264">
        <v>0</v>
      </c>
      <c r="K1183" s="2264">
        <v>0</v>
      </c>
      <c r="L1183" s="2264">
        <f>H1183*G1183</f>
        <v>0</v>
      </c>
      <c r="M1183" s="2264">
        <f>I1183*G1183</f>
        <v>0</v>
      </c>
      <c r="N1183" s="2264">
        <f>J1183*G1183</f>
        <v>0</v>
      </c>
      <c r="O1183" s="2264">
        <f>K1183*G1183</f>
        <v>0</v>
      </c>
      <c r="P1183" s="2389"/>
      <c r="Q1183" s="2266"/>
      <c r="R1183" s="2266"/>
      <c r="S1183" s="2266"/>
    </row>
    <row r="1184" spans="1:20" s="2105" customFormat="1" outlineLevel="1">
      <c r="A1184" s="2182" t="str">
        <f>IF(G1184&lt;&gt;0,1,"")</f>
        <v/>
      </c>
      <c r="B1184" s="2261"/>
      <c r="C1184" s="2258">
        <f>IF(G1184&gt;0,C1179+1,C1179)</f>
        <v>0</v>
      </c>
      <c r="D1184" s="2259"/>
      <c r="E1184" s="2260" t="s">
        <v>3727</v>
      </c>
      <c r="F1184" s="2258" t="s">
        <v>2385</v>
      </c>
      <c r="G1184" s="2263">
        <f>G1105</f>
        <v>0</v>
      </c>
      <c r="H1184" s="2264"/>
      <c r="I1184" s="2264"/>
      <c r="J1184" s="2264"/>
      <c r="K1184" s="2264"/>
      <c r="L1184" s="2264"/>
      <c r="M1184" s="2264"/>
      <c r="N1184" s="2264"/>
      <c r="O1184" s="2264"/>
      <c r="P1184" s="2389"/>
      <c r="Q1184" s="2266"/>
      <c r="R1184" s="2266"/>
      <c r="S1184" s="2266"/>
    </row>
    <row r="1185" spans="1:19" s="2105" customFormat="1" ht="14.4" outlineLevel="1">
      <c r="A1185" s="2182" t="str">
        <f>A1184</f>
        <v/>
      </c>
      <c r="B1185" s="2261"/>
      <c r="C1185" s="2258"/>
      <c r="D1185" s="2259"/>
      <c r="E1185" s="2274" t="s">
        <v>6133</v>
      </c>
      <c r="F1185" s="2258"/>
      <c r="G1185" s="2263"/>
      <c r="H1185" s="2264"/>
      <c r="I1185" s="2264"/>
      <c r="J1185" s="2264"/>
      <c r="K1185" s="2264"/>
      <c r="L1185" s="2264"/>
      <c r="M1185" s="2264"/>
      <c r="N1185" s="2264"/>
      <c r="O1185" s="2264"/>
      <c r="P1185" s="2389"/>
      <c r="Q1185" s="2266"/>
      <c r="R1185" s="2266"/>
      <c r="S1185" s="2266"/>
    </row>
    <row r="1186" spans="1:19" s="2105" customFormat="1" outlineLevel="1">
      <c r="A1186" s="2182" t="str">
        <f>IF(G1186&lt;&gt;0,1,"")</f>
        <v/>
      </c>
      <c r="B1186" s="2252" t="s">
        <v>697</v>
      </c>
      <c r="C1186" s="2268"/>
      <c r="D1186" s="2152">
        <v>0</v>
      </c>
      <c r="E1186" s="2194" t="s">
        <v>5087</v>
      </c>
      <c r="F1186" s="2152" t="s">
        <v>2532</v>
      </c>
      <c r="G1186" s="2269">
        <f>G1184*(7)*3</f>
        <v>0</v>
      </c>
      <c r="H1186" s="2264">
        <v>50996</v>
      </c>
      <c r="I1186" s="2264"/>
      <c r="J1186" s="2264">
        <v>0</v>
      </c>
      <c r="K1186" s="2264">
        <v>0</v>
      </c>
      <c r="L1186" s="2264">
        <f>H1186*G1186</f>
        <v>0</v>
      </c>
      <c r="M1186" s="2264">
        <f>I1186*G1186</f>
        <v>0</v>
      </c>
      <c r="N1186" s="2264">
        <f>J1186*G1186</f>
        <v>0</v>
      </c>
      <c r="O1186" s="2264">
        <f>K1186*G1186</f>
        <v>0</v>
      </c>
      <c r="P1186" s="2389"/>
      <c r="Q1186" s="2266"/>
      <c r="R1186" s="2266"/>
      <c r="S1186" s="2266"/>
    </row>
    <row r="1187" spans="1:19" s="2105" customFormat="1" outlineLevel="1">
      <c r="A1187" s="2182" t="str">
        <f t="shared" ref="A1187:A1193" si="195">IF(G1187&lt;&gt;0,1,"")</f>
        <v/>
      </c>
      <c r="B1187" s="2357" t="s">
        <v>1479</v>
      </c>
      <c r="C1187" s="2268"/>
      <c r="D1187" s="2152">
        <v>0</v>
      </c>
      <c r="E1187" s="2194" t="s">
        <v>3791</v>
      </c>
      <c r="F1187" s="2152" t="s">
        <v>2555</v>
      </c>
      <c r="G1187" s="2269">
        <f>+G1184*3</f>
        <v>0</v>
      </c>
      <c r="H1187" s="2264">
        <v>46000</v>
      </c>
      <c r="I1187" s="2264"/>
      <c r="J1187" s="2264">
        <v>0</v>
      </c>
      <c r="K1187" s="2264">
        <v>0</v>
      </c>
      <c r="L1187" s="2264">
        <f t="shared" ref="L1187:L1193" si="196">H1187*G1187</f>
        <v>0</v>
      </c>
      <c r="M1187" s="2264">
        <f t="shared" ref="M1187:M1193" si="197">I1187*G1187</f>
        <v>0</v>
      </c>
      <c r="N1187" s="2264">
        <f t="shared" ref="N1187:N1193" si="198">J1187*G1187</f>
        <v>0</v>
      </c>
      <c r="O1187" s="2264">
        <f t="shared" ref="O1187:O1193" si="199">K1187*G1187</f>
        <v>0</v>
      </c>
      <c r="P1187" s="2389"/>
      <c r="Q1187" s="2266"/>
      <c r="R1187" s="2266"/>
      <c r="S1187" s="2266"/>
    </row>
    <row r="1188" spans="1:19" s="2105" customFormat="1" outlineLevel="1">
      <c r="A1188" s="2182" t="str">
        <f>IF(G1188&lt;&gt;0,1,"")</f>
        <v/>
      </c>
      <c r="B1188" s="2357" t="s">
        <v>1477</v>
      </c>
      <c r="C1188" s="2268"/>
      <c r="D1188" s="2152">
        <v>0</v>
      </c>
      <c r="E1188" s="2194" t="s">
        <v>6346</v>
      </c>
      <c r="F1188" s="2152" t="s">
        <v>2555</v>
      </c>
      <c r="G1188" s="2269">
        <f>G1184*3</f>
        <v>0</v>
      </c>
      <c r="H1188" s="2264">
        <v>77000</v>
      </c>
      <c r="I1188" s="2264"/>
      <c r="J1188" s="2264">
        <v>0</v>
      </c>
      <c r="K1188" s="2264">
        <v>0</v>
      </c>
      <c r="L1188" s="2264">
        <f>H1188*G1188</f>
        <v>0</v>
      </c>
      <c r="M1188" s="2264">
        <f>I1188*G1188</f>
        <v>0</v>
      </c>
      <c r="N1188" s="2264">
        <f>J1188*G1188</f>
        <v>0</v>
      </c>
      <c r="O1188" s="2264">
        <f>K1188*G1188</f>
        <v>0</v>
      </c>
      <c r="P1188" s="2389"/>
      <c r="Q1188" s="2266"/>
      <c r="R1188" s="2266"/>
      <c r="S1188" s="2266"/>
    </row>
    <row r="1189" spans="1:19" s="2105" customFormat="1" outlineLevel="1">
      <c r="A1189" s="2182" t="str">
        <f>IF(G1189&lt;&gt;0,1,"")</f>
        <v/>
      </c>
      <c r="B1189" s="2357" t="s">
        <v>5699</v>
      </c>
      <c r="C1189" s="2268"/>
      <c r="D1189" s="2152">
        <v>0</v>
      </c>
      <c r="E1189" s="2194" t="s">
        <v>6347</v>
      </c>
      <c r="F1189" s="2152" t="s">
        <v>2555</v>
      </c>
      <c r="G1189" s="2269">
        <f>+G1184*3</f>
        <v>0</v>
      </c>
      <c r="H1189" s="2264">
        <v>218200</v>
      </c>
      <c r="I1189" s="2264"/>
      <c r="J1189" s="2264">
        <v>0</v>
      </c>
      <c r="K1189" s="2264">
        <v>0</v>
      </c>
      <c r="L1189" s="2264">
        <f>H1189*G1189</f>
        <v>0</v>
      </c>
      <c r="M1189" s="2264">
        <f>I1189*G1189</f>
        <v>0</v>
      </c>
      <c r="N1189" s="2264">
        <f>J1189*G1189</f>
        <v>0</v>
      </c>
      <c r="O1189" s="2264">
        <f>K1189*G1189</f>
        <v>0</v>
      </c>
      <c r="P1189" s="2389"/>
      <c r="Q1189" s="2266"/>
      <c r="R1189" s="2266"/>
      <c r="S1189" s="2266"/>
    </row>
    <row r="1190" spans="1:19" s="2105" customFormat="1" outlineLevel="1">
      <c r="A1190" s="2182" t="str">
        <f>IF(G1190&lt;&gt;0,1,"")</f>
        <v/>
      </c>
      <c r="B1190" s="2357" t="s">
        <v>5705</v>
      </c>
      <c r="C1190" s="2268"/>
      <c r="D1190" s="2152">
        <v>0</v>
      </c>
      <c r="E1190" s="2194" t="s">
        <v>6348</v>
      </c>
      <c r="F1190" s="2152" t="s">
        <v>2555</v>
      </c>
      <c r="G1190" s="2269">
        <f>+G1184*3</f>
        <v>0</v>
      </c>
      <c r="H1190" s="2264">
        <v>39100</v>
      </c>
      <c r="I1190" s="2264"/>
      <c r="J1190" s="2264">
        <v>0</v>
      </c>
      <c r="K1190" s="2264">
        <v>0</v>
      </c>
      <c r="L1190" s="2264">
        <f>H1190*G1190</f>
        <v>0</v>
      </c>
      <c r="M1190" s="2264">
        <f>I1190*G1190</f>
        <v>0</v>
      </c>
      <c r="N1190" s="2264">
        <f>J1190*G1190</f>
        <v>0</v>
      </c>
      <c r="O1190" s="2264">
        <f>K1190*G1190</f>
        <v>0</v>
      </c>
      <c r="P1190" s="2389"/>
      <c r="Q1190" s="2266"/>
      <c r="R1190" s="2266"/>
      <c r="S1190" s="2266"/>
    </row>
    <row r="1191" spans="1:19" s="2105" customFormat="1" outlineLevel="1">
      <c r="A1191" s="2182" t="str">
        <f t="shared" si="195"/>
        <v/>
      </c>
      <c r="B1191" s="2357" t="s">
        <v>5707</v>
      </c>
      <c r="C1191" s="2268"/>
      <c r="D1191" s="2152">
        <v>0</v>
      </c>
      <c r="E1191" s="2194" t="s">
        <v>6349</v>
      </c>
      <c r="F1191" s="2152" t="s">
        <v>2555</v>
      </c>
      <c r="G1191" s="2269">
        <f>+G1184*3</f>
        <v>0</v>
      </c>
      <c r="H1191" s="2264">
        <v>56700</v>
      </c>
      <c r="I1191" s="2264"/>
      <c r="J1191" s="2264">
        <v>0</v>
      </c>
      <c r="K1191" s="2264">
        <v>0</v>
      </c>
      <c r="L1191" s="2264">
        <f t="shared" si="196"/>
        <v>0</v>
      </c>
      <c r="M1191" s="2264">
        <f t="shared" si="197"/>
        <v>0</v>
      </c>
      <c r="N1191" s="2264">
        <f t="shared" si="198"/>
        <v>0</v>
      </c>
      <c r="O1191" s="2264">
        <f t="shared" si="199"/>
        <v>0</v>
      </c>
      <c r="P1191" s="2389"/>
      <c r="Q1191" s="2266"/>
      <c r="R1191" s="2266"/>
      <c r="S1191" s="2266"/>
    </row>
    <row r="1192" spans="1:19" s="2105" customFormat="1" outlineLevel="1">
      <c r="A1192" s="2182" t="str">
        <f t="shared" si="195"/>
        <v/>
      </c>
      <c r="B1192" s="2252" t="s">
        <v>696</v>
      </c>
      <c r="C1192" s="2389"/>
      <c r="D1192" s="2152">
        <v>0</v>
      </c>
      <c r="E1192" s="2194" t="s">
        <v>2936</v>
      </c>
      <c r="F1192" s="2152" t="s">
        <v>2555</v>
      </c>
      <c r="G1192" s="2269">
        <f>+G1184*6</f>
        <v>0</v>
      </c>
      <c r="H1192" s="2264">
        <v>205000</v>
      </c>
      <c r="I1192" s="2264"/>
      <c r="J1192" s="2264">
        <v>0</v>
      </c>
      <c r="K1192" s="2264">
        <v>0</v>
      </c>
      <c r="L1192" s="2264">
        <f t="shared" si="196"/>
        <v>0</v>
      </c>
      <c r="M1192" s="2264">
        <f t="shared" si="197"/>
        <v>0</v>
      </c>
      <c r="N1192" s="2264">
        <f t="shared" si="198"/>
        <v>0</v>
      </c>
      <c r="O1192" s="2264">
        <f t="shared" si="199"/>
        <v>0</v>
      </c>
      <c r="P1192" s="2389"/>
      <c r="Q1192" s="2266"/>
      <c r="R1192" s="2266"/>
      <c r="S1192" s="2266"/>
    </row>
    <row r="1193" spans="1:19" s="2105" customFormat="1" outlineLevel="1">
      <c r="A1193" s="2182" t="str">
        <f t="shared" si="195"/>
        <v/>
      </c>
      <c r="B1193" s="2252" t="s">
        <v>1265</v>
      </c>
      <c r="C1193" s="2268"/>
      <c r="D1193" s="2152">
        <v>0</v>
      </c>
      <c r="E1193" s="2194" t="s">
        <v>2823</v>
      </c>
      <c r="F1193" s="2152" t="s">
        <v>2555</v>
      </c>
      <c r="G1193" s="2269">
        <f>G1192</f>
        <v>0</v>
      </c>
      <c r="H1193" s="2264">
        <v>65000</v>
      </c>
      <c r="I1193" s="2264"/>
      <c r="J1193" s="2264">
        <v>0</v>
      </c>
      <c r="K1193" s="2264">
        <v>0</v>
      </c>
      <c r="L1193" s="2264">
        <f t="shared" si="196"/>
        <v>0</v>
      </c>
      <c r="M1193" s="2264">
        <f t="shared" si="197"/>
        <v>0</v>
      </c>
      <c r="N1193" s="2264">
        <f t="shared" si="198"/>
        <v>0</v>
      </c>
      <c r="O1193" s="2264">
        <f t="shared" si="199"/>
        <v>0</v>
      </c>
      <c r="P1193" s="2389"/>
      <c r="Q1193" s="2266"/>
      <c r="R1193" s="2266"/>
      <c r="S1193" s="2266"/>
    </row>
    <row r="1194" spans="1:19" s="2105" customFormat="1" outlineLevel="1">
      <c r="A1194" s="2182" t="str">
        <f>IF(G1194&lt;&gt;0,1,"")</f>
        <v/>
      </c>
      <c r="B1194" s="2252" t="s">
        <v>1565</v>
      </c>
      <c r="C1194" s="2268"/>
      <c r="D1194" s="2152" t="s">
        <v>5560</v>
      </c>
      <c r="E1194" s="2194" t="s">
        <v>3271</v>
      </c>
      <c r="F1194" s="2152" t="s">
        <v>2439</v>
      </c>
      <c r="G1194" s="2269">
        <f>G1193</f>
        <v>0</v>
      </c>
      <c r="H1194" s="2264"/>
      <c r="I1194" s="2264"/>
      <c r="J1194" s="2264">
        <v>58277.49</v>
      </c>
      <c r="K1194" s="2264"/>
      <c r="L1194" s="2264">
        <f>H1194*G1194</f>
        <v>0</v>
      </c>
      <c r="M1194" s="2264">
        <f>I1194*G1194</f>
        <v>0</v>
      </c>
      <c r="N1194" s="2264">
        <f>J1194*G1194</f>
        <v>0</v>
      </c>
      <c r="O1194" s="2264">
        <f>K1194*G1194</f>
        <v>0</v>
      </c>
      <c r="P1194" s="2389"/>
      <c r="Q1194" s="2266"/>
      <c r="R1194" s="2266"/>
      <c r="S1194" s="2266"/>
    </row>
    <row r="1195" spans="1:19" s="2105" customFormat="1" outlineLevel="1">
      <c r="A1195" s="2182" t="str">
        <f>IF(G1195&lt;&gt;0,1,"")</f>
        <v/>
      </c>
      <c r="B1195" s="2252" t="s">
        <v>1525</v>
      </c>
      <c r="C1195" s="2268"/>
      <c r="D1195" s="2152" t="s">
        <v>5571</v>
      </c>
      <c r="E1195" s="2194" t="s">
        <v>3292</v>
      </c>
      <c r="F1195" s="2152" t="s">
        <v>1823</v>
      </c>
      <c r="G1195" s="2269">
        <f>G1186</f>
        <v>0</v>
      </c>
      <c r="H1195" s="2264"/>
      <c r="I1195" s="2264"/>
      <c r="J1195" s="2264">
        <v>13915</v>
      </c>
      <c r="K1195" s="2264"/>
      <c r="L1195" s="2264">
        <f>H1195*G1195</f>
        <v>0</v>
      </c>
      <c r="M1195" s="2264">
        <f>I1195*G1195</f>
        <v>0</v>
      </c>
      <c r="N1195" s="2264">
        <f>J1195*G1195</f>
        <v>0</v>
      </c>
      <c r="O1195" s="2264">
        <f>K1195*G1195</f>
        <v>0</v>
      </c>
      <c r="P1195" s="2389"/>
      <c r="Q1195" s="2266"/>
      <c r="R1195" s="2266"/>
      <c r="S1195" s="2266"/>
    </row>
    <row r="1196" spans="1:19" s="2105" customFormat="1" outlineLevel="1">
      <c r="A1196" s="2182" t="str">
        <f>IF(G1196&lt;&gt;0,1,"")</f>
        <v/>
      </c>
      <c r="B1196" s="2261"/>
      <c r="C1196" s="2258">
        <f>IF(G1196&gt;0,C1184+1,C1184)</f>
        <v>0</v>
      </c>
      <c r="D1196" s="2259"/>
      <c r="E1196" s="2260" t="s">
        <v>3708</v>
      </c>
      <c r="F1196" s="2258" t="s">
        <v>2385</v>
      </c>
      <c r="G1196" s="2263">
        <f>G1133</f>
        <v>0</v>
      </c>
      <c r="H1196" s="2264"/>
      <c r="I1196" s="2264"/>
      <c r="J1196" s="2264"/>
      <c r="K1196" s="2264"/>
      <c r="L1196" s="2264"/>
      <c r="M1196" s="2264"/>
      <c r="N1196" s="2264"/>
      <c r="O1196" s="2264"/>
      <c r="P1196" s="2265"/>
      <c r="Q1196" s="2266"/>
      <c r="R1196" s="2266"/>
      <c r="S1196" s="2266"/>
    </row>
    <row r="1197" spans="1:19" s="2105" customFormat="1" ht="14.4" outlineLevel="1">
      <c r="A1197" s="2182" t="str">
        <f>A1196</f>
        <v/>
      </c>
      <c r="B1197" s="2261"/>
      <c r="C1197" s="2258"/>
      <c r="D1197" s="2259"/>
      <c r="E1197" s="2274" t="s">
        <v>6133</v>
      </c>
      <c r="F1197" s="2258"/>
      <c r="G1197" s="2263"/>
      <c r="H1197" s="2264"/>
      <c r="I1197" s="2264"/>
      <c r="J1197" s="2264"/>
      <c r="K1197" s="2264"/>
      <c r="L1197" s="2264"/>
      <c r="M1197" s="2264"/>
      <c r="N1197" s="2264"/>
      <c r="O1197" s="2264"/>
      <c r="P1197" s="2265"/>
      <c r="Q1197" s="2266"/>
      <c r="R1197" s="2266"/>
      <c r="S1197" s="2266"/>
    </row>
    <row r="1198" spans="1:19" s="2105" customFormat="1" outlineLevel="1">
      <c r="A1198" s="2182" t="str">
        <f>IF(G1198&lt;&gt;0,1,"")</f>
        <v/>
      </c>
      <c r="B1198" s="2261" t="s">
        <v>1489</v>
      </c>
      <c r="C1198" s="2268"/>
      <c r="D1198" s="2152">
        <v>0</v>
      </c>
      <c r="E1198" s="2194" t="s">
        <v>3532</v>
      </c>
      <c r="F1198" s="2152" t="s">
        <v>1823</v>
      </c>
      <c r="G1198" s="2269">
        <f>G1196*2</f>
        <v>0</v>
      </c>
      <c r="H1198" s="2264">
        <v>63200</v>
      </c>
      <c r="I1198" s="2264"/>
      <c r="J1198" s="2264">
        <v>0</v>
      </c>
      <c r="K1198" s="2264">
        <v>0</v>
      </c>
      <c r="L1198" s="2264">
        <f>H1198*G1198</f>
        <v>0</v>
      </c>
      <c r="M1198" s="2264">
        <f>I1198*G1198</f>
        <v>0</v>
      </c>
      <c r="N1198" s="2264">
        <f>J1198*G1198</f>
        <v>0</v>
      </c>
      <c r="O1198" s="2264">
        <f>K1198*G1198</f>
        <v>0</v>
      </c>
      <c r="P1198" s="2265"/>
      <c r="Q1198" s="2266"/>
      <c r="R1198" s="2266"/>
      <c r="S1198" s="2266"/>
    </row>
    <row r="1199" spans="1:19" s="2105" customFormat="1" outlineLevel="1">
      <c r="A1199" s="2182" t="str">
        <f>IF(G1199&lt;&gt;0,1,"")</f>
        <v/>
      </c>
      <c r="B1199" s="2261" t="s">
        <v>86</v>
      </c>
      <c r="C1199" s="2268"/>
      <c r="D1199" s="2152">
        <v>0</v>
      </c>
      <c r="E1199" s="2194" t="s">
        <v>5797</v>
      </c>
      <c r="F1199" s="2152" t="s">
        <v>2555</v>
      </c>
      <c r="G1199" s="2269">
        <f>G1196</f>
        <v>0</v>
      </c>
      <c r="H1199" s="2264">
        <v>45400</v>
      </c>
      <c r="I1199" s="2264"/>
      <c r="J1199" s="2264">
        <v>0</v>
      </c>
      <c r="K1199" s="2264">
        <v>0</v>
      </c>
      <c r="L1199" s="2264">
        <f>H1199*G1199</f>
        <v>0</v>
      </c>
      <c r="M1199" s="2264">
        <f>I1199*G1199</f>
        <v>0</v>
      </c>
      <c r="N1199" s="2264">
        <f>J1199*G1199</f>
        <v>0</v>
      </c>
      <c r="O1199" s="2264">
        <f>K1199*G1199</f>
        <v>0</v>
      </c>
      <c r="P1199" s="2265"/>
      <c r="Q1199" s="2266"/>
      <c r="R1199" s="2266"/>
      <c r="S1199" s="2266"/>
    </row>
    <row r="1200" spans="1:19" s="2105" customFormat="1" outlineLevel="1">
      <c r="A1200" s="2182" t="str">
        <f>IF(G1200&lt;&gt;0,1,"")</f>
        <v/>
      </c>
      <c r="B1200" s="2261" t="s">
        <v>931</v>
      </c>
      <c r="C1200" s="2268"/>
      <c r="D1200" s="2152">
        <v>0</v>
      </c>
      <c r="E1200" s="2194" t="s">
        <v>3574</v>
      </c>
      <c r="F1200" s="2152" t="s">
        <v>2555</v>
      </c>
      <c r="G1200" s="2269">
        <f>G1196*2</f>
        <v>0</v>
      </c>
      <c r="H1200" s="2264">
        <v>25800</v>
      </c>
      <c r="I1200" s="2264"/>
      <c r="J1200" s="2264">
        <v>0</v>
      </c>
      <c r="K1200" s="2264">
        <v>0</v>
      </c>
      <c r="L1200" s="2264">
        <f>H1200*G1200</f>
        <v>0</v>
      </c>
      <c r="M1200" s="2264">
        <f>I1200*G1200</f>
        <v>0</v>
      </c>
      <c r="N1200" s="2264">
        <f>J1200*G1200</f>
        <v>0</v>
      </c>
      <c r="O1200" s="2264">
        <f>K1200*G1200</f>
        <v>0</v>
      </c>
      <c r="P1200" s="2265"/>
      <c r="Q1200" s="2266"/>
      <c r="R1200" s="2266"/>
      <c r="S1200" s="2266"/>
    </row>
    <row r="1201" spans="1:19" s="2105" customFormat="1" outlineLevel="1">
      <c r="A1201" s="2182" t="str">
        <f>IF(G1201&lt;&gt;0,1,"")</f>
        <v/>
      </c>
      <c r="B1201" s="2261" t="s">
        <v>930</v>
      </c>
      <c r="C1201" s="2268"/>
      <c r="D1201" s="2152">
        <v>0</v>
      </c>
      <c r="E1201" s="2194" t="s">
        <v>3578</v>
      </c>
      <c r="F1201" s="2152" t="s">
        <v>2555</v>
      </c>
      <c r="G1201" s="2269">
        <f>G1200</f>
        <v>0</v>
      </c>
      <c r="H1201" s="2264">
        <v>21500</v>
      </c>
      <c r="I1201" s="2264"/>
      <c r="J1201" s="2264">
        <v>0</v>
      </c>
      <c r="K1201" s="2264">
        <v>0</v>
      </c>
      <c r="L1201" s="2264">
        <f>H1201*G1201</f>
        <v>0</v>
      </c>
      <c r="M1201" s="2264">
        <f>I1201*G1201</f>
        <v>0</v>
      </c>
      <c r="N1201" s="2264">
        <f>J1201*G1201</f>
        <v>0</v>
      </c>
      <c r="O1201" s="2264">
        <f>K1201*G1201</f>
        <v>0</v>
      </c>
      <c r="P1201" s="2265"/>
      <c r="Q1201" s="2266"/>
      <c r="R1201" s="2266"/>
      <c r="S1201" s="2266"/>
    </row>
    <row r="1202" spans="1:19" s="2105" customFormat="1" outlineLevel="1">
      <c r="A1202" s="2182" t="str">
        <f>IF(G1202&lt;&gt;0,1,"")</f>
        <v/>
      </c>
      <c r="B1202" s="2252"/>
      <c r="C1202" s="2258">
        <f>IF(G1202&gt;0,C1196+1,C1196)</f>
        <v>0</v>
      </c>
      <c r="D1202" s="2259"/>
      <c r="E1202" s="2260" t="s">
        <v>6223</v>
      </c>
      <c r="F1202" s="2258" t="s">
        <v>2385</v>
      </c>
      <c r="G1202" s="2269">
        <f>+G1105</f>
        <v>0</v>
      </c>
      <c r="H1202" s="2264"/>
      <c r="I1202" s="2264"/>
      <c r="J1202" s="2264"/>
      <c r="K1202" s="2264"/>
      <c r="L1202" s="2264"/>
      <c r="M1202" s="2264"/>
      <c r="N1202" s="2264"/>
      <c r="O1202" s="2264"/>
      <c r="P1202" s="2389"/>
      <c r="Q1202" s="2266"/>
      <c r="R1202" s="2266"/>
      <c r="S1202" s="2266"/>
    </row>
    <row r="1203" spans="1:19" s="2105" customFormat="1" ht="14.4" outlineLevel="1">
      <c r="A1203" s="2182" t="str">
        <f>A1202</f>
        <v/>
      </c>
      <c r="B1203" s="2252"/>
      <c r="C1203" s="2258"/>
      <c r="D1203" s="2259"/>
      <c r="E1203" s="2274" t="s">
        <v>6133</v>
      </c>
      <c r="F1203" s="2258"/>
      <c r="G1203" s="2269"/>
      <c r="H1203" s="2264"/>
      <c r="I1203" s="2264"/>
      <c r="J1203" s="2264"/>
      <c r="K1203" s="2264"/>
      <c r="L1203" s="2264"/>
      <c r="M1203" s="2264"/>
      <c r="N1203" s="2264"/>
      <c r="O1203" s="2264"/>
      <c r="P1203" s="2389"/>
      <c r="Q1203" s="2266"/>
      <c r="R1203" s="2266"/>
      <c r="S1203" s="2266"/>
    </row>
    <row r="1204" spans="1:19" s="2105" customFormat="1" outlineLevel="1">
      <c r="A1204" s="2182" t="str">
        <f>IF(G1204&lt;&gt;0,1,"")</f>
        <v/>
      </c>
      <c r="B1204" s="2261" t="s">
        <v>34</v>
      </c>
      <c r="C1204" s="2268"/>
      <c r="D1204" s="2152">
        <v>0</v>
      </c>
      <c r="E1204" s="2194" t="s">
        <v>2796</v>
      </c>
      <c r="F1204" s="2152" t="s">
        <v>2532</v>
      </c>
      <c r="G1204" s="2421">
        <f>+G1202*3*6</f>
        <v>0</v>
      </c>
      <c r="H1204" s="2264">
        <v>194893</v>
      </c>
      <c r="I1204" s="2264"/>
      <c r="J1204" s="2264">
        <v>0</v>
      </c>
      <c r="K1204" s="2264">
        <v>0</v>
      </c>
      <c r="L1204" s="2264">
        <f>H1204*G1204</f>
        <v>0</v>
      </c>
      <c r="M1204" s="2264">
        <f>I1204*G1204</f>
        <v>0</v>
      </c>
      <c r="N1204" s="2264">
        <f>J1204*G1204</f>
        <v>0</v>
      </c>
      <c r="O1204" s="2264">
        <f>K1204*G1204</f>
        <v>0</v>
      </c>
      <c r="P1204" s="2389"/>
      <c r="Q1204" s="2266"/>
      <c r="R1204" s="2266"/>
      <c r="S1204" s="2266"/>
    </row>
    <row r="1205" spans="1:19" s="2105" customFormat="1" outlineLevel="1">
      <c r="A1205" s="2182" t="str">
        <f>IF(G1205&lt;&gt;0,1,"")</f>
        <v/>
      </c>
      <c r="B1205" s="2261" t="s">
        <v>274</v>
      </c>
      <c r="C1205" s="2268"/>
      <c r="D1205" s="2152">
        <v>0</v>
      </c>
      <c r="E1205" s="2194" t="s">
        <v>2794</v>
      </c>
      <c r="F1205" s="2152" t="s">
        <v>2532</v>
      </c>
      <c r="G1205" s="2421">
        <f>+G1202*6</f>
        <v>0</v>
      </c>
      <c r="H1205" s="2264">
        <v>120529</v>
      </c>
      <c r="I1205" s="2264"/>
      <c r="J1205" s="2264">
        <v>0</v>
      </c>
      <c r="K1205" s="2264">
        <v>0</v>
      </c>
      <c r="L1205" s="2264">
        <f>H1205*G1205</f>
        <v>0</v>
      </c>
      <c r="M1205" s="2264">
        <f>I1205*G1205</f>
        <v>0</v>
      </c>
      <c r="N1205" s="2264">
        <f>J1205*G1205</f>
        <v>0</v>
      </c>
      <c r="O1205" s="2264">
        <f>K1205*G1205</f>
        <v>0</v>
      </c>
      <c r="P1205" s="2389"/>
      <c r="Q1205" s="2266"/>
      <c r="R1205" s="2266"/>
      <c r="S1205" s="2266"/>
    </row>
    <row r="1206" spans="1:19" s="2105" customFormat="1" outlineLevel="1">
      <c r="A1206" s="2182" t="str">
        <f>IF(G1206&lt;&gt;0,1,"")</f>
        <v/>
      </c>
      <c r="B1206" s="2261" t="s">
        <v>1822</v>
      </c>
      <c r="C1206" s="2268"/>
      <c r="D1206" s="2152" t="s">
        <v>1527</v>
      </c>
      <c r="E1206" s="2194" t="s">
        <v>2784</v>
      </c>
      <c r="F1206" s="2152" t="s">
        <v>2532</v>
      </c>
      <c r="G1206" s="2269">
        <f>+G1202*4</f>
        <v>0</v>
      </c>
      <c r="H1206" s="2264">
        <v>28200</v>
      </c>
      <c r="I1206" s="2264"/>
      <c r="J1206" s="2264">
        <v>0</v>
      </c>
      <c r="K1206" s="2264">
        <v>0</v>
      </c>
      <c r="L1206" s="2264">
        <f>H1206*G1206</f>
        <v>0</v>
      </c>
      <c r="M1206" s="2264">
        <f>I1206*G1206</f>
        <v>0</v>
      </c>
      <c r="N1206" s="2264">
        <f>J1206*G1206</f>
        <v>0</v>
      </c>
      <c r="O1206" s="2264">
        <f>K1206*G1206</f>
        <v>0</v>
      </c>
      <c r="P1206" s="2265"/>
      <c r="Q1206" s="2266"/>
      <c r="R1206" s="2266"/>
      <c r="S1206" s="2266"/>
    </row>
    <row r="1207" spans="1:19" s="2105" customFormat="1" outlineLevel="1">
      <c r="A1207" s="2182" t="str">
        <f t="shared" ref="A1207:A1219" si="200">IF(G1207&lt;&gt;0,1,"")</f>
        <v/>
      </c>
      <c r="B1207" s="2261" t="s">
        <v>2155</v>
      </c>
      <c r="C1207" s="2268"/>
      <c r="D1207" s="2152" t="s">
        <v>5729</v>
      </c>
      <c r="E1207" s="2194" t="s">
        <v>3483</v>
      </c>
      <c r="F1207" s="2152" t="s">
        <v>2555</v>
      </c>
      <c r="G1207" s="2269">
        <f>+G1202*6</f>
        <v>0</v>
      </c>
      <c r="H1207" s="2264">
        <v>36000</v>
      </c>
      <c r="I1207" s="2264"/>
      <c r="J1207" s="2264">
        <v>33342.43</v>
      </c>
      <c r="K1207" s="2264">
        <v>4443.237196</v>
      </c>
      <c r="L1207" s="2264">
        <f t="shared" ref="L1207:L1216" si="201">H1207*G1207</f>
        <v>0</v>
      </c>
      <c r="M1207" s="2264">
        <f t="shared" ref="M1207:M1216" si="202">I1207*G1207</f>
        <v>0</v>
      </c>
      <c r="N1207" s="2264">
        <f t="shared" ref="N1207:N1216" si="203">J1207*G1207</f>
        <v>0</v>
      </c>
      <c r="O1207" s="2264">
        <f t="shared" ref="O1207:O1216" si="204">K1207*G1207</f>
        <v>0</v>
      </c>
      <c r="P1207" s="2389"/>
      <c r="Q1207" s="2266"/>
      <c r="R1207" s="2266"/>
      <c r="S1207" s="2266"/>
    </row>
    <row r="1208" spans="1:19" s="2105" customFormat="1" outlineLevel="1">
      <c r="A1208" s="2182" t="str">
        <f t="shared" si="200"/>
        <v/>
      </c>
      <c r="B1208" s="2261" t="s">
        <v>1304</v>
      </c>
      <c r="C1208" s="2268"/>
      <c r="D1208" s="2152" t="s">
        <v>5727</v>
      </c>
      <c r="E1208" s="2194" t="s">
        <v>3481</v>
      </c>
      <c r="F1208" s="2152" t="s">
        <v>2555</v>
      </c>
      <c r="G1208" s="2269">
        <f>G1202*2</f>
        <v>0</v>
      </c>
      <c r="H1208" s="2264">
        <v>21000</v>
      </c>
      <c r="I1208" s="2264"/>
      <c r="J1208" s="2264">
        <v>21217.910000000003</v>
      </c>
      <c r="K1208" s="2264">
        <v>3332.427897</v>
      </c>
      <c r="L1208" s="2264">
        <f t="shared" si="201"/>
        <v>0</v>
      </c>
      <c r="M1208" s="2264">
        <f t="shared" si="202"/>
        <v>0</v>
      </c>
      <c r="N1208" s="2264">
        <f t="shared" si="203"/>
        <v>0</v>
      </c>
      <c r="O1208" s="2264">
        <f t="shared" si="204"/>
        <v>0</v>
      </c>
      <c r="P1208" s="2389"/>
      <c r="Q1208" s="2266"/>
      <c r="R1208" s="2266"/>
      <c r="S1208" s="2266"/>
    </row>
    <row r="1209" spans="1:19" s="2105" customFormat="1" outlineLevel="1">
      <c r="A1209" s="2182" t="str">
        <f t="shared" si="200"/>
        <v/>
      </c>
      <c r="B1209" s="2261" t="s">
        <v>91</v>
      </c>
      <c r="C1209" s="2268"/>
      <c r="D1209" s="2152">
        <v>0</v>
      </c>
      <c r="E1209" s="2194" t="s">
        <v>3497</v>
      </c>
      <c r="F1209" s="2152" t="s">
        <v>2555</v>
      </c>
      <c r="G1209" s="2269">
        <f>G1207</f>
        <v>0</v>
      </c>
      <c r="H1209" s="2264">
        <v>5000</v>
      </c>
      <c r="I1209" s="2264"/>
      <c r="J1209" s="2264">
        <v>0</v>
      </c>
      <c r="K1209" s="2264">
        <v>0</v>
      </c>
      <c r="L1209" s="2264">
        <f t="shared" si="201"/>
        <v>0</v>
      </c>
      <c r="M1209" s="2264">
        <f t="shared" si="202"/>
        <v>0</v>
      </c>
      <c r="N1209" s="2264">
        <f t="shared" si="203"/>
        <v>0</v>
      </c>
      <c r="O1209" s="2264">
        <f t="shared" si="204"/>
        <v>0</v>
      </c>
      <c r="P1209" s="2389"/>
      <c r="Q1209" s="2266"/>
      <c r="R1209" s="2266"/>
      <c r="S1209" s="2266"/>
    </row>
    <row r="1210" spans="1:19" s="2105" customFormat="1" outlineLevel="1">
      <c r="A1210" s="2182" t="str">
        <f t="shared" si="200"/>
        <v/>
      </c>
      <c r="B1210" s="2261" t="s">
        <v>94</v>
      </c>
      <c r="C1210" s="2268"/>
      <c r="D1210" s="2152">
        <v>0</v>
      </c>
      <c r="E1210" s="2194" t="s">
        <v>3495</v>
      </c>
      <c r="F1210" s="2152" t="s">
        <v>2555</v>
      </c>
      <c r="G1210" s="2269">
        <f>G1208</f>
        <v>0</v>
      </c>
      <c r="H1210" s="2264">
        <v>4000</v>
      </c>
      <c r="I1210" s="2264"/>
      <c r="J1210" s="2264">
        <v>0</v>
      </c>
      <c r="K1210" s="2264">
        <v>0</v>
      </c>
      <c r="L1210" s="2264">
        <f t="shared" si="201"/>
        <v>0</v>
      </c>
      <c r="M1210" s="2264">
        <f t="shared" si="202"/>
        <v>0</v>
      </c>
      <c r="N1210" s="2264">
        <f t="shared" si="203"/>
        <v>0</v>
      </c>
      <c r="O1210" s="2264">
        <f t="shared" si="204"/>
        <v>0</v>
      </c>
      <c r="P1210" s="2389"/>
      <c r="Q1210" s="2266"/>
      <c r="R1210" s="2266"/>
      <c r="S1210" s="2266"/>
    </row>
    <row r="1211" spans="1:19" s="2105" customFormat="1" outlineLevel="1">
      <c r="A1211" s="2182" t="str">
        <f t="shared" si="200"/>
        <v/>
      </c>
      <c r="B1211" s="2261" t="s">
        <v>1042</v>
      </c>
      <c r="C1211" s="2268"/>
      <c r="D1211" s="2152">
        <v>0</v>
      </c>
      <c r="E1211" s="2194" t="s">
        <v>3531</v>
      </c>
      <c r="F1211" s="2152" t="s">
        <v>1823</v>
      </c>
      <c r="G1211" s="2421">
        <f>+G1202*4</f>
        <v>0</v>
      </c>
      <c r="H1211" s="2264">
        <v>103700</v>
      </c>
      <c r="I1211" s="2264"/>
      <c r="J1211" s="2264">
        <v>0</v>
      </c>
      <c r="K1211" s="2264">
        <v>0</v>
      </c>
      <c r="L1211" s="2264">
        <f t="shared" si="201"/>
        <v>0</v>
      </c>
      <c r="M1211" s="2264">
        <f t="shared" si="202"/>
        <v>0</v>
      </c>
      <c r="N1211" s="2264">
        <f t="shared" si="203"/>
        <v>0</v>
      </c>
      <c r="O1211" s="2264">
        <f t="shared" si="204"/>
        <v>0</v>
      </c>
      <c r="P1211" s="2389"/>
      <c r="Q1211" s="2266"/>
      <c r="R1211" s="2266"/>
      <c r="S1211" s="2266"/>
    </row>
    <row r="1212" spans="1:19" s="2105" customFormat="1" outlineLevel="1">
      <c r="A1212" s="2182" t="str">
        <f t="shared" si="200"/>
        <v/>
      </c>
      <c r="B1212" s="2252" t="s">
        <v>731</v>
      </c>
      <c r="C1212" s="2268"/>
      <c r="D1212" s="2152">
        <v>0</v>
      </c>
      <c r="E1212" s="2194" t="s">
        <v>5258</v>
      </c>
      <c r="F1212" s="2152" t="s">
        <v>2439</v>
      </c>
      <c r="G1212" s="2269">
        <f>+G1202*2</f>
        <v>0</v>
      </c>
      <c r="H1212" s="2264">
        <v>50000</v>
      </c>
      <c r="I1212" s="2264"/>
      <c r="J1212" s="2264">
        <v>0</v>
      </c>
      <c r="K1212" s="2264">
        <v>0</v>
      </c>
      <c r="L1212" s="2264">
        <f t="shared" si="201"/>
        <v>0</v>
      </c>
      <c r="M1212" s="2264">
        <f t="shared" si="202"/>
        <v>0</v>
      </c>
      <c r="N1212" s="2264">
        <f t="shared" si="203"/>
        <v>0</v>
      </c>
      <c r="O1212" s="2264">
        <f t="shared" si="204"/>
        <v>0</v>
      </c>
      <c r="P1212" s="2389"/>
      <c r="Q1212" s="2422"/>
      <c r="R1212" s="2266"/>
      <c r="S1212" s="2266"/>
    </row>
    <row r="1213" spans="1:19" s="2105" customFormat="1" outlineLevel="1">
      <c r="A1213" s="2182" t="str">
        <f t="shared" si="200"/>
        <v/>
      </c>
      <c r="B1213" s="2261" t="s">
        <v>2167</v>
      </c>
      <c r="C1213" s="2268"/>
      <c r="D1213" s="2152">
        <v>0</v>
      </c>
      <c r="E1213" s="2194" t="s">
        <v>3575</v>
      </c>
      <c r="F1213" s="2152" t="s">
        <v>2555</v>
      </c>
      <c r="G1213" s="2269">
        <f>+G1202</f>
        <v>0</v>
      </c>
      <c r="H1213" s="2264">
        <v>41900</v>
      </c>
      <c r="I1213" s="2264"/>
      <c r="J1213" s="2264">
        <v>0</v>
      </c>
      <c r="K1213" s="2264">
        <v>0</v>
      </c>
      <c r="L1213" s="2264">
        <f t="shared" si="201"/>
        <v>0</v>
      </c>
      <c r="M1213" s="2264">
        <f t="shared" si="202"/>
        <v>0</v>
      </c>
      <c r="N1213" s="2264">
        <f t="shared" si="203"/>
        <v>0</v>
      </c>
      <c r="O1213" s="2264">
        <f t="shared" si="204"/>
        <v>0</v>
      </c>
      <c r="P1213" s="2389"/>
      <c r="Q1213" s="2266"/>
      <c r="R1213" s="2266"/>
      <c r="S1213" s="2266"/>
    </row>
    <row r="1214" spans="1:19" s="2105" customFormat="1" outlineLevel="1">
      <c r="A1214" s="2182" t="str">
        <f t="shared" si="200"/>
        <v/>
      </c>
      <c r="B1214" s="2261" t="s">
        <v>2168</v>
      </c>
      <c r="C1214" s="2268"/>
      <c r="D1214" s="2152">
        <v>0</v>
      </c>
      <c r="E1214" s="2194" t="s">
        <v>3579</v>
      </c>
      <c r="F1214" s="2152" t="s">
        <v>2555</v>
      </c>
      <c r="G1214" s="2269">
        <f>G1213</f>
        <v>0</v>
      </c>
      <c r="H1214" s="2264">
        <v>41900</v>
      </c>
      <c r="I1214" s="2264"/>
      <c r="J1214" s="2264">
        <v>0</v>
      </c>
      <c r="K1214" s="2264">
        <v>0</v>
      </c>
      <c r="L1214" s="2264">
        <f t="shared" si="201"/>
        <v>0</v>
      </c>
      <c r="M1214" s="2264">
        <f t="shared" si="202"/>
        <v>0</v>
      </c>
      <c r="N1214" s="2264">
        <f t="shared" si="203"/>
        <v>0</v>
      </c>
      <c r="O1214" s="2264">
        <f t="shared" si="204"/>
        <v>0</v>
      </c>
      <c r="P1214" s="2389"/>
      <c r="Q1214" s="2266"/>
      <c r="R1214" s="2266"/>
      <c r="S1214" s="2266"/>
    </row>
    <row r="1215" spans="1:19" s="2105" customFormat="1" outlineLevel="1">
      <c r="A1215" s="2182" t="str">
        <f t="shared" si="200"/>
        <v/>
      </c>
      <c r="B1215" s="2261" t="s">
        <v>2074</v>
      </c>
      <c r="C1215" s="2268"/>
      <c r="D1215" s="2152">
        <v>0</v>
      </c>
      <c r="E1215" s="2194" t="s">
        <v>3570</v>
      </c>
      <c r="F1215" s="2152" t="s">
        <v>3571</v>
      </c>
      <c r="G1215" s="2269">
        <f>+G1202</f>
        <v>0</v>
      </c>
      <c r="H1215" s="2264">
        <v>11500</v>
      </c>
      <c r="I1215" s="2264"/>
      <c r="J1215" s="2264">
        <v>0</v>
      </c>
      <c r="K1215" s="2264">
        <v>0</v>
      </c>
      <c r="L1215" s="2264">
        <f t="shared" si="201"/>
        <v>0</v>
      </c>
      <c r="M1215" s="2264">
        <f t="shared" si="202"/>
        <v>0</v>
      </c>
      <c r="N1215" s="2264">
        <f t="shared" si="203"/>
        <v>0</v>
      </c>
      <c r="O1215" s="2264">
        <f t="shared" si="204"/>
        <v>0</v>
      </c>
      <c r="P1215" s="2389"/>
      <c r="Q1215" s="2266"/>
      <c r="R1215" s="2266"/>
      <c r="S1215" s="2266"/>
    </row>
    <row r="1216" spans="1:19" s="2105" customFormat="1" outlineLevel="1">
      <c r="A1216" s="2182" t="str">
        <f t="shared" si="200"/>
        <v/>
      </c>
      <c r="B1216" s="2252" t="s">
        <v>6</v>
      </c>
      <c r="C1216" s="2268"/>
      <c r="D1216" s="2152"/>
      <c r="E1216" s="2194" t="s">
        <v>3567</v>
      </c>
      <c r="F1216" s="2152" t="s">
        <v>5806</v>
      </c>
      <c r="G1216" s="2269">
        <f>G1202*2</f>
        <v>0</v>
      </c>
      <c r="H1216" s="2264">
        <v>45000</v>
      </c>
      <c r="I1216" s="2264"/>
      <c r="J1216" s="2264"/>
      <c r="K1216" s="2264"/>
      <c r="L1216" s="2264">
        <f t="shared" si="201"/>
        <v>0</v>
      </c>
      <c r="M1216" s="2264">
        <f t="shared" si="202"/>
        <v>0</v>
      </c>
      <c r="N1216" s="2264">
        <f t="shared" si="203"/>
        <v>0</v>
      </c>
      <c r="O1216" s="2264">
        <f t="shared" si="204"/>
        <v>0</v>
      </c>
      <c r="P1216" s="2265"/>
      <c r="Q1216" s="2266"/>
      <c r="R1216" s="2266"/>
      <c r="S1216" s="2266"/>
    </row>
    <row r="1217" spans="1:19" s="2105" customFormat="1" outlineLevel="1">
      <c r="A1217" s="2182" t="str">
        <f t="shared" si="200"/>
        <v/>
      </c>
      <c r="B1217" s="2261" t="s">
        <v>1348</v>
      </c>
      <c r="C1217" s="2268"/>
      <c r="D1217" s="2152">
        <v>0</v>
      </c>
      <c r="E1217" s="2194" t="s">
        <v>3518</v>
      </c>
      <c r="F1217" s="2152" t="s">
        <v>3519</v>
      </c>
      <c r="G1217" s="2269">
        <f>+G1202</f>
        <v>0</v>
      </c>
      <c r="H1217" s="2264">
        <v>15000</v>
      </c>
      <c r="I1217" s="2264"/>
      <c r="J1217" s="2264">
        <v>0</v>
      </c>
      <c r="K1217" s="2264">
        <v>0</v>
      </c>
      <c r="L1217" s="2264">
        <f>H1217*G1217</f>
        <v>0</v>
      </c>
      <c r="M1217" s="2264">
        <f>I1217*G1217</f>
        <v>0</v>
      </c>
      <c r="N1217" s="2264">
        <f>J1217*G1217</f>
        <v>0</v>
      </c>
      <c r="O1217" s="2264">
        <f>K1217*G1217</f>
        <v>0</v>
      </c>
      <c r="P1217" s="2265"/>
      <c r="Q1217" s="2266"/>
      <c r="R1217" s="2266"/>
      <c r="S1217" s="2266"/>
    </row>
    <row r="1218" spans="1:19" s="2105" customFormat="1" outlineLevel="1">
      <c r="A1218" s="2182" t="str">
        <f t="shared" si="200"/>
        <v/>
      </c>
      <c r="B1218" s="2252" t="s">
        <v>672</v>
      </c>
      <c r="C1218" s="2268"/>
      <c r="D1218" s="2152">
        <v>0</v>
      </c>
      <c r="E1218" s="2194" t="s">
        <v>5801</v>
      </c>
      <c r="F1218" s="2152" t="s">
        <v>3566</v>
      </c>
      <c r="G1218" s="2269">
        <f>G1202*1</f>
        <v>0</v>
      </c>
      <c r="H1218" s="2264">
        <v>6500</v>
      </c>
      <c r="I1218" s="2264"/>
      <c r="J1218" s="2264">
        <v>0</v>
      </c>
      <c r="K1218" s="2264">
        <v>0</v>
      </c>
      <c r="L1218" s="2264">
        <f>H1218*G1218</f>
        <v>0</v>
      </c>
      <c r="M1218" s="2264">
        <f>I1218*G1218</f>
        <v>0</v>
      </c>
      <c r="N1218" s="2264">
        <f>J1218*G1218</f>
        <v>0</v>
      </c>
      <c r="O1218" s="2264">
        <f>K1218*G1218</f>
        <v>0</v>
      </c>
      <c r="P1218" s="2389"/>
      <c r="Q1218" s="2266"/>
      <c r="R1218" s="2266"/>
      <c r="S1218" s="2266"/>
    </row>
    <row r="1219" spans="1:19" s="2105" customFormat="1" outlineLevel="1">
      <c r="A1219" s="2182" t="str">
        <f t="shared" si="200"/>
        <v/>
      </c>
      <c r="B1219" s="2252" t="s">
        <v>2006</v>
      </c>
      <c r="C1219" s="2268"/>
      <c r="D1219" s="2152" t="s">
        <v>5572</v>
      </c>
      <c r="E1219" s="2194" t="s">
        <v>6350</v>
      </c>
      <c r="F1219" s="2152" t="s">
        <v>1823</v>
      </c>
      <c r="G1219" s="2269">
        <f>G1204+G1205</f>
        <v>0</v>
      </c>
      <c r="H1219" s="2264">
        <v>0</v>
      </c>
      <c r="I1219" s="2264"/>
      <c r="J1219" s="2264">
        <v>33396</v>
      </c>
      <c r="K1219" s="2264">
        <v>0</v>
      </c>
      <c r="L1219" s="2264">
        <f>H1219*G1219</f>
        <v>0</v>
      </c>
      <c r="M1219" s="2264">
        <f>I1219*G1219</f>
        <v>0</v>
      </c>
      <c r="N1219" s="2264">
        <f>J1219*G1219</f>
        <v>0</v>
      </c>
      <c r="O1219" s="2264">
        <f>K1219*G1219</f>
        <v>0</v>
      </c>
      <c r="P1219" s="2389"/>
      <c r="Q1219" s="2266"/>
      <c r="R1219" s="2266"/>
      <c r="S1219" s="2266"/>
    </row>
    <row r="1220" spans="1:19" s="2105" customFormat="1" outlineLevel="1">
      <c r="A1220" s="2182">
        <f>+IF(L1220+N1220+O1220&gt;0,1,0)</f>
        <v>0</v>
      </c>
      <c r="B1220" s="2357"/>
      <c r="C1220" s="2423"/>
      <c r="D1220" s="2424"/>
      <c r="E1220" s="2399"/>
      <c r="F1220" s="2637"/>
      <c r="G1220" s="2638"/>
      <c r="H1220" s="2637"/>
      <c r="I1220" s="2637"/>
      <c r="J1220" s="2647" t="s">
        <v>6131</v>
      </c>
      <c r="K1220" s="2647"/>
      <c r="L1220" s="2425">
        <f>SUM(L1116:L1219)</f>
        <v>0</v>
      </c>
      <c r="M1220" s="2425">
        <f>SUM(M1116:M1219)</f>
        <v>0</v>
      </c>
      <c r="N1220" s="2425">
        <f>SUM(N1116:N1219)</f>
        <v>0</v>
      </c>
      <c r="O1220" s="2425">
        <f>SUM(O1116:O1219)</f>
        <v>0</v>
      </c>
      <c r="P1220" s="2396"/>
      <c r="Q1220" s="2266"/>
      <c r="R1220" s="2266"/>
      <c r="S1220" s="2266"/>
    </row>
    <row r="1221" spans="1:19" s="2105" customFormat="1" ht="13.95" customHeight="1">
      <c r="A1221" s="2182"/>
      <c r="B1221" s="2385"/>
      <c r="C1221" s="2633"/>
      <c r="D1221" s="2386"/>
      <c r="E1221" s="2634"/>
      <c r="F1221" s="2386"/>
      <c r="G1221" s="2635"/>
      <c r="H1221" s="2266"/>
      <c r="I1221" s="2266"/>
      <c r="J1221" s="2266"/>
      <c r="K1221" s="2266"/>
      <c r="L1221" s="2266"/>
      <c r="M1221" s="2266"/>
      <c r="N1221" s="2266"/>
      <c r="O1221" s="2266"/>
      <c r="P1221" s="2386"/>
      <c r="Q1221" s="2266"/>
      <c r="R1221" s="2266"/>
      <c r="S1221" s="2266"/>
    </row>
    <row r="1222" spans="1:19" s="2105" customFormat="1" outlineLevel="1">
      <c r="A1222" s="2182" t="str">
        <f>A1100</f>
        <v/>
      </c>
      <c r="B1222" s="2387"/>
      <c r="C1222" s="2624" t="str">
        <f>"BẢNG TỔNG HỢP VẬT LIỆU, NHÂN CÔNG, MÁY THI CÔNG: "&amp;K10&amp;" TRẠM 3P_160KVA"</f>
        <v>BẢNG TỔNG HỢP VẬT LIỆU, NHÂN CÔNG, MÁY THI CÔNG: 0 TRẠM 3P_160KVA</v>
      </c>
      <c r="D1222" s="2633"/>
      <c r="E1222" s="2633"/>
      <c r="F1222" s="2633"/>
      <c r="G1222" s="2633"/>
      <c r="H1222" s="2528"/>
      <c r="I1222" s="2528"/>
      <c r="J1222" s="2528"/>
      <c r="K1222" s="2528"/>
      <c r="L1222" s="2528"/>
      <c r="M1222" s="2528"/>
      <c r="N1222" s="2528"/>
      <c r="O1222" s="2528"/>
      <c r="P1222" s="2386"/>
      <c r="Q1222" s="2266"/>
      <c r="R1222" s="2266"/>
      <c r="S1222" s="2266"/>
    </row>
    <row r="1223" spans="1:19" s="2105" customFormat="1" outlineLevel="1">
      <c r="A1223" s="2182" t="str">
        <f>A1100</f>
        <v/>
      </c>
      <c r="B1223" s="2261" t="s">
        <v>2284</v>
      </c>
      <c r="C1223" s="2648" t="s">
        <v>1708</v>
      </c>
      <c r="D1223" s="2649" t="s">
        <v>2597</v>
      </c>
      <c r="E1223" s="2651" t="s">
        <v>2598</v>
      </c>
      <c r="F1223" s="2648" t="s">
        <v>2593</v>
      </c>
      <c r="G1223" s="2109" t="s">
        <v>6113</v>
      </c>
      <c r="H1223" s="2112" t="s">
        <v>6114</v>
      </c>
      <c r="I1223" s="2619"/>
      <c r="J1223" s="2619"/>
      <c r="K1223" s="2620"/>
      <c r="L1223" s="2112" t="s">
        <v>6115</v>
      </c>
      <c r="M1223" s="2619"/>
      <c r="N1223" s="2619"/>
      <c r="O1223" s="2620"/>
      <c r="P1223" s="2648" t="s">
        <v>2599</v>
      </c>
      <c r="Q1223" s="2266"/>
      <c r="R1223" s="2266"/>
      <c r="S1223" s="2266"/>
    </row>
    <row r="1224" spans="1:19" s="2105" customFormat="1" outlineLevel="1">
      <c r="A1224" s="2182" t="str">
        <f>A1223</f>
        <v/>
      </c>
      <c r="B1224" s="2261"/>
      <c r="C1224" s="2648"/>
      <c r="D1224" s="2650"/>
      <c r="E1224" s="2652"/>
      <c r="F1224" s="2648"/>
      <c r="G1224" s="2111" t="s">
        <v>2286</v>
      </c>
      <c r="H1224" s="2112" t="s">
        <v>6116</v>
      </c>
      <c r="I1224" s="2112" t="s">
        <v>6117</v>
      </c>
      <c r="J1224" s="2112" t="s">
        <v>6118</v>
      </c>
      <c r="K1224" s="2112" t="s">
        <v>6119</v>
      </c>
      <c r="L1224" s="2112" t="s">
        <v>6116</v>
      </c>
      <c r="M1224" s="2112" t="s">
        <v>6117</v>
      </c>
      <c r="N1224" s="2112" t="s">
        <v>6118</v>
      </c>
      <c r="O1224" s="2112" t="s">
        <v>6119</v>
      </c>
      <c r="P1224" s="2648"/>
      <c r="Q1224" s="2266"/>
      <c r="R1224" s="2266"/>
      <c r="S1224" s="2266"/>
    </row>
    <row r="1225" spans="1:19" s="2105" customFormat="1" outlineLevel="1">
      <c r="A1225" s="2182" t="str">
        <f>A1224</f>
        <v/>
      </c>
      <c r="B1225" s="2261"/>
      <c r="C1225" s="2113"/>
      <c r="D1225" s="2114"/>
      <c r="E1225" s="2115" t="s">
        <v>3672</v>
      </c>
      <c r="F1225" s="2116"/>
      <c r="G1225" s="2116"/>
      <c r="H1225" s="2116"/>
      <c r="I1225" s="2116"/>
      <c r="J1225" s="2116"/>
      <c r="K1225" s="2116"/>
      <c r="L1225" s="2116"/>
      <c r="M1225" s="2116"/>
      <c r="N1225" s="2116"/>
      <c r="O1225" s="2114"/>
      <c r="P1225" s="2117"/>
      <c r="Q1225" s="2266"/>
      <c r="R1225" s="2266"/>
      <c r="S1225" s="2266"/>
    </row>
    <row r="1226" spans="1:19" s="2105" customFormat="1" outlineLevel="1">
      <c r="A1226" s="2182" t="str">
        <f>IF(G1226&lt;&gt;0,1,"")</f>
        <v/>
      </c>
      <c r="B1226" s="2252" t="str">
        <f>IF($F$8=15,"tr160","tr1601")</f>
        <v>tr1601</v>
      </c>
      <c r="C1226" s="2268">
        <f>IF(G1226&gt;0,1,0)</f>
        <v>0</v>
      </c>
      <c r="D1226" s="2152" t="s">
        <v>5590</v>
      </c>
      <c r="E1226" s="2194" t="s">
        <v>3327</v>
      </c>
      <c r="F1226" s="2152" t="s">
        <v>3300</v>
      </c>
      <c r="G1226" s="2426">
        <f>$K$10</f>
        <v>0</v>
      </c>
      <c r="H1226" s="2359">
        <v>0</v>
      </c>
      <c r="I1226" s="2359"/>
      <c r="J1226" s="2359">
        <v>1190887</v>
      </c>
      <c r="K1226" s="2359">
        <v>284508</v>
      </c>
      <c r="L1226" s="2360">
        <f t="shared" ref="L1226:L1235" si="205">H1226*G1226</f>
        <v>0</v>
      </c>
      <c r="M1226" s="2360">
        <f t="shared" ref="M1226:M1235" si="206">I1226*G1226</f>
        <v>0</v>
      </c>
      <c r="N1226" s="2360">
        <f t="shared" ref="N1226:N1235" si="207">J1226*G1226</f>
        <v>0</v>
      </c>
      <c r="O1226" s="2361">
        <f t="shared" ref="O1226:O1235" si="208">K1226*G1226</f>
        <v>0</v>
      </c>
      <c r="P1226" s="2388"/>
      <c r="Q1226" s="2266"/>
      <c r="R1226" s="2266"/>
      <c r="S1226" s="2266"/>
    </row>
    <row r="1227" spans="1:19" s="2105" customFormat="1" outlineLevel="1">
      <c r="A1227" s="2182" t="str">
        <f>IF(G1227&lt;&gt;0,1,"")</f>
        <v/>
      </c>
      <c r="B1227" s="2252" t="str">
        <f>IF($F$8=15,"tr160","tr1601")</f>
        <v>tr1601</v>
      </c>
      <c r="C1227" s="2268">
        <f>IF(G1227&gt;0,1,0)</f>
        <v>0</v>
      </c>
      <c r="D1227" s="2152" t="s">
        <v>5590</v>
      </c>
      <c r="E1227" s="2194" t="s">
        <v>6224</v>
      </c>
      <c r="F1227" s="2152" t="s">
        <v>3300</v>
      </c>
      <c r="G1227" s="2426">
        <f>$K$10*0</f>
        <v>0</v>
      </c>
      <c r="H1227" s="2359">
        <v>450000000</v>
      </c>
      <c r="I1227" s="2359"/>
      <c r="J1227" s="2359">
        <v>1190887</v>
      </c>
      <c r="K1227" s="2359">
        <v>284508</v>
      </c>
      <c r="L1227" s="2360">
        <f>H1227*G1227</f>
        <v>0</v>
      </c>
      <c r="M1227" s="2360">
        <f>I1227*G1227</f>
        <v>0</v>
      </c>
      <c r="N1227" s="2360">
        <f>J1227*G1227</f>
        <v>0</v>
      </c>
      <c r="O1227" s="2361">
        <f>K1227*G1227</f>
        <v>0</v>
      </c>
      <c r="P1227" s="2388"/>
      <c r="Q1227" s="2266"/>
      <c r="R1227" s="2266"/>
      <c r="S1227" s="2266"/>
    </row>
    <row r="1228" spans="1:19" s="2105" customFormat="1" outlineLevel="1">
      <c r="A1228" s="2182" t="str">
        <f t="shared" ref="A1228:A1235" si="209">IF(G1228&lt;&gt;0,1,"")</f>
        <v/>
      </c>
      <c r="B1228" s="2118" t="str">
        <f>"FCO100-"&amp;$F$8</f>
        <v>FCO100-22</v>
      </c>
      <c r="C1228" s="2268">
        <f>IF(G1228&gt;0,C1226+1,C1226)</f>
        <v>0</v>
      </c>
      <c r="D1228" s="2152" t="s">
        <v>5598</v>
      </c>
      <c r="E1228" s="2194" t="s">
        <v>95</v>
      </c>
      <c r="F1228" s="2152" t="s">
        <v>2555</v>
      </c>
      <c r="G1228" s="2426">
        <f>$G$1226*3</f>
        <v>0</v>
      </c>
      <c r="H1228" s="2264">
        <v>2244280</v>
      </c>
      <c r="I1228" s="2264">
        <v>0</v>
      </c>
      <c r="J1228" s="2264">
        <v>222639.99999999997</v>
      </c>
      <c r="K1228" s="2264">
        <v>0</v>
      </c>
      <c r="L1228" s="2264">
        <f t="shared" si="205"/>
        <v>0</v>
      </c>
      <c r="M1228" s="2264">
        <f t="shared" si="206"/>
        <v>0</v>
      </c>
      <c r="N1228" s="2264">
        <f t="shared" si="207"/>
        <v>0</v>
      </c>
      <c r="O1228" s="2264">
        <f t="shared" si="208"/>
        <v>0</v>
      </c>
      <c r="P1228" s="2389"/>
      <c r="Q1228" s="2266"/>
      <c r="R1228" s="2266"/>
      <c r="S1228" s="2266"/>
    </row>
    <row r="1229" spans="1:19" s="2105" customFormat="1" outlineLevel="1">
      <c r="A1229" s="2182" t="str">
        <f t="shared" si="209"/>
        <v/>
      </c>
      <c r="B1229" s="2252" t="s">
        <v>1027</v>
      </c>
      <c r="C1229" s="2268">
        <f t="shared" ref="C1229:C1235" si="210">IF(G1229&gt;0,C1228+1,C1228)</f>
        <v>0</v>
      </c>
      <c r="D1229" s="2152">
        <v>0</v>
      </c>
      <c r="E1229" s="2194" t="s">
        <v>3424</v>
      </c>
      <c r="F1229" s="2152" t="s">
        <v>2600</v>
      </c>
      <c r="G1229" s="2426">
        <f>G1228</f>
        <v>0</v>
      </c>
      <c r="H1229" s="2264">
        <v>84000</v>
      </c>
      <c r="I1229" s="2264">
        <v>0</v>
      </c>
      <c r="J1229" s="2264">
        <v>0</v>
      </c>
      <c r="K1229" s="2264">
        <v>0</v>
      </c>
      <c r="L1229" s="2264">
        <f t="shared" si="205"/>
        <v>0</v>
      </c>
      <c r="M1229" s="2264">
        <f t="shared" si="206"/>
        <v>0</v>
      </c>
      <c r="N1229" s="2264">
        <f t="shared" si="207"/>
        <v>0</v>
      </c>
      <c r="O1229" s="2264">
        <f t="shared" si="208"/>
        <v>0</v>
      </c>
      <c r="P1229" s="2389"/>
      <c r="Q1229" s="2266"/>
      <c r="R1229" s="2266"/>
      <c r="S1229" s="2266"/>
    </row>
    <row r="1230" spans="1:19" s="2105" customFormat="1" outlineLevel="1">
      <c r="A1230" s="2182" t="str">
        <f t="shared" si="209"/>
        <v/>
      </c>
      <c r="B1230" s="2261" t="str">
        <f>"LA"&amp;$F$6</f>
        <v>LA18</v>
      </c>
      <c r="C1230" s="2268">
        <f t="shared" si="210"/>
        <v>0</v>
      </c>
      <c r="D1230" s="2152" t="s">
        <v>5602</v>
      </c>
      <c r="E1230" s="2194" t="s">
        <v>1193</v>
      </c>
      <c r="F1230" s="2152" t="s">
        <v>2555</v>
      </c>
      <c r="G1230" s="2426">
        <f>G1228</f>
        <v>0</v>
      </c>
      <c r="H1230" s="2264">
        <v>1106000</v>
      </c>
      <c r="I1230" s="2264">
        <v>0</v>
      </c>
      <c r="J1230" s="2264">
        <v>83490</v>
      </c>
      <c r="K1230" s="2264">
        <v>0</v>
      </c>
      <c r="L1230" s="2264">
        <f t="shared" si="205"/>
        <v>0</v>
      </c>
      <c r="M1230" s="2264">
        <f t="shared" si="206"/>
        <v>0</v>
      </c>
      <c r="N1230" s="2264">
        <f t="shared" si="207"/>
        <v>0</v>
      </c>
      <c r="O1230" s="2264">
        <f t="shared" si="208"/>
        <v>0</v>
      </c>
      <c r="P1230" s="2389"/>
      <c r="Q1230" s="2266"/>
      <c r="R1230" s="2266"/>
      <c r="S1230" s="2266"/>
    </row>
    <row r="1231" spans="1:19" s="2105" customFormat="1" outlineLevel="1">
      <c r="A1231" s="2182" t="str">
        <f>IF(G1231&lt;&gt;0,1,"")</f>
        <v/>
      </c>
      <c r="B1231" s="2357" t="s">
        <v>710</v>
      </c>
      <c r="C1231" s="2268">
        <f>IF(G1231&gt;0,C1229+1,C1229)</f>
        <v>0</v>
      </c>
      <c r="D1231" s="2152">
        <v>0</v>
      </c>
      <c r="E1231" s="2194" t="s">
        <v>6225</v>
      </c>
      <c r="F1231" s="2152" t="s">
        <v>2555</v>
      </c>
      <c r="G1231" s="2426">
        <f>$G$1226*0</f>
        <v>0</v>
      </c>
      <c r="H1231" s="2264">
        <v>20000000</v>
      </c>
      <c r="I1231" s="2264">
        <v>0</v>
      </c>
      <c r="J1231" s="2264">
        <v>0</v>
      </c>
      <c r="K1231" s="2264">
        <v>0</v>
      </c>
      <c r="L1231" s="2264">
        <f>H1231*G1231</f>
        <v>0</v>
      </c>
      <c r="M1231" s="2264">
        <f>I1231*G1231</f>
        <v>0</v>
      </c>
      <c r="N1231" s="2264">
        <f>J1231*G1231</f>
        <v>0</v>
      </c>
      <c r="O1231" s="2264">
        <f>K1231*G1231</f>
        <v>0</v>
      </c>
      <c r="P1231" s="2389"/>
      <c r="Q1231" s="2266"/>
      <c r="R1231" s="2266"/>
      <c r="S1231" s="2266"/>
    </row>
    <row r="1232" spans="1:19" s="2105" customFormat="1" outlineLevel="1">
      <c r="A1232" s="2182" t="str">
        <f t="shared" si="209"/>
        <v/>
      </c>
      <c r="B1232" s="2357" t="s">
        <v>710</v>
      </c>
      <c r="C1232" s="2268">
        <f>IF(G1232&gt;0,C1230+1,C1230)</f>
        <v>0</v>
      </c>
      <c r="D1232" s="2152">
        <v>0</v>
      </c>
      <c r="E1232" s="2194" t="s">
        <v>5682</v>
      </c>
      <c r="F1232" s="2152" t="s">
        <v>2555</v>
      </c>
      <c r="G1232" s="2426">
        <f>$G$1226</f>
        <v>0</v>
      </c>
      <c r="H1232" s="2264">
        <v>4990000</v>
      </c>
      <c r="I1232" s="2264">
        <v>0</v>
      </c>
      <c r="J1232" s="2264"/>
      <c r="K1232" s="2264">
        <v>0</v>
      </c>
      <c r="L1232" s="2264">
        <f t="shared" si="205"/>
        <v>0</v>
      </c>
      <c r="M1232" s="2264">
        <f t="shared" si="206"/>
        <v>0</v>
      </c>
      <c r="N1232" s="2264">
        <f t="shared" si="207"/>
        <v>0</v>
      </c>
      <c r="O1232" s="2264">
        <f t="shared" si="208"/>
        <v>0</v>
      </c>
      <c r="P1232" s="2389"/>
      <c r="Q1232" s="2266"/>
      <c r="R1232" s="2266"/>
      <c r="S1232" s="2266"/>
    </row>
    <row r="1233" spans="1:19" s="2105" customFormat="1" outlineLevel="1">
      <c r="A1233" s="2182" t="str">
        <f>IF(G1233&lt;&gt;0,1,"")</f>
        <v/>
      </c>
      <c r="B1233" s="2357" t="s">
        <v>6226</v>
      </c>
      <c r="C1233" s="2268">
        <f t="shared" si="210"/>
        <v>0</v>
      </c>
      <c r="D1233" s="2152" t="s">
        <v>1025</v>
      </c>
      <c r="E1233" s="2194" t="s">
        <v>5625</v>
      </c>
      <c r="F1233" s="2152" t="s">
        <v>3370</v>
      </c>
      <c r="G1233" s="2426">
        <f>$G$1226*0</f>
        <v>0</v>
      </c>
      <c r="H1233" s="2264">
        <v>11869777</v>
      </c>
      <c r="I1233" s="2264">
        <v>0</v>
      </c>
      <c r="J1233" s="2264">
        <v>98101</v>
      </c>
      <c r="K1233" s="2264">
        <v>59254</v>
      </c>
      <c r="L1233" s="2264">
        <f>H1233*G1233</f>
        <v>0</v>
      </c>
      <c r="M1233" s="2264">
        <f>I1233*G1233</f>
        <v>0</v>
      </c>
      <c r="N1233" s="2264">
        <f>J1233*G1233</f>
        <v>0</v>
      </c>
      <c r="O1233" s="2264">
        <f>K1233*G1233</f>
        <v>0</v>
      </c>
      <c r="P1233" s="2389"/>
      <c r="Q1233" s="2266"/>
      <c r="R1233" s="2266"/>
      <c r="S1233" s="2266"/>
    </row>
    <row r="1234" spans="1:19" s="2105" customFormat="1" outlineLevel="1">
      <c r="A1234" s="2182" t="str">
        <f>IF(G1234&lt;&gt;0,1,"")</f>
        <v/>
      </c>
      <c r="B1234" s="2252" t="s">
        <v>1668</v>
      </c>
      <c r="C1234" s="2268">
        <f t="shared" si="210"/>
        <v>0</v>
      </c>
      <c r="D1234" s="2152">
        <v>0</v>
      </c>
      <c r="E1234" s="2194" t="s">
        <v>3360</v>
      </c>
      <c r="F1234" s="2152" t="s">
        <v>2555</v>
      </c>
      <c r="G1234" s="2427">
        <f>$G$1226*3</f>
        <v>0</v>
      </c>
      <c r="H1234" s="2264">
        <v>0</v>
      </c>
      <c r="I1234" s="2264">
        <v>0</v>
      </c>
      <c r="J1234" s="2264">
        <v>0</v>
      </c>
      <c r="K1234" s="2264">
        <v>0</v>
      </c>
      <c r="L1234" s="2264">
        <f>H1234*G1234</f>
        <v>0</v>
      </c>
      <c r="M1234" s="2264">
        <f>I1234*G1234</f>
        <v>0</v>
      </c>
      <c r="N1234" s="2264">
        <f>J1234*G1234</f>
        <v>0</v>
      </c>
      <c r="O1234" s="2264">
        <f>K1234*G1234</f>
        <v>0</v>
      </c>
      <c r="P1234" s="2391" t="s">
        <v>2601</v>
      </c>
      <c r="Q1234" s="2266"/>
      <c r="R1234" s="2266"/>
      <c r="S1234" s="2266"/>
    </row>
    <row r="1235" spans="1:19" s="2105" customFormat="1" outlineLevel="1">
      <c r="A1235" s="2182" t="str">
        <f t="shared" si="209"/>
        <v/>
      </c>
      <c r="B1235" s="2252" t="s">
        <v>1460</v>
      </c>
      <c r="C1235" s="2268">
        <f t="shared" si="210"/>
        <v>0</v>
      </c>
      <c r="D1235" s="2152">
        <v>0</v>
      </c>
      <c r="E1235" s="2194" t="s">
        <v>3441</v>
      </c>
      <c r="F1235" s="2152" t="s">
        <v>2555</v>
      </c>
      <c r="G1235" s="2427">
        <f>$G$1226</f>
        <v>0</v>
      </c>
      <c r="H1235" s="2264">
        <v>0</v>
      </c>
      <c r="I1235" s="2264">
        <v>0</v>
      </c>
      <c r="J1235" s="2264">
        <v>0</v>
      </c>
      <c r="K1235" s="2264">
        <v>0</v>
      </c>
      <c r="L1235" s="2264">
        <f t="shared" si="205"/>
        <v>0</v>
      </c>
      <c r="M1235" s="2360">
        <f t="shared" si="206"/>
        <v>0</v>
      </c>
      <c r="N1235" s="2360">
        <f t="shared" si="207"/>
        <v>0</v>
      </c>
      <c r="O1235" s="2361">
        <f t="shared" si="208"/>
        <v>0</v>
      </c>
      <c r="P1235" s="2392" t="s">
        <v>2601</v>
      </c>
      <c r="Q1235" s="2266"/>
      <c r="R1235" s="2266"/>
      <c r="S1235" s="2266"/>
    </row>
    <row r="1236" spans="1:19" s="2105" customFormat="1" outlineLevel="1">
      <c r="A1236" s="2182" t="str">
        <f>A1100</f>
        <v/>
      </c>
      <c r="B1236" s="2261"/>
      <c r="C1236" s="2393"/>
      <c r="D1236" s="2394"/>
      <c r="E1236" s="2395"/>
      <c r="F1236" s="2393"/>
      <c r="G1236" s="2636"/>
      <c r="H1236" s="2393"/>
      <c r="I1236" s="2393"/>
      <c r="J1236" s="2117" t="s">
        <v>6121</v>
      </c>
      <c r="K1236" s="2393"/>
      <c r="L1236" s="2395">
        <f>SUM(L1226:L1235)</f>
        <v>0</v>
      </c>
      <c r="M1236" s="2395">
        <f>SUM(M1226:M1235)</f>
        <v>0</v>
      </c>
      <c r="N1236" s="2395">
        <f>SUM(N1226:N1235)</f>
        <v>0</v>
      </c>
      <c r="O1236" s="2395">
        <f>SUM(O1226:O1235)</f>
        <v>0</v>
      </c>
      <c r="P1236" s="2396"/>
      <c r="Q1236" s="2266"/>
      <c r="R1236" s="2266"/>
      <c r="S1236" s="2266"/>
    </row>
    <row r="1237" spans="1:19" s="2105" customFormat="1" outlineLevel="1">
      <c r="A1237" s="2182" t="str">
        <f>A1100</f>
        <v/>
      </c>
      <c r="B1237" s="2261"/>
      <c r="C1237" s="2397"/>
      <c r="D1237" s="2398"/>
      <c r="E1237" s="2399" t="s">
        <v>3673</v>
      </c>
      <c r="F1237" s="2399"/>
      <c r="G1237" s="2400"/>
      <c r="H1237" s="2399"/>
      <c r="I1237" s="2399"/>
      <c r="J1237" s="2399"/>
      <c r="K1237" s="2399"/>
      <c r="L1237" s="2399"/>
      <c r="M1237" s="2399"/>
      <c r="N1237" s="2399"/>
      <c r="O1237" s="2398"/>
      <c r="P1237" s="2396"/>
      <c r="Q1237" s="2266"/>
      <c r="R1237" s="2266"/>
      <c r="S1237" s="2266"/>
    </row>
    <row r="1238" spans="1:19" s="2105" customFormat="1" outlineLevel="1">
      <c r="A1238" s="2182" t="str">
        <f t="shared" ref="A1238:A1256" si="211">IF(G1238&lt;&gt;0,1,"")</f>
        <v/>
      </c>
      <c r="B1238" s="2401"/>
      <c r="C1238" s="2402">
        <f>IF(G1238&gt;0,1,0)</f>
        <v>0</v>
      </c>
      <c r="D1238" s="2152"/>
      <c r="E1238" s="2403" t="s">
        <v>6122</v>
      </c>
      <c r="F1238" s="2404" t="s">
        <v>2277</v>
      </c>
      <c r="G1238" s="2405">
        <f>G1226*2*0</f>
        <v>0</v>
      </c>
      <c r="H1238" s="2404"/>
      <c r="I1238" s="2404"/>
      <c r="J1238" s="2404"/>
      <c r="K1238" s="2404"/>
      <c r="L1238" s="2405"/>
      <c r="M1238" s="2405"/>
      <c r="N1238" s="2405"/>
      <c r="O1238" s="2406"/>
      <c r="P1238" s="2389"/>
      <c r="Q1238" s="2266"/>
      <c r="R1238" s="2266"/>
      <c r="S1238" s="2266"/>
    </row>
    <row r="1239" spans="1:19" s="2105" customFormat="1" outlineLevel="1">
      <c r="A1239" s="2182" t="str">
        <f t="shared" si="211"/>
        <v/>
      </c>
      <c r="B1239" s="2357" t="s">
        <v>115</v>
      </c>
      <c r="C1239" s="2407"/>
      <c r="D1239" s="2152"/>
      <c r="E1239" s="2408" t="s">
        <v>2992</v>
      </c>
      <c r="F1239" s="2152" t="s">
        <v>2831</v>
      </c>
      <c r="G1239" s="2152">
        <f>G1238</f>
        <v>0</v>
      </c>
      <c r="H1239" s="2359">
        <v>4400000</v>
      </c>
      <c r="I1239" s="2258"/>
      <c r="J1239" s="2359"/>
      <c r="K1239" s="2258"/>
      <c r="L1239" s="2360">
        <f>H1239*G1239</f>
        <v>0</v>
      </c>
      <c r="M1239" s="2360">
        <f>I1239*G1239</f>
        <v>0</v>
      </c>
      <c r="N1239" s="2360">
        <f>J1239*G1239</f>
        <v>0</v>
      </c>
      <c r="O1239" s="2360">
        <f>K1239*G1239</f>
        <v>0</v>
      </c>
      <c r="P1239" s="2389"/>
      <c r="Q1239" s="2266"/>
      <c r="R1239" s="2266"/>
      <c r="S1239" s="2266"/>
    </row>
    <row r="1240" spans="1:19" s="2105" customFormat="1" outlineLevel="1">
      <c r="A1240" s="2182" t="str">
        <f t="shared" si="211"/>
        <v/>
      </c>
      <c r="B1240" s="2357" t="s">
        <v>1814</v>
      </c>
      <c r="C1240" s="2407"/>
      <c r="D1240" s="2152"/>
      <c r="E1240" s="2408" t="s">
        <v>2830</v>
      </c>
      <c r="F1240" s="2152" t="s">
        <v>2831</v>
      </c>
      <c r="G1240" s="2152">
        <f>G1239</f>
        <v>0</v>
      </c>
      <c r="H1240" s="2359">
        <v>17400</v>
      </c>
      <c r="I1240" s="2359"/>
      <c r="J1240" s="2258"/>
      <c r="K1240" s="2258"/>
      <c r="L1240" s="2360">
        <f>H1240*G1240</f>
        <v>0</v>
      </c>
      <c r="M1240" s="2360">
        <f>I1240*G1240</f>
        <v>0</v>
      </c>
      <c r="N1240" s="2360">
        <f>J1240*G1240</f>
        <v>0</v>
      </c>
      <c r="O1240" s="2360">
        <f>K1240*G1240</f>
        <v>0</v>
      </c>
      <c r="P1240" s="2389"/>
      <c r="Q1240" s="2266"/>
      <c r="R1240" s="2266"/>
      <c r="S1240" s="2266"/>
    </row>
    <row r="1241" spans="1:19" s="2105" customFormat="1" outlineLevel="1">
      <c r="A1241" s="2182" t="str">
        <f t="shared" si="211"/>
        <v/>
      </c>
      <c r="B1241" s="2357" t="s">
        <v>643</v>
      </c>
      <c r="C1241" s="2407"/>
      <c r="D1241" s="2152" t="s">
        <v>2127</v>
      </c>
      <c r="E1241" s="2408" t="s">
        <v>3167</v>
      </c>
      <c r="F1241" s="2152" t="s">
        <v>2831</v>
      </c>
      <c r="G1241" s="2152">
        <f>G1239</f>
        <v>0</v>
      </c>
      <c r="H1241" s="2408"/>
      <c r="I1241" s="2359"/>
      <c r="J1241" s="2359">
        <v>112286</v>
      </c>
      <c r="K1241" s="2359">
        <v>105970</v>
      </c>
      <c r="L1241" s="2360">
        <f>H1241*G1241</f>
        <v>0</v>
      </c>
      <c r="M1241" s="2360">
        <f>I1241*G1241</f>
        <v>0</v>
      </c>
      <c r="N1241" s="2360">
        <f>J1241*G1241</f>
        <v>0</v>
      </c>
      <c r="O1241" s="2360">
        <f>K1241*G1241</f>
        <v>0</v>
      </c>
      <c r="P1241" s="2389"/>
      <c r="Q1241" s="2266"/>
      <c r="R1241" s="2266"/>
      <c r="S1241" s="2266"/>
    </row>
    <row r="1242" spans="1:19" s="2105" customFormat="1" outlineLevel="1">
      <c r="A1242" s="2182" t="str">
        <f>IF(G1242&lt;&gt;0,1,"")</f>
        <v/>
      </c>
      <c r="B1242" s="2401"/>
      <c r="C1242" s="2402">
        <f>IF(G1242&gt;0,1,0)</f>
        <v>0</v>
      </c>
      <c r="D1242" s="2152"/>
      <c r="E1242" s="2403" t="s">
        <v>6217</v>
      </c>
      <c r="F1242" s="2404" t="s">
        <v>2277</v>
      </c>
      <c r="G1242" s="2405">
        <f>G1226*2*0</f>
        <v>0</v>
      </c>
      <c r="H1242" s="2404"/>
      <c r="I1242" s="2404"/>
      <c r="J1242" s="2404"/>
      <c r="K1242" s="2404"/>
      <c r="L1242" s="2405"/>
      <c r="M1242" s="2405"/>
      <c r="N1242" s="2405"/>
      <c r="O1242" s="2406"/>
      <c r="P1242" s="2265"/>
      <c r="Q1242" s="2266"/>
      <c r="R1242" s="2266"/>
      <c r="S1242" s="2266"/>
    </row>
    <row r="1243" spans="1:19" s="2105" customFormat="1" outlineLevel="1">
      <c r="A1243" s="2182" t="str">
        <f>IF(G1243&lt;&gt;0,1,"")</f>
        <v/>
      </c>
      <c r="B1243" s="2357" t="s">
        <v>114</v>
      </c>
      <c r="C1243" s="2407"/>
      <c r="D1243" s="2152"/>
      <c r="E1243" s="2408" t="s">
        <v>2991</v>
      </c>
      <c r="F1243" s="2152" t="s">
        <v>2831</v>
      </c>
      <c r="G1243" s="2152">
        <f>G1242</f>
        <v>0</v>
      </c>
      <c r="H1243" s="2359">
        <v>4200000</v>
      </c>
      <c r="I1243" s="2258"/>
      <c r="J1243" s="2359"/>
      <c r="K1243" s="2258"/>
      <c r="L1243" s="2360">
        <f>H1243*G1243</f>
        <v>0</v>
      </c>
      <c r="M1243" s="2360">
        <f>I1243*G1243</f>
        <v>0</v>
      </c>
      <c r="N1243" s="2360">
        <f>J1243*G1243</f>
        <v>0</v>
      </c>
      <c r="O1243" s="2360">
        <f>K1243*G1243</f>
        <v>0</v>
      </c>
      <c r="P1243" s="2265"/>
      <c r="Q1243" s="2266"/>
      <c r="R1243" s="2266"/>
      <c r="S1243" s="2266"/>
    </row>
    <row r="1244" spans="1:19" s="2105" customFormat="1" outlineLevel="1">
      <c r="A1244" s="2182" t="str">
        <f>IF(G1244&lt;&gt;0,1,"")</f>
        <v/>
      </c>
      <c r="B1244" s="2357" t="s">
        <v>1814</v>
      </c>
      <c r="C1244" s="2407"/>
      <c r="D1244" s="2152"/>
      <c r="E1244" s="2408" t="s">
        <v>2830</v>
      </c>
      <c r="F1244" s="2152" t="s">
        <v>2831</v>
      </c>
      <c r="G1244" s="2152">
        <f>G1243</f>
        <v>0</v>
      </c>
      <c r="H1244" s="2359">
        <v>17400</v>
      </c>
      <c r="I1244" s="2359"/>
      <c r="J1244" s="2258"/>
      <c r="K1244" s="2258"/>
      <c r="L1244" s="2360">
        <f>H1244*G1244</f>
        <v>0</v>
      </c>
      <c r="M1244" s="2360">
        <f>I1244*G1244</f>
        <v>0</v>
      </c>
      <c r="N1244" s="2360">
        <f>J1244*G1244</f>
        <v>0</v>
      </c>
      <c r="O1244" s="2360">
        <f>K1244*G1244</f>
        <v>0</v>
      </c>
      <c r="P1244" s="2265"/>
      <c r="Q1244" s="2266"/>
      <c r="R1244" s="2266"/>
      <c r="S1244" s="2266"/>
    </row>
    <row r="1245" spans="1:19" s="2105" customFormat="1" outlineLevel="1">
      <c r="A1245" s="2182" t="str">
        <f>IF(G1245&lt;&gt;0,1,"")</f>
        <v/>
      </c>
      <c r="B1245" s="2357" t="s">
        <v>644</v>
      </c>
      <c r="C1245" s="2407"/>
      <c r="D1245" s="2152" t="s">
        <v>2127</v>
      </c>
      <c r="E1245" s="2408" t="s">
        <v>3168</v>
      </c>
      <c r="F1245" s="2152" t="s">
        <v>2831</v>
      </c>
      <c r="G1245" s="2152">
        <f>G1243</f>
        <v>0</v>
      </c>
      <c r="H1245" s="2408"/>
      <c r="I1245" s="2359"/>
      <c r="J1245" s="2359">
        <v>112286</v>
      </c>
      <c r="K1245" s="2359">
        <v>105970</v>
      </c>
      <c r="L1245" s="2360">
        <f>H1245*G1245</f>
        <v>0</v>
      </c>
      <c r="M1245" s="2360">
        <f>I1245*G1245</f>
        <v>0</v>
      </c>
      <c r="N1245" s="2360">
        <f>J1245*G1245</f>
        <v>0</v>
      </c>
      <c r="O1245" s="2360">
        <f>K1245*G1245</f>
        <v>0</v>
      </c>
      <c r="P1245" s="2265"/>
      <c r="Q1245" s="2266"/>
      <c r="R1245" s="2266"/>
      <c r="S1245" s="2266"/>
    </row>
    <row r="1246" spans="1:19" s="2105" customFormat="1" outlineLevel="1">
      <c r="A1246" s="2182" t="str">
        <f t="shared" si="211"/>
        <v/>
      </c>
      <c r="B1246" s="2357"/>
      <c r="C1246" s="2258">
        <f>IF(G1246&gt;0,C1238+1,C1238)</f>
        <v>0</v>
      </c>
      <c r="D1246" s="2152"/>
      <c r="E1246" s="2403" t="s">
        <v>2352</v>
      </c>
      <c r="F1246" s="2404" t="s">
        <v>2327</v>
      </c>
      <c r="G1246" s="2409">
        <f>G1238</f>
        <v>0</v>
      </c>
      <c r="H1246" s="2258"/>
      <c r="I1246" s="2258"/>
      <c r="J1246" s="2258"/>
      <c r="K1246" s="2258"/>
      <c r="L1246" s="2258"/>
      <c r="M1246" s="2258"/>
      <c r="N1246" s="2258"/>
      <c r="O1246" s="2410"/>
      <c r="P1246" s="2389"/>
      <c r="Q1246" s="2266"/>
      <c r="R1246" s="2266"/>
      <c r="S1246" s="2266"/>
    </row>
    <row r="1247" spans="1:19" s="2105" customFormat="1" outlineLevel="1">
      <c r="A1247" s="2182" t="str">
        <f t="shared" si="211"/>
        <v/>
      </c>
      <c r="B1247" s="2357" t="s">
        <v>636</v>
      </c>
      <c r="C1247" s="2407"/>
      <c r="D1247" s="2152" t="s">
        <v>5047</v>
      </c>
      <c r="E1247" s="2408" t="s">
        <v>2607</v>
      </c>
      <c r="F1247" s="2152" t="s">
        <v>2555</v>
      </c>
      <c r="G1247" s="2152">
        <f>G1246</f>
        <v>0</v>
      </c>
      <c r="H1247" s="2359">
        <v>354545</v>
      </c>
      <c r="I1247" s="2359"/>
      <c r="J1247" s="2359">
        <v>37220.25</v>
      </c>
      <c r="K1247" s="2258"/>
      <c r="L1247" s="2360">
        <f>H1247*G1247</f>
        <v>0</v>
      </c>
      <c r="M1247" s="2360">
        <f>I1247*G1247</f>
        <v>0</v>
      </c>
      <c r="N1247" s="2360">
        <f>J1247*G1247</f>
        <v>0</v>
      </c>
      <c r="O1247" s="2360">
        <f>K1247*G1247</f>
        <v>0</v>
      </c>
      <c r="P1247" s="2389"/>
      <c r="Q1247" s="2266"/>
      <c r="R1247" s="2266"/>
      <c r="S1247" s="2266"/>
    </row>
    <row r="1248" spans="1:19" s="2105" customFormat="1" outlineLevel="1">
      <c r="A1248" s="2182" t="str">
        <f t="shared" si="211"/>
        <v/>
      </c>
      <c r="B1248" s="2357" t="s">
        <v>566</v>
      </c>
      <c r="C1248" s="2407"/>
      <c r="D1248" s="2152"/>
      <c r="E1248" s="2408" t="s">
        <v>5072</v>
      </c>
      <c r="F1248" s="2152" t="s">
        <v>2439</v>
      </c>
      <c r="G1248" s="2152">
        <f>G1247</f>
        <v>0</v>
      </c>
      <c r="H1248" s="2359">
        <v>92200</v>
      </c>
      <c r="I1248" s="2408"/>
      <c r="J1248" s="2408"/>
      <c r="K1248" s="2258"/>
      <c r="L1248" s="2360">
        <f>H1248*G1248</f>
        <v>0</v>
      </c>
      <c r="M1248" s="2360">
        <f>I1248*G1248</f>
        <v>0</v>
      </c>
      <c r="N1248" s="2360">
        <f>J1248*G1248</f>
        <v>0</v>
      </c>
      <c r="O1248" s="2360">
        <f>K1248*G1248</f>
        <v>0</v>
      </c>
      <c r="P1248" s="2389"/>
      <c r="Q1248" s="2266"/>
      <c r="R1248" s="2266"/>
      <c r="S1248" s="2266"/>
    </row>
    <row r="1249" spans="1:21" s="2105" customFormat="1" outlineLevel="1">
      <c r="A1249" s="2182" t="str">
        <f t="shared" si="211"/>
        <v/>
      </c>
      <c r="B1249" s="2357" t="s">
        <v>639</v>
      </c>
      <c r="C1249" s="2407"/>
      <c r="D1249" s="2152" t="s">
        <v>1747</v>
      </c>
      <c r="E1249" s="2408" t="s">
        <v>5324</v>
      </c>
      <c r="F1249" s="2152" t="s">
        <v>856</v>
      </c>
      <c r="G1249" s="2152">
        <f>1.45*G1247</f>
        <v>0</v>
      </c>
      <c r="H1249" s="2359">
        <v>0</v>
      </c>
      <c r="I1249" s="2359"/>
      <c r="J1249" s="2359">
        <v>296500.89999999997</v>
      </c>
      <c r="K1249" s="2258"/>
      <c r="L1249" s="2360">
        <f>H1249*G1249</f>
        <v>0</v>
      </c>
      <c r="M1249" s="2360">
        <f>I1249*G1249</f>
        <v>0</v>
      </c>
      <c r="N1249" s="2360">
        <f>J1249*G1249</f>
        <v>0</v>
      </c>
      <c r="O1249" s="2360">
        <f>K1249*G1249</f>
        <v>0</v>
      </c>
      <c r="P1249" s="2389"/>
      <c r="Q1249" s="2266"/>
      <c r="R1249" s="2266"/>
      <c r="S1249" s="2266"/>
    </row>
    <row r="1250" spans="1:21" s="2105" customFormat="1" outlineLevel="1">
      <c r="A1250" s="2182" t="str">
        <f t="shared" si="211"/>
        <v/>
      </c>
      <c r="B1250" s="2357" t="s">
        <v>21</v>
      </c>
      <c r="C1250" s="2407"/>
      <c r="D1250" s="2152" t="s">
        <v>5325</v>
      </c>
      <c r="E1250" s="2408" t="s">
        <v>5326</v>
      </c>
      <c r="F1250" s="2152" t="s">
        <v>856</v>
      </c>
      <c r="G1250" s="2152">
        <f>1.37*G1246</f>
        <v>0</v>
      </c>
      <c r="H1250" s="2359">
        <v>0</v>
      </c>
      <c r="I1250" s="2359"/>
      <c r="J1250" s="2359">
        <v>117703.6</v>
      </c>
      <c r="K1250" s="2258"/>
      <c r="L1250" s="2360">
        <f>H1250*G1250</f>
        <v>0</v>
      </c>
      <c r="M1250" s="2360">
        <f>I1250*G1250</f>
        <v>0</v>
      </c>
      <c r="N1250" s="2360">
        <f>J1250*G1250</f>
        <v>0</v>
      </c>
      <c r="O1250" s="2360">
        <f>K1250*G1250</f>
        <v>0</v>
      </c>
      <c r="P1250" s="2389"/>
      <c r="Q1250" s="2266"/>
      <c r="R1250" s="2266"/>
      <c r="S1250" s="2266"/>
    </row>
    <row r="1251" spans="1:21" s="2105" customFormat="1" outlineLevel="1">
      <c r="A1251" s="2182" t="str">
        <f>IF(G1251&lt;&gt;0,1,"")</f>
        <v/>
      </c>
      <c r="B1251" s="2357"/>
      <c r="C1251" s="2258">
        <f>IF(G1251&gt;0,C1243+1,C1243)</f>
        <v>0</v>
      </c>
      <c r="D1251" s="2152"/>
      <c r="E1251" s="2403" t="s">
        <v>3713</v>
      </c>
      <c r="F1251" s="2404" t="s">
        <v>2327</v>
      </c>
      <c r="G1251" s="2409">
        <f>G1242</f>
        <v>0</v>
      </c>
      <c r="H1251" s="2258"/>
      <c r="I1251" s="2258"/>
      <c r="J1251" s="2258"/>
      <c r="K1251" s="2258"/>
      <c r="L1251" s="2258"/>
      <c r="M1251" s="2258"/>
      <c r="N1251" s="2258"/>
      <c r="O1251" s="2410"/>
      <c r="P1251" s="2265"/>
      <c r="Q1251" s="2266"/>
      <c r="R1251" s="2266"/>
      <c r="S1251" s="2266"/>
    </row>
    <row r="1252" spans="1:21" s="2105" customFormat="1" outlineLevel="1">
      <c r="A1252" s="2182" t="str">
        <f>IF(G1252&lt;&gt;0,1,"")</f>
        <v/>
      </c>
      <c r="B1252" s="2357" t="s">
        <v>636</v>
      </c>
      <c r="C1252" s="2407"/>
      <c r="D1252" s="2152" t="s">
        <v>5047</v>
      </c>
      <c r="E1252" s="2408" t="s">
        <v>2607</v>
      </c>
      <c r="F1252" s="2152" t="s">
        <v>2555</v>
      </c>
      <c r="G1252" s="2152">
        <f>G1251</f>
        <v>0</v>
      </c>
      <c r="H1252" s="2359">
        <v>354545</v>
      </c>
      <c r="I1252" s="2359"/>
      <c r="J1252" s="2359">
        <v>37220.25</v>
      </c>
      <c r="K1252" s="2258"/>
      <c r="L1252" s="2360">
        <f>H1252*G1252</f>
        <v>0</v>
      </c>
      <c r="M1252" s="2360">
        <f>I1252*G1252</f>
        <v>0</v>
      </c>
      <c r="N1252" s="2360">
        <f>J1252*G1252</f>
        <v>0</v>
      </c>
      <c r="O1252" s="2360">
        <f>K1252*G1252</f>
        <v>0</v>
      </c>
      <c r="P1252" s="2265"/>
      <c r="Q1252" s="2266"/>
      <c r="R1252" s="2266"/>
      <c r="S1252" s="2266"/>
    </row>
    <row r="1253" spans="1:21" s="2105" customFormat="1" outlineLevel="1">
      <c r="A1253" s="2182" t="str">
        <f>IF(G1253&lt;&gt;0,1,"")</f>
        <v/>
      </c>
      <c r="B1253" s="2357" t="s">
        <v>566</v>
      </c>
      <c r="C1253" s="2407"/>
      <c r="D1253" s="2152"/>
      <c r="E1253" s="2408" t="s">
        <v>5072</v>
      </c>
      <c r="F1253" s="2152" t="s">
        <v>2439</v>
      </c>
      <c r="G1253" s="2152">
        <f>G1252</f>
        <v>0</v>
      </c>
      <c r="H1253" s="2359">
        <v>92200</v>
      </c>
      <c r="I1253" s="2408"/>
      <c r="J1253" s="2408"/>
      <c r="K1253" s="2258"/>
      <c r="L1253" s="2360">
        <f>H1253*G1253</f>
        <v>0</v>
      </c>
      <c r="M1253" s="2360">
        <f>I1253*G1253</f>
        <v>0</v>
      </c>
      <c r="N1253" s="2360">
        <f>J1253*G1253</f>
        <v>0</v>
      </c>
      <c r="O1253" s="2360">
        <f>K1253*G1253</f>
        <v>0</v>
      </c>
      <c r="P1253" s="2265"/>
      <c r="Q1253" s="2266"/>
      <c r="R1253" s="2266"/>
      <c r="S1253" s="2266"/>
    </row>
    <row r="1254" spans="1:21" s="2105" customFormat="1" outlineLevel="1">
      <c r="A1254" s="2182" t="str">
        <f>IF(G1254&lt;&gt;0,1,"")</f>
        <v/>
      </c>
      <c r="B1254" s="2357" t="s">
        <v>639</v>
      </c>
      <c r="C1254" s="2407"/>
      <c r="D1254" s="2152" t="s">
        <v>1747</v>
      </c>
      <c r="E1254" s="2408" t="s">
        <v>5324</v>
      </c>
      <c r="F1254" s="2152" t="s">
        <v>856</v>
      </c>
      <c r="G1254" s="2152">
        <f>1.48*G1252</f>
        <v>0</v>
      </c>
      <c r="H1254" s="2359">
        <v>0</v>
      </c>
      <c r="I1254" s="2359"/>
      <c r="J1254" s="2359">
        <v>296500.89999999997</v>
      </c>
      <c r="K1254" s="2258"/>
      <c r="L1254" s="2360">
        <f>H1254*G1254</f>
        <v>0</v>
      </c>
      <c r="M1254" s="2360">
        <f>I1254*G1254</f>
        <v>0</v>
      </c>
      <c r="N1254" s="2360">
        <f>J1254*G1254</f>
        <v>0</v>
      </c>
      <c r="O1254" s="2360">
        <f>K1254*G1254</f>
        <v>0</v>
      </c>
      <c r="P1254" s="2265"/>
      <c r="Q1254" s="2266"/>
      <c r="R1254" s="2266"/>
      <c r="S1254" s="2266"/>
    </row>
    <row r="1255" spans="1:21" s="2105" customFormat="1" outlineLevel="1">
      <c r="A1255" s="2182" t="str">
        <f>IF(G1255&lt;&gt;0,1,"")</f>
        <v/>
      </c>
      <c r="B1255" s="2357" t="s">
        <v>21</v>
      </c>
      <c r="C1255" s="2407"/>
      <c r="D1255" s="2152" t="s">
        <v>5325</v>
      </c>
      <c r="E1255" s="2408" t="s">
        <v>5326</v>
      </c>
      <c r="F1255" s="2152" t="s">
        <v>856</v>
      </c>
      <c r="G1255" s="2152">
        <f>1.39*G1251</f>
        <v>0</v>
      </c>
      <c r="H1255" s="2359">
        <v>0</v>
      </c>
      <c r="I1255" s="2359"/>
      <c r="J1255" s="2359">
        <v>117703.6</v>
      </c>
      <c r="K1255" s="2258"/>
      <c r="L1255" s="2360">
        <f>H1255*G1255</f>
        <v>0</v>
      </c>
      <c r="M1255" s="2360">
        <f>I1255*G1255</f>
        <v>0</v>
      </c>
      <c r="N1255" s="2360">
        <f>J1255*G1255</f>
        <v>0</v>
      </c>
      <c r="O1255" s="2360">
        <f>K1255*G1255</f>
        <v>0</v>
      </c>
      <c r="P1255" s="2265"/>
      <c r="Q1255" s="2266"/>
      <c r="R1255" s="2266"/>
      <c r="S1255" s="2266"/>
    </row>
    <row r="1256" spans="1:21" s="2105" customFormat="1" outlineLevel="1">
      <c r="A1256" s="2182" t="str">
        <f t="shared" si="211"/>
        <v/>
      </c>
      <c r="B1256" s="2261"/>
      <c r="C1256" s="2258">
        <f>IF(G1256&gt;0,C1246+1,C1246)</f>
        <v>0</v>
      </c>
      <c r="D1256" s="2411"/>
      <c r="E1256" s="2403" t="s">
        <v>3714</v>
      </c>
      <c r="F1256" s="2402" t="s">
        <v>2385</v>
      </c>
      <c r="G1256" s="2428">
        <f>G1226</f>
        <v>0</v>
      </c>
      <c r="H1256" s="2413"/>
      <c r="I1256" s="2413"/>
      <c r="J1256" s="2413"/>
      <c r="K1256" s="2413"/>
      <c r="L1256" s="2413"/>
      <c r="M1256" s="2413"/>
      <c r="N1256" s="2413"/>
      <c r="O1256" s="2413"/>
      <c r="P1256" s="2265"/>
      <c r="Q1256" s="2266">
        <f>+SUM(L1258:L1264)</f>
        <v>0</v>
      </c>
      <c r="R1256" s="2266">
        <f>+SUM(M1258:M1264)</f>
        <v>0</v>
      </c>
      <c r="S1256" s="2266">
        <f>+SUM(N1258:N1264)</f>
        <v>0</v>
      </c>
      <c r="T1256" s="2266">
        <f>+SUM(O1258:O1264)</f>
        <v>0</v>
      </c>
      <c r="U1256" s="2266">
        <f>+SUM(P1258:P1264)</f>
        <v>0</v>
      </c>
    </row>
    <row r="1257" spans="1:21" s="2105" customFormat="1" ht="14.4" outlineLevel="1">
      <c r="A1257" s="2182" t="str">
        <f>A1256</f>
        <v/>
      </c>
      <c r="B1257" s="2261"/>
      <c r="C1257" s="2258"/>
      <c r="D1257" s="2414"/>
      <c r="E1257" s="2267" t="s">
        <v>6133</v>
      </c>
      <c r="F1257" s="2268"/>
      <c r="G1257" s="2426"/>
      <c r="H1257" s="2415"/>
      <c r="I1257" s="2415"/>
      <c r="J1257" s="2415"/>
      <c r="K1257" s="2415"/>
      <c r="L1257" s="2415"/>
      <c r="M1257" s="2415"/>
      <c r="N1257" s="2415"/>
      <c r="O1257" s="2415"/>
      <c r="P1257" s="2265"/>
      <c r="Q1257" s="2266"/>
      <c r="R1257" s="2266"/>
      <c r="S1257" s="2266"/>
    </row>
    <row r="1258" spans="1:21" s="2105" customFormat="1" outlineLevel="1">
      <c r="A1258" s="2182" t="str">
        <f t="shared" ref="A1258:A1263" si="212">IF(G1258&lt;&gt;0,1,"")</f>
        <v/>
      </c>
      <c r="B1258" s="2252" t="s">
        <v>1136</v>
      </c>
      <c r="C1258" s="2258"/>
      <c r="D1258" s="2152">
        <v>0</v>
      </c>
      <c r="E1258" s="2194" t="s">
        <v>6338</v>
      </c>
      <c r="F1258" s="2152" t="s">
        <v>2248</v>
      </c>
      <c r="G1258" s="2426">
        <f>2*G1256</f>
        <v>0</v>
      </c>
      <c r="H1258" s="2359">
        <v>31625</v>
      </c>
      <c r="I1258" s="2416"/>
      <c r="J1258" s="2359"/>
      <c r="K1258" s="2359">
        <v>0</v>
      </c>
      <c r="L1258" s="2360">
        <f t="shared" ref="L1258:L1263" si="213">H1258*G1258</f>
        <v>0</v>
      </c>
      <c r="M1258" s="2360">
        <f t="shared" ref="M1258:M1274" si="214">I1258*G1258</f>
        <v>0</v>
      </c>
      <c r="N1258" s="2359"/>
      <c r="O1258" s="2360">
        <f t="shared" ref="O1258:O1264" si="215">K1258*G1258</f>
        <v>0</v>
      </c>
      <c r="P1258" s="2265"/>
      <c r="Q1258" s="2266"/>
      <c r="R1258" s="2266"/>
      <c r="S1258" s="2266"/>
    </row>
    <row r="1259" spans="1:21" s="2105" customFormat="1" outlineLevel="1">
      <c r="A1259" s="2182" t="str">
        <f t="shared" si="212"/>
        <v/>
      </c>
      <c r="B1259" s="2252" t="s">
        <v>1137</v>
      </c>
      <c r="C1259" s="2258"/>
      <c r="D1259" s="2152">
        <v>0</v>
      </c>
      <c r="E1259" s="2194" t="s">
        <v>6339</v>
      </c>
      <c r="F1259" s="2152" t="s">
        <v>2248</v>
      </c>
      <c r="G1259" s="2426">
        <f>4*G1256</f>
        <v>0</v>
      </c>
      <c r="H1259" s="2359">
        <v>31625</v>
      </c>
      <c r="I1259" s="2416"/>
      <c r="J1259" s="2359"/>
      <c r="K1259" s="2359">
        <v>0</v>
      </c>
      <c r="L1259" s="2360">
        <f t="shared" si="213"/>
        <v>0</v>
      </c>
      <c r="M1259" s="2360">
        <f t="shared" si="214"/>
        <v>0</v>
      </c>
      <c r="N1259" s="2359"/>
      <c r="O1259" s="2360">
        <f t="shared" si="215"/>
        <v>0</v>
      </c>
      <c r="P1259" s="2265"/>
      <c r="Q1259" s="2266"/>
      <c r="R1259" s="2266"/>
      <c r="S1259" s="2266"/>
    </row>
    <row r="1260" spans="1:21" s="2105" customFormat="1" outlineLevel="1">
      <c r="A1260" s="2182" t="str">
        <f t="shared" si="212"/>
        <v/>
      </c>
      <c r="B1260" s="2252" t="s">
        <v>1138</v>
      </c>
      <c r="C1260" s="2258"/>
      <c r="D1260" s="2152">
        <v>0</v>
      </c>
      <c r="E1260" s="2194" t="s">
        <v>6340</v>
      </c>
      <c r="F1260" s="2152" t="s">
        <v>2248</v>
      </c>
      <c r="G1260" s="2426">
        <f>2*G1256</f>
        <v>0</v>
      </c>
      <c r="H1260" s="2359">
        <v>31625</v>
      </c>
      <c r="I1260" s="2416"/>
      <c r="J1260" s="2359"/>
      <c r="K1260" s="2359">
        <v>0</v>
      </c>
      <c r="L1260" s="2360">
        <f t="shared" si="213"/>
        <v>0</v>
      </c>
      <c r="M1260" s="2360">
        <f t="shared" si="214"/>
        <v>0</v>
      </c>
      <c r="N1260" s="2359"/>
      <c r="O1260" s="2360">
        <f t="shared" si="215"/>
        <v>0</v>
      </c>
      <c r="P1260" s="2265"/>
      <c r="Q1260" s="2266"/>
      <c r="R1260" s="2266"/>
      <c r="S1260" s="2266"/>
    </row>
    <row r="1261" spans="1:21" s="2105" customFormat="1" outlineLevel="1">
      <c r="A1261" s="2182" t="str">
        <f t="shared" si="212"/>
        <v/>
      </c>
      <c r="B1261" s="2261" t="s">
        <v>1781</v>
      </c>
      <c r="C1261" s="2258"/>
      <c r="D1261" s="2152">
        <v>0</v>
      </c>
      <c r="E1261" s="2194" t="s">
        <v>2662</v>
      </c>
      <c r="F1261" s="2152" t="s">
        <v>2439</v>
      </c>
      <c r="G1261" s="2426">
        <f>$G$1256*10</f>
        <v>0</v>
      </c>
      <c r="H1261" s="2359">
        <v>34800</v>
      </c>
      <c r="I1261" s="2416"/>
      <c r="J1261" s="2359">
        <v>0</v>
      </c>
      <c r="K1261" s="2359">
        <v>0</v>
      </c>
      <c r="L1261" s="2360">
        <f t="shared" si="213"/>
        <v>0</v>
      </c>
      <c r="M1261" s="2360">
        <f t="shared" si="214"/>
        <v>0</v>
      </c>
      <c r="N1261" s="2360">
        <f t="shared" ref="N1261:N1268" si="216">J1261*G1261</f>
        <v>0</v>
      </c>
      <c r="O1261" s="2360">
        <f t="shared" si="215"/>
        <v>0</v>
      </c>
      <c r="P1261" s="2265"/>
      <c r="Q1261" s="2266"/>
      <c r="R1261" s="2266"/>
      <c r="S1261" s="2266"/>
    </row>
    <row r="1262" spans="1:21" s="2105" customFormat="1" outlineLevel="1">
      <c r="A1262" s="2182" t="str">
        <f t="shared" si="212"/>
        <v/>
      </c>
      <c r="B1262" s="2261" t="s">
        <v>1083</v>
      </c>
      <c r="C1262" s="2258"/>
      <c r="D1262" s="2152">
        <v>0</v>
      </c>
      <c r="E1262" s="2194" t="s">
        <v>2652</v>
      </c>
      <c r="F1262" s="2152" t="s">
        <v>2439</v>
      </c>
      <c r="G1262" s="2426">
        <f>$G$1256*2</f>
        <v>0</v>
      </c>
      <c r="H1262" s="2359">
        <v>29900</v>
      </c>
      <c r="I1262" s="2416"/>
      <c r="J1262" s="2359">
        <v>0</v>
      </c>
      <c r="K1262" s="2359">
        <v>0</v>
      </c>
      <c r="L1262" s="2360">
        <f t="shared" si="213"/>
        <v>0</v>
      </c>
      <c r="M1262" s="2360">
        <f t="shared" si="214"/>
        <v>0</v>
      </c>
      <c r="N1262" s="2360">
        <f t="shared" si="216"/>
        <v>0</v>
      </c>
      <c r="O1262" s="2360">
        <f t="shared" si="215"/>
        <v>0</v>
      </c>
      <c r="P1262" s="2265"/>
      <c r="Q1262" s="2266"/>
      <c r="R1262" s="2266"/>
      <c r="S1262" s="2266"/>
    </row>
    <row r="1263" spans="1:21" s="2105" customFormat="1" outlineLevel="1">
      <c r="A1263" s="2182" t="str">
        <f t="shared" si="212"/>
        <v/>
      </c>
      <c r="B1263" s="2261" t="s">
        <v>1079</v>
      </c>
      <c r="C1263" s="2258"/>
      <c r="D1263" s="2152">
        <v>0</v>
      </c>
      <c r="E1263" s="2194" t="s">
        <v>2651</v>
      </c>
      <c r="F1263" s="2152" t="s">
        <v>2439</v>
      </c>
      <c r="G1263" s="2426">
        <f>$G$1256*12</f>
        <v>0</v>
      </c>
      <c r="H1263" s="2359">
        <v>27900</v>
      </c>
      <c r="I1263" s="2416"/>
      <c r="J1263" s="2359">
        <v>0</v>
      </c>
      <c r="K1263" s="2359">
        <v>0</v>
      </c>
      <c r="L1263" s="2360">
        <f t="shared" si="213"/>
        <v>0</v>
      </c>
      <c r="M1263" s="2360">
        <f t="shared" si="214"/>
        <v>0</v>
      </c>
      <c r="N1263" s="2360">
        <f t="shared" si="216"/>
        <v>0</v>
      </c>
      <c r="O1263" s="2360">
        <f t="shared" si="215"/>
        <v>0</v>
      </c>
      <c r="P1263" s="2265"/>
      <c r="Q1263" s="2266"/>
      <c r="R1263" s="2266"/>
      <c r="S1263" s="2266"/>
    </row>
    <row r="1264" spans="1:21" s="2105" customFormat="1" outlineLevel="1">
      <c r="A1264" s="2182" t="str">
        <f>IF(G1264&lt;&gt;0,1,"")</f>
        <v/>
      </c>
      <c r="B1264" s="2121" t="s">
        <v>5425</v>
      </c>
      <c r="C1264" s="2258"/>
      <c r="D1264" s="2152" t="s">
        <v>5426</v>
      </c>
      <c r="E1264" s="2194" t="s">
        <v>5427</v>
      </c>
      <c r="F1264" s="2152" t="s">
        <v>2248</v>
      </c>
      <c r="G1264" s="2426"/>
      <c r="H1264" s="2359">
        <v>0</v>
      </c>
      <c r="I1264" s="2416"/>
      <c r="J1264" s="2359">
        <v>2025</v>
      </c>
      <c r="K1264" s="2359">
        <v>0</v>
      </c>
      <c r="L1264" s="2360">
        <f>H1264*G1264</f>
        <v>0</v>
      </c>
      <c r="M1264" s="2360">
        <f t="shared" si="214"/>
        <v>0</v>
      </c>
      <c r="N1264" s="2359">
        <v>0</v>
      </c>
      <c r="O1264" s="2360">
        <f t="shared" si="215"/>
        <v>0</v>
      </c>
      <c r="P1264" s="2265"/>
      <c r="Q1264" s="2266"/>
      <c r="R1264" s="2266"/>
      <c r="S1264" s="2266"/>
    </row>
    <row r="1265" spans="1:20" s="2105" customFormat="1" outlineLevel="1">
      <c r="A1265" s="2182" t="str">
        <f>IF(G1265&lt;&gt;0,1,"")</f>
        <v/>
      </c>
      <c r="B1265" s="2261"/>
      <c r="C1265" s="2258">
        <f>IF(G1265&gt;0,C1256+1,C1256)</f>
        <v>0</v>
      </c>
      <c r="D1265" s="2259"/>
      <c r="E1265" s="2417" t="s">
        <v>6227</v>
      </c>
      <c r="F1265" s="2258" t="s">
        <v>2385</v>
      </c>
      <c r="G1265" s="2230">
        <f>+G1256*2</f>
        <v>0</v>
      </c>
      <c r="H1265" s="2416"/>
      <c r="I1265" s="2416"/>
      <c r="J1265" s="2416"/>
      <c r="K1265" s="2416"/>
      <c r="L1265" s="2360">
        <f t="shared" ref="L1265:L1279" si="217">H1265*G1265</f>
        <v>0</v>
      </c>
      <c r="M1265" s="2360">
        <f t="shared" si="214"/>
        <v>0</v>
      </c>
      <c r="N1265" s="2360">
        <f t="shared" si="216"/>
        <v>0</v>
      </c>
      <c r="O1265" s="2360">
        <f>K1265*G1265</f>
        <v>0</v>
      </c>
      <c r="P1265" s="2265"/>
      <c r="Q1265" s="2266">
        <f>+SUM(L1266:L1269)</f>
        <v>0</v>
      </c>
      <c r="R1265" s="2266">
        <f>+SUM(M1266:M1269)</f>
        <v>0</v>
      </c>
      <c r="S1265" s="2266">
        <f>+SUM(N1266:N1269)</f>
        <v>0</v>
      </c>
      <c r="T1265" s="2266">
        <f>+SUM(O1266:O1269)</f>
        <v>0</v>
      </c>
    </row>
    <row r="1266" spans="1:20" s="2105" customFormat="1" ht="14.4" outlineLevel="1">
      <c r="A1266" s="2182" t="str">
        <f>A1265</f>
        <v/>
      </c>
      <c r="B1266" s="2261"/>
      <c r="C1266" s="2258"/>
      <c r="D1266" s="2259"/>
      <c r="E1266" s="2267" t="s">
        <v>6133</v>
      </c>
      <c r="F1266" s="2268"/>
      <c r="G1266" s="2426"/>
      <c r="H1266" s="2416"/>
      <c r="I1266" s="2416"/>
      <c r="J1266" s="2416"/>
      <c r="K1266" s="2416"/>
      <c r="L1266" s="2360">
        <f t="shared" si="217"/>
        <v>0</v>
      </c>
      <c r="M1266" s="2360">
        <f t="shared" si="214"/>
        <v>0</v>
      </c>
      <c r="N1266" s="2360">
        <f t="shared" si="216"/>
        <v>0</v>
      </c>
      <c r="O1266" s="2360">
        <f>K1266*G1266</f>
        <v>0</v>
      </c>
      <c r="P1266" s="2265"/>
      <c r="Q1266" s="2266"/>
      <c r="R1266" s="2266"/>
      <c r="S1266" s="2266"/>
    </row>
    <row r="1267" spans="1:20" s="2105" customFormat="1" outlineLevel="1">
      <c r="A1267" s="2182" t="str">
        <f>IF(G1267&lt;&gt;0,1,"")</f>
        <v/>
      </c>
      <c r="B1267" s="2252" t="s">
        <v>6228</v>
      </c>
      <c r="C1267" s="2258"/>
      <c r="D1267" s="2152">
        <v>0</v>
      </c>
      <c r="E1267" s="2194" t="s">
        <v>5243</v>
      </c>
      <c r="F1267" s="2152" t="s">
        <v>5174</v>
      </c>
      <c r="G1267" s="2426">
        <f>1*G1265</f>
        <v>0</v>
      </c>
      <c r="H1267" s="2264">
        <v>470449</v>
      </c>
      <c r="I1267" s="2359"/>
      <c r="J1267" s="2359">
        <v>0</v>
      </c>
      <c r="K1267" s="2359">
        <v>0</v>
      </c>
      <c r="L1267" s="2360">
        <f t="shared" si="217"/>
        <v>0</v>
      </c>
      <c r="M1267" s="2360">
        <f t="shared" si="214"/>
        <v>0</v>
      </c>
      <c r="N1267" s="2360">
        <f t="shared" si="216"/>
        <v>0</v>
      </c>
      <c r="O1267" s="2360">
        <f>K1267*G1267</f>
        <v>0</v>
      </c>
      <c r="P1267" s="2265"/>
      <c r="Q1267" s="2266"/>
      <c r="R1267" s="2266"/>
      <c r="S1267" s="2266"/>
    </row>
    <row r="1268" spans="1:20" s="2105" customFormat="1" outlineLevel="1">
      <c r="A1268" s="2182" t="str">
        <f>IF(G1268&lt;&gt;0,1,"")</f>
        <v/>
      </c>
      <c r="B1268" s="2261" t="s">
        <v>1610</v>
      </c>
      <c r="C1268" s="2258"/>
      <c r="D1268" s="2152">
        <v>0</v>
      </c>
      <c r="E1268" s="2194" t="s">
        <v>2649</v>
      </c>
      <c r="F1268" s="2152" t="s">
        <v>2439</v>
      </c>
      <c r="G1268" s="2426">
        <f>+G1265*2</f>
        <v>0</v>
      </c>
      <c r="H1268" s="2264">
        <v>25400</v>
      </c>
      <c r="I1268" s="2359">
        <v>0</v>
      </c>
      <c r="J1268" s="2359">
        <v>0</v>
      </c>
      <c r="K1268" s="2359">
        <v>0</v>
      </c>
      <c r="L1268" s="2360">
        <f>H1268*G1268</f>
        <v>0</v>
      </c>
      <c r="M1268" s="2360">
        <f t="shared" si="214"/>
        <v>0</v>
      </c>
      <c r="N1268" s="2360">
        <f t="shared" si="216"/>
        <v>0</v>
      </c>
      <c r="O1268" s="2360">
        <f>K1268*G1268</f>
        <v>0</v>
      </c>
      <c r="P1268" s="2265"/>
      <c r="Q1268" s="2266"/>
      <c r="R1268" s="2266"/>
      <c r="S1268" s="2266"/>
    </row>
    <row r="1269" spans="1:20" s="2105" customFormat="1" outlineLevel="1">
      <c r="A1269" s="2182" t="str">
        <f>IF(G1269&lt;&gt;0,1,"")</f>
        <v/>
      </c>
      <c r="B1269" s="2121" t="s">
        <v>5425</v>
      </c>
      <c r="C1269" s="2258"/>
      <c r="D1269" s="2152" t="s">
        <v>5426</v>
      </c>
      <c r="E1269" s="2194" t="s">
        <v>5427</v>
      </c>
      <c r="F1269" s="2152" t="s">
        <v>2248</v>
      </c>
      <c r="G1269" s="2426">
        <f>9.02*(2.6+3*0.07)*G1265</f>
        <v>0</v>
      </c>
      <c r="H1269" s="2264">
        <v>0</v>
      </c>
      <c r="I1269" s="2359"/>
      <c r="J1269" s="2359">
        <v>2025</v>
      </c>
      <c r="K1269" s="2359">
        <v>0</v>
      </c>
      <c r="L1269" s="2360">
        <f>H1269*G1269</f>
        <v>0</v>
      </c>
      <c r="M1269" s="2360">
        <f t="shared" si="214"/>
        <v>0</v>
      </c>
      <c r="N1269" s="2359">
        <v>0</v>
      </c>
      <c r="O1269" s="2360"/>
      <c r="P1269" s="2265"/>
      <c r="Q1269" s="2266"/>
      <c r="R1269" s="2266"/>
      <c r="S1269" s="2266"/>
    </row>
    <row r="1270" spans="1:20" s="2105" customFormat="1" outlineLevel="1">
      <c r="A1270" s="2182" t="str">
        <f>IF(G1270&lt;&gt;0,1,"")</f>
        <v/>
      </c>
      <c r="B1270" s="2261"/>
      <c r="C1270" s="2258">
        <f>IF(G1270&gt;0,C1257+1,C1257)</f>
        <v>0</v>
      </c>
      <c r="D1270" s="2259"/>
      <c r="E1270" s="2417" t="s">
        <v>6219</v>
      </c>
      <c r="F1270" s="2258" t="s">
        <v>2385</v>
      </c>
      <c r="G1270" s="2230">
        <f>+G1226*1</f>
        <v>0</v>
      </c>
      <c r="H1270" s="2416"/>
      <c r="I1270" s="2416"/>
      <c r="J1270" s="2416"/>
      <c r="K1270" s="2416"/>
      <c r="L1270" s="2360">
        <f t="shared" ref="L1270:L1275" si="218">H1270*G1270</f>
        <v>0</v>
      </c>
      <c r="M1270" s="2360">
        <f t="shared" si="214"/>
        <v>0</v>
      </c>
      <c r="N1270" s="2360">
        <f>J1270*G1270</f>
        <v>0</v>
      </c>
      <c r="O1270" s="2360">
        <f>K1270*G1270</f>
        <v>0</v>
      </c>
      <c r="P1270" s="2265"/>
      <c r="Q1270" s="2266">
        <f>+SUM(L1271:L1275)</f>
        <v>0</v>
      </c>
      <c r="R1270" s="2266"/>
      <c r="S1270" s="2266">
        <f>+SUM(N1271:N1275)</f>
        <v>0</v>
      </c>
      <c r="T1270" s="2266">
        <f>+SUM(O1271:O1275)</f>
        <v>0</v>
      </c>
    </row>
    <row r="1271" spans="1:20" s="2105" customFormat="1" ht="14.4" outlineLevel="1">
      <c r="A1271" s="2182" t="str">
        <f>A1270</f>
        <v/>
      </c>
      <c r="B1271" s="2261"/>
      <c r="C1271" s="2258"/>
      <c r="D1271" s="2259"/>
      <c r="E1271" s="2267" t="s">
        <v>6133</v>
      </c>
      <c r="F1271" s="2268"/>
      <c r="G1271" s="2426"/>
      <c r="H1271" s="2416"/>
      <c r="I1271" s="2416"/>
      <c r="J1271" s="2416"/>
      <c r="K1271" s="2416"/>
      <c r="L1271" s="2360">
        <f t="shared" si="218"/>
        <v>0</v>
      </c>
      <c r="M1271" s="2360">
        <f t="shared" si="214"/>
        <v>0</v>
      </c>
      <c r="N1271" s="2360">
        <f>J1271*G1271</f>
        <v>0</v>
      </c>
      <c r="O1271" s="2360">
        <f>K1271*G1271</f>
        <v>0</v>
      </c>
      <c r="P1271" s="2265"/>
      <c r="Q1271" s="2266"/>
      <c r="R1271" s="2266"/>
      <c r="S1271" s="2266"/>
    </row>
    <row r="1272" spans="1:20" s="2105" customFormat="1" outlineLevel="1">
      <c r="A1272" s="2182" t="str">
        <f>IF(G1272&lt;&gt;0,1,"")</f>
        <v/>
      </c>
      <c r="B1272" s="2133" t="s">
        <v>5155</v>
      </c>
      <c r="C1272" s="2258"/>
      <c r="D1272" s="2152">
        <v>0</v>
      </c>
      <c r="E1272" s="2194" t="s">
        <v>5156</v>
      </c>
      <c r="F1272" s="2152" t="s">
        <v>2590</v>
      </c>
      <c r="G1272" s="2426">
        <f>+G1270*1</f>
        <v>0</v>
      </c>
      <c r="H1272" s="2359">
        <v>878000</v>
      </c>
      <c r="I1272" s="2359"/>
      <c r="J1272" s="2359">
        <v>0</v>
      </c>
      <c r="K1272" s="2359">
        <v>0</v>
      </c>
      <c r="L1272" s="2360">
        <f t="shared" si="218"/>
        <v>0</v>
      </c>
      <c r="M1272" s="2360">
        <f t="shared" si="214"/>
        <v>0</v>
      </c>
      <c r="N1272" s="2360">
        <f>J1272*G1272</f>
        <v>0</v>
      </c>
      <c r="O1272" s="2360">
        <f>K1272*G1272</f>
        <v>0</v>
      </c>
      <c r="P1272" s="2265"/>
      <c r="Q1272" s="2266"/>
      <c r="R1272" s="2266"/>
      <c r="S1272" s="2266"/>
    </row>
    <row r="1273" spans="1:20" s="2105" customFormat="1" outlineLevel="1">
      <c r="A1273" s="2182" t="str">
        <f>IF(G1273&lt;&gt;0,1,"")</f>
        <v/>
      </c>
      <c r="B1273" s="2130" t="s">
        <v>488</v>
      </c>
      <c r="C1273" s="2258"/>
      <c r="D1273" s="2152">
        <v>0</v>
      </c>
      <c r="E1273" s="2194" t="s">
        <v>5078</v>
      </c>
      <c r="F1273" s="2152" t="s">
        <v>2439</v>
      </c>
      <c r="G1273" s="2426">
        <f>+G1270*3</f>
        <v>0</v>
      </c>
      <c r="H1273" s="2359">
        <v>65000</v>
      </c>
      <c r="I1273" s="2359">
        <v>0</v>
      </c>
      <c r="J1273" s="2359">
        <v>0</v>
      </c>
      <c r="K1273" s="2359">
        <v>0</v>
      </c>
      <c r="L1273" s="2360">
        <f t="shared" si="218"/>
        <v>0</v>
      </c>
      <c r="M1273" s="2360">
        <f t="shared" si="214"/>
        <v>0</v>
      </c>
      <c r="N1273" s="2360">
        <f>J1273*G1273</f>
        <v>0</v>
      </c>
      <c r="O1273" s="2360">
        <f>K1273*G1273</f>
        <v>0</v>
      </c>
      <c r="P1273" s="2265"/>
      <c r="Q1273" s="2266"/>
      <c r="R1273" s="2266"/>
      <c r="S1273" s="2266"/>
    </row>
    <row r="1274" spans="1:20" s="2105" customFormat="1" outlineLevel="1">
      <c r="A1274" s="2182" t="str">
        <f>IF(G1274&lt;&gt;0,1,"")</f>
        <v/>
      </c>
      <c r="B1274" s="2261" t="s">
        <v>1079</v>
      </c>
      <c r="C1274" s="2258"/>
      <c r="D1274" s="2152">
        <v>0</v>
      </c>
      <c r="E1274" s="2194" t="s">
        <v>2651</v>
      </c>
      <c r="F1274" s="2152" t="s">
        <v>2439</v>
      </c>
      <c r="G1274" s="2426">
        <f>+G1270*2</f>
        <v>0</v>
      </c>
      <c r="H1274" s="2359">
        <v>27900</v>
      </c>
      <c r="I1274" s="2416"/>
      <c r="J1274" s="2359">
        <v>0</v>
      </c>
      <c r="K1274" s="2359">
        <v>0</v>
      </c>
      <c r="L1274" s="2360">
        <f t="shared" si="218"/>
        <v>0</v>
      </c>
      <c r="M1274" s="2360">
        <f t="shared" si="214"/>
        <v>0</v>
      </c>
      <c r="N1274" s="2360">
        <f>J1274*G1274</f>
        <v>0</v>
      </c>
      <c r="O1274" s="2360">
        <f>K1274*G1274</f>
        <v>0</v>
      </c>
      <c r="P1274" s="2265"/>
      <c r="Q1274" s="2266"/>
      <c r="R1274" s="2266"/>
      <c r="S1274" s="2266"/>
    </row>
    <row r="1275" spans="1:20" s="2105" customFormat="1" outlineLevel="1">
      <c r="A1275" s="2182" t="str">
        <f>IF(G1275&lt;&gt;0,1,"")</f>
        <v/>
      </c>
      <c r="B1275" s="2121" t="s">
        <v>5374</v>
      </c>
      <c r="C1275" s="2258"/>
      <c r="D1275" s="2152" t="s">
        <v>5148</v>
      </c>
      <c r="E1275" s="2194" t="s">
        <v>5375</v>
      </c>
      <c r="F1275" s="2152" t="s">
        <v>2439</v>
      </c>
      <c r="G1275" s="2426">
        <f>+G1270</f>
        <v>0</v>
      </c>
      <c r="H1275" s="2264">
        <v>0</v>
      </c>
      <c r="I1275" s="2359"/>
      <c r="J1275" s="2359" t="s">
        <v>6351</v>
      </c>
      <c r="K1275" s="2359"/>
      <c r="L1275" s="2360">
        <f t="shared" si="218"/>
        <v>0</v>
      </c>
      <c r="M1275" s="2360"/>
      <c r="N1275" s="2359">
        <v>0</v>
      </c>
      <c r="O1275" s="2360"/>
      <c r="P1275" s="2265"/>
      <c r="Q1275" s="2266"/>
      <c r="R1275" s="2266"/>
      <c r="S1275" s="2266"/>
    </row>
    <row r="1276" spans="1:20" s="2105" customFormat="1" outlineLevel="1">
      <c r="A1276" s="2182" t="str">
        <f>IF(G1276&lt;&gt;0,1,"")</f>
        <v/>
      </c>
      <c r="B1276" s="2261"/>
      <c r="C1276" s="2258">
        <f>IF(G1276&gt;0,C1265+1,C1265)</f>
        <v>0</v>
      </c>
      <c r="D1276" s="2259"/>
      <c r="E1276" s="2417" t="s">
        <v>6221</v>
      </c>
      <c r="F1276" s="2258" t="s">
        <v>2385</v>
      </c>
      <c r="G1276" s="2230">
        <f>$G$1256*2*0</f>
        <v>0</v>
      </c>
      <c r="H1276" s="2416"/>
      <c r="I1276" s="2416"/>
      <c r="J1276" s="2416"/>
      <c r="K1276" s="2416"/>
      <c r="L1276" s="2360">
        <f t="shared" si="217"/>
        <v>0</v>
      </c>
      <c r="M1276" s="2360">
        <f>I1276*G1276</f>
        <v>0</v>
      </c>
      <c r="N1276" s="2360">
        <f>J1276*G1276</f>
        <v>0</v>
      </c>
      <c r="O1276" s="2360">
        <f>K1276*G1276</f>
        <v>0</v>
      </c>
      <c r="P1276" s="2265"/>
      <c r="Q1276" s="2266">
        <f>+SUM(L1277:L1281)</f>
        <v>0</v>
      </c>
      <c r="R1276" s="2266">
        <f>+SUM(M1277:M1281)</f>
        <v>0</v>
      </c>
      <c r="S1276" s="2266">
        <f>+SUM(N1277:N1281)</f>
        <v>0</v>
      </c>
      <c r="T1276" s="2266">
        <f>+SUM(O1277:O1281)</f>
        <v>0</v>
      </c>
    </row>
    <row r="1277" spans="1:20" s="2105" customFormat="1" ht="14.4" outlineLevel="1">
      <c r="A1277" s="2182" t="str">
        <f>A1276</f>
        <v/>
      </c>
      <c r="B1277" s="2261"/>
      <c r="C1277" s="2258"/>
      <c r="D1277" s="2259"/>
      <c r="E1277" s="2267" t="s">
        <v>6133</v>
      </c>
      <c r="F1277" s="2268"/>
      <c r="G1277" s="2426"/>
      <c r="H1277" s="2416"/>
      <c r="I1277" s="2416"/>
      <c r="J1277" s="2416"/>
      <c r="K1277" s="2416"/>
      <c r="L1277" s="2360">
        <f t="shared" si="217"/>
        <v>0</v>
      </c>
      <c r="M1277" s="2360">
        <f>I1277*G1277</f>
        <v>0</v>
      </c>
      <c r="N1277" s="2360">
        <f>J1277*G1277</f>
        <v>0</v>
      </c>
      <c r="O1277" s="2360">
        <f>K1277*G1277</f>
        <v>0</v>
      </c>
      <c r="P1277" s="2265"/>
      <c r="Q1277" s="2266"/>
      <c r="R1277" s="2266"/>
      <c r="S1277" s="2266"/>
    </row>
    <row r="1278" spans="1:20" s="2105" customFormat="1" outlineLevel="1">
      <c r="A1278" s="2182" t="str">
        <f>IF(G1278&lt;&gt;0,1,"")</f>
        <v/>
      </c>
      <c r="B1278" s="2261" t="s">
        <v>2022</v>
      </c>
      <c r="C1278" s="2258"/>
      <c r="D1278" s="2152">
        <v>0</v>
      </c>
      <c r="E1278" s="2194" t="s">
        <v>2437</v>
      </c>
      <c r="F1278" s="2152" t="s">
        <v>2248</v>
      </c>
      <c r="G1278" s="2426">
        <f>$G$1276*9.02*2.6</f>
        <v>0</v>
      </c>
      <c r="H1278" s="2264">
        <v>32074</v>
      </c>
      <c r="I1278" s="2359"/>
      <c r="J1278" s="2359">
        <v>0</v>
      </c>
      <c r="K1278" s="2359"/>
      <c r="L1278" s="2360">
        <f t="shared" si="217"/>
        <v>0</v>
      </c>
      <c r="M1278" s="2360"/>
      <c r="N1278" s="2360"/>
      <c r="O1278" s="2360"/>
      <c r="P1278" s="2265"/>
      <c r="Q1278" s="2266"/>
      <c r="R1278" s="2266"/>
      <c r="S1278" s="2266"/>
    </row>
    <row r="1279" spans="1:20" s="2105" customFormat="1" outlineLevel="1">
      <c r="A1279" s="2182" t="str">
        <f>IF(G1279&lt;&gt;0,1,"")</f>
        <v/>
      </c>
      <c r="B1279" s="2261" t="s">
        <v>1083</v>
      </c>
      <c r="C1279" s="2258"/>
      <c r="D1279" s="2152">
        <v>0</v>
      </c>
      <c r="E1279" s="2194" t="s">
        <v>2652</v>
      </c>
      <c r="F1279" s="2152" t="s">
        <v>2439</v>
      </c>
      <c r="G1279" s="2426">
        <f>$G$1276*2</f>
        <v>0</v>
      </c>
      <c r="H1279" s="2264">
        <v>29900</v>
      </c>
      <c r="I1279" s="2359">
        <v>0</v>
      </c>
      <c r="J1279" s="2359">
        <v>0</v>
      </c>
      <c r="K1279" s="2359"/>
      <c r="L1279" s="2360">
        <f t="shared" si="217"/>
        <v>0</v>
      </c>
      <c r="M1279" s="2360"/>
      <c r="N1279" s="2360"/>
      <c r="O1279" s="2360"/>
      <c r="P1279" s="2265"/>
      <c r="Q1279" s="2266"/>
      <c r="R1279" s="2266"/>
      <c r="S1279" s="2266"/>
    </row>
    <row r="1280" spans="1:20" s="2105" customFormat="1" outlineLevel="1">
      <c r="A1280" s="2182" t="str">
        <f>IF(G1280&lt;&gt;0,1,"")</f>
        <v/>
      </c>
      <c r="B1280" s="2261" t="s">
        <v>138</v>
      </c>
      <c r="C1280" s="2258"/>
      <c r="D1280" s="2152">
        <v>0</v>
      </c>
      <c r="E1280" s="2194" t="s">
        <v>2627</v>
      </c>
      <c r="F1280" s="2152" t="s">
        <v>2439</v>
      </c>
      <c r="G1280" s="2426">
        <f>$G$1276*2</f>
        <v>0</v>
      </c>
      <c r="H1280" s="2264">
        <v>8500</v>
      </c>
      <c r="I1280" s="2359">
        <v>0</v>
      </c>
      <c r="J1280" s="2359">
        <v>0</v>
      </c>
      <c r="K1280" s="2359"/>
      <c r="L1280" s="2360">
        <f>H1280*G1280</f>
        <v>0</v>
      </c>
      <c r="M1280" s="2360"/>
      <c r="N1280" s="2360"/>
      <c r="O1280" s="2360"/>
      <c r="P1280" s="2265"/>
      <c r="Q1280" s="2266"/>
      <c r="R1280" s="2266"/>
      <c r="S1280" s="2266"/>
    </row>
    <row r="1281" spans="1:20" s="2105" customFormat="1" outlineLevel="1">
      <c r="A1281" s="2182" t="str">
        <f>IF(G1281&lt;&gt;0,1,"")</f>
        <v/>
      </c>
      <c r="B1281" s="2121" t="s">
        <v>5425</v>
      </c>
      <c r="C1281" s="2258"/>
      <c r="D1281" s="2152" t="s">
        <v>5426</v>
      </c>
      <c r="E1281" s="2194" t="s">
        <v>5427</v>
      </c>
      <c r="F1281" s="2152" t="s">
        <v>2248</v>
      </c>
      <c r="G1281" s="2426">
        <f>SUM(G1278)</f>
        <v>0</v>
      </c>
      <c r="H1281" s="2264">
        <v>0</v>
      </c>
      <c r="I1281" s="2359"/>
      <c r="J1281" s="2359">
        <v>2025</v>
      </c>
      <c r="K1281" s="2359">
        <v>0</v>
      </c>
      <c r="L1281" s="2360">
        <f>H1281*G1281</f>
        <v>0</v>
      </c>
      <c r="M1281" s="2360">
        <f>I1281*G1281</f>
        <v>0</v>
      </c>
      <c r="N1281" s="2359">
        <v>0</v>
      </c>
      <c r="O1281" s="2360"/>
      <c r="P1281" s="2265"/>
      <c r="Q1281" s="2266"/>
      <c r="R1281" s="2266"/>
      <c r="S1281" s="2266"/>
    </row>
    <row r="1282" spans="1:20" s="2105" customFormat="1" outlineLevel="1">
      <c r="A1282" s="2182" t="str">
        <f>IF(G1282&lt;&gt;0,1,"")</f>
        <v/>
      </c>
      <c r="B1282" s="2261"/>
      <c r="C1282" s="2258">
        <f>IF(G1282&gt;0,C1276+1,C1276)</f>
        <v>0</v>
      </c>
      <c r="D1282" s="2259"/>
      <c r="E1282" s="2417" t="s">
        <v>3720</v>
      </c>
      <c r="F1282" s="2258" t="s">
        <v>2385</v>
      </c>
      <c r="G1282" s="2230">
        <f>G1226</f>
        <v>0</v>
      </c>
      <c r="H1282" s="2264"/>
      <c r="I1282" s="2264"/>
      <c r="J1282" s="2264"/>
      <c r="K1282" s="2264"/>
      <c r="L1282" s="2264">
        <f t="shared" ref="L1282:L1291" si="219">H1282*G1282</f>
        <v>0</v>
      </c>
      <c r="M1282" s="2264">
        <f>I1282*G1282</f>
        <v>0</v>
      </c>
      <c r="N1282" s="2264">
        <f t="shared" ref="N1282:N1291" si="220">J1282*G1282</f>
        <v>0</v>
      </c>
      <c r="O1282" s="2264">
        <f>K1282*G1282</f>
        <v>0</v>
      </c>
      <c r="P1282" s="2389"/>
      <c r="Q1282" s="2266">
        <f>+SUM(L1283:L1299)</f>
        <v>0</v>
      </c>
      <c r="R1282" s="2266">
        <f>+SUM(M1283:M1299)</f>
        <v>0</v>
      </c>
      <c r="S1282" s="2266">
        <f>+SUM(N1283:N1299)</f>
        <v>0</v>
      </c>
      <c r="T1282" s="2266">
        <f>+SUM(O1283:O1299)</f>
        <v>0</v>
      </c>
    </row>
    <row r="1283" spans="1:20" s="2105" customFormat="1" ht="14.4" outlineLevel="1">
      <c r="A1283" s="2182" t="str">
        <f>+A1282</f>
        <v/>
      </c>
      <c r="B1283" s="2418"/>
      <c r="C1283" s="2258"/>
      <c r="D1283" s="2259"/>
      <c r="E1283" s="2267" t="s">
        <v>6133</v>
      </c>
      <c r="F1283" s="2268"/>
      <c r="G1283" s="2426"/>
      <c r="H1283" s="2264"/>
      <c r="I1283" s="2264"/>
      <c r="J1283" s="2264"/>
      <c r="K1283" s="2264"/>
      <c r="L1283" s="2264">
        <f t="shared" si="219"/>
        <v>0</v>
      </c>
      <c r="M1283" s="2264">
        <f>I1283*G1283</f>
        <v>0</v>
      </c>
      <c r="N1283" s="2264">
        <f t="shared" si="220"/>
        <v>0</v>
      </c>
      <c r="O1283" s="2264">
        <f>K1283*G1283</f>
        <v>0</v>
      </c>
      <c r="P1283" s="2389"/>
      <c r="Q1283" s="2266"/>
      <c r="R1283" s="2266"/>
      <c r="S1283" s="2266"/>
    </row>
    <row r="1284" spans="1:20" s="2105" customFormat="1" outlineLevel="1">
      <c r="A1284" s="2182" t="str">
        <f t="shared" ref="A1284:A1295" si="221">IF(G1284&lt;&gt;0,1,"")</f>
        <v/>
      </c>
      <c r="B1284" s="2261" t="s">
        <v>1033</v>
      </c>
      <c r="C1284" s="2258"/>
      <c r="D1284" s="2152">
        <v>0</v>
      </c>
      <c r="E1284" s="2194" t="s">
        <v>2700</v>
      </c>
      <c r="F1284" s="2152" t="s">
        <v>2248</v>
      </c>
      <c r="G1284" s="2426">
        <f>66.75*0.224*G1282</f>
        <v>0</v>
      </c>
      <c r="H1284" s="2264">
        <v>255500</v>
      </c>
      <c r="I1284" s="2264"/>
      <c r="J1284" s="2264">
        <v>0</v>
      </c>
      <c r="K1284" s="2264">
        <v>0</v>
      </c>
      <c r="L1284" s="2264">
        <f t="shared" si="219"/>
        <v>0</v>
      </c>
      <c r="M1284" s="2264">
        <f>I1284*G1284</f>
        <v>0</v>
      </c>
      <c r="N1284" s="2264">
        <f t="shared" si="220"/>
        <v>0</v>
      </c>
      <c r="O1284" s="2264">
        <f>K1284*G1284</f>
        <v>0</v>
      </c>
      <c r="P1284" s="2389"/>
      <c r="Q1284" s="2266"/>
      <c r="R1284" s="2266"/>
      <c r="S1284" s="2266"/>
    </row>
    <row r="1285" spans="1:20" s="2105" customFormat="1" outlineLevel="1">
      <c r="A1285" s="2182" t="str">
        <f t="shared" si="221"/>
        <v/>
      </c>
      <c r="B1285" s="2252" t="s">
        <v>1508</v>
      </c>
      <c r="C1285" s="2258"/>
      <c r="D1285" s="2152">
        <v>0</v>
      </c>
      <c r="E1285" s="2194" t="s">
        <v>5163</v>
      </c>
      <c r="F1285" s="2152" t="s">
        <v>2439</v>
      </c>
      <c r="G1285" s="2426">
        <f>12*G1282</f>
        <v>0</v>
      </c>
      <c r="H1285" s="2264">
        <v>160000</v>
      </c>
      <c r="I1285" s="2264"/>
      <c r="J1285" s="2264">
        <v>0</v>
      </c>
      <c r="K1285" s="2264">
        <v>0</v>
      </c>
      <c r="L1285" s="2264">
        <f t="shared" si="219"/>
        <v>0</v>
      </c>
      <c r="M1285" s="2264">
        <f>I1285*G1285</f>
        <v>0</v>
      </c>
      <c r="N1285" s="2264">
        <f t="shared" si="220"/>
        <v>0</v>
      </c>
      <c r="O1285" s="2264">
        <f>K1285*G1285</f>
        <v>0</v>
      </c>
      <c r="P1285" s="2389"/>
      <c r="Q1285" s="2266"/>
      <c r="R1285" s="2266"/>
      <c r="S1285" s="2266"/>
    </row>
    <row r="1286" spans="1:20" s="2105" customFormat="1" outlineLevel="1">
      <c r="A1286" s="2182" t="str">
        <f t="shared" si="221"/>
        <v/>
      </c>
      <c r="B1286" s="2261" t="s">
        <v>1579</v>
      </c>
      <c r="C1286" s="2258"/>
      <c r="D1286" s="2152">
        <v>0</v>
      </c>
      <c r="E1286" s="2194" t="s">
        <v>2873</v>
      </c>
      <c r="F1286" s="2152" t="s">
        <v>2555</v>
      </c>
      <c r="G1286" s="2426">
        <f>2*G1282</f>
        <v>0</v>
      </c>
      <c r="H1286" s="2264">
        <v>8000</v>
      </c>
      <c r="I1286" s="2264"/>
      <c r="J1286" s="2264">
        <v>0</v>
      </c>
      <c r="K1286" s="2264"/>
      <c r="L1286" s="2264">
        <f>H1286*G1286</f>
        <v>0</v>
      </c>
      <c r="M1286" s="2264"/>
      <c r="N1286" s="2264">
        <f>J1286*G1286</f>
        <v>0</v>
      </c>
      <c r="O1286" s="2264"/>
      <c r="P1286" s="2389"/>
      <c r="Q1286" s="2266"/>
      <c r="R1286" s="2266"/>
      <c r="S1286" s="2266"/>
    </row>
    <row r="1287" spans="1:20" s="2105" customFormat="1" outlineLevel="1">
      <c r="A1287" s="2182" t="str">
        <f t="shared" si="221"/>
        <v/>
      </c>
      <c r="B1287" s="2261" t="s">
        <v>1062</v>
      </c>
      <c r="C1287" s="2419"/>
      <c r="D1287" s="2152">
        <v>0</v>
      </c>
      <c r="E1287" s="2194" t="s">
        <v>3581</v>
      </c>
      <c r="F1287" s="2152" t="s">
        <v>2555</v>
      </c>
      <c r="G1287" s="2426">
        <f>G1282*3</f>
        <v>0</v>
      </c>
      <c r="H1287" s="2264">
        <v>17600</v>
      </c>
      <c r="I1287" s="2264"/>
      <c r="J1287" s="2264">
        <v>0</v>
      </c>
      <c r="K1287" s="2264"/>
      <c r="L1287" s="2264">
        <f>H1287*G1287</f>
        <v>0</v>
      </c>
      <c r="M1287" s="2264">
        <f t="shared" ref="M1287:M1295" si="222">I1287*G1287</f>
        <v>0</v>
      </c>
      <c r="N1287" s="2264">
        <f>J1287*G1287</f>
        <v>0</v>
      </c>
      <c r="O1287" s="2264">
        <f t="shared" ref="O1287:O1295" si="223">K1287*G1287</f>
        <v>0</v>
      </c>
      <c r="P1287" s="2389"/>
      <c r="Q1287" s="2266"/>
      <c r="R1287" s="2266"/>
      <c r="S1287" s="2266"/>
    </row>
    <row r="1288" spans="1:20" s="2105" customFormat="1" outlineLevel="1">
      <c r="A1288" s="2182" t="str">
        <f t="shared" si="221"/>
        <v/>
      </c>
      <c r="B1288" s="2261" t="s">
        <v>2019</v>
      </c>
      <c r="C1288" s="2419"/>
      <c r="D1288" s="2152">
        <v>0</v>
      </c>
      <c r="E1288" s="2194" t="s">
        <v>2627</v>
      </c>
      <c r="F1288" s="2152" t="s">
        <v>2439</v>
      </c>
      <c r="G1288" s="2426">
        <f>2*G1282</f>
        <v>0</v>
      </c>
      <c r="H1288" s="2264">
        <v>8500</v>
      </c>
      <c r="I1288" s="2264"/>
      <c r="J1288" s="2264">
        <v>0</v>
      </c>
      <c r="K1288" s="2264"/>
      <c r="L1288" s="2264">
        <f>H1288*G1288</f>
        <v>0</v>
      </c>
      <c r="M1288" s="2264">
        <f t="shared" si="222"/>
        <v>0</v>
      </c>
      <c r="N1288" s="2264">
        <f>J1288*G1288</f>
        <v>0</v>
      </c>
      <c r="O1288" s="2264">
        <f t="shared" si="223"/>
        <v>0</v>
      </c>
      <c r="P1288" s="2389"/>
      <c r="Q1288" s="2266"/>
      <c r="R1288" s="2266"/>
      <c r="S1288" s="2266"/>
    </row>
    <row r="1289" spans="1:20" s="2105" customFormat="1" outlineLevel="1">
      <c r="A1289" s="2182" t="str">
        <f>IF(G1289&lt;&gt;0,1,"")</f>
        <v/>
      </c>
      <c r="B1289" s="2261" t="s">
        <v>6193</v>
      </c>
      <c r="C1289" s="2419"/>
      <c r="D1289" s="2152" t="s">
        <v>5725</v>
      </c>
      <c r="E1289" s="2194" t="s">
        <v>3479</v>
      </c>
      <c r="F1289" s="2152" t="s">
        <v>2555</v>
      </c>
      <c r="G1289" s="2426">
        <f>G1282*7</f>
        <v>0</v>
      </c>
      <c r="H1289" s="2264">
        <v>9100</v>
      </c>
      <c r="I1289" s="2264"/>
      <c r="J1289" s="2264">
        <v>10608.955000000002</v>
      </c>
      <c r="K1289" s="2359">
        <v>2777.0232475000003</v>
      </c>
      <c r="L1289" s="2264">
        <f>H1289*G1289</f>
        <v>0</v>
      </c>
      <c r="M1289" s="2264">
        <f>I1289*G1289</f>
        <v>0</v>
      </c>
      <c r="N1289" s="2264">
        <f>J1289*G1289</f>
        <v>0</v>
      </c>
      <c r="O1289" s="2264">
        <f>K1289*G1289</f>
        <v>0</v>
      </c>
      <c r="P1289" s="2389"/>
      <c r="Q1289" s="2266"/>
      <c r="R1289" s="2266"/>
      <c r="S1289" s="2266"/>
    </row>
    <row r="1290" spans="1:20" s="2105" customFormat="1" outlineLevel="1">
      <c r="A1290" s="2182" t="str">
        <f t="shared" si="221"/>
        <v/>
      </c>
      <c r="B1290" s="2261" t="s">
        <v>6194</v>
      </c>
      <c r="C1290" s="2419"/>
      <c r="D1290" s="2152" t="s">
        <v>5726</v>
      </c>
      <c r="E1290" s="2194" t="s">
        <v>3480</v>
      </c>
      <c r="F1290" s="2152" t="s">
        <v>2555</v>
      </c>
      <c r="G1290" s="2426">
        <f>G1282*2</f>
        <v>0</v>
      </c>
      <c r="H1290" s="2264">
        <v>14000</v>
      </c>
      <c r="I1290" s="2264"/>
      <c r="J1290" s="2264">
        <v>16671.215</v>
      </c>
      <c r="K1290" s="2359">
        <v>3332.427897</v>
      </c>
      <c r="L1290" s="2264">
        <f>H1290*G1290</f>
        <v>0</v>
      </c>
      <c r="M1290" s="2264">
        <f t="shared" si="222"/>
        <v>0</v>
      </c>
      <c r="N1290" s="2264">
        <f>J1290*G1290</f>
        <v>0</v>
      </c>
      <c r="O1290" s="2264">
        <f t="shared" si="223"/>
        <v>0</v>
      </c>
      <c r="P1290" s="2389"/>
      <c r="Q1290" s="2266"/>
      <c r="R1290" s="2266"/>
      <c r="S1290" s="2266"/>
    </row>
    <row r="1291" spans="1:20" s="2105" customFormat="1" outlineLevel="1">
      <c r="A1291" s="2182" t="str">
        <f t="shared" si="221"/>
        <v/>
      </c>
      <c r="B1291" s="2252" t="s">
        <v>1490</v>
      </c>
      <c r="C1291" s="2258"/>
      <c r="D1291" s="2152">
        <v>0</v>
      </c>
      <c r="E1291" s="2194" t="s">
        <v>3536</v>
      </c>
      <c r="F1291" s="2152" t="s">
        <v>1823</v>
      </c>
      <c r="G1291" s="2426">
        <f>G1282*1</f>
        <v>0</v>
      </c>
      <c r="H1291" s="2264">
        <v>6200</v>
      </c>
      <c r="I1291" s="2264"/>
      <c r="J1291" s="2264">
        <v>0</v>
      </c>
      <c r="K1291" s="2264">
        <v>0</v>
      </c>
      <c r="L1291" s="2264">
        <f t="shared" si="219"/>
        <v>0</v>
      </c>
      <c r="M1291" s="2264">
        <f t="shared" si="222"/>
        <v>0</v>
      </c>
      <c r="N1291" s="2264">
        <f t="shared" si="220"/>
        <v>0</v>
      </c>
      <c r="O1291" s="2264">
        <f t="shared" si="223"/>
        <v>0</v>
      </c>
      <c r="P1291" s="2265"/>
      <c r="Q1291" s="2266"/>
      <c r="R1291" s="2266"/>
      <c r="S1291" s="2266"/>
    </row>
    <row r="1292" spans="1:20" s="2105" customFormat="1" outlineLevel="1">
      <c r="A1292" s="2182" t="str">
        <f t="shared" si="221"/>
        <v/>
      </c>
      <c r="B1292" s="2252" t="s">
        <v>525</v>
      </c>
      <c r="C1292" s="2258"/>
      <c r="D1292" s="2152">
        <v>0</v>
      </c>
      <c r="E1292" s="2194" t="s">
        <v>5252</v>
      </c>
      <c r="F1292" s="2152" t="s">
        <v>2439</v>
      </c>
      <c r="G1292" s="2426"/>
      <c r="H1292" s="2264">
        <v>43000</v>
      </c>
      <c r="I1292" s="2264"/>
      <c r="J1292" s="2264">
        <v>0</v>
      </c>
      <c r="K1292" s="2264">
        <v>0</v>
      </c>
      <c r="L1292" s="2264">
        <f>H1292*G1292</f>
        <v>0</v>
      </c>
      <c r="M1292" s="2264">
        <f t="shared" si="222"/>
        <v>0</v>
      </c>
      <c r="N1292" s="2264">
        <f>J1292*G1292</f>
        <v>0</v>
      </c>
      <c r="O1292" s="2264">
        <f t="shared" si="223"/>
        <v>0</v>
      </c>
      <c r="P1292" s="2265"/>
      <c r="Q1292" s="2266"/>
      <c r="R1292" s="2266"/>
      <c r="S1292" s="2266"/>
    </row>
    <row r="1293" spans="1:20" s="2105" customFormat="1" outlineLevel="1">
      <c r="A1293" s="2182" t="str">
        <f t="shared" si="221"/>
        <v/>
      </c>
      <c r="B1293" s="2130" t="s">
        <v>5181</v>
      </c>
      <c r="C1293" s="2258"/>
      <c r="D1293" s="2152">
        <v>0</v>
      </c>
      <c r="E1293" s="2194" t="s">
        <v>5182</v>
      </c>
      <c r="F1293" s="2152" t="s">
        <v>2532</v>
      </c>
      <c r="G1293" s="2426">
        <f>G1282*2.4</f>
        <v>0</v>
      </c>
      <c r="H1293" s="2264">
        <v>11000</v>
      </c>
      <c r="I1293" s="2264"/>
      <c r="J1293" s="2264">
        <v>0</v>
      </c>
      <c r="K1293" s="2264">
        <v>0</v>
      </c>
      <c r="L1293" s="2264">
        <f>H1293*G1293</f>
        <v>0</v>
      </c>
      <c r="M1293" s="2264">
        <f t="shared" si="222"/>
        <v>0</v>
      </c>
      <c r="N1293" s="2264">
        <f>J1293*G1293</f>
        <v>0</v>
      </c>
      <c r="O1293" s="2264">
        <f t="shared" si="223"/>
        <v>0</v>
      </c>
      <c r="P1293" s="2265"/>
      <c r="Q1293" s="2266"/>
      <c r="R1293" s="2266"/>
      <c r="S1293" s="2266"/>
    </row>
    <row r="1294" spans="1:20" s="2105" customFormat="1" outlineLevel="1">
      <c r="A1294" s="2182" t="str">
        <f t="shared" si="221"/>
        <v/>
      </c>
      <c r="B1294" s="2130" t="s">
        <v>5183</v>
      </c>
      <c r="C1294" s="2258"/>
      <c r="D1294" s="2152">
        <v>0</v>
      </c>
      <c r="E1294" s="2194" t="s">
        <v>5184</v>
      </c>
      <c r="F1294" s="2152" t="s">
        <v>2555</v>
      </c>
      <c r="G1294" s="2426">
        <f>G1282*2</f>
        <v>0</v>
      </c>
      <c r="H1294" s="2264">
        <v>4000</v>
      </c>
      <c r="I1294" s="2264"/>
      <c r="J1294" s="2264">
        <v>0</v>
      </c>
      <c r="K1294" s="2264">
        <v>0</v>
      </c>
      <c r="L1294" s="2264">
        <f>H1294*G1294</f>
        <v>0</v>
      </c>
      <c r="M1294" s="2264">
        <f t="shared" si="222"/>
        <v>0</v>
      </c>
      <c r="N1294" s="2264">
        <f>J1294*G1294</f>
        <v>0</v>
      </c>
      <c r="O1294" s="2264">
        <f t="shared" si="223"/>
        <v>0</v>
      </c>
      <c r="P1294" s="2265"/>
      <c r="Q1294" s="2266"/>
      <c r="R1294" s="2266"/>
      <c r="S1294" s="2266"/>
    </row>
    <row r="1295" spans="1:20" s="2105" customFormat="1" outlineLevel="1">
      <c r="A1295" s="2182" t="str">
        <f t="shared" si="221"/>
        <v/>
      </c>
      <c r="B1295" s="2252" t="s">
        <v>1585</v>
      </c>
      <c r="C1295" s="2258"/>
      <c r="D1295" s="2152">
        <v>0</v>
      </c>
      <c r="E1295" s="2194" t="s">
        <v>5713</v>
      </c>
      <c r="F1295" s="2152" t="s">
        <v>3445</v>
      </c>
      <c r="G1295" s="2426"/>
      <c r="H1295" s="2264">
        <v>0</v>
      </c>
      <c r="I1295" s="2264"/>
      <c r="J1295" s="2264">
        <v>1500000</v>
      </c>
      <c r="K1295" s="2264">
        <v>0</v>
      </c>
      <c r="L1295" s="2264">
        <f>H1295*G1295</f>
        <v>0</v>
      </c>
      <c r="M1295" s="2264">
        <f t="shared" si="222"/>
        <v>0</v>
      </c>
      <c r="N1295" s="2264">
        <f>J1295*G1295</f>
        <v>0</v>
      </c>
      <c r="O1295" s="2264">
        <f t="shared" si="223"/>
        <v>0</v>
      </c>
      <c r="P1295" s="2389"/>
      <c r="Q1295" s="2266"/>
      <c r="R1295" s="2266"/>
      <c r="S1295" s="2266"/>
    </row>
    <row r="1296" spans="1:20" s="2105" customFormat="1" outlineLevel="1">
      <c r="A1296" s="2182">
        <f>IF(G1296=0,0,1)</f>
        <v>0</v>
      </c>
      <c r="B1296" s="2252" t="s">
        <v>794</v>
      </c>
      <c r="C1296" s="2268"/>
      <c r="D1296" s="2152" t="s">
        <v>5336</v>
      </c>
      <c r="E1296" s="2194" t="s">
        <v>3068</v>
      </c>
      <c r="F1296" s="2152" t="s">
        <v>856</v>
      </c>
      <c r="G1296" s="2426">
        <f>G1282*48*0.3*0.5</f>
        <v>0</v>
      </c>
      <c r="H1296" s="2264">
        <v>0</v>
      </c>
      <c r="I1296" s="2264"/>
      <c r="J1296" s="2264">
        <v>283749.75</v>
      </c>
      <c r="K1296" s="2264">
        <v>0</v>
      </c>
      <c r="L1296" s="2264">
        <f t="shared" ref="L1296:O1297" si="224">H1296*$G1296</f>
        <v>0</v>
      </c>
      <c r="M1296" s="2264">
        <f t="shared" si="224"/>
        <v>0</v>
      </c>
      <c r="N1296" s="2264">
        <f t="shared" si="224"/>
        <v>0</v>
      </c>
      <c r="O1296" s="2264">
        <f t="shared" si="224"/>
        <v>0</v>
      </c>
      <c r="P1296" s="2389"/>
      <c r="Q1296" s="2266"/>
      <c r="R1296" s="2266"/>
      <c r="S1296" s="2266"/>
    </row>
    <row r="1297" spans="1:20" s="2105" customFormat="1" outlineLevel="1">
      <c r="A1297" s="2182">
        <f>IF(G1297=0,0,1)</f>
        <v>0</v>
      </c>
      <c r="B1297" s="2252" t="s">
        <v>1056</v>
      </c>
      <c r="C1297" s="2268"/>
      <c r="D1297" s="2152" t="s">
        <v>5325</v>
      </c>
      <c r="E1297" s="2194" t="s">
        <v>5337</v>
      </c>
      <c r="F1297" s="2152" t="s">
        <v>856</v>
      </c>
      <c r="G1297" s="2426">
        <f>G1296</f>
        <v>0</v>
      </c>
      <c r="H1297" s="2264">
        <v>0</v>
      </c>
      <c r="I1297" s="2264"/>
      <c r="J1297" s="2264">
        <v>117703.6</v>
      </c>
      <c r="K1297" s="2264">
        <v>0</v>
      </c>
      <c r="L1297" s="2264">
        <f t="shared" si="224"/>
        <v>0</v>
      </c>
      <c r="M1297" s="2264">
        <f t="shared" si="224"/>
        <v>0</v>
      </c>
      <c r="N1297" s="2264">
        <f>J1297*$G1297</f>
        <v>0</v>
      </c>
      <c r="O1297" s="2264">
        <f t="shared" si="224"/>
        <v>0</v>
      </c>
      <c r="P1297" s="2389"/>
      <c r="Q1297" s="2266"/>
      <c r="R1297" s="2266"/>
      <c r="S1297" s="2266"/>
    </row>
    <row r="1298" spans="1:20" s="2105" customFormat="1" outlineLevel="1">
      <c r="A1298" s="2182">
        <f>IF(G1298=0,0,1)</f>
        <v>0</v>
      </c>
      <c r="B1298" s="2252" t="s">
        <v>902</v>
      </c>
      <c r="C1298" s="2268"/>
      <c r="D1298" s="2152" t="s">
        <v>5351</v>
      </c>
      <c r="E1298" s="2194" t="s">
        <v>5352</v>
      </c>
      <c r="F1298" s="2152" t="s">
        <v>2278</v>
      </c>
      <c r="G1298" s="2426">
        <f>G1285</f>
        <v>0</v>
      </c>
      <c r="H1298" s="2264">
        <v>0</v>
      </c>
      <c r="I1298" s="2264"/>
      <c r="J1298" s="2264" t="s">
        <v>6312</v>
      </c>
      <c r="K1298" s="2264">
        <v>0</v>
      </c>
      <c r="L1298" s="2264">
        <f>H1298*$G1298</f>
        <v>0</v>
      </c>
      <c r="M1298" s="2264">
        <f>I1298*$G1298</f>
        <v>0</v>
      </c>
      <c r="N1298" s="2264">
        <v>0</v>
      </c>
      <c r="O1298" s="2264">
        <f>K1298*$G1298</f>
        <v>0</v>
      </c>
      <c r="P1298" s="2389"/>
      <c r="Q1298" s="2266"/>
      <c r="R1298" s="2266"/>
      <c r="S1298" s="2266"/>
    </row>
    <row r="1299" spans="1:20" s="2105" customFormat="1" outlineLevel="1">
      <c r="A1299" s="2182" t="str">
        <f>IF(G1299&lt;&gt;0,1,"")</f>
        <v/>
      </c>
      <c r="B1299" s="2252" t="s">
        <v>1437</v>
      </c>
      <c r="C1299" s="2258"/>
      <c r="D1299" s="2152" t="s">
        <v>5346</v>
      </c>
      <c r="E1299" s="2194" t="s">
        <v>5347</v>
      </c>
      <c r="F1299" s="2152" t="s">
        <v>2532</v>
      </c>
      <c r="G1299" s="2426">
        <f>G1284/0.224</f>
        <v>0</v>
      </c>
      <c r="H1299" s="2264">
        <v>0</v>
      </c>
      <c r="I1299" s="2264"/>
      <c r="J1299" s="2264">
        <v>8070.7000000000007</v>
      </c>
      <c r="K1299" s="2264">
        <v>2044.9974999999999</v>
      </c>
      <c r="L1299" s="2264">
        <f>H1299*G1299</f>
        <v>0</v>
      </c>
      <c r="M1299" s="2264">
        <f>I1299*G1299</f>
        <v>0</v>
      </c>
      <c r="N1299" s="2264">
        <f>J1299*G1299</f>
        <v>0</v>
      </c>
      <c r="O1299" s="2264">
        <f>K1299*G1299</f>
        <v>0</v>
      </c>
      <c r="P1299" s="2389"/>
      <c r="Q1299" s="2266"/>
      <c r="R1299" s="2266"/>
      <c r="S1299" s="2266"/>
    </row>
    <row r="1300" spans="1:20" s="2105" customFormat="1" outlineLevel="1">
      <c r="A1300" s="2182" t="str">
        <f>IF(G1300&lt;&gt;0,1,"")</f>
        <v/>
      </c>
      <c r="B1300" s="2261"/>
      <c r="C1300" s="2258">
        <f>IF(G1300&gt;0,C1282+1,C1282)</f>
        <v>0</v>
      </c>
      <c r="D1300" s="2259"/>
      <c r="E1300" s="2262" t="s">
        <v>6222</v>
      </c>
      <c r="F1300" s="2258" t="s">
        <v>2385</v>
      </c>
      <c r="G1300" s="2230">
        <f>G1233</f>
        <v>0</v>
      </c>
      <c r="H1300" s="2264"/>
      <c r="I1300" s="2264"/>
      <c r="J1300" s="2264"/>
      <c r="K1300" s="2264"/>
      <c r="L1300" s="2264">
        <f t="shared" ref="L1300:L1305" si="225">H1300*G1300</f>
        <v>0</v>
      </c>
      <c r="M1300" s="2264">
        <f t="shared" ref="M1300:M1305" si="226">I1300*G1300</f>
        <v>0</v>
      </c>
      <c r="N1300" s="2264">
        <f t="shared" ref="N1300:N1305" si="227">J1300*G1300</f>
        <v>0</v>
      </c>
      <c r="O1300" s="2264">
        <f t="shared" ref="O1300:O1305" si="228">K1300*G1300</f>
        <v>0</v>
      </c>
      <c r="P1300" s="2265"/>
      <c r="Q1300" s="2266">
        <f>+SUM(L1301:L1305)</f>
        <v>0</v>
      </c>
      <c r="R1300" s="2266">
        <f>+SUM(M1301:M1305)</f>
        <v>0</v>
      </c>
      <c r="S1300" s="2266">
        <f>+SUM(N1301:N1305)</f>
        <v>0</v>
      </c>
      <c r="T1300" s="2266">
        <f>+SUM(O1301:O1305)</f>
        <v>0</v>
      </c>
    </row>
    <row r="1301" spans="1:20" s="2105" customFormat="1" ht="14.4" outlineLevel="1">
      <c r="A1301" s="2182" t="str">
        <f>A1300</f>
        <v/>
      </c>
      <c r="B1301" s="2261"/>
      <c r="C1301" s="2258"/>
      <c r="D1301" s="2259"/>
      <c r="E1301" s="2267" t="s">
        <v>6133</v>
      </c>
      <c r="F1301" s="2268"/>
      <c r="G1301" s="2426"/>
      <c r="H1301" s="2264"/>
      <c r="I1301" s="2264"/>
      <c r="J1301" s="2264"/>
      <c r="K1301" s="2264"/>
      <c r="L1301" s="2264">
        <f t="shared" si="225"/>
        <v>0</v>
      </c>
      <c r="M1301" s="2264">
        <f t="shared" si="226"/>
        <v>0</v>
      </c>
      <c r="N1301" s="2264">
        <f t="shared" si="227"/>
        <v>0</v>
      </c>
      <c r="O1301" s="2264">
        <f t="shared" si="228"/>
        <v>0</v>
      </c>
      <c r="P1301" s="2265"/>
      <c r="Q1301" s="2266"/>
      <c r="R1301" s="2266"/>
      <c r="S1301" s="2266"/>
    </row>
    <row r="1302" spans="1:20" s="2105" customFormat="1" outlineLevel="1">
      <c r="A1302" s="2182" t="str">
        <f>IF(G1302&lt;&gt;0,1,"")</f>
        <v/>
      </c>
      <c r="B1302" s="2261" t="s">
        <v>653</v>
      </c>
      <c r="C1302" s="2268"/>
      <c r="D1302" s="2152">
        <v>0</v>
      </c>
      <c r="E1302" s="2194" t="s">
        <v>5289</v>
      </c>
      <c r="F1302" s="2152" t="s">
        <v>2248</v>
      </c>
      <c r="G1302" s="2426">
        <f>+G1305*296</f>
        <v>0</v>
      </c>
      <c r="H1302" s="2264">
        <v>1740</v>
      </c>
      <c r="I1302" s="2264"/>
      <c r="J1302" s="2264">
        <v>0</v>
      </c>
      <c r="K1302" s="2264">
        <v>0</v>
      </c>
      <c r="L1302" s="2264">
        <f t="shared" si="225"/>
        <v>0</v>
      </c>
      <c r="M1302" s="2264">
        <f t="shared" si="226"/>
        <v>0</v>
      </c>
      <c r="N1302" s="2264">
        <f t="shared" si="227"/>
        <v>0</v>
      </c>
      <c r="O1302" s="2264">
        <f t="shared" si="228"/>
        <v>0</v>
      </c>
      <c r="P1302" s="2265"/>
      <c r="Q1302" s="2266"/>
      <c r="R1302" s="2266"/>
      <c r="S1302" s="2266"/>
    </row>
    <row r="1303" spans="1:20" s="2105" customFormat="1" outlineLevel="1">
      <c r="A1303" s="2182" t="str">
        <f>IF(G1303&lt;&gt;0,1,"")</f>
        <v/>
      </c>
      <c r="B1303" s="2261" t="s">
        <v>752</v>
      </c>
      <c r="C1303" s="2258"/>
      <c r="D1303" s="2152">
        <v>0</v>
      </c>
      <c r="E1303" s="2194" t="s">
        <v>3004</v>
      </c>
      <c r="F1303" s="2152" t="s">
        <v>856</v>
      </c>
      <c r="G1303" s="2426">
        <f>G1305*0.475</f>
        <v>0</v>
      </c>
      <c r="H1303" s="2264">
        <v>512000</v>
      </c>
      <c r="I1303" s="2264"/>
      <c r="J1303" s="2264">
        <v>0</v>
      </c>
      <c r="K1303" s="2264">
        <v>0</v>
      </c>
      <c r="L1303" s="2264">
        <f t="shared" si="225"/>
        <v>0</v>
      </c>
      <c r="M1303" s="2264">
        <f t="shared" si="226"/>
        <v>0</v>
      </c>
      <c r="N1303" s="2264">
        <f t="shared" si="227"/>
        <v>0</v>
      </c>
      <c r="O1303" s="2264">
        <f t="shared" si="228"/>
        <v>0</v>
      </c>
      <c r="P1303" s="2265"/>
      <c r="Q1303" s="2266"/>
      <c r="R1303" s="2266"/>
      <c r="S1303" s="2266"/>
    </row>
    <row r="1304" spans="1:20" s="2105" customFormat="1" outlineLevel="1">
      <c r="A1304" s="2182" t="str">
        <f>IF(G1304&lt;&gt;0,1,"")</f>
        <v/>
      </c>
      <c r="B1304" s="2261" t="s">
        <v>216</v>
      </c>
      <c r="C1304" s="2258"/>
      <c r="D1304" s="2152">
        <v>0</v>
      </c>
      <c r="E1304" s="2194" t="s">
        <v>3000</v>
      </c>
      <c r="F1304" s="2152" t="s">
        <v>856</v>
      </c>
      <c r="G1304" s="2426">
        <f>G1305*0.881</f>
        <v>0</v>
      </c>
      <c r="H1304" s="2264">
        <v>335000</v>
      </c>
      <c r="I1304" s="2264"/>
      <c r="J1304" s="2264">
        <v>0</v>
      </c>
      <c r="K1304" s="2264">
        <v>0</v>
      </c>
      <c r="L1304" s="2264">
        <f t="shared" si="225"/>
        <v>0</v>
      </c>
      <c r="M1304" s="2264">
        <f t="shared" si="226"/>
        <v>0</v>
      </c>
      <c r="N1304" s="2264">
        <f t="shared" si="227"/>
        <v>0</v>
      </c>
      <c r="O1304" s="2264">
        <f t="shared" si="228"/>
        <v>0</v>
      </c>
      <c r="P1304" s="2265"/>
      <c r="Q1304" s="2266"/>
      <c r="R1304" s="2266"/>
      <c r="S1304" s="2266"/>
    </row>
    <row r="1305" spans="1:20" s="2105" customFormat="1" outlineLevel="1">
      <c r="A1305" s="2182" t="str">
        <f>IF(G1305&lt;&gt;0,1,"")</f>
        <v/>
      </c>
      <c r="B1305" s="2261" t="s">
        <v>654</v>
      </c>
      <c r="C1305" s="2268"/>
      <c r="D1305" s="2152" t="s">
        <v>5471</v>
      </c>
      <c r="E1305" s="2194" t="s">
        <v>5474</v>
      </c>
      <c r="F1305" s="2152" t="s">
        <v>856</v>
      </c>
      <c r="G1305" s="2426">
        <f>G1300*(0.4*3*1-2*3.14*0.15^2*0.4)</f>
        <v>0</v>
      </c>
      <c r="H1305" s="2264"/>
      <c r="I1305" s="2264"/>
      <c r="J1305" s="2264">
        <v>466397.5</v>
      </c>
      <c r="K1305" s="2264">
        <v>0</v>
      </c>
      <c r="L1305" s="2264">
        <f t="shared" si="225"/>
        <v>0</v>
      </c>
      <c r="M1305" s="2264">
        <f t="shared" si="226"/>
        <v>0</v>
      </c>
      <c r="N1305" s="2264">
        <f t="shared" si="227"/>
        <v>0</v>
      </c>
      <c r="O1305" s="2264">
        <f t="shared" si="228"/>
        <v>0</v>
      </c>
      <c r="P1305" s="2265"/>
      <c r="Q1305" s="2272"/>
      <c r="R1305" s="2272">
        <f>1.025*0.45</f>
        <v>0.46124999999999999</v>
      </c>
      <c r="S1305" s="2272"/>
      <c r="T1305" s="2273"/>
    </row>
    <row r="1306" spans="1:20" s="2105" customFormat="1" outlineLevel="1">
      <c r="A1306" s="2182" t="str">
        <f>IF(G1306&lt;&gt;0,1,"")</f>
        <v/>
      </c>
      <c r="B1306" s="2261"/>
      <c r="C1306" s="2258">
        <f>IF(G1306&gt;0,C1300+1,C1300)</f>
        <v>0</v>
      </c>
      <c r="D1306" s="2259"/>
      <c r="E1306" s="2376" t="s">
        <v>6209</v>
      </c>
      <c r="F1306" s="2258" t="s">
        <v>2385</v>
      </c>
      <c r="G1306" s="2230">
        <f>G1226</f>
        <v>0</v>
      </c>
      <c r="H1306" s="2264"/>
      <c r="I1306" s="2264"/>
      <c r="J1306" s="2264"/>
      <c r="K1306" s="2264"/>
      <c r="L1306" s="2264">
        <f>H1306*G1306</f>
        <v>0</v>
      </c>
      <c r="M1306" s="2264">
        <f>I1306*G1306</f>
        <v>0</v>
      </c>
      <c r="N1306" s="2264">
        <f>J1306*G1306</f>
        <v>0</v>
      </c>
      <c r="O1306" s="2264">
        <f>K1306*G1306</f>
        <v>0</v>
      </c>
      <c r="P1306" s="2389"/>
      <c r="Q1306" s="2266">
        <f>+SUM(L1307:L1310)</f>
        <v>0</v>
      </c>
      <c r="R1306" s="2266">
        <f>+SUM(M1307:M1310)</f>
        <v>0</v>
      </c>
      <c r="S1306" s="2266">
        <f>+SUM(N1307:N1310)</f>
        <v>0</v>
      </c>
      <c r="T1306" s="2266">
        <f>+SUM(O1307:O1310)</f>
        <v>0</v>
      </c>
    </row>
    <row r="1307" spans="1:20" s="2105" customFormat="1" ht="14.4" outlineLevel="1">
      <c r="A1307" s="2182" t="str">
        <f>A1306</f>
        <v/>
      </c>
      <c r="B1307" s="2261"/>
      <c r="C1307" s="2258"/>
      <c r="D1307" s="2259"/>
      <c r="E1307" s="2267" t="s">
        <v>6133</v>
      </c>
      <c r="F1307" s="2268"/>
      <c r="G1307" s="2426"/>
      <c r="H1307" s="2264"/>
      <c r="I1307" s="2264"/>
      <c r="J1307" s="2264"/>
      <c r="K1307" s="2264"/>
      <c r="L1307" s="2264">
        <f>H1307*G1307</f>
        <v>0</v>
      </c>
      <c r="M1307" s="2264">
        <f>I1307*G1307</f>
        <v>0</v>
      </c>
      <c r="N1307" s="2264">
        <f>J1307*G1307</f>
        <v>0</v>
      </c>
      <c r="O1307" s="2264">
        <f>K1307*G1307</f>
        <v>0</v>
      </c>
      <c r="P1307" s="2389"/>
      <c r="Q1307" s="2266"/>
      <c r="R1307" s="2266"/>
      <c r="S1307" s="2266"/>
    </row>
    <row r="1308" spans="1:20" s="2105" customFormat="1" outlineLevel="1">
      <c r="A1308" s="2182" t="str">
        <f>IF(G1308&lt;&gt;0,1,"")</f>
        <v/>
      </c>
      <c r="B1308" s="2180" t="s">
        <v>838</v>
      </c>
      <c r="C1308" s="2268"/>
      <c r="D1308" s="2152"/>
      <c r="E1308" s="2194" t="s">
        <v>5659</v>
      </c>
      <c r="F1308" s="2152" t="s">
        <v>2555</v>
      </c>
      <c r="G1308" s="2426">
        <f>$G$1306</f>
        <v>0</v>
      </c>
      <c r="H1308" s="2264">
        <v>783952</v>
      </c>
      <c r="I1308" s="2264"/>
      <c r="J1308" s="2264"/>
      <c r="K1308" s="2264"/>
      <c r="L1308" s="2264">
        <f>H1308*G1308</f>
        <v>0</v>
      </c>
      <c r="M1308" s="2264">
        <f>I1308*G1308</f>
        <v>0</v>
      </c>
      <c r="N1308" s="2264">
        <f>J1308*G1308</f>
        <v>0</v>
      </c>
      <c r="O1308" s="2264">
        <f>K1308*G1308</f>
        <v>0</v>
      </c>
      <c r="P1308" s="2389"/>
      <c r="Q1308" s="2266"/>
      <c r="R1308" s="2266"/>
      <c r="S1308" s="2266"/>
    </row>
    <row r="1309" spans="1:20" s="2105" customFormat="1" outlineLevel="1">
      <c r="A1309" s="2182" t="str">
        <f>IF(G1309&lt;&gt;0,1,"")</f>
        <v/>
      </c>
      <c r="B1309" s="2180" t="s">
        <v>5643</v>
      </c>
      <c r="C1309" s="2258"/>
      <c r="D1309" s="2152" t="s">
        <v>5633</v>
      </c>
      <c r="E1309" s="2194" t="s">
        <v>5644</v>
      </c>
      <c r="F1309" s="2152" t="s">
        <v>2555</v>
      </c>
      <c r="G1309" s="2426">
        <f>G1306*1</f>
        <v>0</v>
      </c>
      <c r="H1309" s="2264">
        <v>2112489</v>
      </c>
      <c r="I1309" s="2264"/>
      <c r="J1309" s="2264">
        <v>690091</v>
      </c>
      <c r="K1309" s="2264">
        <v>97369</v>
      </c>
      <c r="L1309" s="2264">
        <f>H1309*G1309</f>
        <v>0</v>
      </c>
      <c r="M1309" s="2264">
        <f>I1309*G1309</f>
        <v>0</v>
      </c>
      <c r="N1309" s="2264">
        <f>J1309*G1309</f>
        <v>0</v>
      </c>
      <c r="O1309" s="2264">
        <f>K1309*G1309</f>
        <v>0</v>
      </c>
      <c r="P1309" s="2389"/>
      <c r="Q1309" s="2266"/>
      <c r="R1309" s="2266"/>
      <c r="S1309" s="2266"/>
    </row>
    <row r="1310" spans="1:20" s="2105" customFormat="1" outlineLevel="1">
      <c r="A1310" s="2182" t="str">
        <f>IF(G1310&lt;&gt;0,1,"")</f>
        <v/>
      </c>
      <c r="B1310" s="2261" t="s">
        <v>289</v>
      </c>
      <c r="C1310" s="2268"/>
      <c r="D1310" s="2152"/>
      <c r="E1310" s="2194" t="s">
        <v>5712</v>
      </c>
      <c r="F1310" s="2152" t="s">
        <v>2555</v>
      </c>
      <c r="G1310" s="2426">
        <f>G1306</f>
        <v>0</v>
      </c>
      <c r="H1310" s="2264">
        <v>300000</v>
      </c>
      <c r="I1310" s="2264"/>
      <c r="J1310" s="2264"/>
      <c r="K1310" s="2264">
        <v>0</v>
      </c>
      <c r="L1310" s="2264">
        <f>H1310*G1310</f>
        <v>0</v>
      </c>
      <c r="M1310" s="2264">
        <f>I1310*G1310</f>
        <v>0</v>
      </c>
      <c r="N1310" s="2264">
        <f>J1310*G1310</f>
        <v>0</v>
      </c>
      <c r="O1310" s="2264">
        <f>K1310*G1310</f>
        <v>0</v>
      </c>
      <c r="P1310" s="2389"/>
      <c r="Q1310" s="2266"/>
      <c r="R1310" s="2266"/>
      <c r="S1310" s="2266"/>
    </row>
    <row r="1311" spans="1:20" s="2105" customFormat="1" outlineLevel="1">
      <c r="A1311" s="2182" t="str">
        <f t="shared" ref="A1311:A1321" si="229">IF(G1311&lt;&gt;0,1,"")</f>
        <v/>
      </c>
      <c r="B1311" s="2261"/>
      <c r="C1311" s="2258">
        <f>IF(G1311&gt;0,C1306+1,C1306)</f>
        <v>0</v>
      </c>
      <c r="D1311" s="2259"/>
      <c r="E1311" s="2260" t="s">
        <v>3727</v>
      </c>
      <c r="F1311" s="2258" t="s">
        <v>2385</v>
      </c>
      <c r="G1311" s="2230">
        <f>G1226</f>
        <v>0</v>
      </c>
      <c r="H1311" s="2264"/>
      <c r="I1311" s="2264"/>
      <c r="J1311" s="2264"/>
      <c r="K1311" s="2264"/>
      <c r="L1311" s="2264"/>
      <c r="M1311" s="2264"/>
      <c r="N1311" s="2264"/>
      <c r="O1311" s="2264"/>
      <c r="P1311" s="2389"/>
      <c r="Q1311" s="2266">
        <f>+SUM(L1312:L1323)</f>
        <v>0</v>
      </c>
      <c r="R1311" s="2266">
        <f>+SUM(M1312:M1323)</f>
        <v>0</v>
      </c>
      <c r="S1311" s="2266">
        <f>+SUM(N1312:N1323)</f>
        <v>0</v>
      </c>
      <c r="T1311" s="2266">
        <f>+SUM(O1312:O1323)</f>
        <v>0</v>
      </c>
    </row>
    <row r="1312" spans="1:20" s="2105" customFormat="1" ht="14.4" outlineLevel="1">
      <c r="A1312" s="2182" t="str">
        <f>A1311</f>
        <v/>
      </c>
      <c r="B1312" s="2261"/>
      <c r="C1312" s="2258"/>
      <c r="D1312" s="2259"/>
      <c r="E1312" s="2274" t="s">
        <v>6133</v>
      </c>
      <c r="F1312" s="2258"/>
      <c r="G1312" s="2230"/>
      <c r="H1312" s="2264"/>
      <c r="I1312" s="2264"/>
      <c r="J1312" s="2264"/>
      <c r="K1312" s="2264"/>
      <c r="L1312" s="2264"/>
      <c r="M1312" s="2264"/>
      <c r="N1312" s="2264"/>
      <c r="O1312" s="2264"/>
      <c r="P1312" s="2389"/>
      <c r="Q1312" s="2266"/>
      <c r="R1312" s="2266"/>
      <c r="S1312" s="2266"/>
    </row>
    <row r="1313" spans="1:20" s="2105" customFormat="1" outlineLevel="1">
      <c r="A1313" s="2182" t="str">
        <f>IF(G1313&lt;&gt;0,1,"")</f>
        <v/>
      </c>
      <c r="B1313" s="2252" t="s">
        <v>697</v>
      </c>
      <c r="C1313" s="2268"/>
      <c r="D1313" s="2152">
        <v>0</v>
      </c>
      <c r="E1313" s="2194" t="s">
        <v>5087</v>
      </c>
      <c r="F1313" s="2152" t="s">
        <v>2532</v>
      </c>
      <c r="G1313" s="2426">
        <f>G1311*(7)*3</f>
        <v>0</v>
      </c>
      <c r="H1313" s="2264">
        <v>50996</v>
      </c>
      <c r="I1313" s="2264"/>
      <c r="J1313" s="2264">
        <v>0</v>
      </c>
      <c r="K1313" s="2264">
        <v>0</v>
      </c>
      <c r="L1313" s="2264">
        <f t="shared" ref="L1313:L1321" si="230">H1313*G1313</f>
        <v>0</v>
      </c>
      <c r="M1313" s="2264">
        <f t="shared" ref="M1313:M1321" si="231">I1313*G1313</f>
        <v>0</v>
      </c>
      <c r="N1313" s="2264">
        <f t="shared" ref="N1313:N1321" si="232">J1313*G1313</f>
        <v>0</v>
      </c>
      <c r="O1313" s="2264">
        <f t="shared" ref="O1313:O1321" si="233">K1313*G1313</f>
        <v>0</v>
      </c>
      <c r="P1313" s="2389"/>
      <c r="Q1313" s="2266"/>
      <c r="R1313" s="2266"/>
      <c r="S1313" s="2266"/>
    </row>
    <row r="1314" spans="1:20" s="2105" customFormat="1" outlineLevel="1">
      <c r="A1314" s="2182" t="str">
        <f>IF(G1314&lt;&gt;0,1,"")</f>
        <v/>
      </c>
      <c r="B1314" s="2252" t="s">
        <v>5699</v>
      </c>
      <c r="C1314" s="2268"/>
      <c r="D1314" s="2152">
        <v>0</v>
      </c>
      <c r="E1314" s="2194" t="s">
        <v>5700</v>
      </c>
      <c r="F1314" s="2152" t="s">
        <v>2555</v>
      </c>
      <c r="G1314" s="2426">
        <f>+G1311*3</f>
        <v>0</v>
      </c>
      <c r="H1314" s="2264">
        <v>218200</v>
      </c>
      <c r="I1314" s="2264"/>
      <c r="J1314" s="2264">
        <v>0</v>
      </c>
      <c r="K1314" s="2264">
        <v>0</v>
      </c>
      <c r="L1314" s="2264">
        <f>H1314*G1314</f>
        <v>0</v>
      </c>
      <c r="M1314" s="2264">
        <f t="shared" si="231"/>
        <v>0</v>
      </c>
      <c r="N1314" s="2264">
        <f>J1314*G1314</f>
        <v>0</v>
      </c>
      <c r="O1314" s="2264">
        <f>K1314*G1314</f>
        <v>0</v>
      </c>
      <c r="P1314" s="2389"/>
      <c r="Q1314" s="2266"/>
      <c r="R1314" s="2266"/>
      <c r="S1314" s="2266"/>
    </row>
    <row r="1315" spans="1:20" s="2105" customFormat="1" outlineLevel="1">
      <c r="A1315" s="2182" t="str">
        <f>IF(G1315&lt;&gt;0,1,"")</f>
        <v/>
      </c>
      <c r="B1315" s="2252" t="s">
        <v>5705</v>
      </c>
      <c r="C1315" s="2268"/>
      <c r="D1315" s="2152">
        <v>0</v>
      </c>
      <c r="E1315" s="2194" t="s">
        <v>5706</v>
      </c>
      <c r="F1315" s="2152" t="s">
        <v>2555</v>
      </c>
      <c r="G1315" s="2426">
        <f>+G1311*3</f>
        <v>0</v>
      </c>
      <c r="H1315" s="2264">
        <v>39100</v>
      </c>
      <c r="I1315" s="2264"/>
      <c r="J1315" s="2264">
        <v>0</v>
      </c>
      <c r="K1315" s="2264">
        <v>0</v>
      </c>
      <c r="L1315" s="2264">
        <f>H1315*G1315</f>
        <v>0</v>
      </c>
      <c r="M1315" s="2264">
        <f t="shared" si="231"/>
        <v>0</v>
      </c>
      <c r="N1315" s="2264">
        <f>J1315*G1315</f>
        <v>0</v>
      </c>
      <c r="O1315" s="2264">
        <f>K1315*G1315</f>
        <v>0</v>
      </c>
      <c r="P1315" s="2389"/>
      <c r="Q1315" s="2266"/>
      <c r="R1315" s="2266"/>
      <c r="S1315" s="2266"/>
    </row>
    <row r="1316" spans="1:20" s="2105" customFormat="1" outlineLevel="1">
      <c r="A1316" s="2182" t="str">
        <f>IF(G1316&lt;&gt;0,1,"")</f>
        <v/>
      </c>
      <c r="B1316" s="2252" t="s">
        <v>5707</v>
      </c>
      <c r="C1316" s="2268"/>
      <c r="D1316" s="2152">
        <v>0</v>
      </c>
      <c r="E1316" s="2194" t="s">
        <v>5708</v>
      </c>
      <c r="F1316" s="2152" t="s">
        <v>2555</v>
      </c>
      <c r="G1316" s="2426">
        <f>+G1311*3</f>
        <v>0</v>
      </c>
      <c r="H1316" s="2264">
        <v>56700</v>
      </c>
      <c r="I1316" s="2264"/>
      <c r="J1316" s="2264">
        <v>0</v>
      </c>
      <c r="K1316" s="2264">
        <v>0</v>
      </c>
      <c r="L1316" s="2264">
        <f>H1316*G1316</f>
        <v>0</v>
      </c>
      <c r="M1316" s="2264">
        <f t="shared" si="231"/>
        <v>0</v>
      </c>
      <c r="N1316" s="2264">
        <f>J1316*G1316</f>
        <v>0</v>
      </c>
      <c r="O1316" s="2264">
        <f>K1316*G1316</f>
        <v>0</v>
      </c>
      <c r="P1316" s="2389"/>
      <c r="Q1316" s="2266"/>
      <c r="R1316" s="2266"/>
      <c r="S1316" s="2266"/>
    </row>
    <row r="1317" spans="1:20" s="2105" customFormat="1" outlineLevel="1">
      <c r="A1317" s="2182" t="str">
        <f>IF(G1317&lt;&gt;0,1,"")</f>
        <v/>
      </c>
      <c r="B1317" s="2429" t="s">
        <v>5704</v>
      </c>
      <c r="C1317" s="2268"/>
      <c r="D1317" s="2152">
        <v>0</v>
      </c>
      <c r="E1317" s="2194" t="s">
        <v>4538</v>
      </c>
      <c r="F1317" s="2152" t="s">
        <v>3445</v>
      </c>
      <c r="G1317" s="2426">
        <f>G1318</f>
        <v>0</v>
      </c>
      <c r="H1317" s="2264">
        <v>136800</v>
      </c>
      <c r="I1317" s="2264"/>
      <c r="J1317" s="2264">
        <v>0</v>
      </c>
      <c r="K1317" s="2264">
        <v>0</v>
      </c>
      <c r="L1317" s="2264">
        <f>H1317*G1317</f>
        <v>0</v>
      </c>
      <c r="M1317" s="2264">
        <f>I1317*G1317</f>
        <v>0</v>
      </c>
      <c r="N1317" s="2264">
        <f>J1317*G1317</f>
        <v>0</v>
      </c>
      <c r="O1317" s="2264">
        <f>K1317*G1317</f>
        <v>0</v>
      </c>
      <c r="P1317" s="2389"/>
      <c r="Q1317" s="2266"/>
      <c r="R1317" s="2266"/>
      <c r="S1317" s="2266"/>
    </row>
    <row r="1318" spans="1:20" s="2105" customFormat="1" outlineLevel="1">
      <c r="A1318" s="2182" t="str">
        <f t="shared" si="229"/>
        <v/>
      </c>
      <c r="B1318" s="2252" t="s">
        <v>1479</v>
      </c>
      <c r="C1318" s="2268"/>
      <c r="D1318" s="2152">
        <v>0</v>
      </c>
      <c r="E1318" s="2194" t="s">
        <v>3791</v>
      </c>
      <c r="F1318" s="2152" t="s">
        <v>2555</v>
      </c>
      <c r="G1318" s="2426">
        <f>+G1311*3</f>
        <v>0</v>
      </c>
      <c r="H1318" s="2264">
        <v>46000</v>
      </c>
      <c r="I1318" s="2264"/>
      <c r="J1318" s="2264">
        <v>0</v>
      </c>
      <c r="K1318" s="2264">
        <v>0</v>
      </c>
      <c r="L1318" s="2264">
        <f t="shared" si="230"/>
        <v>0</v>
      </c>
      <c r="M1318" s="2264">
        <f t="shared" si="231"/>
        <v>0</v>
      </c>
      <c r="N1318" s="2264">
        <f t="shared" si="232"/>
        <v>0</v>
      </c>
      <c r="O1318" s="2264">
        <f t="shared" si="233"/>
        <v>0</v>
      </c>
      <c r="P1318" s="2389"/>
      <c r="Q1318" s="2266"/>
      <c r="R1318" s="2266"/>
      <c r="S1318" s="2266"/>
    </row>
    <row r="1319" spans="1:20" s="2105" customFormat="1" outlineLevel="1">
      <c r="A1319" s="2182" t="str">
        <f t="shared" si="229"/>
        <v/>
      </c>
      <c r="B1319" s="2357" t="s">
        <v>1477</v>
      </c>
      <c r="C1319" s="2268"/>
      <c r="D1319" s="2152"/>
      <c r="E1319" s="2194" t="s">
        <v>6346</v>
      </c>
      <c r="F1319" s="2152" t="s">
        <v>2555</v>
      </c>
      <c r="G1319" s="2426">
        <f>G1318</f>
        <v>0</v>
      </c>
      <c r="H1319" s="2264">
        <v>77000</v>
      </c>
      <c r="I1319" s="2264"/>
      <c r="J1319" s="2264"/>
      <c r="K1319" s="2264">
        <v>0</v>
      </c>
      <c r="L1319" s="2264">
        <f t="shared" si="230"/>
        <v>0</v>
      </c>
      <c r="M1319" s="2264">
        <f t="shared" si="231"/>
        <v>0</v>
      </c>
      <c r="N1319" s="2264">
        <f t="shared" si="232"/>
        <v>0</v>
      </c>
      <c r="O1319" s="2264">
        <f t="shared" si="233"/>
        <v>0</v>
      </c>
      <c r="P1319" s="2389"/>
      <c r="Q1319" s="2266"/>
      <c r="R1319" s="2266"/>
      <c r="S1319" s="2266"/>
    </row>
    <row r="1320" spans="1:20" s="2105" customFormat="1" outlineLevel="1">
      <c r="A1320" s="2182" t="str">
        <f t="shared" si="229"/>
        <v/>
      </c>
      <c r="B1320" s="2252" t="s">
        <v>696</v>
      </c>
      <c r="C1320" s="2389"/>
      <c r="D1320" s="2152">
        <v>0</v>
      </c>
      <c r="E1320" s="2194" t="s">
        <v>2936</v>
      </c>
      <c r="F1320" s="2152" t="s">
        <v>2555</v>
      </c>
      <c r="G1320" s="2426">
        <f>+G1311*6</f>
        <v>0</v>
      </c>
      <c r="H1320" s="2264">
        <v>205000</v>
      </c>
      <c r="I1320" s="2264"/>
      <c r="J1320" s="2264">
        <v>0</v>
      </c>
      <c r="K1320" s="2264">
        <v>0</v>
      </c>
      <c r="L1320" s="2264">
        <f t="shared" si="230"/>
        <v>0</v>
      </c>
      <c r="M1320" s="2264">
        <f t="shared" si="231"/>
        <v>0</v>
      </c>
      <c r="N1320" s="2264">
        <f t="shared" si="232"/>
        <v>0</v>
      </c>
      <c r="O1320" s="2264">
        <f t="shared" si="233"/>
        <v>0</v>
      </c>
      <c r="P1320" s="2389"/>
      <c r="Q1320" s="2266"/>
      <c r="R1320" s="2266"/>
      <c r="S1320" s="2266"/>
    </row>
    <row r="1321" spans="1:20" s="2105" customFormat="1" outlineLevel="1">
      <c r="A1321" s="2182" t="str">
        <f t="shared" si="229"/>
        <v/>
      </c>
      <c r="B1321" s="2252" t="s">
        <v>1265</v>
      </c>
      <c r="C1321" s="2268"/>
      <c r="D1321" s="2152">
        <v>0</v>
      </c>
      <c r="E1321" s="2194" t="s">
        <v>2823</v>
      </c>
      <c r="F1321" s="2152" t="s">
        <v>2555</v>
      </c>
      <c r="G1321" s="2426">
        <f>G1320</f>
        <v>0</v>
      </c>
      <c r="H1321" s="2264">
        <v>65000</v>
      </c>
      <c r="I1321" s="2264"/>
      <c r="J1321" s="2264">
        <v>0</v>
      </c>
      <c r="K1321" s="2264">
        <v>0</v>
      </c>
      <c r="L1321" s="2264">
        <f t="shared" si="230"/>
        <v>0</v>
      </c>
      <c r="M1321" s="2264">
        <f t="shared" si="231"/>
        <v>0</v>
      </c>
      <c r="N1321" s="2264">
        <f t="shared" si="232"/>
        <v>0</v>
      </c>
      <c r="O1321" s="2264">
        <f t="shared" si="233"/>
        <v>0</v>
      </c>
      <c r="P1321" s="2389"/>
      <c r="Q1321" s="2266"/>
      <c r="R1321" s="2266"/>
      <c r="S1321" s="2266"/>
    </row>
    <row r="1322" spans="1:20" s="2105" customFormat="1" outlineLevel="1">
      <c r="A1322" s="2182" t="str">
        <f>IF(G1322&lt;&gt;0,1,"")</f>
        <v/>
      </c>
      <c r="B1322" s="2252" t="s">
        <v>1565</v>
      </c>
      <c r="C1322" s="2268"/>
      <c r="D1322" s="2152" t="s">
        <v>5560</v>
      </c>
      <c r="E1322" s="2194" t="s">
        <v>3271</v>
      </c>
      <c r="F1322" s="2152" t="s">
        <v>2439</v>
      </c>
      <c r="G1322" s="2426">
        <f>G1321</f>
        <v>0</v>
      </c>
      <c r="H1322" s="2264"/>
      <c r="I1322" s="2264"/>
      <c r="J1322" s="2264">
        <v>58277.49</v>
      </c>
      <c r="K1322" s="2264"/>
      <c r="L1322" s="2264">
        <f>H1322*G1322</f>
        <v>0</v>
      </c>
      <c r="M1322" s="2264">
        <f>I1322*G1322</f>
        <v>0</v>
      </c>
      <c r="N1322" s="2264">
        <f>J1322*G1322</f>
        <v>0</v>
      </c>
      <c r="O1322" s="2264">
        <f>K1322*G1322</f>
        <v>0</v>
      </c>
      <c r="P1322" s="2389"/>
      <c r="Q1322" s="2266"/>
      <c r="R1322" s="2266"/>
      <c r="S1322" s="2266"/>
    </row>
    <row r="1323" spans="1:20" s="2105" customFormat="1" outlineLevel="1">
      <c r="A1323" s="2182" t="str">
        <f>IF(G1323&lt;&gt;0,1,"")</f>
        <v/>
      </c>
      <c r="B1323" s="2252" t="s">
        <v>1525</v>
      </c>
      <c r="C1323" s="2268"/>
      <c r="D1323" s="2152" t="s">
        <v>5571</v>
      </c>
      <c r="E1323" s="2194" t="s">
        <v>3292</v>
      </c>
      <c r="F1323" s="2152" t="s">
        <v>1823</v>
      </c>
      <c r="G1323" s="2426">
        <f>G1313</f>
        <v>0</v>
      </c>
      <c r="H1323" s="2264"/>
      <c r="I1323" s="2264"/>
      <c r="J1323" s="2264">
        <v>13915</v>
      </c>
      <c r="K1323" s="2264"/>
      <c r="L1323" s="2264">
        <f>H1323*G1323</f>
        <v>0</v>
      </c>
      <c r="M1323" s="2264">
        <f>I1323*G1323</f>
        <v>0</v>
      </c>
      <c r="N1323" s="2264">
        <f>J1323*G1323</f>
        <v>0</v>
      </c>
      <c r="O1323" s="2264">
        <f>K1323*G1323</f>
        <v>0</v>
      </c>
      <c r="P1323" s="2389"/>
      <c r="Q1323" s="2266"/>
      <c r="R1323" s="2266"/>
      <c r="S1323" s="2266"/>
    </row>
    <row r="1324" spans="1:20" s="2105" customFormat="1" outlineLevel="1">
      <c r="A1324" s="2182" t="str">
        <f>IF(G1324&lt;&gt;0,1,"")</f>
        <v/>
      </c>
      <c r="B1324" s="2261"/>
      <c r="C1324" s="2258">
        <f>IF(G1324&gt;0,C1311+1,C1311)</f>
        <v>0</v>
      </c>
      <c r="D1324" s="2259"/>
      <c r="E1324" s="2260" t="s">
        <v>3708</v>
      </c>
      <c r="F1324" s="2258" t="s">
        <v>2385</v>
      </c>
      <c r="G1324" s="2230">
        <f>G1256*0</f>
        <v>0</v>
      </c>
      <c r="H1324" s="2264"/>
      <c r="I1324" s="2264"/>
      <c r="J1324" s="2264"/>
      <c r="K1324" s="2264"/>
      <c r="L1324" s="2264"/>
      <c r="M1324" s="2264"/>
      <c r="N1324" s="2264"/>
      <c r="O1324" s="2264"/>
      <c r="P1324" s="2265"/>
      <c r="Q1324" s="2266">
        <f>+SUM(L1325:L1329)</f>
        <v>0</v>
      </c>
      <c r="R1324" s="2266">
        <f>+SUM(M1325:M1329)</f>
        <v>0</v>
      </c>
      <c r="S1324" s="2266">
        <f>+SUM(N1325:N1329)</f>
        <v>0</v>
      </c>
      <c r="T1324" s="2266">
        <f>+SUM(O1325:O1329)</f>
        <v>0</v>
      </c>
    </row>
    <row r="1325" spans="1:20" s="2105" customFormat="1" ht="14.4" outlineLevel="1">
      <c r="A1325" s="2182" t="str">
        <f>A1324</f>
        <v/>
      </c>
      <c r="B1325" s="2261"/>
      <c r="C1325" s="2258"/>
      <c r="D1325" s="2259"/>
      <c r="E1325" s="2274" t="s">
        <v>6133</v>
      </c>
      <c r="F1325" s="2258"/>
      <c r="G1325" s="2230"/>
      <c r="H1325" s="2264"/>
      <c r="I1325" s="2264"/>
      <c r="J1325" s="2264"/>
      <c r="K1325" s="2264"/>
      <c r="L1325" s="2264"/>
      <c r="M1325" s="2264"/>
      <c r="N1325" s="2264"/>
      <c r="O1325" s="2264"/>
      <c r="P1325" s="2265"/>
      <c r="Q1325" s="2266"/>
      <c r="R1325" s="2266"/>
      <c r="S1325" s="2266"/>
    </row>
    <row r="1326" spans="1:20" s="2105" customFormat="1" outlineLevel="1">
      <c r="A1326" s="2182" t="str">
        <f>IF(G1326&lt;&gt;0,1,"")</f>
        <v/>
      </c>
      <c r="B1326" s="2261" t="s">
        <v>1489</v>
      </c>
      <c r="C1326" s="2268"/>
      <c r="D1326" s="2152">
        <v>0</v>
      </c>
      <c r="E1326" s="2194" t="s">
        <v>3532</v>
      </c>
      <c r="F1326" s="2152" t="s">
        <v>1823</v>
      </c>
      <c r="G1326" s="2426">
        <f>G1324*2</f>
        <v>0</v>
      </c>
      <c r="H1326" s="2264">
        <v>63200</v>
      </c>
      <c r="I1326" s="2264"/>
      <c r="J1326" s="2264">
        <v>0</v>
      </c>
      <c r="K1326" s="2264">
        <v>0</v>
      </c>
      <c r="L1326" s="2264">
        <f>H1326*G1326</f>
        <v>0</v>
      </c>
      <c r="M1326" s="2264">
        <f>I1326*G1326</f>
        <v>0</v>
      </c>
      <c r="N1326" s="2264">
        <f>J1326*G1326</f>
        <v>0</v>
      </c>
      <c r="O1326" s="2264">
        <f>K1326*G1326</f>
        <v>0</v>
      </c>
      <c r="P1326" s="2265"/>
      <c r="Q1326" s="2266"/>
      <c r="R1326" s="2266"/>
      <c r="S1326" s="2266"/>
    </row>
    <row r="1327" spans="1:20" s="2105" customFormat="1" outlineLevel="1">
      <c r="A1327" s="2182" t="str">
        <f>IF(G1327&lt;&gt;0,1,"")</f>
        <v/>
      </c>
      <c r="B1327" s="2261" t="s">
        <v>86</v>
      </c>
      <c r="C1327" s="2268"/>
      <c r="D1327" s="2152">
        <v>0</v>
      </c>
      <c r="E1327" s="2194" t="s">
        <v>5797</v>
      </c>
      <c r="F1327" s="2152" t="s">
        <v>2555</v>
      </c>
      <c r="G1327" s="2426">
        <f>G1324</f>
        <v>0</v>
      </c>
      <c r="H1327" s="2264">
        <v>45400</v>
      </c>
      <c r="I1327" s="2264"/>
      <c r="J1327" s="2264">
        <v>0</v>
      </c>
      <c r="K1327" s="2264">
        <v>0</v>
      </c>
      <c r="L1327" s="2264">
        <f>H1327*G1327</f>
        <v>0</v>
      </c>
      <c r="M1327" s="2264">
        <f>I1327*G1327</f>
        <v>0</v>
      </c>
      <c r="N1327" s="2264">
        <f>J1327*G1327</f>
        <v>0</v>
      </c>
      <c r="O1327" s="2264">
        <f>K1327*G1327</f>
        <v>0</v>
      </c>
      <c r="P1327" s="2265"/>
      <c r="Q1327" s="2266"/>
      <c r="R1327" s="2266"/>
      <c r="S1327" s="2266"/>
    </row>
    <row r="1328" spans="1:20" s="2105" customFormat="1" outlineLevel="1">
      <c r="A1328" s="2182" t="str">
        <f>IF(G1328&lt;&gt;0,1,"")</f>
        <v/>
      </c>
      <c r="B1328" s="2261" t="s">
        <v>931</v>
      </c>
      <c r="C1328" s="2268"/>
      <c r="D1328" s="2152">
        <v>0</v>
      </c>
      <c r="E1328" s="2194" t="s">
        <v>3574</v>
      </c>
      <c r="F1328" s="2152" t="s">
        <v>2555</v>
      </c>
      <c r="G1328" s="2426">
        <f>G1324*2</f>
        <v>0</v>
      </c>
      <c r="H1328" s="2264">
        <v>25800</v>
      </c>
      <c r="I1328" s="2264"/>
      <c r="J1328" s="2264">
        <v>0</v>
      </c>
      <c r="K1328" s="2264">
        <v>0</v>
      </c>
      <c r="L1328" s="2264">
        <f>H1328*G1328</f>
        <v>0</v>
      </c>
      <c r="M1328" s="2264">
        <f>I1328*G1328</f>
        <v>0</v>
      </c>
      <c r="N1328" s="2264">
        <f>J1328*G1328</f>
        <v>0</v>
      </c>
      <c r="O1328" s="2264">
        <f>K1328*G1328</f>
        <v>0</v>
      </c>
      <c r="P1328" s="2265"/>
      <c r="Q1328" s="2266"/>
      <c r="R1328" s="2266"/>
      <c r="S1328" s="2266"/>
    </row>
    <row r="1329" spans="1:20" s="2105" customFormat="1" outlineLevel="1">
      <c r="A1329" s="2182" t="str">
        <f>IF(G1329&lt;&gt;0,1,"")</f>
        <v/>
      </c>
      <c r="B1329" s="2261" t="s">
        <v>930</v>
      </c>
      <c r="C1329" s="2268"/>
      <c r="D1329" s="2152">
        <v>0</v>
      </c>
      <c r="E1329" s="2194" t="s">
        <v>3578</v>
      </c>
      <c r="F1329" s="2152" t="s">
        <v>2555</v>
      </c>
      <c r="G1329" s="2426">
        <f>G1328</f>
        <v>0</v>
      </c>
      <c r="H1329" s="2264">
        <v>21500</v>
      </c>
      <c r="I1329" s="2264"/>
      <c r="J1329" s="2264">
        <v>0</v>
      </c>
      <c r="K1329" s="2264">
        <v>0</v>
      </c>
      <c r="L1329" s="2264">
        <f>H1329*G1329</f>
        <v>0</v>
      </c>
      <c r="M1329" s="2264">
        <f>I1329*G1329</f>
        <v>0</v>
      </c>
      <c r="N1329" s="2264">
        <f>J1329*G1329</f>
        <v>0</v>
      </c>
      <c r="O1329" s="2264">
        <f>K1329*G1329</f>
        <v>0</v>
      </c>
      <c r="P1329" s="2265"/>
      <c r="Q1329" s="2266"/>
      <c r="R1329" s="2266"/>
      <c r="S1329" s="2266"/>
    </row>
    <row r="1330" spans="1:20" s="2288" customFormat="1" outlineLevel="1">
      <c r="A1330" s="2279" t="str">
        <f>IF(G1330&lt;&gt;0,1,"")</f>
        <v/>
      </c>
      <c r="B1330" s="2430"/>
      <c r="C1330" s="2258">
        <f>IF(G1330&gt;0,C1324+1,C1324)</f>
        <v>0</v>
      </c>
      <c r="D1330" s="2259"/>
      <c r="E1330" s="2260" t="s">
        <v>6223</v>
      </c>
      <c r="F1330" s="2258" t="s">
        <v>2385</v>
      </c>
      <c r="G1330" s="2230">
        <f>$G$1226</f>
        <v>0</v>
      </c>
      <c r="H1330" s="2431"/>
      <c r="I1330" s="2264"/>
      <c r="J1330" s="2431"/>
      <c r="K1330" s="2431"/>
      <c r="L1330" s="2431"/>
      <c r="M1330" s="2431"/>
      <c r="N1330" s="2431"/>
      <c r="O1330" s="2431"/>
      <c r="P1330" s="2432"/>
      <c r="Q1330" s="2433">
        <f>+SUM(L1331:L1352)</f>
        <v>0</v>
      </c>
      <c r="R1330" s="2266">
        <f>+SUM(M1331:M1352)</f>
        <v>0</v>
      </c>
      <c r="S1330" s="2433">
        <f>+SUM(N1331:N1352)</f>
        <v>0</v>
      </c>
      <c r="T1330" s="2433">
        <f>+SUM(O1331:O1352)</f>
        <v>0</v>
      </c>
    </row>
    <row r="1331" spans="1:20" s="2105" customFormat="1" ht="14.4" outlineLevel="1">
      <c r="A1331" s="2182" t="str">
        <f>A1330</f>
        <v/>
      </c>
      <c r="B1331" s="2252"/>
      <c r="C1331" s="2258"/>
      <c r="D1331" s="2259"/>
      <c r="E1331" s="2274" t="s">
        <v>6133</v>
      </c>
      <c r="F1331" s="2258"/>
      <c r="G1331" s="2426"/>
      <c r="H1331" s="2264"/>
      <c r="I1331" s="2264"/>
      <c r="J1331" s="2264"/>
      <c r="K1331" s="2264"/>
      <c r="L1331" s="2264"/>
      <c r="M1331" s="2264"/>
      <c r="N1331" s="2264"/>
      <c r="O1331" s="2264"/>
      <c r="P1331" s="2389"/>
      <c r="Q1331" s="2266"/>
      <c r="R1331" s="2266"/>
      <c r="S1331" s="2266"/>
    </row>
    <row r="1332" spans="1:20" s="2105" customFormat="1" outlineLevel="1">
      <c r="A1332" s="2182" t="str">
        <f t="shared" ref="A1332:A1348" si="234">IF(G1332&lt;&gt;0,1,"")</f>
        <v/>
      </c>
      <c r="B1332" s="2261" t="s">
        <v>34</v>
      </c>
      <c r="C1332" s="2268"/>
      <c r="D1332" s="2152">
        <v>0</v>
      </c>
      <c r="E1332" s="2194" t="s">
        <v>2796</v>
      </c>
      <c r="F1332" s="2152" t="s">
        <v>2532</v>
      </c>
      <c r="G1332" s="2426">
        <f>+G1330*3*7</f>
        <v>0</v>
      </c>
      <c r="H1332" s="2264">
        <v>194893</v>
      </c>
      <c r="I1332" s="2264"/>
      <c r="J1332" s="2264">
        <v>0</v>
      </c>
      <c r="K1332" s="2264">
        <v>0</v>
      </c>
      <c r="L1332" s="2264">
        <f t="shared" ref="L1332:L1348" si="235">H1332*G1332</f>
        <v>0</v>
      </c>
      <c r="M1332" s="2264">
        <f t="shared" ref="M1332:M1348" si="236">I1332*G1332</f>
        <v>0</v>
      </c>
      <c r="N1332" s="2264">
        <f t="shared" ref="N1332:N1348" si="237">J1332*G1332</f>
        <v>0</v>
      </c>
      <c r="O1332" s="2264">
        <f t="shared" ref="O1332:O1348" si="238">K1332*G1332</f>
        <v>0</v>
      </c>
      <c r="P1332" s="2389"/>
      <c r="Q1332" s="2266"/>
      <c r="R1332" s="2266"/>
      <c r="S1332" s="2266"/>
    </row>
    <row r="1333" spans="1:20" s="2105" customFormat="1" outlineLevel="1">
      <c r="A1333" s="2182" t="str">
        <f t="shared" si="234"/>
        <v/>
      </c>
      <c r="B1333" s="2261" t="s">
        <v>1623</v>
      </c>
      <c r="C1333" s="2268"/>
      <c r="D1333" s="2152">
        <v>0</v>
      </c>
      <c r="E1333" s="2194" t="s">
        <v>2793</v>
      </c>
      <c r="F1333" s="2152" t="s">
        <v>2532</v>
      </c>
      <c r="G1333" s="2426">
        <f>+G1330*7</f>
        <v>0</v>
      </c>
      <c r="H1333" s="2264">
        <v>87805</v>
      </c>
      <c r="I1333" s="2264"/>
      <c r="J1333" s="2264">
        <v>0</v>
      </c>
      <c r="K1333" s="2264">
        <v>0</v>
      </c>
      <c r="L1333" s="2264">
        <f t="shared" si="235"/>
        <v>0</v>
      </c>
      <c r="M1333" s="2264">
        <f t="shared" si="236"/>
        <v>0</v>
      </c>
      <c r="N1333" s="2264">
        <f t="shared" si="237"/>
        <v>0</v>
      </c>
      <c r="O1333" s="2264">
        <f t="shared" si="238"/>
        <v>0</v>
      </c>
      <c r="P1333" s="2389"/>
      <c r="Q1333" s="2266"/>
      <c r="R1333" s="2266"/>
      <c r="S1333" s="2266"/>
    </row>
    <row r="1334" spans="1:20" s="2105" customFormat="1" outlineLevel="1">
      <c r="A1334" s="2182" t="str">
        <f>IF(G1334&lt;&gt;0,1,"")</f>
        <v/>
      </c>
      <c r="B1334" s="2261" t="s">
        <v>2276</v>
      </c>
      <c r="C1334" s="2268"/>
      <c r="D1334" s="2152"/>
      <c r="E1334" s="2194" t="s">
        <v>2786</v>
      </c>
      <c r="F1334" s="2152" t="s">
        <v>2532</v>
      </c>
      <c r="G1334" s="2426">
        <f>+G1330*4</f>
        <v>0</v>
      </c>
      <c r="H1334" s="2264">
        <v>63200</v>
      </c>
      <c r="I1334" s="2264"/>
      <c r="J1334" s="2264">
        <v>0</v>
      </c>
      <c r="K1334" s="2264">
        <v>0</v>
      </c>
      <c r="L1334" s="2264">
        <f>H1334*G1334</f>
        <v>0</v>
      </c>
      <c r="M1334" s="2264">
        <f>I1334*G1334</f>
        <v>0</v>
      </c>
      <c r="N1334" s="2264">
        <f>J1334*G1334</f>
        <v>0</v>
      </c>
      <c r="O1334" s="2264">
        <f>K1334*G1334</f>
        <v>0</v>
      </c>
      <c r="P1334" s="2265"/>
      <c r="Q1334" s="2266"/>
      <c r="R1334" s="2266"/>
      <c r="S1334" s="2266"/>
    </row>
    <row r="1335" spans="1:20" s="2105" customFormat="1" outlineLevel="1">
      <c r="A1335" s="2182" t="str">
        <f t="shared" si="234"/>
        <v/>
      </c>
      <c r="B1335" s="2261" t="s">
        <v>6183</v>
      </c>
      <c r="C1335" s="2268"/>
      <c r="D1335" s="2152" t="s">
        <v>5728</v>
      </c>
      <c r="E1335" s="2194" t="s">
        <v>3482</v>
      </c>
      <c r="F1335" s="2152" t="s">
        <v>2555</v>
      </c>
      <c r="G1335" s="2426">
        <f>+G1330*6</f>
        <v>0</v>
      </c>
      <c r="H1335" s="2264">
        <v>27000</v>
      </c>
      <c r="I1335" s="2264"/>
      <c r="J1335" s="2264">
        <v>27280.17</v>
      </c>
      <c r="K1335" s="2264">
        <v>3887.8325465000003</v>
      </c>
      <c r="L1335" s="2264">
        <f t="shared" si="235"/>
        <v>0</v>
      </c>
      <c r="M1335" s="2264">
        <f t="shared" si="236"/>
        <v>0</v>
      </c>
      <c r="N1335" s="2264">
        <f t="shared" si="237"/>
        <v>0</v>
      </c>
      <c r="O1335" s="2264">
        <f t="shared" si="238"/>
        <v>0</v>
      </c>
      <c r="P1335" s="2389"/>
      <c r="Q1335" s="2266"/>
      <c r="R1335" s="2266"/>
      <c r="S1335" s="2266"/>
    </row>
    <row r="1336" spans="1:20" s="2105" customFormat="1" outlineLevel="1">
      <c r="A1336" s="2182" t="str">
        <f t="shared" si="234"/>
        <v/>
      </c>
      <c r="B1336" s="2261" t="s">
        <v>6178</v>
      </c>
      <c r="C1336" s="2268"/>
      <c r="D1336" s="2152" t="s">
        <v>5726</v>
      </c>
      <c r="E1336" s="2194" t="s">
        <v>3480</v>
      </c>
      <c r="F1336" s="2152" t="s">
        <v>2555</v>
      </c>
      <c r="G1336" s="2426">
        <f>G1330*2</f>
        <v>0</v>
      </c>
      <c r="H1336" s="2264">
        <v>14000</v>
      </c>
      <c r="I1336" s="2264"/>
      <c r="J1336" s="2264">
        <v>16671.215</v>
      </c>
      <c r="K1336" s="2264">
        <v>3332.427897</v>
      </c>
      <c r="L1336" s="2264">
        <f t="shared" si="235"/>
        <v>0</v>
      </c>
      <c r="M1336" s="2264">
        <f t="shared" si="236"/>
        <v>0</v>
      </c>
      <c r="N1336" s="2264">
        <f t="shared" si="237"/>
        <v>0</v>
      </c>
      <c r="O1336" s="2264">
        <f t="shared" si="238"/>
        <v>0</v>
      </c>
      <c r="P1336" s="2389"/>
      <c r="Q1336" s="2266"/>
      <c r="R1336" s="2266"/>
      <c r="S1336" s="2266"/>
    </row>
    <row r="1337" spans="1:20" s="2105" customFormat="1" outlineLevel="1">
      <c r="A1337" s="2182" t="str">
        <f t="shared" si="234"/>
        <v/>
      </c>
      <c r="B1337" s="2261" t="s">
        <v>91</v>
      </c>
      <c r="C1337" s="2268"/>
      <c r="D1337" s="2152">
        <v>0</v>
      </c>
      <c r="E1337" s="2194" t="s">
        <v>3497</v>
      </c>
      <c r="F1337" s="2152" t="s">
        <v>2555</v>
      </c>
      <c r="G1337" s="2426">
        <f>G1335</f>
        <v>0</v>
      </c>
      <c r="H1337" s="2264">
        <v>5000</v>
      </c>
      <c r="I1337" s="2264"/>
      <c r="J1337" s="2264">
        <v>0</v>
      </c>
      <c r="K1337" s="2264">
        <v>0</v>
      </c>
      <c r="L1337" s="2264">
        <f t="shared" si="235"/>
        <v>0</v>
      </c>
      <c r="M1337" s="2264">
        <f t="shared" si="236"/>
        <v>0</v>
      </c>
      <c r="N1337" s="2264">
        <f t="shared" si="237"/>
        <v>0</v>
      </c>
      <c r="O1337" s="2264">
        <f t="shared" si="238"/>
        <v>0</v>
      </c>
      <c r="P1337" s="2389"/>
      <c r="Q1337" s="2266"/>
      <c r="R1337" s="2266"/>
      <c r="S1337" s="2266"/>
    </row>
    <row r="1338" spans="1:20" s="2105" customFormat="1" outlineLevel="1">
      <c r="A1338" s="2182" t="str">
        <f t="shared" si="234"/>
        <v/>
      </c>
      <c r="B1338" s="2261" t="s">
        <v>611</v>
      </c>
      <c r="C1338" s="2268"/>
      <c r="D1338" s="2152">
        <v>0</v>
      </c>
      <c r="E1338" s="2194" t="s">
        <v>3494</v>
      </c>
      <c r="F1338" s="2152" t="s">
        <v>2555</v>
      </c>
      <c r="G1338" s="2426">
        <f>G1336</f>
        <v>0</v>
      </c>
      <c r="H1338" s="2264">
        <v>3000</v>
      </c>
      <c r="I1338" s="2264"/>
      <c r="J1338" s="2264">
        <v>0</v>
      </c>
      <c r="K1338" s="2264">
        <v>0</v>
      </c>
      <c r="L1338" s="2264">
        <f t="shared" si="235"/>
        <v>0</v>
      </c>
      <c r="M1338" s="2264">
        <f t="shared" si="236"/>
        <v>0</v>
      </c>
      <c r="N1338" s="2264">
        <f t="shared" si="237"/>
        <v>0</v>
      </c>
      <c r="O1338" s="2264">
        <f t="shared" si="238"/>
        <v>0</v>
      </c>
      <c r="P1338" s="2389"/>
      <c r="Q1338" s="2266"/>
      <c r="R1338" s="2266"/>
      <c r="S1338" s="2266"/>
    </row>
    <row r="1339" spans="1:20" s="2105" customFormat="1" outlineLevel="1">
      <c r="A1339" s="2182" t="str">
        <f t="shared" si="234"/>
        <v/>
      </c>
      <c r="B1339" s="2261" t="s">
        <v>1042</v>
      </c>
      <c r="C1339" s="2268"/>
      <c r="D1339" s="2152">
        <v>0</v>
      </c>
      <c r="E1339" s="2194" t="s">
        <v>3531</v>
      </c>
      <c r="F1339" s="2152" t="s">
        <v>1823</v>
      </c>
      <c r="G1339" s="2426">
        <f>+G1330*4</f>
        <v>0</v>
      </c>
      <c r="H1339" s="2264">
        <v>103700</v>
      </c>
      <c r="I1339" s="2264"/>
      <c r="J1339" s="2264">
        <v>0</v>
      </c>
      <c r="K1339" s="2264">
        <v>0</v>
      </c>
      <c r="L1339" s="2264">
        <f t="shared" si="235"/>
        <v>0</v>
      </c>
      <c r="M1339" s="2264">
        <f t="shared" si="236"/>
        <v>0</v>
      </c>
      <c r="N1339" s="2264">
        <f t="shared" si="237"/>
        <v>0</v>
      </c>
      <c r="O1339" s="2264">
        <f t="shared" si="238"/>
        <v>0</v>
      </c>
      <c r="P1339" s="2389"/>
      <c r="Q1339" s="2266"/>
      <c r="R1339" s="2266"/>
      <c r="S1339" s="2266"/>
    </row>
    <row r="1340" spans="1:20" s="2105" customFormat="1" outlineLevel="1">
      <c r="A1340" s="2182" t="str">
        <f t="shared" si="234"/>
        <v/>
      </c>
      <c r="B1340" s="2252" t="s">
        <v>731</v>
      </c>
      <c r="C1340" s="2268"/>
      <c r="D1340" s="2152">
        <v>0</v>
      </c>
      <c r="E1340" s="2194" t="s">
        <v>5258</v>
      </c>
      <c r="F1340" s="2152" t="s">
        <v>2439</v>
      </c>
      <c r="G1340" s="2426">
        <f>+G1330*2</f>
        <v>0</v>
      </c>
      <c r="H1340" s="2264">
        <v>50000</v>
      </c>
      <c r="I1340" s="2264"/>
      <c r="J1340" s="2264">
        <v>0</v>
      </c>
      <c r="K1340" s="2264">
        <v>0</v>
      </c>
      <c r="L1340" s="2264">
        <f t="shared" si="235"/>
        <v>0</v>
      </c>
      <c r="M1340" s="2264">
        <f t="shared" si="236"/>
        <v>0</v>
      </c>
      <c r="N1340" s="2264">
        <f t="shared" si="237"/>
        <v>0</v>
      </c>
      <c r="O1340" s="2264">
        <f t="shared" si="238"/>
        <v>0</v>
      </c>
      <c r="P1340" s="2389"/>
      <c r="Q1340" s="2422"/>
      <c r="R1340" s="2266"/>
      <c r="S1340" s="2266"/>
    </row>
    <row r="1341" spans="1:20" s="2105" customFormat="1" outlineLevel="1">
      <c r="A1341" s="2182" t="str">
        <f t="shared" si="234"/>
        <v/>
      </c>
      <c r="B1341" s="2261" t="s">
        <v>2167</v>
      </c>
      <c r="C1341" s="2268"/>
      <c r="D1341" s="2152">
        <v>0</v>
      </c>
      <c r="E1341" s="2194" t="s">
        <v>3575</v>
      </c>
      <c r="F1341" s="2152" t="s">
        <v>2555</v>
      </c>
      <c r="G1341" s="2426">
        <f>+G1330</f>
        <v>0</v>
      </c>
      <c r="H1341" s="2264">
        <v>41900</v>
      </c>
      <c r="I1341" s="2264"/>
      <c r="J1341" s="2264">
        <v>0</v>
      </c>
      <c r="K1341" s="2264">
        <v>0</v>
      </c>
      <c r="L1341" s="2264">
        <f t="shared" si="235"/>
        <v>0</v>
      </c>
      <c r="M1341" s="2264">
        <f t="shared" si="236"/>
        <v>0</v>
      </c>
      <c r="N1341" s="2264">
        <f t="shared" si="237"/>
        <v>0</v>
      </c>
      <c r="O1341" s="2264">
        <f t="shared" si="238"/>
        <v>0</v>
      </c>
      <c r="P1341" s="2389"/>
      <c r="Q1341" s="2266"/>
      <c r="R1341" s="2266"/>
      <c r="S1341" s="2266"/>
    </row>
    <row r="1342" spans="1:20" s="2105" customFormat="1" outlineLevel="1">
      <c r="A1342" s="2182" t="str">
        <f t="shared" si="234"/>
        <v/>
      </c>
      <c r="B1342" s="2261" t="s">
        <v>2168</v>
      </c>
      <c r="C1342" s="2268"/>
      <c r="D1342" s="2152">
        <v>0</v>
      </c>
      <c r="E1342" s="2194" t="s">
        <v>3579</v>
      </c>
      <c r="F1342" s="2152" t="s">
        <v>2555</v>
      </c>
      <c r="G1342" s="2426">
        <f>G1341</f>
        <v>0</v>
      </c>
      <c r="H1342" s="2264">
        <v>41900</v>
      </c>
      <c r="I1342" s="2264"/>
      <c r="J1342" s="2264">
        <v>0</v>
      </c>
      <c r="K1342" s="2264">
        <v>0</v>
      </c>
      <c r="L1342" s="2264">
        <f t="shared" si="235"/>
        <v>0</v>
      </c>
      <c r="M1342" s="2264">
        <f t="shared" si="236"/>
        <v>0</v>
      </c>
      <c r="N1342" s="2264">
        <f t="shared" si="237"/>
        <v>0</v>
      </c>
      <c r="O1342" s="2264">
        <f t="shared" si="238"/>
        <v>0</v>
      </c>
      <c r="P1342" s="2389"/>
      <c r="Q1342" s="2266"/>
      <c r="R1342" s="2266"/>
      <c r="S1342" s="2266"/>
    </row>
    <row r="1343" spans="1:20" s="2105" customFormat="1" outlineLevel="1">
      <c r="A1343" s="2182" t="str">
        <f t="shared" si="234"/>
        <v/>
      </c>
      <c r="B1343" s="2121" t="s">
        <v>1740</v>
      </c>
      <c r="C1343" s="2268"/>
      <c r="D1343" s="2152">
        <v>0</v>
      </c>
      <c r="E1343" s="2194" t="s">
        <v>5795</v>
      </c>
      <c r="F1343" s="2152" t="s">
        <v>1823</v>
      </c>
      <c r="G1343" s="2426">
        <f>+G1330*1.5</f>
        <v>0</v>
      </c>
      <c r="H1343" s="2264">
        <v>58700</v>
      </c>
      <c r="I1343" s="2264"/>
      <c r="J1343" s="2264">
        <v>0</v>
      </c>
      <c r="K1343" s="2264">
        <v>0</v>
      </c>
      <c r="L1343" s="2264">
        <f>H1343*G1343</f>
        <v>0</v>
      </c>
      <c r="M1343" s="2264">
        <f>I1343*G1343</f>
        <v>0</v>
      </c>
      <c r="N1343" s="2264">
        <f>J1343*G1343</f>
        <v>0</v>
      </c>
      <c r="O1343" s="2264">
        <f>K1343*G1343</f>
        <v>0</v>
      </c>
      <c r="P1343" s="2389"/>
      <c r="Q1343" s="2266"/>
      <c r="R1343" s="2266"/>
      <c r="S1343" s="2266"/>
    </row>
    <row r="1344" spans="1:20" s="2105" customFormat="1" outlineLevel="1">
      <c r="A1344" s="2182" t="str">
        <f t="shared" si="234"/>
        <v/>
      </c>
      <c r="B1344" s="2434" t="s">
        <v>5787</v>
      </c>
      <c r="C1344" s="2268"/>
      <c r="D1344" s="2152"/>
      <c r="E1344" s="2194" t="s">
        <v>5788</v>
      </c>
      <c r="F1344" s="2152" t="s">
        <v>1823</v>
      </c>
      <c r="G1344" s="2426">
        <f>G1330*3.5</f>
        <v>0</v>
      </c>
      <c r="H1344" s="2264">
        <v>12300</v>
      </c>
      <c r="I1344" s="2264"/>
      <c r="J1344" s="2264"/>
      <c r="K1344" s="2264"/>
      <c r="L1344" s="2264">
        <f>H1344*G1344</f>
        <v>0</v>
      </c>
      <c r="M1344" s="2264">
        <f>I1344*G1344</f>
        <v>0</v>
      </c>
      <c r="N1344" s="2264">
        <f>J1344*G1344</f>
        <v>0</v>
      </c>
      <c r="O1344" s="2264">
        <f>K1344*G1344</f>
        <v>0</v>
      </c>
      <c r="P1344" s="2265"/>
      <c r="Q1344" s="2266"/>
      <c r="R1344" s="2266"/>
      <c r="S1344" s="2266"/>
    </row>
    <row r="1345" spans="1:19" s="2105" customFormat="1" outlineLevel="1">
      <c r="A1345" s="2182" t="str">
        <f t="shared" si="234"/>
        <v/>
      </c>
      <c r="B1345" s="2180" t="s">
        <v>5791</v>
      </c>
      <c r="C1345" s="2268"/>
      <c r="D1345" s="2152">
        <v>0</v>
      </c>
      <c r="E1345" s="2194" t="s">
        <v>5792</v>
      </c>
      <c r="F1345" s="2152" t="s">
        <v>1823</v>
      </c>
      <c r="G1345" s="2426">
        <f>G1330*1.5</f>
        <v>0</v>
      </c>
      <c r="H1345" s="2264">
        <v>3100</v>
      </c>
      <c r="I1345" s="2264"/>
      <c r="J1345" s="2264">
        <v>0</v>
      </c>
      <c r="K1345" s="2264">
        <v>0</v>
      </c>
      <c r="L1345" s="2264">
        <f>H1345*G1345</f>
        <v>0</v>
      </c>
      <c r="M1345" s="2264">
        <f>I1345*G1345</f>
        <v>0</v>
      </c>
      <c r="N1345" s="2264">
        <f>J1345*G1345</f>
        <v>0</v>
      </c>
      <c r="O1345" s="2264">
        <f>K1345*G1345</f>
        <v>0</v>
      </c>
      <c r="P1345" s="2265"/>
      <c r="Q1345" s="2266"/>
      <c r="R1345" s="2266"/>
      <c r="S1345" s="2266"/>
    </row>
    <row r="1346" spans="1:19" s="2105" customFormat="1" outlineLevel="1">
      <c r="A1346" s="2182" t="str">
        <f t="shared" si="234"/>
        <v/>
      </c>
      <c r="B1346" s="2435" t="s">
        <v>5253</v>
      </c>
      <c r="C1346" s="2268"/>
      <c r="D1346" s="2152">
        <v>0</v>
      </c>
      <c r="E1346" s="2194" t="s">
        <v>5254</v>
      </c>
      <c r="F1346" s="2152" t="s">
        <v>2439</v>
      </c>
      <c r="G1346" s="2426">
        <f>G1330*2</f>
        <v>0</v>
      </c>
      <c r="H1346" s="2264">
        <v>43000</v>
      </c>
      <c r="I1346" s="2264"/>
      <c r="J1346" s="2264">
        <v>0</v>
      </c>
      <c r="K1346" s="2264">
        <v>0</v>
      </c>
      <c r="L1346" s="2264">
        <f>H1346*G1346</f>
        <v>0</v>
      </c>
      <c r="M1346" s="2264">
        <f>I1346*G1346</f>
        <v>0</v>
      </c>
      <c r="N1346" s="2264">
        <f>J1346*G1346</f>
        <v>0</v>
      </c>
      <c r="O1346" s="2264">
        <f>K1346*G1346</f>
        <v>0</v>
      </c>
      <c r="P1346" s="2265"/>
      <c r="Q1346" s="2266"/>
      <c r="R1346" s="2266"/>
      <c r="S1346" s="2266"/>
    </row>
    <row r="1347" spans="1:19" s="2105" customFormat="1" outlineLevel="1">
      <c r="A1347" s="2182" t="str">
        <f t="shared" si="234"/>
        <v/>
      </c>
      <c r="B1347" s="2434" t="s">
        <v>6229</v>
      </c>
      <c r="C1347" s="2268"/>
      <c r="D1347" s="2152">
        <v>0</v>
      </c>
      <c r="E1347" s="2194" t="s">
        <v>5808</v>
      </c>
      <c r="F1347" s="2152" t="s">
        <v>2555</v>
      </c>
      <c r="G1347" s="2426">
        <f>+G1330</f>
        <v>0</v>
      </c>
      <c r="H1347" s="2264">
        <v>3700</v>
      </c>
      <c r="I1347" s="2264"/>
      <c r="J1347" s="2264">
        <v>0</v>
      </c>
      <c r="K1347" s="2264">
        <v>0</v>
      </c>
      <c r="L1347" s="2264">
        <f t="shared" si="235"/>
        <v>0</v>
      </c>
      <c r="M1347" s="2264">
        <f t="shared" si="236"/>
        <v>0</v>
      </c>
      <c r="N1347" s="2264">
        <f t="shared" si="237"/>
        <v>0</v>
      </c>
      <c r="O1347" s="2264">
        <f t="shared" si="238"/>
        <v>0</v>
      </c>
      <c r="P1347" s="2389"/>
      <c r="Q1347" s="2266"/>
      <c r="R1347" s="2266"/>
      <c r="S1347" s="2266"/>
    </row>
    <row r="1348" spans="1:19" s="2105" customFormat="1" outlineLevel="1">
      <c r="A1348" s="2182" t="str">
        <f t="shared" si="234"/>
        <v/>
      </c>
      <c r="B1348" s="2434" t="s">
        <v>6230</v>
      </c>
      <c r="C1348" s="2268"/>
      <c r="D1348" s="2152"/>
      <c r="E1348" s="2194" t="s">
        <v>5812</v>
      </c>
      <c r="F1348" s="2152" t="s">
        <v>2555</v>
      </c>
      <c r="G1348" s="2426">
        <f>G1330*1</f>
        <v>0</v>
      </c>
      <c r="H1348" s="2264">
        <v>3600</v>
      </c>
      <c r="I1348" s="2264"/>
      <c r="J1348" s="2264"/>
      <c r="K1348" s="2264"/>
      <c r="L1348" s="2264">
        <f t="shared" si="235"/>
        <v>0</v>
      </c>
      <c r="M1348" s="2264">
        <f t="shared" si="236"/>
        <v>0</v>
      </c>
      <c r="N1348" s="2264">
        <f t="shared" si="237"/>
        <v>0</v>
      </c>
      <c r="O1348" s="2264">
        <f t="shared" si="238"/>
        <v>0</v>
      </c>
      <c r="P1348" s="2265"/>
      <c r="Q1348" s="2266"/>
      <c r="R1348" s="2266"/>
      <c r="S1348" s="2266"/>
    </row>
    <row r="1349" spans="1:19" s="2105" customFormat="1" outlineLevel="1">
      <c r="A1349" s="2182" t="str">
        <f>IF(G1349&lt;&gt;0,1,"")</f>
        <v/>
      </c>
      <c r="B1349" s="2435" t="s">
        <v>6</v>
      </c>
      <c r="C1349" s="2268"/>
      <c r="D1349" s="2152">
        <v>0</v>
      </c>
      <c r="E1349" s="2194" t="s">
        <v>3567</v>
      </c>
      <c r="F1349" s="2152" t="s">
        <v>5806</v>
      </c>
      <c r="G1349" s="2426">
        <f>G1330*2</f>
        <v>0</v>
      </c>
      <c r="H1349" s="2264">
        <v>45000</v>
      </c>
      <c r="I1349" s="2264"/>
      <c r="J1349" s="2264">
        <v>0</v>
      </c>
      <c r="K1349" s="2264">
        <v>0</v>
      </c>
      <c r="L1349" s="2264">
        <f>H1349*G1349</f>
        <v>0</v>
      </c>
      <c r="M1349" s="2264">
        <f>I1349*G1349</f>
        <v>0</v>
      </c>
      <c r="N1349" s="2264">
        <f>J1349*G1349</f>
        <v>0</v>
      </c>
      <c r="O1349" s="2264">
        <f>K1349*G1349</f>
        <v>0</v>
      </c>
      <c r="P1349" s="2265"/>
      <c r="Q1349" s="2266"/>
      <c r="R1349" s="2266"/>
      <c r="S1349" s="2266"/>
    </row>
    <row r="1350" spans="1:19" s="2105" customFormat="1" outlineLevel="1">
      <c r="A1350" s="2182" t="str">
        <f>IF(G1350&lt;&gt;0,1,"")</f>
        <v/>
      </c>
      <c r="B1350" s="2252" t="s">
        <v>672</v>
      </c>
      <c r="C1350" s="2268"/>
      <c r="D1350" s="2152">
        <v>0</v>
      </c>
      <c r="E1350" s="2194" t="s">
        <v>5801</v>
      </c>
      <c r="F1350" s="2152" t="s">
        <v>3566</v>
      </c>
      <c r="G1350" s="2426">
        <f>G1330*3</f>
        <v>0</v>
      </c>
      <c r="H1350" s="2264">
        <v>6500</v>
      </c>
      <c r="I1350" s="2264"/>
      <c r="J1350" s="2264">
        <v>0</v>
      </c>
      <c r="K1350" s="2264">
        <v>0</v>
      </c>
      <c r="L1350" s="2264">
        <f>H1350*G1350</f>
        <v>0</v>
      </c>
      <c r="M1350" s="2264">
        <f>I1350*G1350</f>
        <v>0</v>
      </c>
      <c r="N1350" s="2264">
        <f>J1350*G1350</f>
        <v>0</v>
      </c>
      <c r="O1350" s="2264">
        <f>K1350*G1350</f>
        <v>0</v>
      </c>
      <c r="P1350" s="2389"/>
      <c r="Q1350" s="2266"/>
      <c r="R1350" s="2266"/>
      <c r="S1350" s="2266"/>
    </row>
    <row r="1351" spans="1:19" s="2105" customFormat="1" outlineLevel="1">
      <c r="A1351" s="2182" t="str">
        <f>IF(G1351&lt;&gt;0,1,"")</f>
        <v/>
      </c>
      <c r="B1351" s="2252" t="s">
        <v>1525</v>
      </c>
      <c r="C1351" s="2268"/>
      <c r="D1351" s="2152" t="s">
        <v>5571</v>
      </c>
      <c r="E1351" s="2194" t="s">
        <v>6352</v>
      </c>
      <c r="F1351" s="2152" t="s">
        <v>1823</v>
      </c>
      <c r="G1351" s="2426">
        <f>G1333</f>
        <v>0</v>
      </c>
      <c r="H1351" s="2264">
        <v>0</v>
      </c>
      <c r="I1351" s="2264"/>
      <c r="J1351" s="2264">
        <v>13915</v>
      </c>
      <c r="K1351" s="2264">
        <v>0</v>
      </c>
      <c r="L1351" s="2264">
        <f>H1351*G1351</f>
        <v>0</v>
      </c>
      <c r="M1351" s="2264">
        <f>I1351*G1351</f>
        <v>0</v>
      </c>
      <c r="N1351" s="2264">
        <f>J1351*G1351</f>
        <v>0</v>
      </c>
      <c r="O1351" s="2264">
        <f>K1351*G1351</f>
        <v>0</v>
      </c>
      <c r="P1351" s="2389"/>
      <c r="Q1351" s="2266"/>
      <c r="R1351" s="2266"/>
      <c r="S1351" s="2266"/>
    </row>
    <row r="1352" spans="1:19" s="2105" customFormat="1" outlineLevel="1">
      <c r="A1352" s="2182" t="str">
        <f>IF(G1352&lt;&gt;0,1,"")</f>
        <v/>
      </c>
      <c r="B1352" s="2252" t="s">
        <v>2006</v>
      </c>
      <c r="C1352" s="2268"/>
      <c r="D1352" s="2152" t="s">
        <v>5572</v>
      </c>
      <c r="E1352" s="2194" t="s">
        <v>6350</v>
      </c>
      <c r="F1352" s="2152" t="s">
        <v>1823</v>
      </c>
      <c r="G1352" s="2426">
        <f>G1332</f>
        <v>0</v>
      </c>
      <c r="H1352" s="2264">
        <v>0</v>
      </c>
      <c r="I1352" s="2264"/>
      <c r="J1352" s="2264">
        <v>33396</v>
      </c>
      <c r="K1352" s="2264">
        <v>0</v>
      </c>
      <c r="L1352" s="2264">
        <f>H1352*G1352</f>
        <v>0</v>
      </c>
      <c r="M1352" s="2264">
        <f>I1352*G1352</f>
        <v>0</v>
      </c>
      <c r="N1352" s="2264">
        <f>J1352*G1352</f>
        <v>0</v>
      </c>
      <c r="O1352" s="2264">
        <f>K1352*G1352</f>
        <v>0</v>
      </c>
      <c r="P1352" s="2389"/>
      <c r="Q1352" s="2266"/>
      <c r="R1352" s="2266"/>
      <c r="S1352" s="2266"/>
    </row>
    <row r="1353" spans="1:19" s="2105" customFormat="1" outlineLevel="1">
      <c r="A1353" s="2182" t="str">
        <f>A1100</f>
        <v/>
      </c>
      <c r="B1353" s="2357"/>
      <c r="C1353" s="2423"/>
      <c r="D1353" s="2424"/>
      <c r="E1353" s="2399"/>
      <c r="F1353" s="2637"/>
      <c r="G1353" s="2638"/>
      <c r="H1353" s="2637"/>
      <c r="I1353" s="2637"/>
      <c r="J1353" s="2647" t="s">
        <v>6131</v>
      </c>
      <c r="K1353" s="2647"/>
      <c r="L1353" s="2425">
        <f>SUM(L1239:L1352)</f>
        <v>0</v>
      </c>
      <c r="M1353" s="2425">
        <f>SUM(M1239:M1352)</f>
        <v>0</v>
      </c>
      <c r="N1353" s="2425">
        <f>SUM(N1239:N1352)</f>
        <v>0</v>
      </c>
      <c r="O1353" s="2425">
        <f>SUM(O1239:O1352)</f>
        <v>0</v>
      </c>
      <c r="P1353" s="2396"/>
      <c r="Q1353" s="2266"/>
      <c r="R1353" s="2266"/>
      <c r="S1353" s="2266"/>
    </row>
    <row r="1354" spans="1:19" s="2105" customFormat="1" ht="13.95" customHeight="1">
      <c r="A1354" s="2386">
        <f>IF(G1359&gt;0,1,)</f>
        <v>0</v>
      </c>
      <c r="B1354" s="2252"/>
      <c r="C1354" s="2266"/>
      <c r="D1354" s="2266"/>
      <c r="E1354" s="2436"/>
      <c r="F1354" s="2266"/>
      <c r="G1354" s="2437"/>
      <c r="H1354" s="2266"/>
      <c r="I1354" s="2266"/>
      <c r="J1354" s="2266"/>
      <c r="K1354" s="2266"/>
      <c r="L1354" s="2266"/>
      <c r="M1354" s="2266"/>
      <c r="N1354" s="2266"/>
      <c r="O1354" s="2266"/>
      <c r="P1354" s="2438"/>
      <c r="Q1354" s="2266"/>
      <c r="R1354" s="2266"/>
      <c r="S1354" s="2266"/>
    </row>
    <row r="1355" spans="1:19" s="2105" customFormat="1" outlineLevel="1">
      <c r="A1355" s="2182">
        <f>A1354</f>
        <v>0</v>
      </c>
      <c r="B1355" s="2387"/>
      <c r="C1355" s="2624" t="str">
        <f>"BẢNG TỔNG HỢP VẬT LIỆU, NHÂN CÔNG, MÁY THI CÔNG: "&amp;K11&amp;" TRẠM 3P_250KVA"</f>
        <v>BẢNG TỔNG HỢP VẬT LIỆU, NHÂN CÔNG, MÁY THI CÔNG: 0 TRẠM 3P_250KVA</v>
      </c>
      <c r="D1355" s="2639"/>
      <c r="E1355" s="2639"/>
      <c r="F1355" s="2639"/>
      <c r="G1355" s="2639"/>
      <c r="H1355" s="2640"/>
      <c r="I1355" s="2528"/>
      <c r="J1355" s="2640"/>
      <c r="K1355" s="2640"/>
      <c r="L1355" s="2640"/>
      <c r="M1355" s="2528"/>
      <c r="N1355" s="2640"/>
      <c r="O1355" s="2640"/>
      <c r="P1355" s="2641"/>
      <c r="Q1355" s="2266"/>
      <c r="R1355" s="2266"/>
      <c r="S1355" s="2266"/>
    </row>
    <row r="1356" spans="1:19" s="2105" customFormat="1" outlineLevel="1">
      <c r="A1356" s="2182">
        <f>A1354</f>
        <v>0</v>
      </c>
      <c r="B1356" s="2261" t="s">
        <v>6112</v>
      </c>
      <c r="C1356" s="2648" t="s">
        <v>1708</v>
      </c>
      <c r="D1356" s="2649" t="s">
        <v>2597</v>
      </c>
      <c r="E1356" s="2651" t="s">
        <v>2598</v>
      </c>
      <c r="F1356" s="2648" t="s">
        <v>2593</v>
      </c>
      <c r="G1356" s="2109" t="s">
        <v>6113</v>
      </c>
      <c r="H1356" s="2112" t="s">
        <v>6114</v>
      </c>
      <c r="I1356" s="2619"/>
      <c r="J1356" s="2619"/>
      <c r="K1356" s="2620"/>
      <c r="L1356" s="2112" t="s">
        <v>6115</v>
      </c>
      <c r="M1356" s="2619"/>
      <c r="N1356" s="2619"/>
      <c r="O1356" s="2620"/>
      <c r="P1356" s="2533" t="s">
        <v>2599</v>
      </c>
      <c r="Q1356" s="2266"/>
      <c r="R1356" s="2266"/>
      <c r="S1356" s="2266"/>
    </row>
    <row r="1357" spans="1:19" s="2105" customFormat="1" outlineLevel="1">
      <c r="A1357" s="2182">
        <f>A1356</f>
        <v>0</v>
      </c>
      <c r="B1357" s="2261"/>
      <c r="C1357" s="2648"/>
      <c r="D1357" s="2650"/>
      <c r="E1357" s="2652"/>
      <c r="F1357" s="2648"/>
      <c r="G1357" s="2111" t="s">
        <v>2286</v>
      </c>
      <c r="H1357" s="2112" t="s">
        <v>6116</v>
      </c>
      <c r="I1357" s="2112" t="s">
        <v>6117</v>
      </c>
      <c r="J1357" s="2112" t="s">
        <v>6118</v>
      </c>
      <c r="K1357" s="2112" t="s">
        <v>6119</v>
      </c>
      <c r="L1357" s="2112" t="s">
        <v>6116</v>
      </c>
      <c r="M1357" s="2112" t="s">
        <v>6117</v>
      </c>
      <c r="N1357" s="2112" t="s">
        <v>6118</v>
      </c>
      <c r="O1357" s="2112" t="s">
        <v>6119</v>
      </c>
      <c r="P1357" s="2533"/>
      <c r="Q1357" s="2266"/>
      <c r="R1357" s="2266"/>
      <c r="S1357" s="2266"/>
    </row>
    <row r="1358" spans="1:19" s="2105" customFormat="1" outlineLevel="1">
      <c r="A1358" s="2182">
        <f>A1357</f>
        <v>0</v>
      </c>
      <c r="B1358" s="2261"/>
      <c r="C1358" s="2113"/>
      <c r="D1358" s="2114"/>
      <c r="E1358" s="2115" t="s">
        <v>3672</v>
      </c>
      <c r="F1358" s="2116"/>
      <c r="G1358" s="2116"/>
      <c r="H1358" s="2116"/>
      <c r="I1358" s="2116"/>
      <c r="J1358" s="2116"/>
      <c r="K1358" s="2116"/>
      <c r="L1358" s="2116"/>
      <c r="M1358" s="2116"/>
      <c r="N1358" s="2116"/>
      <c r="O1358" s="2114"/>
      <c r="P1358" s="2354"/>
      <c r="Q1358" s="2266"/>
      <c r="R1358" s="2266"/>
      <c r="S1358" s="2266"/>
    </row>
    <row r="1359" spans="1:19" s="2105" customFormat="1" outlineLevel="1">
      <c r="A1359" s="2182" t="str">
        <f t="shared" ref="A1359:A1368" si="239">IF(G1359&lt;&gt;0,1,"")</f>
        <v/>
      </c>
      <c r="B1359" s="2252" t="str">
        <f>IF($F$8=15,"tr250","tr2501")</f>
        <v>tr2501</v>
      </c>
      <c r="C1359" s="2268">
        <f>IF(G1359&gt;0,1,0)</f>
        <v>0</v>
      </c>
      <c r="D1359" s="2152" t="s">
        <v>5591</v>
      </c>
      <c r="E1359" s="2194" t="s">
        <v>3329</v>
      </c>
      <c r="F1359" s="2152" t="s">
        <v>3300</v>
      </c>
      <c r="G1359" s="2439">
        <f>$K$11</f>
        <v>0</v>
      </c>
      <c r="H1359" s="2264">
        <v>168104000</v>
      </c>
      <c r="I1359" s="2359"/>
      <c r="J1359" s="2359">
        <v>1392163</v>
      </c>
      <c r="K1359" s="2359">
        <v>361106</v>
      </c>
      <c r="L1359" s="2360">
        <f t="shared" ref="L1359:L1368" si="240">H1359*G1359</f>
        <v>0</v>
      </c>
      <c r="M1359" s="2360">
        <f t="shared" ref="M1359:M1368" si="241">I1359*G1359</f>
        <v>0</v>
      </c>
      <c r="N1359" s="2360">
        <f t="shared" ref="N1359:N1368" si="242">J1359*G1359</f>
        <v>0</v>
      </c>
      <c r="O1359" s="2361">
        <f t="shared" ref="O1359:O1368" si="243">K1359*G1359</f>
        <v>0</v>
      </c>
      <c r="P1359" s="2440"/>
      <c r="Q1359" s="2266"/>
      <c r="R1359" s="2266"/>
      <c r="S1359" s="2266"/>
    </row>
    <row r="1360" spans="1:19" s="2105" customFormat="1" outlineLevel="1">
      <c r="A1360" s="2182" t="str">
        <f t="shared" si="239"/>
        <v/>
      </c>
      <c r="B1360" s="2118" t="str">
        <f>"FCO100-"&amp;$F$8</f>
        <v>FCO100-22</v>
      </c>
      <c r="C1360" s="2268">
        <f>IF(G1360&gt;0,C1359+1,C1359)</f>
        <v>0</v>
      </c>
      <c r="D1360" s="2152" t="s">
        <v>5598</v>
      </c>
      <c r="E1360" s="2194" t="s">
        <v>95</v>
      </c>
      <c r="F1360" s="2152" t="s">
        <v>2555</v>
      </c>
      <c r="G1360" s="2439">
        <f>G1359*3</f>
        <v>0</v>
      </c>
      <c r="H1360" s="2264">
        <v>2244280</v>
      </c>
      <c r="I1360" s="2264">
        <v>0</v>
      </c>
      <c r="J1360" s="2264">
        <v>222639.99999999997</v>
      </c>
      <c r="K1360" s="2264">
        <v>0</v>
      </c>
      <c r="L1360" s="2264">
        <f t="shared" si="240"/>
        <v>0</v>
      </c>
      <c r="M1360" s="2264">
        <f t="shared" si="241"/>
        <v>0</v>
      </c>
      <c r="N1360" s="2264">
        <f t="shared" si="242"/>
        <v>0</v>
      </c>
      <c r="O1360" s="2264">
        <f t="shared" si="243"/>
        <v>0</v>
      </c>
      <c r="P1360" s="2441"/>
      <c r="Q1360" s="2266"/>
      <c r="R1360" s="2266"/>
      <c r="S1360" s="2266"/>
    </row>
    <row r="1361" spans="1:19" s="2105" customFormat="1" outlineLevel="1">
      <c r="A1361" s="2182" t="str">
        <f t="shared" si="239"/>
        <v/>
      </c>
      <c r="B1361" s="2121" t="s">
        <v>1146</v>
      </c>
      <c r="C1361" s="2268">
        <f t="shared" ref="C1361:C1366" si="244">IF(G1361&gt;0,C1360+1,C1360)</f>
        <v>0</v>
      </c>
      <c r="D1361" s="2152">
        <v>0</v>
      </c>
      <c r="E1361" s="2194" t="s">
        <v>3425</v>
      </c>
      <c r="F1361" s="2152" t="s">
        <v>2600</v>
      </c>
      <c r="G1361" s="2439">
        <f>G1360</f>
        <v>0</v>
      </c>
      <c r="H1361" s="2264">
        <v>84000</v>
      </c>
      <c r="I1361" s="2264">
        <v>0</v>
      </c>
      <c r="J1361" s="2264">
        <v>0</v>
      </c>
      <c r="K1361" s="2264">
        <v>0</v>
      </c>
      <c r="L1361" s="2264">
        <f t="shared" si="240"/>
        <v>0</v>
      </c>
      <c r="M1361" s="2264">
        <f t="shared" si="241"/>
        <v>0</v>
      </c>
      <c r="N1361" s="2264">
        <f t="shared" si="242"/>
        <v>0</v>
      </c>
      <c r="O1361" s="2264">
        <f t="shared" si="243"/>
        <v>0</v>
      </c>
      <c r="P1361" s="2441"/>
      <c r="Q1361" s="2266"/>
      <c r="R1361" s="2266"/>
      <c r="S1361" s="2266"/>
    </row>
    <row r="1362" spans="1:19" s="2105" customFormat="1" outlineLevel="1">
      <c r="A1362" s="2182" t="str">
        <f t="shared" si="239"/>
        <v/>
      </c>
      <c r="B1362" s="2261" t="str">
        <f>"LA"&amp;$F$6</f>
        <v>LA18</v>
      </c>
      <c r="C1362" s="2268">
        <f t="shared" si="244"/>
        <v>0</v>
      </c>
      <c r="D1362" s="2152" t="s">
        <v>5602</v>
      </c>
      <c r="E1362" s="2194" t="s">
        <v>1193</v>
      </c>
      <c r="F1362" s="2152" t="s">
        <v>2555</v>
      </c>
      <c r="G1362" s="2439">
        <f>G1360</f>
        <v>0</v>
      </c>
      <c r="H1362" s="2264">
        <v>1106000</v>
      </c>
      <c r="I1362" s="2264">
        <v>0</v>
      </c>
      <c r="J1362" s="2264">
        <v>83490</v>
      </c>
      <c r="K1362" s="2264">
        <v>0</v>
      </c>
      <c r="L1362" s="2264">
        <f t="shared" si="240"/>
        <v>0</v>
      </c>
      <c r="M1362" s="2264">
        <f t="shared" si="241"/>
        <v>0</v>
      </c>
      <c r="N1362" s="2264">
        <f t="shared" si="242"/>
        <v>0</v>
      </c>
      <c r="O1362" s="2264">
        <f t="shared" si="243"/>
        <v>0</v>
      </c>
      <c r="P1362" s="2441"/>
      <c r="Q1362" s="2266"/>
      <c r="R1362" s="2266"/>
      <c r="S1362" s="2266"/>
    </row>
    <row r="1363" spans="1:19" s="2105" customFormat="1" outlineLevel="1">
      <c r="A1363" s="2182" t="str">
        <f t="shared" si="239"/>
        <v/>
      </c>
      <c r="B1363" s="2357" t="s">
        <v>953</v>
      </c>
      <c r="C1363" s="2268">
        <f t="shared" si="244"/>
        <v>0</v>
      </c>
      <c r="D1363" s="2152" t="s">
        <v>5685</v>
      </c>
      <c r="E1363" s="2194" t="s">
        <v>5686</v>
      </c>
      <c r="F1363" s="2152" t="s">
        <v>2555</v>
      </c>
      <c r="G1363" s="2269">
        <f>G1359*0</f>
        <v>0</v>
      </c>
      <c r="H1363" s="2264">
        <v>7180000</v>
      </c>
      <c r="I1363" s="2264">
        <v>0</v>
      </c>
      <c r="J1363" s="2264">
        <v>974050</v>
      </c>
      <c r="K1363" s="2264">
        <v>0</v>
      </c>
      <c r="L1363" s="2264">
        <f t="shared" si="240"/>
        <v>0</v>
      </c>
      <c r="M1363" s="2264">
        <f t="shared" si="241"/>
        <v>0</v>
      </c>
      <c r="N1363" s="2264">
        <f t="shared" si="242"/>
        <v>0</v>
      </c>
      <c r="O1363" s="2264">
        <f t="shared" si="243"/>
        <v>0</v>
      </c>
      <c r="P1363" s="2389"/>
      <c r="Q1363" s="2266"/>
      <c r="R1363" s="2266"/>
      <c r="S1363" s="2266"/>
    </row>
    <row r="1364" spans="1:19" s="2105" customFormat="1" outlineLevel="1">
      <c r="A1364" s="2182" t="str">
        <f>IF(G1364&lt;&gt;0,1,"")</f>
        <v/>
      </c>
      <c r="B1364" s="2357" t="s">
        <v>953</v>
      </c>
      <c r="C1364" s="2268">
        <f>IF(G1364&gt;0,C1363+1,C1363)</f>
        <v>0</v>
      </c>
      <c r="D1364" s="2152" t="s">
        <v>5685</v>
      </c>
      <c r="E1364" s="2194" t="s">
        <v>5686</v>
      </c>
      <c r="F1364" s="2152" t="s">
        <v>2555</v>
      </c>
      <c r="G1364" s="2439">
        <f>G1359</f>
        <v>0</v>
      </c>
      <c r="H1364" s="2264">
        <v>7180000</v>
      </c>
      <c r="I1364" s="2264">
        <v>0</v>
      </c>
      <c r="J1364" s="2264">
        <v>974050</v>
      </c>
      <c r="K1364" s="2264">
        <v>0</v>
      </c>
      <c r="L1364" s="2264">
        <f>H1364*G1364</f>
        <v>0</v>
      </c>
      <c r="M1364" s="2264">
        <f>I1364*G1364</f>
        <v>0</v>
      </c>
      <c r="N1364" s="2264">
        <f>J1364*G1364</f>
        <v>0</v>
      </c>
      <c r="O1364" s="2264">
        <f>K1364*G1364</f>
        <v>0</v>
      </c>
      <c r="P1364" s="2441"/>
      <c r="Q1364" s="2266"/>
      <c r="R1364" s="2266"/>
      <c r="S1364" s="2266"/>
    </row>
    <row r="1365" spans="1:19" s="2105" customFormat="1" outlineLevel="1">
      <c r="A1365" s="2182" t="str">
        <f t="shared" si="239"/>
        <v/>
      </c>
      <c r="B1365" s="2357" t="s">
        <v>6231</v>
      </c>
      <c r="C1365" s="2268">
        <f>IF(G1365&gt;0,C1363+1,C1363)</f>
        <v>0</v>
      </c>
      <c r="D1365" s="2152" t="s">
        <v>1025</v>
      </c>
      <c r="E1365" s="2194" t="s">
        <v>3381</v>
      </c>
      <c r="F1365" s="2152" t="s">
        <v>3370</v>
      </c>
      <c r="G1365" s="2269">
        <f>G1359*0</f>
        <v>0</v>
      </c>
      <c r="H1365" s="2264">
        <v>13270912</v>
      </c>
      <c r="I1365" s="2264">
        <v>0</v>
      </c>
      <c r="J1365" s="2264">
        <v>98101</v>
      </c>
      <c r="K1365" s="2264">
        <v>59254</v>
      </c>
      <c r="L1365" s="2264">
        <f t="shared" si="240"/>
        <v>0</v>
      </c>
      <c r="M1365" s="2264">
        <f t="shared" si="241"/>
        <v>0</v>
      </c>
      <c r="N1365" s="2264">
        <f t="shared" si="242"/>
        <v>0</v>
      </c>
      <c r="O1365" s="2264">
        <f t="shared" si="243"/>
        <v>0</v>
      </c>
      <c r="P1365" s="2389"/>
      <c r="Q1365" s="2266"/>
      <c r="R1365" s="2266"/>
      <c r="S1365" s="2266"/>
    </row>
    <row r="1366" spans="1:19" s="2105" customFormat="1" outlineLevel="1">
      <c r="A1366" s="2182" t="str">
        <f t="shared" si="239"/>
        <v/>
      </c>
      <c r="B1366" s="2252" t="s">
        <v>897</v>
      </c>
      <c r="C1366" s="2268">
        <f t="shared" si="244"/>
        <v>0</v>
      </c>
      <c r="D1366" s="2152">
        <v>0</v>
      </c>
      <c r="E1366" s="2194" t="s">
        <v>3362</v>
      </c>
      <c r="F1366" s="2152" t="s">
        <v>2555</v>
      </c>
      <c r="G1366" s="2442">
        <f>3*G1359</f>
        <v>0</v>
      </c>
      <c r="H1366" s="2264">
        <v>0</v>
      </c>
      <c r="I1366" s="2264">
        <v>0</v>
      </c>
      <c r="J1366" s="2264">
        <v>0</v>
      </c>
      <c r="K1366" s="2264">
        <v>0</v>
      </c>
      <c r="L1366" s="2264">
        <f t="shared" si="240"/>
        <v>0</v>
      </c>
      <c r="M1366" s="2264">
        <f t="shared" si="241"/>
        <v>0</v>
      </c>
      <c r="N1366" s="2264">
        <f t="shared" si="242"/>
        <v>0</v>
      </c>
      <c r="O1366" s="2264">
        <f t="shared" si="243"/>
        <v>0</v>
      </c>
      <c r="P1366" s="2443" t="s">
        <v>2601</v>
      </c>
      <c r="Q1366" s="2266"/>
      <c r="R1366" s="2266"/>
      <c r="S1366" s="2266"/>
    </row>
    <row r="1367" spans="1:19" s="2105" customFormat="1" outlineLevel="1">
      <c r="A1367" s="2182" t="str">
        <f>IF(G1367&lt;&gt;0,1,"")</f>
        <v/>
      </c>
      <c r="B1367" s="2252" t="s">
        <v>1116</v>
      </c>
      <c r="C1367" s="2268">
        <f>IF(G1367&gt;0,C1366+1,C1366)</f>
        <v>0</v>
      </c>
      <c r="D1367" s="2152">
        <v>0</v>
      </c>
      <c r="E1367" s="2194" t="s">
        <v>3359</v>
      </c>
      <c r="F1367" s="2152" t="s">
        <v>2555</v>
      </c>
      <c r="G1367" s="2390">
        <f>3*G1359*2*0</f>
        <v>0</v>
      </c>
      <c r="H1367" s="2264">
        <v>0</v>
      </c>
      <c r="I1367" s="2264">
        <v>0</v>
      </c>
      <c r="J1367" s="2264">
        <v>0</v>
      </c>
      <c r="K1367" s="2264">
        <v>0</v>
      </c>
      <c r="L1367" s="2264">
        <f>H1367*G1367</f>
        <v>0</v>
      </c>
      <c r="M1367" s="2264">
        <f>I1367*G1367</f>
        <v>0</v>
      </c>
      <c r="N1367" s="2264">
        <f>J1367*G1367</f>
        <v>0</v>
      </c>
      <c r="O1367" s="2264">
        <f>K1367*G1367</f>
        <v>0</v>
      </c>
      <c r="P1367" s="2391" t="s">
        <v>2601</v>
      </c>
      <c r="Q1367" s="2266"/>
      <c r="R1367" s="2266"/>
      <c r="S1367" s="2266"/>
    </row>
    <row r="1368" spans="1:19" s="2105" customFormat="1" outlineLevel="1">
      <c r="A1368" s="2182" t="str">
        <f t="shared" si="239"/>
        <v/>
      </c>
      <c r="B1368" s="2252" t="s">
        <v>1460</v>
      </c>
      <c r="C1368" s="2268">
        <f>IF(G1368&gt;0,C1366+1,C1366)</f>
        <v>0</v>
      </c>
      <c r="D1368" s="2152">
        <v>0</v>
      </c>
      <c r="E1368" s="2194" t="s">
        <v>3441</v>
      </c>
      <c r="F1368" s="2152" t="s">
        <v>2555</v>
      </c>
      <c r="G1368" s="2442">
        <f>G1359*1</f>
        <v>0</v>
      </c>
      <c r="H1368" s="2264">
        <v>0</v>
      </c>
      <c r="I1368" s="2264">
        <v>0</v>
      </c>
      <c r="J1368" s="2264">
        <v>0</v>
      </c>
      <c r="K1368" s="2264">
        <v>0</v>
      </c>
      <c r="L1368" s="2264">
        <f t="shared" si="240"/>
        <v>0</v>
      </c>
      <c r="M1368" s="2360">
        <f t="shared" si="241"/>
        <v>0</v>
      </c>
      <c r="N1368" s="2360">
        <f t="shared" si="242"/>
        <v>0</v>
      </c>
      <c r="O1368" s="2361">
        <f t="shared" si="243"/>
        <v>0</v>
      </c>
      <c r="P1368" s="2444" t="s">
        <v>2601</v>
      </c>
      <c r="Q1368" s="2266"/>
      <c r="R1368" s="2266"/>
      <c r="S1368" s="2266"/>
    </row>
    <row r="1369" spans="1:19" s="2105" customFormat="1" outlineLevel="1">
      <c r="A1369" s="2182">
        <f>A1354</f>
        <v>0</v>
      </c>
      <c r="B1369" s="2261"/>
      <c r="C1369" s="2393"/>
      <c r="D1369" s="2394"/>
      <c r="E1369" s="2395"/>
      <c r="F1369" s="2393"/>
      <c r="G1369" s="2445"/>
      <c r="H1369" s="2393"/>
      <c r="I1369" s="2393"/>
      <c r="J1369" s="2117" t="s">
        <v>6121</v>
      </c>
      <c r="K1369" s="2393"/>
      <c r="L1369" s="2395">
        <f>SUM(L1359:L1368)</f>
        <v>0</v>
      </c>
      <c r="M1369" s="2395">
        <f>SUM(M1359:M1368)</f>
        <v>0</v>
      </c>
      <c r="N1369" s="2395">
        <f>SUM(N1359:N1368)</f>
        <v>0</v>
      </c>
      <c r="O1369" s="2395">
        <f>SUM(O1359:O1368)</f>
        <v>0</v>
      </c>
      <c r="P1369" s="2446"/>
      <c r="Q1369" s="2266"/>
      <c r="R1369" s="2266"/>
      <c r="S1369" s="2266"/>
    </row>
    <row r="1370" spans="1:19" s="2105" customFormat="1" outlineLevel="1">
      <c r="A1370" s="2182">
        <f>A1354</f>
        <v>0</v>
      </c>
      <c r="B1370" s="2261"/>
      <c r="C1370" s="2397"/>
      <c r="D1370" s="2398"/>
      <c r="E1370" s="2399" t="s">
        <v>3673</v>
      </c>
      <c r="F1370" s="2399"/>
      <c r="G1370" s="2447"/>
      <c r="H1370" s="2399"/>
      <c r="I1370" s="2399"/>
      <c r="J1370" s="2399"/>
      <c r="K1370" s="2399"/>
      <c r="L1370" s="2399"/>
      <c r="M1370" s="2399"/>
      <c r="N1370" s="2399"/>
      <c r="O1370" s="2398"/>
      <c r="P1370" s="2446"/>
      <c r="Q1370" s="2266"/>
      <c r="R1370" s="2266"/>
      <c r="S1370" s="2266"/>
    </row>
    <row r="1371" spans="1:19" s="2105" customFormat="1" outlineLevel="1">
      <c r="A1371" s="2182" t="str">
        <f t="shared" ref="A1371:A1389" si="245">IF(G1371&lt;&gt;0,1,"")</f>
        <v/>
      </c>
      <c r="B1371" s="2401"/>
      <c r="C1371" s="2402">
        <f>IF(G1371&gt;0,1,0)</f>
        <v>0</v>
      </c>
      <c r="D1371" s="2152"/>
      <c r="E1371" s="2403" t="s">
        <v>6232</v>
      </c>
      <c r="F1371" s="2404" t="s">
        <v>2277</v>
      </c>
      <c r="G1371" s="2405">
        <f>G1359*0</f>
        <v>0</v>
      </c>
      <c r="H1371" s="2404"/>
      <c r="I1371" s="2404"/>
      <c r="J1371" s="2404"/>
      <c r="K1371" s="2404"/>
      <c r="L1371" s="2405"/>
      <c r="M1371" s="2405"/>
      <c r="N1371" s="2405"/>
      <c r="O1371" s="2406"/>
      <c r="P1371" s="2389"/>
      <c r="Q1371" s="2266"/>
      <c r="R1371" s="2266"/>
      <c r="S1371" s="2266"/>
    </row>
    <row r="1372" spans="1:19" s="2105" customFormat="1" outlineLevel="1">
      <c r="A1372" s="2182" t="str">
        <f t="shared" si="245"/>
        <v/>
      </c>
      <c r="B1372" s="2357" t="s">
        <v>115</v>
      </c>
      <c r="C1372" s="2407"/>
      <c r="D1372" s="2152"/>
      <c r="E1372" s="2408" t="s">
        <v>2992</v>
      </c>
      <c r="F1372" s="2152" t="s">
        <v>2831</v>
      </c>
      <c r="G1372" s="2152">
        <f>G1371</f>
        <v>0</v>
      </c>
      <c r="H1372" s="2359">
        <v>4400000</v>
      </c>
      <c r="I1372" s="2258"/>
      <c r="J1372" s="2359"/>
      <c r="K1372" s="2258"/>
      <c r="L1372" s="2360">
        <f>H1372*G1372</f>
        <v>0</v>
      </c>
      <c r="M1372" s="2360">
        <f>I1372*G1372</f>
        <v>0</v>
      </c>
      <c r="N1372" s="2360">
        <f>J1372*G1372</f>
        <v>0</v>
      </c>
      <c r="O1372" s="2360">
        <f>K1372*G1372</f>
        <v>0</v>
      </c>
      <c r="P1372" s="2389"/>
      <c r="Q1372" s="2266"/>
      <c r="R1372" s="2266"/>
      <c r="S1372" s="2266"/>
    </row>
    <row r="1373" spans="1:19" s="2105" customFormat="1" outlineLevel="1">
      <c r="A1373" s="2182" t="str">
        <f t="shared" si="245"/>
        <v/>
      </c>
      <c r="B1373" s="2357" t="s">
        <v>1814</v>
      </c>
      <c r="C1373" s="2407"/>
      <c r="D1373" s="2152"/>
      <c r="E1373" s="2408" t="s">
        <v>2830</v>
      </c>
      <c r="F1373" s="2152" t="s">
        <v>2831</v>
      </c>
      <c r="G1373" s="2152">
        <f>G1372</f>
        <v>0</v>
      </c>
      <c r="H1373" s="2359">
        <v>17400</v>
      </c>
      <c r="I1373" s="2359"/>
      <c r="J1373" s="2258"/>
      <c r="K1373" s="2258"/>
      <c r="L1373" s="2360">
        <f>H1373*G1373</f>
        <v>0</v>
      </c>
      <c r="M1373" s="2360">
        <f>I1373*G1373</f>
        <v>0</v>
      </c>
      <c r="N1373" s="2360">
        <f>J1373*G1373</f>
        <v>0</v>
      </c>
      <c r="O1373" s="2360">
        <f>K1373*G1373</f>
        <v>0</v>
      </c>
      <c r="P1373" s="2389"/>
      <c r="Q1373" s="2266"/>
      <c r="R1373" s="2266"/>
      <c r="S1373" s="2266"/>
    </row>
    <row r="1374" spans="1:19" s="2105" customFormat="1" outlineLevel="1">
      <c r="A1374" s="2182" t="str">
        <f t="shared" si="245"/>
        <v/>
      </c>
      <c r="B1374" s="2357" t="s">
        <v>643</v>
      </c>
      <c r="C1374" s="2407"/>
      <c r="D1374" s="2152" t="s">
        <v>2127</v>
      </c>
      <c r="E1374" s="2408" t="s">
        <v>3167</v>
      </c>
      <c r="F1374" s="2152" t="s">
        <v>2831</v>
      </c>
      <c r="G1374" s="2152">
        <f>G1372</f>
        <v>0</v>
      </c>
      <c r="H1374" s="2408"/>
      <c r="I1374" s="2359"/>
      <c r="J1374" s="2359">
        <v>112286</v>
      </c>
      <c r="K1374" s="2359">
        <v>105970</v>
      </c>
      <c r="L1374" s="2360">
        <f>H1374*G1374</f>
        <v>0</v>
      </c>
      <c r="M1374" s="2360">
        <f>I1374*G1374</f>
        <v>0</v>
      </c>
      <c r="N1374" s="2360">
        <f>J1374*G1374</f>
        <v>0</v>
      </c>
      <c r="O1374" s="2360">
        <f>K1374*G1374</f>
        <v>0</v>
      </c>
      <c r="P1374" s="2389"/>
      <c r="Q1374" s="2266"/>
      <c r="R1374" s="2266"/>
      <c r="S1374" s="2266"/>
    </row>
    <row r="1375" spans="1:19" s="2105" customFormat="1" outlineLevel="1">
      <c r="A1375" s="2182" t="str">
        <f t="shared" si="245"/>
        <v/>
      </c>
      <c r="B1375" s="2401"/>
      <c r="C1375" s="2402">
        <f>IF(G1375&gt;0,1,0)</f>
        <v>0</v>
      </c>
      <c r="D1375" s="2152"/>
      <c r="E1375" s="2403" t="s">
        <v>6217</v>
      </c>
      <c r="F1375" s="2404" t="s">
        <v>2277</v>
      </c>
      <c r="G1375" s="2405">
        <f>G1359*2*0</f>
        <v>0</v>
      </c>
      <c r="H1375" s="2404"/>
      <c r="I1375" s="2404"/>
      <c r="J1375" s="2404"/>
      <c r="K1375" s="2404"/>
      <c r="L1375" s="2405"/>
      <c r="M1375" s="2405"/>
      <c r="N1375" s="2405"/>
      <c r="O1375" s="2406"/>
      <c r="P1375" s="2265"/>
      <c r="Q1375" s="2266"/>
      <c r="R1375" s="2266"/>
      <c r="S1375" s="2266"/>
    </row>
    <row r="1376" spans="1:19" s="2105" customFormat="1" outlineLevel="1">
      <c r="A1376" s="2182" t="str">
        <f t="shared" si="245"/>
        <v/>
      </c>
      <c r="B1376" s="2357" t="s">
        <v>114</v>
      </c>
      <c r="C1376" s="2407"/>
      <c r="D1376" s="2152"/>
      <c r="E1376" s="2408" t="s">
        <v>2991</v>
      </c>
      <c r="F1376" s="2152" t="s">
        <v>2831</v>
      </c>
      <c r="G1376" s="2152">
        <f>G1375</f>
        <v>0</v>
      </c>
      <c r="H1376" s="2359">
        <v>4200000</v>
      </c>
      <c r="I1376" s="2258"/>
      <c r="J1376" s="2359"/>
      <c r="K1376" s="2258"/>
      <c r="L1376" s="2360">
        <f>H1376*G1376</f>
        <v>0</v>
      </c>
      <c r="M1376" s="2360">
        <f>I1376*G1376</f>
        <v>0</v>
      </c>
      <c r="N1376" s="2360">
        <f>J1376*G1376</f>
        <v>0</v>
      </c>
      <c r="O1376" s="2360">
        <f>K1376*G1376</f>
        <v>0</v>
      </c>
      <c r="P1376" s="2265"/>
      <c r="Q1376" s="2266"/>
      <c r="R1376" s="2266"/>
      <c r="S1376" s="2266"/>
    </row>
    <row r="1377" spans="1:19" s="2105" customFormat="1" outlineLevel="1">
      <c r="A1377" s="2182" t="str">
        <f t="shared" si="245"/>
        <v/>
      </c>
      <c r="B1377" s="2357" t="s">
        <v>1814</v>
      </c>
      <c r="C1377" s="2407"/>
      <c r="D1377" s="2152"/>
      <c r="E1377" s="2408" t="s">
        <v>2830</v>
      </c>
      <c r="F1377" s="2152" t="s">
        <v>2831</v>
      </c>
      <c r="G1377" s="2152">
        <f>G1376</f>
        <v>0</v>
      </c>
      <c r="H1377" s="2359">
        <v>17400</v>
      </c>
      <c r="I1377" s="2359"/>
      <c r="J1377" s="2258"/>
      <c r="K1377" s="2258"/>
      <c r="L1377" s="2360">
        <f>H1377*G1377</f>
        <v>0</v>
      </c>
      <c r="M1377" s="2360">
        <f>I1377*G1377</f>
        <v>0</v>
      </c>
      <c r="N1377" s="2360">
        <f>J1377*G1377</f>
        <v>0</v>
      </c>
      <c r="O1377" s="2360">
        <f>K1377*G1377</f>
        <v>0</v>
      </c>
      <c r="P1377" s="2265"/>
      <c r="Q1377" s="2266"/>
      <c r="R1377" s="2266"/>
      <c r="S1377" s="2266"/>
    </row>
    <row r="1378" spans="1:19" s="2105" customFormat="1" outlineLevel="1">
      <c r="A1378" s="2182" t="str">
        <f t="shared" si="245"/>
        <v/>
      </c>
      <c r="B1378" s="2357" t="s">
        <v>644</v>
      </c>
      <c r="C1378" s="2407"/>
      <c r="D1378" s="2152" t="s">
        <v>2127</v>
      </c>
      <c r="E1378" s="2408" t="s">
        <v>3168</v>
      </c>
      <c r="F1378" s="2152" t="s">
        <v>2831</v>
      </c>
      <c r="G1378" s="2152">
        <f>G1376</f>
        <v>0</v>
      </c>
      <c r="H1378" s="2408"/>
      <c r="I1378" s="2359"/>
      <c r="J1378" s="2359">
        <v>112286</v>
      </c>
      <c r="K1378" s="2359">
        <v>105970</v>
      </c>
      <c r="L1378" s="2360">
        <f>H1378*G1378</f>
        <v>0</v>
      </c>
      <c r="M1378" s="2360">
        <f>I1378*G1378</f>
        <v>0</v>
      </c>
      <c r="N1378" s="2360">
        <f>J1378*G1378</f>
        <v>0</v>
      </c>
      <c r="O1378" s="2360">
        <f>K1378*G1378</f>
        <v>0</v>
      </c>
      <c r="P1378" s="2265"/>
      <c r="Q1378" s="2266"/>
      <c r="R1378" s="2266"/>
      <c r="S1378" s="2266"/>
    </row>
    <row r="1379" spans="1:19" s="2105" customFormat="1" outlineLevel="1">
      <c r="A1379" s="2182" t="str">
        <f t="shared" si="245"/>
        <v/>
      </c>
      <c r="B1379" s="2357"/>
      <c r="C1379" s="2258">
        <f>IF(G1379&gt;0,C1371+1,C1371)</f>
        <v>0</v>
      </c>
      <c r="D1379" s="2152"/>
      <c r="E1379" s="2403" t="s">
        <v>2352</v>
      </c>
      <c r="F1379" s="2404" t="s">
        <v>2327</v>
      </c>
      <c r="G1379" s="2409">
        <f>G1371</f>
        <v>0</v>
      </c>
      <c r="H1379" s="2258"/>
      <c r="I1379" s="2258"/>
      <c r="J1379" s="2258"/>
      <c r="K1379" s="2258"/>
      <c r="L1379" s="2258"/>
      <c r="M1379" s="2258"/>
      <c r="N1379" s="2258"/>
      <c r="O1379" s="2410"/>
      <c r="P1379" s="2389"/>
      <c r="Q1379" s="2266"/>
      <c r="R1379" s="2266"/>
      <c r="S1379" s="2266"/>
    </row>
    <row r="1380" spans="1:19" s="2105" customFormat="1" outlineLevel="1">
      <c r="A1380" s="2182" t="str">
        <f t="shared" si="245"/>
        <v/>
      </c>
      <c r="B1380" s="2357" t="s">
        <v>636</v>
      </c>
      <c r="C1380" s="2407"/>
      <c r="D1380" s="2152" t="s">
        <v>5047</v>
      </c>
      <c r="E1380" s="2408" t="s">
        <v>2607</v>
      </c>
      <c r="F1380" s="2152" t="s">
        <v>2555</v>
      </c>
      <c r="G1380" s="2152">
        <f>G1379</f>
        <v>0</v>
      </c>
      <c r="H1380" s="2359">
        <v>354545</v>
      </c>
      <c r="I1380" s="2359"/>
      <c r="J1380" s="2359">
        <v>37220.25</v>
      </c>
      <c r="K1380" s="2258"/>
      <c r="L1380" s="2360">
        <f>H1380*G1380</f>
        <v>0</v>
      </c>
      <c r="M1380" s="2360">
        <f>I1380*G1380</f>
        <v>0</v>
      </c>
      <c r="N1380" s="2360">
        <f>J1380*G1380</f>
        <v>0</v>
      </c>
      <c r="O1380" s="2360">
        <f>K1380*G1380</f>
        <v>0</v>
      </c>
      <c r="P1380" s="2389"/>
      <c r="Q1380" s="2266"/>
      <c r="R1380" s="2266"/>
      <c r="S1380" s="2266"/>
    </row>
    <row r="1381" spans="1:19" s="2105" customFormat="1" outlineLevel="1">
      <c r="A1381" s="2182" t="str">
        <f t="shared" si="245"/>
        <v/>
      </c>
      <c r="B1381" s="2357" t="s">
        <v>566</v>
      </c>
      <c r="C1381" s="2407"/>
      <c r="D1381" s="2152"/>
      <c r="E1381" s="2408" t="s">
        <v>5072</v>
      </c>
      <c r="F1381" s="2152" t="s">
        <v>2439</v>
      </c>
      <c r="G1381" s="2152">
        <f>G1380</f>
        <v>0</v>
      </c>
      <c r="H1381" s="2359">
        <v>92200</v>
      </c>
      <c r="I1381" s="2408"/>
      <c r="J1381" s="2408"/>
      <c r="K1381" s="2258"/>
      <c r="L1381" s="2360">
        <f>H1381*G1381</f>
        <v>0</v>
      </c>
      <c r="M1381" s="2360">
        <f>I1381*G1381</f>
        <v>0</v>
      </c>
      <c r="N1381" s="2360">
        <f>J1381*G1381</f>
        <v>0</v>
      </c>
      <c r="O1381" s="2360">
        <f>K1381*G1381</f>
        <v>0</v>
      </c>
      <c r="P1381" s="2389"/>
      <c r="Q1381" s="2266"/>
      <c r="R1381" s="2266"/>
      <c r="S1381" s="2266"/>
    </row>
    <row r="1382" spans="1:19" s="2105" customFormat="1" outlineLevel="1">
      <c r="A1382" s="2182" t="str">
        <f t="shared" si="245"/>
        <v/>
      </c>
      <c r="B1382" s="2357" t="s">
        <v>639</v>
      </c>
      <c r="C1382" s="2407"/>
      <c r="D1382" s="2152" t="s">
        <v>1747</v>
      </c>
      <c r="E1382" s="2408" t="s">
        <v>5324</v>
      </c>
      <c r="F1382" s="2152" t="s">
        <v>856</v>
      </c>
      <c r="G1382" s="2152">
        <f>0.87*G1380</f>
        <v>0</v>
      </c>
      <c r="H1382" s="2359">
        <v>0</v>
      </c>
      <c r="I1382" s="2359"/>
      <c r="J1382" s="2359">
        <v>296500.89999999997</v>
      </c>
      <c r="K1382" s="2258"/>
      <c r="L1382" s="2360">
        <f>H1382*G1382</f>
        <v>0</v>
      </c>
      <c r="M1382" s="2360">
        <f>I1382*G1382</f>
        <v>0</v>
      </c>
      <c r="N1382" s="2360">
        <f>J1382*G1382</f>
        <v>0</v>
      </c>
      <c r="O1382" s="2360">
        <f>K1382*G1382</f>
        <v>0</v>
      </c>
      <c r="P1382" s="2389"/>
      <c r="Q1382" s="2266"/>
      <c r="R1382" s="2266"/>
      <c r="S1382" s="2266"/>
    </row>
    <row r="1383" spans="1:19" s="2105" customFormat="1" outlineLevel="1">
      <c r="A1383" s="2182" t="str">
        <f t="shared" si="245"/>
        <v/>
      </c>
      <c r="B1383" s="2357" t="s">
        <v>21</v>
      </c>
      <c r="C1383" s="2407"/>
      <c r="D1383" s="2152" t="s">
        <v>5325</v>
      </c>
      <c r="E1383" s="2408" t="s">
        <v>5326</v>
      </c>
      <c r="F1383" s="2152" t="s">
        <v>856</v>
      </c>
      <c r="G1383" s="2152">
        <f>0.79*G1379</f>
        <v>0</v>
      </c>
      <c r="H1383" s="2359">
        <v>0</v>
      </c>
      <c r="I1383" s="2359"/>
      <c r="J1383" s="2359">
        <v>117703.6</v>
      </c>
      <c r="K1383" s="2258"/>
      <c r="L1383" s="2360">
        <f>H1383*G1383</f>
        <v>0</v>
      </c>
      <c r="M1383" s="2360">
        <f>I1383*G1383</f>
        <v>0</v>
      </c>
      <c r="N1383" s="2360">
        <f>J1383*G1383</f>
        <v>0</v>
      </c>
      <c r="O1383" s="2360">
        <f>K1383*G1383</f>
        <v>0</v>
      </c>
      <c r="P1383" s="2389"/>
      <c r="Q1383" s="2266"/>
      <c r="R1383" s="2266"/>
      <c r="S1383" s="2266"/>
    </row>
    <row r="1384" spans="1:19" s="2105" customFormat="1" outlineLevel="1">
      <c r="A1384" s="2182" t="str">
        <f t="shared" si="245"/>
        <v/>
      </c>
      <c r="B1384" s="2357"/>
      <c r="C1384" s="2258">
        <f>IF(G1384&gt;0,C1376+1,C1376)</f>
        <v>0</v>
      </c>
      <c r="D1384" s="2152"/>
      <c r="E1384" s="2403" t="s">
        <v>3713</v>
      </c>
      <c r="F1384" s="2404" t="s">
        <v>2327</v>
      </c>
      <c r="G1384" s="2409">
        <f>G1375</f>
        <v>0</v>
      </c>
      <c r="H1384" s="2258"/>
      <c r="I1384" s="2258"/>
      <c r="J1384" s="2258"/>
      <c r="K1384" s="2258"/>
      <c r="L1384" s="2258"/>
      <c r="M1384" s="2258"/>
      <c r="N1384" s="2258"/>
      <c r="O1384" s="2410"/>
      <c r="P1384" s="2265"/>
      <c r="Q1384" s="2266"/>
      <c r="R1384" s="2266"/>
      <c r="S1384" s="2266"/>
    </row>
    <row r="1385" spans="1:19" s="2105" customFormat="1" outlineLevel="1">
      <c r="A1385" s="2182" t="str">
        <f t="shared" si="245"/>
        <v/>
      </c>
      <c r="B1385" s="2357" t="s">
        <v>636</v>
      </c>
      <c r="C1385" s="2407"/>
      <c r="D1385" s="2152" t="s">
        <v>5047</v>
      </c>
      <c r="E1385" s="2408" t="s">
        <v>2607</v>
      </c>
      <c r="F1385" s="2152" t="s">
        <v>2555</v>
      </c>
      <c r="G1385" s="2152">
        <f>G1384</f>
        <v>0</v>
      </c>
      <c r="H1385" s="2359">
        <v>354545</v>
      </c>
      <c r="I1385" s="2359"/>
      <c r="J1385" s="2359">
        <v>37220.25</v>
      </c>
      <c r="K1385" s="2258"/>
      <c r="L1385" s="2360">
        <f>H1385*G1385</f>
        <v>0</v>
      </c>
      <c r="M1385" s="2360">
        <f>I1385*G1385</f>
        <v>0</v>
      </c>
      <c r="N1385" s="2360">
        <f>J1385*G1385</f>
        <v>0</v>
      </c>
      <c r="O1385" s="2360">
        <f>K1385*G1385</f>
        <v>0</v>
      </c>
      <c r="P1385" s="2265"/>
      <c r="Q1385" s="2266"/>
      <c r="R1385" s="2266"/>
      <c r="S1385" s="2266"/>
    </row>
    <row r="1386" spans="1:19" s="2105" customFormat="1" outlineLevel="1">
      <c r="A1386" s="2182" t="str">
        <f t="shared" si="245"/>
        <v/>
      </c>
      <c r="B1386" s="2357" t="s">
        <v>566</v>
      </c>
      <c r="C1386" s="2407"/>
      <c r="D1386" s="2152"/>
      <c r="E1386" s="2408" t="s">
        <v>5072</v>
      </c>
      <c r="F1386" s="2152" t="s">
        <v>2439</v>
      </c>
      <c r="G1386" s="2152">
        <f>G1385</f>
        <v>0</v>
      </c>
      <c r="H1386" s="2359">
        <v>92200</v>
      </c>
      <c r="I1386" s="2408"/>
      <c r="J1386" s="2408"/>
      <c r="K1386" s="2258"/>
      <c r="L1386" s="2360">
        <f>H1386*G1386</f>
        <v>0</v>
      </c>
      <c r="M1386" s="2360">
        <f>I1386*G1386</f>
        <v>0</v>
      </c>
      <c r="N1386" s="2360">
        <f>J1386*G1386</f>
        <v>0</v>
      </c>
      <c r="O1386" s="2360">
        <f>K1386*G1386</f>
        <v>0</v>
      </c>
      <c r="P1386" s="2265"/>
      <c r="Q1386" s="2266"/>
      <c r="R1386" s="2266"/>
      <c r="S1386" s="2266"/>
    </row>
    <row r="1387" spans="1:19" s="2105" customFormat="1" outlineLevel="1">
      <c r="A1387" s="2182" t="str">
        <f t="shared" si="245"/>
        <v/>
      </c>
      <c r="B1387" s="2357" t="s">
        <v>639</v>
      </c>
      <c r="C1387" s="2407"/>
      <c r="D1387" s="2152" t="s">
        <v>1747</v>
      </c>
      <c r="E1387" s="2408" t="s">
        <v>5324</v>
      </c>
      <c r="F1387" s="2152" t="s">
        <v>856</v>
      </c>
      <c r="G1387" s="2152">
        <f>0.78*G1385</f>
        <v>0</v>
      </c>
      <c r="H1387" s="2359">
        <v>0</v>
      </c>
      <c r="I1387" s="2359"/>
      <c r="J1387" s="2359">
        <v>296500.89999999997</v>
      </c>
      <c r="K1387" s="2258"/>
      <c r="L1387" s="2360">
        <f>H1387*G1387</f>
        <v>0</v>
      </c>
      <c r="M1387" s="2360">
        <f>I1387*G1387</f>
        <v>0</v>
      </c>
      <c r="N1387" s="2360">
        <f>J1387*G1387</f>
        <v>0</v>
      </c>
      <c r="O1387" s="2360">
        <f>K1387*G1387</f>
        <v>0</v>
      </c>
      <c r="P1387" s="2265"/>
      <c r="Q1387" s="2266"/>
      <c r="R1387" s="2266"/>
      <c r="S1387" s="2266"/>
    </row>
    <row r="1388" spans="1:19" s="2105" customFormat="1" outlineLevel="1">
      <c r="A1388" s="2182" t="str">
        <f t="shared" si="245"/>
        <v/>
      </c>
      <c r="B1388" s="2357" t="s">
        <v>21</v>
      </c>
      <c r="C1388" s="2407"/>
      <c r="D1388" s="2152" t="s">
        <v>5325</v>
      </c>
      <c r="E1388" s="2408" t="s">
        <v>5326</v>
      </c>
      <c r="F1388" s="2152" t="s">
        <v>856</v>
      </c>
      <c r="G1388" s="2152">
        <f>0.74*G1384</f>
        <v>0</v>
      </c>
      <c r="H1388" s="2359">
        <v>0</v>
      </c>
      <c r="I1388" s="2359"/>
      <c r="J1388" s="2359">
        <v>117703.6</v>
      </c>
      <c r="K1388" s="2258"/>
      <c r="L1388" s="2360">
        <f>H1388*G1388</f>
        <v>0</v>
      </c>
      <c r="M1388" s="2360">
        <f>I1388*G1388</f>
        <v>0</v>
      </c>
      <c r="N1388" s="2360">
        <f>J1388*G1388</f>
        <v>0</v>
      </c>
      <c r="O1388" s="2360">
        <f>K1388*G1388</f>
        <v>0</v>
      </c>
      <c r="P1388" s="2265"/>
      <c r="Q1388" s="2266"/>
      <c r="R1388" s="2266"/>
      <c r="S1388" s="2266"/>
    </row>
    <row r="1389" spans="1:19" s="2105" customFormat="1" outlineLevel="1">
      <c r="A1389" s="2182" t="str">
        <f t="shared" si="245"/>
        <v/>
      </c>
      <c r="B1389" s="2261"/>
      <c r="C1389" s="2258">
        <f>IF(G1389&gt;0,C1379+1,C1379)</f>
        <v>0</v>
      </c>
      <c r="D1389" s="2411"/>
      <c r="E1389" s="2403" t="s">
        <v>3714</v>
      </c>
      <c r="F1389" s="2402" t="s">
        <v>2385</v>
      </c>
      <c r="G1389" s="2448">
        <f>G1359*1</f>
        <v>0</v>
      </c>
      <c r="H1389" s="2413"/>
      <c r="I1389" s="2413"/>
      <c r="J1389" s="2413"/>
      <c r="K1389" s="2413"/>
      <c r="L1389" s="2413"/>
      <c r="M1389" s="2413"/>
      <c r="N1389" s="2413"/>
      <c r="O1389" s="2413"/>
      <c r="P1389" s="2449"/>
      <c r="Q1389" s="2266"/>
      <c r="R1389" s="2266"/>
      <c r="S1389" s="2266"/>
    </row>
    <row r="1390" spans="1:19" s="2105" customFormat="1" ht="14.4" outlineLevel="1">
      <c r="A1390" s="2182" t="str">
        <f>A1389</f>
        <v/>
      </c>
      <c r="B1390" s="2261"/>
      <c r="C1390" s="2258"/>
      <c r="D1390" s="2414"/>
      <c r="E1390" s="2267" t="s">
        <v>6133</v>
      </c>
      <c r="F1390" s="2268"/>
      <c r="G1390" s="2450"/>
      <c r="H1390" s="2415"/>
      <c r="I1390" s="2415"/>
      <c r="J1390" s="2415"/>
      <c r="K1390" s="2415"/>
      <c r="L1390" s="2415"/>
      <c r="M1390" s="2415"/>
      <c r="N1390" s="2415"/>
      <c r="O1390" s="2415"/>
      <c r="P1390" s="2449"/>
      <c r="Q1390" s="2266"/>
      <c r="R1390" s="2266"/>
      <c r="S1390" s="2266"/>
    </row>
    <row r="1391" spans="1:19" s="2105" customFormat="1" outlineLevel="1">
      <c r="A1391" s="2182" t="str">
        <f t="shared" ref="A1391:A1396" si="246">IF(G1391&lt;&gt;0,1,"")</f>
        <v/>
      </c>
      <c r="B1391" s="2252" t="s">
        <v>1408</v>
      </c>
      <c r="C1391" s="2258"/>
      <c r="D1391" s="2152">
        <v>0</v>
      </c>
      <c r="E1391" s="2194" t="s">
        <v>6353</v>
      </c>
      <c r="F1391" s="2152" t="s">
        <v>2248</v>
      </c>
      <c r="G1391" s="2450">
        <f>19.8*2.8*2*G1389</f>
        <v>0</v>
      </c>
      <c r="H1391" s="2359">
        <v>31625</v>
      </c>
      <c r="I1391" s="2416"/>
      <c r="J1391" s="2359"/>
      <c r="K1391" s="2359">
        <v>0</v>
      </c>
      <c r="L1391" s="2360">
        <f t="shared" ref="L1391:L1430" si="247">H1391*G1391</f>
        <v>0</v>
      </c>
      <c r="M1391" s="2360">
        <f t="shared" ref="M1391:M1398" si="248">I1391*G1391</f>
        <v>0</v>
      </c>
      <c r="N1391" s="2359"/>
      <c r="O1391" s="2360">
        <f t="shared" ref="O1391:O1398" si="249">K1391*G1391</f>
        <v>0</v>
      </c>
      <c r="P1391" s="2449"/>
      <c r="Q1391" s="2266">
        <f>980000*2/104.1</f>
        <v>18828.04995196926</v>
      </c>
      <c r="R1391" s="2266"/>
      <c r="S1391" s="2266"/>
    </row>
    <row r="1392" spans="1:19" s="2105" customFormat="1" outlineLevel="1">
      <c r="A1392" s="2182" t="str">
        <f t="shared" si="246"/>
        <v/>
      </c>
      <c r="B1392" s="2252" t="s">
        <v>1137</v>
      </c>
      <c r="C1392" s="2258"/>
      <c r="D1392" s="2152">
        <v>0</v>
      </c>
      <c r="E1392" s="2194" t="s">
        <v>6339</v>
      </c>
      <c r="F1392" s="2152" t="s">
        <v>2248</v>
      </c>
      <c r="G1392" s="2450">
        <f>8.59*0.4*4*G1389</f>
        <v>0</v>
      </c>
      <c r="H1392" s="2359">
        <v>31625</v>
      </c>
      <c r="I1392" s="2416"/>
      <c r="J1392" s="2359"/>
      <c r="K1392" s="2359">
        <v>0</v>
      </c>
      <c r="L1392" s="2360">
        <f t="shared" si="247"/>
        <v>0</v>
      </c>
      <c r="M1392" s="2360">
        <f t="shared" si="248"/>
        <v>0</v>
      </c>
      <c r="N1392" s="2359"/>
      <c r="O1392" s="2360">
        <f t="shared" si="249"/>
        <v>0</v>
      </c>
      <c r="P1392" s="2449"/>
      <c r="Q1392" s="2266">
        <f>47000*4/10.85</f>
        <v>17327.188940092168</v>
      </c>
      <c r="R1392" s="2266"/>
      <c r="S1392" s="2266"/>
    </row>
    <row r="1393" spans="1:19" s="2105" customFormat="1" outlineLevel="1">
      <c r="A1393" s="2182" t="str">
        <f t="shared" si="246"/>
        <v/>
      </c>
      <c r="B1393" s="2252" t="s">
        <v>1138</v>
      </c>
      <c r="C1393" s="2258"/>
      <c r="D1393" s="2152">
        <v>0</v>
      </c>
      <c r="E1393" s="2194" t="s">
        <v>6340</v>
      </c>
      <c r="F1393" s="2152" t="s">
        <v>2248</v>
      </c>
      <c r="G1393" s="2450">
        <f>8.59*0.8*2*G1389</f>
        <v>0</v>
      </c>
      <c r="H1393" s="2359">
        <v>31625</v>
      </c>
      <c r="I1393" s="2416"/>
      <c r="J1393" s="2359"/>
      <c r="K1393" s="2359">
        <v>0</v>
      </c>
      <c r="L1393" s="2360">
        <f t="shared" si="247"/>
        <v>0</v>
      </c>
      <c r="M1393" s="2360">
        <f t="shared" si="248"/>
        <v>0</v>
      </c>
      <c r="N1393" s="2359"/>
      <c r="O1393" s="2360">
        <f t="shared" si="249"/>
        <v>0</v>
      </c>
      <c r="P1393" s="2449"/>
      <c r="Q1393" s="2266">
        <f>94000*2/10.85</f>
        <v>17327.188940092168</v>
      </c>
      <c r="R1393" s="2266"/>
      <c r="S1393" s="2266"/>
    </row>
    <row r="1394" spans="1:19" s="2105" customFormat="1" outlineLevel="1">
      <c r="A1394" s="2182" t="str">
        <f t="shared" si="246"/>
        <v/>
      </c>
      <c r="B1394" s="2261" t="s">
        <v>1781</v>
      </c>
      <c r="C1394" s="2258"/>
      <c r="D1394" s="2152">
        <v>0</v>
      </c>
      <c r="E1394" s="2194" t="s">
        <v>2662</v>
      </c>
      <c r="F1394" s="2152" t="s">
        <v>2439</v>
      </c>
      <c r="G1394" s="2450">
        <f>G1389*10</f>
        <v>0</v>
      </c>
      <c r="H1394" s="2359">
        <v>34800</v>
      </c>
      <c r="I1394" s="2416"/>
      <c r="J1394" s="2359">
        <v>0</v>
      </c>
      <c r="K1394" s="2359">
        <v>0</v>
      </c>
      <c r="L1394" s="2360">
        <f t="shared" si="247"/>
        <v>0</v>
      </c>
      <c r="M1394" s="2360">
        <f t="shared" si="248"/>
        <v>0</v>
      </c>
      <c r="N1394" s="2360">
        <f>J1394*G1394</f>
        <v>0</v>
      </c>
      <c r="O1394" s="2360">
        <f t="shared" si="249"/>
        <v>0</v>
      </c>
      <c r="P1394" s="2449"/>
      <c r="Q1394" s="2266"/>
      <c r="R1394" s="2266"/>
      <c r="S1394" s="2266"/>
    </row>
    <row r="1395" spans="1:19" s="2105" customFormat="1" outlineLevel="1">
      <c r="A1395" s="2182" t="str">
        <f t="shared" si="246"/>
        <v/>
      </c>
      <c r="B1395" s="2261" t="s">
        <v>1083</v>
      </c>
      <c r="C1395" s="2258"/>
      <c r="D1395" s="2152">
        <v>0</v>
      </c>
      <c r="E1395" s="2194" t="s">
        <v>2652</v>
      </c>
      <c r="F1395" s="2152" t="s">
        <v>2439</v>
      </c>
      <c r="G1395" s="2450">
        <f>G1389*2</f>
        <v>0</v>
      </c>
      <c r="H1395" s="2359">
        <v>29900</v>
      </c>
      <c r="I1395" s="2416"/>
      <c r="J1395" s="2359">
        <v>0</v>
      </c>
      <c r="K1395" s="2359">
        <v>0</v>
      </c>
      <c r="L1395" s="2360">
        <f t="shared" si="247"/>
        <v>0</v>
      </c>
      <c r="M1395" s="2360">
        <f t="shared" si="248"/>
        <v>0</v>
      </c>
      <c r="N1395" s="2360">
        <f>J1395*G1395</f>
        <v>0</v>
      </c>
      <c r="O1395" s="2360">
        <f t="shared" si="249"/>
        <v>0</v>
      </c>
      <c r="P1395" s="2449"/>
      <c r="Q1395" s="2266"/>
      <c r="R1395" s="2266"/>
      <c r="S1395" s="2266"/>
    </row>
    <row r="1396" spans="1:19" s="2105" customFormat="1" outlineLevel="1">
      <c r="A1396" s="2182" t="str">
        <f t="shared" si="246"/>
        <v/>
      </c>
      <c r="B1396" s="2261" t="s">
        <v>1079</v>
      </c>
      <c r="C1396" s="2258"/>
      <c r="D1396" s="2152">
        <v>0</v>
      </c>
      <c r="E1396" s="2194" t="s">
        <v>2651</v>
      </c>
      <c r="F1396" s="2152" t="s">
        <v>2439</v>
      </c>
      <c r="G1396" s="2450">
        <f>G1389*12</f>
        <v>0</v>
      </c>
      <c r="H1396" s="2359">
        <v>27900</v>
      </c>
      <c r="I1396" s="2416"/>
      <c r="J1396" s="2359">
        <v>0</v>
      </c>
      <c r="K1396" s="2359">
        <v>0</v>
      </c>
      <c r="L1396" s="2360">
        <f t="shared" si="247"/>
        <v>0</v>
      </c>
      <c r="M1396" s="2360">
        <f t="shared" si="248"/>
        <v>0</v>
      </c>
      <c r="N1396" s="2360">
        <f>J1396*G1396</f>
        <v>0</v>
      </c>
      <c r="O1396" s="2360">
        <f t="shared" si="249"/>
        <v>0</v>
      </c>
      <c r="P1396" s="2449"/>
      <c r="Q1396" s="2266"/>
      <c r="R1396" s="2266"/>
      <c r="S1396" s="2266"/>
    </row>
    <row r="1397" spans="1:19" s="2105" customFormat="1" outlineLevel="1">
      <c r="A1397" s="2182" t="str">
        <f>IF(G1397&lt;&gt;0,1,"")</f>
        <v/>
      </c>
      <c r="B1397" s="2252" t="s">
        <v>2242</v>
      </c>
      <c r="C1397" s="2258"/>
      <c r="D1397" s="2152" t="s">
        <v>5444</v>
      </c>
      <c r="E1397" s="2194" t="s">
        <v>2440</v>
      </c>
      <c r="F1397" s="2152" t="s">
        <v>2439</v>
      </c>
      <c r="G1397" s="2270">
        <f>+G1389*1*0</f>
        <v>0</v>
      </c>
      <c r="H1397" s="2359">
        <v>0</v>
      </c>
      <c r="I1397" s="2416"/>
      <c r="J1397" s="2359" t="s">
        <v>6342</v>
      </c>
      <c r="K1397" s="2359">
        <v>0</v>
      </c>
      <c r="L1397" s="2360">
        <f>H1397*G1397</f>
        <v>0</v>
      </c>
      <c r="M1397" s="2360">
        <f t="shared" si="248"/>
        <v>0</v>
      </c>
      <c r="N1397" s="2359">
        <v>0</v>
      </c>
      <c r="O1397" s="2360">
        <f t="shared" si="249"/>
        <v>0</v>
      </c>
      <c r="P1397" s="2265"/>
      <c r="Q1397" s="2266"/>
      <c r="R1397" s="2266"/>
      <c r="S1397" s="2266"/>
    </row>
    <row r="1398" spans="1:19" s="2105" customFormat="1" outlineLevel="1">
      <c r="A1398" s="2182" t="str">
        <f>IF(G1398&lt;&gt;0,1,"")</f>
        <v/>
      </c>
      <c r="B1398" s="2121" t="s">
        <v>5425</v>
      </c>
      <c r="C1398" s="2258"/>
      <c r="D1398" s="2152" t="s">
        <v>5426</v>
      </c>
      <c r="E1398" s="2194" t="s">
        <v>5427</v>
      </c>
      <c r="F1398" s="2152" t="s">
        <v>2248</v>
      </c>
      <c r="G1398" s="2450">
        <f>SUM(G1391:G1393)</f>
        <v>0</v>
      </c>
      <c r="H1398" s="2359"/>
      <c r="I1398" s="2416"/>
      <c r="J1398" s="2359">
        <v>2025</v>
      </c>
      <c r="K1398" s="2359">
        <v>0</v>
      </c>
      <c r="L1398" s="2360">
        <f>H1398*G1398</f>
        <v>0</v>
      </c>
      <c r="M1398" s="2360">
        <f t="shared" si="248"/>
        <v>0</v>
      </c>
      <c r="N1398" s="2359">
        <v>0</v>
      </c>
      <c r="O1398" s="2360">
        <f t="shared" si="249"/>
        <v>0</v>
      </c>
      <c r="P1398" s="2449"/>
      <c r="Q1398" s="2266"/>
      <c r="R1398" s="2266"/>
      <c r="S1398" s="2266"/>
    </row>
    <row r="1399" spans="1:19" s="2105" customFormat="1" outlineLevel="1">
      <c r="A1399" s="2182" t="str">
        <f>IF(G1399&lt;&gt;0,1,"")</f>
        <v/>
      </c>
      <c r="B1399" s="2261"/>
      <c r="C1399" s="2258">
        <f>IF(G1399&gt;0,C1389+1,C1385)</f>
        <v>0</v>
      </c>
      <c r="D1399" s="2259"/>
      <c r="E1399" s="2417" t="s">
        <v>6219</v>
      </c>
      <c r="F1399" s="2258" t="s">
        <v>2385</v>
      </c>
      <c r="G1399" s="2451">
        <f>+G1359*1</f>
        <v>0</v>
      </c>
      <c r="H1399" s="2416"/>
      <c r="I1399" s="2416"/>
      <c r="J1399" s="2416"/>
      <c r="K1399" s="2416"/>
      <c r="L1399" s="2360">
        <f t="shared" si="247"/>
        <v>0</v>
      </c>
      <c r="M1399" s="2360">
        <f>I1399*G1399</f>
        <v>0</v>
      </c>
      <c r="N1399" s="2360">
        <f>J1399*G1399</f>
        <v>0</v>
      </c>
      <c r="O1399" s="2360">
        <f>K1399*G1399</f>
        <v>0</v>
      </c>
      <c r="P1399" s="2449"/>
      <c r="Q1399" s="2266"/>
      <c r="R1399" s="2266"/>
      <c r="S1399" s="2266"/>
    </row>
    <row r="1400" spans="1:19" s="2105" customFormat="1" ht="14.4" outlineLevel="1">
      <c r="A1400" s="2182" t="str">
        <f>A1399</f>
        <v/>
      </c>
      <c r="B1400" s="2261"/>
      <c r="C1400" s="2258"/>
      <c r="D1400" s="2259"/>
      <c r="E1400" s="2267" t="s">
        <v>6133</v>
      </c>
      <c r="F1400" s="2268"/>
      <c r="G1400" s="2450"/>
      <c r="H1400" s="2416"/>
      <c r="I1400" s="2416"/>
      <c r="J1400" s="2416"/>
      <c r="K1400" s="2416"/>
      <c r="L1400" s="2360">
        <f t="shared" si="247"/>
        <v>0</v>
      </c>
      <c r="M1400" s="2360">
        <f>I1400*G1400</f>
        <v>0</v>
      </c>
      <c r="N1400" s="2360">
        <f>J1400*G1400</f>
        <v>0</v>
      </c>
      <c r="O1400" s="2360">
        <f>K1400*G1400</f>
        <v>0</v>
      </c>
      <c r="P1400" s="2449"/>
      <c r="Q1400" s="2266"/>
      <c r="R1400" s="2266"/>
      <c r="S1400" s="2266"/>
    </row>
    <row r="1401" spans="1:19" s="2105" customFormat="1" outlineLevel="1">
      <c r="A1401" s="2182" t="str">
        <f>IF(G1401&lt;&gt;0,1,"")</f>
        <v/>
      </c>
      <c r="B1401" s="2133" t="s">
        <v>5155</v>
      </c>
      <c r="C1401" s="2258"/>
      <c r="D1401" s="2152">
        <v>0</v>
      </c>
      <c r="E1401" s="2194" t="s">
        <v>5156</v>
      </c>
      <c r="F1401" s="2152" t="s">
        <v>2590</v>
      </c>
      <c r="G1401" s="2450">
        <f>+G1399*1</f>
        <v>0</v>
      </c>
      <c r="H1401" s="2359">
        <v>878000</v>
      </c>
      <c r="I1401" s="2359"/>
      <c r="J1401" s="2359">
        <v>0</v>
      </c>
      <c r="K1401" s="2359">
        <v>0</v>
      </c>
      <c r="L1401" s="2360">
        <f t="shared" si="247"/>
        <v>0</v>
      </c>
      <c r="M1401" s="2360">
        <f>I1401*G1401</f>
        <v>0</v>
      </c>
      <c r="N1401" s="2360">
        <f>J1401*G1401</f>
        <v>0</v>
      </c>
      <c r="O1401" s="2360">
        <f>K1401*G1401</f>
        <v>0</v>
      </c>
      <c r="P1401" s="2449"/>
      <c r="Q1401" s="2266"/>
      <c r="R1401" s="2266"/>
      <c r="S1401" s="2266"/>
    </row>
    <row r="1402" spans="1:19" s="2105" customFormat="1" outlineLevel="1">
      <c r="A1402" s="2182" t="str">
        <f>IF(G1402&lt;&gt;0,1,"")</f>
        <v/>
      </c>
      <c r="B1402" s="2130" t="s">
        <v>488</v>
      </c>
      <c r="C1402" s="2258"/>
      <c r="D1402" s="2152">
        <v>0</v>
      </c>
      <c r="E1402" s="2194" t="s">
        <v>5078</v>
      </c>
      <c r="F1402" s="2152" t="s">
        <v>2439</v>
      </c>
      <c r="G1402" s="2450">
        <f>+G1399*3</f>
        <v>0</v>
      </c>
      <c r="H1402" s="2359">
        <v>65000</v>
      </c>
      <c r="I1402" s="2359">
        <v>0</v>
      </c>
      <c r="J1402" s="2359">
        <v>0</v>
      </c>
      <c r="K1402" s="2359">
        <v>0</v>
      </c>
      <c r="L1402" s="2360">
        <f t="shared" si="247"/>
        <v>0</v>
      </c>
      <c r="M1402" s="2360">
        <f>I1402*G1402</f>
        <v>0</v>
      </c>
      <c r="N1402" s="2360">
        <f>J1402*G1402</f>
        <v>0</v>
      </c>
      <c r="O1402" s="2360">
        <f>K1402*G1402</f>
        <v>0</v>
      </c>
      <c r="P1402" s="2449"/>
      <c r="Q1402" s="2266"/>
      <c r="R1402" s="2266"/>
      <c r="S1402" s="2266"/>
    </row>
    <row r="1403" spans="1:19" s="2105" customFormat="1" outlineLevel="1">
      <c r="A1403" s="2182" t="str">
        <f>IF(G1403&lt;&gt;0,1,"")</f>
        <v/>
      </c>
      <c r="B1403" s="2261" t="s">
        <v>1079</v>
      </c>
      <c r="C1403" s="2258"/>
      <c r="D1403" s="2152">
        <v>0</v>
      </c>
      <c r="E1403" s="2194" t="s">
        <v>2651</v>
      </c>
      <c r="F1403" s="2152" t="s">
        <v>2439</v>
      </c>
      <c r="G1403" s="2450">
        <f>+G1399*2</f>
        <v>0</v>
      </c>
      <c r="H1403" s="2359">
        <v>27900</v>
      </c>
      <c r="I1403" s="2416"/>
      <c r="J1403" s="2359">
        <v>0</v>
      </c>
      <c r="K1403" s="2359">
        <v>0</v>
      </c>
      <c r="L1403" s="2360">
        <f t="shared" si="247"/>
        <v>0</v>
      </c>
      <c r="M1403" s="2360">
        <f>I1403*G1403</f>
        <v>0</v>
      </c>
      <c r="N1403" s="2360">
        <f>J1403*G1403</f>
        <v>0</v>
      </c>
      <c r="O1403" s="2360">
        <f>K1403*G1403</f>
        <v>0</v>
      </c>
      <c r="P1403" s="2449"/>
      <c r="Q1403" s="2266"/>
      <c r="R1403" s="2266"/>
      <c r="S1403" s="2266"/>
    </row>
    <row r="1404" spans="1:19" s="2105" customFormat="1" outlineLevel="1">
      <c r="A1404" s="2182" t="str">
        <f>IF(G1404&lt;&gt;0,1,"")</f>
        <v/>
      </c>
      <c r="B1404" s="2121" t="s">
        <v>5376</v>
      </c>
      <c r="C1404" s="2258"/>
      <c r="D1404" s="2152" t="s">
        <v>5148</v>
      </c>
      <c r="E1404" s="2194" t="s">
        <v>5377</v>
      </c>
      <c r="F1404" s="2152" t="s">
        <v>2439</v>
      </c>
      <c r="G1404" s="2450">
        <f>+G1399</f>
        <v>0</v>
      </c>
      <c r="H1404" s="2264">
        <v>0</v>
      </c>
      <c r="I1404" s="2359"/>
      <c r="J1404" s="2359" t="s">
        <v>6354</v>
      </c>
      <c r="K1404" s="2359"/>
      <c r="L1404" s="2360">
        <f t="shared" si="247"/>
        <v>0</v>
      </c>
      <c r="M1404" s="2360"/>
      <c r="N1404" s="2359">
        <v>0</v>
      </c>
      <c r="O1404" s="2360"/>
      <c r="P1404" s="2449"/>
      <c r="Q1404" s="2266"/>
      <c r="R1404" s="2266"/>
      <c r="S1404" s="2266"/>
    </row>
    <row r="1405" spans="1:19" s="2105" customFormat="1" outlineLevel="1">
      <c r="A1405" s="2182" t="str">
        <f>IF(G1405&lt;&gt;0,1,"")</f>
        <v/>
      </c>
      <c r="B1405" s="2261"/>
      <c r="C1405" s="2258">
        <f>IF(G1405&gt;0,C1389+2,C1389)</f>
        <v>0</v>
      </c>
      <c r="D1405" s="2259"/>
      <c r="E1405" s="2417" t="s">
        <v>6233</v>
      </c>
      <c r="F1405" s="2258" t="s">
        <v>2385</v>
      </c>
      <c r="G1405" s="2451">
        <f>G1359*1</f>
        <v>0</v>
      </c>
      <c r="H1405" s="2416"/>
      <c r="I1405" s="2416"/>
      <c r="J1405" s="2416"/>
      <c r="K1405" s="2416"/>
      <c r="L1405" s="2360">
        <f t="shared" si="247"/>
        <v>0</v>
      </c>
      <c r="M1405" s="2360">
        <f>I1405*G1405</f>
        <v>0</v>
      </c>
      <c r="N1405" s="2360">
        <f>J1405*G1405</f>
        <v>0</v>
      </c>
      <c r="O1405" s="2360">
        <f>K1405*G1405</f>
        <v>0</v>
      </c>
      <c r="P1405" s="2449"/>
      <c r="Q1405" s="2266"/>
      <c r="R1405" s="2266"/>
      <c r="S1405" s="2266"/>
    </row>
    <row r="1406" spans="1:19" s="2105" customFormat="1" ht="14.4" outlineLevel="1">
      <c r="A1406" s="2182" t="str">
        <f>A1405</f>
        <v/>
      </c>
      <c r="B1406" s="2261"/>
      <c r="C1406" s="2258"/>
      <c r="D1406" s="2259"/>
      <c r="E1406" s="2267" t="s">
        <v>6133</v>
      </c>
      <c r="F1406" s="2268"/>
      <c r="G1406" s="2450"/>
      <c r="H1406" s="2416"/>
      <c r="I1406" s="2416"/>
      <c r="J1406" s="2416"/>
      <c r="K1406" s="2416"/>
      <c r="L1406" s="2360">
        <f t="shared" si="247"/>
        <v>0</v>
      </c>
      <c r="M1406" s="2360">
        <f>I1406*G1406</f>
        <v>0</v>
      </c>
      <c r="N1406" s="2360">
        <f>J1406*G1406</f>
        <v>0</v>
      </c>
      <c r="O1406" s="2360">
        <f>K1406*G1406</f>
        <v>0</v>
      </c>
      <c r="P1406" s="2449"/>
      <c r="Q1406" s="2266"/>
      <c r="R1406" s="2266"/>
      <c r="S1406" s="2266"/>
    </row>
    <row r="1407" spans="1:19" s="2105" customFormat="1" outlineLevel="1">
      <c r="A1407" s="2182" t="str">
        <f>IF(G1407&lt;&gt;0,1,"")</f>
        <v/>
      </c>
      <c r="B1407" s="2252" t="s">
        <v>2022</v>
      </c>
      <c r="C1407" s="2258"/>
      <c r="D1407" s="2152">
        <v>0</v>
      </c>
      <c r="E1407" s="2194" t="s">
        <v>2437</v>
      </c>
      <c r="F1407" s="2152" t="s">
        <v>2248</v>
      </c>
      <c r="G1407" s="2450">
        <f>G1405*9.02*(2.6+3*0.07)</f>
        <v>0</v>
      </c>
      <c r="H1407" s="2264">
        <v>31625</v>
      </c>
      <c r="I1407" s="2359"/>
      <c r="J1407" s="2359">
        <v>0</v>
      </c>
      <c r="K1407" s="2359">
        <v>0</v>
      </c>
      <c r="L1407" s="2360">
        <f t="shared" si="247"/>
        <v>0</v>
      </c>
      <c r="M1407" s="2360">
        <f>I1407*G1407</f>
        <v>0</v>
      </c>
      <c r="N1407" s="2360">
        <f>J1407*G1407</f>
        <v>0</v>
      </c>
      <c r="O1407" s="2360">
        <f>K1407*G1407</f>
        <v>0</v>
      </c>
      <c r="P1407" s="2449"/>
      <c r="Q1407" s="2266"/>
      <c r="R1407" s="2266"/>
      <c r="S1407" s="2266"/>
    </row>
    <row r="1408" spans="1:19" s="2105" customFormat="1" outlineLevel="1">
      <c r="A1408" s="2182" t="str">
        <f>IF(G1408&lt;&gt;0,1,"")</f>
        <v/>
      </c>
      <c r="B1408" s="2261" t="s">
        <v>1610</v>
      </c>
      <c r="C1408" s="2258"/>
      <c r="D1408" s="2152">
        <v>0</v>
      </c>
      <c r="E1408" s="2194" t="s">
        <v>2649</v>
      </c>
      <c r="F1408" s="2152" t="s">
        <v>2439</v>
      </c>
      <c r="G1408" s="2450">
        <f>G1405*2</f>
        <v>0</v>
      </c>
      <c r="H1408" s="2264">
        <v>25400</v>
      </c>
      <c r="I1408" s="2359">
        <v>0</v>
      </c>
      <c r="J1408" s="2359">
        <v>0</v>
      </c>
      <c r="K1408" s="2359">
        <v>0</v>
      </c>
      <c r="L1408" s="2360">
        <f t="shared" si="247"/>
        <v>0</v>
      </c>
      <c r="M1408" s="2360">
        <f>I1408*G1408</f>
        <v>0</v>
      </c>
      <c r="N1408" s="2360">
        <f>J1408*G1408</f>
        <v>0</v>
      </c>
      <c r="O1408" s="2360">
        <f>K1408*G1408</f>
        <v>0</v>
      </c>
      <c r="P1408" s="2449"/>
      <c r="Q1408" s="2266"/>
      <c r="R1408" s="2266"/>
      <c r="S1408" s="2266"/>
    </row>
    <row r="1409" spans="1:19" s="2105" customFormat="1" outlineLevel="1">
      <c r="A1409" s="2182" t="str">
        <f>IF(G1409&lt;&gt;0,1,"")</f>
        <v/>
      </c>
      <c r="B1409" s="2121" t="s">
        <v>5425</v>
      </c>
      <c r="C1409" s="2258"/>
      <c r="D1409" s="2152" t="s">
        <v>5426</v>
      </c>
      <c r="E1409" s="2194" t="s">
        <v>5427</v>
      </c>
      <c r="F1409" s="2152" t="s">
        <v>2248</v>
      </c>
      <c r="G1409" s="2450">
        <f>SUM(G1407)</f>
        <v>0</v>
      </c>
      <c r="H1409" s="2264">
        <v>0</v>
      </c>
      <c r="I1409" s="2359"/>
      <c r="J1409" s="2359">
        <v>2025</v>
      </c>
      <c r="K1409" s="2359"/>
      <c r="L1409" s="2360">
        <f t="shared" si="247"/>
        <v>0</v>
      </c>
      <c r="M1409" s="2360"/>
      <c r="N1409" s="2359">
        <v>0</v>
      </c>
      <c r="O1409" s="2360"/>
      <c r="P1409" s="2449"/>
      <c r="Q1409" s="2266"/>
      <c r="R1409" s="2266"/>
      <c r="S1409" s="2266"/>
    </row>
    <row r="1410" spans="1:19" s="2105" customFormat="1" outlineLevel="1">
      <c r="A1410" s="2182" t="str">
        <f>IF(G1410&lt;&gt;0,1,"")</f>
        <v/>
      </c>
      <c r="B1410" s="2261"/>
      <c r="C1410" s="2258">
        <f>IF(G1410&gt;0,C1405+1,C1405)</f>
        <v>0</v>
      </c>
      <c r="D1410" s="2259"/>
      <c r="E1410" s="2417" t="s">
        <v>6221</v>
      </c>
      <c r="F1410" s="2258" t="s">
        <v>2385</v>
      </c>
      <c r="G1410" s="2451">
        <f>G1359*2</f>
        <v>0</v>
      </c>
      <c r="H1410" s="2416"/>
      <c r="I1410" s="2416"/>
      <c r="J1410" s="2416"/>
      <c r="K1410" s="2416"/>
      <c r="L1410" s="2360">
        <f t="shared" si="247"/>
        <v>0</v>
      </c>
      <c r="M1410" s="2360">
        <f>I1410*G1410</f>
        <v>0</v>
      </c>
      <c r="N1410" s="2360">
        <f>J1410*G1410</f>
        <v>0</v>
      </c>
      <c r="O1410" s="2360">
        <f>K1410*G1410</f>
        <v>0</v>
      </c>
      <c r="P1410" s="2265"/>
      <c r="Q1410" s="2266"/>
      <c r="R1410" s="2266"/>
      <c r="S1410" s="2266"/>
    </row>
    <row r="1411" spans="1:19" s="2105" customFormat="1" ht="14.4" outlineLevel="1">
      <c r="A1411" s="2182" t="str">
        <f>A1410</f>
        <v/>
      </c>
      <c r="B1411" s="2261"/>
      <c r="C1411" s="2258"/>
      <c r="D1411" s="2259"/>
      <c r="E1411" s="2267" t="s">
        <v>6133</v>
      </c>
      <c r="F1411" s="2268"/>
      <c r="G1411" s="2269"/>
      <c r="H1411" s="2416"/>
      <c r="I1411" s="2416"/>
      <c r="J1411" s="2416"/>
      <c r="K1411" s="2416"/>
      <c r="L1411" s="2360">
        <f t="shared" si="247"/>
        <v>0</v>
      </c>
      <c r="M1411" s="2360">
        <f>I1411*G1411</f>
        <v>0</v>
      </c>
      <c r="N1411" s="2360">
        <f>J1411*G1411</f>
        <v>0</v>
      </c>
      <c r="O1411" s="2360">
        <f>K1411*G1411</f>
        <v>0</v>
      </c>
      <c r="P1411" s="2265"/>
      <c r="Q1411" s="2266"/>
      <c r="R1411" s="2266"/>
      <c r="S1411" s="2266"/>
    </row>
    <row r="1412" spans="1:19" s="2105" customFormat="1" outlineLevel="1">
      <c r="A1412" s="2182" t="str">
        <f>IF(G1412&lt;&gt;0,1,"")</f>
        <v/>
      </c>
      <c r="B1412" s="2261" t="s">
        <v>2022</v>
      </c>
      <c r="C1412" s="2258"/>
      <c r="D1412" s="2152">
        <v>0</v>
      </c>
      <c r="E1412" s="2194" t="s">
        <v>2437</v>
      </c>
      <c r="F1412" s="2152" t="s">
        <v>2248</v>
      </c>
      <c r="G1412" s="2426">
        <f>G1410*9.02*2.6</f>
        <v>0</v>
      </c>
      <c r="H1412" s="2264">
        <v>32074</v>
      </c>
      <c r="I1412" s="2359"/>
      <c r="J1412" s="2359">
        <v>0</v>
      </c>
      <c r="K1412" s="2359"/>
      <c r="L1412" s="2360">
        <f t="shared" si="247"/>
        <v>0</v>
      </c>
      <c r="M1412" s="2360"/>
      <c r="N1412" s="2360"/>
      <c r="O1412" s="2360"/>
      <c r="P1412" s="2265"/>
      <c r="Q1412" s="2266"/>
      <c r="R1412" s="2266"/>
      <c r="S1412" s="2266"/>
    </row>
    <row r="1413" spans="1:19" s="2105" customFormat="1" outlineLevel="1">
      <c r="A1413" s="2182" t="str">
        <f>IF(G1413&lt;&gt;0,1,"")</f>
        <v/>
      </c>
      <c r="B1413" s="2261" t="s">
        <v>1083</v>
      </c>
      <c r="C1413" s="2258"/>
      <c r="D1413" s="2152">
        <v>0</v>
      </c>
      <c r="E1413" s="2194" t="s">
        <v>2652</v>
      </c>
      <c r="F1413" s="2152" t="s">
        <v>2439</v>
      </c>
      <c r="G1413" s="2426">
        <f>G1410*2</f>
        <v>0</v>
      </c>
      <c r="H1413" s="2264">
        <v>29900</v>
      </c>
      <c r="I1413" s="2359">
        <v>0</v>
      </c>
      <c r="J1413" s="2359">
        <v>0</v>
      </c>
      <c r="K1413" s="2359"/>
      <c r="L1413" s="2360">
        <f t="shared" si="247"/>
        <v>0</v>
      </c>
      <c r="M1413" s="2360"/>
      <c r="N1413" s="2360"/>
      <c r="O1413" s="2360"/>
      <c r="P1413" s="2265"/>
      <c r="Q1413" s="2266"/>
      <c r="R1413" s="2266"/>
      <c r="S1413" s="2266"/>
    </row>
    <row r="1414" spans="1:19" s="2105" customFormat="1" outlineLevel="1">
      <c r="A1414" s="2182" t="str">
        <f>IF(G1414&lt;&gt;0,1,"")</f>
        <v/>
      </c>
      <c r="B1414" s="2261" t="s">
        <v>138</v>
      </c>
      <c r="C1414" s="2258"/>
      <c r="D1414" s="2152">
        <v>0</v>
      </c>
      <c r="E1414" s="2194" t="s">
        <v>2627</v>
      </c>
      <c r="F1414" s="2152" t="s">
        <v>2439</v>
      </c>
      <c r="G1414" s="2426">
        <f>G1410*2</f>
        <v>0</v>
      </c>
      <c r="H1414" s="2264">
        <v>8500</v>
      </c>
      <c r="I1414" s="2359">
        <v>0</v>
      </c>
      <c r="J1414" s="2359">
        <v>0</v>
      </c>
      <c r="K1414" s="2359"/>
      <c r="L1414" s="2360">
        <f t="shared" si="247"/>
        <v>0</v>
      </c>
      <c r="M1414" s="2360"/>
      <c r="N1414" s="2360"/>
      <c r="O1414" s="2360"/>
      <c r="P1414" s="2265"/>
      <c r="Q1414" s="2266"/>
      <c r="R1414" s="2266"/>
      <c r="S1414" s="2266"/>
    </row>
    <row r="1415" spans="1:19" s="2105" customFormat="1" outlineLevel="1">
      <c r="A1415" s="2182" t="str">
        <f>IF(G1415&lt;&gt;0,1,"")</f>
        <v/>
      </c>
      <c r="B1415" s="2121" t="s">
        <v>5425</v>
      </c>
      <c r="C1415" s="2258"/>
      <c r="D1415" s="2152" t="s">
        <v>5426</v>
      </c>
      <c r="E1415" s="2194" t="s">
        <v>5427</v>
      </c>
      <c r="F1415" s="2152" t="s">
        <v>2248</v>
      </c>
      <c r="G1415" s="2426">
        <f>SUM(G1412)</f>
        <v>0</v>
      </c>
      <c r="H1415" s="2264">
        <v>0</v>
      </c>
      <c r="I1415" s="2359"/>
      <c r="J1415" s="2359">
        <v>2025</v>
      </c>
      <c r="K1415" s="2359"/>
      <c r="L1415" s="2360">
        <f t="shared" si="247"/>
        <v>0</v>
      </c>
      <c r="M1415" s="2360"/>
      <c r="N1415" s="2359">
        <v>0</v>
      </c>
      <c r="O1415" s="2360"/>
      <c r="P1415" s="2265"/>
      <c r="Q1415" s="2266"/>
      <c r="R1415" s="2266"/>
      <c r="S1415" s="2266"/>
    </row>
    <row r="1416" spans="1:19" s="2105" customFormat="1" outlineLevel="1">
      <c r="A1416" s="2182" t="str">
        <f>IF(G1416&lt;&gt;0,1,"")</f>
        <v/>
      </c>
      <c r="B1416" s="2261"/>
      <c r="C1416" s="2258">
        <f>IF(G1416&gt;0,C1410+1,C1410)</f>
        <v>0</v>
      </c>
      <c r="D1416" s="2259"/>
      <c r="E1416" s="2417" t="s">
        <v>3720</v>
      </c>
      <c r="F1416" s="2258" t="s">
        <v>2385</v>
      </c>
      <c r="G1416" s="2451">
        <f>G1359</f>
        <v>0</v>
      </c>
      <c r="H1416" s="2264"/>
      <c r="I1416" s="2264"/>
      <c r="J1416" s="2264"/>
      <c r="K1416" s="2264"/>
      <c r="L1416" s="2264">
        <f t="shared" si="247"/>
        <v>0</v>
      </c>
      <c r="M1416" s="2264">
        <f>I1416*G1416</f>
        <v>0</v>
      </c>
      <c r="N1416" s="2264">
        <f t="shared" ref="N1416:N1429" si="250">J1416*G1416</f>
        <v>0</v>
      </c>
      <c r="O1416" s="2264">
        <f>K1416*G1416</f>
        <v>0</v>
      </c>
      <c r="P1416" s="2441"/>
      <c r="Q1416" s="2266"/>
      <c r="R1416" s="2266"/>
      <c r="S1416" s="2266"/>
    </row>
    <row r="1417" spans="1:19" s="2105" customFormat="1" ht="14.4" outlineLevel="1">
      <c r="A1417" s="2182" t="str">
        <f>+A1416</f>
        <v/>
      </c>
      <c r="B1417" s="2418"/>
      <c r="C1417" s="2258"/>
      <c r="D1417" s="2259"/>
      <c r="E1417" s="2267" t="s">
        <v>6133</v>
      </c>
      <c r="F1417" s="2268"/>
      <c r="G1417" s="2450"/>
      <c r="H1417" s="2264"/>
      <c r="I1417" s="2264"/>
      <c r="J1417" s="2264"/>
      <c r="K1417" s="2264"/>
      <c r="L1417" s="2264">
        <f t="shared" si="247"/>
        <v>0</v>
      </c>
      <c r="M1417" s="2264">
        <f>I1417*G1417</f>
        <v>0</v>
      </c>
      <c r="N1417" s="2264">
        <f t="shared" si="250"/>
        <v>0</v>
      </c>
      <c r="O1417" s="2264">
        <f>K1417*G1417</f>
        <v>0</v>
      </c>
      <c r="P1417" s="2441"/>
      <c r="Q1417" s="2266"/>
      <c r="R1417" s="2266"/>
      <c r="S1417" s="2266"/>
    </row>
    <row r="1418" spans="1:19" s="2105" customFormat="1" outlineLevel="1">
      <c r="A1418" s="2182" t="str">
        <f t="shared" ref="A1418:A1438" si="251">IF(G1418&lt;&gt;0,1,"")</f>
        <v/>
      </c>
      <c r="B1418" s="2261" t="s">
        <v>1033</v>
      </c>
      <c r="C1418" s="2258"/>
      <c r="D1418" s="2152">
        <v>0</v>
      </c>
      <c r="E1418" s="2194" t="s">
        <v>2700</v>
      </c>
      <c r="F1418" s="2152" t="s">
        <v>2248</v>
      </c>
      <c r="G1418" s="2426">
        <f>95*0.224*G1416</f>
        <v>0</v>
      </c>
      <c r="H1418" s="2264">
        <v>255500</v>
      </c>
      <c r="I1418" s="2264"/>
      <c r="J1418" s="2264">
        <v>0</v>
      </c>
      <c r="K1418" s="2264">
        <v>0</v>
      </c>
      <c r="L1418" s="2264">
        <f t="shared" si="247"/>
        <v>0</v>
      </c>
      <c r="M1418" s="2264">
        <f>I1418*G1418</f>
        <v>0</v>
      </c>
      <c r="N1418" s="2264">
        <f t="shared" si="250"/>
        <v>0</v>
      </c>
      <c r="O1418" s="2264">
        <f>K1418*G1418</f>
        <v>0</v>
      </c>
      <c r="P1418" s="2441"/>
      <c r="Q1418" s="2266"/>
      <c r="R1418" s="2266"/>
      <c r="S1418" s="2266"/>
    </row>
    <row r="1419" spans="1:19" s="2105" customFormat="1" outlineLevel="1">
      <c r="A1419" s="2182" t="str">
        <f t="shared" si="251"/>
        <v/>
      </c>
      <c r="B1419" s="2252" t="s">
        <v>1508</v>
      </c>
      <c r="C1419" s="2258"/>
      <c r="D1419" s="2152">
        <v>0</v>
      </c>
      <c r="E1419" s="2194" t="s">
        <v>5163</v>
      </c>
      <c r="F1419" s="2152" t="s">
        <v>2439</v>
      </c>
      <c r="G1419" s="2426">
        <f>13*G1416</f>
        <v>0</v>
      </c>
      <c r="H1419" s="2264">
        <v>160000</v>
      </c>
      <c r="I1419" s="2264"/>
      <c r="J1419" s="2264">
        <v>0</v>
      </c>
      <c r="K1419" s="2264">
        <v>0</v>
      </c>
      <c r="L1419" s="2264">
        <f t="shared" si="247"/>
        <v>0</v>
      </c>
      <c r="M1419" s="2264">
        <f>I1419*G1419</f>
        <v>0</v>
      </c>
      <c r="N1419" s="2264">
        <f t="shared" si="250"/>
        <v>0</v>
      </c>
      <c r="O1419" s="2264">
        <f>K1419*G1419</f>
        <v>0</v>
      </c>
      <c r="P1419" s="2441"/>
      <c r="Q1419" s="2266"/>
      <c r="R1419" s="2266"/>
      <c r="S1419" s="2266"/>
    </row>
    <row r="1420" spans="1:19" s="2105" customFormat="1" outlineLevel="1">
      <c r="A1420" s="2182" t="str">
        <f t="shared" si="251"/>
        <v/>
      </c>
      <c r="B1420" s="2261" t="s">
        <v>1579</v>
      </c>
      <c r="C1420" s="2258"/>
      <c r="D1420" s="2152">
        <v>0</v>
      </c>
      <c r="E1420" s="2194" t="s">
        <v>2873</v>
      </c>
      <c r="F1420" s="2152" t="s">
        <v>2555</v>
      </c>
      <c r="G1420" s="2426">
        <f>2*G1416</f>
        <v>0</v>
      </c>
      <c r="H1420" s="2264">
        <v>8000</v>
      </c>
      <c r="I1420" s="2264"/>
      <c r="J1420" s="2264">
        <v>0</v>
      </c>
      <c r="K1420" s="2264">
        <v>0</v>
      </c>
      <c r="L1420" s="2264">
        <f t="shared" si="247"/>
        <v>0</v>
      </c>
      <c r="M1420" s="2264">
        <f>I1420*G1420</f>
        <v>0</v>
      </c>
      <c r="N1420" s="2264">
        <f t="shared" si="250"/>
        <v>0</v>
      </c>
      <c r="O1420" s="2264">
        <f>K1420*G1420</f>
        <v>0</v>
      </c>
      <c r="P1420" s="2449"/>
      <c r="Q1420" s="2266"/>
      <c r="R1420" s="2266"/>
      <c r="S1420" s="2266"/>
    </row>
    <row r="1421" spans="1:19" s="2105" customFormat="1" outlineLevel="1">
      <c r="A1421" s="2182" t="str">
        <f t="shared" si="251"/>
        <v/>
      </c>
      <c r="B1421" s="2261" t="s">
        <v>1062</v>
      </c>
      <c r="C1421" s="2258"/>
      <c r="D1421" s="2152">
        <v>0</v>
      </c>
      <c r="E1421" s="2194" t="s">
        <v>3581</v>
      </c>
      <c r="F1421" s="2152" t="s">
        <v>2555</v>
      </c>
      <c r="G1421" s="2426">
        <f>G1416*18</f>
        <v>0</v>
      </c>
      <c r="H1421" s="2264">
        <v>17600</v>
      </c>
      <c r="I1421" s="2264"/>
      <c r="J1421" s="2264">
        <v>0</v>
      </c>
      <c r="K1421" s="2264"/>
      <c r="L1421" s="2264">
        <f t="shared" si="247"/>
        <v>0</v>
      </c>
      <c r="M1421" s="2264"/>
      <c r="N1421" s="2264">
        <f t="shared" si="250"/>
        <v>0</v>
      </c>
      <c r="O1421" s="2264"/>
      <c r="P1421" s="2441"/>
      <c r="Q1421" s="2266"/>
      <c r="R1421" s="2266"/>
      <c r="S1421" s="2266"/>
    </row>
    <row r="1422" spans="1:19" s="2105" customFormat="1" outlineLevel="1">
      <c r="A1422" s="2182" t="str">
        <f>IF(G1422&lt;&gt;0,1,"")</f>
        <v/>
      </c>
      <c r="B1422" s="2261" t="s">
        <v>2019</v>
      </c>
      <c r="C1422" s="2258"/>
      <c r="D1422" s="2152">
        <v>0</v>
      </c>
      <c r="E1422" s="2194" t="s">
        <v>2627</v>
      </c>
      <c r="F1422" s="2152" t="s">
        <v>2439</v>
      </c>
      <c r="G1422" s="2426">
        <f>G1416*1</f>
        <v>0</v>
      </c>
      <c r="H1422" s="2264">
        <v>8500</v>
      </c>
      <c r="I1422" s="2264"/>
      <c r="J1422" s="2264">
        <v>0</v>
      </c>
      <c r="K1422" s="2264"/>
      <c r="L1422" s="2264">
        <f>H1422*G1422</f>
        <v>0</v>
      </c>
      <c r="M1422" s="2264"/>
      <c r="N1422" s="2264">
        <f>J1422*G1422</f>
        <v>0</v>
      </c>
      <c r="O1422" s="2264"/>
      <c r="P1422" s="2441"/>
      <c r="Q1422" s="2266"/>
      <c r="R1422" s="2266"/>
      <c r="S1422" s="2266"/>
    </row>
    <row r="1423" spans="1:19" s="2105" customFormat="1" outlineLevel="1">
      <c r="A1423" s="2182" t="str">
        <f t="shared" ref="A1423:A1428" si="252">IF(G1423&lt;&gt;0,1,"")</f>
        <v/>
      </c>
      <c r="B1423" s="2261" t="s">
        <v>377</v>
      </c>
      <c r="C1423" s="2258"/>
      <c r="D1423" s="2152" t="s">
        <v>5725</v>
      </c>
      <c r="E1423" s="2194" t="s">
        <v>3477</v>
      </c>
      <c r="F1423" s="2152" t="s">
        <v>2555</v>
      </c>
      <c r="G1423" s="2426">
        <f>G1416*9</f>
        <v>0</v>
      </c>
      <c r="H1423" s="2264">
        <v>7800</v>
      </c>
      <c r="I1423" s="2264"/>
      <c r="J1423" s="2264">
        <v>10608.955000000002</v>
      </c>
      <c r="K1423" s="2264"/>
      <c r="L1423" s="2264">
        <f t="shared" ref="L1423:L1428" si="253">H1423*G1423</f>
        <v>0</v>
      </c>
      <c r="M1423" s="2264"/>
      <c r="N1423" s="2264">
        <f t="shared" ref="N1423:N1428" si="254">J1423*G1423</f>
        <v>0</v>
      </c>
      <c r="O1423" s="2264"/>
      <c r="P1423" s="2441"/>
      <c r="Q1423" s="2266"/>
      <c r="R1423" s="2266"/>
      <c r="S1423" s="2266"/>
    </row>
    <row r="1424" spans="1:19" s="2105" customFormat="1" outlineLevel="1">
      <c r="A1424" s="2182" t="str">
        <f t="shared" si="252"/>
        <v/>
      </c>
      <c r="B1424" s="2252" t="s">
        <v>5299</v>
      </c>
      <c r="C1424" s="2258"/>
      <c r="D1424" s="2152" t="s">
        <v>5300</v>
      </c>
      <c r="E1424" s="2194" t="s">
        <v>5301</v>
      </c>
      <c r="F1424" s="2152" t="s">
        <v>2532</v>
      </c>
      <c r="G1424" s="2426">
        <f>G1416*6</f>
        <v>0</v>
      </c>
      <c r="H1424" s="2264">
        <v>42000</v>
      </c>
      <c r="I1424" s="2264"/>
      <c r="J1424" s="2264">
        <v>25037.1</v>
      </c>
      <c r="K1424" s="2264"/>
      <c r="L1424" s="2264">
        <f t="shared" si="253"/>
        <v>0</v>
      </c>
      <c r="M1424" s="2264"/>
      <c r="N1424" s="2264">
        <f t="shared" si="254"/>
        <v>0</v>
      </c>
      <c r="O1424" s="2264"/>
      <c r="P1424" s="2441"/>
      <c r="Q1424" s="2266"/>
      <c r="R1424" s="2266"/>
      <c r="S1424" s="2266"/>
    </row>
    <row r="1425" spans="1:19" s="2105" customFormat="1" outlineLevel="1">
      <c r="A1425" s="2182" t="str">
        <f t="shared" si="252"/>
        <v/>
      </c>
      <c r="B1425" s="2252" t="s">
        <v>525</v>
      </c>
      <c r="C1425" s="2258"/>
      <c r="D1425" s="2152">
        <v>0</v>
      </c>
      <c r="E1425" s="2194" t="s">
        <v>5252</v>
      </c>
      <c r="F1425" s="2152" t="s">
        <v>2439</v>
      </c>
      <c r="G1425" s="2426">
        <f>G1416*5</f>
        <v>0</v>
      </c>
      <c r="H1425" s="2264">
        <v>43000</v>
      </c>
      <c r="I1425" s="2264"/>
      <c r="J1425" s="2264">
        <v>0</v>
      </c>
      <c r="K1425" s="2264"/>
      <c r="L1425" s="2264">
        <f t="shared" si="253"/>
        <v>0</v>
      </c>
      <c r="M1425" s="2264"/>
      <c r="N1425" s="2264">
        <f t="shared" si="254"/>
        <v>0</v>
      </c>
      <c r="O1425" s="2264"/>
      <c r="P1425" s="2441"/>
      <c r="Q1425" s="2266"/>
      <c r="R1425" s="2266"/>
      <c r="S1425" s="2266"/>
    </row>
    <row r="1426" spans="1:19" s="2105" customFormat="1" outlineLevel="1">
      <c r="A1426" s="2182" t="str">
        <f t="shared" si="252"/>
        <v/>
      </c>
      <c r="B1426" s="2130" t="s">
        <v>5181</v>
      </c>
      <c r="C1426" s="2258"/>
      <c r="D1426" s="2152">
        <v>0</v>
      </c>
      <c r="E1426" s="2194" t="s">
        <v>5182</v>
      </c>
      <c r="F1426" s="2152" t="s">
        <v>2532</v>
      </c>
      <c r="G1426" s="2426">
        <f>G1416*4</f>
        <v>0</v>
      </c>
      <c r="H1426" s="2264">
        <v>11000</v>
      </c>
      <c r="I1426" s="2264"/>
      <c r="J1426" s="2264">
        <v>0</v>
      </c>
      <c r="K1426" s="2264"/>
      <c r="L1426" s="2264">
        <f t="shared" si="253"/>
        <v>0</v>
      </c>
      <c r="M1426" s="2264"/>
      <c r="N1426" s="2264">
        <f t="shared" si="254"/>
        <v>0</v>
      </c>
      <c r="O1426" s="2264"/>
      <c r="P1426" s="2441"/>
      <c r="Q1426" s="2266"/>
      <c r="R1426" s="2266"/>
      <c r="S1426" s="2266"/>
    </row>
    <row r="1427" spans="1:19" s="2105" customFormat="1" outlineLevel="1">
      <c r="A1427" s="2182" t="str">
        <f t="shared" si="252"/>
        <v/>
      </c>
      <c r="B1427" s="2130" t="s">
        <v>5183</v>
      </c>
      <c r="C1427" s="2258"/>
      <c r="D1427" s="2152">
        <v>0</v>
      </c>
      <c r="E1427" s="2194" t="s">
        <v>5184</v>
      </c>
      <c r="F1427" s="2152" t="s">
        <v>2555</v>
      </c>
      <c r="G1427" s="2426">
        <f>G1416*4</f>
        <v>0</v>
      </c>
      <c r="H1427" s="2264">
        <v>4000</v>
      </c>
      <c r="I1427" s="2264"/>
      <c r="J1427" s="2264">
        <v>0</v>
      </c>
      <c r="K1427" s="2264"/>
      <c r="L1427" s="2264">
        <f t="shared" si="253"/>
        <v>0</v>
      </c>
      <c r="M1427" s="2264"/>
      <c r="N1427" s="2264">
        <f t="shared" si="254"/>
        <v>0</v>
      </c>
      <c r="O1427" s="2264"/>
      <c r="P1427" s="2441"/>
      <c r="Q1427" s="2266"/>
      <c r="R1427" s="2266"/>
      <c r="S1427" s="2266"/>
    </row>
    <row r="1428" spans="1:19" s="2105" customFormat="1" outlineLevel="1">
      <c r="A1428" s="2182" t="str">
        <f t="shared" si="252"/>
        <v/>
      </c>
      <c r="B1428" s="2252" t="s">
        <v>1585</v>
      </c>
      <c r="C1428" s="2258"/>
      <c r="D1428" s="2152">
        <v>0</v>
      </c>
      <c r="E1428" s="2194" t="s">
        <v>5713</v>
      </c>
      <c r="F1428" s="2152" t="s">
        <v>3445</v>
      </c>
      <c r="G1428" s="2426">
        <f>G1416</f>
        <v>0</v>
      </c>
      <c r="H1428" s="2264">
        <v>0</v>
      </c>
      <c r="I1428" s="2264"/>
      <c r="J1428" s="2264">
        <v>1500000</v>
      </c>
      <c r="K1428" s="2264"/>
      <c r="L1428" s="2264">
        <f t="shared" si="253"/>
        <v>0</v>
      </c>
      <c r="M1428" s="2264"/>
      <c r="N1428" s="2264">
        <f t="shared" si="254"/>
        <v>0</v>
      </c>
      <c r="O1428" s="2264"/>
      <c r="P1428" s="2441"/>
      <c r="Q1428" s="2266"/>
      <c r="R1428" s="2266"/>
      <c r="S1428" s="2266"/>
    </row>
    <row r="1429" spans="1:19" s="2105" customFormat="1" outlineLevel="1">
      <c r="A1429" s="2182" t="str">
        <f t="shared" si="251"/>
        <v/>
      </c>
      <c r="B1429" s="2252" t="s">
        <v>794</v>
      </c>
      <c r="C1429" s="2419"/>
      <c r="D1429" s="2152" t="s">
        <v>5336</v>
      </c>
      <c r="E1429" s="2194" t="s">
        <v>3068</v>
      </c>
      <c r="F1429" s="2152" t="s">
        <v>856</v>
      </c>
      <c r="G1429" s="2426">
        <f>G1416*0.3*0.5*53</f>
        <v>0</v>
      </c>
      <c r="H1429" s="2264">
        <v>0</v>
      </c>
      <c r="I1429" s="2264"/>
      <c r="J1429" s="2264">
        <v>283749.75</v>
      </c>
      <c r="K1429" s="2264"/>
      <c r="L1429" s="2264">
        <f t="shared" si="247"/>
        <v>0</v>
      </c>
      <c r="M1429" s="2264">
        <f>I1429*G1429</f>
        <v>0</v>
      </c>
      <c r="N1429" s="2264">
        <f t="shared" si="250"/>
        <v>0</v>
      </c>
      <c r="O1429" s="2264">
        <f>K1429*G1429</f>
        <v>0</v>
      </c>
      <c r="P1429" s="2441"/>
      <c r="Q1429" s="2266"/>
      <c r="R1429" s="2266"/>
      <c r="S1429" s="2266"/>
    </row>
    <row r="1430" spans="1:19" s="2105" customFormat="1" outlineLevel="1">
      <c r="A1430" s="2182" t="str">
        <f t="shared" si="251"/>
        <v/>
      </c>
      <c r="B1430" s="2252" t="s">
        <v>798</v>
      </c>
      <c r="C1430" s="2258"/>
      <c r="D1430" s="2152" t="s">
        <v>5325</v>
      </c>
      <c r="E1430" s="2194" t="s">
        <v>5337</v>
      </c>
      <c r="F1430" s="2152" t="s">
        <v>856</v>
      </c>
      <c r="G1430" s="2426">
        <f>G1429</f>
        <v>0</v>
      </c>
      <c r="H1430" s="2264">
        <v>22240</v>
      </c>
      <c r="I1430" s="2264"/>
      <c r="J1430" s="2264">
        <v>117703.6</v>
      </c>
      <c r="K1430" s="2264">
        <v>0</v>
      </c>
      <c r="L1430" s="2264">
        <f t="shared" si="247"/>
        <v>0</v>
      </c>
      <c r="M1430" s="2264">
        <f>I1430*G1430</f>
        <v>0</v>
      </c>
      <c r="N1430" s="2264">
        <f>J1430*G1430</f>
        <v>0</v>
      </c>
      <c r="O1430" s="2264">
        <f>K1430*G1430</f>
        <v>0</v>
      </c>
      <c r="P1430" s="2449"/>
      <c r="Q1430" s="2452">
        <f>53*0.3*0.5</f>
        <v>7.9499999999999993</v>
      </c>
      <c r="R1430" s="2266"/>
      <c r="S1430" s="2266"/>
    </row>
    <row r="1431" spans="1:19" s="2105" customFormat="1" outlineLevel="1">
      <c r="A1431" s="2182" t="str">
        <f t="shared" si="251"/>
        <v/>
      </c>
      <c r="B1431" s="2252" t="s">
        <v>902</v>
      </c>
      <c r="C1431" s="2258"/>
      <c r="D1431" s="2152" t="s">
        <v>5351</v>
      </c>
      <c r="E1431" s="2194" t="s">
        <v>5352</v>
      </c>
      <c r="F1431" s="2152" t="s">
        <v>2278</v>
      </c>
      <c r="G1431" s="2426">
        <f>G1419</f>
        <v>0</v>
      </c>
      <c r="H1431" s="2264">
        <v>0</v>
      </c>
      <c r="I1431" s="2264"/>
      <c r="J1431" s="2264" t="s">
        <v>6312</v>
      </c>
      <c r="K1431" s="2264">
        <v>0</v>
      </c>
      <c r="L1431" s="2264">
        <f>H1431*$G1431</f>
        <v>0</v>
      </c>
      <c r="M1431" s="2264">
        <f>I1431*$G1431</f>
        <v>0</v>
      </c>
      <c r="N1431" s="2264">
        <v>0</v>
      </c>
      <c r="O1431" s="2264">
        <f>K1431*$G1431</f>
        <v>0</v>
      </c>
      <c r="P1431" s="2441"/>
      <c r="Q1431" s="2266"/>
      <c r="R1431" s="2266"/>
      <c r="S1431" s="2266"/>
    </row>
    <row r="1432" spans="1:19" s="2105" customFormat="1" outlineLevel="1">
      <c r="A1432" s="2182" t="str">
        <f t="shared" si="251"/>
        <v/>
      </c>
      <c r="B1432" s="2252" t="s">
        <v>1437</v>
      </c>
      <c r="C1432" s="2258"/>
      <c r="D1432" s="2152" t="s">
        <v>5346</v>
      </c>
      <c r="E1432" s="2194" t="s">
        <v>5347</v>
      </c>
      <c r="F1432" s="2152" t="s">
        <v>2532</v>
      </c>
      <c r="G1432" s="2426">
        <f>G1418/0.224</f>
        <v>0</v>
      </c>
      <c r="H1432" s="2264">
        <v>0</v>
      </c>
      <c r="I1432" s="2264"/>
      <c r="J1432" s="2264">
        <v>8070.7000000000007</v>
      </c>
      <c r="K1432" s="2264">
        <v>2044.9974999999999</v>
      </c>
      <c r="L1432" s="2264">
        <f t="shared" ref="L1432:L1438" si="255">H1432*G1432</f>
        <v>0</v>
      </c>
      <c r="M1432" s="2264">
        <f t="shared" ref="M1432:M1438" si="256">I1432*G1432</f>
        <v>0</v>
      </c>
      <c r="N1432" s="2264">
        <f t="shared" ref="N1432:N1438" si="257">J1432*G1432</f>
        <v>0</v>
      </c>
      <c r="O1432" s="2264">
        <f t="shared" ref="O1432:O1438" si="258">K1432*G1432</f>
        <v>0</v>
      </c>
      <c r="P1432" s="2441"/>
      <c r="Q1432" s="2266"/>
      <c r="R1432" s="2266"/>
      <c r="S1432" s="2266"/>
    </row>
    <row r="1433" spans="1:19" s="2105" customFormat="1" outlineLevel="1">
      <c r="A1433" s="2182" t="str">
        <f t="shared" si="251"/>
        <v/>
      </c>
      <c r="B1433" s="2252" t="s">
        <v>5175</v>
      </c>
      <c r="C1433" s="2258"/>
      <c r="D1433" s="2152">
        <v>0</v>
      </c>
      <c r="E1433" s="2194" t="s">
        <v>5176</v>
      </c>
      <c r="F1433" s="2152" t="s">
        <v>5174</v>
      </c>
      <c r="G1433" s="2450">
        <f>G1416*6*0</f>
        <v>0</v>
      </c>
      <c r="H1433" s="2264">
        <v>38105</v>
      </c>
      <c r="I1433" s="2264"/>
      <c r="J1433" s="2264">
        <v>0</v>
      </c>
      <c r="K1433" s="2264">
        <v>0</v>
      </c>
      <c r="L1433" s="2264">
        <f t="shared" si="255"/>
        <v>0</v>
      </c>
      <c r="M1433" s="2264">
        <f t="shared" si="256"/>
        <v>0</v>
      </c>
      <c r="N1433" s="2264">
        <f t="shared" si="257"/>
        <v>0</v>
      </c>
      <c r="O1433" s="2264">
        <f t="shared" si="258"/>
        <v>0</v>
      </c>
      <c r="P1433" s="2441"/>
      <c r="Q1433" s="2266"/>
      <c r="R1433" s="2266"/>
      <c r="S1433" s="2266"/>
    </row>
    <row r="1434" spans="1:19" s="2105" customFormat="1" outlineLevel="1">
      <c r="A1434" s="2182" t="str">
        <f t="shared" si="251"/>
        <v/>
      </c>
      <c r="B1434" s="2252" t="s">
        <v>5177</v>
      </c>
      <c r="C1434" s="2258"/>
      <c r="D1434" s="2152">
        <v>0</v>
      </c>
      <c r="E1434" s="2194" t="s">
        <v>5178</v>
      </c>
      <c r="F1434" s="2152" t="s">
        <v>5174</v>
      </c>
      <c r="G1434" s="2269">
        <f>G1421*2*0</f>
        <v>0</v>
      </c>
      <c r="H1434" s="2264">
        <v>69188</v>
      </c>
      <c r="I1434" s="2264"/>
      <c r="J1434" s="2264">
        <v>0</v>
      </c>
      <c r="K1434" s="2264">
        <v>0</v>
      </c>
      <c r="L1434" s="2264">
        <f t="shared" si="255"/>
        <v>0</v>
      </c>
      <c r="M1434" s="2264">
        <f t="shared" si="256"/>
        <v>0</v>
      </c>
      <c r="N1434" s="2264">
        <f t="shared" si="257"/>
        <v>0</v>
      </c>
      <c r="O1434" s="2264">
        <f t="shared" si="258"/>
        <v>0</v>
      </c>
      <c r="P1434" s="2389"/>
      <c r="Q1434" s="2266"/>
      <c r="R1434" s="2266"/>
      <c r="S1434" s="2266"/>
    </row>
    <row r="1435" spans="1:19" s="2105" customFormat="1" outlineLevel="1">
      <c r="A1435" s="2182" t="str">
        <f t="shared" si="251"/>
        <v/>
      </c>
      <c r="B1435" s="2453" t="s">
        <v>5179</v>
      </c>
      <c r="C1435" s="2258"/>
      <c r="D1435" s="2152">
        <v>0</v>
      </c>
      <c r="E1435" s="2194" t="s">
        <v>5180</v>
      </c>
      <c r="F1435" s="2152" t="s">
        <v>5174</v>
      </c>
      <c r="G1435" s="2450">
        <f>G1416*2*0</f>
        <v>0</v>
      </c>
      <c r="H1435" s="2264">
        <v>53008</v>
      </c>
      <c r="I1435" s="2264"/>
      <c r="J1435" s="2264">
        <v>0</v>
      </c>
      <c r="K1435" s="2264">
        <v>0</v>
      </c>
      <c r="L1435" s="2264">
        <f t="shared" si="255"/>
        <v>0</v>
      </c>
      <c r="M1435" s="2264">
        <f t="shared" si="256"/>
        <v>0</v>
      </c>
      <c r="N1435" s="2264">
        <f t="shared" si="257"/>
        <v>0</v>
      </c>
      <c r="O1435" s="2264">
        <f t="shared" si="258"/>
        <v>0</v>
      </c>
      <c r="P1435" s="2441"/>
      <c r="Q1435" s="2266"/>
      <c r="R1435" s="2266"/>
      <c r="S1435" s="2266"/>
    </row>
    <row r="1436" spans="1:19" s="2105" customFormat="1" outlineLevel="1">
      <c r="A1436" s="2182" t="str">
        <f>IF(G1436&lt;&gt;0,1,"")</f>
        <v/>
      </c>
      <c r="B1436" s="2453" t="s">
        <v>6234</v>
      </c>
      <c r="C1436" s="2258"/>
      <c r="D1436" s="2152">
        <v>0</v>
      </c>
      <c r="E1436" s="2194" t="s">
        <v>5051</v>
      </c>
      <c r="F1436" s="2152" t="s">
        <v>2439</v>
      </c>
      <c r="G1436" s="2450">
        <f>G1416*20*0</f>
        <v>0</v>
      </c>
      <c r="H1436" s="2264">
        <v>8400</v>
      </c>
      <c r="I1436" s="2264"/>
      <c r="J1436" s="2264">
        <v>0</v>
      </c>
      <c r="K1436" s="2264">
        <v>0</v>
      </c>
      <c r="L1436" s="2264">
        <f>H1436*G1436</f>
        <v>0</v>
      </c>
      <c r="M1436" s="2264">
        <f>I1436*G1436</f>
        <v>0</v>
      </c>
      <c r="N1436" s="2264">
        <f>J1436*G1436</f>
        <v>0</v>
      </c>
      <c r="O1436" s="2264">
        <f>K1436*G1436</f>
        <v>0</v>
      </c>
      <c r="P1436" s="2441"/>
      <c r="Q1436" s="2266"/>
      <c r="R1436" s="2266"/>
      <c r="S1436" s="2266"/>
    </row>
    <row r="1437" spans="1:19" s="2105" customFormat="1" outlineLevel="1">
      <c r="A1437" s="2182" t="str">
        <f t="shared" si="251"/>
        <v/>
      </c>
      <c r="B1437" s="2252" t="s">
        <v>5181</v>
      </c>
      <c r="C1437" s="2258"/>
      <c r="D1437" s="2152">
        <v>0</v>
      </c>
      <c r="E1437" s="2194" t="s">
        <v>5182</v>
      </c>
      <c r="F1437" s="2152" t="s">
        <v>2532</v>
      </c>
      <c r="G1437" s="2450">
        <f>G1433+G1435</f>
        <v>0</v>
      </c>
      <c r="H1437" s="2264">
        <v>11000</v>
      </c>
      <c r="I1437" s="2264"/>
      <c r="J1437" s="2264">
        <v>0</v>
      </c>
      <c r="K1437" s="2264">
        <v>0</v>
      </c>
      <c r="L1437" s="2264">
        <f t="shared" si="255"/>
        <v>0</v>
      </c>
      <c r="M1437" s="2264">
        <f t="shared" si="256"/>
        <v>0</v>
      </c>
      <c r="N1437" s="2264">
        <f t="shared" si="257"/>
        <v>0</v>
      </c>
      <c r="O1437" s="2264">
        <f t="shared" si="258"/>
        <v>0</v>
      </c>
      <c r="P1437" s="2441"/>
      <c r="Q1437" s="2266"/>
      <c r="R1437" s="2266"/>
      <c r="S1437" s="2266"/>
    </row>
    <row r="1438" spans="1:19" s="2105" customFormat="1" outlineLevel="1">
      <c r="A1438" s="2182" t="str">
        <f t="shared" si="251"/>
        <v/>
      </c>
      <c r="B1438" s="2252" t="s">
        <v>5183</v>
      </c>
      <c r="C1438" s="2258"/>
      <c r="D1438" s="2152">
        <v>0</v>
      </c>
      <c r="E1438" s="2194" t="s">
        <v>5184</v>
      </c>
      <c r="F1438" s="2152" t="s">
        <v>2555</v>
      </c>
      <c r="G1438" s="2450">
        <f>G1437</f>
        <v>0</v>
      </c>
      <c r="H1438" s="2264">
        <v>4000</v>
      </c>
      <c r="I1438" s="2264"/>
      <c r="J1438" s="2264">
        <v>0</v>
      </c>
      <c r="K1438" s="2264">
        <v>0</v>
      </c>
      <c r="L1438" s="2264">
        <f t="shared" si="255"/>
        <v>0</v>
      </c>
      <c r="M1438" s="2264">
        <f t="shared" si="256"/>
        <v>0</v>
      </c>
      <c r="N1438" s="2264">
        <f t="shared" si="257"/>
        <v>0</v>
      </c>
      <c r="O1438" s="2264">
        <f t="shared" si="258"/>
        <v>0</v>
      </c>
      <c r="P1438" s="2441"/>
      <c r="Q1438" s="2266"/>
      <c r="R1438" s="2266"/>
      <c r="S1438" s="2266"/>
    </row>
    <row r="1439" spans="1:19" s="2105" customFormat="1" outlineLevel="1">
      <c r="A1439" s="2182">
        <f>IF(G1439=0,0,1)</f>
        <v>0</v>
      </c>
      <c r="B1439" s="2252" t="s">
        <v>794</v>
      </c>
      <c r="C1439" s="2268"/>
      <c r="D1439" s="2152" t="s">
        <v>5336</v>
      </c>
      <c r="E1439" s="2194" t="s">
        <v>3068</v>
      </c>
      <c r="F1439" s="2152" t="s">
        <v>856</v>
      </c>
      <c r="G1439" s="2454">
        <f>G1416*(52+20)*0.3*0.5*0</f>
        <v>0</v>
      </c>
      <c r="H1439" s="2264">
        <v>0</v>
      </c>
      <c r="I1439" s="2264"/>
      <c r="J1439" s="2264">
        <v>283749.75</v>
      </c>
      <c r="K1439" s="2264">
        <v>0</v>
      </c>
      <c r="L1439" s="2264">
        <f t="shared" ref="L1439:O1440" si="259">H1439*$G1439</f>
        <v>0</v>
      </c>
      <c r="M1439" s="2264">
        <f t="shared" si="259"/>
        <v>0</v>
      </c>
      <c r="N1439" s="2264">
        <f t="shared" si="259"/>
        <v>0</v>
      </c>
      <c r="O1439" s="2264">
        <f t="shared" si="259"/>
        <v>0</v>
      </c>
      <c r="P1439" s="2441"/>
      <c r="Q1439" s="2266"/>
      <c r="R1439" s="2266"/>
      <c r="S1439" s="2266"/>
    </row>
    <row r="1440" spans="1:19" s="2105" customFormat="1" outlineLevel="1">
      <c r="A1440" s="2182">
        <f>IF(G1440=0,0,1)</f>
        <v>0</v>
      </c>
      <c r="B1440" s="2252" t="s">
        <v>798</v>
      </c>
      <c r="C1440" s="2268"/>
      <c r="D1440" s="2152" t="s">
        <v>5325</v>
      </c>
      <c r="E1440" s="2194" t="s">
        <v>5337</v>
      </c>
      <c r="F1440" s="2152" t="s">
        <v>856</v>
      </c>
      <c r="G1440" s="2454">
        <f>G1439</f>
        <v>0</v>
      </c>
      <c r="H1440" s="2264">
        <v>0</v>
      </c>
      <c r="I1440" s="2264"/>
      <c r="J1440" s="2264">
        <v>117703.6</v>
      </c>
      <c r="K1440" s="2264">
        <v>0</v>
      </c>
      <c r="L1440" s="2264">
        <f t="shared" si="259"/>
        <v>0</v>
      </c>
      <c r="M1440" s="2264">
        <f t="shared" si="259"/>
        <v>0</v>
      </c>
      <c r="N1440" s="2264">
        <f t="shared" si="259"/>
        <v>0</v>
      </c>
      <c r="O1440" s="2264">
        <f t="shared" si="259"/>
        <v>0</v>
      </c>
      <c r="P1440" s="2441"/>
      <c r="Q1440" s="2266"/>
      <c r="R1440" s="2266"/>
      <c r="S1440" s="2266"/>
    </row>
    <row r="1441" spans="1:20" s="2105" customFormat="1" outlineLevel="1">
      <c r="A1441" s="2182">
        <f>IF(G1441=0,0,1)</f>
        <v>0</v>
      </c>
      <c r="B1441" s="2252" t="s">
        <v>902</v>
      </c>
      <c r="C1441" s="2268"/>
      <c r="D1441" s="2152" t="s">
        <v>5351</v>
      </c>
      <c r="E1441" s="2194" t="s">
        <v>5352</v>
      </c>
      <c r="F1441" s="2152" t="s">
        <v>2278</v>
      </c>
      <c r="G1441" s="2454">
        <f>G1419*0</f>
        <v>0</v>
      </c>
      <c r="H1441" s="2264">
        <v>0</v>
      </c>
      <c r="I1441" s="2264"/>
      <c r="J1441" s="2264" t="s">
        <v>6312</v>
      </c>
      <c r="K1441" s="2264">
        <v>0</v>
      </c>
      <c r="L1441" s="2264">
        <f>H1441*$G1441</f>
        <v>0</v>
      </c>
      <c r="M1441" s="2264">
        <f>I1441*$G1441</f>
        <v>0</v>
      </c>
      <c r="N1441" s="2264">
        <v>0</v>
      </c>
      <c r="O1441" s="2264">
        <f>K1441*$G1441</f>
        <v>0</v>
      </c>
      <c r="P1441" s="2441"/>
      <c r="Q1441" s="2266"/>
      <c r="R1441" s="2266"/>
      <c r="S1441" s="2266"/>
    </row>
    <row r="1442" spans="1:20" s="2105" customFormat="1" outlineLevel="1">
      <c r="A1442" s="2182" t="str">
        <f>IF(G1442&lt;&gt;0,1,"")</f>
        <v/>
      </c>
      <c r="B1442" s="2252" t="s">
        <v>1437</v>
      </c>
      <c r="C1442" s="2258"/>
      <c r="D1442" s="2152" t="s">
        <v>5346</v>
      </c>
      <c r="E1442" s="2194" t="s">
        <v>5347</v>
      </c>
      <c r="F1442" s="2152" t="s">
        <v>2532</v>
      </c>
      <c r="G1442" s="2450">
        <f>G1418/0.224*0</f>
        <v>0</v>
      </c>
      <c r="H1442" s="2264">
        <v>0</v>
      </c>
      <c r="I1442" s="2264"/>
      <c r="J1442" s="2264">
        <v>8070.7000000000007</v>
      </c>
      <c r="K1442" s="2264">
        <v>2044.9974999999999</v>
      </c>
      <c r="L1442" s="2264">
        <f>H1442*G1442</f>
        <v>0</v>
      </c>
      <c r="M1442" s="2264">
        <f>I1442*G1442</f>
        <v>0</v>
      </c>
      <c r="N1442" s="2264">
        <f>J1442*G1442</f>
        <v>0</v>
      </c>
      <c r="O1442" s="2264">
        <f>K1442*G1442</f>
        <v>0</v>
      </c>
      <c r="P1442" s="2441"/>
      <c r="Q1442" s="2266"/>
      <c r="R1442" s="2266"/>
      <c r="S1442" s="2266"/>
    </row>
    <row r="1443" spans="1:20" s="2105" customFormat="1" outlineLevel="1">
      <c r="A1443" s="2182" t="str">
        <f>IF(G1443&lt;&gt;0,1,"")</f>
        <v/>
      </c>
      <c r="B1443" s="2261"/>
      <c r="C1443" s="2258">
        <f>IF(G1443&gt;0,C1416+1,C1416)</f>
        <v>0</v>
      </c>
      <c r="D1443" s="2259"/>
      <c r="E1443" s="2262" t="s">
        <v>6222</v>
      </c>
      <c r="F1443" s="2258" t="s">
        <v>2385</v>
      </c>
      <c r="G1443" s="2263">
        <f>G1365</f>
        <v>0</v>
      </c>
      <c r="H1443" s="2264"/>
      <c r="I1443" s="2264"/>
      <c r="J1443" s="2264"/>
      <c r="K1443" s="2264"/>
      <c r="L1443" s="2264">
        <f t="shared" ref="L1443:L1460" si="260">H1443*G1443</f>
        <v>0</v>
      </c>
      <c r="M1443" s="2264">
        <f t="shared" ref="M1443:M1460" si="261">I1443*G1443</f>
        <v>0</v>
      </c>
      <c r="N1443" s="2264">
        <f t="shared" ref="N1443:N1460" si="262">J1443*G1443</f>
        <v>0</v>
      </c>
      <c r="O1443" s="2264">
        <f t="shared" ref="O1443:O1460" si="263">K1443*G1443</f>
        <v>0</v>
      </c>
      <c r="P1443" s="2265"/>
      <c r="Q1443" s="2266"/>
      <c r="R1443" s="2266"/>
      <c r="S1443" s="2266"/>
    </row>
    <row r="1444" spans="1:20" s="2105" customFormat="1" ht="14.4" outlineLevel="1">
      <c r="A1444" s="2182" t="str">
        <f>A1443</f>
        <v/>
      </c>
      <c r="B1444" s="2261"/>
      <c r="C1444" s="2258"/>
      <c r="D1444" s="2259"/>
      <c r="E1444" s="2267" t="s">
        <v>6133</v>
      </c>
      <c r="F1444" s="2268"/>
      <c r="G1444" s="2269"/>
      <c r="H1444" s="2264"/>
      <c r="I1444" s="2264"/>
      <c r="J1444" s="2264"/>
      <c r="K1444" s="2264"/>
      <c r="L1444" s="2264">
        <f t="shared" si="260"/>
        <v>0</v>
      </c>
      <c r="M1444" s="2264">
        <f t="shared" si="261"/>
        <v>0</v>
      </c>
      <c r="N1444" s="2264">
        <f t="shared" si="262"/>
        <v>0</v>
      </c>
      <c r="O1444" s="2264">
        <f t="shared" si="263"/>
        <v>0</v>
      </c>
      <c r="P1444" s="2265"/>
      <c r="Q1444" s="2266"/>
      <c r="R1444" s="2266"/>
      <c r="S1444" s="2266"/>
    </row>
    <row r="1445" spans="1:20" s="2105" customFormat="1" outlineLevel="1">
      <c r="A1445" s="2182" t="str">
        <f>IF(G1445&lt;&gt;0,1,"")</f>
        <v/>
      </c>
      <c r="B1445" s="2261" t="s">
        <v>653</v>
      </c>
      <c r="C1445" s="2268"/>
      <c r="D1445" s="2152">
        <v>0</v>
      </c>
      <c r="E1445" s="2194" t="s">
        <v>5289</v>
      </c>
      <c r="F1445" s="2152" t="s">
        <v>2248</v>
      </c>
      <c r="G1445" s="2270">
        <f>+G1448*296</f>
        <v>0</v>
      </c>
      <c r="H1445" s="2264">
        <v>1740</v>
      </c>
      <c r="I1445" s="2264"/>
      <c r="J1445" s="2264">
        <v>0</v>
      </c>
      <c r="K1445" s="2264">
        <v>0</v>
      </c>
      <c r="L1445" s="2264">
        <f t="shared" si="260"/>
        <v>0</v>
      </c>
      <c r="M1445" s="2264">
        <f t="shared" si="261"/>
        <v>0</v>
      </c>
      <c r="N1445" s="2264">
        <f t="shared" si="262"/>
        <v>0</v>
      </c>
      <c r="O1445" s="2264">
        <f t="shared" si="263"/>
        <v>0</v>
      </c>
      <c r="P1445" s="2265"/>
      <c r="Q1445" s="2266"/>
      <c r="R1445" s="2266"/>
      <c r="S1445" s="2266"/>
    </row>
    <row r="1446" spans="1:20" s="2105" customFormat="1" outlineLevel="1">
      <c r="A1446" s="2182" t="str">
        <f>IF(G1446&lt;&gt;0,1,"")</f>
        <v/>
      </c>
      <c r="B1446" s="2261" t="s">
        <v>752</v>
      </c>
      <c r="C1446" s="2258"/>
      <c r="D1446" s="2152">
        <v>0</v>
      </c>
      <c r="E1446" s="2194" t="s">
        <v>3004</v>
      </c>
      <c r="F1446" s="2152" t="s">
        <v>856</v>
      </c>
      <c r="G1446" s="2270">
        <f>G1448*0.475</f>
        <v>0</v>
      </c>
      <c r="H1446" s="2264">
        <v>512000</v>
      </c>
      <c r="I1446" s="2264"/>
      <c r="J1446" s="2264">
        <v>0</v>
      </c>
      <c r="K1446" s="2264">
        <v>0</v>
      </c>
      <c r="L1446" s="2264">
        <f t="shared" si="260"/>
        <v>0</v>
      </c>
      <c r="M1446" s="2264">
        <f t="shared" si="261"/>
        <v>0</v>
      </c>
      <c r="N1446" s="2264">
        <f t="shared" si="262"/>
        <v>0</v>
      </c>
      <c r="O1446" s="2264">
        <f t="shared" si="263"/>
        <v>0</v>
      </c>
      <c r="P1446" s="2265"/>
      <c r="Q1446" s="2266"/>
      <c r="R1446" s="2266"/>
      <c r="S1446" s="2266"/>
    </row>
    <row r="1447" spans="1:20" s="2105" customFormat="1" outlineLevel="1">
      <c r="A1447" s="2182" t="str">
        <f>IF(G1447&lt;&gt;0,1,"")</f>
        <v/>
      </c>
      <c r="B1447" s="2261" t="s">
        <v>216</v>
      </c>
      <c r="C1447" s="2258"/>
      <c r="D1447" s="2152">
        <v>0</v>
      </c>
      <c r="E1447" s="2194" t="s">
        <v>3000</v>
      </c>
      <c r="F1447" s="2152" t="s">
        <v>856</v>
      </c>
      <c r="G1447" s="2270">
        <f>G1448*0.881</f>
        <v>0</v>
      </c>
      <c r="H1447" s="2264">
        <v>335000</v>
      </c>
      <c r="I1447" s="2264"/>
      <c r="J1447" s="2264">
        <v>0</v>
      </c>
      <c r="K1447" s="2264">
        <v>0</v>
      </c>
      <c r="L1447" s="2264">
        <f t="shared" si="260"/>
        <v>0</v>
      </c>
      <c r="M1447" s="2264">
        <f t="shared" si="261"/>
        <v>0</v>
      </c>
      <c r="N1447" s="2264">
        <f t="shared" si="262"/>
        <v>0</v>
      </c>
      <c r="O1447" s="2264">
        <f t="shared" si="263"/>
        <v>0</v>
      </c>
      <c r="P1447" s="2265"/>
      <c r="Q1447" s="2266"/>
      <c r="R1447" s="2266"/>
      <c r="S1447" s="2266"/>
    </row>
    <row r="1448" spans="1:20" s="2105" customFormat="1" outlineLevel="1">
      <c r="A1448" s="2182" t="str">
        <f>IF(G1448&lt;&gt;0,1,"")</f>
        <v/>
      </c>
      <c r="B1448" s="2261" t="s">
        <v>654</v>
      </c>
      <c r="C1448" s="2268"/>
      <c r="D1448" s="2152" t="s">
        <v>5471</v>
      </c>
      <c r="E1448" s="2194" t="s">
        <v>5474</v>
      </c>
      <c r="F1448" s="2152" t="s">
        <v>856</v>
      </c>
      <c r="G1448" s="2270">
        <f>G1443*(0.4*3*1-2*3.14*0.15^2*0.4)</f>
        <v>0</v>
      </c>
      <c r="H1448" s="2264"/>
      <c r="I1448" s="2264"/>
      <c r="J1448" s="2264">
        <v>466397.5</v>
      </c>
      <c r="K1448" s="2264">
        <v>0</v>
      </c>
      <c r="L1448" s="2264">
        <f t="shared" si="260"/>
        <v>0</v>
      </c>
      <c r="M1448" s="2264">
        <f t="shared" si="261"/>
        <v>0</v>
      </c>
      <c r="N1448" s="2264">
        <f t="shared" si="262"/>
        <v>0</v>
      </c>
      <c r="O1448" s="2264">
        <f t="shared" si="263"/>
        <v>0</v>
      </c>
      <c r="P1448" s="2265"/>
      <c r="Q1448" s="2272">
        <f>1.025*361</f>
        <v>370.02499999999998</v>
      </c>
      <c r="R1448" s="2272">
        <f>1.025*0.45</f>
        <v>0.46124999999999999</v>
      </c>
      <c r="S1448" s="2272">
        <f>1.025*0.866</f>
        <v>0.88764999999999994</v>
      </c>
      <c r="T1448" s="2273"/>
    </row>
    <row r="1449" spans="1:20" s="2105" customFormat="1" outlineLevel="1">
      <c r="A1449" s="2182" t="str">
        <f>IF(G1449&lt;&gt;0,1,"")</f>
        <v/>
      </c>
      <c r="B1449" s="2261"/>
      <c r="C1449" s="2258">
        <f>IF(G1449&gt;0,C1443+1,C1443)</f>
        <v>0</v>
      </c>
      <c r="D1449" s="2259"/>
      <c r="E1449" s="2376" t="s">
        <v>6209</v>
      </c>
      <c r="F1449" s="2258" t="s">
        <v>2385</v>
      </c>
      <c r="G1449" s="2451">
        <f>G1359</f>
        <v>0</v>
      </c>
      <c r="H1449" s="2264"/>
      <c r="I1449" s="2264"/>
      <c r="J1449" s="2264"/>
      <c r="K1449" s="2264"/>
      <c r="L1449" s="2264">
        <f t="shared" si="260"/>
        <v>0</v>
      </c>
      <c r="M1449" s="2264">
        <f t="shared" si="261"/>
        <v>0</v>
      </c>
      <c r="N1449" s="2264">
        <f t="shared" si="262"/>
        <v>0</v>
      </c>
      <c r="O1449" s="2264">
        <f t="shared" si="263"/>
        <v>0</v>
      </c>
      <c r="P1449" s="2441"/>
      <c r="Q1449" s="2266"/>
      <c r="R1449" s="2266"/>
      <c r="S1449" s="2266"/>
    </row>
    <row r="1450" spans="1:20" s="2105" customFormat="1" ht="14.4" outlineLevel="1">
      <c r="A1450" s="2182" t="str">
        <f>A1449</f>
        <v/>
      </c>
      <c r="B1450" s="2261"/>
      <c r="C1450" s="2258"/>
      <c r="D1450" s="2259"/>
      <c r="E1450" s="2267" t="s">
        <v>6133</v>
      </c>
      <c r="F1450" s="2268"/>
      <c r="G1450" s="2450"/>
      <c r="H1450" s="2264"/>
      <c r="I1450" s="2264"/>
      <c r="J1450" s="2264"/>
      <c r="K1450" s="2264"/>
      <c r="L1450" s="2264">
        <f t="shared" si="260"/>
        <v>0</v>
      </c>
      <c r="M1450" s="2264">
        <f t="shared" si="261"/>
        <v>0</v>
      </c>
      <c r="N1450" s="2264">
        <f t="shared" si="262"/>
        <v>0</v>
      </c>
      <c r="O1450" s="2264">
        <f t="shared" si="263"/>
        <v>0</v>
      </c>
      <c r="P1450" s="2441"/>
      <c r="Q1450" s="2266"/>
      <c r="R1450" s="2266"/>
      <c r="S1450" s="2266"/>
    </row>
    <row r="1451" spans="1:20" s="2105" customFormat="1" outlineLevel="1">
      <c r="A1451" s="2182" t="str">
        <f>IF(G1451&lt;&gt;0,1,"")</f>
        <v/>
      </c>
      <c r="B1451" s="2261" t="s">
        <v>5645</v>
      </c>
      <c r="C1451" s="2268"/>
      <c r="D1451" s="2152" t="s">
        <v>5633</v>
      </c>
      <c r="E1451" s="2194" t="s">
        <v>5646</v>
      </c>
      <c r="F1451" s="2152" t="s">
        <v>2555</v>
      </c>
      <c r="G1451" s="2450">
        <f>G1449</f>
        <v>0</v>
      </c>
      <c r="H1451" s="2264">
        <v>5000000</v>
      </c>
      <c r="I1451" s="2264"/>
      <c r="J1451" s="2264">
        <v>690091</v>
      </c>
      <c r="K1451" s="2264">
        <v>97369</v>
      </c>
      <c r="L1451" s="2264">
        <f t="shared" si="260"/>
        <v>0</v>
      </c>
      <c r="M1451" s="2264">
        <f t="shared" si="261"/>
        <v>0</v>
      </c>
      <c r="N1451" s="2264">
        <f t="shared" si="262"/>
        <v>0</v>
      </c>
      <c r="O1451" s="2264">
        <f t="shared" si="263"/>
        <v>0</v>
      </c>
      <c r="P1451" s="2441"/>
      <c r="Q1451" s="2266"/>
      <c r="R1451" s="2266"/>
      <c r="S1451" s="2266"/>
    </row>
    <row r="1452" spans="1:20" s="2105" customFormat="1" outlineLevel="1">
      <c r="A1452" s="2182" t="str">
        <f>IF(G1452&lt;&gt;0,1,"")</f>
        <v/>
      </c>
      <c r="B1452" s="2261" t="s">
        <v>880</v>
      </c>
      <c r="C1452" s="2258"/>
      <c r="D1452" s="2152">
        <v>0</v>
      </c>
      <c r="E1452" s="2194" t="s">
        <v>5799</v>
      </c>
      <c r="F1452" s="2152" t="s">
        <v>2555</v>
      </c>
      <c r="G1452" s="2450">
        <f>G1451</f>
        <v>0</v>
      </c>
      <c r="H1452" s="2264">
        <v>284000</v>
      </c>
      <c r="I1452" s="2264"/>
      <c r="J1452" s="2264">
        <v>0</v>
      </c>
      <c r="K1452" s="2264">
        <v>0</v>
      </c>
      <c r="L1452" s="2264">
        <f t="shared" si="260"/>
        <v>0</v>
      </c>
      <c r="M1452" s="2264">
        <f t="shared" si="261"/>
        <v>0</v>
      </c>
      <c r="N1452" s="2264">
        <f t="shared" si="262"/>
        <v>0</v>
      </c>
      <c r="O1452" s="2264">
        <f t="shared" si="263"/>
        <v>0</v>
      </c>
      <c r="P1452" s="2441"/>
      <c r="Q1452" s="2266"/>
      <c r="R1452" s="2266"/>
      <c r="S1452" s="2266"/>
    </row>
    <row r="1453" spans="1:20" s="2105" customFormat="1" outlineLevel="1">
      <c r="A1453" s="2182" t="str">
        <f>IF(G1453&lt;&gt;0,1,"")</f>
        <v/>
      </c>
      <c r="B1453" s="2261" t="s">
        <v>289</v>
      </c>
      <c r="C1453" s="2268"/>
      <c r="D1453" s="2152">
        <v>0</v>
      </c>
      <c r="E1453" s="2194" t="s">
        <v>5712</v>
      </c>
      <c r="F1453" s="2152" t="s">
        <v>2555</v>
      </c>
      <c r="G1453" s="2378">
        <f>G1449</f>
        <v>0</v>
      </c>
      <c r="H1453" s="2264">
        <v>300000</v>
      </c>
      <c r="I1453" s="2264"/>
      <c r="J1453" s="2264">
        <v>0</v>
      </c>
      <c r="K1453" s="2264">
        <v>0</v>
      </c>
      <c r="L1453" s="2264">
        <f t="shared" si="260"/>
        <v>0</v>
      </c>
      <c r="M1453" s="2264">
        <f t="shared" si="261"/>
        <v>0</v>
      </c>
      <c r="N1453" s="2264">
        <f t="shared" si="262"/>
        <v>0</v>
      </c>
      <c r="O1453" s="2264">
        <f t="shared" si="263"/>
        <v>0</v>
      </c>
      <c r="P1453" s="2389"/>
      <c r="Q1453" s="2266"/>
      <c r="R1453" s="2266"/>
      <c r="S1453" s="2266"/>
    </row>
    <row r="1454" spans="1:20" s="2105" customFormat="1" outlineLevel="1">
      <c r="A1454" s="2182" t="str">
        <f>IF(G1454&lt;&gt;0,1,"")</f>
        <v/>
      </c>
      <c r="B1454" s="2121" t="s">
        <v>588</v>
      </c>
      <c r="C1454" s="2268"/>
      <c r="D1454" s="2152">
        <v>0</v>
      </c>
      <c r="E1454" s="2194" t="s">
        <v>2982</v>
      </c>
      <c r="F1454" s="2152" t="s">
        <v>2439</v>
      </c>
      <c r="G1454" s="2358">
        <f>G1451*2*0</f>
        <v>0</v>
      </c>
      <c r="H1454" s="2264">
        <v>0</v>
      </c>
      <c r="I1454" s="2264"/>
      <c r="J1454" s="2264">
        <v>0</v>
      </c>
      <c r="K1454" s="2264">
        <v>0</v>
      </c>
      <c r="L1454" s="2264">
        <f t="shared" si="260"/>
        <v>0</v>
      </c>
      <c r="M1454" s="2264">
        <f t="shared" si="261"/>
        <v>0</v>
      </c>
      <c r="N1454" s="2264">
        <f t="shared" si="262"/>
        <v>0</v>
      </c>
      <c r="O1454" s="2264">
        <f t="shared" si="263"/>
        <v>0</v>
      </c>
      <c r="P1454" s="2441"/>
      <c r="Q1454" s="2266"/>
      <c r="R1454" s="2266"/>
      <c r="S1454" s="2266"/>
    </row>
    <row r="1455" spans="1:20" s="2105" customFormat="1" outlineLevel="1">
      <c r="A1455" s="2182" t="str">
        <f>IF(G1455&lt;&gt;0,1,"")</f>
        <v/>
      </c>
      <c r="B1455" s="2261"/>
      <c r="C1455" s="2258">
        <f>IF(G1455&gt;0,C1449+1,C1449)</f>
        <v>0</v>
      </c>
      <c r="D1455" s="2259"/>
      <c r="E1455" s="2376" t="s">
        <v>6210</v>
      </c>
      <c r="F1455" s="2258" t="s">
        <v>2385</v>
      </c>
      <c r="G1455" s="2451">
        <f>G1359*0</f>
        <v>0</v>
      </c>
      <c r="H1455" s="2264"/>
      <c r="I1455" s="2264"/>
      <c r="J1455" s="2264"/>
      <c r="K1455" s="2264"/>
      <c r="L1455" s="2264">
        <f t="shared" si="260"/>
        <v>0</v>
      </c>
      <c r="M1455" s="2264">
        <f t="shared" si="261"/>
        <v>0</v>
      </c>
      <c r="N1455" s="2264">
        <f t="shared" si="262"/>
        <v>0</v>
      </c>
      <c r="O1455" s="2264">
        <f t="shared" si="263"/>
        <v>0</v>
      </c>
      <c r="P1455" s="2441"/>
      <c r="Q1455" s="2266"/>
      <c r="R1455" s="2266"/>
      <c r="S1455" s="2266"/>
    </row>
    <row r="1456" spans="1:20" s="2105" customFormat="1" ht="14.4" outlineLevel="1">
      <c r="A1456" s="2182" t="str">
        <f>A1455</f>
        <v/>
      </c>
      <c r="B1456" s="2261"/>
      <c r="C1456" s="2258"/>
      <c r="D1456" s="2259"/>
      <c r="E1456" s="2267" t="s">
        <v>6133</v>
      </c>
      <c r="F1456" s="2268"/>
      <c r="G1456" s="2450"/>
      <c r="H1456" s="2264"/>
      <c r="I1456" s="2264"/>
      <c r="J1456" s="2264"/>
      <c r="K1456" s="2264"/>
      <c r="L1456" s="2264">
        <f t="shared" si="260"/>
        <v>0</v>
      </c>
      <c r="M1456" s="2264">
        <f t="shared" si="261"/>
        <v>0</v>
      </c>
      <c r="N1456" s="2264">
        <f t="shared" si="262"/>
        <v>0</v>
      </c>
      <c r="O1456" s="2264">
        <f t="shared" si="263"/>
        <v>0</v>
      </c>
      <c r="P1456" s="2441"/>
      <c r="Q1456" s="2266"/>
      <c r="R1456" s="2266"/>
      <c r="S1456" s="2266"/>
    </row>
    <row r="1457" spans="1:19" s="2105" customFormat="1" outlineLevel="1">
      <c r="A1457" s="2182" t="str">
        <f>IF(G1457&lt;&gt;0,1,"")</f>
        <v/>
      </c>
      <c r="B1457" s="2121" t="s">
        <v>838</v>
      </c>
      <c r="C1457" s="2268"/>
      <c r="D1457" s="2152" t="s">
        <v>5655</v>
      </c>
      <c r="E1457" s="2194" t="s">
        <v>5659</v>
      </c>
      <c r="F1457" s="2152" t="s">
        <v>2555</v>
      </c>
      <c r="G1457" s="2450">
        <f>G1455*1</f>
        <v>0</v>
      </c>
      <c r="H1457" s="2264">
        <v>783952</v>
      </c>
      <c r="I1457" s="2264"/>
      <c r="J1457" s="2264">
        <v>599038</v>
      </c>
      <c r="K1457" s="2264">
        <v>97369</v>
      </c>
      <c r="L1457" s="2264">
        <f t="shared" si="260"/>
        <v>0</v>
      </c>
      <c r="M1457" s="2264">
        <f t="shared" si="261"/>
        <v>0</v>
      </c>
      <c r="N1457" s="2264">
        <f t="shared" si="262"/>
        <v>0</v>
      </c>
      <c r="O1457" s="2264">
        <f t="shared" si="263"/>
        <v>0</v>
      </c>
      <c r="P1457" s="2441"/>
      <c r="Q1457" s="2266"/>
      <c r="R1457" s="2266"/>
      <c r="S1457" s="2266"/>
    </row>
    <row r="1458" spans="1:19" s="2105" customFormat="1" outlineLevel="1">
      <c r="A1458" s="2182" t="str">
        <f>IF(G1458&lt;&gt;0,1,"")</f>
        <v/>
      </c>
      <c r="B1458" s="2261" t="s">
        <v>880</v>
      </c>
      <c r="C1458" s="2258"/>
      <c r="D1458" s="2152">
        <v>0</v>
      </c>
      <c r="E1458" s="2194" t="s">
        <v>5799</v>
      </c>
      <c r="F1458" s="2152" t="s">
        <v>2555</v>
      </c>
      <c r="G1458" s="2450">
        <f>G1457</f>
        <v>0</v>
      </c>
      <c r="H1458" s="2264">
        <v>284000</v>
      </c>
      <c r="I1458" s="2264"/>
      <c r="J1458" s="2264">
        <v>5404</v>
      </c>
      <c r="K1458" s="2264">
        <v>0</v>
      </c>
      <c r="L1458" s="2264">
        <f t="shared" si="260"/>
        <v>0</v>
      </c>
      <c r="M1458" s="2264">
        <f t="shared" si="261"/>
        <v>0</v>
      </c>
      <c r="N1458" s="2264">
        <f t="shared" si="262"/>
        <v>0</v>
      </c>
      <c r="O1458" s="2264">
        <f t="shared" si="263"/>
        <v>0</v>
      </c>
      <c r="P1458" s="2441"/>
      <c r="Q1458" s="2266"/>
      <c r="R1458" s="2266"/>
      <c r="S1458" s="2266"/>
    </row>
    <row r="1459" spans="1:19" s="2105" customFormat="1" outlineLevel="1">
      <c r="A1459" s="2182" t="str">
        <f>IF(G1459&lt;&gt;0,1,"")</f>
        <v/>
      </c>
      <c r="B1459" s="2261" t="s">
        <v>289</v>
      </c>
      <c r="C1459" s="2258"/>
      <c r="D1459" s="2152">
        <v>0</v>
      </c>
      <c r="E1459" s="2194" t="s">
        <v>5712</v>
      </c>
      <c r="F1459" s="2152" t="s">
        <v>2555</v>
      </c>
      <c r="G1459" s="2450">
        <f>G1455</f>
        <v>0</v>
      </c>
      <c r="H1459" s="2264">
        <v>300000</v>
      </c>
      <c r="I1459" s="2264"/>
      <c r="J1459" s="2264">
        <v>0</v>
      </c>
      <c r="K1459" s="2264">
        <v>0</v>
      </c>
      <c r="L1459" s="2264">
        <f t="shared" si="260"/>
        <v>0</v>
      </c>
      <c r="M1459" s="2264">
        <f t="shared" si="261"/>
        <v>0</v>
      </c>
      <c r="N1459" s="2264">
        <f t="shared" si="262"/>
        <v>0</v>
      </c>
      <c r="O1459" s="2264">
        <f t="shared" si="263"/>
        <v>0</v>
      </c>
      <c r="P1459" s="2441"/>
      <c r="Q1459" s="2266"/>
      <c r="R1459" s="2266"/>
      <c r="S1459" s="2266"/>
    </row>
    <row r="1460" spans="1:19" s="2105" customFormat="1" outlineLevel="1">
      <c r="A1460" s="2182" t="str">
        <f>IF(G1460&lt;&gt;0,1,"")</f>
        <v/>
      </c>
      <c r="B1460" s="2121" t="s">
        <v>588</v>
      </c>
      <c r="C1460" s="2268"/>
      <c r="D1460" s="2152">
        <v>0</v>
      </c>
      <c r="E1460" s="2194" t="s">
        <v>2982</v>
      </c>
      <c r="F1460" s="2152" t="s">
        <v>2439</v>
      </c>
      <c r="G1460" s="2358">
        <f>G1457*2*0</f>
        <v>0</v>
      </c>
      <c r="H1460" s="2264">
        <v>168000</v>
      </c>
      <c r="I1460" s="2264"/>
      <c r="J1460" s="2264">
        <v>0</v>
      </c>
      <c r="K1460" s="2264">
        <v>0</v>
      </c>
      <c r="L1460" s="2264">
        <f t="shared" si="260"/>
        <v>0</v>
      </c>
      <c r="M1460" s="2264">
        <f t="shared" si="261"/>
        <v>0</v>
      </c>
      <c r="N1460" s="2264">
        <f t="shared" si="262"/>
        <v>0</v>
      </c>
      <c r="O1460" s="2264">
        <f t="shared" si="263"/>
        <v>0</v>
      </c>
      <c r="P1460" s="2441"/>
      <c r="Q1460" s="2266"/>
      <c r="R1460" s="2266"/>
      <c r="S1460" s="2266"/>
    </row>
    <row r="1461" spans="1:19" s="2105" customFormat="1" outlineLevel="1">
      <c r="A1461" s="2182" t="str">
        <f>IF(G1461&lt;&gt;0,1,"")</f>
        <v/>
      </c>
      <c r="B1461" s="2261"/>
      <c r="C1461" s="2258">
        <f>IF(G1461&gt;0,C1449+2,C1449)</f>
        <v>0</v>
      </c>
      <c r="D1461" s="2259"/>
      <c r="E1461" s="2260" t="s">
        <v>3736</v>
      </c>
      <c r="F1461" s="2258" t="s">
        <v>2385</v>
      </c>
      <c r="G1461" s="2451">
        <f>G1359</f>
        <v>0</v>
      </c>
      <c r="H1461" s="2264"/>
      <c r="I1461" s="2264"/>
      <c r="J1461" s="2264"/>
      <c r="K1461" s="2264"/>
      <c r="L1461" s="2264"/>
      <c r="M1461" s="2264"/>
      <c r="N1461" s="2264"/>
      <c r="O1461" s="2264"/>
      <c r="P1461" s="2441"/>
      <c r="Q1461" s="2266"/>
      <c r="R1461" s="2266"/>
      <c r="S1461" s="2266"/>
    </row>
    <row r="1462" spans="1:19" s="2105" customFormat="1" ht="14.4" outlineLevel="1">
      <c r="A1462" s="2182" t="str">
        <f>A1461</f>
        <v/>
      </c>
      <c r="B1462" s="2261"/>
      <c r="C1462" s="2258"/>
      <c r="D1462" s="2259"/>
      <c r="E1462" s="2274" t="s">
        <v>6133</v>
      </c>
      <c r="F1462" s="2258"/>
      <c r="G1462" s="2451"/>
      <c r="H1462" s="2264"/>
      <c r="I1462" s="2264"/>
      <c r="J1462" s="2264"/>
      <c r="K1462" s="2264"/>
      <c r="L1462" s="2264"/>
      <c r="M1462" s="2264"/>
      <c r="N1462" s="2264"/>
      <c r="O1462" s="2264"/>
      <c r="P1462" s="2441"/>
      <c r="Q1462" s="2266"/>
      <c r="R1462" s="2266"/>
      <c r="S1462" s="2266"/>
    </row>
    <row r="1463" spans="1:19" s="2105" customFormat="1" outlineLevel="1">
      <c r="A1463" s="2182" t="str">
        <f>IF(G1463&lt;&gt;0,1,"")</f>
        <v/>
      </c>
      <c r="B1463" s="2252" t="s">
        <v>697</v>
      </c>
      <c r="C1463" s="2268"/>
      <c r="D1463" s="2152">
        <v>0</v>
      </c>
      <c r="E1463" s="2194" t="s">
        <v>5087</v>
      </c>
      <c r="F1463" s="2152" t="s">
        <v>2532</v>
      </c>
      <c r="G1463" s="2450">
        <f>G1461*21</f>
        <v>0</v>
      </c>
      <c r="H1463" s="2264">
        <v>50996</v>
      </c>
      <c r="I1463" s="2264"/>
      <c r="J1463" s="2264">
        <v>0</v>
      </c>
      <c r="K1463" s="2264">
        <v>0</v>
      </c>
      <c r="L1463" s="2264">
        <f t="shared" ref="L1463:L1473" si="264">H1463*G1463</f>
        <v>0</v>
      </c>
      <c r="M1463" s="2264">
        <f t="shared" ref="M1463:M1473" si="265">I1463*G1463</f>
        <v>0</v>
      </c>
      <c r="N1463" s="2264">
        <f t="shared" ref="N1463:N1473" si="266">J1463*G1463</f>
        <v>0</v>
      </c>
      <c r="O1463" s="2264">
        <f t="shared" ref="O1463:O1473" si="267">K1463*G1463</f>
        <v>0</v>
      </c>
      <c r="P1463" s="2441"/>
      <c r="Q1463" s="2266"/>
      <c r="R1463" s="2266"/>
      <c r="S1463" s="2266"/>
    </row>
    <row r="1464" spans="1:19" s="2105" customFormat="1" outlineLevel="1">
      <c r="A1464" s="2182" t="str">
        <f t="shared" ref="A1464:A1474" si="268">IF(G1464&lt;&gt;0,1,"")</f>
        <v/>
      </c>
      <c r="B1464" s="2357" t="s">
        <v>1479</v>
      </c>
      <c r="C1464" s="2268"/>
      <c r="D1464" s="2152">
        <v>0</v>
      </c>
      <c r="E1464" s="2194" t="s">
        <v>3791</v>
      </c>
      <c r="F1464" s="2152" t="s">
        <v>2555</v>
      </c>
      <c r="G1464" s="2450">
        <f>G1461*3</f>
        <v>0</v>
      </c>
      <c r="H1464" s="2264">
        <v>46000</v>
      </c>
      <c r="I1464" s="2264"/>
      <c r="J1464" s="2264">
        <v>0</v>
      </c>
      <c r="K1464" s="2264">
        <v>0</v>
      </c>
      <c r="L1464" s="2264">
        <f t="shared" si="264"/>
        <v>0</v>
      </c>
      <c r="M1464" s="2264">
        <f t="shared" si="265"/>
        <v>0</v>
      </c>
      <c r="N1464" s="2264">
        <f t="shared" si="266"/>
        <v>0</v>
      </c>
      <c r="O1464" s="2264">
        <f t="shared" si="267"/>
        <v>0</v>
      </c>
      <c r="P1464" s="2441"/>
      <c r="Q1464" s="2266"/>
      <c r="R1464" s="2266"/>
      <c r="S1464" s="2266"/>
    </row>
    <row r="1465" spans="1:19" s="2105" customFormat="1" outlineLevel="1">
      <c r="A1465" s="2182" t="str">
        <f t="shared" si="268"/>
        <v/>
      </c>
      <c r="B1465" s="2357" t="s">
        <v>1477</v>
      </c>
      <c r="C1465" s="2268"/>
      <c r="D1465" s="2152">
        <v>0</v>
      </c>
      <c r="E1465" s="2194" t="s">
        <v>4335</v>
      </c>
      <c r="F1465" s="2152" t="s">
        <v>2555</v>
      </c>
      <c r="G1465" s="2450">
        <f>G1464</f>
        <v>0</v>
      </c>
      <c r="H1465" s="2264">
        <v>77000</v>
      </c>
      <c r="I1465" s="2264"/>
      <c r="J1465" s="2264">
        <v>0</v>
      </c>
      <c r="K1465" s="2264">
        <v>0</v>
      </c>
      <c r="L1465" s="2264">
        <f t="shared" si="264"/>
        <v>0</v>
      </c>
      <c r="M1465" s="2264">
        <f t="shared" si="265"/>
        <v>0</v>
      </c>
      <c r="N1465" s="2264">
        <f t="shared" si="266"/>
        <v>0</v>
      </c>
      <c r="O1465" s="2264">
        <f t="shared" si="267"/>
        <v>0</v>
      </c>
      <c r="P1465" s="2441"/>
      <c r="Q1465" s="2266"/>
      <c r="R1465" s="2266"/>
      <c r="S1465" s="2266"/>
    </row>
    <row r="1466" spans="1:19" s="2105" customFormat="1" outlineLevel="1">
      <c r="A1466" s="2182" t="str">
        <f>IF(G1466&lt;&gt;0,1,"")</f>
        <v/>
      </c>
      <c r="B1466" s="2357" t="s">
        <v>5699</v>
      </c>
      <c r="C1466" s="2268"/>
      <c r="D1466" s="2152">
        <v>0</v>
      </c>
      <c r="E1466" s="2194" t="s">
        <v>5700</v>
      </c>
      <c r="F1466" s="2152" t="s">
        <v>2555</v>
      </c>
      <c r="G1466" s="2450">
        <f>+G1461*3</f>
        <v>0</v>
      </c>
      <c r="H1466" s="2264">
        <v>218200</v>
      </c>
      <c r="I1466" s="2264"/>
      <c r="J1466" s="2264">
        <v>0</v>
      </c>
      <c r="K1466" s="2264">
        <v>0</v>
      </c>
      <c r="L1466" s="2264">
        <f>H1466*G1466</f>
        <v>0</v>
      </c>
      <c r="M1466" s="2264">
        <f t="shared" si="265"/>
        <v>0</v>
      </c>
      <c r="N1466" s="2264">
        <f>J1466*G1466</f>
        <v>0</v>
      </c>
      <c r="O1466" s="2264">
        <f>K1466*G1466</f>
        <v>0</v>
      </c>
      <c r="P1466" s="2441"/>
      <c r="Q1466" s="2266"/>
      <c r="R1466" s="2266"/>
    </row>
    <row r="1467" spans="1:19" s="2105" customFormat="1" outlineLevel="1">
      <c r="A1467" s="2182" t="str">
        <f>IF(G1467&lt;&gt;0,1,"")</f>
        <v/>
      </c>
      <c r="B1467" s="2357" t="s">
        <v>5705</v>
      </c>
      <c r="C1467" s="2268"/>
      <c r="D1467" s="2152">
        <v>0</v>
      </c>
      <c r="E1467" s="2194" t="s">
        <v>5706</v>
      </c>
      <c r="F1467" s="2152" t="s">
        <v>2555</v>
      </c>
      <c r="G1467" s="2450">
        <f>+G1461*3</f>
        <v>0</v>
      </c>
      <c r="H1467" s="2264">
        <v>39100</v>
      </c>
      <c r="I1467" s="2264"/>
      <c r="J1467" s="2264">
        <v>0</v>
      </c>
      <c r="K1467" s="2264">
        <v>0</v>
      </c>
      <c r="L1467" s="2264">
        <f>H1467*G1467</f>
        <v>0</v>
      </c>
      <c r="M1467" s="2264">
        <f t="shared" si="265"/>
        <v>0</v>
      </c>
      <c r="N1467" s="2264">
        <f>J1467*G1467</f>
        <v>0</v>
      </c>
      <c r="O1467" s="2264">
        <f>K1467*G1467</f>
        <v>0</v>
      </c>
      <c r="P1467" s="2441"/>
      <c r="Q1467" s="2266"/>
    </row>
    <row r="1468" spans="1:19" s="2105" customFormat="1" outlineLevel="1">
      <c r="A1468" s="2182" t="str">
        <f>IF(G1468&lt;&gt;0,1,"")</f>
        <v/>
      </c>
      <c r="B1468" s="2357" t="s">
        <v>5707</v>
      </c>
      <c r="C1468" s="2268"/>
      <c r="D1468" s="2152">
        <v>0</v>
      </c>
      <c r="E1468" s="2194" t="s">
        <v>5708</v>
      </c>
      <c r="F1468" s="2152" t="s">
        <v>2555</v>
      </c>
      <c r="G1468" s="2450">
        <f>+G1461*3</f>
        <v>0</v>
      </c>
      <c r="H1468" s="2264">
        <v>56700</v>
      </c>
      <c r="I1468" s="2264"/>
      <c r="J1468" s="2264">
        <v>0</v>
      </c>
      <c r="K1468" s="2264">
        <v>0</v>
      </c>
      <c r="L1468" s="2264">
        <f>H1468*G1468</f>
        <v>0</v>
      </c>
      <c r="M1468" s="2264">
        <f t="shared" si="265"/>
        <v>0</v>
      </c>
      <c r="N1468" s="2264">
        <f>J1468*G1468</f>
        <v>0</v>
      </c>
      <c r="O1468" s="2264">
        <f>K1468*G1468</f>
        <v>0</v>
      </c>
      <c r="P1468" s="2441"/>
      <c r="Q1468" s="2266"/>
    </row>
    <row r="1469" spans="1:19" s="2105" customFormat="1" outlineLevel="1">
      <c r="A1469" s="2182" t="str">
        <f>IF(G1469&lt;&gt;0,1,"")</f>
        <v/>
      </c>
      <c r="B1469" s="2357" t="s">
        <v>5704</v>
      </c>
      <c r="C1469" s="2268"/>
      <c r="D1469" s="2152">
        <v>0</v>
      </c>
      <c r="E1469" s="2194" t="s">
        <v>4538</v>
      </c>
      <c r="F1469" s="2152" t="s">
        <v>3445</v>
      </c>
      <c r="G1469" s="2450">
        <f>G1464</f>
        <v>0</v>
      </c>
      <c r="H1469" s="2264">
        <v>136800</v>
      </c>
      <c r="I1469" s="2264"/>
      <c r="J1469" s="2264">
        <v>0</v>
      </c>
      <c r="K1469" s="2264">
        <v>0</v>
      </c>
      <c r="L1469" s="2264">
        <f>H1469*G1469</f>
        <v>0</v>
      </c>
      <c r="M1469" s="2264">
        <f>I1469*G1469</f>
        <v>0</v>
      </c>
      <c r="N1469" s="2264">
        <f>J1469*G1469</f>
        <v>0</v>
      </c>
      <c r="O1469" s="2264">
        <f>K1469*G1469</f>
        <v>0</v>
      </c>
      <c r="P1469" s="2441"/>
      <c r="Q1469" s="2266"/>
    </row>
    <row r="1470" spans="1:19" s="2105" customFormat="1" outlineLevel="1">
      <c r="A1470" s="2182" t="str">
        <f t="shared" si="268"/>
        <v/>
      </c>
      <c r="B1470" s="2252" t="s">
        <v>696</v>
      </c>
      <c r="C1470" s="2389"/>
      <c r="D1470" s="2152">
        <v>0</v>
      </c>
      <c r="E1470" s="2194" t="s">
        <v>2936</v>
      </c>
      <c r="F1470" s="2152" t="s">
        <v>2555</v>
      </c>
      <c r="G1470" s="2450">
        <f>G1461*3</f>
        <v>0</v>
      </c>
      <c r="H1470" s="2264">
        <v>205000</v>
      </c>
      <c r="I1470" s="2264"/>
      <c r="J1470" s="2264">
        <v>0</v>
      </c>
      <c r="K1470" s="2264">
        <v>0</v>
      </c>
      <c r="L1470" s="2264">
        <f t="shared" si="264"/>
        <v>0</v>
      </c>
      <c r="M1470" s="2264">
        <f t="shared" si="265"/>
        <v>0</v>
      </c>
      <c r="N1470" s="2264">
        <f t="shared" si="266"/>
        <v>0</v>
      </c>
      <c r="O1470" s="2264">
        <f t="shared" si="267"/>
        <v>0</v>
      </c>
      <c r="P1470" s="2441"/>
      <c r="Q1470" s="2266"/>
      <c r="R1470" s="2266"/>
      <c r="S1470" s="2266"/>
    </row>
    <row r="1471" spans="1:19" s="2105" customFormat="1" outlineLevel="1">
      <c r="A1471" s="2182" t="str">
        <f t="shared" si="268"/>
        <v/>
      </c>
      <c r="B1471" s="2252" t="s">
        <v>1265</v>
      </c>
      <c r="C1471" s="2268"/>
      <c r="D1471" s="2152">
        <v>0</v>
      </c>
      <c r="E1471" s="2194" t="s">
        <v>2823</v>
      </c>
      <c r="F1471" s="2152" t="s">
        <v>2555</v>
      </c>
      <c r="G1471" s="2450">
        <f>G1470</f>
        <v>0</v>
      </c>
      <c r="H1471" s="2264">
        <v>65000</v>
      </c>
      <c r="I1471" s="2264"/>
      <c r="J1471" s="2264">
        <v>0</v>
      </c>
      <c r="K1471" s="2264">
        <v>0</v>
      </c>
      <c r="L1471" s="2264">
        <f t="shared" si="264"/>
        <v>0</v>
      </c>
      <c r="M1471" s="2264">
        <f t="shared" si="265"/>
        <v>0</v>
      </c>
      <c r="N1471" s="2264">
        <f t="shared" si="266"/>
        <v>0</v>
      </c>
      <c r="O1471" s="2264">
        <f t="shared" si="267"/>
        <v>0</v>
      </c>
      <c r="P1471" s="2441"/>
      <c r="Q1471" s="2266"/>
      <c r="R1471" s="2266"/>
      <c r="S1471" s="2266"/>
    </row>
    <row r="1472" spans="1:19" s="2105" customFormat="1" outlineLevel="1">
      <c r="A1472" s="2182" t="str">
        <f t="shared" si="268"/>
        <v/>
      </c>
      <c r="B1472" s="2252" t="s">
        <v>1565</v>
      </c>
      <c r="C1472" s="2268"/>
      <c r="D1472" s="2152" t="s">
        <v>5560</v>
      </c>
      <c r="E1472" s="2194" t="s">
        <v>3271</v>
      </c>
      <c r="F1472" s="2152" t="s">
        <v>2439</v>
      </c>
      <c r="G1472" s="2450">
        <f>G1471</f>
        <v>0</v>
      </c>
      <c r="H1472" s="2264">
        <v>510</v>
      </c>
      <c r="I1472" s="2264"/>
      <c r="J1472" s="2264">
        <v>58277.49</v>
      </c>
      <c r="K1472" s="2264">
        <v>0</v>
      </c>
      <c r="L1472" s="2264">
        <f>H1472*G1472</f>
        <v>0</v>
      </c>
      <c r="M1472" s="2264">
        <f t="shared" si="265"/>
        <v>0</v>
      </c>
      <c r="N1472" s="2264">
        <f>J1472*G1472</f>
        <v>0</v>
      </c>
      <c r="O1472" s="2264">
        <f>K1472*G1472</f>
        <v>0</v>
      </c>
      <c r="P1472" s="2441"/>
      <c r="Q1472" s="2266"/>
      <c r="R1472" s="2266"/>
      <c r="S1472" s="2266"/>
    </row>
    <row r="1473" spans="1:19" s="2105" customFormat="1" outlineLevel="1">
      <c r="A1473" s="2182" t="str">
        <f t="shared" si="268"/>
        <v/>
      </c>
      <c r="B1473" s="2252" t="s">
        <v>1525</v>
      </c>
      <c r="C1473" s="2268"/>
      <c r="D1473" s="2152" t="s">
        <v>5571</v>
      </c>
      <c r="E1473" s="2194" t="s">
        <v>3292</v>
      </c>
      <c r="F1473" s="2152" t="s">
        <v>1823</v>
      </c>
      <c r="G1473" s="2450">
        <f>G1463</f>
        <v>0</v>
      </c>
      <c r="H1473" s="2264"/>
      <c r="I1473" s="2264"/>
      <c r="J1473" s="2264">
        <v>13915</v>
      </c>
      <c r="K1473" s="2264"/>
      <c r="L1473" s="2264">
        <f t="shared" si="264"/>
        <v>0</v>
      </c>
      <c r="M1473" s="2264">
        <f t="shared" si="265"/>
        <v>0</v>
      </c>
      <c r="N1473" s="2264">
        <f t="shared" si="266"/>
        <v>0</v>
      </c>
      <c r="O1473" s="2264">
        <f t="shared" si="267"/>
        <v>0</v>
      </c>
      <c r="P1473" s="2441"/>
      <c r="Q1473" s="2266"/>
      <c r="R1473" s="2266"/>
      <c r="S1473" s="2266"/>
    </row>
    <row r="1474" spans="1:19" s="2105" customFormat="1" outlineLevel="1">
      <c r="A1474" s="2182" t="str">
        <f t="shared" si="268"/>
        <v/>
      </c>
      <c r="B1474" s="2261"/>
      <c r="C1474" s="2258">
        <f>IF(G1474&gt;0,C1461+1,C1461)</f>
        <v>0</v>
      </c>
      <c r="D1474" s="2259"/>
      <c r="E1474" s="2260" t="s">
        <v>3708</v>
      </c>
      <c r="F1474" s="2258" t="s">
        <v>2385</v>
      </c>
      <c r="G1474" s="2263">
        <f>G1389*0</f>
        <v>0</v>
      </c>
      <c r="H1474" s="2264"/>
      <c r="I1474" s="2264"/>
      <c r="J1474" s="2264"/>
      <c r="K1474" s="2264"/>
      <c r="L1474" s="2264"/>
      <c r="M1474" s="2264"/>
      <c r="N1474" s="2264"/>
      <c r="O1474" s="2264"/>
      <c r="P1474" s="2265"/>
      <c r="Q1474" s="2266"/>
      <c r="R1474" s="2266"/>
      <c r="S1474" s="2266"/>
    </row>
    <row r="1475" spans="1:19" s="2105" customFormat="1" ht="14.4" outlineLevel="1">
      <c r="A1475" s="2182" t="str">
        <f>A1474</f>
        <v/>
      </c>
      <c r="B1475" s="2261"/>
      <c r="C1475" s="2258"/>
      <c r="D1475" s="2259"/>
      <c r="E1475" s="2274" t="s">
        <v>6133</v>
      </c>
      <c r="F1475" s="2258"/>
      <c r="G1475" s="2263"/>
      <c r="H1475" s="2264"/>
      <c r="I1475" s="2264"/>
      <c r="J1475" s="2264"/>
      <c r="K1475" s="2264"/>
      <c r="L1475" s="2264"/>
      <c r="M1475" s="2264"/>
      <c r="N1475" s="2264"/>
      <c r="O1475" s="2264"/>
      <c r="P1475" s="2265"/>
      <c r="Q1475" s="2266"/>
      <c r="R1475" s="2266"/>
      <c r="S1475" s="2266"/>
    </row>
    <row r="1476" spans="1:19" s="2105" customFormat="1" outlineLevel="1">
      <c r="A1476" s="2182" t="str">
        <f t="shared" ref="A1476:A1484" si="269">IF(G1476&lt;&gt;0,1,"")</f>
        <v/>
      </c>
      <c r="B1476" s="2261" t="s">
        <v>282</v>
      </c>
      <c r="C1476" s="2268"/>
      <c r="D1476" s="2152">
        <v>0</v>
      </c>
      <c r="E1476" s="2194" t="s">
        <v>3532</v>
      </c>
      <c r="F1476" s="2152" t="s">
        <v>1823</v>
      </c>
      <c r="G1476" s="2269">
        <f>G1474*2*0</f>
        <v>0</v>
      </c>
      <c r="H1476" s="2264">
        <v>63200</v>
      </c>
      <c r="I1476" s="2264"/>
      <c r="J1476" s="2264">
        <v>0</v>
      </c>
      <c r="K1476" s="2264">
        <v>0</v>
      </c>
      <c r="L1476" s="2264">
        <f t="shared" ref="L1476:L1483" si="270">H1476*G1476</f>
        <v>0</v>
      </c>
      <c r="M1476" s="2264">
        <f>I1476*G1476</f>
        <v>0</v>
      </c>
      <c r="N1476" s="2264">
        <f>J1476*G1476</f>
        <v>0</v>
      </c>
      <c r="O1476" s="2264">
        <f t="shared" ref="O1476:O1483" si="271">K1476*G1476</f>
        <v>0</v>
      </c>
      <c r="P1476" s="2265"/>
      <c r="Q1476" s="2266"/>
      <c r="R1476" s="2266"/>
      <c r="S1476" s="2266"/>
    </row>
    <row r="1477" spans="1:19" s="2105" customFormat="1" outlineLevel="1">
      <c r="A1477" s="2182" t="str">
        <f t="shared" si="269"/>
        <v/>
      </c>
      <c r="B1477" s="2261" t="s">
        <v>86</v>
      </c>
      <c r="C1477" s="2268"/>
      <c r="D1477" s="2152">
        <v>0</v>
      </c>
      <c r="E1477" s="2194" t="s">
        <v>5797</v>
      </c>
      <c r="F1477" s="2152" t="s">
        <v>2555</v>
      </c>
      <c r="G1477" s="2269">
        <f>G1474*2</f>
        <v>0</v>
      </c>
      <c r="H1477" s="2264">
        <v>45400</v>
      </c>
      <c r="I1477" s="2264"/>
      <c r="J1477" s="2264">
        <v>0</v>
      </c>
      <c r="K1477" s="2264">
        <v>0</v>
      </c>
      <c r="L1477" s="2264">
        <f t="shared" si="270"/>
        <v>0</v>
      </c>
      <c r="M1477" s="2264">
        <f>I1477*G1477</f>
        <v>0</v>
      </c>
      <c r="N1477" s="2264">
        <f>J1477*G1477</f>
        <v>0</v>
      </c>
      <c r="O1477" s="2264">
        <f t="shared" si="271"/>
        <v>0</v>
      </c>
      <c r="P1477" s="2265"/>
      <c r="Q1477" s="2266"/>
      <c r="R1477" s="2266"/>
      <c r="S1477" s="2266"/>
    </row>
    <row r="1478" spans="1:19" s="2105" customFormat="1" outlineLevel="1">
      <c r="A1478" s="2182" t="str">
        <f t="shared" si="269"/>
        <v/>
      </c>
      <c r="B1478" s="2133" t="s">
        <v>276</v>
      </c>
      <c r="C1478" s="2268"/>
      <c r="D1478" s="2152">
        <v>0</v>
      </c>
      <c r="E1478" s="2194" t="s">
        <v>6355</v>
      </c>
      <c r="F1478" s="2152" t="s">
        <v>2439</v>
      </c>
      <c r="G1478" s="2270">
        <f>G1474*1.21</f>
        <v>0</v>
      </c>
      <c r="H1478" s="2264">
        <v>49000</v>
      </c>
      <c r="I1478" s="2264"/>
      <c r="J1478" s="2264">
        <v>0</v>
      </c>
      <c r="K1478" s="2264">
        <v>0</v>
      </c>
      <c r="L1478" s="2264">
        <f t="shared" si="270"/>
        <v>0</v>
      </c>
      <c r="M1478" s="2264"/>
      <c r="N1478" s="2264">
        <f>J1478*G1478/1</f>
        <v>0</v>
      </c>
      <c r="O1478" s="2264">
        <f t="shared" si="271"/>
        <v>0</v>
      </c>
      <c r="P1478" s="2265"/>
      <c r="Q1478" s="2266"/>
      <c r="R1478" s="2266"/>
      <c r="S1478" s="2266"/>
    </row>
    <row r="1479" spans="1:19" s="2105" customFormat="1" outlineLevel="1">
      <c r="A1479" s="2182" t="str">
        <f t="shared" si="269"/>
        <v/>
      </c>
      <c r="B1479" s="2133" t="s">
        <v>86</v>
      </c>
      <c r="C1479" s="2268"/>
      <c r="D1479" s="2152">
        <v>0</v>
      </c>
      <c r="E1479" s="2194" t="s">
        <v>5797</v>
      </c>
      <c r="F1479" s="2152" t="s">
        <v>2555</v>
      </c>
      <c r="G1479" s="2269">
        <f>G1474*3</f>
        <v>0</v>
      </c>
      <c r="H1479" s="2264">
        <v>45400</v>
      </c>
      <c r="I1479" s="2264"/>
      <c r="J1479" s="2264">
        <v>0</v>
      </c>
      <c r="K1479" s="2264">
        <v>0</v>
      </c>
      <c r="L1479" s="2264">
        <f t="shared" si="270"/>
        <v>0</v>
      </c>
      <c r="M1479" s="2264"/>
      <c r="N1479" s="2264">
        <f>J1479*G1479</f>
        <v>0</v>
      </c>
      <c r="O1479" s="2264">
        <f t="shared" si="271"/>
        <v>0</v>
      </c>
      <c r="P1479" s="2265"/>
      <c r="Q1479" s="2266"/>
      <c r="R1479" s="2266"/>
      <c r="S1479" s="2266"/>
    </row>
    <row r="1480" spans="1:19" s="2105" customFormat="1" outlineLevel="1">
      <c r="A1480" s="2182" t="str">
        <f t="shared" si="269"/>
        <v/>
      </c>
      <c r="B1480" s="2133" t="s">
        <v>138</v>
      </c>
      <c r="C1480" s="2268"/>
      <c r="D1480" s="2152">
        <v>0</v>
      </c>
      <c r="E1480" s="2194" t="s">
        <v>2627</v>
      </c>
      <c r="F1480" s="2152" t="s">
        <v>2439</v>
      </c>
      <c r="G1480" s="2269">
        <f>G1474*2*0</f>
        <v>0</v>
      </c>
      <c r="H1480" s="2264">
        <v>8500</v>
      </c>
      <c r="I1480" s="2264"/>
      <c r="J1480" s="2264">
        <v>0</v>
      </c>
      <c r="K1480" s="2264">
        <v>0</v>
      </c>
      <c r="L1480" s="2264">
        <f t="shared" si="270"/>
        <v>0</v>
      </c>
      <c r="M1480" s="2264"/>
      <c r="N1480" s="2264">
        <f>J1480*G1480</f>
        <v>0</v>
      </c>
      <c r="O1480" s="2264">
        <f t="shared" si="271"/>
        <v>0</v>
      </c>
      <c r="P1480" s="2265"/>
      <c r="Q1480" s="2266"/>
      <c r="R1480" s="2266"/>
      <c r="S1480" s="2266"/>
    </row>
    <row r="1481" spans="1:19" s="2105" customFormat="1" outlineLevel="1">
      <c r="A1481" s="2182" t="str">
        <f t="shared" si="269"/>
        <v/>
      </c>
      <c r="B1481" s="2133" t="s">
        <v>1985</v>
      </c>
      <c r="C1481" s="2268"/>
      <c r="D1481" s="2152">
        <v>0</v>
      </c>
      <c r="E1481" s="2194" t="s">
        <v>2629</v>
      </c>
      <c r="F1481" s="2152" t="s">
        <v>2439</v>
      </c>
      <c r="G1481" s="2269">
        <f>G1480*0</f>
        <v>0</v>
      </c>
      <c r="H1481" s="2264">
        <v>9000</v>
      </c>
      <c r="I1481" s="2264"/>
      <c r="J1481" s="2264">
        <v>0</v>
      </c>
      <c r="K1481" s="2264">
        <v>0</v>
      </c>
      <c r="L1481" s="2264">
        <f t="shared" si="270"/>
        <v>0</v>
      </c>
      <c r="M1481" s="2264"/>
      <c r="N1481" s="2264">
        <f>J1481*G1481</f>
        <v>0</v>
      </c>
      <c r="O1481" s="2264">
        <f t="shared" si="271"/>
        <v>0</v>
      </c>
      <c r="P1481" s="2265"/>
      <c r="Q1481" s="2266"/>
      <c r="R1481" s="2266"/>
      <c r="S1481" s="2266"/>
    </row>
    <row r="1482" spans="1:19" s="2105" customFormat="1" outlineLevel="1">
      <c r="A1482" s="2182" t="str">
        <f t="shared" si="269"/>
        <v/>
      </c>
      <c r="B1482" s="2261" t="s">
        <v>931</v>
      </c>
      <c r="C1482" s="2268"/>
      <c r="D1482" s="2152">
        <v>0</v>
      </c>
      <c r="E1482" s="2194" t="s">
        <v>3574</v>
      </c>
      <c r="F1482" s="2152" t="s">
        <v>2555</v>
      </c>
      <c r="G1482" s="2269">
        <f>G1474*2</f>
        <v>0</v>
      </c>
      <c r="H1482" s="2264">
        <v>25800</v>
      </c>
      <c r="I1482" s="2264"/>
      <c r="J1482" s="2264">
        <v>0</v>
      </c>
      <c r="K1482" s="2264">
        <v>0</v>
      </c>
      <c r="L1482" s="2264">
        <f t="shared" si="270"/>
        <v>0</v>
      </c>
      <c r="M1482" s="2264">
        <f>I1482*G1482</f>
        <v>0</v>
      </c>
      <c r="N1482" s="2264">
        <f>J1482*G1482</f>
        <v>0</v>
      </c>
      <c r="O1482" s="2264">
        <f t="shared" si="271"/>
        <v>0</v>
      </c>
      <c r="P1482" s="2265"/>
      <c r="Q1482" s="2266"/>
      <c r="R1482" s="2266"/>
      <c r="S1482" s="2266"/>
    </row>
    <row r="1483" spans="1:19" s="2105" customFormat="1" outlineLevel="1">
      <c r="A1483" s="2182" t="str">
        <f t="shared" si="269"/>
        <v/>
      </c>
      <c r="B1483" s="2261" t="s">
        <v>930</v>
      </c>
      <c r="C1483" s="2268"/>
      <c r="D1483" s="2152">
        <v>0</v>
      </c>
      <c r="E1483" s="2194" t="s">
        <v>3578</v>
      </c>
      <c r="F1483" s="2152" t="s">
        <v>2555</v>
      </c>
      <c r="G1483" s="2269">
        <f>G1482</f>
        <v>0</v>
      </c>
      <c r="H1483" s="2264">
        <v>21500</v>
      </c>
      <c r="I1483" s="2264"/>
      <c r="J1483" s="2264">
        <v>0</v>
      </c>
      <c r="K1483" s="2264">
        <v>0</v>
      </c>
      <c r="L1483" s="2264">
        <f t="shared" si="270"/>
        <v>0</v>
      </c>
      <c r="M1483" s="2264">
        <f>I1483*G1483</f>
        <v>0</v>
      </c>
      <c r="N1483" s="2264">
        <f>J1483*G1483</f>
        <v>0</v>
      </c>
      <c r="O1483" s="2264">
        <f t="shared" si="271"/>
        <v>0</v>
      </c>
      <c r="P1483" s="2265"/>
      <c r="Q1483" s="2266"/>
      <c r="R1483" s="2266"/>
      <c r="S1483" s="2266"/>
    </row>
    <row r="1484" spans="1:19" s="2105" customFormat="1" outlineLevel="1">
      <c r="A1484" s="2182" t="str">
        <f t="shared" si="269"/>
        <v/>
      </c>
      <c r="B1484" s="2252"/>
      <c r="C1484" s="2258">
        <f>IF(G1484&gt;0,C1474+1,C1474)</f>
        <v>0</v>
      </c>
      <c r="D1484" s="2259"/>
      <c r="E1484" s="2260" t="s">
        <v>3728</v>
      </c>
      <c r="F1484" s="2258" t="s">
        <v>2385</v>
      </c>
      <c r="G1484" s="2450">
        <f>G1449</f>
        <v>0</v>
      </c>
      <c r="H1484" s="2264"/>
      <c r="I1484" s="2264"/>
      <c r="J1484" s="2264"/>
      <c r="K1484" s="2264"/>
      <c r="L1484" s="2264"/>
      <c r="M1484" s="2264"/>
      <c r="N1484" s="2264"/>
      <c r="O1484" s="2264"/>
      <c r="P1484" s="2441"/>
      <c r="Q1484" s="2266"/>
      <c r="R1484" s="2266"/>
      <c r="S1484" s="2266"/>
    </row>
    <row r="1485" spans="1:19" s="2105" customFormat="1" ht="14.4" outlineLevel="1">
      <c r="A1485" s="2182" t="str">
        <f>A1484</f>
        <v/>
      </c>
      <c r="B1485" s="2252"/>
      <c r="C1485" s="2258"/>
      <c r="D1485" s="2259"/>
      <c r="E1485" s="2274" t="s">
        <v>6133</v>
      </c>
      <c r="F1485" s="2258"/>
      <c r="G1485" s="2450"/>
      <c r="H1485" s="2264"/>
      <c r="I1485" s="2264"/>
      <c r="J1485" s="2264"/>
      <c r="K1485" s="2264"/>
      <c r="L1485" s="2264"/>
      <c r="M1485" s="2264"/>
      <c r="N1485" s="2264"/>
      <c r="O1485" s="2264"/>
      <c r="P1485" s="2441"/>
      <c r="Q1485" s="2266"/>
      <c r="R1485" s="2266"/>
      <c r="S1485" s="2266"/>
    </row>
    <row r="1486" spans="1:19" s="2105" customFormat="1" outlineLevel="1">
      <c r="A1486" s="2182" t="str">
        <f t="shared" ref="A1486:A1504" si="272">IF(G1486&lt;&gt;0,1,"")</f>
        <v/>
      </c>
      <c r="B1486" s="2261" t="s">
        <v>32</v>
      </c>
      <c r="C1486" s="2268"/>
      <c r="D1486" s="2152">
        <v>0</v>
      </c>
      <c r="E1486" s="2194" t="s">
        <v>2795</v>
      </c>
      <c r="F1486" s="2152" t="s">
        <v>2532</v>
      </c>
      <c r="G1486" s="2450">
        <f>+G1484*7</f>
        <v>0</v>
      </c>
      <c r="H1486" s="2264">
        <v>236300</v>
      </c>
      <c r="I1486" s="2264"/>
      <c r="J1486" s="2264">
        <v>0</v>
      </c>
      <c r="K1486" s="2264">
        <v>0</v>
      </c>
      <c r="L1486" s="2264">
        <f t="shared" ref="L1486:L1503" si="273">H1486*G1486</f>
        <v>0</v>
      </c>
      <c r="M1486" s="2264">
        <f t="shared" ref="M1486:M1503" si="274">I1486*G1486</f>
        <v>0</v>
      </c>
      <c r="N1486" s="2264">
        <f t="shared" ref="N1486:N1503" si="275">J1486*G1486</f>
        <v>0</v>
      </c>
      <c r="O1486" s="2264">
        <f t="shared" ref="O1486:O1503" si="276">K1486*G1486</f>
        <v>0</v>
      </c>
      <c r="P1486" s="2441"/>
      <c r="Q1486" s="2266"/>
      <c r="R1486" s="2266"/>
      <c r="S1486" s="2266"/>
    </row>
    <row r="1487" spans="1:19" s="2105" customFormat="1" outlineLevel="1">
      <c r="A1487" s="2182" t="str">
        <f t="shared" si="272"/>
        <v/>
      </c>
      <c r="B1487" s="2261" t="s">
        <v>1571</v>
      </c>
      <c r="C1487" s="2268"/>
      <c r="D1487" s="2152">
        <v>0</v>
      </c>
      <c r="E1487" s="2194" t="s">
        <v>2799</v>
      </c>
      <c r="F1487" s="2152" t="s">
        <v>2532</v>
      </c>
      <c r="G1487" s="2378">
        <f>+G1484*7*3</f>
        <v>0</v>
      </c>
      <c r="H1487" s="2264">
        <v>567100</v>
      </c>
      <c r="I1487" s="2264"/>
      <c r="J1487" s="2264">
        <v>0</v>
      </c>
      <c r="K1487" s="2264">
        <v>0</v>
      </c>
      <c r="L1487" s="2264">
        <f t="shared" si="273"/>
        <v>0</v>
      </c>
      <c r="M1487" s="2264">
        <f t="shared" si="274"/>
        <v>0</v>
      </c>
      <c r="N1487" s="2264">
        <f t="shared" si="275"/>
        <v>0</v>
      </c>
      <c r="O1487" s="2264">
        <f t="shared" si="276"/>
        <v>0</v>
      </c>
      <c r="P1487" s="2389"/>
      <c r="Q1487" s="2266"/>
      <c r="R1487" s="2266"/>
      <c r="S1487" s="2266"/>
    </row>
    <row r="1488" spans="1:19" s="2105" customFormat="1" outlineLevel="1">
      <c r="A1488" s="2182" t="str">
        <f>IF(G1488&lt;&gt;0,1,"")</f>
        <v/>
      </c>
      <c r="B1488" s="2261" t="s">
        <v>2276</v>
      </c>
      <c r="C1488" s="2268"/>
      <c r="D1488" s="2152">
        <v>0</v>
      </c>
      <c r="E1488" s="2194" t="s">
        <v>2786</v>
      </c>
      <c r="F1488" s="2152" t="s">
        <v>2532</v>
      </c>
      <c r="G1488" s="2450">
        <f>+G1484*10/2</f>
        <v>0</v>
      </c>
      <c r="H1488" s="2264">
        <v>63200</v>
      </c>
      <c r="I1488" s="2264"/>
      <c r="J1488" s="2264">
        <v>0</v>
      </c>
      <c r="K1488" s="2264">
        <v>0</v>
      </c>
      <c r="L1488" s="2264">
        <f>H1488*G1488</f>
        <v>0</v>
      </c>
      <c r="M1488" s="2264">
        <f>I1488*G1488</f>
        <v>0</v>
      </c>
      <c r="N1488" s="2264">
        <f>J1488*G1488</f>
        <v>0</v>
      </c>
      <c r="O1488" s="2264">
        <f>K1488*G1488</f>
        <v>0</v>
      </c>
      <c r="P1488" s="2449"/>
      <c r="Q1488" s="2266"/>
      <c r="R1488" s="2266"/>
      <c r="S1488" s="2266"/>
    </row>
    <row r="1489" spans="1:19" s="2105" customFormat="1" outlineLevel="1">
      <c r="A1489" s="2182" t="str">
        <f t="shared" si="272"/>
        <v/>
      </c>
      <c r="B1489" s="2261" t="s">
        <v>2156</v>
      </c>
      <c r="C1489" s="2268"/>
      <c r="D1489" s="2152" t="s">
        <v>5731</v>
      </c>
      <c r="E1489" s="2194" t="s">
        <v>3486</v>
      </c>
      <c r="F1489" s="2152" t="s">
        <v>2555</v>
      </c>
      <c r="G1489" s="2378">
        <f>G1484*3</f>
        <v>0</v>
      </c>
      <c r="H1489" s="2264">
        <v>70000</v>
      </c>
      <c r="I1489" s="2264"/>
      <c r="J1489" s="2264">
        <v>50013.645000000004</v>
      </c>
      <c r="K1489" s="2264">
        <v>5554.0464950000005</v>
      </c>
      <c r="L1489" s="2264">
        <f t="shared" si="273"/>
        <v>0</v>
      </c>
      <c r="M1489" s="2264">
        <f t="shared" si="274"/>
        <v>0</v>
      </c>
      <c r="N1489" s="2264">
        <f t="shared" si="275"/>
        <v>0</v>
      </c>
      <c r="O1489" s="2264">
        <f t="shared" si="276"/>
        <v>0</v>
      </c>
      <c r="P1489" s="2389"/>
      <c r="Q1489" s="2266"/>
      <c r="R1489" s="2266"/>
      <c r="S1489" s="2266"/>
    </row>
    <row r="1490" spans="1:19" s="2105" customFormat="1" outlineLevel="1">
      <c r="A1490" s="2182" t="str">
        <f t="shared" si="272"/>
        <v/>
      </c>
      <c r="B1490" s="2261" t="s">
        <v>1305</v>
      </c>
      <c r="C1490" s="2268"/>
      <c r="D1490" s="2152" t="s">
        <v>5728</v>
      </c>
      <c r="E1490" s="2194" t="s">
        <v>3482</v>
      </c>
      <c r="F1490" s="2152" t="s">
        <v>2555</v>
      </c>
      <c r="G1490" s="2450">
        <f>G1484*1</f>
        <v>0</v>
      </c>
      <c r="H1490" s="2264">
        <v>27000</v>
      </c>
      <c r="I1490" s="2264"/>
      <c r="J1490" s="2264">
        <v>27280.17</v>
      </c>
      <c r="K1490" s="2264">
        <v>3887.8325465000003</v>
      </c>
      <c r="L1490" s="2264">
        <f t="shared" si="273"/>
        <v>0</v>
      </c>
      <c r="M1490" s="2264">
        <f t="shared" si="274"/>
        <v>0</v>
      </c>
      <c r="N1490" s="2264">
        <f t="shared" si="275"/>
        <v>0</v>
      </c>
      <c r="O1490" s="2264">
        <f t="shared" si="276"/>
        <v>0</v>
      </c>
      <c r="P1490" s="2441"/>
      <c r="Q1490" s="2266"/>
      <c r="R1490" s="2266"/>
      <c r="S1490" s="2266"/>
    </row>
    <row r="1491" spans="1:19" s="2105" customFormat="1" outlineLevel="1">
      <c r="A1491" s="2182" t="str">
        <f t="shared" si="272"/>
        <v/>
      </c>
      <c r="B1491" s="2261" t="s">
        <v>90</v>
      </c>
      <c r="C1491" s="2268"/>
      <c r="D1491" s="2152">
        <v>0</v>
      </c>
      <c r="E1491" s="2194" t="s">
        <v>3500</v>
      </c>
      <c r="F1491" s="2152" t="s">
        <v>2555</v>
      </c>
      <c r="G1491" s="2378">
        <f>G1489</f>
        <v>0</v>
      </c>
      <c r="H1491" s="2264">
        <v>6000</v>
      </c>
      <c r="I1491" s="2264"/>
      <c r="J1491" s="2264">
        <v>0</v>
      </c>
      <c r="K1491" s="2264">
        <v>0</v>
      </c>
      <c r="L1491" s="2264">
        <f t="shared" si="273"/>
        <v>0</v>
      </c>
      <c r="M1491" s="2264">
        <f t="shared" si="274"/>
        <v>0</v>
      </c>
      <c r="N1491" s="2264">
        <f t="shared" si="275"/>
        <v>0</v>
      </c>
      <c r="O1491" s="2264">
        <f t="shared" si="276"/>
        <v>0</v>
      </c>
      <c r="P1491" s="2389"/>
      <c r="Q1491" s="2266"/>
      <c r="R1491" s="2266"/>
      <c r="S1491" s="2266"/>
    </row>
    <row r="1492" spans="1:19" s="2105" customFormat="1" outlineLevel="1">
      <c r="A1492" s="2182" t="str">
        <f t="shared" si="272"/>
        <v/>
      </c>
      <c r="B1492" s="2261" t="s">
        <v>93</v>
      </c>
      <c r="C1492" s="2268"/>
      <c r="D1492" s="2152">
        <v>0</v>
      </c>
      <c r="E1492" s="2194" t="s">
        <v>3496</v>
      </c>
      <c r="F1492" s="2152" t="s">
        <v>2555</v>
      </c>
      <c r="G1492" s="2450">
        <f>G1490</f>
        <v>0</v>
      </c>
      <c r="H1492" s="2264">
        <v>4000</v>
      </c>
      <c r="I1492" s="2264"/>
      <c r="J1492" s="2264">
        <v>0</v>
      </c>
      <c r="K1492" s="2264">
        <v>0</v>
      </c>
      <c r="L1492" s="2264">
        <f t="shared" si="273"/>
        <v>0</v>
      </c>
      <c r="M1492" s="2264">
        <f t="shared" si="274"/>
        <v>0</v>
      </c>
      <c r="N1492" s="2264">
        <f t="shared" si="275"/>
        <v>0</v>
      </c>
      <c r="O1492" s="2264">
        <f t="shared" si="276"/>
        <v>0</v>
      </c>
      <c r="P1492" s="2441"/>
      <c r="Q1492" s="2266"/>
      <c r="R1492" s="2266"/>
      <c r="S1492" s="2266"/>
    </row>
    <row r="1493" spans="1:19" s="2105" customFormat="1" outlineLevel="1">
      <c r="A1493" s="2182" t="str">
        <f t="shared" si="272"/>
        <v/>
      </c>
      <c r="B1493" s="2261" t="s">
        <v>1042</v>
      </c>
      <c r="C1493" s="2268"/>
      <c r="D1493" s="2152">
        <v>0</v>
      </c>
      <c r="E1493" s="2194" t="s">
        <v>3531</v>
      </c>
      <c r="F1493" s="2152" t="s">
        <v>1823</v>
      </c>
      <c r="G1493" s="2450">
        <f>G1484*6</f>
        <v>0</v>
      </c>
      <c r="H1493" s="2264">
        <v>103700</v>
      </c>
      <c r="I1493" s="2264"/>
      <c r="J1493" s="2264">
        <v>0</v>
      </c>
      <c r="K1493" s="2264">
        <v>0</v>
      </c>
      <c r="L1493" s="2264">
        <f t="shared" si="273"/>
        <v>0</v>
      </c>
      <c r="M1493" s="2264">
        <f t="shared" si="274"/>
        <v>0</v>
      </c>
      <c r="N1493" s="2264">
        <f t="shared" si="275"/>
        <v>0</v>
      </c>
      <c r="O1493" s="2264">
        <f t="shared" si="276"/>
        <v>0</v>
      </c>
      <c r="P1493" s="2441"/>
      <c r="Q1493" s="2266"/>
      <c r="R1493" s="2266"/>
      <c r="S1493" s="2266"/>
    </row>
    <row r="1494" spans="1:19" s="2105" customFormat="1" outlineLevel="1">
      <c r="A1494" s="2182" t="str">
        <f>IF(G1494&lt;&gt;0,1,"")</f>
        <v/>
      </c>
      <c r="B1494" s="2261" t="s">
        <v>1346</v>
      </c>
      <c r="C1494" s="2268"/>
      <c r="D1494" s="2152">
        <v>0</v>
      </c>
      <c r="E1494" s="2194" t="s">
        <v>3549</v>
      </c>
      <c r="F1494" s="2152" t="s">
        <v>2555</v>
      </c>
      <c r="G1494" s="2450">
        <f>G1484*3</f>
        <v>0</v>
      </c>
      <c r="H1494" s="2264">
        <v>104800</v>
      </c>
      <c r="I1494" s="2264"/>
      <c r="J1494" s="2264">
        <v>0</v>
      </c>
      <c r="K1494" s="2264">
        <v>0</v>
      </c>
      <c r="L1494" s="2264">
        <f>H1494*G1494</f>
        <v>0</v>
      </c>
      <c r="M1494" s="2264"/>
      <c r="N1494" s="2264">
        <f>J1494*G1494</f>
        <v>0</v>
      </c>
      <c r="O1494" s="2264">
        <f>K1494*G1494</f>
        <v>0</v>
      </c>
      <c r="P1494" s="2441"/>
      <c r="Q1494" s="2266"/>
      <c r="R1494" s="2266"/>
      <c r="S1494" s="2266"/>
    </row>
    <row r="1495" spans="1:19" s="2105" customFormat="1" outlineLevel="1">
      <c r="A1495" s="2182" t="str">
        <f>IF(G1495&lt;&gt;0,1,"")</f>
        <v/>
      </c>
      <c r="B1495" s="2261" t="s">
        <v>4599</v>
      </c>
      <c r="C1495" s="2268"/>
      <c r="D1495" s="2152">
        <v>0</v>
      </c>
      <c r="E1495" s="2194" t="s">
        <v>5798</v>
      </c>
      <c r="F1495" s="2152" t="s">
        <v>2555</v>
      </c>
      <c r="G1495" s="2358"/>
      <c r="H1495" s="2264">
        <v>104800</v>
      </c>
      <c r="I1495" s="2264"/>
      <c r="J1495" s="2264">
        <v>0</v>
      </c>
      <c r="K1495" s="2264">
        <v>0</v>
      </c>
      <c r="L1495" s="2264">
        <f>H1495*G1495</f>
        <v>0</v>
      </c>
      <c r="M1495" s="2264"/>
      <c r="N1495" s="2264">
        <f>J1495*G1495</f>
        <v>0</v>
      </c>
      <c r="O1495" s="2264">
        <f>K1495*G1495</f>
        <v>0</v>
      </c>
      <c r="P1495" s="2441"/>
      <c r="Q1495" s="2266"/>
      <c r="R1495" s="2266"/>
      <c r="S1495" s="2266"/>
    </row>
    <row r="1496" spans="1:19" s="2105" customFormat="1" outlineLevel="1">
      <c r="A1496" s="2182" t="str">
        <f t="shared" si="272"/>
        <v/>
      </c>
      <c r="B1496" s="2252" t="s">
        <v>731</v>
      </c>
      <c r="C1496" s="2268"/>
      <c r="D1496" s="2152">
        <v>0</v>
      </c>
      <c r="E1496" s="2194" t="s">
        <v>5258</v>
      </c>
      <c r="F1496" s="2152" t="s">
        <v>2439</v>
      </c>
      <c r="G1496" s="2450">
        <f>+G1484*2</f>
        <v>0</v>
      </c>
      <c r="H1496" s="2264">
        <v>50000</v>
      </c>
      <c r="I1496" s="2264"/>
      <c r="J1496" s="2264">
        <v>0</v>
      </c>
      <c r="K1496" s="2264">
        <v>0</v>
      </c>
      <c r="L1496" s="2264">
        <f t="shared" si="273"/>
        <v>0</v>
      </c>
      <c r="M1496" s="2264">
        <f t="shared" si="274"/>
        <v>0</v>
      </c>
      <c r="N1496" s="2264">
        <f t="shared" si="275"/>
        <v>0</v>
      </c>
      <c r="O1496" s="2264">
        <f t="shared" si="276"/>
        <v>0</v>
      </c>
      <c r="P1496" s="2441"/>
      <c r="Q1496" s="2422">
        <f>28000/1.259</f>
        <v>22239.872915011914</v>
      </c>
      <c r="R1496" s="2266"/>
      <c r="S1496" s="2266"/>
    </row>
    <row r="1497" spans="1:19" s="2105" customFormat="1" outlineLevel="1">
      <c r="A1497" s="2182" t="str">
        <f t="shared" si="272"/>
        <v/>
      </c>
      <c r="B1497" s="2261" t="s">
        <v>2167</v>
      </c>
      <c r="C1497" s="2268"/>
      <c r="D1497" s="2152">
        <v>0</v>
      </c>
      <c r="E1497" s="2194" t="s">
        <v>3575</v>
      </c>
      <c r="F1497" s="2152" t="s">
        <v>2555</v>
      </c>
      <c r="G1497" s="2450">
        <f>G1484</f>
        <v>0</v>
      </c>
      <c r="H1497" s="2264">
        <v>41900</v>
      </c>
      <c r="I1497" s="2264"/>
      <c r="J1497" s="2264">
        <v>0</v>
      </c>
      <c r="K1497" s="2264">
        <v>0</v>
      </c>
      <c r="L1497" s="2264">
        <f t="shared" si="273"/>
        <v>0</v>
      </c>
      <c r="M1497" s="2264">
        <f t="shared" si="274"/>
        <v>0</v>
      </c>
      <c r="N1497" s="2264">
        <f t="shared" si="275"/>
        <v>0</v>
      </c>
      <c r="O1497" s="2264">
        <f t="shared" si="276"/>
        <v>0</v>
      </c>
      <c r="P1497" s="2441"/>
      <c r="Q1497" s="2266"/>
      <c r="R1497" s="2266"/>
      <c r="S1497" s="2266"/>
    </row>
    <row r="1498" spans="1:19" s="2105" customFormat="1" outlineLevel="1">
      <c r="A1498" s="2182" t="str">
        <f t="shared" si="272"/>
        <v/>
      </c>
      <c r="B1498" s="2261" t="s">
        <v>2168</v>
      </c>
      <c r="C1498" s="2268"/>
      <c r="D1498" s="2152">
        <v>0</v>
      </c>
      <c r="E1498" s="2194" t="s">
        <v>3579</v>
      </c>
      <c r="F1498" s="2152" t="s">
        <v>2555</v>
      </c>
      <c r="G1498" s="2450">
        <f>G1484</f>
        <v>0</v>
      </c>
      <c r="H1498" s="2264">
        <v>41900</v>
      </c>
      <c r="I1498" s="2264"/>
      <c r="J1498" s="2264">
        <v>0</v>
      </c>
      <c r="K1498" s="2264">
        <v>0</v>
      </c>
      <c r="L1498" s="2264">
        <f t="shared" si="273"/>
        <v>0</v>
      </c>
      <c r="M1498" s="2264">
        <f t="shared" si="274"/>
        <v>0</v>
      </c>
      <c r="N1498" s="2264">
        <f t="shared" si="275"/>
        <v>0</v>
      </c>
      <c r="O1498" s="2264">
        <f t="shared" si="276"/>
        <v>0</v>
      </c>
      <c r="P1498" s="2441"/>
      <c r="Q1498" s="2266"/>
      <c r="R1498" s="2266"/>
      <c r="S1498" s="2266"/>
    </row>
    <row r="1499" spans="1:19" s="2105" customFormat="1" outlineLevel="1">
      <c r="A1499" s="2182" t="str">
        <f>IF(G1499&lt;&gt;0,1,"")</f>
        <v/>
      </c>
      <c r="B1499" s="2121" t="s">
        <v>1740</v>
      </c>
      <c r="C1499" s="2268"/>
      <c r="D1499" s="2152">
        <v>0</v>
      </c>
      <c r="E1499" s="2194" t="s">
        <v>5795</v>
      </c>
      <c r="F1499" s="2152" t="s">
        <v>1823</v>
      </c>
      <c r="G1499" s="2450">
        <f>G1484*1.2</f>
        <v>0</v>
      </c>
      <c r="H1499" s="2264">
        <v>58700</v>
      </c>
      <c r="I1499" s="2264"/>
      <c r="J1499" s="2264">
        <v>0</v>
      </c>
      <c r="K1499" s="2264">
        <v>0</v>
      </c>
      <c r="L1499" s="2264">
        <f>H1499*G1499</f>
        <v>0</v>
      </c>
      <c r="M1499" s="2264">
        <f>I1499*G1499</f>
        <v>0</v>
      </c>
      <c r="N1499" s="2264">
        <f>J1499*G1499</f>
        <v>0</v>
      </c>
      <c r="O1499" s="2264">
        <f>K1499*G1499</f>
        <v>0</v>
      </c>
      <c r="P1499" s="2441"/>
      <c r="Q1499" s="2266"/>
      <c r="R1499" s="2266"/>
      <c r="S1499" s="2266"/>
    </row>
    <row r="1500" spans="1:19" s="2105" customFormat="1" outlineLevel="1">
      <c r="A1500" s="2182" t="str">
        <f t="shared" si="272"/>
        <v/>
      </c>
      <c r="B1500" s="2261" t="s">
        <v>2074</v>
      </c>
      <c r="C1500" s="2268"/>
      <c r="D1500" s="2152">
        <v>0</v>
      </c>
      <c r="E1500" s="2194" t="s">
        <v>3570</v>
      </c>
      <c r="F1500" s="2152" t="s">
        <v>3571</v>
      </c>
      <c r="G1500" s="2450">
        <f>G1484</f>
        <v>0</v>
      </c>
      <c r="H1500" s="2264">
        <v>11500</v>
      </c>
      <c r="I1500" s="2264"/>
      <c r="J1500" s="2264">
        <v>0</v>
      </c>
      <c r="K1500" s="2264">
        <v>0</v>
      </c>
      <c r="L1500" s="2264">
        <f t="shared" si="273"/>
        <v>0</v>
      </c>
      <c r="M1500" s="2264">
        <f t="shared" si="274"/>
        <v>0</v>
      </c>
      <c r="N1500" s="2264">
        <f t="shared" si="275"/>
        <v>0</v>
      </c>
      <c r="O1500" s="2264">
        <f t="shared" si="276"/>
        <v>0</v>
      </c>
      <c r="P1500" s="2441"/>
      <c r="Q1500" s="2266"/>
      <c r="R1500" s="2266"/>
      <c r="S1500" s="2266"/>
    </row>
    <row r="1501" spans="1:19" s="2105" customFormat="1" outlineLevel="1">
      <c r="A1501" s="2182" t="str">
        <f t="shared" si="272"/>
        <v/>
      </c>
      <c r="B1501" s="2252" t="s">
        <v>6</v>
      </c>
      <c r="C1501" s="2268"/>
      <c r="D1501" s="2152"/>
      <c r="E1501" s="2194" t="s">
        <v>3567</v>
      </c>
      <c r="F1501" s="2152" t="s">
        <v>5806</v>
      </c>
      <c r="G1501" s="2450">
        <f>G1484</f>
        <v>0</v>
      </c>
      <c r="H1501" s="2264">
        <v>45000</v>
      </c>
      <c r="I1501" s="2264"/>
      <c r="J1501" s="2264"/>
      <c r="K1501" s="2264"/>
      <c r="L1501" s="2264">
        <f t="shared" si="273"/>
        <v>0</v>
      </c>
      <c r="M1501" s="2264">
        <f t="shared" si="274"/>
        <v>0</v>
      </c>
      <c r="N1501" s="2264">
        <f t="shared" si="275"/>
        <v>0</v>
      </c>
      <c r="O1501" s="2264">
        <f t="shared" si="276"/>
        <v>0</v>
      </c>
      <c r="P1501" s="2449"/>
      <c r="Q1501" s="2266"/>
      <c r="R1501" s="2266"/>
      <c r="S1501" s="2266"/>
    </row>
    <row r="1502" spans="1:19" s="2105" customFormat="1" outlineLevel="1">
      <c r="A1502" s="2182" t="str">
        <f t="shared" si="272"/>
        <v/>
      </c>
      <c r="B1502" s="2261" t="s">
        <v>1348</v>
      </c>
      <c r="C1502" s="2268"/>
      <c r="D1502" s="2152">
        <v>0</v>
      </c>
      <c r="E1502" s="2194" t="s">
        <v>3518</v>
      </c>
      <c r="F1502" s="2152" t="s">
        <v>3519</v>
      </c>
      <c r="G1502" s="2450">
        <f>+G1484</f>
        <v>0</v>
      </c>
      <c r="H1502" s="2264">
        <v>15000</v>
      </c>
      <c r="I1502" s="2264"/>
      <c r="J1502" s="2264">
        <v>0</v>
      </c>
      <c r="K1502" s="2264">
        <v>0</v>
      </c>
      <c r="L1502" s="2264">
        <f t="shared" si="273"/>
        <v>0</v>
      </c>
      <c r="M1502" s="2264">
        <f t="shared" si="274"/>
        <v>0</v>
      </c>
      <c r="N1502" s="2264">
        <f t="shared" si="275"/>
        <v>0</v>
      </c>
      <c r="O1502" s="2264">
        <f t="shared" si="276"/>
        <v>0</v>
      </c>
      <c r="P1502" s="2449"/>
      <c r="Q1502" s="2266"/>
      <c r="R1502" s="2266"/>
      <c r="S1502" s="2266"/>
    </row>
    <row r="1503" spans="1:19" s="2105" customFormat="1" outlineLevel="1">
      <c r="A1503" s="2182" t="str">
        <f t="shared" si="272"/>
        <v/>
      </c>
      <c r="B1503" s="2252" t="s">
        <v>672</v>
      </c>
      <c r="C1503" s="2268"/>
      <c r="D1503" s="2152">
        <v>0</v>
      </c>
      <c r="E1503" s="2194" t="s">
        <v>5801</v>
      </c>
      <c r="F1503" s="2152" t="s">
        <v>3566</v>
      </c>
      <c r="G1503" s="2450">
        <f>G1484*2</f>
        <v>0</v>
      </c>
      <c r="H1503" s="2264">
        <v>6500</v>
      </c>
      <c r="I1503" s="2264"/>
      <c r="J1503" s="2264">
        <v>0</v>
      </c>
      <c r="K1503" s="2264">
        <v>0</v>
      </c>
      <c r="L1503" s="2264">
        <f t="shared" si="273"/>
        <v>0</v>
      </c>
      <c r="M1503" s="2264">
        <f t="shared" si="274"/>
        <v>0</v>
      </c>
      <c r="N1503" s="2264">
        <f t="shared" si="275"/>
        <v>0</v>
      </c>
      <c r="O1503" s="2264">
        <f t="shared" si="276"/>
        <v>0</v>
      </c>
      <c r="P1503" s="2441"/>
      <c r="Q1503" s="2266"/>
      <c r="R1503" s="2266"/>
      <c r="S1503" s="2266"/>
    </row>
    <row r="1504" spans="1:19" s="2105" customFormat="1" outlineLevel="1">
      <c r="A1504" s="2182" t="str">
        <f t="shared" si="272"/>
        <v/>
      </c>
      <c r="B1504" s="2252" t="s">
        <v>247</v>
      </c>
      <c r="C1504" s="2268"/>
      <c r="D1504" s="2152" t="s">
        <v>5573</v>
      </c>
      <c r="E1504" s="2194" t="s">
        <v>5574</v>
      </c>
      <c r="F1504" s="2152" t="s">
        <v>1823</v>
      </c>
      <c r="G1504" s="2450">
        <f>G1486+G1487</f>
        <v>0</v>
      </c>
      <c r="H1504" s="2264">
        <v>0</v>
      </c>
      <c r="I1504" s="2264"/>
      <c r="J1504" s="2264">
        <v>47311</v>
      </c>
      <c r="K1504" s="2264">
        <v>0</v>
      </c>
      <c r="L1504" s="2264">
        <f>H1504*G1504</f>
        <v>0</v>
      </c>
      <c r="M1504" s="2264">
        <f>I1504*G1504</f>
        <v>0</v>
      </c>
      <c r="N1504" s="2264">
        <f>J1504*G1504</f>
        <v>0</v>
      </c>
      <c r="O1504" s="2264">
        <f>K1504*G1504</f>
        <v>0</v>
      </c>
      <c r="P1504" s="2441"/>
      <c r="Q1504" s="2266"/>
      <c r="R1504" s="2266"/>
      <c r="S1504" s="2266"/>
    </row>
    <row r="1505" spans="1:19" s="2105" customFormat="1" outlineLevel="1">
      <c r="A1505" s="2182">
        <f>A1354</f>
        <v>0</v>
      </c>
      <c r="B1505" s="2357"/>
      <c r="C1505" s="2423"/>
      <c r="D1505" s="2424"/>
      <c r="E1505" s="2399"/>
      <c r="F1505" s="2637"/>
      <c r="G1505" s="2638"/>
      <c r="H1505" s="2637"/>
      <c r="I1505" s="2637"/>
      <c r="J1505" s="2647" t="s">
        <v>6131</v>
      </c>
      <c r="K1505" s="2647"/>
      <c r="L1505" s="2425">
        <f>SUM(L1372:L1504)</f>
        <v>0</v>
      </c>
      <c r="M1505" s="2425">
        <f>SUM(M1372:M1504)</f>
        <v>0</v>
      </c>
      <c r="N1505" s="2425">
        <f>SUM(N1372:N1504)</f>
        <v>0</v>
      </c>
      <c r="O1505" s="2425">
        <f>SUM(O1372:O1504)</f>
        <v>0</v>
      </c>
      <c r="P1505" s="2446"/>
      <c r="Q1505" s="2266"/>
      <c r="R1505" s="2266"/>
      <c r="S1505" s="2266"/>
    </row>
    <row r="1506" spans="1:19" s="2105" customFormat="1" ht="13.95" customHeight="1">
      <c r="A1506" s="2386">
        <f>IF(G1511&gt;0,1,)</f>
        <v>0</v>
      </c>
      <c r="B1506" s="2252"/>
      <c r="C1506" s="2266"/>
      <c r="D1506" s="2266"/>
      <c r="E1506" s="2436"/>
      <c r="F1506" s="2266"/>
      <c r="G1506" s="2437"/>
      <c r="H1506" s="2266"/>
      <c r="I1506" s="2266"/>
      <c r="J1506" s="2266"/>
      <c r="K1506" s="2266"/>
      <c r="L1506" s="2266"/>
      <c r="M1506" s="2266"/>
      <c r="N1506" s="2266"/>
      <c r="O1506" s="2266"/>
      <c r="P1506" s="2266"/>
      <c r="Q1506" s="2266"/>
      <c r="R1506" s="2266"/>
      <c r="S1506" s="2266"/>
    </row>
    <row r="1507" spans="1:19" s="2105" customFormat="1" outlineLevel="1">
      <c r="A1507" s="2182">
        <f>A1506</f>
        <v>0</v>
      </c>
      <c r="B1507" s="2387"/>
      <c r="C1507" s="2624" t="str">
        <f>"BẢNG TỔNG HỢP VẬT LIỆU, NHÂN CÔNG, MÁY THI CÔNG: "&amp;K12&amp;" TRẠM 3P_320KVA "</f>
        <v xml:space="preserve">BẢNG TỔNG HỢP VẬT LIỆU, NHÂN CÔNG, MÁY THI CÔNG: 0 TRẠM 3P_320KVA </v>
      </c>
      <c r="D1507" s="2639"/>
      <c r="E1507" s="2639"/>
      <c r="F1507" s="2639"/>
      <c r="G1507" s="2639"/>
      <c r="H1507" s="2640"/>
      <c r="I1507" s="2528"/>
      <c r="J1507" s="2640"/>
      <c r="K1507" s="2640"/>
      <c r="L1507" s="2640"/>
      <c r="M1507" s="2528"/>
      <c r="N1507" s="2640"/>
      <c r="O1507" s="2640"/>
      <c r="P1507" s="2642"/>
      <c r="Q1507" s="2266"/>
      <c r="R1507" s="2266"/>
      <c r="S1507" s="2266"/>
    </row>
    <row r="1508" spans="1:19" s="2105" customFormat="1" outlineLevel="1">
      <c r="A1508" s="2182">
        <f>A1506</f>
        <v>0</v>
      </c>
      <c r="B1508" s="2261" t="s">
        <v>6112</v>
      </c>
      <c r="C1508" s="2648" t="s">
        <v>1708</v>
      </c>
      <c r="D1508" s="2649" t="s">
        <v>2597</v>
      </c>
      <c r="E1508" s="2651" t="s">
        <v>2598</v>
      </c>
      <c r="F1508" s="2648" t="s">
        <v>2593</v>
      </c>
      <c r="G1508" s="2109" t="s">
        <v>6113</v>
      </c>
      <c r="H1508" s="2112" t="s">
        <v>6114</v>
      </c>
      <c r="I1508" s="2619"/>
      <c r="J1508" s="2619"/>
      <c r="K1508" s="2620"/>
      <c r="L1508" s="2112" t="s">
        <v>6115</v>
      </c>
      <c r="M1508" s="2619"/>
      <c r="N1508" s="2619"/>
      <c r="O1508" s="2620"/>
      <c r="P1508" s="2648" t="s">
        <v>2599</v>
      </c>
      <c r="Q1508" s="2266"/>
      <c r="R1508" s="2266"/>
      <c r="S1508" s="2266"/>
    </row>
    <row r="1509" spans="1:19" s="2105" customFormat="1" outlineLevel="1">
      <c r="A1509" s="2182">
        <f>A1508</f>
        <v>0</v>
      </c>
      <c r="B1509" s="2261"/>
      <c r="C1509" s="2648"/>
      <c r="D1509" s="2650"/>
      <c r="E1509" s="2652"/>
      <c r="F1509" s="2648"/>
      <c r="G1509" s="2111" t="s">
        <v>2286</v>
      </c>
      <c r="H1509" s="2112" t="s">
        <v>6116</v>
      </c>
      <c r="I1509" s="2112" t="s">
        <v>6117</v>
      </c>
      <c r="J1509" s="2112" t="s">
        <v>6118</v>
      </c>
      <c r="K1509" s="2112" t="s">
        <v>6119</v>
      </c>
      <c r="L1509" s="2112" t="s">
        <v>6116</v>
      </c>
      <c r="M1509" s="2112" t="s">
        <v>6117</v>
      </c>
      <c r="N1509" s="2112" t="s">
        <v>6118</v>
      </c>
      <c r="O1509" s="2112" t="s">
        <v>6119</v>
      </c>
      <c r="P1509" s="2648"/>
      <c r="Q1509" s="2266"/>
      <c r="R1509" s="2266"/>
      <c r="S1509" s="2266"/>
    </row>
    <row r="1510" spans="1:19" s="2105" customFormat="1" outlineLevel="1">
      <c r="A1510" s="2182">
        <f>A1509</f>
        <v>0</v>
      </c>
      <c r="B1510" s="2261"/>
      <c r="C1510" s="2113"/>
      <c r="D1510" s="2114"/>
      <c r="E1510" s="2115" t="s">
        <v>3672</v>
      </c>
      <c r="F1510" s="2116"/>
      <c r="G1510" s="2116"/>
      <c r="H1510" s="2116"/>
      <c r="I1510" s="2116"/>
      <c r="J1510" s="2116"/>
      <c r="K1510" s="2116"/>
      <c r="L1510" s="2116"/>
      <c r="M1510" s="2116"/>
      <c r="N1510" s="2116"/>
      <c r="O1510" s="2114"/>
      <c r="P1510" s="2117"/>
      <c r="Q1510" s="2266"/>
      <c r="R1510" s="2266"/>
      <c r="S1510" s="2266"/>
    </row>
    <row r="1511" spans="1:19" s="2105" customFormat="1" outlineLevel="1">
      <c r="A1511" s="2182" t="str">
        <f t="shared" ref="A1511:A1518" si="277">IF(G1511&lt;&gt;0,1,"")</f>
        <v/>
      </c>
      <c r="B1511" s="2252" t="str">
        <f>IF($F$8=15,"tr320","tr3201")</f>
        <v>tr3201</v>
      </c>
      <c r="C1511" s="2268">
        <f>IF(G1511&gt;0,1,0)</f>
        <v>0</v>
      </c>
      <c r="D1511" s="2152" t="s">
        <v>5591</v>
      </c>
      <c r="E1511" s="2194" t="s">
        <v>3330</v>
      </c>
      <c r="F1511" s="2152" t="s">
        <v>3300</v>
      </c>
      <c r="G1511" s="2268">
        <f>$K$12</f>
        <v>0</v>
      </c>
      <c r="H1511" s="2359">
        <v>202869000</v>
      </c>
      <c r="I1511" s="2359"/>
      <c r="J1511" s="2359">
        <v>1392163</v>
      </c>
      <c r="K1511" s="2359">
        <v>361106</v>
      </c>
      <c r="L1511" s="2360">
        <f t="shared" ref="L1511:L1518" si="278">H1511*G1511</f>
        <v>0</v>
      </c>
      <c r="M1511" s="2360">
        <f t="shared" ref="M1511:M1518" si="279">I1511*G1511</f>
        <v>0</v>
      </c>
      <c r="N1511" s="2360">
        <f t="shared" ref="N1511:N1518" si="280">J1511*G1511</f>
        <v>0</v>
      </c>
      <c r="O1511" s="2361">
        <f t="shared" ref="O1511:O1518" si="281">K1511*G1511</f>
        <v>0</v>
      </c>
      <c r="P1511" s="2388"/>
      <c r="Q1511" s="2266"/>
      <c r="R1511" s="2266"/>
      <c r="S1511" s="2266"/>
    </row>
    <row r="1512" spans="1:19" s="2105" customFormat="1" outlineLevel="1">
      <c r="A1512" s="2182" t="str">
        <f t="shared" si="277"/>
        <v/>
      </c>
      <c r="B1512" s="2118" t="str">
        <f>"FCO100-"&amp;$F$8</f>
        <v>FCO100-22</v>
      </c>
      <c r="C1512" s="2268">
        <f t="shared" ref="C1512:C1518" si="282">IF(G1512&gt;0,C1511+1,C1511)</f>
        <v>0</v>
      </c>
      <c r="D1512" s="2152" t="s">
        <v>5598</v>
      </c>
      <c r="E1512" s="2194" t="s">
        <v>95</v>
      </c>
      <c r="F1512" s="2152" t="s">
        <v>2555</v>
      </c>
      <c r="G1512" s="2269">
        <f>G1511*3</f>
        <v>0</v>
      </c>
      <c r="H1512" s="2264">
        <v>2244280</v>
      </c>
      <c r="I1512" s="2264">
        <v>0</v>
      </c>
      <c r="J1512" s="2264">
        <v>222639.99999999997</v>
      </c>
      <c r="K1512" s="2264">
        <v>0</v>
      </c>
      <c r="L1512" s="2264">
        <f t="shared" si="278"/>
        <v>0</v>
      </c>
      <c r="M1512" s="2264">
        <f t="shared" si="279"/>
        <v>0</v>
      </c>
      <c r="N1512" s="2264">
        <f t="shared" si="280"/>
        <v>0</v>
      </c>
      <c r="O1512" s="2264">
        <f t="shared" si="281"/>
        <v>0</v>
      </c>
      <c r="P1512" s="2389"/>
      <c r="Q1512" s="2266"/>
      <c r="R1512" s="2266"/>
      <c r="S1512" s="2266"/>
    </row>
    <row r="1513" spans="1:19" s="2105" customFormat="1" outlineLevel="1">
      <c r="A1513" s="2182" t="str">
        <f t="shared" si="277"/>
        <v/>
      </c>
      <c r="B1513" s="2252" t="str">
        <f>IF($F$8=15,"chi20k","chi12k")</f>
        <v>chi12k</v>
      </c>
      <c r="C1513" s="2268">
        <f t="shared" si="282"/>
        <v>0</v>
      </c>
      <c r="D1513" s="2152">
        <v>0</v>
      </c>
      <c r="E1513" s="2194" t="s">
        <v>3426</v>
      </c>
      <c r="F1513" s="2152" t="s">
        <v>2600</v>
      </c>
      <c r="G1513" s="2269">
        <f>G1512</f>
        <v>0</v>
      </c>
      <c r="H1513" s="2264">
        <v>95000</v>
      </c>
      <c r="I1513" s="2264">
        <v>0</v>
      </c>
      <c r="J1513" s="2264">
        <v>0</v>
      </c>
      <c r="K1513" s="2264">
        <v>0</v>
      </c>
      <c r="L1513" s="2264">
        <f t="shared" si="278"/>
        <v>0</v>
      </c>
      <c r="M1513" s="2264">
        <f t="shared" si="279"/>
        <v>0</v>
      </c>
      <c r="N1513" s="2264">
        <f t="shared" si="280"/>
        <v>0</v>
      </c>
      <c r="O1513" s="2264">
        <f t="shared" si="281"/>
        <v>0</v>
      </c>
      <c r="P1513" s="2389"/>
      <c r="Q1513" s="2266"/>
      <c r="R1513" s="2266"/>
      <c r="S1513" s="2266"/>
    </row>
    <row r="1514" spans="1:19" s="2105" customFormat="1" outlineLevel="1">
      <c r="A1514" s="2182" t="str">
        <f t="shared" si="277"/>
        <v/>
      </c>
      <c r="B1514" s="2261" t="str">
        <f>"LA"&amp;$F$6</f>
        <v>LA18</v>
      </c>
      <c r="C1514" s="2268">
        <f t="shared" si="282"/>
        <v>0</v>
      </c>
      <c r="D1514" s="2152" t="s">
        <v>5602</v>
      </c>
      <c r="E1514" s="2194" t="s">
        <v>1193</v>
      </c>
      <c r="F1514" s="2152" t="s">
        <v>2555</v>
      </c>
      <c r="G1514" s="2269">
        <f>G1512</f>
        <v>0</v>
      </c>
      <c r="H1514" s="2264">
        <v>1106000</v>
      </c>
      <c r="I1514" s="2264">
        <v>0</v>
      </c>
      <c r="J1514" s="2264">
        <v>83490</v>
      </c>
      <c r="K1514" s="2264">
        <v>0</v>
      </c>
      <c r="L1514" s="2264">
        <f t="shared" si="278"/>
        <v>0</v>
      </c>
      <c r="M1514" s="2264">
        <f t="shared" si="279"/>
        <v>0</v>
      </c>
      <c r="N1514" s="2264">
        <f t="shared" si="280"/>
        <v>0</v>
      </c>
      <c r="O1514" s="2264">
        <f t="shared" si="281"/>
        <v>0</v>
      </c>
      <c r="P1514" s="2389"/>
      <c r="Q1514" s="2266"/>
      <c r="R1514" s="2266"/>
      <c r="S1514" s="2266"/>
    </row>
    <row r="1515" spans="1:19" s="2105" customFormat="1" outlineLevel="1">
      <c r="A1515" s="2182" t="str">
        <f t="shared" si="277"/>
        <v/>
      </c>
      <c r="B1515" s="2357" t="s">
        <v>1459</v>
      </c>
      <c r="C1515" s="2268">
        <f t="shared" si="282"/>
        <v>0</v>
      </c>
      <c r="D1515" s="2152">
        <v>0</v>
      </c>
      <c r="E1515" s="2194" t="s">
        <v>5687</v>
      </c>
      <c r="F1515" s="2152" t="s">
        <v>2555</v>
      </c>
      <c r="G1515" s="2269">
        <f>G1511</f>
        <v>0</v>
      </c>
      <c r="H1515" s="2264">
        <v>11490000</v>
      </c>
      <c r="I1515" s="2264">
        <v>0</v>
      </c>
      <c r="J1515" s="2264">
        <v>0</v>
      </c>
      <c r="K1515" s="2264">
        <v>0</v>
      </c>
      <c r="L1515" s="2264">
        <f t="shared" si="278"/>
        <v>0</v>
      </c>
      <c r="M1515" s="2264">
        <f t="shared" si="279"/>
        <v>0</v>
      </c>
      <c r="N1515" s="2264">
        <f t="shared" si="280"/>
        <v>0</v>
      </c>
      <c r="O1515" s="2264">
        <f t="shared" si="281"/>
        <v>0</v>
      </c>
      <c r="P1515" s="2389"/>
      <c r="Q1515" s="2266"/>
      <c r="R1515" s="2266"/>
      <c r="S1515" s="2266"/>
    </row>
    <row r="1516" spans="1:19" s="2105" customFormat="1" outlineLevel="1">
      <c r="A1516" s="2182" t="str">
        <f t="shared" si="277"/>
        <v/>
      </c>
      <c r="B1516" s="2357" t="s">
        <v>1458</v>
      </c>
      <c r="C1516" s="2268">
        <f t="shared" si="282"/>
        <v>0</v>
      </c>
      <c r="D1516" s="2152" t="s">
        <v>1025</v>
      </c>
      <c r="E1516" s="2194" t="s">
        <v>3379</v>
      </c>
      <c r="F1516" s="2152" t="s">
        <v>3370</v>
      </c>
      <c r="G1516" s="2269">
        <f>G1511</f>
        <v>0</v>
      </c>
      <c r="H1516" s="2264">
        <v>17205630</v>
      </c>
      <c r="I1516" s="2264">
        <v>0</v>
      </c>
      <c r="J1516" s="2264">
        <v>98101</v>
      </c>
      <c r="K1516" s="2264">
        <v>59254</v>
      </c>
      <c r="L1516" s="2264">
        <f t="shared" si="278"/>
        <v>0</v>
      </c>
      <c r="M1516" s="2264">
        <f t="shared" si="279"/>
        <v>0</v>
      </c>
      <c r="N1516" s="2264">
        <f t="shared" si="280"/>
        <v>0</v>
      </c>
      <c r="O1516" s="2264">
        <f t="shared" si="281"/>
        <v>0</v>
      </c>
      <c r="P1516" s="2389"/>
      <c r="Q1516" s="2266"/>
      <c r="R1516" s="2266"/>
      <c r="S1516" s="2266"/>
    </row>
    <row r="1517" spans="1:19" s="2105" customFormat="1" outlineLevel="1">
      <c r="A1517" s="2182" t="str">
        <f t="shared" si="277"/>
        <v/>
      </c>
      <c r="B1517" s="2252" t="s">
        <v>897</v>
      </c>
      <c r="C1517" s="2268">
        <f t="shared" si="282"/>
        <v>0</v>
      </c>
      <c r="D1517" s="2152">
        <v>0</v>
      </c>
      <c r="E1517" s="2194" t="s">
        <v>3362</v>
      </c>
      <c r="F1517" s="2152" t="s">
        <v>2555</v>
      </c>
      <c r="G1517" s="2390">
        <f>G1511*3</f>
        <v>0</v>
      </c>
      <c r="H1517" s="2264">
        <v>0</v>
      </c>
      <c r="I1517" s="2264">
        <v>0</v>
      </c>
      <c r="J1517" s="2264">
        <v>0</v>
      </c>
      <c r="K1517" s="2264">
        <v>0</v>
      </c>
      <c r="L1517" s="2264">
        <f t="shared" si="278"/>
        <v>0</v>
      </c>
      <c r="M1517" s="2264">
        <f t="shared" si="279"/>
        <v>0</v>
      </c>
      <c r="N1517" s="2264">
        <f t="shared" si="280"/>
        <v>0</v>
      </c>
      <c r="O1517" s="2264">
        <f t="shared" si="281"/>
        <v>0</v>
      </c>
      <c r="P1517" s="2391" t="s">
        <v>2601</v>
      </c>
      <c r="Q1517" s="2266"/>
      <c r="R1517" s="2266"/>
      <c r="S1517" s="2266"/>
    </row>
    <row r="1518" spans="1:19" s="2105" customFormat="1" outlineLevel="1">
      <c r="A1518" s="2182" t="str">
        <f t="shared" si="277"/>
        <v/>
      </c>
      <c r="B1518" s="2252" t="s">
        <v>1460</v>
      </c>
      <c r="C1518" s="2268">
        <f t="shared" si="282"/>
        <v>0</v>
      </c>
      <c r="D1518" s="2152">
        <v>0</v>
      </c>
      <c r="E1518" s="2194" t="s">
        <v>3441</v>
      </c>
      <c r="F1518" s="2152" t="s">
        <v>2555</v>
      </c>
      <c r="G1518" s="2390">
        <f>G1511</f>
        <v>0</v>
      </c>
      <c r="H1518" s="2264">
        <v>0</v>
      </c>
      <c r="I1518" s="2264">
        <v>0</v>
      </c>
      <c r="J1518" s="2264">
        <v>0</v>
      </c>
      <c r="K1518" s="2264">
        <v>0</v>
      </c>
      <c r="L1518" s="2264">
        <f t="shared" si="278"/>
        <v>0</v>
      </c>
      <c r="M1518" s="2360">
        <f t="shared" si="279"/>
        <v>0</v>
      </c>
      <c r="N1518" s="2360">
        <f t="shared" si="280"/>
        <v>0</v>
      </c>
      <c r="O1518" s="2361">
        <f t="shared" si="281"/>
        <v>0</v>
      </c>
      <c r="P1518" s="2392" t="s">
        <v>2601</v>
      </c>
      <c r="Q1518" s="2266"/>
      <c r="R1518" s="2266"/>
      <c r="S1518" s="2266"/>
    </row>
    <row r="1519" spans="1:19" s="2105" customFormat="1" outlineLevel="1">
      <c r="A1519" s="2182">
        <f>A1506</f>
        <v>0</v>
      </c>
      <c r="B1519" s="2261"/>
      <c r="C1519" s="2393"/>
      <c r="D1519" s="2394"/>
      <c r="E1519" s="2395"/>
      <c r="F1519" s="2393"/>
      <c r="G1519" s="2636"/>
      <c r="H1519" s="2393"/>
      <c r="I1519" s="2393"/>
      <c r="J1519" s="2117" t="s">
        <v>6121</v>
      </c>
      <c r="K1519" s="2393"/>
      <c r="L1519" s="2395">
        <f>SUM(L1511:L1518)</f>
        <v>0</v>
      </c>
      <c r="M1519" s="2395">
        <f>SUM(M1511:M1518)</f>
        <v>0</v>
      </c>
      <c r="N1519" s="2395">
        <f>SUM(N1511:N1518)</f>
        <v>0</v>
      </c>
      <c r="O1519" s="2395">
        <f>SUM(O1511:O1518)</f>
        <v>0</v>
      </c>
      <c r="P1519" s="2396"/>
      <c r="Q1519" s="2266"/>
      <c r="R1519" s="2266"/>
      <c r="S1519" s="2266"/>
    </row>
    <row r="1520" spans="1:19" s="2105" customFormat="1" outlineLevel="1">
      <c r="A1520" s="2182">
        <f>A1506</f>
        <v>0</v>
      </c>
      <c r="B1520" s="2261"/>
      <c r="C1520" s="2397"/>
      <c r="D1520" s="2398"/>
      <c r="E1520" s="2399" t="s">
        <v>3673</v>
      </c>
      <c r="F1520" s="2399"/>
      <c r="G1520" s="2400"/>
      <c r="H1520" s="2399"/>
      <c r="I1520" s="2399"/>
      <c r="J1520" s="2399"/>
      <c r="K1520" s="2399"/>
      <c r="L1520" s="2399"/>
      <c r="M1520" s="2399"/>
      <c r="N1520" s="2399"/>
      <c r="O1520" s="2398"/>
      <c r="P1520" s="2396"/>
      <c r="Q1520" s="2266"/>
      <c r="R1520" s="2266"/>
      <c r="S1520" s="2266"/>
    </row>
    <row r="1521" spans="1:19" s="2105" customFormat="1" outlineLevel="1">
      <c r="A1521" s="2182" t="str">
        <f t="shared" ref="A1521:A1539" si="283">IF(G1521&lt;&gt;0,1,"")</f>
        <v/>
      </c>
      <c r="B1521" s="2401"/>
      <c r="C1521" s="2402">
        <f>IF(G1521&gt;0,1,0)</f>
        <v>0</v>
      </c>
      <c r="D1521" s="2152"/>
      <c r="E1521" s="2403" t="s">
        <v>6122</v>
      </c>
      <c r="F1521" s="2404" t="s">
        <v>2277</v>
      </c>
      <c r="G1521" s="2405">
        <f>G1511*2</f>
        <v>0</v>
      </c>
      <c r="H1521" s="2404"/>
      <c r="I1521" s="2404"/>
      <c r="J1521" s="2404"/>
      <c r="K1521" s="2404"/>
      <c r="L1521" s="2405"/>
      <c r="M1521" s="2405"/>
      <c r="N1521" s="2405"/>
      <c r="O1521" s="2406"/>
      <c r="P1521" s="2389"/>
      <c r="Q1521" s="2266"/>
      <c r="R1521" s="2266"/>
      <c r="S1521" s="2266"/>
    </row>
    <row r="1522" spans="1:19" s="2105" customFormat="1" outlineLevel="1">
      <c r="A1522" s="2182" t="str">
        <f t="shared" si="283"/>
        <v/>
      </c>
      <c r="B1522" s="2357" t="s">
        <v>115</v>
      </c>
      <c r="C1522" s="2407"/>
      <c r="D1522" s="2152"/>
      <c r="E1522" s="2408" t="s">
        <v>2992</v>
      </c>
      <c r="F1522" s="2152" t="s">
        <v>2831</v>
      </c>
      <c r="G1522" s="2152">
        <f>G1521</f>
        <v>0</v>
      </c>
      <c r="H1522" s="2359">
        <v>4400000</v>
      </c>
      <c r="I1522" s="2258"/>
      <c r="J1522" s="2359"/>
      <c r="K1522" s="2258"/>
      <c r="L1522" s="2360">
        <f>H1522*G1522</f>
        <v>0</v>
      </c>
      <c r="M1522" s="2360">
        <f>I1522*G1522</f>
        <v>0</v>
      </c>
      <c r="N1522" s="2360">
        <f>J1522*G1522</f>
        <v>0</v>
      </c>
      <c r="O1522" s="2360">
        <f>K1522*G1522</f>
        <v>0</v>
      </c>
      <c r="P1522" s="2389"/>
      <c r="Q1522" s="2266"/>
      <c r="R1522" s="2266"/>
      <c r="S1522" s="2266"/>
    </row>
    <row r="1523" spans="1:19" s="2105" customFormat="1" outlineLevel="1">
      <c r="A1523" s="2182" t="str">
        <f t="shared" si="283"/>
        <v/>
      </c>
      <c r="B1523" s="2357" t="s">
        <v>1814</v>
      </c>
      <c r="C1523" s="2407"/>
      <c r="D1523" s="2152"/>
      <c r="E1523" s="2408" t="s">
        <v>2830</v>
      </c>
      <c r="F1523" s="2152" t="s">
        <v>2831</v>
      </c>
      <c r="G1523" s="2152">
        <f>G1522</f>
        <v>0</v>
      </c>
      <c r="H1523" s="2359">
        <v>17400</v>
      </c>
      <c r="I1523" s="2359"/>
      <c r="J1523" s="2258"/>
      <c r="K1523" s="2258"/>
      <c r="L1523" s="2360">
        <f>H1523*G1523</f>
        <v>0</v>
      </c>
      <c r="M1523" s="2360">
        <f>I1523*G1523</f>
        <v>0</v>
      </c>
      <c r="N1523" s="2360">
        <f>J1523*G1523</f>
        <v>0</v>
      </c>
      <c r="O1523" s="2360">
        <f>K1523*G1523</f>
        <v>0</v>
      </c>
      <c r="P1523" s="2389"/>
      <c r="Q1523" s="2266"/>
      <c r="R1523" s="2266"/>
      <c r="S1523" s="2266"/>
    </row>
    <row r="1524" spans="1:19" s="2105" customFormat="1" outlineLevel="1">
      <c r="A1524" s="2182" t="str">
        <f t="shared" si="283"/>
        <v/>
      </c>
      <c r="B1524" s="2357" t="s">
        <v>643</v>
      </c>
      <c r="C1524" s="2407"/>
      <c r="D1524" s="2152" t="s">
        <v>2127</v>
      </c>
      <c r="E1524" s="2408" t="s">
        <v>3167</v>
      </c>
      <c r="F1524" s="2152" t="s">
        <v>2831</v>
      </c>
      <c r="G1524" s="2152">
        <f>G1522</f>
        <v>0</v>
      </c>
      <c r="H1524" s="2408"/>
      <c r="I1524" s="2359"/>
      <c r="J1524" s="2359">
        <v>112286</v>
      </c>
      <c r="K1524" s="2359">
        <v>105970</v>
      </c>
      <c r="L1524" s="2360">
        <f>H1524*G1524</f>
        <v>0</v>
      </c>
      <c r="M1524" s="2360">
        <f>I1524*G1524</f>
        <v>0</v>
      </c>
      <c r="N1524" s="2360">
        <f>J1524*G1524</f>
        <v>0</v>
      </c>
      <c r="O1524" s="2360">
        <f>K1524*G1524</f>
        <v>0</v>
      </c>
      <c r="P1524" s="2389"/>
      <c r="Q1524" s="2266"/>
      <c r="R1524" s="2266"/>
      <c r="S1524" s="2266"/>
    </row>
    <row r="1525" spans="1:19" s="2105" customFormat="1" outlineLevel="1">
      <c r="A1525" s="2182" t="str">
        <f t="shared" si="283"/>
        <v/>
      </c>
      <c r="B1525" s="2401"/>
      <c r="C1525" s="2402">
        <f>IF(G1525&gt;0,1,0)</f>
        <v>0</v>
      </c>
      <c r="D1525" s="2152"/>
      <c r="E1525" s="2403" t="s">
        <v>6217</v>
      </c>
      <c r="F1525" s="2404" t="s">
        <v>2277</v>
      </c>
      <c r="G1525" s="2405">
        <f>G1511*2</f>
        <v>0</v>
      </c>
      <c r="H1525" s="2404"/>
      <c r="I1525" s="2404"/>
      <c r="J1525" s="2404"/>
      <c r="K1525" s="2404"/>
      <c r="L1525" s="2405"/>
      <c r="M1525" s="2405"/>
      <c r="N1525" s="2405"/>
      <c r="O1525" s="2406"/>
      <c r="P1525" s="2265"/>
      <c r="Q1525" s="2266"/>
      <c r="R1525" s="2266"/>
      <c r="S1525" s="2266"/>
    </row>
    <row r="1526" spans="1:19" s="2105" customFormat="1" outlineLevel="1">
      <c r="A1526" s="2182" t="str">
        <f t="shared" si="283"/>
        <v/>
      </c>
      <c r="B1526" s="2357" t="s">
        <v>114</v>
      </c>
      <c r="C1526" s="2407"/>
      <c r="D1526" s="2152"/>
      <c r="E1526" s="2408" t="s">
        <v>2991</v>
      </c>
      <c r="F1526" s="2152" t="s">
        <v>2831</v>
      </c>
      <c r="G1526" s="2152">
        <f>G1525</f>
        <v>0</v>
      </c>
      <c r="H1526" s="2359">
        <v>4200000</v>
      </c>
      <c r="I1526" s="2258"/>
      <c r="J1526" s="2359"/>
      <c r="K1526" s="2258"/>
      <c r="L1526" s="2360">
        <f>H1526*G1526</f>
        <v>0</v>
      </c>
      <c r="M1526" s="2360">
        <f>I1526*G1526</f>
        <v>0</v>
      </c>
      <c r="N1526" s="2360">
        <f>J1526*G1526</f>
        <v>0</v>
      </c>
      <c r="O1526" s="2360">
        <f>K1526*G1526</f>
        <v>0</v>
      </c>
      <c r="P1526" s="2265"/>
      <c r="Q1526" s="2266"/>
      <c r="R1526" s="2266"/>
      <c r="S1526" s="2266"/>
    </row>
    <row r="1527" spans="1:19" s="2105" customFormat="1" outlineLevel="1">
      <c r="A1527" s="2182" t="str">
        <f t="shared" si="283"/>
        <v/>
      </c>
      <c r="B1527" s="2357" t="s">
        <v>1814</v>
      </c>
      <c r="C1527" s="2407"/>
      <c r="D1527" s="2152"/>
      <c r="E1527" s="2408" t="s">
        <v>2830</v>
      </c>
      <c r="F1527" s="2152" t="s">
        <v>2831</v>
      </c>
      <c r="G1527" s="2152">
        <f>G1526</f>
        <v>0</v>
      </c>
      <c r="H1527" s="2359">
        <v>17400</v>
      </c>
      <c r="I1527" s="2359"/>
      <c r="J1527" s="2258"/>
      <c r="K1527" s="2258"/>
      <c r="L1527" s="2360">
        <f>H1527*G1527</f>
        <v>0</v>
      </c>
      <c r="M1527" s="2360">
        <f>I1527*G1527</f>
        <v>0</v>
      </c>
      <c r="N1527" s="2360">
        <f>J1527*G1527</f>
        <v>0</v>
      </c>
      <c r="O1527" s="2360">
        <f>K1527*G1527</f>
        <v>0</v>
      </c>
      <c r="P1527" s="2265"/>
      <c r="Q1527" s="2266"/>
      <c r="R1527" s="2266"/>
      <c r="S1527" s="2266"/>
    </row>
    <row r="1528" spans="1:19" s="2105" customFormat="1" outlineLevel="1">
      <c r="A1528" s="2182" t="str">
        <f t="shared" si="283"/>
        <v/>
      </c>
      <c r="B1528" s="2357" t="s">
        <v>644</v>
      </c>
      <c r="C1528" s="2407"/>
      <c r="D1528" s="2152" t="s">
        <v>2127</v>
      </c>
      <c r="E1528" s="2408" t="s">
        <v>3168</v>
      </c>
      <c r="F1528" s="2152" t="s">
        <v>2831</v>
      </c>
      <c r="G1528" s="2152">
        <f>G1526</f>
        <v>0</v>
      </c>
      <c r="H1528" s="2408"/>
      <c r="I1528" s="2359"/>
      <c r="J1528" s="2359">
        <v>112286</v>
      </c>
      <c r="K1528" s="2359">
        <v>105970</v>
      </c>
      <c r="L1528" s="2360">
        <f>H1528*G1528</f>
        <v>0</v>
      </c>
      <c r="M1528" s="2360">
        <f>I1528*G1528</f>
        <v>0</v>
      </c>
      <c r="N1528" s="2360">
        <f>J1528*G1528</f>
        <v>0</v>
      </c>
      <c r="O1528" s="2360">
        <f>K1528*G1528</f>
        <v>0</v>
      </c>
      <c r="P1528" s="2265"/>
      <c r="Q1528" s="2266"/>
      <c r="R1528" s="2266"/>
      <c r="S1528" s="2266"/>
    </row>
    <row r="1529" spans="1:19" s="2105" customFormat="1" outlineLevel="1">
      <c r="A1529" s="2182" t="str">
        <f t="shared" si="283"/>
        <v/>
      </c>
      <c r="B1529" s="2357"/>
      <c r="C1529" s="2258">
        <f>IF(G1529&gt;0,C1521+1,C1521)</f>
        <v>0</v>
      </c>
      <c r="D1529" s="2152"/>
      <c r="E1529" s="2403" t="s">
        <v>2352</v>
      </c>
      <c r="F1529" s="2404" t="s">
        <v>2327</v>
      </c>
      <c r="G1529" s="2409">
        <f>G1521</f>
        <v>0</v>
      </c>
      <c r="H1529" s="2258"/>
      <c r="I1529" s="2258"/>
      <c r="J1529" s="2258"/>
      <c r="K1529" s="2258"/>
      <c r="L1529" s="2258"/>
      <c r="M1529" s="2258"/>
      <c r="N1529" s="2258"/>
      <c r="O1529" s="2410"/>
      <c r="P1529" s="2389"/>
      <c r="Q1529" s="2266"/>
      <c r="R1529" s="2266"/>
      <c r="S1529" s="2266"/>
    </row>
    <row r="1530" spans="1:19" s="2105" customFormat="1" outlineLevel="1">
      <c r="A1530" s="2182" t="str">
        <f t="shared" si="283"/>
        <v/>
      </c>
      <c r="B1530" s="2357" t="s">
        <v>636</v>
      </c>
      <c r="C1530" s="2407"/>
      <c r="D1530" s="2152" t="s">
        <v>5047</v>
      </c>
      <c r="E1530" s="2408" t="s">
        <v>2607</v>
      </c>
      <c r="F1530" s="2152" t="s">
        <v>2555</v>
      </c>
      <c r="G1530" s="2152">
        <f>G1529</f>
        <v>0</v>
      </c>
      <c r="H1530" s="2359">
        <v>354545</v>
      </c>
      <c r="I1530" s="2359"/>
      <c r="J1530" s="2359">
        <v>37220.25</v>
      </c>
      <c r="K1530" s="2258"/>
      <c r="L1530" s="2360">
        <f>H1530*G1530</f>
        <v>0</v>
      </c>
      <c r="M1530" s="2360">
        <f>I1530*G1530</f>
        <v>0</v>
      </c>
      <c r="N1530" s="2360">
        <f>J1530*G1530</f>
        <v>0</v>
      </c>
      <c r="O1530" s="2360">
        <f>K1530*G1530</f>
        <v>0</v>
      </c>
      <c r="P1530" s="2389"/>
      <c r="Q1530" s="2266"/>
      <c r="R1530" s="2266"/>
      <c r="S1530" s="2266"/>
    </row>
    <row r="1531" spans="1:19" s="2105" customFormat="1" outlineLevel="1">
      <c r="A1531" s="2182" t="str">
        <f t="shared" si="283"/>
        <v/>
      </c>
      <c r="B1531" s="2357" t="s">
        <v>566</v>
      </c>
      <c r="C1531" s="2407"/>
      <c r="D1531" s="2152"/>
      <c r="E1531" s="2408" t="s">
        <v>5072</v>
      </c>
      <c r="F1531" s="2152" t="s">
        <v>2439</v>
      </c>
      <c r="G1531" s="2152">
        <f>G1530</f>
        <v>0</v>
      </c>
      <c r="H1531" s="2359">
        <v>92200</v>
      </c>
      <c r="I1531" s="2408"/>
      <c r="J1531" s="2408"/>
      <c r="K1531" s="2258"/>
      <c r="L1531" s="2360">
        <f>H1531*G1531</f>
        <v>0</v>
      </c>
      <c r="M1531" s="2360">
        <f>I1531*G1531</f>
        <v>0</v>
      </c>
      <c r="N1531" s="2360">
        <f>J1531*G1531</f>
        <v>0</v>
      </c>
      <c r="O1531" s="2360">
        <f>K1531*G1531</f>
        <v>0</v>
      </c>
      <c r="P1531" s="2389"/>
      <c r="Q1531" s="2266"/>
      <c r="R1531" s="2266"/>
      <c r="S1531" s="2266"/>
    </row>
    <row r="1532" spans="1:19" s="2105" customFormat="1" outlineLevel="1">
      <c r="A1532" s="2182" t="str">
        <f t="shared" si="283"/>
        <v/>
      </c>
      <c r="B1532" s="2357" t="s">
        <v>639</v>
      </c>
      <c r="C1532" s="2407"/>
      <c r="D1532" s="2152" t="s">
        <v>1747</v>
      </c>
      <c r="E1532" s="2408" t="s">
        <v>5324</v>
      </c>
      <c r="F1532" s="2152" t="s">
        <v>856</v>
      </c>
      <c r="G1532" s="2270">
        <f>0.87*G1529</f>
        <v>0</v>
      </c>
      <c r="H1532" s="2359">
        <v>0</v>
      </c>
      <c r="I1532" s="2359"/>
      <c r="J1532" s="2359">
        <v>296500.89999999997</v>
      </c>
      <c r="K1532" s="2258"/>
      <c r="L1532" s="2360">
        <f>H1532*G1532</f>
        <v>0</v>
      </c>
      <c r="M1532" s="2360">
        <f>I1532*G1532</f>
        <v>0</v>
      </c>
      <c r="N1532" s="2360">
        <f>J1532*G1532</f>
        <v>0</v>
      </c>
      <c r="O1532" s="2360">
        <f>K1532*G1532</f>
        <v>0</v>
      </c>
      <c r="P1532" s="2389"/>
      <c r="Q1532" s="2266"/>
      <c r="R1532" s="2266"/>
      <c r="S1532" s="2266"/>
    </row>
    <row r="1533" spans="1:19" s="2105" customFormat="1" outlineLevel="1">
      <c r="A1533" s="2182" t="str">
        <f t="shared" si="283"/>
        <v/>
      </c>
      <c r="B1533" s="2357" t="s">
        <v>21</v>
      </c>
      <c r="C1533" s="2407"/>
      <c r="D1533" s="2152" t="s">
        <v>5325</v>
      </c>
      <c r="E1533" s="2408" t="s">
        <v>5326</v>
      </c>
      <c r="F1533" s="2152" t="s">
        <v>856</v>
      </c>
      <c r="G1533" s="2270">
        <f>0.79*G1529</f>
        <v>0</v>
      </c>
      <c r="H1533" s="2359">
        <v>0</v>
      </c>
      <c r="I1533" s="2359"/>
      <c r="J1533" s="2359">
        <v>117703.6</v>
      </c>
      <c r="K1533" s="2258"/>
      <c r="L1533" s="2360">
        <f>H1533*G1533</f>
        <v>0</v>
      </c>
      <c r="M1533" s="2360">
        <f>I1533*G1533</f>
        <v>0</v>
      </c>
      <c r="N1533" s="2360">
        <f>J1533*G1533</f>
        <v>0</v>
      </c>
      <c r="O1533" s="2360">
        <f>K1533*G1533</f>
        <v>0</v>
      </c>
      <c r="P1533" s="2389"/>
      <c r="Q1533" s="2266"/>
      <c r="R1533" s="2266"/>
      <c r="S1533" s="2266"/>
    </row>
    <row r="1534" spans="1:19" s="2105" customFormat="1" outlineLevel="1">
      <c r="A1534" s="2182" t="str">
        <f t="shared" si="283"/>
        <v/>
      </c>
      <c r="B1534" s="2357"/>
      <c r="C1534" s="2258">
        <f>IF(G1534&gt;0,C1526+1,C1526)</f>
        <v>0</v>
      </c>
      <c r="D1534" s="2152"/>
      <c r="E1534" s="2403" t="s">
        <v>3713</v>
      </c>
      <c r="F1534" s="2404" t="s">
        <v>2327</v>
      </c>
      <c r="G1534" s="2409">
        <f>G1525</f>
        <v>0</v>
      </c>
      <c r="H1534" s="2258"/>
      <c r="I1534" s="2258"/>
      <c r="J1534" s="2258"/>
      <c r="K1534" s="2258"/>
      <c r="L1534" s="2258"/>
      <c r="M1534" s="2258"/>
      <c r="N1534" s="2258"/>
      <c r="O1534" s="2410"/>
      <c r="P1534" s="2265"/>
      <c r="Q1534" s="2266"/>
      <c r="R1534" s="2266"/>
      <c r="S1534" s="2266"/>
    </row>
    <row r="1535" spans="1:19" s="2105" customFormat="1" outlineLevel="1">
      <c r="A1535" s="2182" t="str">
        <f t="shared" si="283"/>
        <v/>
      </c>
      <c r="B1535" s="2357" t="s">
        <v>636</v>
      </c>
      <c r="C1535" s="2407"/>
      <c r="D1535" s="2152" t="s">
        <v>5047</v>
      </c>
      <c r="E1535" s="2408" t="s">
        <v>2607</v>
      </c>
      <c r="F1535" s="2152" t="s">
        <v>2555</v>
      </c>
      <c r="G1535" s="2152">
        <f>G1534</f>
        <v>0</v>
      </c>
      <c r="H1535" s="2359">
        <v>354545</v>
      </c>
      <c r="I1535" s="2359"/>
      <c r="J1535" s="2359">
        <v>37220.25</v>
      </c>
      <c r="K1535" s="2258"/>
      <c r="L1535" s="2360">
        <f>H1535*G1535</f>
        <v>0</v>
      </c>
      <c r="M1535" s="2360">
        <f>I1535*G1535</f>
        <v>0</v>
      </c>
      <c r="N1535" s="2360">
        <f>J1535*G1535</f>
        <v>0</v>
      </c>
      <c r="O1535" s="2360">
        <f>K1535*G1535</f>
        <v>0</v>
      </c>
      <c r="P1535" s="2265"/>
      <c r="Q1535" s="2266"/>
      <c r="R1535" s="2266"/>
      <c r="S1535" s="2266"/>
    </row>
    <row r="1536" spans="1:19" s="2105" customFormat="1" outlineLevel="1">
      <c r="A1536" s="2182" t="str">
        <f t="shared" si="283"/>
        <v/>
      </c>
      <c r="B1536" s="2357" t="s">
        <v>566</v>
      </c>
      <c r="C1536" s="2407"/>
      <c r="D1536" s="2152"/>
      <c r="E1536" s="2408" t="s">
        <v>5072</v>
      </c>
      <c r="F1536" s="2152" t="s">
        <v>2439</v>
      </c>
      <c r="G1536" s="2152">
        <f>G1535</f>
        <v>0</v>
      </c>
      <c r="H1536" s="2359">
        <v>92200</v>
      </c>
      <c r="I1536" s="2408"/>
      <c r="J1536" s="2408"/>
      <c r="K1536" s="2258"/>
      <c r="L1536" s="2360">
        <f>H1536*G1536</f>
        <v>0</v>
      </c>
      <c r="M1536" s="2360">
        <f>I1536*G1536</f>
        <v>0</v>
      </c>
      <c r="N1536" s="2360">
        <f>J1536*G1536</f>
        <v>0</v>
      </c>
      <c r="O1536" s="2360">
        <f>K1536*G1536</f>
        <v>0</v>
      </c>
      <c r="P1536" s="2265"/>
      <c r="Q1536" s="2266"/>
      <c r="R1536" s="2266"/>
      <c r="S1536" s="2266"/>
    </row>
    <row r="1537" spans="1:19" s="2105" customFormat="1" outlineLevel="1">
      <c r="A1537" s="2182" t="str">
        <f t="shared" si="283"/>
        <v/>
      </c>
      <c r="B1537" s="2357" t="s">
        <v>639</v>
      </c>
      <c r="C1537" s="2407"/>
      <c r="D1537" s="2152" t="s">
        <v>1747</v>
      </c>
      <c r="E1537" s="2408" t="s">
        <v>5324</v>
      </c>
      <c r="F1537" s="2152" t="s">
        <v>856</v>
      </c>
      <c r="G1537" s="2270">
        <f>1.48*G1535</f>
        <v>0</v>
      </c>
      <c r="H1537" s="2359">
        <v>0</v>
      </c>
      <c r="I1537" s="2359"/>
      <c r="J1537" s="2359">
        <v>296500.89999999997</v>
      </c>
      <c r="K1537" s="2258"/>
      <c r="L1537" s="2360">
        <f>H1537*G1537</f>
        <v>0</v>
      </c>
      <c r="M1537" s="2360">
        <f>I1537*G1537</f>
        <v>0</v>
      </c>
      <c r="N1537" s="2360">
        <f>J1537*G1537</f>
        <v>0</v>
      </c>
      <c r="O1537" s="2360">
        <f>K1537*G1537</f>
        <v>0</v>
      </c>
      <c r="P1537" s="2265"/>
      <c r="Q1537" s="2266"/>
      <c r="R1537" s="2266"/>
      <c r="S1537" s="2266"/>
    </row>
    <row r="1538" spans="1:19" s="2105" customFormat="1" outlineLevel="1">
      <c r="A1538" s="2182" t="str">
        <f t="shared" si="283"/>
        <v/>
      </c>
      <c r="B1538" s="2357" t="s">
        <v>21</v>
      </c>
      <c r="C1538" s="2407"/>
      <c r="D1538" s="2152" t="s">
        <v>5325</v>
      </c>
      <c r="E1538" s="2408" t="s">
        <v>5326</v>
      </c>
      <c r="F1538" s="2152" t="s">
        <v>856</v>
      </c>
      <c r="G1538" s="2270">
        <f>1.39*G1534</f>
        <v>0</v>
      </c>
      <c r="H1538" s="2359">
        <v>0</v>
      </c>
      <c r="I1538" s="2359"/>
      <c r="J1538" s="2359">
        <v>117703.6</v>
      </c>
      <c r="K1538" s="2258"/>
      <c r="L1538" s="2360">
        <f>H1538*G1538</f>
        <v>0</v>
      </c>
      <c r="M1538" s="2360">
        <f>I1538*G1538</f>
        <v>0</v>
      </c>
      <c r="N1538" s="2360">
        <f>J1538*G1538</f>
        <v>0</v>
      </c>
      <c r="O1538" s="2360">
        <f>K1538*G1538</f>
        <v>0</v>
      </c>
      <c r="P1538" s="2265"/>
      <c r="Q1538" s="2266"/>
      <c r="R1538" s="2266"/>
      <c r="S1538" s="2266"/>
    </row>
    <row r="1539" spans="1:19" s="2105" customFormat="1" outlineLevel="1">
      <c r="A1539" s="2182" t="str">
        <f t="shared" si="283"/>
        <v/>
      </c>
      <c r="B1539" s="2261"/>
      <c r="C1539" s="2258">
        <f>IF(G1539&gt;0,C1529+1,C1529)</f>
        <v>0</v>
      </c>
      <c r="D1539" s="2411"/>
      <c r="E1539" s="2403" t="s">
        <v>3714</v>
      </c>
      <c r="F1539" s="2402" t="s">
        <v>2385</v>
      </c>
      <c r="G1539" s="2412">
        <f>G1511*1</f>
        <v>0</v>
      </c>
      <c r="H1539" s="2413"/>
      <c r="I1539" s="2413"/>
      <c r="J1539" s="2413"/>
      <c r="K1539" s="2413"/>
      <c r="L1539" s="2413"/>
      <c r="M1539" s="2413"/>
      <c r="N1539" s="2413"/>
      <c r="O1539" s="2413"/>
      <c r="P1539" s="2265"/>
      <c r="Q1539" s="2266"/>
      <c r="R1539" s="2266"/>
      <c r="S1539" s="2266"/>
    </row>
    <row r="1540" spans="1:19" s="2105" customFormat="1" ht="14.4" outlineLevel="1">
      <c r="A1540" s="2182" t="str">
        <f>A1539</f>
        <v/>
      </c>
      <c r="B1540" s="2261"/>
      <c r="C1540" s="2258"/>
      <c r="D1540" s="2414"/>
      <c r="E1540" s="2267" t="s">
        <v>6133</v>
      </c>
      <c r="F1540" s="2268"/>
      <c r="G1540" s="2269"/>
      <c r="H1540" s="2415"/>
      <c r="I1540" s="2415"/>
      <c r="J1540" s="2415"/>
      <c r="K1540" s="2415"/>
      <c r="L1540" s="2415"/>
      <c r="M1540" s="2415"/>
      <c r="N1540" s="2415"/>
      <c r="O1540" s="2415"/>
      <c r="P1540" s="2265"/>
      <c r="Q1540" s="2266"/>
      <c r="R1540" s="2266"/>
      <c r="S1540" s="2266"/>
    </row>
    <row r="1541" spans="1:19" s="2105" customFormat="1" outlineLevel="1">
      <c r="A1541" s="2182" t="str">
        <f t="shared" ref="A1541:A1546" si="284">IF(G1541&lt;&gt;0,1,"")</f>
        <v/>
      </c>
      <c r="B1541" s="2252" t="s">
        <v>1136</v>
      </c>
      <c r="C1541" s="2258"/>
      <c r="D1541" s="2152">
        <v>0</v>
      </c>
      <c r="E1541" s="2194" t="s">
        <v>6338</v>
      </c>
      <c r="F1541" s="2152" t="s">
        <v>2248</v>
      </c>
      <c r="G1541" s="2270">
        <f>15.3*2.8*2*G1539</f>
        <v>0</v>
      </c>
      <c r="H1541" s="2359">
        <v>31625</v>
      </c>
      <c r="I1541" s="2416"/>
      <c r="J1541" s="2359"/>
      <c r="K1541" s="2359">
        <v>0</v>
      </c>
      <c r="L1541" s="2360">
        <f t="shared" ref="L1541:L1546" si="285">H1541*G1541</f>
        <v>0</v>
      </c>
      <c r="M1541" s="2360">
        <f t="shared" ref="M1541:M1548" si="286">I1541*G1541</f>
        <v>0</v>
      </c>
      <c r="N1541" s="2359"/>
      <c r="O1541" s="2360">
        <f t="shared" ref="O1541:O1548" si="287">K1541*G1541</f>
        <v>0</v>
      </c>
      <c r="P1541" s="2265"/>
      <c r="Q1541" s="2266"/>
      <c r="R1541" s="2266"/>
      <c r="S1541" s="2266"/>
    </row>
    <row r="1542" spans="1:19" s="2105" customFormat="1" outlineLevel="1">
      <c r="A1542" s="2182" t="str">
        <f t="shared" si="284"/>
        <v/>
      </c>
      <c r="B1542" s="2252" t="s">
        <v>1137</v>
      </c>
      <c r="C1542" s="2258"/>
      <c r="D1542" s="2152">
        <v>0</v>
      </c>
      <c r="E1542" s="2194" t="s">
        <v>6339</v>
      </c>
      <c r="F1542" s="2152" t="s">
        <v>2248</v>
      </c>
      <c r="G1542" s="2270">
        <f>8.59*0.4*4*G1539</f>
        <v>0</v>
      </c>
      <c r="H1542" s="2359">
        <v>31625</v>
      </c>
      <c r="I1542" s="2416"/>
      <c r="J1542" s="2359"/>
      <c r="K1542" s="2359">
        <v>0</v>
      </c>
      <c r="L1542" s="2360">
        <f t="shared" si="285"/>
        <v>0</v>
      </c>
      <c r="M1542" s="2360">
        <f t="shared" si="286"/>
        <v>0</v>
      </c>
      <c r="N1542" s="2359"/>
      <c r="O1542" s="2360">
        <f t="shared" si="287"/>
        <v>0</v>
      </c>
      <c r="P1542" s="2265"/>
      <c r="Q1542" s="2266"/>
      <c r="R1542" s="2266"/>
      <c r="S1542" s="2266"/>
    </row>
    <row r="1543" spans="1:19" s="2105" customFormat="1" outlineLevel="1">
      <c r="A1543" s="2182" t="str">
        <f t="shared" si="284"/>
        <v/>
      </c>
      <c r="B1543" s="2252" t="s">
        <v>1138</v>
      </c>
      <c r="C1543" s="2258"/>
      <c r="D1543" s="2152">
        <v>0</v>
      </c>
      <c r="E1543" s="2194" t="s">
        <v>6340</v>
      </c>
      <c r="F1543" s="2152" t="s">
        <v>2248</v>
      </c>
      <c r="G1543" s="2270">
        <f>8.59*0.8*2*G1539</f>
        <v>0</v>
      </c>
      <c r="H1543" s="2359">
        <v>31625</v>
      </c>
      <c r="I1543" s="2416"/>
      <c r="J1543" s="2359"/>
      <c r="K1543" s="2359">
        <v>0</v>
      </c>
      <c r="L1543" s="2360">
        <f t="shared" si="285"/>
        <v>0</v>
      </c>
      <c r="M1543" s="2360">
        <f t="shared" si="286"/>
        <v>0</v>
      </c>
      <c r="N1543" s="2359"/>
      <c r="O1543" s="2360">
        <f t="shared" si="287"/>
        <v>0</v>
      </c>
      <c r="P1543" s="2265"/>
      <c r="Q1543" s="2266"/>
      <c r="R1543" s="2266"/>
      <c r="S1543" s="2266"/>
    </row>
    <row r="1544" spans="1:19" s="2105" customFormat="1" outlineLevel="1">
      <c r="A1544" s="2182" t="str">
        <f t="shared" si="284"/>
        <v/>
      </c>
      <c r="B1544" s="2261" t="s">
        <v>1781</v>
      </c>
      <c r="C1544" s="2258"/>
      <c r="D1544" s="2152">
        <v>0</v>
      </c>
      <c r="E1544" s="2194" t="s">
        <v>2662</v>
      </c>
      <c r="F1544" s="2152" t="s">
        <v>2439</v>
      </c>
      <c r="G1544" s="2269">
        <f>G1539*10</f>
        <v>0</v>
      </c>
      <c r="H1544" s="2359">
        <v>34800</v>
      </c>
      <c r="I1544" s="2416"/>
      <c r="J1544" s="2359">
        <v>0</v>
      </c>
      <c r="K1544" s="2359">
        <v>0</v>
      </c>
      <c r="L1544" s="2360">
        <f t="shared" si="285"/>
        <v>0</v>
      </c>
      <c r="M1544" s="2360">
        <f t="shared" si="286"/>
        <v>0</v>
      </c>
      <c r="N1544" s="2360">
        <f>J1544*G1544</f>
        <v>0</v>
      </c>
      <c r="O1544" s="2360">
        <f t="shared" si="287"/>
        <v>0</v>
      </c>
      <c r="P1544" s="2265"/>
      <c r="Q1544" s="2266"/>
      <c r="R1544" s="2266"/>
      <c r="S1544" s="2266"/>
    </row>
    <row r="1545" spans="1:19" s="2105" customFormat="1" outlineLevel="1">
      <c r="A1545" s="2182" t="str">
        <f t="shared" si="284"/>
        <v/>
      </c>
      <c r="B1545" s="2261" t="s">
        <v>1083</v>
      </c>
      <c r="C1545" s="2258"/>
      <c r="D1545" s="2152">
        <v>0</v>
      </c>
      <c r="E1545" s="2194" t="s">
        <v>2652</v>
      </c>
      <c r="F1545" s="2152" t="s">
        <v>2439</v>
      </c>
      <c r="G1545" s="2269">
        <f>G1539*2</f>
        <v>0</v>
      </c>
      <c r="H1545" s="2359">
        <v>29900</v>
      </c>
      <c r="I1545" s="2416"/>
      <c r="J1545" s="2359">
        <v>0</v>
      </c>
      <c r="K1545" s="2359">
        <v>0</v>
      </c>
      <c r="L1545" s="2360">
        <f t="shared" si="285"/>
        <v>0</v>
      </c>
      <c r="M1545" s="2360">
        <f t="shared" si="286"/>
        <v>0</v>
      </c>
      <c r="N1545" s="2360">
        <f>J1545*G1545</f>
        <v>0</v>
      </c>
      <c r="O1545" s="2360">
        <f t="shared" si="287"/>
        <v>0</v>
      </c>
      <c r="P1545" s="2265"/>
      <c r="Q1545" s="2266"/>
      <c r="R1545" s="2266"/>
      <c r="S1545" s="2266"/>
    </row>
    <row r="1546" spans="1:19" s="2105" customFormat="1" outlineLevel="1">
      <c r="A1546" s="2182" t="str">
        <f t="shared" si="284"/>
        <v/>
      </c>
      <c r="B1546" s="2261" t="s">
        <v>1079</v>
      </c>
      <c r="C1546" s="2258"/>
      <c r="D1546" s="2152">
        <v>0</v>
      </c>
      <c r="E1546" s="2194" t="s">
        <v>2651</v>
      </c>
      <c r="F1546" s="2152" t="s">
        <v>2439</v>
      </c>
      <c r="G1546" s="2269">
        <f>G1539*12</f>
        <v>0</v>
      </c>
      <c r="H1546" s="2359">
        <v>27900</v>
      </c>
      <c r="I1546" s="2416"/>
      <c r="J1546" s="2359">
        <v>0</v>
      </c>
      <c r="K1546" s="2359">
        <v>0</v>
      </c>
      <c r="L1546" s="2360">
        <f t="shared" si="285"/>
        <v>0</v>
      </c>
      <c r="M1546" s="2360">
        <f t="shared" si="286"/>
        <v>0</v>
      </c>
      <c r="N1546" s="2360">
        <f>J1546*G1546</f>
        <v>0</v>
      </c>
      <c r="O1546" s="2360">
        <f t="shared" si="287"/>
        <v>0</v>
      </c>
      <c r="P1546" s="2265"/>
      <c r="Q1546" s="2266"/>
      <c r="R1546" s="2266"/>
      <c r="S1546" s="2266"/>
    </row>
    <row r="1547" spans="1:19" s="2105" customFormat="1" outlineLevel="1">
      <c r="A1547" s="2182" t="str">
        <f>IF(G1547&lt;&gt;0,1,"")</f>
        <v/>
      </c>
      <c r="B1547" s="2252" t="s">
        <v>2242</v>
      </c>
      <c r="C1547" s="2258"/>
      <c r="D1547" s="2152" t="s">
        <v>5444</v>
      </c>
      <c r="E1547" s="2194" t="s">
        <v>6341</v>
      </c>
      <c r="F1547" s="2152" t="s">
        <v>2439</v>
      </c>
      <c r="G1547" s="2269">
        <f>+G1539*1</f>
        <v>0</v>
      </c>
      <c r="H1547" s="2359">
        <v>0</v>
      </c>
      <c r="I1547" s="2416"/>
      <c r="J1547" s="2359" t="s">
        <v>6342</v>
      </c>
      <c r="K1547" s="2359">
        <v>0</v>
      </c>
      <c r="L1547" s="2360">
        <f>H1547*G1547</f>
        <v>0</v>
      </c>
      <c r="M1547" s="2360">
        <f t="shared" si="286"/>
        <v>0</v>
      </c>
      <c r="N1547" s="2359">
        <v>0</v>
      </c>
      <c r="O1547" s="2360">
        <f t="shared" si="287"/>
        <v>0</v>
      </c>
      <c r="P1547" s="2265"/>
      <c r="Q1547" s="2266"/>
      <c r="R1547" s="2266"/>
      <c r="S1547" s="2266"/>
    </row>
    <row r="1548" spans="1:19" s="2105" customFormat="1" outlineLevel="1">
      <c r="A1548" s="2182" t="str">
        <f>IF(G1548&lt;&gt;0,1,"")</f>
        <v/>
      </c>
      <c r="B1548" s="2252" t="s">
        <v>6218</v>
      </c>
      <c r="C1548" s="2258"/>
      <c r="D1548" s="2152" t="s">
        <v>5378</v>
      </c>
      <c r="E1548" s="2194" t="s">
        <v>6343</v>
      </c>
      <c r="F1548" s="2152" t="s">
        <v>2439</v>
      </c>
      <c r="G1548" s="2269">
        <f>+G1539*(IF(G1542&gt;0,2,0)+IF(G1543&gt;0,1,0))</f>
        <v>0</v>
      </c>
      <c r="H1548" s="2359">
        <v>0</v>
      </c>
      <c r="I1548" s="2416"/>
      <c r="J1548" s="2359" t="s">
        <v>6344</v>
      </c>
      <c r="K1548" s="2359">
        <v>0</v>
      </c>
      <c r="L1548" s="2360">
        <f>H1548*G1548</f>
        <v>0</v>
      </c>
      <c r="M1548" s="2360">
        <f t="shared" si="286"/>
        <v>0</v>
      </c>
      <c r="N1548" s="2359">
        <v>0</v>
      </c>
      <c r="O1548" s="2360">
        <f t="shared" si="287"/>
        <v>0</v>
      </c>
      <c r="P1548" s="2265"/>
      <c r="Q1548" s="2266"/>
      <c r="R1548" s="2266"/>
      <c r="S1548" s="2266"/>
    </row>
    <row r="1549" spans="1:19" s="2105" customFormat="1" outlineLevel="1">
      <c r="A1549" s="2182" t="str">
        <f>IF(G1549&lt;&gt;0,1,"")</f>
        <v/>
      </c>
      <c r="B1549" s="2261"/>
      <c r="C1549" s="2258">
        <f>IF(G1549&gt;0,C1535+1,C1535)</f>
        <v>0</v>
      </c>
      <c r="D1549" s="2259"/>
      <c r="E1549" s="2417" t="s">
        <v>6219</v>
      </c>
      <c r="F1549" s="2258" t="s">
        <v>2385</v>
      </c>
      <c r="G1549" s="2263">
        <f>+G1511*1</f>
        <v>0</v>
      </c>
      <c r="H1549" s="2416"/>
      <c r="I1549" s="2416"/>
      <c r="J1549" s="2416"/>
      <c r="K1549" s="2416"/>
      <c r="L1549" s="2360">
        <f t="shared" ref="L1549:L1574" si="288">H1549*G1549</f>
        <v>0</v>
      </c>
      <c r="M1549" s="2360">
        <f>I1549*G1549</f>
        <v>0</v>
      </c>
      <c r="N1549" s="2360">
        <f>J1549*G1549</f>
        <v>0</v>
      </c>
      <c r="O1549" s="2360">
        <f>K1549*G1549</f>
        <v>0</v>
      </c>
      <c r="P1549" s="2265"/>
      <c r="Q1549" s="2266"/>
      <c r="R1549" s="2266"/>
      <c r="S1549" s="2266"/>
    </row>
    <row r="1550" spans="1:19" s="2105" customFormat="1" ht="14.4" outlineLevel="1">
      <c r="A1550" s="2182" t="str">
        <f>A1549</f>
        <v/>
      </c>
      <c r="B1550" s="2261"/>
      <c r="C1550" s="2258"/>
      <c r="D1550" s="2259"/>
      <c r="E1550" s="2267" t="s">
        <v>6133</v>
      </c>
      <c r="F1550" s="2268"/>
      <c r="G1550" s="2269"/>
      <c r="H1550" s="2416"/>
      <c r="I1550" s="2416"/>
      <c r="J1550" s="2416"/>
      <c r="K1550" s="2416"/>
      <c r="L1550" s="2360">
        <f t="shared" si="288"/>
        <v>0</v>
      </c>
      <c r="M1550" s="2360">
        <f>I1550*G1550</f>
        <v>0</v>
      </c>
      <c r="N1550" s="2360">
        <f>J1550*G1550</f>
        <v>0</v>
      </c>
      <c r="O1550" s="2360">
        <f>K1550*G1550</f>
        <v>0</v>
      </c>
      <c r="P1550" s="2265"/>
      <c r="Q1550" s="2266"/>
      <c r="R1550" s="2266"/>
      <c r="S1550" s="2266"/>
    </row>
    <row r="1551" spans="1:19" s="2105" customFormat="1" outlineLevel="1">
      <c r="A1551" s="2182" t="str">
        <f>IF(G1551&lt;&gt;0,1,"")</f>
        <v/>
      </c>
      <c r="B1551" s="2133" t="s">
        <v>5155</v>
      </c>
      <c r="C1551" s="2258"/>
      <c r="D1551" s="2152">
        <v>0</v>
      </c>
      <c r="E1551" s="2194" t="s">
        <v>5156</v>
      </c>
      <c r="F1551" s="2152" t="s">
        <v>2590</v>
      </c>
      <c r="G1551" s="2270">
        <f>+G1549*1</f>
        <v>0</v>
      </c>
      <c r="H1551" s="2359">
        <v>878000</v>
      </c>
      <c r="I1551" s="2359"/>
      <c r="J1551" s="2359">
        <v>0</v>
      </c>
      <c r="K1551" s="2359">
        <v>0</v>
      </c>
      <c r="L1551" s="2360">
        <f t="shared" si="288"/>
        <v>0</v>
      </c>
      <c r="M1551" s="2360">
        <f>I1551*G1551</f>
        <v>0</v>
      </c>
      <c r="N1551" s="2360">
        <f>J1551*G1551</f>
        <v>0</v>
      </c>
      <c r="O1551" s="2360">
        <f>K1551*G1551</f>
        <v>0</v>
      </c>
      <c r="P1551" s="2265"/>
      <c r="Q1551" s="2266"/>
      <c r="R1551" s="2266"/>
      <c r="S1551" s="2266"/>
    </row>
    <row r="1552" spans="1:19" s="2105" customFormat="1" outlineLevel="1">
      <c r="A1552" s="2182" t="str">
        <f>IF(G1552&lt;&gt;0,1,"")</f>
        <v/>
      </c>
      <c r="B1552" s="2130" t="s">
        <v>488</v>
      </c>
      <c r="C1552" s="2258"/>
      <c r="D1552" s="2152">
        <v>0</v>
      </c>
      <c r="E1552" s="2194" t="s">
        <v>5078</v>
      </c>
      <c r="F1552" s="2152" t="s">
        <v>2439</v>
      </c>
      <c r="G1552" s="2269">
        <f>+G1549*3</f>
        <v>0</v>
      </c>
      <c r="H1552" s="2359">
        <v>65000</v>
      </c>
      <c r="I1552" s="2359">
        <v>0</v>
      </c>
      <c r="J1552" s="2359">
        <v>0</v>
      </c>
      <c r="K1552" s="2359">
        <v>0</v>
      </c>
      <c r="L1552" s="2360">
        <f t="shared" si="288"/>
        <v>0</v>
      </c>
      <c r="M1552" s="2360">
        <f>I1552*G1552</f>
        <v>0</v>
      </c>
      <c r="N1552" s="2360">
        <f>J1552*G1552</f>
        <v>0</v>
      </c>
      <c r="O1552" s="2360">
        <f>K1552*G1552</f>
        <v>0</v>
      </c>
      <c r="P1552" s="2265"/>
      <c r="Q1552" s="2266"/>
      <c r="R1552" s="2266"/>
      <c r="S1552" s="2266"/>
    </row>
    <row r="1553" spans="1:19" s="2105" customFormat="1" outlineLevel="1">
      <c r="A1553" s="2182" t="str">
        <f>IF(G1553&lt;&gt;0,1,"")</f>
        <v/>
      </c>
      <c r="B1553" s="2261" t="s">
        <v>1079</v>
      </c>
      <c r="C1553" s="2258"/>
      <c r="D1553" s="2152">
        <v>0</v>
      </c>
      <c r="E1553" s="2194" t="s">
        <v>2651</v>
      </c>
      <c r="F1553" s="2152" t="s">
        <v>2439</v>
      </c>
      <c r="G1553" s="2269">
        <f>+G1549*2</f>
        <v>0</v>
      </c>
      <c r="H1553" s="2359">
        <v>27900</v>
      </c>
      <c r="I1553" s="2416"/>
      <c r="J1553" s="2359">
        <v>0</v>
      </c>
      <c r="K1553" s="2359">
        <v>0</v>
      </c>
      <c r="L1553" s="2360">
        <f t="shared" si="288"/>
        <v>0</v>
      </c>
      <c r="M1553" s="2360">
        <f>I1553*G1553</f>
        <v>0</v>
      </c>
      <c r="N1553" s="2360">
        <f>J1553*G1553</f>
        <v>0</v>
      </c>
      <c r="O1553" s="2360">
        <f>K1553*G1553</f>
        <v>0</v>
      </c>
      <c r="P1553" s="2265"/>
      <c r="Q1553" s="2266"/>
      <c r="R1553" s="2266"/>
      <c r="S1553" s="2266"/>
    </row>
    <row r="1554" spans="1:19" s="2105" customFormat="1" outlineLevel="1">
      <c r="A1554" s="2182" t="str">
        <f>IF(G1554&lt;&gt;0,1,"")</f>
        <v/>
      </c>
      <c r="B1554" s="2252" t="s">
        <v>2242</v>
      </c>
      <c r="C1554" s="2258"/>
      <c r="D1554" s="2152" t="s">
        <v>5444</v>
      </c>
      <c r="E1554" s="2194" t="s">
        <v>2440</v>
      </c>
      <c r="F1554" s="2152" t="s">
        <v>2439</v>
      </c>
      <c r="G1554" s="2269">
        <f>+G1549</f>
        <v>0</v>
      </c>
      <c r="H1554" s="2264">
        <v>0</v>
      </c>
      <c r="I1554" s="2359"/>
      <c r="J1554" s="2359" t="s">
        <v>6345</v>
      </c>
      <c r="K1554" s="2359"/>
      <c r="L1554" s="2360">
        <f t="shared" si="288"/>
        <v>0</v>
      </c>
      <c r="M1554" s="2360"/>
      <c r="N1554" s="2359">
        <v>0</v>
      </c>
      <c r="O1554" s="2360"/>
      <c r="P1554" s="2265"/>
      <c r="Q1554" s="2266"/>
      <c r="R1554" s="2266"/>
      <c r="S1554" s="2266"/>
    </row>
    <row r="1555" spans="1:19" s="2105" customFormat="1" outlineLevel="1">
      <c r="A1555" s="2182" t="str">
        <f>IF(G1555&lt;&gt;0,1,"")</f>
        <v/>
      </c>
      <c r="B1555" s="2261"/>
      <c r="C1555" s="2258">
        <f>IF(G1555&gt;0,C1539+1,C1539)</f>
        <v>0</v>
      </c>
      <c r="D1555" s="2259"/>
      <c r="E1555" s="2417" t="s">
        <v>6220</v>
      </c>
      <c r="F1555" s="2258" t="s">
        <v>2385</v>
      </c>
      <c r="G1555" s="2263">
        <f>+G1539*2</f>
        <v>0</v>
      </c>
      <c r="H1555" s="2416"/>
      <c r="I1555" s="2416"/>
      <c r="J1555" s="2416"/>
      <c r="K1555" s="2416"/>
      <c r="L1555" s="2360">
        <f t="shared" si="288"/>
        <v>0</v>
      </c>
      <c r="M1555" s="2360">
        <f>I1555*G1555</f>
        <v>0</v>
      </c>
      <c r="N1555" s="2360">
        <f>J1555*G1555</f>
        <v>0</v>
      </c>
      <c r="O1555" s="2360">
        <f>K1555*G1555</f>
        <v>0</v>
      </c>
      <c r="P1555" s="2265"/>
      <c r="Q1555" s="2266"/>
      <c r="R1555" s="2266"/>
      <c r="S1555" s="2266"/>
    </row>
    <row r="1556" spans="1:19" s="2105" customFormat="1" ht="14.4" outlineLevel="1">
      <c r="A1556" s="2182" t="str">
        <f>A1555</f>
        <v/>
      </c>
      <c r="B1556" s="2261"/>
      <c r="C1556" s="2258"/>
      <c r="D1556" s="2259"/>
      <c r="E1556" s="2267" t="s">
        <v>6133</v>
      </c>
      <c r="F1556" s="2268"/>
      <c r="G1556" s="2269"/>
      <c r="H1556" s="2416"/>
      <c r="I1556" s="2416"/>
      <c r="J1556" s="2416"/>
      <c r="K1556" s="2416"/>
      <c r="L1556" s="2360">
        <f t="shared" si="288"/>
        <v>0</v>
      </c>
      <c r="M1556" s="2360">
        <f>I1556*G1556</f>
        <v>0</v>
      </c>
      <c r="N1556" s="2360">
        <f>J1556*G1556</f>
        <v>0</v>
      </c>
      <c r="O1556" s="2360">
        <f>K1556*G1556</f>
        <v>0</v>
      </c>
      <c r="P1556" s="2265"/>
      <c r="Q1556" s="2266"/>
      <c r="R1556" s="2266"/>
      <c r="S1556" s="2266"/>
    </row>
    <row r="1557" spans="1:19" s="2105" customFormat="1" outlineLevel="1">
      <c r="A1557" s="2182" t="str">
        <f>IF(G1557&lt;&gt;0,1,"")</f>
        <v/>
      </c>
      <c r="B1557" s="2252" t="s">
        <v>2022</v>
      </c>
      <c r="C1557" s="2258"/>
      <c r="D1557" s="2152">
        <v>0</v>
      </c>
      <c r="E1557" s="2194" t="s">
        <v>2437</v>
      </c>
      <c r="F1557" s="2152" t="s">
        <v>2248</v>
      </c>
      <c r="G1557" s="2270">
        <f>G1555*9.02*(2.6+3*0.07)</f>
        <v>0</v>
      </c>
      <c r="H1557" s="2264">
        <v>32074</v>
      </c>
      <c r="I1557" s="2359"/>
      <c r="J1557" s="2359">
        <v>0</v>
      </c>
      <c r="K1557" s="2359">
        <v>0</v>
      </c>
      <c r="L1557" s="2360">
        <f t="shared" si="288"/>
        <v>0</v>
      </c>
      <c r="M1557" s="2360">
        <f>I1557*G1557</f>
        <v>0</v>
      </c>
      <c r="N1557" s="2360">
        <f>J1557*G1557</f>
        <v>0</v>
      </c>
      <c r="O1557" s="2360">
        <f>K1557*G1557</f>
        <v>0</v>
      </c>
      <c r="P1557" s="2265"/>
      <c r="Q1557" s="2266"/>
      <c r="R1557" s="2266"/>
      <c r="S1557" s="2266"/>
    </row>
    <row r="1558" spans="1:19" s="2105" customFormat="1" outlineLevel="1">
      <c r="A1558" s="2182" t="str">
        <f>IF(G1558&lt;&gt;0,1,"")</f>
        <v/>
      </c>
      <c r="B1558" s="2261" t="s">
        <v>1610</v>
      </c>
      <c r="C1558" s="2258"/>
      <c r="D1558" s="2152">
        <v>0</v>
      </c>
      <c r="E1558" s="2194" t="s">
        <v>2649</v>
      </c>
      <c r="F1558" s="2152" t="s">
        <v>2439</v>
      </c>
      <c r="G1558" s="2269">
        <f>G1555*2</f>
        <v>0</v>
      </c>
      <c r="H1558" s="2264">
        <v>25400</v>
      </c>
      <c r="I1558" s="2359">
        <v>0</v>
      </c>
      <c r="J1558" s="2359">
        <v>0</v>
      </c>
      <c r="K1558" s="2359">
        <v>0</v>
      </c>
      <c r="L1558" s="2360">
        <f t="shared" si="288"/>
        <v>0</v>
      </c>
      <c r="M1558" s="2360">
        <f>I1558*G1558</f>
        <v>0</v>
      </c>
      <c r="N1558" s="2360">
        <f>J1558*G1558</f>
        <v>0</v>
      </c>
      <c r="O1558" s="2360">
        <f>K1558*G1558</f>
        <v>0</v>
      </c>
      <c r="P1558" s="2265"/>
      <c r="Q1558" s="2266"/>
      <c r="R1558" s="2266"/>
      <c r="S1558" s="2266"/>
    </row>
    <row r="1559" spans="1:19" s="2105" customFormat="1" outlineLevel="1">
      <c r="A1559" s="2182" t="str">
        <f>IF(G1559&lt;&gt;0,1,"")</f>
        <v/>
      </c>
      <c r="B1559" s="2261" t="s">
        <v>2242</v>
      </c>
      <c r="C1559" s="2258"/>
      <c r="D1559" s="2152" t="s">
        <v>5444</v>
      </c>
      <c r="E1559" s="2194" t="s">
        <v>2440</v>
      </c>
      <c r="F1559" s="2152" t="s">
        <v>2439</v>
      </c>
      <c r="G1559" s="2269">
        <f>G1511</f>
        <v>0</v>
      </c>
      <c r="H1559" s="2264">
        <v>0</v>
      </c>
      <c r="I1559" s="2359"/>
      <c r="J1559" s="2359" t="s">
        <v>6345</v>
      </c>
      <c r="K1559" s="2359"/>
      <c r="L1559" s="2360">
        <f t="shared" si="288"/>
        <v>0</v>
      </c>
      <c r="M1559" s="2360"/>
      <c r="N1559" s="2359">
        <v>0</v>
      </c>
      <c r="O1559" s="2360"/>
      <c r="P1559" s="2265"/>
      <c r="Q1559" s="2266"/>
      <c r="R1559" s="2266"/>
      <c r="S1559" s="2266"/>
    </row>
    <row r="1560" spans="1:19" s="2105" customFormat="1" outlineLevel="1">
      <c r="A1560" s="2182" t="str">
        <f>IF(G1560&lt;&gt;0,1,"")</f>
        <v/>
      </c>
      <c r="B1560" s="2261"/>
      <c r="C1560" s="2258">
        <f>IF(G1560&gt;0,C1555+1,C1555)</f>
        <v>0</v>
      </c>
      <c r="D1560" s="2259"/>
      <c r="E1560" s="2417" t="s">
        <v>6221</v>
      </c>
      <c r="F1560" s="2258" t="s">
        <v>2385</v>
      </c>
      <c r="G1560" s="2263">
        <f>G1511*2</f>
        <v>0</v>
      </c>
      <c r="H1560" s="2416"/>
      <c r="I1560" s="2416"/>
      <c r="J1560" s="2416"/>
      <c r="K1560" s="2416"/>
      <c r="L1560" s="2360">
        <f t="shared" si="288"/>
        <v>0</v>
      </c>
      <c r="M1560" s="2360">
        <f>I1560*G1560</f>
        <v>0</v>
      </c>
      <c r="N1560" s="2360">
        <f>J1560*G1560</f>
        <v>0</v>
      </c>
      <c r="O1560" s="2360">
        <f>K1560*G1560</f>
        <v>0</v>
      </c>
      <c r="P1560" s="2265"/>
      <c r="Q1560" s="2266"/>
      <c r="R1560" s="2266"/>
      <c r="S1560" s="2266"/>
    </row>
    <row r="1561" spans="1:19" s="2105" customFormat="1" ht="14.4" outlineLevel="1">
      <c r="A1561" s="2182" t="str">
        <f>A1560</f>
        <v/>
      </c>
      <c r="B1561" s="2261"/>
      <c r="C1561" s="2258"/>
      <c r="D1561" s="2259"/>
      <c r="E1561" s="2267" t="s">
        <v>6133</v>
      </c>
      <c r="F1561" s="2268"/>
      <c r="G1561" s="2269"/>
      <c r="H1561" s="2416"/>
      <c r="I1561" s="2416"/>
      <c r="J1561" s="2416"/>
      <c r="K1561" s="2416"/>
      <c r="L1561" s="2360">
        <f t="shared" si="288"/>
        <v>0</v>
      </c>
      <c r="M1561" s="2360">
        <f>I1561*G1561</f>
        <v>0</v>
      </c>
      <c r="N1561" s="2360">
        <f>J1561*G1561</f>
        <v>0</v>
      </c>
      <c r="O1561" s="2360">
        <f>K1561*G1561</f>
        <v>0</v>
      </c>
      <c r="P1561" s="2265"/>
      <c r="Q1561" s="2266"/>
      <c r="R1561" s="2266"/>
      <c r="S1561" s="2266"/>
    </row>
    <row r="1562" spans="1:19" s="2105" customFormat="1" outlineLevel="1">
      <c r="A1562" s="2182" t="str">
        <f>IF(G1562&lt;&gt;0,1,"")</f>
        <v/>
      </c>
      <c r="B1562" s="2261" t="s">
        <v>2022</v>
      </c>
      <c r="C1562" s="2258"/>
      <c r="D1562" s="2152">
        <v>0</v>
      </c>
      <c r="E1562" s="2194" t="s">
        <v>2437</v>
      </c>
      <c r="F1562" s="2152" t="s">
        <v>2248</v>
      </c>
      <c r="G1562" s="2270">
        <f>G1560*9.02*2.6</f>
        <v>0</v>
      </c>
      <c r="H1562" s="2264">
        <v>32074</v>
      </c>
      <c r="I1562" s="2359"/>
      <c r="J1562" s="2359">
        <v>0</v>
      </c>
      <c r="K1562" s="2359"/>
      <c r="L1562" s="2360">
        <f t="shared" si="288"/>
        <v>0</v>
      </c>
      <c r="M1562" s="2360"/>
      <c r="N1562" s="2360"/>
      <c r="O1562" s="2360"/>
      <c r="P1562" s="2265"/>
      <c r="Q1562" s="2266"/>
      <c r="R1562" s="2266"/>
      <c r="S1562" s="2266"/>
    </row>
    <row r="1563" spans="1:19" s="2105" customFormat="1" outlineLevel="1">
      <c r="A1563" s="2182" t="str">
        <f>IF(G1563&lt;&gt;0,1,"")</f>
        <v/>
      </c>
      <c r="B1563" s="2261" t="s">
        <v>1083</v>
      </c>
      <c r="C1563" s="2258"/>
      <c r="D1563" s="2152">
        <v>0</v>
      </c>
      <c r="E1563" s="2194" t="s">
        <v>2652</v>
      </c>
      <c r="F1563" s="2152" t="s">
        <v>2439</v>
      </c>
      <c r="G1563" s="2269">
        <f>G1560*2</f>
        <v>0</v>
      </c>
      <c r="H1563" s="2264">
        <v>29900</v>
      </c>
      <c r="I1563" s="2359">
        <v>0</v>
      </c>
      <c r="J1563" s="2359">
        <v>0</v>
      </c>
      <c r="K1563" s="2359"/>
      <c r="L1563" s="2360">
        <f t="shared" si="288"/>
        <v>0</v>
      </c>
      <c r="M1563" s="2360"/>
      <c r="N1563" s="2360"/>
      <c r="O1563" s="2360"/>
      <c r="P1563" s="2265"/>
      <c r="Q1563" s="2266"/>
      <c r="R1563" s="2266"/>
      <c r="S1563" s="2266"/>
    </row>
    <row r="1564" spans="1:19" s="2105" customFormat="1" outlineLevel="1">
      <c r="A1564" s="2182" t="str">
        <f>IF(G1564&lt;&gt;0,1,"")</f>
        <v/>
      </c>
      <c r="B1564" s="2261" t="s">
        <v>138</v>
      </c>
      <c r="C1564" s="2258"/>
      <c r="D1564" s="2152">
        <v>0</v>
      </c>
      <c r="E1564" s="2194" t="s">
        <v>2627</v>
      </c>
      <c r="F1564" s="2152" t="s">
        <v>2439</v>
      </c>
      <c r="G1564" s="2269">
        <f>G1560*2</f>
        <v>0</v>
      </c>
      <c r="H1564" s="2264">
        <v>8500</v>
      </c>
      <c r="I1564" s="2359">
        <v>0</v>
      </c>
      <c r="J1564" s="2359">
        <v>0</v>
      </c>
      <c r="K1564" s="2359"/>
      <c r="L1564" s="2360">
        <f t="shared" si="288"/>
        <v>0</v>
      </c>
      <c r="M1564" s="2360"/>
      <c r="N1564" s="2360"/>
      <c r="O1564" s="2360"/>
      <c r="P1564" s="2265"/>
      <c r="Q1564" s="2266"/>
      <c r="R1564" s="2266"/>
      <c r="S1564" s="2266"/>
    </row>
    <row r="1565" spans="1:19" s="2105" customFormat="1" outlineLevel="1">
      <c r="A1565" s="2182" t="str">
        <f>IF(G1565&lt;&gt;0,1,"")</f>
        <v/>
      </c>
      <c r="B1565" s="2261" t="s">
        <v>2242</v>
      </c>
      <c r="C1565" s="2258"/>
      <c r="D1565" s="2152" t="s">
        <v>5444</v>
      </c>
      <c r="E1565" s="2194" t="s">
        <v>2440</v>
      </c>
      <c r="F1565" s="2152" t="s">
        <v>2439</v>
      </c>
      <c r="G1565" s="2269">
        <f>G1560/2</f>
        <v>0</v>
      </c>
      <c r="H1565" s="2264">
        <v>0</v>
      </c>
      <c r="I1565" s="2359"/>
      <c r="J1565" s="2359" t="s">
        <v>6345</v>
      </c>
      <c r="K1565" s="2359"/>
      <c r="L1565" s="2360">
        <f t="shared" si="288"/>
        <v>0</v>
      </c>
      <c r="M1565" s="2360"/>
      <c r="N1565" s="2359">
        <v>0</v>
      </c>
      <c r="O1565" s="2360"/>
      <c r="P1565" s="2265"/>
      <c r="Q1565" s="2266"/>
      <c r="R1565" s="2266"/>
      <c r="S1565" s="2266"/>
    </row>
    <row r="1566" spans="1:19" s="2105" customFormat="1" outlineLevel="1">
      <c r="A1566" s="2182" t="str">
        <f>IF(G1566&lt;&gt;0,1,"")</f>
        <v/>
      </c>
      <c r="B1566" s="2261"/>
      <c r="C1566" s="2258">
        <f>IF(G1566&gt;0,C1560+1,C1560)</f>
        <v>0</v>
      </c>
      <c r="D1566" s="2259"/>
      <c r="E1566" s="2417" t="s">
        <v>3720</v>
      </c>
      <c r="F1566" s="2258" t="s">
        <v>2385</v>
      </c>
      <c r="G1566" s="2263">
        <f>G1511</f>
        <v>0</v>
      </c>
      <c r="H1566" s="2264"/>
      <c r="I1566" s="2264"/>
      <c r="J1566" s="2264"/>
      <c r="K1566" s="2264"/>
      <c r="L1566" s="2264">
        <f t="shared" si="288"/>
        <v>0</v>
      </c>
      <c r="M1566" s="2264">
        <f>I1566*G1566</f>
        <v>0</v>
      </c>
      <c r="N1566" s="2264">
        <f t="shared" ref="N1566:N1572" si="289">J1566*G1566</f>
        <v>0</v>
      </c>
      <c r="O1566" s="2264">
        <f>K1566*G1566</f>
        <v>0</v>
      </c>
      <c r="P1566" s="2389"/>
      <c r="Q1566" s="2266"/>
      <c r="R1566" s="2266"/>
      <c r="S1566" s="2266"/>
    </row>
    <row r="1567" spans="1:19" s="2105" customFormat="1" ht="14.4" outlineLevel="1">
      <c r="A1567" s="2182" t="str">
        <f>+A1566</f>
        <v/>
      </c>
      <c r="B1567" s="2418"/>
      <c r="C1567" s="2258"/>
      <c r="D1567" s="2259"/>
      <c r="E1567" s="2267" t="s">
        <v>6133</v>
      </c>
      <c r="F1567" s="2268"/>
      <c r="G1567" s="2269"/>
      <c r="H1567" s="2264"/>
      <c r="I1567" s="2264"/>
      <c r="J1567" s="2264"/>
      <c r="K1567" s="2264"/>
      <c r="L1567" s="2264">
        <f t="shared" si="288"/>
        <v>0</v>
      </c>
      <c r="M1567" s="2264">
        <f>I1567*G1567</f>
        <v>0</v>
      </c>
      <c r="N1567" s="2264">
        <f t="shared" si="289"/>
        <v>0</v>
      </c>
      <c r="O1567" s="2264">
        <f>K1567*G1567</f>
        <v>0</v>
      </c>
      <c r="P1567" s="2389"/>
      <c r="Q1567" s="2266"/>
      <c r="R1567" s="2266"/>
      <c r="S1567" s="2266"/>
    </row>
    <row r="1568" spans="1:19" s="2105" customFormat="1" outlineLevel="1">
      <c r="A1568" s="2182" t="str">
        <f t="shared" ref="A1568:A1574" si="290">IF(G1568&lt;&gt;0,1,"")</f>
        <v/>
      </c>
      <c r="B1568" s="2261" t="s">
        <v>1033</v>
      </c>
      <c r="C1568" s="2258"/>
      <c r="D1568" s="2152">
        <v>0</v>
      </c>
      <c r="E1568" s="2194" t="s">
        <v>2700</v>
      </c>
      <c r="F1568" s="2152" t="s">
        <v>2248</v>
      </c>
      <c r="G1568" s="2270">
        <f>$H$3*0.224*G1566</f>
        <v>0</v>
      </c>
      <c r="H1568" s="2264">
        <v>255500</v>
      </c>
      <c r="I1568" s="2264"/>
      <c r="J1568" s="2264">
        <v>0</v>
      </c>
      <c r="K1568" s="2264">
        <v>0</v>
      </c>
      <c r="L1568" s="2264">
        <f t="shared" si="288"/>
        <v>0</v>
      </c>
      <c r="M1568" s="2264">
        <f>I1568*G1568</f>
        <v>0</v>
      </c>
      <c r="N1568" s="2264">
        <f t="shared" si="289"/>
        <v>0</v>
      </c>
      <c r="O1568" s="2264">
        <f>K1568*G1568</f>
        <v>0</v>
      </c>
      <c r="P1568" s="2389"/>
      <c r="Q1568" s="2266"/>
      <c r="R1568" s="2266"/>
      <c r="S1568" s="2266"/>
    </row>
    <row r="1569" spans="1:20" s="2105" customFormat="1" outlineLevel="1">
      <c r="A1569" s="2182" t="str">
        <f t="shared" si="290"/>
        <v/>
      </c>
      <c r="B1569" s="2252" t="s">
        <v>1508</v>
      </c>
      <c r="C1569" s="2258"/>
      <c r="D1569" s="2152">
        <v>0</v>
      </c>
      <c r="E1569" s="2194" t="s">
        <v>5163</v>
      </c>
      <c r="F1569" s="2152" t="s">
        <v>2439</v>
      </c>
      <c r="G1569" s="2269">
        <f>$H$2*G1566</f>
        <v>0</v>
      </c>
      <c r="H1569" s="2264">
        <v>160000</v>
      </c>
      <c r="I1569" s="2264"/>
      <c r="J1569" s="2264">
        <v>0</v>
      </c>
      <c r="K1569" s="2264">
        <v>0</v>
      </c>
      <c r="L1569" s="2264">
        <f t="shared" si="288"/>
        <v>0</v>
      </c>
      <c r="M1569" s="2264">
        <f>I1569*G1569</f>
        <v>0</v>
      </c>
      <c r="N1569" s="2264">
        <f t="shared" si="289"/>
        <v>0</v>
      </c>
      <c r="O1569" s="2264">
        <f>K1569*G1569</f>
        <v>0</v>
      </c>
      <c r="P1569" s="2389"/>
      <c r="Q1569" s="2266"/>
      <c r="R1569" s="2266"/>
      <c r="S1569" s="2266"/>
    </row>
    <row r="1570" spans="1:20" s="2105" customFormat="1" outlineLevel="1">
      <c r="A1570" s="2182" t="str">
        <f t="shared" si="290"/>
        <v/>
      </c>
      <c r="B1570" s="2252" t="s">
        <v>1490</v>
      </c>
      <c r="C1570" s="2258"/>
      <c r="D1570" s="2152">
        <v>0</v>
      </c>
      <c r="E1570" s="2194" t="s">
        <v>3536</v>
      </c>
      <c r="F1570" s="2152" t="s">
        <v>1823</v>
      </c>
      <c r="G1570" s="2269">
        <f>G1566*16</f>
        <v>0</v>
      </c>
      <c r="H1570" s="2264">
        <v>6200</v>
      </c>
      <c r="I1570" s="2264"/>
      <c r="J1570" s="2264">
        <v>0</v>
      </c>
      <c r="K1570" s="2264">
        <v>0</v>
      </c>
      <c r="L1570" s="2264">
        <f t="shared" si="288"/>
        <v>0</v>
      </c>
      <c r="M1570" s="2264">
        <f>I1570*G1570</f>
        <v>0</v>
      </c>
      <c r="N1570" s="2264">
        <f t="shared" si="289"/>
        <v>0</v>
      </c>
      <c r="O1570" s="2264">
        <f>K1570*G1570</f>
        <v>0</v>
      </c>
      <c r="P1570" s="2265"/>
      <c r="Q1570" s="2266"/>
      <c r="R1570" s="2266"/>
      <c r="S1570" s="2266"/>
    </row>
    <row r="1571" spans="1:20" s="2105" customFormat="1" outlineLevel="1">
      <c r="A1571" s="2182" t="str">
        <f t="shared" si="290"/>
        <v/>
      </c>
      <c r="B1571" s="2261" t="s">
        <v>1579</v>
      </c>
      <c r="C1571" s="2258"/>
      <c r="D1571" s="2152">
        <v>0</v>
      </c>
      <c r="E1571" s="2194" t="s">
        <v>2873</v>
      </c>
      <c r="F1571" s="2152" t="s">
        <v>2555</v>
      </c>
      <c r="G1571" s="2269">
        <f>2*G1566</f>
        <v>0</v>
      </c>
      <c r="H1571" s="2264">
        <v>8000</v>
      </c>
      <c r="I1571" s="2264"/>
      <c r="J1571" s="2264">
        <v>0</v>
      </c>
      <c r="K1571" s="2264"/>
      <c r="L1571" s="2264">
        <f t="shared" si="288"/>
        <v>0</v>
      </c>
      <c r="M1571" s="2264"/>
      <c r="N1571" s="2264">
        <f t="shared" si="289"/>
        <v>0</v>
      </c>
      <c r="O1571" s="2264"/>
      <c r="P1571" s="2389"/>
      <c r="Q1571" s="2266"/>
      <c r="R1571" s="2266"/>
      <c r="S1571" s="2266"/>
    </row>
    <row r="1572" spans="1:20" s="2105" customFormat="1" outlineLevel="1">
      <c r="A1572" s="2182" t="str">
        <f t="shared" si="290"/>
        <v/>
      </c>
      <c r="B1572" s="2261" t="s">
        <v>816</v>
      </c>
      <c r="C1572" s="2419"/>
      <c r="D1572" s="2152">
        <v>0</v>
      </c>
      <c r="E1572" s="2194" t="s">
        <v>3581</v>
      </c>
      <c r="F1572" s="2152" t="s">
        <v>2555</v>
      </c>
      <c r="G1572" s="2269">
        <f>+IF(G1569&lt;=12,15,21)*G1566</f>
        <v>0</v>
      </c>
      <c r="H1572" s="2264">
        <v>17600</v>
      </c>
      <c r="I1572" s="2264"/>
      <c r="J1572" s="2264">
        <v>0</v>
      </c>
      <c r="K1572" s="2264"/>
      <c r="L1572" s="2264">
        <f t="shared" si="288"/>
        <v>0</v>
      </c>
      <c r="M1572" s="2264">
        <f>I1572*G1572</f>
        <v>0</v>
      </c>
      <c r="N1572" s="2264">
        <f t="shared" si="289"/>
        <v>0</v>
      </c>
      <c r="O1572" s="2264">
        <f>K1572*G1572</f>
        <v>0</v>
      </c>
      <c r="P1572" s="2389"/>
      <c r="Q1572" s="2266"/>
      <c r="R1572" s="2266"/>
      <c r="S1572" s="2266"/>
    </row>
    <row r="1573" spans="1:20" s="2105" customFormat="1" outlineLevel="1">
      <c r="A1573" s="2182" t="str">
        <f t="shared" si="290"/>
        <v/>
      </c>
      <c r="B1573" s="2252" t="s">
        <v>525</v>
      </c>
      <c r="C1573" s="2258"/>
      <c r="D1573" s="2152">
        <v>0</v>
      </c>
      <c r="E1573" s="2194" t="s">
        <v>5252</v>
      </c>
      <c r="F1573" s="2152" t="s">
        <v>2439</v>
      </c>
      <c r="G1573" s="2269">
        <f>+G1566*4</f>
        <v>0</v>
      </c>
      <c r="H1573" s="2264">
        <v>43000</v>
      </c>
      <c r="I1573" s="2264"/>
      <c r="J1573" s="2264">
        <v>0</v>
      </c>
      <c r="K1573" s="2264">
        <v>0</v>
      </c>
      <c r="L1573" s="2264">
        <f t="shared" si="288"/>
        <v>0</v>
      </c>
      <c r="M1573" s="2264">
        <f>I1573*G1573</f>
        <v>0</v>
      </c>
      <c r="N1573" s="2264">
        <f>J1573*G1573</f>
        <v>0</v>
      </c>
      <c r="O1573" s="2264">
        <f>K1573*G1573</f>
        <v>0</v>
      </c>
      <c r="P1573" s="2265"/>
      <c r="Q1573" s="2266"/>
      <c r="R1573" s="2266"/>
      <c r="S1573" s="2266"/>
    </row>
    <row r="1574" spans="1:20" s="2105" customFormat="1" outlineLevel="1">
      <c r="A1574" s="2182" t="str">
        <f t="shared" si="290"/>
        <v/>
      </c>
      <c r="B1574" s="2252" t="s">
        <v>1585</v>
      </c>
      <c r="C1574" s="2258"/>
      <c r="D1574" s="2152">
        <v>0</v>
      </c>
      <c r="E1574" s="2194" t="s">
        <v>5713</v>
      </c>
      <c r="F1574" s="2152" t="s">
        <v>3445</v>
      </c>
      <c r="G1574" s="2269">
        <f>$L$3*G1566</f>
        <v>0</v>
      </c>
      <c r="H1574" s="2264">
        <v>0</v>
      </c>
      <c r="I1574" s="2264"/>
      <c r="J1574" s="2264">
        <v>1500000</v>
      </c>
      <c r="K1574" s="2264">
        <v>0</v>
      </c>
      <c r="L1574" s="2264">
        <f t="shared" si="288"/>
        <v>0</v>
      </c>
      <c r="M1574" s="2264">
        <f>I1574*G1574</f>
        <v>0</v>
      </c>
      <c r="N1574" s="2264">
        <f>J1574*G1574</f>
        <v>0</v>
      </c>
      <c r="O1574" s="2264">
        <f>K1574*G1574</f>
        <v>0</v>
      </c>
      <c r="P1574" s="2389"/>
      <c r="Q1574" s="2266"/>
      <c r="R1574" s="2266"/>
      <c r="S1574" s="2266"/>
    </row>
    <row r="1575" spans="1:20" s="2105" customFormat="1" outlineLevel="1">
      <c r="A1575" s="2182">
        <f>IF(G1575=0,0,1)</f>
        <v>0</v>
      </c>
      <c r="B1575" s="2252" t="s">
        <v>794</v>
      </c>
      <c r="C1575" s="2268"/>
      <c r="D1575" s="2152" t="s">
        <v>5336</v>
      </c>
      <c r="E1575" s="2194" t="s">
        <v>3068</v>
      </c>
      <c r="F1575" s="2152" t="s">
        <v>856</v>
      </c>
      <c r="G1575" s="2420">
        <f>H2*G1566</f>
        <v>0</v>
      </c>
      <c r="H1575" s="2264">
        <v>0</v>
      </c>
      <c r="I1575" s="2264"/>
      <c r="J1575" s="2264">
        <v>283749.75</v>
      </c>
      <c r="K1575" s="2264">
        <v>0</v>
      </c>
      <c r="L1575" s="2264">
        <f t="shared" ref="L1575:O1576" si="291">H1575*$G1575</f>
        <v>0</v>
      </c>
      <c r="M1575" s="2264">
        <f t="shared" si="291"/>
        <v>0</v>
      </c>
      <c r="N1575" s="2264">
        <f t="shared" si="291"/>
        <v>0</v>
      </c>
      <c r="O1575" s="2264">
        <f t="shared" si="291"/>
        <v>0</v>
      </c>
      <c r="P1575" s="2389"/>
      <c r="Q1575" s="2266"/>
      <c r="R1575" s="2266"/>
      <c r="S1575" s="2266"/>
    </row>
    <row r="1576" spans="1:20" s="2105" customFormat="1" outlineLevel="1">
      <c r="A1576" s="2182">
        <f>IF(G1576=0,0,1)</f>
        <v>0</v>
      </c>
      <c r="B1576" s="2252" t="s">
        <v>798</v>
      </c>
      <c r="C1576" s="2268"/>
      <c r="D1576" s="2152" t="s">
        <v>5325</v>
      </c>
      <c r="E1576" s="2194" t="s">
        <v>5337</v>
      </c>
      <c r="F1576" s="2152" t="s">
        <v>856</v>
      </c>
      <c r="G1576" s="2420">
        <f>G1575</f>
        <v>0</v>
      </c>
      <c r="H1576" s="2264">
        <v>0</v>
      </c>
      <c r="I1576" s="2264"/>
      <c r="J1576" s="2264">
        <v>117703.6</v>
      </c>
      <c r="K1576" s="2264">
        <v>0</v>
      </c>
      <c r="L1576" s="2264">
        <f t="shared" si="291"/>
        <v>0</v>
      </c>
      <c r="M1576" s="2264">
        <f t="shared" si="291"/>
        <v>0</v>
      </c>
      <c r="N1576" s="2264">
        <f t="shared" si="291"/>
        <v>0</v>
      </c>
      <c r="O1576" s="2264">
        <f t="shared" si="291"/>
        <v>0</v>
      </c>
      <c r="P1576" s="2389"/>
      <c r="Q1576" s="2266"/>
      <c r="R1576" s="2266"/>
      <c r="S1576" s="2266"/>
    </row>
    <row r="1577" spans="1:20" s="2105" customFormat="1" outlineLevel="1">
      <c r="A1577" s="2182">
        <f>IF(G1577=0,0,1)</f>
        <v>0</v>
      </c>
      <c r="B1577" s="2252" t="s">
        <v>902</v>
      </c>
      <c r="C1577" s="2268"/>
      <c r="D1577" s="2152" t="s">
        <v>5351</v>
      </c>
      <c r="E1577" s="2194" t="s">
        <v>5352</v>
      </c>
      <c r="F1577" s="2152" t="s">
        <v>2278</v>
      </c>
      <c r="G1577" s="2389">
        <f>G1569</f>
        <v>0</v>
      </c>
      <c r="H1577" s="2264">
        <v>0</v>
      </c>
      <c r="I1577" s="2264"/>
      <c r="J1577" s="2264" t="s">
        <v>6312</v>
      </c>
      <c r="K1577" s="2264">
        <v>0</v>
      </c>
      <c r="L1577" s="2264">
        <f>H1577*$G1577</f>
        <v>0</v>
      </c>
      <c r="M1577" s="2264">
        <f>I1577*$G1577</f>
        <v>0</v>
      </c>
      <c r="N1577" s="2264">
        <v>0</v>
      </c>
      <c r="O1577" s="2264">
        <f>K1577*$G1577</f>
        <v>0</v>
      </c>
      <c r="P1577" s="2389"/>
      <c r="Q1577" s="2266"/>
      <c r="R1577" s="2266"/>
      <c r="S1577" s="2266"/>
    </row>
    <row r="1578" spans="1:20" s="2105" customFormat="1" outlineLevel="1">
      <c r="A1578" s="2182" t="str">
        <f>IF(G1578&lt;&gt;0,1,"")</f>
        <v/>
      </c>
      <c r="B1578" s="2252" t="s">
        <v>1437</v>
      </c>
      <c r="C1578" s="2258"/>
      <c r="D1578" s="2152" t="s">
        <v>5346</v>
      </c>
      <c r="E1578" s="2194" t="s">
        <v>5347</v>
      </c>
      <c r="F1578" s="2152" t="s">
        <v>2532</v>
      </c>
      <c r="G1578" s="2269">
        <f>G1566*$H$3</f>
        <v>0</v>
      </c>
      <c r="H1578" s="2264">
        <v>0</v>
      </c>
      <c r="I1578" s="2264"/>
      <c r="J1578" s="2264">
        <v>8070.7000000000007</v>
      </c>
      <c r="K1578" s="2264">
        <v>2044.9974999999999</v>
      </c>
      <c r="L1578" s="2264">
        <f>H1578*G1578</f>
        <v>0</v>
      </c>
      <c r="M1578" s="2264">
        <f>I1578*G1578</f>
        <v>0</v>
      </c>
      <c r="N1578" s="2264">
        <f>J1578*G1578</f>
        <v>0</v>
      </c>
      <c r="O1578" s="2264">
        <f>K1578*G1578</f>
        <v>0</v>
      </c>
      <c r="P1578" s="2389"/>
      <c r="Q1578" s="2266"/>
      <c r="R1578" s="2266"/>
      <c r="S1578" s="2266"/>
    </row>
    <row r="1579" spans="1:20" s="2105" customFormat="1" outlineLevel="1">
      <c r="A1579" s="2182" t="str">
        <f>IF(G1579&lt;&gt;0,1,"")</f>
        <v/>
      </c>
      <c r="B1579" s="2261"/>
      <c r="C1579" s="2258">
        <f>IF(G1579&gt;0,C1566+1,C1566)</f>
        <v>0</v>
      </c>
      <c r="D1579" s="2259"/>
      <c r="E1579" s="2262" t="s">
        <v>6222</v>
      </c>
      <c r="F1579" s="2258" t="s">
        <v>2385</v>
      </c>
      <c r="G1579" s="2263">
        <f>G1516</f>
        <v>0</v>
      </c>
      <c r="H1579" s="2264"/>
      <c r="I1579" s="2264"/>
      <c r="J1579" s="2264"/>
      <c r="K1579" s="2264"/>
      <c r="L1579" s="2264">
        <f t="shared" ref="L1579:L1584" si="292">H1579*G1579</f>
        <v>0</v>
      </c>
      <c r="M1579" s="2264">
        <f t="shared" ref="M1579:M1584" si="293">I1579*G1579</f>
        <v>0</v>
      </c>
      <c r="N1579" s="2264">
        <f t="shared" ref="N1579:N1584" si="294">J1579*G1579</f>
        <v>0</v>
      </c>
      <c r="O1579" s="2264">
        <f t="shared" ref="O1579:O1584" si="295">K1579*G1579</f>
        <v>0</v>
      </c>
      <c r="P1579" s="2265"/>
      <c r="Q1579" s="2266"/>
      <c r="R1579" s="2266"/>
      <c r="S1579" s="2266"/>
    </row>
    <row r="1580" spans="1:20" s="2105" customFormat="1" ht="14.4" outlineLevel="1">
      <c r="A1580" s="2182" t="str">
        <f>A1579</f>
        <v/>
      </c>
      <c r="B1580" s="2261"/>
      <c r="C1580" s="2258"/>
      <c r="D1580" s="2259"/>
      <c r="E1580" s="2267" t="s">
        <v>6133</v>
      </c>
      <c r="F1580" s="2268"/>
      <c r="G1580" s="2269"/>
      <c r="H1580" s="2264"/>
      <c r="I1580" s="2264"/>
      <c r="J1580" s="2264"/>
      <c r="K1580" s="2264"/>
      <c r="L1580" s="2264">
        <f t="shared" si="292"/>
        <v>0</v>
      </c>
      <c r="M1580" s="2264">
        <f t="shared" si="293"/>
        <v>0</v>
      </c>
      <c r="N1580" s="2264">
        <f t="shared" si="294"/>
        <v>0</v>
      </c>
      <c r="O1580" s="2264">
        <f t="shared" si="295"/>
        <v>0</v>
      </c>
      <c r="P1580" s="2265"/>
      <c r="Q1580" s="2266"/>
      <c r="R1580" s="2266"/>
      <c r="S1580" s="2266"/>
    </row>
    <row r="1581" spans="1:20" s="2105" customFormat="1" outlineLevel="1">
      <c r="A1581" s="2182" t="str">
        <f>IF(G1581&lt;&gt;0,1,"")</f>
        <v/>
      </c>
      <c r="B1581" s="2261" t="s">
        <v>653</v>
      </c>
      <c r="C1581" s="2268"/>
      <c r="D1581" s="2152">
        <v>0</v>
      </c>
      <c r="E1581" s="2194" t="s">
        <v>5289</v>
      </c>
      <c r="F1581" s="2152" t="s">
        <v>2248</v>
      </c>
      <c r="G1581" s="2270">
        <f>+G1584*296</f>
        <v>0</v>
      </c>
      <c r="H1581" s="2264">
        <v>1740</v>
      </c>
      <c r="I1581" s="2264"/>
      <c r="J1581" s="2264">
        <v>0</v>
      </c>
      <c r="K1581" s="2264">
        <v>0</v>
      </c>
      <c r="L1581" s="2264">
        <f t="shared" si="292"/>
        <v>0</v>
      </c>
      <c r="M1581" s="2264">
        <f t="shared" si="293"/>
        <v>0</v>
      </c>
      <c r="N1581" s="2264">
        <f t="shared" si="294"/>
        <v>0</v>
      </c>
      <c r="O1581" s="2264">
        <f t="shared" si="295"/>
        <v>0</v>
      </c>
      <c r="P1581" s="2265"/>
      <c r="Q1581" s="2266"/>
      <c r="R1581" s="2266"/>
      <c r="S1581" s="2266"/>
    </row>
    <row r="1582" spans="1:20" s="2105" customFormat="1" outlineLevel="1">
      <c r="A1582" s="2182" t="str">
        <f>IF(G1582&lt;&gt;0,1,"")</f>
        <v/>
      </c>
      <c r="B1582" s="2261" t="s">
        <v>752</v>
      </c>
      <c r="C1582" s="2258"/>
      <c r="D1582" s="2152">
        <v>0</v>
      </c>
      <c r="E1582" s="2194" t="s">
        <v>3004</v>
      </c>
      <c r="F1582" s="2152" t="s">
        <v>856</v>
      </c>
      <c r="G1582" s="2270">
        <f>G1584*0.475</f>
        <v>0</v>
      </c>
      <c r="H1582" s="2264">
        <v>512000</v>
      </c>
      <c r="I1582" s="2264"/>
      <c r="J1582" s="2264">
        <v>0</v>
      </c>
      <c r="K1582" s="2264">
        <v>0</v>
      </c>
      <c r="L1582" s="2264">
        <f t="shared" si="292"/>
        <v>0</v>
      </c>
      <c r="M1582" s="2264">
        <f t="shared" si="293"/>
        <v>0</v>
      </c>
      <c r="N1582" s="2264">
        <f t="shared" si="294"/>
        <v>0</v>
      </c>
      <c r="O1582" s="2264">
        <f t="shared" si="295"/>
        <v>0</v>
      </c>
      <c r="P1582" s="2265"/>
      <c r="Q1582" s="2266"/>
      <c r="R1582" s="2266"/>
      <c r="S1582" s="2266"/>
    </row>
    <row r="1583" spans="1:20" s="2105" customFormat="1" outlineLevel="1">
      <c r="A1583" s="2182" t="str">
        <f>IF(G1583&lt;&gt;0,1,"")</f>
        <v/>
      </c>
      <c r="B1583" s="2261" t="s">
        <v>216</v>
      </c>
      <c r="C1583" s="2258"/>
      <c r="D1583" s="2152">
        <v>0</v>
      </c>
      <c r="E1583" s="2194" t="s">
        <v>3000</v>
      </c>
      <c r="F1583" s="2152" t="s">
        <v>856</v>
      </c>
      <c r="G1583" s="2270">
        <f>G1584*0.881</f>
        <v>0</v>
      </c>
      <c r="H1583" s="2264">
        <v>335000</v>
      </c>
      <c r="I1583" s="2264"/>
      <c r="J1583" s="2264">
        <v>0</v>
      </c>
      <c r="K1583" s="2264">
        <v>0</v>
      </c>
      <c r="L1583" s="2264">
        <f t="shared" si="292"/>
        <v>0</v>
      </c>
      <c r="M1583" s="2264">
        <f t="shared" si="293"/>
        <v>0</v>
      </c>
      <c r="N1583" s="2264">
        <f t="shared" si="294"/>
        <v>0</v>
      </c>
      <c r="O1583" s="2264">
        <f t="shared" si="295"/>
        <v>0</v>
      </c>
      <c r="P1583" s="2265"/>
      <c r="Q1583" s="2266"/>
      <c r="R1583" s="2266"/>
      <c r="S1583" s="2266"/>
    </row>
    <row r="1584" spans="1:20" s="2105" customFormat="1" outlineLevel="1">
      <c r="A1584" s="2182" t="str">
        <f>IF(G1584&lt;&gt;0,1,"")</f>
        <v/>
      </c>
      <c r="B1584" s="2261" t="s">
        <v>654</v>
      </c>
      <c r="C1584" s="2268"/>
      <c r="D1584" s="2152" t="s">
        <v>5471</v>
      </c>
      <c r="E1584" s="2194" t="s">
        <v>5474</v>
      </c>
      <c r="F1584" s="2152" t="s">
        <v>856</v>
      </c>
      <c r="G1584" s="2270">
        <f>G1579*(0.4*3*1-2*3.14*0.15^2*0.4)</f>
        <v>0</v>
      </c>
      <c r="H1584" s="2264"/>
      <c r="I1584" s="2264"/>
      <c r="J1584" s="2264">
        <v>466397.5</v>
      </c>
      <c r="K1584" s="2264">
        <v>0</v>
      </c>
      <c r="L1584" s="2264">
        <f t="shared" si="292"/>
        <v>0</v>
      </c>
      <c r="M1584" s="2264">
        <f t="shared" si="293"/>
        <v>0</v>
      </c>
      <c r="N1584" s="2264">
        <f t="shared" si="294"/>
        <v>0</v>
      </c>
      <c r="O1584" s="2264">
        <f t="shared" si="295"/>
        <v>0</v>
      </c>
      <c r="P1584" s="2265"/>
      <c r="Q1584" s="2272">
        <f>1.025*361</f>
        <v>370.02499999999998</v>
      </c>
      <c r="R1584" s="2272">
        <f>1.025*0.45</f>
        <v>0.46124999999999999</v>
      </c>
      <c r="S1584" s="2272">
        <f>1.025*0.866</f>
        <v>0.88764999999999994</v>
      </c>
      <c r="T1584" s="2273"/>
    </row>
    <row r="1585" spans="1:19" s="2105" customFormat="1" outlineLevel="1">
      <c r="A1585" s="2182" t="str">
        <f>IF(G1585&lt;&gt;0,1,"")</f>
        <v/>
      </c>
      <c r="B1585" s="2261"/>
      <c r="C1585" s="2258">
        <f>IF(G1585&gt;0,C1579+1,C1579)</f>
        <v>0</v>
      </c>
      <c r="D1585" s="2259"/>
      <c r="E1585" s="2376" t="s">
        <v>6209</v>
      </c>
      <c r="F1585" s="2258" t="s">
        <v>2385</v>
      </c>
      <c r="G1585" s="2263">
        <f>G1511</f>
        <v>0</v>
      </c>
      <c r="H1585" s="2264"/>
      <c r="I1585" s="2264"/>
      <c r="J1585" s="2264"/>
      <c r="K1585" s="2264"/>
      <c r="L1585" s="2264">
        <f>H1585*G1585</f>
        <v>0</v>
      </c>
      <c r="M1585" s="2264">
        <f>I1585*G1585</f>
        <v>0</v>
      </c>
      <c r="N1585" s="2264">
        <f>J1585*G1585</f>
        <v>0</v>
      </c>
      <c r="O1585" s="2264">
        <f>K1585*G1585</f>
        <v>0</v>
      </c>
      <c r="P1585" s="2389"/>
      <c r="Q1585" s="2266"/>
      <c r="R1585" s="2266"/>
      <c r="S1585" s="2266"/>
    </row>
    <row r="1586" spans="1:19" s="2105" customFormat="1" ht="14.4" outlineLevel="1">
      <c r="A1586" s="2182" t="str">
        <f>A1585</f>
        <v/>
      </c>
      <c r="B1586" s="2261"/>
      <c r="C1586" s="2258"/>
      <c r="D1586" s="2259"/>
      <c r="E1586" s="2267" t="s">
        <v>6133</v>
      </c>
      <c r="F1586" s="2268"/>
      <c r="G1586" s="2269"/>
      <c r="H1586" s="2264"/>
      <c r="I1586" s="2264"/>
      <c r="J1586" s="2264"/>
      <c r="K1586" s="2264"/>
      <c r="L1586" s="2264">
        <f>H1586*G1586</f>
        <v>0</v>
      </c>
      <c r="M1586" s="2264">
        <f>I1586*G1586</f>
        <v>0</v>
      </c>
      <c r="N1586" s="2264">
        <f>J1586*G1586</f>
        <v>0</v>
      </c>
      <c r="O1586" s="2264">
        <f>K1586*G1586</f>
        <v>0</v>
      </c>
      <c r="P1586" s="2389"/>
      <c r="Q1586" s="2266"/>
      <c r="R1586" s="2266"/>
      <c r="S1586" s="2266"/>
    </row>
    <row r="1587" spans="1:19" s="2105" customFormat="1" outlineLevel="1">
      <c r="A1587" s="2182" t="str">
        <f>IF(G1587&lt;&gt;0,1,"")</f>
        <v/>
      </c>
      <c r="B1587" s="2261" t="s">
        <v>5645</v>
      </c>
      <c r="C1587" s="2268"/>
      <c r="D1587" s="2152" t="s">
        <v>5633</v>
      </c>
      <c r="E1587" s="2194" t="s">
        <v>6356</v>
      </c>
      <c r="F1587" s="2152" t="s">
        <v>2555</v>
      </c>
      <c r="G1587" s="2269">
        <f>G1585</f>
        <v>0</v>
      </c>
      <c r="H1587" s="2264">
        <v>5000000</v>
      </c>
      <c r="I1587" s="2264"/>
      <c r="J1587" s="2264">
        <v>690091</v>
      </c>
      <c r="K1587" s="2264">
        <v>97369</v>
      </c>
      <c r="L1587" s="2264">
        <f>H1587*G1587</f>
        <v>0</v>
      </c>
      <c r="M1587" s="2264">
        <f>I1587*G1587</f>
        <v>0</v>
      </c>
      <c r="N1587" s="2264">
        <f>J1587*G1587</f>
        <v>0</v>
      </c>
      <c r="O1587" s="2264">
        <f>K1587*G1587</f>
        <v>0</v>
      </c>
      <c r="P1587" s="2389"/>
      <c r="Q1587" s="2266"/>
      <c r="R1587" s="2266"/>
      <c r="S1587" s="2266"/>
    </row>
    <row r="1588" spans="1:19" s="2105" customFormat="1" outlineLevel="1">
      <c r="A1588" s="2182" t="str">
        <f>IF(G1588&lt;&gt;0,1,"")</f>
        <v/>
      </c>
      <c r="B1588" s="2261" t="s">
        <v>880</v>
      </c>
      <c r="C1588" s="2258"/>
      <c r="D1588" s="2152">
        <v>0</v>
      </c>
      <c r="E1588" s="2194" t="s">
        <v>5799</v>
      </c>
      <c r="F1588" s="2152" t="s">
        <v>2555</v>
      </c>
      <c r="G1588" s="2263">
        <f>G1585*1</f>
        <v>0</v>
      </c>
      <c r="H1588" s="2264">
        <v>284000</v>
      </c>
      <c r="I1588" s="2264"/>
      <c r="J1588" s="2264">
        <v>5404</v>
      </c>
      <c r="K1588" s="2264">
        <v>0</v>
      </c>
      <c r="L1588" s="2264">
        <f>H1588*G1588</f>
        <v>0</v>
      </c>
      <c r="M1588" s="2264">
        <f>I1588*G1588</f>
        <v>0</v>
      </c>
      <c r="N1588" s="2264">
        <f>J1588*G1588</f>
        <v>0</v>
      </c>
      <c r="O1588" s="2264">
        <f>K1588*G1588</f>
        <v>0</v>
      </c>
      <c r="P1588" s="2389"/>
      <c r="Q1588" s="2266"/>
      <c r="R1588" s="2266"/>
      <c r="S1588" s="2266"/>
    </row>
    <row r="1589" spans="1:19" s="2105" customFormat="1" outlineLevel="1">
      <c r="A1589" s="2182" t="str">
        <f>IF(G1589&lt;&gt;0,1,"")</f>
        <v/>
      </c>
      <c r="B1589" s="2261" t="s">
        <v>289</v>
      </c>
      <c r="C1589" s="2268"/>
      <c r="D1589" s="2152">
        <v>0</v>
      </c>
      <c r="E1589" s="2194" t="s">
        <v>5712</v>
      </c>
      <c r="F1589" s="2152" t="s">
        <v>2555</v>
      </c>
      <c r="G1589" s="2269">
        <f>G1585</f>
        <v>0</v>
      </c>
      <c r="H1589" s="2264">
        <v>300000</v>
      </c>
      <c r="I1589" s="2264"/>
      <c r="J1589" s="2264">
        <v>0</v>
      </c>
      <c r="K1589" s="2264">
        <v>0</v>
      </c>
      <c r="L1589" s="2264">
        <f>H1589*G1589</f>
        <v>0</v>
      </c>
      <c r="M1589" s="2264">
        <f>I1589*G1589</f>
        <v>0</v>
      </c>
      <c r="N1589" s="2264">
        <f>J1589*G1589</f>
        <v>0</v>
      </c>
      <c r="O1589" s="2264">
        <f>K1589*G1589</f>
        <v>0</v>
      </c>
      <c r="P1589" s="2389"/>
      <c r="Q1589" s="2266"/>
      <c r="R1589" s="2266"/>
      <c r="S1589" s="2266"/>
    </row>
    <row r="1590" spans="1:19" s="2105" customFormat="1" outlineLevel="1">
      <c r="A1590" s="2182" t="str">
        <f>IF(G1590&lt;&gt;0,1,"")</f>
        <v/>
      </c>
      <c r="B1590" s="2261"/>
      <c r="C1590" s="2258">
        <f>IF(G1590&gt;0,C1585+1,C1585)</f>
        <v>0</v>
      </c>
      <c r="D1590" s="2259"/>
      <c r="E1590" s="2260" t="s">
        <v>6163</v>
      </c>
      <c r="F1590" s="2258" t="s">
        <v>2385</v>
      </c>
      <c r="G1590" s="2263">
        <f>G1511</f>
        <v>0</v>
      </c>
      <c r="H1590" s="2264"/>
      <c r="I1590" s="2264"/>
      <c r="J1590" s="2264"/>
      <c r="K1590" s="2264"/>
      <c r="L1590" s="2264"/>
      <c r="M1590" s="2264"/>
      <c r="N1590" s="2264"/>
      <c r="O1590" s="2264"/>
      <c r="P1590" s="2389"/>
      <c r="Q1590" s="2266"/>
      <c r="R1590" s="2266"/>
      <c r="S1590" s="2266"/>
    </row>
    <row r="1591" spans="1:19" s="2105" customFormat="1" ht="14.4" outlineLevel="1">
      <c r="A1591" s="2182" t="str">
        <f>A1590</f>
        <v/>
      </c>
      <c r="B1591" s="2261"/>
      <c r="C1591" s="2258"/>
      <c r="D1591" s="2259"/>
      <c r="E1591" s="2274" t="s">
        <v>6133</v>
      </c>
      <c r="F1591" s="2258"/>
      <c r="G1591" s="2263"/>
      <c r="H1591" s="2264"/>
      <c r="I1591" s="2264"/>
      <c r="J1591" s="2264"/>
      <c r="K1591" s="2264"/>
      <c r="L1591" s="2264"/>
      <c r="M1591" s="2264"/>
      <c r="N1591" s="2264"/>
      <c r="O1591" s="2264"/>
      <c r="P1591" s="2389"/>
      <c r="Q1591" s="2266"/>
      <c r="R1591" s="2266"/>
      <c r="S1591" s="2266"/>
    </row>
    <row r="1592" spans="1:19" s="2105" customFormat="1" outlineLevel="1">
      <c r="A1592" s="2182" t="str">
        <f>IF(G1592&lt;&gt;0,1,"")</f>
        <v/>
      </c>
      <c r="B1592" s="2252" t="s">
        <v>697</v>
      </c>
      <c r="C1592" s="2268"/>
      <c r="D1592" s="2152">
        <v>0</v>
      </c>
      <c r="E1592" s="2194" t="s">
        <v>5087</v>
      </c>
      <c r="F1592" s="2152" t="s">
        <v>2532</v>
      </c>
      <c r="G1592" s="2269">
        <f>G1590*(7)*3</f>
        <v>0</v>
      </c>
      <c r="H1592" s="2264">
        <v>50996</v>
      </c>
      <c r="I1592" s="2264"/>
      <c r="J1592" s="2264">
        <v>0</v>
      </c>
      <c r="K1592" s="2264">
        <v>0</v>
      </c>
      <c r="L1592" s="2264">
        <f t="shared" ref="L1592:L1601" si="296">H1592*G1592</f>
        <v>0</v>
      </c>
      <c r="M1592" s="2264">
        <f>I1592*G1592</f>
        <v>0</v>
      </c>
      <c r="N1592" s="2264">
        <f t="shared" ref="N1592:N1601" si="297">J1592*G1592</f>
        <v>0</v>
      </c>
      <c r="O1592" s="2264">
        <f t="shared" ref="O1592:O1601" si="298">K1592*G1592</f>
        <v>0</v>
      </c>
      <c r="P1592" s="2389"/>
      <c r="Q1592" s="2266"/>
      <c r="R1592" s="2266"/>
      <c r="S1592" s="2266"/>
    </row>
    <row r="1593" spans="1:19" s="2105" customFormat="1" outlineLevel="1">
      <c r="A1593" s="2182" t="str">
        <f t="shared" ref="A1593:A1602" si="299">IF(G1593&lt;&gt;0,1,"")</f>
        <v/>
      </c>
      <c r="B1593" s="2357" t="s">
        <v>1479</v>
      </c>
      <c r="C1593" s="2268"/>
      <c r="D1593" s="2152">
        <v>0</v>
      </c>
      <c r="E1593" s="2194" t="s">
        <v>3791</v>
      </c>
      <c r="F1593" s="2152" t="s">
        <v>2555</v>
      </c>
      <c r="G1593" s="2269">
        <f>G1590*3</f>
        <v>0</v>
      </c>
      <c r="H1593" s="2264">
        <v>46000</v>
      </c>
      <c r="I1593" s="2264"/>
      <c r="J1593" s="2264">
        <v>0</v>
      </c>
      <c r="K1593" s="2264">
        <v>0</v>
      </c>
      <c r="L1593" s="2264">
        <f t="shared" si="296"/>
        <v>0</v>
      </c>
      <c r="M1593" s="2264">
        <f t="shared" ref="M1593:M1601" si="300">I1593*G1593</f>
        <v>0</v>
      </c>
      <c r="N1593" s="2264">
        <f t="shared" si="297"/>
        <v>0</v>
      </c>
      <c r="O1593" s="2264">
        <f t="shared" si="298"/>
        <v>0</v>
      </c>
      <c r="P1593" s="2389"/>
      <c r="Q1593" s="2266"/>
      <c r="R1593" s="2266"/>
      <c r="S1593" s="2266"/>
    </row>
    <row r="1594" spans="1:19" s="2105" customFormat="1" outlineLevel="1">
      <c r="A1594" s="2182" t="str">
        <f t="shared" si="299"/>
        <v/>
      </c>
      <c r="B1594" s="2357" t="s">
        <v>1477</v>
      </c>
      <c r="C1594" s="2268"/>
      <c r="D1594" s="2152">
        <v>0</v>
      </c>
      <c r="E1594" s="2194" t="s">
        <v>4335</v>
      </c>
      <c r="F1594" s="2152" t="s">
        <v>2555</v>
      </c>
      <c r="G1594" s="2269">
        <f>G1593</f>
        <v>0</v>
      </c>
      <c r="H1594" s="2264">
        <v>77000</v>
      </c>
      <c r="I1594" s="2264"/>
      <c r="J1594" s="2264">
        <v>0</v>
      </c>
      <c r="K1594" s="2264">
        <v>0</v>
      </c>
      <c r="L1594" s="2264">
        <f t="shared" si="296"/>
        <v>0</v>
      </c>
      <c r="M1594" s="2264">
        <f t="shared" si="300"/>
        <v>0</v>
      </c>
      <c r="N1594" s="2264">
        <f t="shared" si="297"/>
        <v>0</v>
      </c>
      <c r="O1594" s="2264">
        <f t="shared" si="298"/>
        <v>0</v>
      </c>
      <c r="P1594" s="2389"/>
      <c r="Q1594" s="2266"/>
      <c r="R1594" s="2266"/>
      <c r="S1594" s="2266"/>
    </row>
    <row r="1595" spans="1:19" s="2105" customFormat="1" outlineLevel="1">
      <c r="A1595" s="2182" t="str">
        <f>IF(G1595&lt;&gt;0,1,"")</f>
        <v/>
      </c>
      <c r="B1595" s="2357" t="s">
        <v>5699</v>
      </c>
      <c r="C1595" s="2268"/>
      <c r="D1595" s="2152">
        <v>0</v>
      </c>
      <c r="E1595" s="2194" t="s">
        <v>5700</v>
      </c>
      <c r="F1595" s="2152" t="s">
        <v>2555</v>
      </c>
      <c r="G1595" s="2269">
        <f>+G1590*3</f>
        <v>0</v>
      </c>
      <c r="H1595" s="2264">
        <v>218200</v>
      </c>
      <c r="I1595" s="2264"/>
      <c r="J1595" s="2264">
        <v>0</v>
      </c>
      <c r="K1595" s="2264">
        <v>0</v>
      </c>
      <c r="L1595" s="2264">
        <f>H1595*G1595</f>
        <v>0</v>
      </c>
      <c r="M1595" s="2264">
        <f>I1595*G1595</f>
        <v>0</v>
      </c>
      <c r="N1595" s="2264">
        <f>J1595*G1595</f>
        <v>0</v>
      </c>
      <c r="O1595" s="2264">
        <f>K1595*G1595</f>
        <v>0</v>
      </c>
      <c r="P1595" s="2265"/>
      <c r="Q1595" s="2266"/>
      <c r="R1595" s="2266"/>
      <c r="S1595" s="2266"/>
    </row>
    <row r="1596" spans="1:19" s="2105" customFormat="1" outlineLevel="1">
      <c r="A1596" s="2182" t="str">
        <f>IF(G1596&lt;&gt;0,1,"")</f>
        <v/>
      </c>
      <c r="B1596" s="2357" t="s">
        <v>5705</v>
      </c>
      <c r="C1596" s="2268"/>
      <c r="D1596" s="2152">
        <v>0</v>
      </c>
      <c r="E1596" s="2194" t="s">
        <v>5706</v>
      </c>
      <c r="F1596" s="2152" t="s">
        <v>2555</v>
      </c>
      <c r="G1596" s="2269">
        <f>+G1590*3</f>
        <v>0</v>
      </c>
      <c r="H1596" s="2264">
        <v>39100</v>
      </c>
      <c r="I1596" s="2264"/>
      <c r="J1596" s="2264">
        <v>0</v>
      </c>
      <c r="K1596" s="2264">
        <v>0</v>
      </c>
      <c r="L1596" s="2264">
        <f>H1596*G1596</f>
        <v>0</v>
      </c>
      <c r="M1596" s="2264">
        <f>I1596*G1596</f>
        <v>0</v>
      </c>
      <c r="N1596" s="2264">
        <f>J1596*G1596</f>
        <v>0</v>
      </c>
      <c r="O1596" s="2264">
        <f>K1596*G1596</f>
        <v>0</v>
      </c>
      <c r="P1596" s="2265"/>
      <c r="Q1596" s="2266"/>
      <c r="R1596" s="2266"/>
      <c r="S1596" s="2266"/>
    </row>
    <row r="1597" spans="1:19" s="2105" customFormat="1" outlineLevel="1">
      <c r="A1597" s="2182" t="str">
        <f>IF(G1597&lt;&gt;0,1,"")</f>
        <v/>
      </c>
      <c r="B1597" s="2357" t="s">
        <v>5707</v>
      </c>
      <c r="C1597" s="2268"/>
      <c r="D1597" s="2152">
        <v>0</v>
      </c>
      <c r="E1597" s="2194" t="s">
        <v>5708</v>
      </c>
      <c r="F1597" s="2152" t="s">
        <v>2555</v>
      </c>
      <c r="G1597" s="2269">
        <f>+G1590*3</f>
        <v>0</v>
      </c>
      <c r="H1597" s="2264">
        <v>56700</v>
      </c>
      <c r="I1597" s="2264"/>
      <c r="J1597" s="2264">
        <v>0</v>
      </c>
      <c r="K1597" s="2264">
        <v>0</v>
      </c>
      <c r="L1597" s="2264">
        <f>H1597*G1597</f>
        <v>0</v>
      </c>
      <c r="M1597" s="2264">
        <f>I1597*G1597</f>
        <v>0</v>
      </c>
      <c r="N1597" s="2264">
        <f>J1597*G1597</f>
        <v>0</v>
      </c>
      <c r="O1597" s="2264">
        <f>K1597*G1597</f>
        <v>0</v>
      </c>
      <c r="P1597" s="2265"/>
      <c r="Q1597" s="2266"/>
      <c r="R1597" s="2266"/>
      <c r="S1597" s="2266"/>
    </row>
    <row r="1598" spans="1:19" s="2105" customFormat="1" outlineLevel="1">
      <c r="A1598" s="2182" t="str">
        <f t="shared" si="299"/>
        <v/>
      </c>
      <c r="B1598" s="2252" t="s">
        <v>696</v>
      </c>
      <c r="C1598" s="2389"/>
      <c r="D1598" s="2152">
        <v>0</v>
      </c>
      <c r="E1598" s="2194" t="s">
        <v>2936</v>
      </c>
      <c r="F1598" s="2152" t="s">
        <v>2555</v>
      </c>
      <c r="G1598" s="2269">
        <f>G1590*6</f>
        <v>0</v>
      </c>
      <c r="H1598" s="2264">
        <v>205000</v>
      </c>
      <c r="I1598" s="2264"/>
      <c r="J1598" s="2264">
        <v>0</v>
      </c>
      <c r="K1598" s="2264">
        <v>0</v>
      </c>
      <c r="L1598" s="2264">
        <f t="shared" si="296"/>
        <v>0</v>
      </c>
      <c r="M1598" s="2264">
        <f t="shared" si="300"/>
        <v>0</v>
      </c>
      <c r="N1598" s="2264">
        <f t="shared" si="297"/>
        <v>0</v>
      </c>
      <c r="O1598" s="2264">
        <f t="shared" si="298"/>
        <v>0</v>
      </c>
      <c r="P1598" s="2389"/>
      <c r="Q1598" s="2266"/>
      <c r="R1598" s="2266"/>
      <c r="S1598" s="2266"/>
    </row>
    <row r="1599" spans="1:19" s="2105" customFormat="1" outlineLevel="1">
      <c r="A1599" s="2182" t="str">
        <f t="shared" si="299"/>
        <v/>
      </c>
      <c r="B1599" s="2252" t="s">
        <v>1265</v>
      </c>
      <c r="C1599" s="2268"/>
      <c r="D1599" s="2152">
        <v>0</v>
      </c>
      <c r="E1599" s="2194" t="s">
        <v>2823</v>
      </c>
      <c r="F1599" s="2152" t="s">
        <v>2555</v>
      </c>
      <c r="G1599" s="2269">
        <f>G1598</f>
        <v>0</v>
      </c>
      <c r="H1599" s="2264">
        <v>65000</v>
      </c>
      <c r="I1599" s="2264"/>
      <c r="J1599" s="2264">
        <v>0</v>
      </c>
      <c r="K1599" s="2264">
        <v>0</v>
      </c>
      <c r="L1599" s="2264">
        <f t="shared" si="296"/>
        <v>0</v>
      </c>
      <c r="M1599" s="2264">
        <f t="shared" si="300"/>
        <v>0</v>
      </c>
      <c r="N1599" s="2264">
        <f t="shared" si="297"/>
        <v>0</v>
      </c>
      <c r="O1599" s="2264">
        <f t="shared" si="298"/>
        <v>0</v>
      </c>
      <c r="P1599" s="2389"/>
      <c r="Q1599" s="2266"/>
      <c r="R1599" s="2266"/>
      <c r="S1599" s="2266"/>
    </row>
    <row r="1600" spans="1:19" s="2105" customFormat="1" outlineLevel="1">
      <c r="A1600" s="2182" t="str">
        <f t="shared" si="299"/>
        <v/>
      </c>
      <c r="B1600" s="2252" t="s">
        <v>1565</v>
      </c>
      <c r="C1600" s="2268"/>
      <c r="D1600" s="2152" t="s">
        <v>5560</v>
      </c>
      <c r="E1600" s="2194" t="s">
        <v>3271</v>
      </c>
      <c r="F1600" s="2152" t="s">
        <v>2439</v>
      </c>
      <c r="G1600" s="2269">
        <f>G1599</f>
        <v>0</v>
      </c>
      <c r="H1600" s="2264"/>
      <c r="I1600" s="2264"/>
      <c r="J1600" s="2264">
        <v>58277.49</v>
      </c>
      <c r="K1600" s="2264"/>
      <c r="L1600" s="2264">
        <f t="shared" si="296"/>
        <v>0</v>
      </c>
      <c r="M1600" s="2264">
        <f t="shared" si="300"/>
        <v>0</v>
      </c>
      <c r="N1600" s="2264">
        <f t="shared" si="297"/>
        <v>0</v>
      </c>
      <c r="O1600" s="2264">
        <f t="shared" si="298"/>
        <v>0</v>
      </c>
      <c r="P1600" s="2389"/>
      <c r="Q1600" s="2266"/>
      <c r="R1600" s="2266"/>
      <c r="S1600" s="2266"/>
    </row>
    <row r="1601" spans="1:19" s="2105" customFormat="1" outlineLevel="1">
      <c r="A1601" s="2182" t="str">
        <f t="shared" si="299"/>
        <v/>
      </c>
      <c r="B1601" s="2252" t="s">
        <v>1525</v>
      </c>
      <c r="C1601" s="2268"/>
      <c r="D1601" s="2152" t="s">
        <v>5571</v>
      </c>
      <c r="E1601" s="2194" t="s">
        <v>3292</v>
      </c>
      <c r="F1601" s="2152" t="s">
        <v>1823</v>
      </c>
      <c r="G1601" s="2269">
        <f>G1592</f>
        <v>0</v>
      </c>
      <c r="H1601" s="2264"/>
      <c r="I1601" s="2264"/>
      <c r="J1601" s="2264">
        <v>13915</v>
      </c>
      <c r="K1601" s="2264"/>
      <c r="L1601" s="2264">
        <f t="shared" si="296"/>
        <v>0</v>
      </c>
      <c r="M1601" s="2264">
        <f t="shared" si="300"/>
        <v>0</v>
      </c>
      <c r="N1601" s="2264">
        <f t="shared" si="297"/>
        <v>0</v>
      </c>
      <c r="O1601" s="2264">
        <f t="shared" si="298"/>
        <v>0</v>
      </c>
      <c r="P1601" s="2389"/>
      <c r="Q1601" s="2266"/>
      <c r="R1601" s="2266"/>
      <c r="S1601" s="2266"/>
    </row>
    <row r="1602" spans="1:19" s="2105" customFormat="1" outlineLevel="1">
      <c r="A1602" s="2182" t="str">
        <f t="shared" si="299"/>
        <v/>
      </c>
      <c r="B1602" s="2261"/>
      <c r="C1602" s="2258">
        <f>IF(G1602&gt;0,C1590+1,C1590)</f>
        <v>0</v>
      </c>
      <c r="D1602" s="2259"/>
      <c r="E1602" s="2260" t="s">
        <v>3708</v>
      </c>
      <c r="F1602" s="2258" t="s">
        <v>2385</v>
      </c>
      <c r="G1602" s="2263">
        <f>+G1516</f>
        <v>0</v>
      </c>
      <c r="H1602" s="2264"/>
      <c r="I1602" s="2264"/>
      <c r="J1602" s="2264"/>
      <c r="K1602" s="2264"/>
      <c r="L1602" s="2264"/>
      <c r="M1602" s="2264"/>
      <c r="N1602" s="2264"/>
      <c r="O1602" s="2264"/>
      <c r="P1602" s="2265"/>
      <c r="Q1602" s="2266"/>
      <c r="R1602" s="2266"/>
      <c r="S1602" s="2266"/>
    </row>
    <row r="1603" spans="1:19" s="2105" customFormat="1" ht="14.4" outlineLevel="1">
      <c r="A1603" s="2182" t="str">
        <f>A1602</f>
        <v/>
      </c>
      <c r="B1603" s="2261"/>
      <c r="C1603" s="2258"/>
      <c r="D1603" s="2259"/>
      <c r="E1603" s="2274" t="s">
        <v>6133</v>
      </c>
      <c r="F1603" s="2258"/>
      <c r="G1603" s="2263"/>
      <c r="H1603" s="2264"/>
      <c r="I1603" s="2264"/>
      <c r="J1603" s="2264"/>
      <c r="K1603" s="2264"/>
      <c r="L1603" s="2264"/>
      <c r="M1603" s="2264"/>
      <c r="N1603" s="2264"/>
      <c r="O1603" s="2264"/>
      <c r="P1603" s="2265"/>
      <c r="Q1603" s="2266"/>
      <c r="R1603" s="2266"/>
      <c r="S1603" s="2266"/>
    </row>
    <row r="1604" spans="1:19" s="2105" customFormat="1" outlineLevel="1">
      <c r="A1604" s="2182" t="str">
        <f>IF(G1604&lt;&gt;0,1,"")</f>
        <v/>
      </c>
      <c r="B1604" s="2261" t="s">
        <v>1489</v>
      </c>
      <c r="C1604" s="2268"/>
      <c r="D1604" s="2152">
        <v>0</v>
      </c>
      <c r="E1604" s="2194" t="s">
        <v>3532</v>
      </c>
      <c r="F1604" s="2152" t="s">
        <v>1823</v>
      </c>
      <c r="G1604" s="2269">
        <f>G1602*2</f>
        <v>0</v>
      </c>
      <c r="H1604" s="2264">
        <v>63200</v>
      </c>
      <c r="I1604" s="2264"/>
      <c r="J1604" s="2264">
        <v>0</v>
      </c>
      <c r="K1604" s="2264">
        <v>0</v>
      </c>
      <c r="L1604" s="2264">
        <f>H1604*G1604</f>
        <v>0</v>
      </c>
      <c r="M1604" s="2264">
        <f>I1604*G1604</f>
        <v>0</v>
      </c>
      <c r="N1604" s="2264">
        <f>J1604*G1604</f>
        <v>0</v>
      </c>
      <c r="O1604" s="2264">
        <f>K1604*G1604</f>
        <v>0</v>
      </c>
      <c r="P1604" s="2265"/>
      <c r="Q1604" s="2266"/>
      <c r="R1604" s="2266"/>
      <c r="S1604" s="2266"/>
    </row>
    <row r="1605" spans="1:19" s="2105" customFormat="1" outlineLevel="1">
      <c r="A1605" s="2182" t="str">
        <f>IF(G1605&lt;&gt;0,1,"")</f>
        <v/>
      </c>
      <c r="B1605" s="2261" t="s">
        <v>86</v>
      </c>
      <c r="C1605" s="2268"/>
      <c r="D1605" s="2152">
        <v>0</v>
      </c>
      <c r="E1605" s="2194" t="s">
        <v>5797</v>
      </c>
      <c r="F1605" s="2152" t="s">
        <v>2555</v>
      </c>
      <c r="G1605" s="2269">
        <f>G1602*2</f>
        <v>0</v>
      </c>
      <c r="H1605" s="2264">
        <v>45400</v>
      </c>
      <c r="I1605" s="2264"/>
      <c r="J1605" s="2264">
        <v>0</v>
      </c>
      <c r="K1605" s="2264">
        <v>0</v>
      </c>
      <c r="L1605" s="2264">
        <f>H1605*G1605</f>
        <v>0</v>
      </c>
      <c r="M1605" s="2264">
        <f>I1605*G1605</f>
        <v>0</v>
      </c>
      <c r="N1605" s="2264">
        <f>J1605*G1605</f>
        <v>0</v>
      </c>
      <c r="O1605" s="2264">
        <f>K1605*G1605</f>
        <v>0</v>
      </c>
      <c r="P1605" s="2265"/>
      <c r="Q1605" s="2266"/>
      <c r="R1605" s="2266"/>
      <c r="S1605" s="2266"/>
    </row>
    <row r="1606" spans="1:19" s="2105" customFormat="1" outlineLevel="1">
      <c r="A1606" s="2182" t="str">
        <f>IF(G1606&lt;&gt;0,1,"")</f>
        <v/>
      </c>
      <c r="B1606" s="2261" t="s">
        <v>931</v>
      </c>
      <c r="C1606" s="2268"/>
      <c r="D1606" s="2152">
        <v>0</v>
      </c>
      <c r="E1606" s="2194" t="s">
        <v>3574</v>
      </c>
      <c r="F1606" s="2152" t="s">
        <v>2555</v>
      </c>
      <c r="G1606" s="2269">
        <f>G1602*1</f>
        <v>0</v>
      </c>
      <c r="H1606" s="2264">
        <v>25800</v>
      </c>
      <c r="I1606" s="2264"/>
      <c r="J1606" s="2264">
        <v>0</v>
      </c>
      <c r="K1606" s="2264">
        <v>0</v>
      </c>
      <c r="L1606" s="2264">
        <f>H1606*G1606</f>
        <v>0</v>
      </c>
      <c r="M1606" s="2264">
        <f>I1606*G1606</f>
        <v>0</v>
      </c>
      <c r="N1606" s="2264">
        <f>J1606*G1606</f>
        <v>0</v>
      </c>
      <c r="O1606" s="2264">
        <f>K1606*G1606</f>
        <v>0</v>
      </c>
      <c r="P1606" s="2265"/>
      <c r="Q1606" s="2266"/>
      <c r="R1606" s="2266"/>
      <c r="S1606" s="2266"/>
    </row>
    <row r="1607" spans="1:19" s="2105" customFormat="1" outlineLevel="1">
      <c r="A1607" s="2182" t="str">
        <f>IF(G1607&lt;&gt;0,1,"")</f>
        <v/>
      </c>
      <c r="B1607" s="2261" t="s">
        <v>930</v>
      </c>
      <c r="C1607" s="2268"/>
      <c r="D1607" s="2152">
        <v>0</v>
      </c>
      <c r="E1607" s="2194" t="s">
        <v>3578</v>
      </c>
      <c r="F1607" s="2152" t="s">
        <v>2555</v>
      </c>
      <c r="G1607" s="2269">
        <f>G1606</f>
        <v>0</v>
      </c>
      <c r="H1607" s="2264">
        <v>21500</v>
      </c>
      <c r="I1607" s="2264"/>
      <c r="J1607" s="2264">
        <v>0</v>
      </c>
      <c r="K1607" s="2264">
        <v>0</v>
      </c>
      <c r="L1607" s="2264">
        <f>H1607*G1607</f>
        <v>0</v>
      </c>
      <c r="M1607" s="2264">
        <f>I1607*G1607</f>
        <v>0</v>
      </c>
      <c r="N1607" s="2264">
        <f>J1607*G1607</f>
        <v>0</v>
      </c>
      <c r="O1607" s="2264">
        <f>K1607*G1607</f>
        <v>0</v>
      </c>
      <c r="P1607" s="2265"/>
      <c r="Q1607" s="2266"/>
      <c r="R1607" s="2266"/>
      <c r="S1607" s="2266"/>
    </row>
    <row r="1608" spans="1:19" s="2105" customFormat="1" outlineLevel="1">
      <c r="A1608" s="2182" t="str">
        <f>IF(G1608&lt;&gt;0,1,"")</f>
        <v/>
      </c>
      <c r="B1608" s="2252"/>
      <c r="C1608" s="2258">
        <f>IF(G1608&gt;0,C1602+1,C1602)</f>
        <v>0</v>
      </c>
      <c r="D1608" s="2259"/>
      <c r="E1608" s="2260" t="s">
        <v>3728</v>
      </c>
      <c r="F1608" s="2258" t="s">
        <v>2385</v>
      </c>
      <c r="G1608" s="2269">
        <f>G1585</f>
        <v>0</v>
      </c>
      <c r="H1608" s="2264"/>
      <c r="I1608" s="2264"/>
      <c r="J1608" s="2264"/>
      <c r="K1608" s="2264"/>
      <c r="L1608" s="2264"/>
      <c r="M1608" s="2264"/>
      <c r="N1608" s="2264"/>
      <c r="O1608" s="2264"/>
      <c r="P1608" s="2389"/>
      <c r="Q1608" s="2266"/>
      <c r="R1608" s="2266"/>
      <c r="S1608" s="2266"/>
    </row>
    <row r="1609" spans="1:19" s="2105" customFormat="1" ht="14.4" outlineLevel="1">
      <c r="A1609" s="2182" t="str">
        <f>A1608</f>
        <v/>
      </c>
      <c r="B1609" s="2252"/>
      <c r="C1609" s="2258"/>
      <c r="D1609" s="2259"/>
      <c r="E1609" s="2274" t="s">
        <v>6133</v>
      </c>
      <c r="F1609" s="2258"/>
      <c r="G1609" s="2269"/>
      <c r="H1609" s="2264"/>
      <c r="I1609" s="2264"/>
      <c r="J1609" s="2264"/>
      <c r="K1609" s="2264"/>
      <c r="L1609" s="2264"/>
      <c r="M1609" s="2264"/>
      <c r="N1609" s="2264"/>
      <c r="O1609" s="2264"/>
      <c r="P1609" s="2389"/>
      <c r="Q1609" s="2266"/>
      <c r="R1609" s="2266"/>
      <c r="S1609" s="2266"/>
    </row>
    <row r="1610" spans="1:19" s="2105" customFormat="1" outlineLevel="1">
      <c r="A1610" s="2182" t="str">
        <f t="shared" ref="A1610:A1625" si="301">IF(G1610&lt;&gt;0,1,"")</f>
        <v/>
      </c>
      <c r="B1610" s="2261" t="s">
        <v>2148</v>
      </c>
      <c r="C1610" s="2268"/>
      <c r="D1610" s="2152">
        <v>0</v>
      </c>
      <c r="E1610" s="2194" t="s">
        <v>2801</v>
      </c>
      <c r="F1610" s="2152" t="s">
        <v>2532</v>
      </c>
      <c r="G1610" s="2421">
        <f>6*3*G1608</f>
        <v>0</v>
      </c>
      <c r="H1610" s="2264">
        <v>684900</v>
      </c>
      <c r="I1610" s="2264"/>
      <c r="J1610" s="2264">
        <v>0</v>
      </c>
      <c r="K1610" s="2264">
        <v>0</v>
      </c>
      <c r="L1610" s="2264">
        <f t="shared" ref="L1610:L1624" si="302">H1610*G1610</f>
        <v>0</v>
      </c>
      <c r="M1610" s="2264">
        <f t="shared" ref="M1610:M1624" si="303">I1610*G1610</f>
        <v>0</v>
      </c>
      <c r="N1610" s="2264">
        <f t="shared" ref="N1610:N1624" si="304">J1610*G1610</f>
        <v>0</v>
      </c>
      <c r="O1610" s="2264">
        <f t="shared" ref="O1610:O1624" si="305">K1610*G1610</f>
        <v>0</v>
      </c>
      <c r="P1610" s="2389"/>
      <c r="Q1610" s="2266"/>
      <c r="R1610" s="2266"/>
      <c r="S1610" s="2266"/>
    </row>
    <row r="1611" spans="1:19" s="2105" customFormat="1" outlineLevel="1">
      <c r="A1611" s="2182" t="str">
        <f t="shared" si="301"/>
        <v/>
      </c>
      <c r="B1611" s="2261" t="s">
        <v>34</v>
      </c>
      <c r="C1611" s="2268"/>
      <c r="D1611" s="2152">
        <v>0</v>
      </c>
      <c r="E1611" s="2194" t="s">
        <v>2796</v>
      </c>
      <c r="F1611" s="2152" t="s">
        <v>2532</v>
      </c>
      <c r="G1611" s="2421">
        <f>6*G1608</f>
        <v>0</v>
      </c>
      <c r="H1611" s="2264">
        <v>194893</v>
      </c>
      <c r="I1611" s="2264"/>
      <c r="J1611" s="2264">
        <v>0</v>
      </c>
      <c r="K1611" s="2264">
        <v>0</v>
      </c>
      <c r="L1611" s="2264">
        <f t="shared" si="302"/>
        <v>0</v>
      </c>
      <c r="M1611" s="2264">
        <f t="shared" si="303"/>
        <v>0</v>
      </c>
      <c r="N1611" s="2264">
        <f t="shared" si="304"/>
        <v>0</v>
      </c>
      <c r="O1611" s="2264">
        <f t="shared" si="305"/>
        <v>0</v>
      </c>
      <c r="P1611" s="2389"/>
      <c r="Q1611" s="2266"/>
      <c r="R1611" s="2266"/>
      <c r="S1611" s="2266"/>
    </row>
    <row r="1612" spans="1:19" s="2105" customFormat="1" outlineLevel="1">
      <c r="A1612" s="2182" t="str">
        <f>IF(G1612&lt;&gt;0,1,"")</f>
        <v/>
      </c>
      <c r="B1612" s="2261" t="s">
        <v>1822</v>
      </c>
      <c r="C1612" s="2268"/>
      <c r="D1612" s="2152" t="s">
        <v>1527</v>
      </c>
      <c r="E1612" s="2194" t="s">
        <v>2784</v>
      </c>
      <c r="F1612" s="2152" t="s">
        <v>2532</v>
      </c>
      <c r="G1612" s="2269">
        <f>+G1608*4</f>
        <v>0</v>
      </c>
      <c r="H1612" s="2264">
        <v>28200</v>
      </c>
      <c r="I1612" s="2264"/>
      <c r="J1612" s="2264">
        <v>0</v>
      </c>
      <c r="K1612" s="2264">
        <v>0</v>
      </c>
      <c r="L1612" s="2264">
        <f>H1612*G1612</f>
        <v>0</v>
      </c>
      <c r="M1612" s="2264">
        <f>I1612*G1612</f>
        <v>0</v>
      </c>
      <c r="N1612" s="2264">
        <f>J1612*G1612</f>
        <v>0</v>
      </c>
      <c r="O1612" s="2264">
        <f>K1612*G1612</f>
        <v>0</v>
      </c>
      <c r="P1612" s="2265"/>
      <c r="Q1612" s="2266"/>
      <c r="R1612" s="2266"/>
      <c r="S1612" s="2266"/>
    </row>
    <row r="1613" spans="1:19" s="2105" customFormat="1" outlineLevel="1">
      <c r="A1613" s="2182" t="str">
        <f t="shared" si="301"/>
        <v/>
      </c>
      <c r="B1613" s="2261" t="s">
        <v>449</v>
      </c>
      <c r="C1613" s="2268"/>
      <c r="D1613" s="2152" t="s">
        <v>5732</v>
      </c>
      <c r="E1613" s="2194" t="s">
        <v>3488</v>
      </c>
      <c r="F1613" s="2152" t="s">
        <v>2555</v>
      </c>
      <c r="G1613" s="2269">
        <f>G1608*6</f>
        <v>0</v>
      </c>
      <c r="H1613" s="2264">
        <v>108000</v>
      </c>
      <c r="I1613" s="2264"/>
      <c r="J1613" s="2264">
        <v>59410.148000000001</v>
      </c>
      <c r="K1613" s="2264">
        <v>7775.6650930000005</v>
      </c>
      <c r="L1613" s="2264">
        <f t="shared" si="302"/>
        <v>0</v>
      </c>
      <c r="M1613" s="2264">
        <f t="shared" si="303"/>
        <v>0</v>
      </c>
      <c r="N1613" s="2264">
        <f t="shared" si="304"/>
        <v>0</v>
      </c>
      <c r="O1613" s="2264">
        <f t="shared" si="305"/>
        <v>0</v>
      </c>
      <c r="P1613" s="2389"/>
      <c r="Q1613" s="2266"/>
      <c r="R1613" s="2266"/>
      <c r="S1613" s="2266"/>
    </row>
    <row r="1614" spans="1:19" s="2105" customFormat="1" outlineLevel="1">
      <c r="A1614" s="2182" t="str">
        <f t="shared" si="301"/>
        <v/>
      </c>
      <c r="B1614" s="2261" t="s">
        <v>2155</v>
      </c>
      <c r="C1614" s="2268"/>
      <c r="D1614" s="2152" t="s">
        <v>5729</v>
      </c>
      <c r="E1614" s="2194" t="s">
        <v>3483</v>
      </c>
      <c r="F1614" s="2152" t="s">
        <v>2555</v>
      </c>
      <c r="G1614" s="2269">
        <f>G1608*2</f>
        <v>0</v>
      </c>
      <c r="H1614" s="2264">
        <v>36000</v>
      </c>
      <c r="I1614" s="2264"/>
      <c r="J1614" s="2264">
        <v>33342.43</v>
      </c>
      <c r="K1614" s="2264">
        <v>4443.237196</v>
      </c>
      <c r="L1614" s="2264">
        <f t="shared" si="302"/>
        <v>0</v>
      </c>
      <c r="M1614" s="2264">
        <f t="shared" si="303"/>
        <v>0</v>
      </c>
      <c r="N1614" s="2264">
        <f t="shared" si="304"/>
        <v>0</v>
      </c>
      <c r="O1614" s="2264">
        <f t="shared" si="305"/>
        <v>0</v>
      </c>
      <c r="P1614" s="2389"/>
      <c r="Q1614" s="2266"/>
      <c r="R1614" s="2266"/>
      <c r="S1614" s="2266"/>
    </row>
    <row r="1615" spans="1:19" s="2105" customFormat="1" outlineLevel="1">
      <c r="A1615" s="2182" t="str">
        <f t="shared" si="301"/>
        <v/>
      </c>
      <c r="B1615" s="2261" t="s">
        <v>975</v>
      </c>
      <c r="C1615" s="2268"/>
      <c r="D1615" s="2152">
        <v>0</v>
      </c>
      <c r="E1615" s="2194" t="s">
        <v>3502</v>
      </c>
      <c r="F1615" s="2152" t="s">
        <v>2555</v>
      </c>
      <c r="G1615" s="2269">
        <f>G1613</f>
        <v>0</v>
      </c>
      <c r="H1615" s="2264">
        <v>8000</v>
      </c>
      <c r="I1615" s="2264"/>
      <c r="J1615" s="2264">
        <v>0</v>
      </c>
      <c r="K1615" s="2264">
        <v>0</v>
      </c>
      <c r="L1615" s="2264">
        <f t="shared" si="302"/>
        <v>0</v>
      </c>
      <c r="M1615" s="2264">
        <f t="shared" si="303"/>
        <v>0</v>
      </c>
      <c r="N1615" s="2264">
        <f t="shared" si="304"/>
        <v>0</v>
      </c>
      <c r="O1615" s="2264">
        <f t="shared" si="305"/>
        <v>0</v>
      </c>
      <c r="P1615" s="2389"/>
      <c r="Q1615" s="2266"/>
      <c r="R1615" s="2266"/>
      <c r="S1615" s="2266"/>
    </row>
    <row r="1616" spans="1:19" s="2105" customFormat="1" outlineLevel="1">
      <c r="A1616" s="2182" t="str">
        <f t="shared" si="301"/>
        <v/>
      </c>
      <c r="B1616" s="2261" t="s">
        <v>91</v>
      </c>
      <c r="C1616" s="2268"/>
      <c r="D1616" s="2152">
        <v>0</v>
      </c>
      <c r="E1616" s="2194" t="s">
        <v>3497</v>
      </c>
      <c r="F1616" s="2152" t="s">
        <v>2555</v>
      </c>
      <c r="G1616" s="2269">
        <f>G1614</f>
        <v>0</v>
      </c>
      <c r="H1616" s="2264">
        <v>5000</v>
      </c>
      <c r="I1616" s="2264"/>
      <c r="J1616" s="2264">
        <v>0</v>
      </c>
      <c r="K1616" s="2264">
        <v>0</v>
      </c>
      <c r="L1616" s="2264">
        <f t="shared" si="302"/>
        <v>0</v>
      </c>
      <c r="M1616" s="2264">
        <f t="shared" si="303"/>
        <v>0</v>
      </c>
      <c r="N1616" s="2264">
        <f t="shared" si="304"/>
        <v>0</v>
      </c>
      <c r="O1616" s="2264">
        <f t="shared" si="305"/>
        <v>0</v>
      </c>
      <c r="P1616" s="2389"/>
      <c r="Q1616" s="2266"/>
      <c r="R1616" s="2266"/>
      <c r="S1616" s="2266"/>
    </row>
    <row r="1617" spans="1:19" s="2105" customFormat="1" outlineLevel="1">
      <c r="A1617" s="2182" t="str">
        <f t="shared" si="301"/>
        <v/>
      </c>
      <c r="B1617" s="2261" t="s">
        <v>1042</v>
      </c>
      <c r="C1617" s="2268"/>
      <c r="D1617" s="2152">
        <v>0</v>
      </c>
      <c r="E1617" s="2194" t="s">
        <v>3531</v>
      </c>
      <c r="F1617" s="2152" t="s">
        <v>1823</v>
      </c>
      <c r="G1617" s="2269">
        <f>+G1608*3</f>
        <v>0</v>
      </c>
      <c r="H1617" s="2264">
        <v>103700</v>
      </c>
      <c r="I1617" s="2264"/>
      <c r="J1617" s="2264">
        <v>0</v>
      </c>
      <c r="K1617" s="2264">
        <v>0</v>
      </c>
      <c r="L1617" s="2264">
        <f t="shared" si="302"/>
        <v>0</v>
      </c>
      <c r="M1617" s="2264">
        <f t="shared" si="303"/>
        <v>0</v>
      </c>
      <c r="N1617" s="2264">
        <f t="shared" si="304"/>
        <v>0</v>
      </c>
      <c r="O1617" s="2264">
        <f t="shared" si="305"/>
        <v>0</v>
      </c>
      <c r="P1617" s="2389"/>
      <c r="Q1617" s="2266"/>
      <c r="R1617" s="2266"/>
      <c r="S1617" s="2266"/>
    </row>
    <row r="1618" spans="1:19" s="2105" customFormat="1" outlineLevel="1">
      <c r="A1618" s="2182" t="str">
        <f t="shared" si="301"/>
        <v/>
      </c>
      <c r="B1618" s="2252" t="s">
        <v>731</v>
      </c>
      <c r="C1618" s="2268"/>
      <c r="D1618" s="2152">
        <v>0</v>
      </c>
      <c r="E1618" s="2194" t="s">
        <v>5258</v>
      </c>
      <c r="F1618" s="2152" t="s">
        <v>2439</v>
      </c>
      <c r="G1618" s="2269">
        <f>G1608*2</f>
        <v>0</v>
      </c>
      <c r="H1618" s="2264">
        <v>50000</v>
      </c>
      <c r="I1618" s="2264"/>
      <c r="J1618" s="2264">
        <v>0</v>
      </c>
      <c r="K1618" s="2264">
        <v>0</v>
      </c>
      <c r="L1618" s="2264">
        <f t="shared" si="302"/>
        <v>0</v>
      </c>
      <c r="M1618" s="2264">
        <f t="shared" si="303"/>
        <v>0</v>
      </c>
      <c r="N1618" s="2264">
        <f t="shared" si="304"/>
        <v>0</v>
      </c>
      <c r="O1618" s="2264">
        <f t="shared" si="305"/>
        <v>0</v>
      </c>
      <c r="P1618" s="2389"/>
      <c r="Q1618" s="2422"/>
      <c r="R1618" s="2266"/>
      <c r="S1618" s="2266"/>
    </row>
    <row r="1619" spans="1:19" s="2105" customFormat="1" outlineLevel="1">
      <c r="A1619" s="2182" t="str">
        <f t="shared" si="301"/>
        <v/>
      </c>
      <c r="B1619" s="2261" t="s">
        <v>2167</v>
      </c>
      <c r="C1619" s="2268"/>
      <c r="D1619" s="2152">
        <v>0</v>
      </c>
      <c r="E1619" s="2194" t="s">
        <v>3575</v>
      </c>
      <c r="F1619" s="2152" t="s">
        <v>2555</v>
      </c>
      <c r="G1619" s="2269">
        <f>G1608*1</f>
        <v>0</v>
      </c>
      <c r="H1619" s="2264">
        <v>41900</v>
      </c>
      <c r="I1619" s="2264"/>
      <c r="J1619" s="2264">
        <v>0</v>
      </c>
      <c r="K1619" s="2264">
        <v>0</v>
      </c>
      <c r="L1619" s="2264">
        <f t="shared" si="302"/>
        <v>0</v>
      </c>
      <c r="M1619" s="2264">
        <f t="shared" si="303"/>
        <v>0</v>
      </c>
      <c r="N1619" s="2264">
        <f t="shared" si="304"/>
        <v>0</v>
      </c>
      <c r="O1619" s="2264">
        <f t="shared" si="305"/>
        <v>0</v>
      </c>
      <c r="P1619" s="2389"/>
      <c r="Q1619" s="2266"/>
      <c r="R1619" s="2266"/>
      <c r="S1619" s="2266"/>
    </row>
    <row r="1620" spans="1:19" s="2105" customFormat="1" outlineLevel="1">
      <c r="A1620" s="2182" t="str">
        <f t="shared" si="301"/>
        <v/>
      </c>
      <c r="B1620" s="2261" t="s">
        <v>2168</v>
      </c>
      <c r="C1620" s="2268"/>
      <c r="D1620" s="2152">
        <v>0</v>
      </c>
      <c r="E1620" s="2194" t="s">
        <v>3579</v>
      </c>
      <c r="F1620" s="2152" t="s">
        <v>2555</v>
      </c>
      <c r="G1620" s="2269">
        <f>G1619</f>
        <v>0</v>
      </c>
      <c r="H1620" s="2264">
        <v>41900</v>
      </c>
      <c r="I1620" s="2264"/>
      <c r="J1620" s="2264">
        <v>0</v>
      </c>
      <c r="K1620" s="2264">
        <v>0</v>
      </c>
      <c r="L1620" s="2264">
        <f t="shared" si="302"/>
        <v>0</v>
      </c>
      <c r="M1620" s="2264">
        <f t="shared" si="303"/>
        <v>0</v>
      </c>
      <c r="N1620" s="2264">
        <f t="shared" si="304"/>
        <v>0</v>
      </c>
      <c r="O1620" s="2264">
        <f t="shared" si="305"/>
        <v>0</v>
      </c>
      <c r="P1620" s="2389"/>
      <c r="Q1620" s="2266"/>
      <c r="R1620" s="2266"/>
      <c r="S1620" s="2266"/>
    </row>
    <row r="1621" spans="1:19" s="2105" customFormat="1" outlineLevel="1">
      <c r="A1621" s="2182" t="str">
        <f t="shared" si="301"/>
        <v/>
      </c>
      <c r="B1621" s="2261" t="s">
        <v>2074</v>
      </c>
      <c r="C1621" s="2268"/>
      <c r="D1621" s="2152">
        <v>0</v>
      </c>
      <c r="E1621" s="2194" t="s">
        <v>3570</v>
      </c>
      <c r="F1621" s="2152" t="s">
        <v>3571</v>
      </c>
      <c r="G1621" s="2269">
        <f>G1620</f>
        <v>0</v>
      </c>
      <c r="H1621" s="2264">
        <v>11500</v>
      </c>
      <c r="I1621" s="2264"/>
      <c r="J1621" s="2264">
        <v>0</v>
      </c>
      <c r="K1621" s="2264">
        <v>0</v>
      </c>
      <c r="L1621" s="2264">
        <f t="shared" si="302"/>
        <v>0</v>
      </c>
      <c r="M1621" s="2264">
        <f t="shared" si="303"/>
        <v>0</v>
      </c>
      <c r="N1621" s="2264">
        <f t="shared" si="304"/>
        <v>0</v>
      </c>
      <c r="O1621" s="2264">
        <f t="shared" si="305"/>
        <v>0</v>
      </c>
      <c r="P1621" s="2389"/>
      <c r="Q1621" s="2266"/>
      <c r="R1621" s="2266"/>
      <c r="S1621" s="2266"/>
    </row>
    <row r="1622" spans="1:19" s="2105" customFormat="1" outlineLevel="1">
      <c r="A1622" s="2182" t="str">
        <f t="shared" si="301"/>
        <v/>
      </c>
      <c r="B1622" s="2252" t="s">
        <v>6</v>
      </c>
      <c r="C1622" s="2268"/>
      <c r="D1622" s="2152"/>
      <c r="E1622" s="2194" t="s">
        <v>3567</v>
      </c>
      <c r="F1622" s="2152" t="s">
        <v>5806</v>
      </c>
      <c r="G1622" s="2269">
        <f>G1621</f>
        <v>0</v>
      </c>
      <c r="H1622" s="2264">
        <v>45000</v>
      </c>
      <c r="I1622" s="2264"/>
      <c r="J1622" s="2264"/>
      <c r="K1622" s="2264"/>
      <c r="L1622" s="2264">
        <f t="shared" si="302"/>
        <v>0</v>
      </c>
      <c r="M1622" s="2264">
        <f t="shared" si="303"/>
        <v>0</v>
      </c>
      <c r="N1622" s="2264">
        <f t="shared" si="304"/>
        <v>0</v>
      </c>
      <c r="O1622" s="2264">
        <f t="shared" si="305"/>
        <v>0</v>
      </c>
      <c r="P1622" s="2265"/>
      <c r="Q1622" s="2266"/>
      <c r="R1622" s="2266"/>
      <c r="S1622" s="2266"/>
    </row>
    <row r="1623" spans="1:19" s="2105" customFormat="1" outlineLevel="1">
      <c r="A1623" s="2182" t="str">
        <f t="shared" si="301"/>
        <v/>
      </c>
      <c r="B1623" s="2261" t="s">
        <v>1348</v>
      </c>
      <c r="C1623" s="2268"/>
      <c r="D1623" s="2152">
        <v>0</v>
      </c>
      <c r="E1623" s="2194" t="s">
        <v>3518</v>
      </c>
      <c r="F1623" s="2152" t="s">
        <v>3519</v>
      </c>
      <c r="G1623" s="2269">
        <f>+G1608</f>
        <v>0</v>
      </c>
      <c r="H1623" s="2264">
        <v>15000</v>
      </c>
      <c r="I1623" s="2264"/>
      <c r="J1623" s="2264">
        <v>0</v>
      </c>
      <c r="K1623" s="2264">
        <v>0</v>
      </c>
      <c r="L1623" s="2264">
        <f t="shared" si="302"/>
        <v>0</v>
      </c>
      <c r="M1623" s="2264">
        <f t="shared" si="303"/>
        <v>0</v>
      </c>
      <c r="N1623" s="2264">
        <f t="shared" si="304"/>
        <v>0</v>
      </c>
      <c r="O1623" s="2264">
        <f t="shared" si="305"/>
        <v>0</v>
      </c>
      <c r="P1623" s="2265"/>
      <c r="Q1623" s="2266"/>
      <c r="R1623" s="2266"/>
      <c r="S1623" s="2266"/>
    </row>
    <row r="1624" spans="1:19" s="2105" customFormat="1" outlineLevel="1">
      <c r="A1624" s="2182" t="str">
        <f t="shared" si="301"/>
        <v/>
      </c>
      <c r="B1624" s="2252" t="s">
        <v>672</v>
      </c>
      <c r="C1624" s="2268"/>
      <c r="D1624" s="2152">
        <v>0</v>
      </c>
      <c r="E1624" s="2194" t="s">
        <v>6357</v>
      </c>
      <c r="F1624" s="2152" t="s">
        <v>3566</v>
      </c>
      <c r="G1624" s="2269">
        <f>G1622*2</f>
        <v>0</v>
      </c>
      <c r="H1624" s="2264">
        <v>6500</v>
      </c>
      <c r="I1624" s="2264"/>
      <c r="J1624" s="2264">
        <v>0</v>
      </c>
      <c r="K1624" s="2264">
        <v>0</v>
      </c>
      <c r="L1624" s="2264">
        <f t="shared" si="302"/>
        <v>0</v>
      </c>
      <c r="M1624" s="2264">
        <f t="shared" si="303"/>
        <v>0</v>
      </c>
      <c r="N1624" s="2264">
        <f t="shared" si="304"/>
        <v>0</v>
      </c>
      <c r="O1624" s="2264">
        <f t="shared" si="305"/>
        <v>0</v>
      </c>
      <c r="P1624" s="2389"/>
      <c r="Q1624" s="2266"/>
      <c r="R1624" s="2266"/>
      <c r="S1624" s="2266"/>
    </row>
    <row r="1625" spans="1:19" s="2105" customFormat="1" outlineLevel="1">
      <c r="A1625" s="2182" t="str">
        <f t="shared" si="301"/>
        <v/>
      </c>
      <c r="B1625" s="2252" t="s">
        <v>247</v>
      </c>
      <c r="C1625" s="2268"/>
      <c r="D1625" s="2152" t="s">
        <v>5573</v>
      </c>
      <c r="E1625" s="2194" t="s">
        <v>5574</v>
      </c>
      <c r="F1625" s="2152" t="s">
        <v>1823</v>
      </c>
      <c r="G1625" s="2269">
        <f>G1610+G1611</f>
        <v>0</v>
      </c>
      <c r="H1625" s="2264">
        <v>0</v>
      </c>
      <c r="I1625" s="2264"/>
      <c r="J1625" s="2264">
        <v>47311</v>
      </c>
      <c r="K1625" s="2264">
        <v>0</v>
      </c>
      <c r="L1625" s="2264">
        <f>H1625*G1625</f>
        <v>0</v>
      </c>
      <c r="M1625" s="2264">
        <f>I1625*G1625</f>
        <v>0</v>
      </c>
      <c r="N1625" s="2264">
        <f>J1625*G1625</f>
        <v>0</v>
      </c>
      <c r="O1625" s="2264">
        <f>K1625*G1625</f>
        <v>0</v>
      </c>
      <c r="P1625" s="2389"/>
      <c r="Q1625" s="2266"/>
      <c r="R1625" s="2266"/>
      <c r="S1625" s="2266"/>
    </row>
    <row r="1626" spans="1:19" s="2105" customFormat="1" outlineLevel="1">
      <c r="A1626" s="2182">
        <f>A1506</f>
        <v>0</v>
      </c>
      <c r="B1626" s="2357"/>
      <c r="C1626" s="2423"/>
      <c r="D1626" s="2424"/>
      <c r="E1626" s="2399"/>
      <c r="F1626" s="2637"/>
      <c r="G1626" s="2638"/>
      <c r="H1626" s="2637"/>
      <c r="I1626" s="2637"/>
      <c r="J1626" s="2647" t="s">
        <v>6131</v>
      </c>
      <c r="K1626" s="2647"/>
      <c r="L1626" s="2425">
        <f>SUM(L1521:L1625)</f>
        <v>0</v>
      </c>
      <c r="M1626" s="2425">
        <f>SUM(M1522:M1625)</f>
        <v>0</v>
      </c>
      <c r="N1626" s="2425">
        <f>SUM(N1522:N1625)</f>
        <v>0</v>
      </c>
      <c r="O1626" s="2425">
        <f>SUM(O1522:O1625)</f>
        <v>0</v>
      </c>
      <c r="P1626" s="2396"/>
      <c r="Q1626" s="2266"/>
      <c r="R1626" s="2266"/>
      <c r="S1626" s="2266"/>
    </row>
    <row r="1627" spans="1:19" s="2105" customFormat="1" ht="13.95" customHeight="1">
      <c r="A1627" s="2386">
        <f>IF(G1632&gt;0,1,)</f>
        <v>0</v>
      </c>
      <c r="B1627" s="2252"/>
      <c r="C1627" s="2266"/>
      <c r="D1627" s="2266"/>
      <c r="E1627" s="2436"/>
      <c r="F1627" s="2266"/>
      <c r="G1627" s="2437"/>
      <c r="H1627" s="2266"/>
      <c r="I1627" s="2266"/>
      <c r="J1627" s="2266"/>
      <c r="K1627" s="2266"/>
      <c r="L1627" s="2266"/>
      <c r="M1627" s="2266"/>
      <c r="N1627" s="2266"/>
      <c r="O1627" s="2266"/>
      <c r="P1627" s="2438"/>
      <c r="Q1627" s="2266"/>
      <c r="R1627" s="2266"/>
      <c r="S1627" s="2266"/>
    </row>
    <row r="1628" spans="1:19" s="2105" customFormat="1" outlineLevel="1">
      <c r="A1628" s="2182">
        <f>A1627</f>
        <v>0</v>
      </c>
      <c r="B1628" s="2387"/>
      <c r="C1628" s="2624" t="str">
        <f>"BẢNG TỔNG HỢP VẬT LIỆU, NHÂN CÔNG, MÁY THI CÔNG: "&amp;K13&amp;" TRẠM 3P_3000KVA"</f>
        <v>BẢNG TỔNG HỢP VẬT LIỆU, NHÂN CÔNG, MÁY THI CÔNG: 0 TRẠM 3P_3000KVA</v>
      </c>
      <c r="D1628" s="2639"/>
      <c r="E1628" s="2639"/>
      <c r="F1628" s="2639"/>
      <c r="G1628" s="2639"/>
      <c r="H1628" s="2640"/>
      <c r="I1628" s="2528"/>
      <c r="J1628" s="2640"/>
      <c r="K1628" s="2640"/>
      <c r="L1628" s="2640"/>
      <c r="M1628" s="2528"/>
      <c r="N1628" s="2640"/>
      <c r="O1628" s="2640"/>
      <c r="P1628" s="2641"/>
      <c r="Q1628" s="2266"/>
      <c r="R1628" s="2266"/>
      <c r="S1628" s="2266"/>
    </row>
    <row r="1629" spans="1:19" s="2105" customFormat="1" outlineLevel="1">
      <c r="A1629" s="2182">
        <f>A1627</f>
        <v>0</v>
      </c>
      <c r="B1629" s="2261" t="s">
        <v>6112</v>
      </c>
      <c r="C1629" s="2648" t="s">
        <v>1708</v>
      </c>
      <c r="D1629" s="2649" t="s">
        <v>2597</v>
      </c>
      <c r="E1629" s="2651" t="s">
        <v>2598</v>
      </c>
      <c r="F1629" s="2648" t="s">
        <v>2593</v>
      </c>
      <c r="G1629" s="2109" t="s">
        <v>6113</v>
      </c>
      <c r="H1629" s="2112" t="s">
        <v>6114</v>
      </c>
      <c r="I1629" s="2619"/>
      <c r="J1629" s="2619"/>
      <c r="K1629" s="2620"/>
      <c r="L1629" s="2112" t="s">
        <v>6115</v>
      </c>
      <c r="M1629" s="2619"/>
      <c r="N1629" s="2619"/>
      <c r="O1629" s="2620"/>
      <c r="P1629" s="2533" t="s">
        <v>2599</v>
      </c>
      <c r="Q1629" s="2266"/>
      <c r="R1629" s="2266"/>
      <c r="S1629" s="2266"/>
    </row>
    <row r="1630" spans="1:19" s="2105" customFormat="1" outlineLevel="1">
      <c r="A1630" s="2182">
        <f>A1629</f>
        <v>0</v>
      </c>
      <c r="B1630" s="2261"/>
      <c r="C1630" s="2648"/>
      <c r="D1630" s="2650"/>
      <c r="E1630" s="2652"/>
      <c r="F1630" s="2648"/>
      <c r="G1630" s="2111" t="s">
        <v>2286</v>
      </c>
      <c r="H1630" s="2112" t="s">
        <v>6116</v>
      </c>
      <c r="I1630" s="2112" t="s">
        <v>6117</v>
      </c>
      <c r="J1630" s="2112" t="s">
        <v>6118</v>
      </c>
      <c r="K1630" s="2112" t="s">
        <v>6119</v>
      </c>
      <c r="L1630" s="2112" t="s">
        <v>6116</v>
      </c>
      <c r="M1630" s="2112" t="s">
        <v>6117</v>
      </c>
      <c r="N1630" s="2112" t="s">
        <v>6118</v>
      </c>
      <c r="O1630" s="2112" t="s">
        <v>6119</v>
      </c>
      <c r="P1630" s="2533"/>
      <c r="Q1630" s="2266"/>
      <c r="R1630" s="2266"/>
      <c r="S1630" s="2266"/>
    </row>
    <row r="1631" spans="1:19" s="2105" customFormat="1" outlineLevel="1">
      <c r="A1631" s="2182">
        <f>A1630</f>
        <v>0</v>
      </c>
      <c r="B1631" s="2261"/>
      <c r="C1631" s="2113"/>
      <c r="D1631" s="2114"/>
      <c r="E1631" s="2115" t="s">
        <v>3672</v>
      </c>
      <c r="F1631" s="2116"/>
      <c r="G1631" s="2116"/>
      <c r="H1631" s="2116"/>
      <c r="I1631" s="2116"/>
      <c r="J1631" s="2116"/>
      <c r="K1631" s="2116"/>
      <c r="L1631" s="2116"/>
      <c r="M1631" s="2116"/>
      <c r="N1631" s="2116"/>
      <c r="O1631" s="2114"/>
      <c r="P1631" s="2354"/>
      <c r="Q1631" s="2266"/>
      <c r="R1631" s="2266"/>
      <c r="S1631" s="2266"/>
    </row>
    <row r="1632" spans="1:19" s="2105" customFormat="1" outlineLevel="1">
      <c r="A1632" s="2182" t="str">
        <f t="shared" ref="A1632:A1643" si="306">IF(G1632&lt;&gt;0,1,"")</f>
        <v/>
      </c>
      <c r="B1632" s="2252" t="s">
        <v>1279</v>
      </c>
      <c r="C1632" s="2268">
        <f>IF(G1632&gt;0,1,0)</f>
        <v>0</v>
      </c>
      <c r="D1632" s="2152" t="s">
        <v>5594</v>
      </c>
      <c r="E1632" s="2455" t="s">
        <v>6358</v>
      </c>
      <c r="F1632" s="2152" t="s">
        <v>3300</v>
      </c>
      <c r="G1632" s="2456">
        <f>$K$13</f>
        <v>0</v>
      </c>
      <c r="H1632" s="2457">
        <v>1064770000</v>
      </c>
      <c r="I1632" s="2359"/>
      <c r="J1632" s="2359">
        <v>2440059.6500000004</v>
      </c>
      <c r="K1632" s="2359">
        <v>426761</v>
      </c>
      <c r="L1632" s="2360">
        <f t="shared" ref="L1632:L1643" si="307">H1632*G1632</f>
        <v>0</v>
      </c>
      <c r="M1632" s="2360">
        <f t="shared" ref="M1632:M1643" si="308">I1632*G1632</f>
        <v>0</v>
      </c>
      <c r="N1632" s="2360">
        <f t="shared" ref="N1632:N1643" si="309">J1632*G1632</f>
        <v>0</v>
      </c>
      <c r="O1632" s="2361">
        <f t="shared" ref="O1632:O1643" si="310">K1632*G1632</f>
        <v>0</v>
      </c>
      <c r="P1632" s="2440"/>
      <c r="Q1632" s="2266"/>
      <c r="R1632" s="2266"/>
      <c r="S1632" s="2266"/>
    </row>
    <row r="1633" spans="1:19" s="2105" customFormat="1" ht="27.6" outlineLevel="1">
      <c r="A1633" s="2182" t="str">
        <f t="shared" si="306"/>
        <v/>
      </c>
      <c r="B1633" s="2118" t="s">
        <v>5631</v>
      </c>
      <c r="C1633" s="2268">
        <f t="shared" ref="C1633:C1643" si="311">IF(G1633&gt;0,C1632+1,C1632)</f>
        <v>0</v>
      </c>
      <c r="D1633" s="2152" t="s">
        <v>5629</v>
      </c>
      <c r="E1633" s="2455" t="s">
        <v>5632</v>
      </c>
      <c r="F1633" s="2152" t="s">
        <v>3370</v>
      </c>
      <c r="G1633" s="2450"/>
      <c r="H1633" s="2264">
        <v>300000000</v>
      </c>
      <c r="I1633" s="2264">
        <v>0</v>
      </c>
      <c r="J1633" s="2264">
        <v>2546149.2000000002</v>
      </c>
      <c r="K1633" s="2264">
        <v>55839</v>
      </c>
      <c r="L1633" s="2264">
        <f t="shared" si="307"/>
        <v>0</v>
      </c>
      <c r="M1633" s="2264">
        <f t="shared" si="308"/>
        <v>0</v>
      </c>
      <c r="N1633" s="2264">
        <f t="shared" si="309"/>
        <v>0</v>
      </c>
      <c r="O1633" s="2264">
        <f t="shared" si="310"/>
        <v>0</v>
      </c>
      <c r="P1633" s="2441"/>
      <c r="Q1633" s="2266"/>
      <c r="R1633" s="2266"/>
      <c r="S1633" s="2266"/>
    </row>
    <row r="1634" spans="1:19" s="2105" customFormat="1" outlineLevel="1">
      <c r="A1634" s="2182" t="str">
        <f t="shared" si="306"/>
        <v/>
      </c>
      <c r="B1634" s="2118" t="str">
        <f>"FCO200-"&amp;$F$8</f>
        <v>FCO200-22</v>
      </c>
      <c r="C1634" s="2268">
        <f>IF(G1634&gt;0,C1633+1,C1633)</f>
        <v>0</v>
      </c>
      <c r="D1634" s="2152" t="s">
        <v>5598</v>
      </c>
      <c r="E1634" s="2194" t="s">
        <v>2030</v>
      </c>
      <c r="F1634" s="2152" t="s">
        <v>2555</v>
      </c>
      <c r="G1634" s="2450"/>
      <c r="H1634" s="2264">
        <v>4076000</v>
      </c>
      <c r="I1634" s="2264">
        <v>0</v>
      </c>
      <c r="J1634" s="2264">
        <v>176000</v>
      </c>
      <c r="K1634" s="2264">
        <v>0</v>
      </c>
      <c r="L1634" s="2264">
        <f>H1634*G1634</f>
        <v>0</v>
      </c>
      <c r="M1634" s="2264">
        <f>I1634*G1634</f>
        <v>0</v>
      </c>
      <c r="N1634" s="2264">
        <f>J1634*G1634</f>
        <v>0</v>
      </c>
      <c r="O1634" s="2264">
        <f>K1634*G1634</f>
        <v>0</v>
      </c>
      <c r="P1634" s="2441" t="s">
        <v>6235</v>
      </c>
      <c r="Q1634" s="2266"/>
      <c r="R1634" s="2266"/>
      <c r="S1634" s="2266"/>
    </row>
    <row r="1635" spans="1:19" s="2105" customFormat="1" outlineLevel="1">
      <c r="A1635" s="2182" t="str">
        <f t="shared" si="306"/>
        <v/>
      </c>
      <c r="B1635" s="2252" t="s">
        <v>561</v>
      </c>
      <c r="C1635" s="2268">
        <f>IF(G1635&gt;0,C1633+1,C1633)</f>
        <v>0</v>
      </c>
      <c r="D1635" s="2152">
        <v>0</v>
      </c>
      <c r="E1635" s="2194" t="s">
        <v>3435</v>
      </c>
      <c r="F1635" s="2152" t="s">
        <v>2600</v>
      </c>
      <c r="G1635" s="2450"/>
      <c r="H1635" s="2264">
        <v>225000</v>
      </c>
      <c r="I1635" s="2264">
        <v>0</v>
      </c>
      <c r="J1635" s="2264">
        <v>0</v>
      </c>
      <c r="K1635" s="2264">
        <v>0</v>
      </c>
      <c r="L1635" s="2264">
        <f t="shared" si="307"/>
        <v>0</v>
      </c>
      <c r="M1635" s="2264">
        <f t="shared" si="308"/>
        <v>0</v>
      </c>
      <c r="N1635" s="2264">
        <f t="shared" si="309"/>
        <v>0</v>
      </c>
      <c r="O1635" s="2264">
        <f t="shared" si="310"/>
        <v>0</v>
      </c>
      <c r="P1635" s="2441"/>
      <c r="Q1635" s="2266">
        <f>3000*1.5</f>
        <v>4500</v>
      </c>
      <c r="R1635" s="2266"/>
      <c r="S1635" s="2266"/>
    </row>
    <row r="1636" spans="1:19" s="2105" customFormat="1" outlineLevel="1">
      <c r="A1636" s="2182" t="str">
        <f t="shared" si="306"/>
        <v/>
      </c>
      <c r="B1636" s="2261" t="str">
        <f>"LA"&amp;$F$6</f>
        <v>LA18</v>
      </c>
      <c r="C1636" s="2268">
        <f t="shared" si="311"/>
        <v>0</v>
      </c>
      <c r="D1636" s="2152" t="s">
        <v>5602</v>
      </c>
      <c r="E1636" s="2194" t="s">
        <v>1193</v>
      </c>
      <c r="F1636" s="2152" t="s">
        <v>2555</v>
      </c>
      <c r="G1636" s="2450"/>
      <c r="H1636" s="2264">
        <v>1106000</v>
      </c>
      <c r="I1636" s="2264">
        <v>0</v>
      </c>
      <c r="J1636" s="2264">
        <v>83490</v>
      </c>
      <c r="K1636" s="2264">
        <v>0</v>
      </c>
      <c r="L1636" s="2264">
        <f t="shared" si="307"/>
        <v>0</v>
      </c>
      <c r="M1636" s="2264">
        <f t="shared" si="308"/>
        <v>0</v>
      </c>
      <c r="N1636" s="2264">
        <f t="shared" si="309"/>
        <v>0</v>
      </c>
      <c r="O1636" s="2264">
        <f t="shared" si="310"/>
        <v>0</v>
      </c>
      <c r="P1636" s="2441"/>
      <c r="Q1636" s="2266"/>
      <c r="R1636" s="2266"/>
      <c r="S1636" s="2266"/>
    </row>
    <row r="1637" spans="1:19" s="2105" customFormat="1" outlineLevel="1">
      <c r="A1637" s="2182" t="str">
        <f t="shared" si="306"/>
        <v/>
      </c>
      <c r="B1637" s="2261" t="str">
        <f>"LA"&amp;$F$6</f>
        <v>LA18</v>
      </c>
      <c r="C1637" s="2268">
        <f t="shared" si="311"/>
        <v>0</v>
      </c>
      <c r="D1637" s="2152" t="s">
        <v>5602</v>
      </c>
      <c r="E1637" s="2194" t="s">
        <v>1193</v>
      </c>
      <c r="F1637" s="2152" t="s">
        <v>2555</v>
      </c>
      <c r="G1637" s="2450"/>
      <c r="H1637" s="2264"/>
      <c r="I1637" s="2264">
        <v>0</v>
      </c>
      <c r="J1637" s="2264">
        <v>83490</v>
      </c>
      <c r="K1637" s="2264">
        <v>0</v>
      </c>
      <c r="L1637" s="2264">
        <f t="shared" si="307"/>
        <v>0</v>
      </c>
      <c r="M1637" s="2264">
        <f>I1637*G1637</f>
        <v>0</v>
      </c>
      <c r="N1637" s="2264">
        <f>J1637*G1637</f>
        <v>0</v>
      </c>
      <c r="O1637" s="2264">
        <f>K1637*G1637</f>
        <v>0</v>
      </c>
      <c r="P1637" s="2441" t="s">
        <v>6235</v>
      </c>
      <c r="Q1637" s="2266"/>
      <c r="R1637" s="2266"/>
      <c r="S1637" s="2266"/>
    </row>
    <row r="1638" spans="1:19" s="2105" customFormat="1" outlineLevel="1">
      <c r="A1638" s="2182" t="str">
        <f t="shared" si="306"/>
        <v/>
      </c>
      <c r="B1638" s="2357" t="s">
        <v>5691</v>
      </c>
      <c r="C1638" s="2268">
        <f t="shared" si="311"/>
        <v>0</v>
      </c>
      <c r="D1638" s="2152" t="s">
        <v>5688</v>
      </c>
      <c r="E1638" s="2194" t="s">
        <v>5692</v>
      </c>
      <c r="F1638" s="2152" t="s">
        <v>2555</v>
      </c>
      <c r="G1638" s="2450">
        <f>G1632</f>
        <v>0</v>
      </c>
      <c r="H1638" s="2458">
        <v>549444800</v>
      </c>
      <c r="I1638" s="2264">
        <v>0</v>
      </c>
      <c r="J1638" s="2264">
        <v>1391500</v>
      </c>
      <c r="K1638" s="2264">
        <v>0</v>
      </c>
      <c r="L1638" s="2264">
        <f t="shared" si="307"/>
        <v>0</v>
      </c>
      <c r="M1638" s="2264">
        <f t="shared" si="308"/>
        <v>0</v>
      </c>
      <c r="N1638" s="2264">
        <f t="shared" si="309"/>
        <v>0</v>
      </c>
      <c r="O1638" s="2264">
        <f t="shared" si="310"/>
        <v>0</v>
      </c>
      <c r="P1638" s="2389"/>
      <c r="Q1638" s="2266"/>
      <c r="R1638" s="2266"/>
      <c r="S1638" s="2266"/>
    </row>
    <row r="1639" spans="1:19" s="2105" customFormat="1" outlineLevel="1">
      <c r="A1639" s="2182" t="str">
        <f t="shared" si="306"/>
        <v/>
      </c>
      <c r="B1639" s="2357" t="s">
        <v>953</v>
      </c>
      <c r="C1639" s="2268">
        <f t="shared" si="311"/>
        <v>0</v>
      </c>
      <c r="D1639" s="2152" t="s">
        <v>5685</v>
      </c>
      <c r="E1639" s="2194" t="s">
        <v>5686</v>
      </c>
      <c r="F1639" s="2152" t="s">
        <v>2555</v>
      </c>
      <c r="G1639" s="2450"/>
      <c r="H1639" s="2264">
        <v>7180000</v>
      </c>
      <c r="I1639" s="2264">
        <v>0</v>
      </c>
      <c r="J1639" s="2264">
        <v>974050</v>
      </c>
      <c r="K1639" s="2264">
        <v>0</v>
      </c>
      <c r="L1639" s="2264">
        <f t="shared" si="307"/>
        <v>0</v>
      </c>
      <c r="M1639" s="2264">
        <f>I1639*G1639</f>
        <v>0</v>
      </c>
      <c r="N1639" s="2264">
        <f>J1639*G1639</f>
        <v>0</v>
      </c>
      <c r="O1639" s="2264">
        <f>K1639*G1639</f>
        <v>0</v>
      </c>
      <c r="P1639" s="2441"/>
      <c r="Q1639" s="2266"/>
      <c r="R1639" s="2266"/>
      <c r="S1639" s="2266"/>
    </row>
    <row r="1640" spans="1:19" s="2105" customFormat="1" outlineLevel="1">
      <c r="A1640" s="2182" t="str">
        <f t="shared" si="306"/>
        <v/>
      </c>
      <c r="B1640" s="2357" t="s">
        <v>6236</v>
      </c>
      <c r="C1640" s="2268">
        <f t="shared" si="311"/>
        <v>0</v>
      </c>
      <c r="D1640" s="2152" t="s">
        <v>5613</v>
      </c>
      <c r="E1640" s="2194" t="s">
        <v>5614</v>
      </c>
      <c r="F1640" s="2152" t="s">
        <v>3370</v>
      </c>
      <c r="G1640" s="2450">
        <f>G1632</f>
        <v>0</v>
      </c>
      <c r="H1640" s="2264">
        <v>240000000</v>
      </c>
      <c r="I1640" s="2264">
        <v>0</v>
      </c>
      <c r="J1640" s="2264">
        <v>694734.99600000004</v>
      </c>
      <c r="K1640" s="2264">
        <v>59254</v>
      </c>
      <c r="L1640" s="2264">
        <f t="shared" si="307"/>
        <v>0</v>
      </c>
      <c r="M1640" s="2264">
        <f t="shared" si="308"/>
        <v>0</v>
      </c>
      <c r="N1640" s="2264">
        <f t="shared" si="309"/>
        <v>0</v>
      </c>
      <c r="O1640" s="2264">
        <f t="shared" si="310"/>
        <v>0</v>
      </c>
      <c r="P1640" s="2389"/>
      <c r="Q1640" s="2266"/>
      <c r="R1640" s="2266"/>
      <c r="S1640" s="2266"/>
    </row>
    <row r="1641" spans="1:19" s="2105" customFormat="1" outlineLevel="1">
      <c r="A1641" s="2182" t="str">
        <f t="shared" si="306"/>
        <v/>
      </c>
      <c r="B1641" s="2249" t="s">
        <v>1471</v>
      </c>
      <c r="C1641" s="2268">
        <f t="shared" si="311"/>
        <v>0</v>
      </c>
      <c r="D1641" s="2152">
        <v>0</v>
      </c>
      <c r="E1641" s="2194" t="s">
        <v>3353</v>
      </c>
      <c r="F1641" s="2152" t="s">
        <v>2555</v>
      </c>
      <c r="G1641" s="2450"/>
      <c r="H1641" s="2264">
        <v>0</v>
      </c>
      <c r="I1641" s="2264">
        <v>0</v>
      </c>
      <c r="J1641" s="2264">
        <v>0</v>
      </c>
      <c r="K1641" s="2264">
        <v>0</v>
      </c>
      <c r="L1641" s="2264">
        <f t="shared" si="307"/>
        <v>0</v>
      </c>
      <c r="M1641" s="2264">
        <f t="shared" si="308"/>
        <v>0</v>
      </c>
      <c r="N1641" s="2264">
        <f t="shared" si="309"/>
        <v>0</v>
      </c>
      <c r="O1641" s="2264">
        <f t="shared" si="310"/>
        <v>0</v>
      </c>
      <c r="P1641" s="2391" t="s">
        <v>2601</v>
      </c>
      <c r="Q1641" s="2266"/>
      <c r="R1641" s="2266"/>
      <c r="S1641" s="2266"/>
    </row>
    <row r="1642" spans="1:19" s="2105" customFormat="1" outlineLevel="1">
      <c r="A1642" s="2182" t="str">
        <f t="shared" si="306"/>
        <v/>
      </c>
      <c r="B1642" s="2249" t="s">
        <v>2187</v>
      </c>
      <c r="C1642" s="2268">
        <f t="shared" si="311"/>
        <v>0</v>
      </c>
      <c r="D1642" s="2152">
        <v>0</v>
      </c>
      <c r="E1642" s="2194" t="s">
        <v>5611</v>
      </c>
      <c r="F1642" s="2152" t="s">
        <v>2555</v>
      </c>
      <c r="G1642" s="2450"/>
      <c r="H1642" s="2264">
        <v>0</v>
      </c>
      <c r="I1642" s="2264">
        <v>0</v>
      </c>
      <c r="J1642" s="2264"/>
      <c r="K1642" s="2264"/>
      <c r="L1642" s="2264">
        <f>H1642*G1642</f>
        <v>0</v>
      </c>
      <c r="M1642" s="2264">
        <f>I1642*G1642</f>
        <v>0</v>
      </c>
      <c r="N1642" s="2264">
        <f>J1642*G1642</f>
        <v>0</v>
      </c>
      <c r="O1642" s="2264">
        <f>K1642*G1642</f>
        <v>0</v>
      </c>
      <c r="P1642" s="2443" t="s">
        <v>2601</v>
      </c>
      <c r="Q1642" s="2266"/>
      <c r="R1642" s="2266"/>
      <c r="S1642" s="2266"/>
    </row>
    <row r="1643" spans="1:19" s="2105" customFormat="1" outlineLevel="1">
      <c r="A1643" s="2182" t="str">
        <f t="shared" si="306"/>
        <v/>
      </c>
      <c r="B1643" s="2252" t="s">
        <v>1460</v>
      </c>
      <c r="C1643" s="2268">
        <f t="shared" si="311"/>
        <v>0</v>
      </c>
      <c r="D1643" s="2152">
        <v>0</v>
      </c>
      <c r="E1643" s="2194" t="s">
        <v>3441</v>
      </c>
      <c r="F1643" s="2152" t="s">
        <v>2555</v>
      </c>
      <c r="G1643" s="2459"/>
      <c r="H1643" s="2264">
        <v>0</v>
      </c>
      <c r="I1643" s="2264">
        <v>0</v>
      </c>
      <c r="J1643" s="2264">
        <v>0</v>
      </c>
      <c r="K1643" s="2264">
        <v>0</v>
      </c>
      <c r="L1643" s="2264">
        <f t="shared" si="307"/>
        <v>0</v>
      </c>
      <c r="M1643" s="2360">
        <f t="shared" si="308"/>
        <v>0</v>
      </c>
      <c r="N1643" s="2360">
        <f t="shared" si="309"/>
        <v>0</v>
      </c>
      <c r="O1643" s="2361">
        <f t="shared" si="310"/>
        <v>0</v>
      </c>
      <c r="P1643" s="2444" t="s">
        <v>2601</v>
      </c>
      <c r="Q1643" s="2266"/>
      <c r="R1643" s="2266"/>
      <c r="S1643" s="2266"/>
    </row>
    <row r="1644" spans="1:19" s="2105" customFormat="1" ht="19.5" customHeight="1" outlineLevel="1">
      <c r="A1644" s="2108">
        <f>A1627</f>
        <v>0</v>
      </c>
      <c r="B1644" s="2130"/>
      <c r="C1644" s="2308"/>
      <c r="D1644" s="2309"/>
      <c r="E1644" s="2310"/>
      <c r="F1644" s="2308"/>
      <c r="G1644" s="2368"/>
      <c r="H1644" s="2308"/>
      <c r="I1644" s="2308"/>
      <c r="J1644" s="2117" t="s">
        <v>6121</v>
      </c>
      <c r="K1644" s="2308"/>
      <c r="L1644" s="2310">
        <f>SUM(L1632:L1643)</f>
        <v>0</v>
      </c>
      <c r="M1644" s="2310">
        <f>SUM(M1632:M1643)</f>
        <v>0</v>
      </c>
      <c r="N1644" s="2310">
        <f>SUM(N1632:N1643)</f>
        <v>0</v>
      </c>
      <c r="O1644" s="2310">
        <f>SUM(O1632:O1643)</f>
        <v>0</v>
      </c>
      <c r="P1644" s="2460"/>
    </row>
    <row r="1645" spans="1:19" s="2105" customFormat="1" outlineLevel="1">
      <c r="A1645" s="2182">
        <f>A1627</f>
        <v>0</v>
      </c>
      <c r="B1645" s="2261"/>
      <c r="C1645" s="2397"/>
      <c r="D1645" s="2398"/>
      <c r="E1645" s="2399" t="s">
        <v>3673</v>
      </c>
      <c r="F1645" s="2399"/>
      <c r="G1645" s="2447"/>
      <c r="H1645" s="2399"/>
      <c r="I1645" s="2399"/>
      <c r="J1645" s="2399"/>
      <c r="K1645" s="2399"/>
      <c r="L1645" s="2399"/>
      <c r="M1645" s="2399"/>
      <c r="N1645" s="2399"/>
      <c r="O1645" s="2398"/>
      <c r="P1645" s="2446"/>
      <c r="Q1645" s="2266"/>
      <c r="R1645" s="2266"/>
      <c r="S1645" s="2266"/>
    </row>
    <row r="1646" spans="1:19" s="2105" customFormat="1" outlineLevel="1">
      <c r="A1646" s="2182" t="str">
        <f t="shared" ref="A1646:A1664" si="312">IF(G1646&lt;&gt;0,1,"")</f>
        <v/>
      </c>
      <c r="B1646" s="2401"/>
      <c r="C1646" s="2402">
        <f>IF(G1646&gt;0,1,0)</f>
        <v>0</v>
      </c>
      <c r="D1646" s="2152"/>
      <c r="E1646" s="2403" t="s">
        <v>6122</v>
      </c>
      <c r="F1646" s="2404" t="s">
        <v>2277</v>
      </c>
      <c r="G1646" s="2461"/>
      <c r="H1646" s="2404"/>
      <c r="I1646" s="2404"/>
      <c r="J1646" s="2404"/>
      <c r="K1646" s="2404"/>
      <c r="L1646" s="2405"/>
      <c r="M1646" s="2405"/>
      <c r="N1646" s="2405"/>
      <c r="O1646" s="2406"/>
      <c r="P1646" s="2389"/>
      <c r="Q1646" s="2266"/>
      <c r="R1646" s="2266"/>
      <c r="S1646" s="2266"/>
    </row>
    <row r="1647" spans="1:19" s="2105" customFormat="1" outlineLevel="1">
      <c r="A1647" s="2182" t="str">
        <f t="shared" si="312"/>
        <v/>
      </c>
      <c r="B1647" s="2357" t="s">
        <v>115</v>
      </c>
      <c r="C1647" s="2407"/>
      <c r="D1647" s="2152"/>
      <c r="E1647" s="2408" t="s">
        <v>2992</v>
      </c>
      <c r="F1647" s="2152" t="s">
        <v>2831</v>
      </c>
      <c r="G1647" s="2462">
        <f>G1646</f>
        <v>0</v>
      </c>
      <c r="H1647" s="2359">
        <v>4400000</v>
      </c>
      <c r="I1647" s="2258"/>
      <c r="J1647" s="2359"/>
      <c r="K1647" s="2258"/>
      <c r="L1647" s="2360">
        <f>H1647*G1647</f>
        <v>0</v>
      </c>
      <c r="M1647" s="2360">
        <f>I1647*G1647</f>
        <v>0</v>
      </c>
      <c r="N1647" s="2360">
        <f>J1647*G1647</f>
        <v>0</v>
      </c>
      <c r="O1647" s="2360">
        <f>K1647*G1647</f>
        <v>0</v>
      </c>
      <c r="P1647" s="2389"/>
      <c r="Q1647" s="2266"/>
      <c r="R1647" s="2266"/>
      <c r="S1647" s="2266"/>
    </row>
    <row r="1648" spans="1:19" s="2105" customFormat="1" outlineLevel="1">
      <c r="A1648" s="2182" t="str">
        <f t="shared" si="312"/>
        <v/>
      </c>
      <c r="B1648" s="2357" t="s">
        <v>1814</v>
      </c>
      <c r="C1648" s="2407"/>
      <c r="D1648" s="2152"/>
      <c r="E1648" s="2408" t="s">
        <v>2830</v>
      </c>
      <c r="F1648" s="2152" t="s">
        <v>2831</v>
      </c>
      <c r="G1648" s="2462">
        <f>G1647</f>
        <v>0</v>
      </c>
      <c r="H1648" s="2359">
        <v>17400</v>
      </c>
      <c r="I1648" s="2359"/>
      <c r="J1648" s="2258"/>
      <c r="K1648" s="2258"/>
      <c r="L1648" s="2360">
        <f>H1648*G1648</f>
        <v>0</v>
      </c>
      <c r="M1648" s="2360">
        <f>I1648*G1648</f>
        <v>0</v>
      </c>
      <c r="N1648" s="2360">
        <f>J1648*G1648</f>
        <v>0</v>
      </c>
      <c r="O1648" s="2360">
        <f>K1648*G1648</f>
        <v>0</v>
      </c>
      <c r="P1648" s="2389"/>
      <c r="Q1648" s="2266"/>
      <c r="R1648" s="2266"/>
      <c r="S1648" s="2266"/>
    </row>
    <row r="1649" spans="1:19" s="2105" customFormat="1" outlineLevel="1">
      <c r="A1649" s="2182" t="str">
        <f t="shared" si="312"/>
        <v/>
      </c>
      <c r="B1649" s="2357" t="s">
        <v>643</v>
      </c>
      <c r="C1649" s="2407"/>
      <c r="D1649" s="2152" t="s">
        <v>2127</v>
      </c>
      <c r="E1649" s="2408" t="s">
        <v>3167</v>
      </c>
      <c r="F1649" s="2152" t="s">
        <v>2831</v>
      </c>
      <c r="G1649" s="2462">
        <f>G1647</f>
        <v>0</v>
      </c>
      <c r="H1649" s="2408"/>
      <c r="I1649" s="2359"/>
      <c r="J1649" s="2359">
        <v>112286</v>
      </c>
      <c r="K1649" s="2359">
        <v>105970</v>
      </c>
      <c r="L1649" s="2360">
        <f>H1649*G1649</f>
        <v>0</v>
      </c>
      <c r="M1649" s="2360">
        <f>I1649*G1649</f>
        <v>0</v>
      </c>
      <c r="N1649" s="2360">
        <f>J1649*G1649</f>
        <v>0</v>
      </c>
      <c r="O1649" s="2360">
        <f>K1649*G1649</f>
        <v>0</v>
      </c>
      <c r="P1649" s="2389"/>
      <c r="Q1649" s="2266"/>
      <c r="R1649" s="2266"/>
      <c r="S1649" s="2266"/>
    </row>
    <row r="1650" spans="1:19" s="2105" customFormat="1" outlineLevel="1">
      <c r="A1650" s="2182" t="str">
        <f t="shared" si="312"/>
        <v/>
      </c>
      <c r="B1650" s="2401"/>
      <c r="C1650" s="2402">
        <f>IF(G1650&gt;0,1,0)</f>
        <v>0</v>
      </c>
      <c r="D1650" s="2152"/>
      <c r="E1650" s="2403" t="s">
        <v>6217</v>
      </c>
      <c r="F1650" s="2404" t="s">
        <v>2277</v>
      </c>
      <c r="G1650" s="2461">
        <f>G1632*1*0</f>
        <v>0</v>
      </c>
      <c r="H1650" s="2404"/>
      <c r="I1650" s="2404"/>
      <c r="J1650" s="2404"/>
      <c r="K1650" s="2404"/>
      <c r="L1650" s="2405"/>
      <c r="M1650" s="2405"/>
      <c r="N1650" s="2405"/>
      <c r="O1650" s="2406"/>
      <c r="P1650" s="2265"/>
      <c r="Q1650" s="2266"/>
      <c r="R1650" s="2266"/>
      <c r="S1650" s="2266"/>
    </row>
    <row r="1651" spans="1:19" s="2105" customFormat="1" outlineLevel="1">
      <c r="A1651" s="2182" t="str">
        <f t="shared" si="312"/>
        <v/>
      </c>
      <c r="B1651" s="2357" t="s">
        <v>114</v>
      </c>
      <c r="C1651" s="2407"/>
      <c r="D1651" s="2152"/>
      <c r="E1651" s="2408" t="s">
        <v>2991</v>
      </c>
      <c r="F1651" s="2152" t="s">
        <v>2831</v>
      </c>
      <c r="G1651" s="2462">
        <f>G1650</f>
        <v>0</v>
      </c>
      <c r="H1651" s="2359">
        <v>4200000</v>
      </c>
      <c r="I1651" s="2258"/>
      <c r="J1651" s="2359"/>
      <c r="K1651" s="2258"/>
      <c r="L1651" s="2360">
        <f>H1651*G1651</f>
        <v>0</v>
      </c>
      <c r="M1651" s="2360">
        <f>I1651*G1651</f>
        <v>0</v>
      </c>
      <c r="N1651" s="2360">
        <f>J1651*G1651</f>
        <v>0</v>
      </c>
      <c r="O1651" s="2360">
        <f>K1651*G1651</f>
        <v>0</v>
      </c>
      <c r="P1651" s="2265"/>
      <c r="Q1651" s="2266"/>
      <c r="R1651" s="2266"/>
      <c r="S1651" s="2266"/>
    </row>
    <row r="1652" spans="1:19" s="2105" customFormat="1" outlineLevel="1">
      <c r="A1652" s="2182" t="str">
        <f t="shared" si="312"/>
        <v/>
      </c>
      <c r="B1652" s="2357" t="s">
        <v>1814</v>
      </c>
      <c r="C1652" s="2407"/>
      <c r="D1652" s="2152"/>
      <c r="E1652" s="2408" t="s">
        <v>2830</v>
      </c>
      <c r="F1652" s="2152" t="s">
        <v>2831</v>
      </c>
      <c r="G1652" s="2462">
        <f>G1651</f>
        <v>0</v>
      </c>
      <c r="H1652" s="2359">
        <v>17400</v>
      </c>
      <c r="I1652" s="2359"/>
      <c r="J1652" s="2258"/>
      <c r="K1652" s="2258"/>
      <c r="L1652" s="2360">
        <f>H1652*G1652</f>
        <v>0</v>
      </c>
      <c r="M1652" s="2360">
        <f>I1652*G1652</f>
        <v>0</v>
      </c>
      <c r="N1652" s="2360">
        <f>J1652*G1652</f>
        <v>0</v>
      </c>
      <c r="O1652" s="2360">
        <f>K1652*G1652</f>
        <v>0</v>
      </c>
      <c r="P1652" s="2265"/>
      <c r="Q1652" s="2266"/>
      <c r="R1652" s="2266"/>
      <c r="S1652" s="2266"/>
    </row>
    <row r="1653" spans="1:19" s="2105" customFormat="1" outlineLevel="1">
      <c r="A1653" s="2182" t="str">
        <f t="shared" si="312"/>
        <v/>
      </c>
      <c r="B1653" s="2357" t="s">
        <v>644</v>
      </c>
      <c r="C1653" s="2407"/>
      <c r="D1653" s="2152" t="s">
        <v>2127</v>
      </c>
      <c r="E1653" s="2408" t="s">
        <v>3168</v>
      </c>
      <c r="F1653" s="2152" t="s">
        <v>2831</v>
      </c>
      <c r="G1653" s="2462">
        <f>G1651</f>
        <v>0</v>
      </c>
      <c r="H1653" s="2408"/>
      <c r="I1653" s="2359"/>
      <c r="J1653" s="2359">
        <v>112286</v>
      </c>
      <c r="K1653" s="2359">
        <v>105970</v>
      </c>
      <c r="L1653" s="2360">
        <f>H1653*G1653</f>
        <v>0</v>
      </c>
      <c r="M1653" s="2360">
        <f>I1653*G1653</f>
        <v>0</v>
      </c>
      <c r="N1653" s="2360">
        <f>J1653*G1653</f>
        <v>0</v>
      </c>
      <c r="O1653" s="2360">
        <f>K1653*G1653</f>
        <v>0</v>
      </c>
      <c r="P1653" s="2265"/>
      <c r="Q1653" s="2266"/>
      <c r="R1653" s="2266"/>
      <c r="S1653" s="2266"/>
    </row>
    <row r="1654" spans="1:19" s="2105" customFormat="1" outlineLevel="1">
      <c r="A1654" s="2182" t="str">
        <f t="shared" si="312"/>
        <v/>
      </c>
      <c r="B1654" s="2357"/>
      <c r="C1654" s="2258">
        <f>IF(G1654&gt;0,C1646+1,C1646)</f>
        <v>0</v>
      </c>
      <c r="D1654" s="2152"/>
      <c r="E1654" s="2403" t="s">
        <v>2352</v>
      </c>
      <c r="F1654" s="2404" t="s">
        <v>2327</v>
      </c>
      <c r="G1654" s="2461">
        <f>G1646</f>
        <v>0</v>
      </c>
      <c r="H1654" s="2258"/>
      <c r="I1654" s="2258"/>
      <c r="J1654" s="2258"/>
      <c r="K1654" s="2258"/>
      <c r="L1654" s="2258"/>
      <c r="M1654" s="2258"/>
      <c r="N1654" s="2258"/>
      <c r="O1654" s="2410"/>
      <c r="P1654" s="2389"/>
      <c r="Q1654" s="2266"/>
      <c r="R1654" s="2266"/>
      <c r="S1654" s="2266"/>
    </row>
    <row r="1655" spans="1:19" s="2105" customFormat="1" outlineLevel="1">
      <c r="A1655" s="2182" t="str">
        <f t="shared" si="312"/>
        <v/>
      </c>
      <c r="B1655" s="2357" t="s">
        <v>636</v>
      </c>
      <c r="C1655" s="2407"/>
      <c r="D1655" s="2152" t="s">
        <v>5047</v>
      </c>
      <c r="E1655" s="2408" t="s">
        <v>2607</v>
      </c>
      <c r="F1655" s="2152" t="s">
        <v>2555</v>
      </c>
      <c r="G1655" s="2462">
        <f>G1654</f>
        <v>0</v>
      </c>
      <c r="H1655" s="2359">
        <v>354545</v>
      </c>
      <c r="I1655" s="2359"/>
      <c r="J1655" s="2359">
        <v>37220.25</v>
      </c>
      <c r="K1655" s="2258"/>
      <c r="L1655" s="2360">
        <f>H1655*G1655</f>
        <v>0</v>
      </c>
      <c r="M1655" s="2360">
        <f>I1655*G1655</f>
        <v>0</v>
      </c>
      <c r="N1655" s="2360">
        <f>J1655*G1655</f>
        <v>0</v>
      </c>
      <c r="O1655" s="2360">
        <f>K1655*G1655</f>
        <v>0</v>
      </c>
      <c r="P1655" s="2389"/>
      <c r="Q1655" s="2266"/>
      <c r="R1655" s="2266"/>
      <c r="S1655" s="2266"/>
    </row>
    <row r="1656" spans="1:19" s="2105" customFormat="1" outlineLevel="1">
      <c r="A1656" s="2182" t="str">
        <f t="shared" si="312"/>
        <v/>
      </c>
      <c r="B1656" s="2357" t="s">
        <v>566</v>
      </c>
      <c r="C1656" s="2407"/>
      <c r="D1656" s="2152"/>
      <c r="E1656" s="2408" t="s">
        <v>5072</v>
      </c>
      <c r="F1656" s="2152" t="s">
        <v>2439</v>
      </c>
      <c r="G1656" s="2270">
        <f>G1655</f>
        <v>0</v>
      </c>
      <c r="H1656" s="2359">
        <v>92200</v>
      </c>
      <c r="I1656" s="2408"/>
      <c r="J1656" s="2408"/>
      <c r="K1656" s="2258"/>
      <c r="L1656" s="2360">
        <f>H1656*G1656</f>
        <v>0</v>
      </c>
      <c r="M1656" s="2360">
        <f>I1656*G1656</f>
        <v>0</v>
      </c>
      <c r="N1656" s="2360">
        <f>J1656*G1656</f>
        <v>0</v>
      </c>
      <c r="O1656" s="2360">
        <f>K1656*G1656</f>
        <v>0</v>
      </c>
      <c r="P1656" s="2389"/>
      <c r="Q1656" s="2266"/>
      <c r="R1656" s="2266"/>
      <c r="S1656" s="2266"/>
    </row>
    <row r="1657" spans="1:19" s="2105" customFormat="1" outlineLevel="1">
      <c r="A1657" s="2182" t="str">
        <f t="shared" si="312"/>
        <v/>
      </c>
      <c r="B1657" s="2357" t="s">
        <v>639</v>
      </c>
      <c r="C1657" s="2407"/>
      <c r="D1657" s="2152" t="s">
        <v>1747</v>
      </c>
      <c r="E1657" s="2408" t="s">
        <v>5324</v>
      </c>
      <c r="F1657" s="2152" t="s">
        <v>856</v>
      </c>
      <c r="G1657" s="2270">
        <f>1.45*G1655</f>
        <v>0</v>
      </c>
      <c r="H1657" s="2359">
        <v>0</v>
      </c>
      <c r="I1657" s="2359"/>
      <c r="J1657" s="2359">
        <v>296500.89999999997</v>
      </c>
      <c r="K1657" s="2258"/>
      <c r="L1657" s="2360">
        <f>H1657*G1657</f>
        <v>0</v>
      </c>
      <c r="M1657" s="2360">
        <f>I1657*G1657</f>
        <v>0</v>
      </c>
      <c r="N1657" s="2360">
        <f>J1657*G1657</f>
        <v>0</v>
      </c>
      <c r="O1657" s="2360">
        <f>K1657*G1657</f>
        <v>0</v>
      </c>
      <c r="P1657" s="2389"/>
      <c r="Q1657" s="2266"/>
      <c r="R1657" s="2266"/>
      <c r="S1657" s="2266"/>
    </row>
    <row r="1658" spans="1:19" s="2105" customFormat="1" outlineLevel="1">
      <c r="A1658" s="2182" t="str">
        <f t="shared" si="312"/>
        <v/>
      </c>
      <c r="B1658" s="2357" t="s">
        <v>21</v>
      </c>
      <c r="C1658" s="2407"/>
      <c r="D1658" s="2152" t="s">
        <v>5325</v>
      </c>
      <c r="E1658" s="2408" t="s">
        <v>5326</v>
      </c>
      <c r="F1658" s="2152" t="s">
        <v>856</v>
      </c>
      <c r="G1658" s="2270">
        <f>1.37*G1654</f>
        <v>0</v>
      </c>
      <c r="H1658" s="2359">
        <v>0</v>
      </c>
      <c r="I1658" s="2359"/>
      <c r="J1658" s="2359">
        <v>117703.6</v>
      </c>
      <c r="K1658" s="2258"/>
      <c r="L1658" s="2360">
        <f>H1658*G1658</f>
        <v>0</v>
      </c>
      <c r="M1658" s="2360">
        <f>I1658*G1658</f>
        <v>0</v>
      </c>
      <c r="N1658" s="2360">
        <f>J1658*G1658</f>
        <v>0</v>
      </c>
      <c r="O1658" s="2360">
        <f>K1658*G1658</f>
        <v>0</v>
      </c>
      <c r="P1658" s="2389"/>
      <c r="Q1658" s="2266"/>
      <c r="R1658" s="2266"/>
      <c r="S1658" s="2266"/>
    </row>
    <row r="1659" spans="1:19" s="2105" customFormat="1" outlineLevel="1">
      <c r="A1659" s="2182" t="str">
        <f t="shared" si="312"/>
        <v/>
      </c>
      <c r="B1659" s="2357"/>
      <c r="C1659" s="2258">
        <f>IF(G1659&gt;0,C1651+1,C1651)</f>
        <v>0</v>
      </c>
      <c r="D1659" s="2152"/>
      <c r="E1659" s="2403" t="s">
        <v>3713</v>
      </c>
      <c r="F1659" s="2404" t="s">
        <v>2327</v>
      </c>
      <c r="G1659" s="2461">
        <f>G1650</f>
        <v>0</v>
      </c>
      <c r="H1659" s="2258"/>
      <c r="I1659" s="2258"/>
      <c r="J1659" s="2258"/>
      <c r="K1659" s="2258"/>
      <c r="L1659" s="2258"/>
      <c r="M1659" s="2258"/>
      <c r="N1659" s="2258"/>
      <c r="O1659" s="2410"/>
      <c r="P1659" s="2265"/>
      <c r="Q1659" s="2266"/>
      <c r="R1659" s="2266"/>
      <c r="S1659" s="2266"/>
    </row>
    <row r="1660" spans="1:19" s="2105" customFormat="1" outlineLevel="1">
      <c r="A1660" s="2182" t="str">
        <f t="shared" si="312"/>
        <v/>
      </c>
      <c r="B1660" s="2357" t="s">
        <v>636</v>
      </c>
      <c r="C1660" s="2407"/>
      <c r="D1660" s="2152" t="s">
        <v>5047</v>
      </c>
      <c r="E1660" s="2408" t="s">
        <v>2607</v>
      </c>
      <c r="F1660" s="2152" t="s">
        <v>2555</v>
      </c>
      <c r="G1660" s="2462">
        <f>G1659</f>
        <v>0</v>
      </c>
      <c r="H1660" s="2359">
        <v>354545</v>
      </c>
      <c r="I1660" s="2359"/>
      <c r="J1660" s="2359">
        <v>37220.25</v>
      </c>
      <c r="K1660" s="2258"/>
      <c r="L1660" s="2360">
        <f>H1660*G1660</f>
        <v>0</v>
      </c>
      <c r="M1660" s="2360">
        <f>I1660*G1660</f>
        <v>0</v>
      </c>
      <c r="N1660" s="2360">
        <f>J1660*G1660</f>
        <v>0</v>
      </c>
      <c r="O1660" s="2360">
        <f>K1660*G1660</f>
        <v>0</v>
      </c>
      <c r="P1660" s="2265"/>
      <c r="Q1660" s="2266"/>
      <c r="R1660" s="2266"/>
      <c r="S1660" s="2266"/>
    </row>
    <row r="1661" spans="1:19" s="2105" customFormat="1" outlineLevel="1">
      <c r="A1661" s="2182" t="str">
        <f t="shared" si="312"/>
        <v/>
      </c>
      <c r="B1661" s="2357" t="s">
        <v>566</v>
      </c>
      <c r="C1661" s="2407"/>
      <c r="D1661" s="2152"/>
      <c r="E1661" s="2408" t="s">
        <v>5072</v>
      </c>
      <c r="F1661" s="2152" t="s">
        <v>2439</v>
      </c>
      <c r="G1661" s="2462">
        <f>G1660</f>
        <v>0</v>
      </c>
      <c r="H1661" s="2359">
        <v>92200</v>
      </c>
      <c r="I1661" s="2408"/>
      <c r="J1661" s="2408"/>
      <c r="K1661" s="2258"/>
      <c r="L1661" s="2360">
        <f>H1661*G1661</f>
        <v>0</v>
      </c>
      <c r="M1661" s="2360">
        <f>I1661*G1661</f>
        <v>0</v>
      </c>
      <c r="N1661" s="2360">
        <f>J1661*G1661</f>
        <v>0</v>
      </c>
      <c r="O1661" s="2360">
        <f>K1661*G1661</f>
        <v>0</v>
      </c>
      <c r="P1661" s="2265"/>
      <c r="Q1661" s="2266"/>
      <c r="R1661" s="2266"/>
      <c r="S1661" s="2266"/>
    </row>
    <row r="1662" spans="1:19" s="2105" customFormat="1" outlineLevel="1">
      <c r="A1662" s="2182" t="str">
        <f t="shared" si="312"/>
        <v/>
      </c>
      <c r="B1662" s="2357" t="s">
        <v>639</v>
      </c>
      <c r="C1662" s="2407"/>
      <c r="D1662" s="2152" t="s">
        <v>1747</v>
      </c>
      <c r="E1662" s="2408" t="s">
        <v>5324</v>
      </c>
      <c r="F1662" s="2152" t="s">
        <v>856</v>
      </c>
      <c r="G1662" s="2270">
        <f>1.48*G1660</f>
        <v>0</v>
      </c>
      <c r="H1662" s="2359">
        <v>0</v>
      </c>
      <c r="I1662" s="2359"/>
      <c r="J1662" s="2359">
        <v>296500.89999999997</v>
      </c>
      <c r="K1662" s="2258"/>
      <c r="L1662" s="2360">
        <f>H1662*G1662</f>
        <v>0</v>
      </c>
      <c r="M1662" s="2360">
        <f>I1662*G1662</f>
        <v>0</v>
      </c>
      <c r="N1662" s="2360">
        <f>J1662*G1662</f>
        <v>0</v>
      </c>
      <c r="O1662" s="2360">
        <f>K1662*G1662</f>
        <v>0</v>
      </c>
      <c r="P1662" s="2265"/>
      <c r="Q1662" s="2266"/>
      <c r="R1662" s="2266"/>
      <c r="S1662" s="2266"/>
    </row>
    <row r="1663" spans="1:19" s="2105" customFormat="1" outlineLevel="1">
      <c r="A1663" s="2182" t="str">
        <f t="shared" si="312"/>
        <v/>
      </c>
      <c r="B1663" s="2357" t="s">
        <v>21</v>
      </c>
      <c r="C1663" s="2407"/>
      <c r="D1663" s="2152" t="s">
        <v>5325</v>
      </c>
      <c r="E1663" s="2408" t="s">
        <v>5326</v>
      </c>
      <c r="F1663" s="2152" t="s">
        <v>856</v>
      </c>
      <c r="G1663" s="2270">
        <f>1.39*G1659</f>
        <v>0</v>
      </c>
      <c r="H1663" s="2359">
        <v>0</v>
      </c>
      <c r="I1663" s="2359"/>
      <c r="J1663" s="2359">
        <v>117703.6</v>
      </c>
      <c r="K1663" s="2258"/>
      <c r="L1663" s="2360">
        <f>H1663*G1663</f>
        <v>0</v>
      </c>
      <c r="M1663" s="2360">
        <f>I1663*G1663</f>
        <v>0</v>
      </c>
      <c r="N1663" s="2360">
        <f>J1663*G1663</f>
        <v>0</v>
      </c>
      <c r="O1663" s="2360">
        <f>K1663*G1663</f>
        <v>0</v>
      </c>
      <c r="P1663" s="2265"/>
      <c r="Q1663" s="2266"/>
      <c r="R1663" s="2266"/>
      <c r="S1663" s="2266"/>
    </row>
    <row r="1664" spans="1:19" s="2105" customFormat="1" outlineLevel="1">
      <c r="A1664" s="2182" t="str">
        <f t="shared" si="312"/>
        <v/>
      </c>
      <c r="B1664" s="2261"/>
      <c r="C1664" s="2258">
        <f>IF(G1664&gt;0,C1654+1,C1654)</f>
        <v>0</v>
      </c>
      <c r="D1664" s="2411"/>
      <c r="E1664" s="2403" t="s">
        <v>3714</v>
      </c>
      <c r="F1664" s="2402" t="s">
        <v>2385</v>
      </c>
      <c r="G1664" s="2448"/>
      <c r="H1664" s="2413"/>
      <c r="I1664" s="2413"/>
      <c r="J1664" s="2413"/>
      <c r="K1664" s="2413"/>
      <c r="L1664" s="2413"/>
      <c r="M1664" s="2413"/>
      <c r="N1664" s="2413"/>
      <c r="O1664" s="2413"/>
      <c r="P1664" s="2449"/>
      <c r="Q1664" s="2266"/>
      <c r="R1664" s="2266"/>
      <c r="S1664" s="2266"/>
    </row>
    <row r="1665" spans="1:16383" s="2105" customFormat="1" ht="14.4" outlineLevel="1">
      <c r="A1665" s="2182" t="str">
        <f>A1664</f>
        <v/>
      </c>
      <c r="B1665" s="2261"/>
      <c r="C1665" s="2258"/>
      <c r="D1665" s="2414"/>
      <c r="E1665" s="2267" t="s">
        <v>6133</v>
      </c>
      <c r="F1665" s="2268"/>
      <c r="G1665" s="2450"/>
      <c r="H1665" s="2415"/>
      <c r="I1665" s="2415"/>
      <c r="J1665" s="2415"/>
      <c r="K1665" s="2415"/>
      <c r="L1665" s="2415"/>
      <c r="M1665" s="2415"/>
      <c r="N1665" s="2415"/>
      <c r="O1665" s="2415"/>
      <c r="P1665" s="2449"/>
      <c r="Q1665" s="2266"/>
      <c r="R1665" s="2266"/>
      <c r="S1665" s="2266"/>
    </row>
    <row r="1666" spans="1:16383" s="2105" customFormat="1" outlineLevel="1">
      <c r="A1666" s="2182" t="str">
        <f t="shared" ref="A1666:A1671" si="313">IF(G1666&lt;&gt;0,1,"")</f>
        <v/>
      </c>
      <c r="B1666" s="2252" t="s">
        <v>1408</v>
      </c>
      <c r="C1666" s="2258"/>
      <c r="D1666" s="2152">
        <v>0</v>
      </c>
      <c r="E1666" s="2194" t="s">
        <v>6353</v>
      </c>
      <c r="F1666" s="2152" t="s">
        <v>2248</v>
      </c>
      <c r="G1666" s="2450">
        <f>19.8*2.8*2*G1664</f>
        <v>0</v>
      </c>
      <c r="H1666" s="2359">
        <v>31625</v>
      </c>
      <c r="I1666" s="2416"/>
      <c r="J1666" s="2359"/>
      <c r="K1666" s="2359">
        <v>0</v>
      </c>
      <c r="L1666" s="2360">
        <f t="shared" ref="L1666:L1729" si="314">H1666*G1666</f>
        <v>0</v>
      </c>
      <c r="M1666" s="2360">
        <f t="shared" ref="M1666:M1671" si="315">I1666*G1666</f>
        <v>0</v>
      </c>
      <c r="N1666" s="2359"/>
      <c r="O1666" s="2360">
        <f t="shared" ref="O1666:O1671" si="316">K1666*G1666</f>
        <v>0</v>
      </c>
      <c r="P1666" s="2449"/>
      <c r="Q1666" s="2266">
        <f>L1666/2</f>
        <v>0</v>
      </c>
      <c r="R1666" s="2266"/>
      <c r="S1666" s="2266"/>
    </row>
    <row r="1667" spans="1:16383" s="2105" customFormat="1" outlineLevel="1">
      <c r="A1667" s="2182" t="str">
        <f t="shared" si="313"/>
        <v/>
      </c>
      <c r="B1667" s="2252" t="s">
        <v>1137</v>
      </c>
      <c r="C1667" s="2258"/>
      <c r="D1667" s="2152">
        <v>0</v>
      </c>
      <c r="E1667" s="2194" t="s">
        <v>6339</v>
      </c>
      <c r="F1667" s="2152" t="s">
        <v>2248</v>
      </c>
      <c r="G1667" s="2450">
        <f>8.59*0.4*4*G1664</f>
        <v>0</v>
      </c>
      <c r="H1667" s="2359">
        <v>31625</v>
      </c>
      <c r="I1667" s="2416"/>
      <c r="J1667" s="2359"/>
      <c r="K1667" s="2359">
        <v>0</v>
      </c>
      <c r="L1667" s="2360">
        <f t="shared" si="314"/>
        <v>0</v>
      </c>
      <c r="M1667" s="2360">
        <f t="shared" si="315"/>
        <v>0</v>
      </c>
      <c r="N1667" s="2359"/>
      <c r="O1667" s="2360">
        <f t="shared" si="316"/>
        <v>0</v>
      </c>
      <c r="P1667" s="2449"/>
      <c r="Q1667" s="2266">
        <f>L1667/4</f>
        <v>0</v>
      </c>
      <c r="R1667" s="2266"/>
      <c r="S1667" s="2266"/>
    </row>
    <row r="1668" spans="1:16383" s="2105" customFormat="1" outlineLevel="1">
      <c r="A1668" s="2182" t="str">
        <f t="shared" si="313"/>
        <v/>
      </c>
      <c r="B1668" s="2252" t="s">
        <v>1138</v>
      </c>
      <c r="C1668" s="2258"/>
      <c r="D1668" s="2152">
        <v>0</v>
      </c>
      <c r="E1668" s="2194" t="s">
        <v>6340</v>
      </c>
      <c r="F1668" s="2152" t="s">
        <v>2248</v>
      </c>
      <c r="G1668" s="2450">
        <f>8.59*0.8*2*G1664</f>
        <v>0</v>
      </c>
      <c r="H1668" s="2359">
        <v>31625</v>
      </c>
      <c r="I1668" s="2416"/>
      <c r="J1668" s="2359"/>
      <c r="K1668" s="2359">
        <v>0</v>
      </c>
      <c r="L1668" s="2360">
        <f t="shared" si="314"/>
        <v>0</v>
      </c>
      <c r="M1668" s="2360">
        <f t="shared" si="315"/>
        <v>0</v>
      </c>
      <c r="N1668" s="2359"/>
      <c r="O1668" s="2360">
        <f t="shared" si="316"/>
        <v>0</v>
      </c>
      <c r="P1668" s="2449"/>
      <c r="Q1668" s="2266"/>
      <c r="R1668" s="2266"/>
      <c r="S1668" s="2266"/>
    </row>
    <row r="1669" spans="1:16383" s="2105" customFormat="1" outlineLevel="1">
      <c r="A1669" s="2182" t="str">
        <f t="shared" si="313"/>
        <v/>
      </c>
      <c r="B1669" s="2261" t="s">
        <v>1781</v>
      </c>
      <c r="C1669" s="2258"/>
      <c r="D1669" s="2152">
        <v>0</v>
      </c>
      <c r="E1669" s="2194" t="s">
        <v>2662</v>
      </c>
      <c r="F1669" s="2152" t="s">
        <v>2439</v>
      </c>
      <c r="G1669" s="2450">
        <f>G1664*10</f>
        <v>0</v>
      </c>
      <c r="H1669" s="2359">
        <v>34800</v>
      </c>
      <c r="I1669" s="2416"/>
      <c r="J1669" s="2359">
        <v>0</v>
      </c>
      <c r="K1669" s="2359">
        <v>0</v>
      </c>
      <c r="L1669" s="2360">
        <f t="shared" si="314"/>
        <v>0</v>
      </c>
      <c r="M1669" s="2360">
        <f t="shared" si="315"/>
        <v>0</v>
      </c>
      <c r="N1669" s="2360">
        <f>J1669*G1669</f>
        <v>0</v>
      </c>
      <c r="O1669" s="2360">
        <f t="shared" si="316"/>
        <v>0</v>
      </c>
      <c r="P1669" s="2449"/>
      <c r="Q1669" s="2266"/>
      <c r="R1669" s="2266"/>
      <c r="S1669" s="2266"/>
    </row>
    <row r="1670" spans="1:16383" s="2105" customFormat="1" outlineLevel="1">
      <c r="A1670" s="2182" t="str">
        <f t="shared" si="313"/>
        <v/>
      </c>
      <c r="B1670" s="2261" t="s">
        <v>1083</v>
      </c>
      <c r="C1670" s="2258"/>
      <c r="D1670" s="2152">
        <v>0</v>
      </c>
      <c r="E1670" s="2194" t="s">
        <v>2652</v>
      </c>
      <c r="F1670" s="2152" t="s">
        <v>2439</v>
      </c>
      <c r="G1670" s="2450">
        <f>G1664*2</f>
        <v>0</v>
      </c>
      <c r="H1670" s="2359">
        <v>29900</v>
      </c>
      <c r="I1670" s="2416"/>
      <c r="J1670" s="2359">
        <v>0</v>
      </c>
      <c r="K1670" s="2359">
        <v>0</v>
      </c>
      <c r="L1670" s="2360">
        <f t="shared" si="314"/>
        <v>0</v>
      </c>
      <c r="M1670" s="2360">
        <f t="shared" si="315"/>
        <v>0</v>
      </c>
      <c r="N1670" s="2360">
        <f>J1670*G1670</f>
        <v>0</v>
      </c>
      <c r="O1670" s="2360">
        <f t="shared" si="316"/>
        <v>0</v>
      </c>
      <c r="P1670" s="2449"/>
      <c r="Q1670" s="2266"/>
      <c r="R1670" s="2266"/>
      <c r="S1670" s="2266"/>
    </row>
    <row r="1671" spans="1:16383" s="2105" customFormat="1" outlineLevel="1">
      <c r="A1671" s="2182" t="str">
        <f t="shared" si="313"/>
        <v/>
      </c>
      <c r="B1671" s="2261" t="s">
        <v>1079</v>
      </c>
      <c r="C1671" s="2258"/>
      <c r="D1671" s="2152">
        <v>0</v>
      </c>
      <c r="E1671" s="2194" t="s">
        <v>2651</v>
      </c>
      <c r="F1671" s="2152" t="s">
        <v>2439</v>
      </c>
      <c r="G1671" s="2450">
        <f>G1664*12</f>
        <v>0</v>
      </c>
      <c r="H1671" s="2359">
        <v>27900</v>
      </c>
      <c r="I1671" s="2416"/>
      <c r="J1671" s="2359">
        <v>0</v>
      </c>
      <c r="K1671" s="2359">
        <v>0</v>
      </c>
      <c r="L1671" s="2360">
        <f t="shared" si="314"/>
        <v>0</v>
      </c>
      <c r="M1671" s="2360">
        <f t="shared" si="315"/>
        <v>0</v>
      </c>
      <c r="N1671" s="2360">
        <f>J1671*G1671</f>
        <v>0</v>
      </c>
      <c r="O1671" s="2360">
        <f t="shared" si="316"/>
        <v>0</v>
      </c>
      <c r="P1671" s="2449"/>
      <c r="Q1671" s="2266"/>
      <c r="R1671" s="2266"/>
      <c r="S1671" s="2266"/>
    </row>
    <row r="1672" spans="1:16383" s="2105" customFormat="1" outlineLevel="1">
      <c r="A1672" s="2182" t="str">
        <f>IF(G1672&lt;&gt;0,1,"")</f>
        <v/>
      </c>
      <c r="B1672" s="2121" t="s">
        <v>5425</v>
      </c>
      <c r="C1672" s="2258"/>
      <c r="D1672" s="2152" t="s">
        <v>5426</v>
      </c>
      <c r="E1672" s="2194" t="s">
        <v>5427</v>
      </c>
      <c r="F1672" s="2152" t="s">
        <v>2248</v>
      </c>
      <c r="G1672" s="2450">
        <f>SUM(G1666:G1668)</f>
        <v>0</v>
      </c>
      <c r="H1672" s="2359">
        <v>0</v>
      </c>
      <c r="I1672" s="2416"/>
      <c r="J1672" s="2359">
        <v>2025</v>
      </c>
      <c r="K1672" s="2359">
        <v>0</v>
      </c>
      <c r="L1672" s="2360">
        <f t="shared" si="314"/>
        <v>0</v>
      </c>
      <c r="M1672" s="2360">
        <f>I1672*G1672</f>
        <v>0</v>
      </c>
      <c r="N1672" s="2359">
        <v>0</v>
      </c>
      <c r="O1672" s="2360">
        <f>K1672*G1672</f>
        <v>0</v>
      </c>
      <c r="P1672" s="2449"/>
      <c r="Q1672" s="2266"/>
      <c r="R1672" s="2266"/>
      <c r="S1672" s="2266"/>
    </row>
    <row r="1673" spans="1:16383" s="2105" customFormat="1" outlineLevel="1">
      <c r="A1673" s="2182" t="str">
        <f>IF(G1673&lt;&gt;0,1,"")</f>
        <v/>
      </c>
      <c r="B1673" s="2261"/>
      <c r="C1673" s="2463">
        <f>IF(G1673&gt;0,C1664+1,C1664)</f>
        <v>0</v>
      </c>
      <c r="D1673" s="2464"/>
      <c r="E1673" s="2465" t="s">
        <v>6237</v>
      </c>
      <c r="F1673" s="2466" t="s">
        <v>2385</v>
      </c>
      <c r="G1673" s="2467"/>
      <c r="H1673" s="2468"/>
      <c r="I1673" s="2469"/>
      <c r="J1673" s="2470"/>
      <c r="K1673" s="2470"/>
      <c r="L1673" s="2471">
        <f t="shared" si="314"/>
        <v>0</v>
      </c>
      <c r="M1673" s="2472">
        <f t="shared" ref="M1673:M1678" si="317">I1673*G1673</f>
        <v>0</v>
      </c>
      <c r="N1673" s="2471">
        <f t="shared" ref="N1673:N1678" si="318">J1673*G1673</f>
        <v>0</v>
      </c>
      <c r="O1673" s="2463">
        <f t="shared" ref="O1673:O1678" si="319">K1673*G1673</f>
        <v>0</v>
      </c>
      <c r="P1673" s="2464"/>
      <c r="Q1673" s="2266"/>
      <c r="R1673" s="2266"/>
      <c r="S1673" s="2266"/>
    </row>
    <row r="1674" spans="1:16383" s="2105" customFormat="1" ht="14.4" outlineLevel="1">
      <c r="A1674" s="2182" t="str">
        <f>A1673</f>
        <v/>
      </c>
      <c r="B1674" s="2261"/>
      <c r="C1674" s="2258"/>
      <c r="D1674" s="2259"/>
      <c r="E1674" s="2267" t="s">
        <v>6133</v>
      </c>
      <c r="F1674" s="2268"/>
      <c r="G1674" s="2450"/>
      <c r="H1674" s="2416"/>
      <c r="I1674" s="2416"/>
      <c r="J1674" s="2416"/>
      <c r="K1674" s="2416"/>
      <c r="L1674" s="2360">
        <f t="shared" si="314"/>
        <v>0</v>
      </c>
      <c r="M1674" s="2360">
        <f t="shared" si="317"/>
        <v>0</v>
      </c>
      <c r="N1674" s="2360">
        <f t="shared" si="318"/>
        <v>0</v>
      </c>
      <c r="O1674" s="2360">
        <f t="shared" si="319"/>
        <v>0</v>
      </c>
      <c r="P1674" s="2449"/>
      <c r="Q1674" s="2266"/>
      <c r="R1674" s="2266"/>
      <c r="S1674" s="2266"/>
    </row>
    <row r="1675" spans="1:16383" s="2105" customFormat="1" outlineLevel="1">
      <c r="A1675" s="2182" t="str">
        <f>IF(G1675&lt;&gt;0,1,"")</f>
        <v/>
      </c>
      <c r="B1675" s="2133" t="s">
        <v>5155</v>
      </c>
      <c r="C1675" s="2258"/>
      <c r="D1675" s="2152">
        <v>0</v>
      </c>
      <c r="E1675" s="2194" t="s">
        <v>5156</v>
      </c>
      <c r="F1675" s="2152" t="s">
        <v>2590</v>
      </c>
      <c r="G1675" s="2450">
        <f>+G1673*1</f>
        <v>0</v>
      </c>
      <c r="H1675" s="2359">
        <v>878000</v>
      </c>
      <c r="I1675" s="2359"/>
      <c r="J1675" s="2359">
        <v>0</v>
      </c>
      <c r="K1675" s="2359">
        <v>0</v>
      </c>
      <c r="L1675" s="2360">
        <f t="shared" si="314"/>
        <v>0</v>
      </c>
      <c r="M1675" s="2360">
        <f t="shared" si="317"/>
        <v>0</v>
      </c>
      <c r="N1675" s="2360">
        <f t="shared" si="318"/>
        <v>0</v>
      </c>
      <c r="O1675" s="2360">
        <f t="shared" si="319"/>
        <v>0</v>
      </c>
      <c r="P1675" s="2449"/>
      <c r="Q1675" s="2266"/>
      <c r="R1675" s="2266"/>
      <c r="S1675" s="2266"/>
    </row>
    <row r="1676" spans="1:16383" s="2105" customFormat="1" outlineLevel="1">
      <c r="A1676" s="2182"/>
      <c r="B1676" s="2133" t="s">
        <v>5158</v>
      </c>
      <c r="C1676" s="2258"/>
      <c r="D1676" s="2152">
        <v>0</v>
      </c>
      <c r="E1676" s="2194" t="s">
        <v>5159</v>
      </c>
      <c r="F1676" s="2152" t="s">
        <v>5160</v>
      </c>
      <c r="G1676" s="2450">
        <f>G1673*2</f>
        <v>0</v>
      </c>
      <c r="H1676" s="2359">
        <v>140000</v>
      </c>
      <c r="I1676" s="2359"/>
      <c r="J1676" s="2359">
        <v>0</v>
      </c>
      <c r="K1676" s="2359">
        <v>0</v>
      </c>
      <c r="L1676" s="2360">
        <f>H1676*G1676</f>
        <v>0</v>
      </c>
      <c r="M1676" s="2360">
        <f>I1676*G1676</f>
        <v>0</v>
      </c>
      <c r="N1676" s="2360">
        <f>J1676*G1676</f>
        <v>0</v>
      </c>
      <c r="O1676" s="2360">
        <f>K1676*G1676</f>
        <v>0</v>
      </c>
      <c r="P1676" s="2449"/>
      <c r="Q1676" s="2266"/>
      <c r="R1676" s="2266"/>
      <c r="S1676" s="2266"/>
    </row>
    <row r="1677" spans="1:16383" s="2105" customFormat="1" outlineLevel="1">
      <c r="A1677" s="2182" t="str">
        <f>IF(G1677&lt;&gt;0,1,"")</f>
        <v/>
      </c>
      <c r="B1677" s="2130" t="s">
        <v>488</v>
      </c>
      <c r="C1677" s="2258"/>
      <c r="D1677" s="2152">
        <v>0</v>
      </c>
      <c r="E1677" s="2194" t="s">
        <v>5078</v>
      </c>
      <c r="F1677" s="2152" t="s">
        <v>2439</v>
      </c>
      <c r="G1677" s="2450">
        <f>+G1673*3</f>
        <v>0</v>
      </c>
      <c r="H1677" s="2359">
        <v>65000</v>
      </c>
      <c r="I1677" s="2359">
        <v>0</v>
      </c>
      <c r="J1677" s="2359">
        <v>0</v>
      </c>
      <c r="K1677" s="2359">
        <v>0</v>
      </c>
      <c r="L1677" s="2360">
        <f t="shared" si="314"/>
        <v>0</v>
      </c>
      <c r="M1677" s="2360">
        <f t="shared" si="317"/>
        <v>0</v>
      </c>
      <c r="N1677" s="2360">
        <f t="shared" si="318"/>
        <v>0</v>
      </c>
      <c r="O1677" s="2360">
        <f t="shared" si="319"/>
        <v>0</v>
      </c>
      <c r="P1677" s="2449"/>
      <c r="Q1677" s="2266"/>
      <c r="R1677" s="2266"/>
      <c r="S1677" s="2266"/>
    </row>
    <row r="1678" spans="1:16383" s="2105" customFormat="1" outlineLevel="1">
      <c r="A1678" s="2182" t="str">
        <f>IF(G1678&lt;&gt;0,1,"")</f>
        <v/>
      </c>
      <c r="B1678" s="2261" t="s">
        <v>1079</v>
      </c>
      <c r="C1678" s="2258"/>
      <c r="D1678" s="2152">
        <v>0</v>
      </c>
      <c r="E1678" s="2194" t="s">
        <v>2651</v>
      </c>
      <c r="F1678" s="2152" t="s">
        <v>2439</v>
      </c>
      <c r="G1678" s="2450">
        <f>+G1673*2</f>
        <v>0</v>
      </c>
      <c r="H1678" s="2359">
        <v>27900</v>
      </c>
      <c r="I1678" s="2416"/>
      <c r="J1678" s="2359">
        <v>0</v>
      </c>
      <c r="K1678" s="2359">
        <v>0</v>
      </c>
      <c r="L1678" s="2360">
        <f t="shared" si="314"/>
        <v>0</v>
      </c>
      <c r="M1678" s="2360">
        <f t="shared" si="317"/>
        <v>0</v>
      </c>
      <c r="N1678" s="2360">
        <f t="shared" si="318"/>
        <v>0</v>
      </c>
      <c r="O1678" s="2360">
        <f t="shared" si="319"/>
        <v>0</v>
      </c>
      <c r="P1678" s="2449"/>
      <c r="Q1678" s="2266"/>
      <c r="R1678" s="2266"/>
      <c r="S1678" s="2266"/>
    </row>
    <row r="1679" spans="1:16383" s="2105" customFormat="1" outlineLevel="1">
      <c r="A1679" s="2182" t="str">
        <f>IF(G1679&lt;&gt;0,1,"")</f>
        <v/>
      </c>
      <c r="B1679" s="2473" t="s">
        <v>5372</v>
      </c>
      <c r="C1679" s="2258"/>
      <c r="D1679" s="2152" t="s">
        <v>5148</v>
      </c>
      <c r="E1679" s="2194" t="s">
        <v>5373</v>
      </c>
      <c r="F1679" s="2152" t="s">
        <v>2439</v>
      </c>
      <c r="G1679" s="2450">
        <f>+G1673</f>
        <v>0</v>
      </c>
      <c r="H1679" s="2264">
        <v>0</v>
      </c>
      <c r="I1679" s="2359"/>
      <c r="J1679" s="2359">
        <v>51981</v>
      </c>
      <c r="K1679" s="2359"/>
      <c r="L1679" s="2360">
        <f t="shared" si="314"/>
        <v>0</v>
      </c>
      <c r="M1679" s="2360"/>
      <c r="N1679" s="2359">
        <f>G1679*J1679</f>
        <v>0</v>
      </c>
      <c r="O1679" s="2360"/>
      <c r="P1679" s="2449"/>
      <c r="Q1679" s="2266"/>
      <c r="R1679" s="2266"/>
      <c r="S1679" s="2266"/>
    </row>
    <row r="1680" spans="1:16383" s="2105" customFormat="1" outlineLevel="1" collapsed="1">
      <c r="A1680" s="2474" t="str">
        <f>IF(G1680&lt;&gt;0,1,"")</f>
        <v/>
      </c>
      <c r="B1680" s="2475"/>
      <c r="C1680" s="2463">
        <f>IF(G1680&gt;0,C1673+1,C1673)</f>
        <v>0</v>
      </c>
      <c r="D1680" s="2464"/>
      <c r="E1680" s="2465" t="s">
        <v>3718</v>
      </c>
      <c r="F1680" s="2466" t="s">
        <v>2385</v>
      </c>
      <c r="G1680" s="2467"/>
      <c r="H1680" s="2468"/>
      <c r="I1680" s="2469"/>
      <c r="J1680" s="2470"/>
      <c r="K1680" s="2470"/>
      <c r="L1680" s="2471">
        <f t="shared" si="314"/>
        <v>0</v>
      </c>
      <c r="M1680" s="2472">
        <f>I1680*G1680</f>
        <v>0</v>
      </c>
      <c r="N1680" s="2471">
        <f>J1680*G1680</f>
        <v>0</v>
      </c>
      <c r="O1680" s="2471">
        <f>K1680*G1680</f>
        <v>0</v>
      </c>
      <c r="P1680" s="2476"/>
      <c r="Q1680" s="2477"/>
      <c r="R1680" s="2477"/>
      <c r="S1680" s="2477"/>
      <c r="T1680" s="2477"/>
      <c r="U1680" s="2477"/>
      <c r="V1680" s="2477"/>
      <c r="W1680" s="2477"/>
      <c r="X1680" s="2477"/>
      <c r="Y1680" s="2477"/>
      <c r="Z1680" s="2477"/>
      <c r="AA1680" s="2477"/>
      <c r="AB1680" s="2477"/>
      <c r="AC1680" s="2477"/>
      <c r="AD1680" s="2477"/>
      <c r="AE1680" s="2477"/>
      <c r="AF1680" s="2477"/>
      <c r="AG1680" s="2477"/>
      <c r="AH1680" s="2477"/>
      <c r="AI1680" s="2477"/>
      <c r="AJ1680" s="2477"/>
      <c r="AK1680" s="2477"/>
      <c r="AL1680" s="2477"/>
      <c r="AM1680" s="2477"/>
      <c r="AN1680" s="2477"/>
      <c r="AO1680" s="2477"/>
      <c r="AP1680" s="2477"/>
      <c r="AQ1680" s="2477"/>
      <c r="AR1680" s="2477"/>
      <c r="AS1680" s="2477"/>
      <c r="AT1680" s="2477"/>
      <c r="AU1680" s="2477"/>
      <c r="AV1680" s="2477"/>
      <c r="AW1680" s="2477"/>
      <c r="AX1680" s="2477"/>
      <c r="AY1680" s="2477"/>
      <c r="AZ1680" s="2477"/>
      <c r="BA1680" s="2477"/>
      <c r="BB1680" s="2477"/>
      <c r="BC1680" s="2477"/>
      <c r="BD1680" s="2477"/>
      <c r="BE1680" s="2477"/>
      <c r="BF1680" s="2477"/>
      <c r="BG1680" s="2477"/>
      <c r="BH1680" s="2477"/>
      <c r="BI1680" s="2477"/>
      <c r="BJ1680" s="2477"/>
      <c r="BK1680" s="2477"/>
      <c r="BL1680" s="2477"/>
      <c r="BM1680" s="2477"/>
      <c r="BN1680" s="2477"/>
      <c r="BO1680" s="2477"/>
      <c r="BP1680" s="2477"/>
      <c r="BQ1680" s="2477"/>
      <c r="BR1680" s="2477"/>
      <c r="BS1680" s="2477"/>
      <c r="BT1680" s="2477"/>
      <c r="BU1680" s="2477"/>
      <c r="BV1680" s="2477"/>
      <c r="BW1680" s="2477"/>
      <c r="BX1680" s="2477"/>
      <c r="BY1680" s="2477"/>
      <c r="BZ1680" s="2477"/>
      <c r="CA1680" s="2477"/>
      <c r="CB1680" s="2477"/>
      <c r="CC1680" s="2477"/>
      <c r="CD1680" s="2477"/>
      <c r="CE1680" s="2477"/>
      <c r="CF1680" s="2477"/>
      <c r="CG1680" s="2477"/>
      <c r="CH1680" s="2477"/>
      <c r="CI1680" s="2477"/>
      <c r="CJ1680" s="2477"/>
      <c r="CK1680" s="2477"/>
      <c r="CL1680" s="2477"/>
      <c r="CM1680" s="2477"/>
      <c r="CN1680" s="2477"/>
      <c r="CO1680" s="2477"/>
      <c r="CP1680" s="2477"/>
      <c r="CQ1680" s="2477"/>
      <c r="CR1680" s="2477"/>
      <c r="CS1680" s="2477"/>
      <c r="CT1680" s="2477"/>
      <c r="CU1680" s="2477"/>
      <c r="CV1680" s="2477"/>
      <c r="CW1680" s="2477"/>
      <c r="CX1680" s="2477"/>
      <c r="CY1680" s="2477"/>
      <c r="CZ1680" s="2477"/>
      <c r="DA1680" s="2477"/>
      <c r="DB1680" s="2477"/>
      <c r="DC1680" s="2477"/>
      <c r="DD1680" s="2477"/>
      <c r="DE1680" s="2477"/>
      <c r="DF1680" s="2477"/>
      <c r="DG1680" s="2477"/>
      <c r="DH1680" s="2477"/>
      <c r="DI1680" s="2477"/>
      <c r="DJ1680" s="2477"/>
      <c r="DK1680" s="2477"/>
      <c r="DL1680" s="2477"/>
      <c r="DM1680" s="2477"/>
      <c r="DN1680" s="2477"/>
      <c r="DO1680" s="2477"/>
      <c r="DP1680" s="2477"/>
      <c r="DQ1680" s="2477"/>
      <c r="DR1680" s="2477"/>
      <c r="DS1680" s="2477"/>
      <c r="DT1680" s="2477"/>
      <c r="DU1680" s="2477"/>
      <c r="DV1680" s="2477"/>
      <c r="DW1680" s="2477"/>
      <c r="DX1680" s="2477"/>
      <c r="DY1680" s="2477"/>
      <c r="DZ1680" s="2477"/>
      <c r="EA1680" s="2477"/>
      <c r="EB1680" s="2477"/>
      <c r="EC1680" s="2477"/>
      <c r="ED1680" s="2477"/>
      <c r="EE1680" s="2477"/>
      <c r="EF1680" s="2477"/>
      <c r="EG1680" s="2477"/>
      <c r="EH1680" s="2477"/>
      <c r="EI1680" s="2477"/>
      <c r="EJ1680" s="2477"/>
      <c r="EK1680" s="2477"/>
      <c r="EL1680" s="2477"/>
      <c r="EM1680" s="2477"/>
      <c r="EN1680" s="2477"/>
      <c r="EO1680" s="2477"/>
      <c r="EP1680" s="2477"/>
      <c r="EQ1680" s="2477"/>
      <c r="ER1680" s="2477"/>
      <c r="ES1680" s="2477"/>
      <c r="ET1680" s="2477"/>
      <c r="EU1680" s="2477"/>
      <c r="EV1680" s="2477"/>
      <c r="EW1680" s="2477"/>
      <c r="EX1680" s="2477"/>
      <c r="EY1680" s="2477"/>
      <c r="EZ1680" s="2477"/>
      <c r="FA1680" s="2477"/>
      <c r="FB1680" s="2477"/>
      <c r="FC1680" s="2477"/>
      <c r="FD1680" s="2477"/>
      <c r="FE1680" s="2477"/>
      <c r="FF1680" s="2477"/>
      <c r="FG1680" s="2477"/>
      <c r="FH1680" s="2477"/>
      <c r="FI1680" s="2477"/>
      <c r="FJ1680" s="2477"/>
      <c r="FK1680" s="2477"/>
      <c r="FL1680" s="2477"/>
      <c r="FM1680" s="2477"/>
      <c r="FN1680" s="2477"/>
      <c r="FO1680" s="2477"/>
      <c r="FP1680" s="2477"/>
      <c r="FQ1680" s="2477"/>
      <c r="FR1680" s="2477"/>
      <c r="FS1680" s="2477"/>
      <c r="FT1680" s="2477"/>
      <c r="FU1680" s="2477"/>
      <c r="FV1680" s="2477"/>
      <c r="FW1680" s="2477"/>
      <c r="FX1680" s="2477"/>
      <c r="FY1680" s="2477"/>
      <c r="FZ1680" s="2477"/>
      <c r="GA1680" s="2477"/>
      <c r="GB1680" s="2477"/>
      <c r="GC1680" s="2477"/>
      <c r="GD1680" s="2477"/>
      <c r="GE1680" s="2477"/>
      <c r="GF1680" s="2477"/>
      <c r="GG1680" s="2477"/>
      <c r="GH1680" s="2477"/>
      <c r="GI1680" s="2477"/>
      <c r="GJ1680" s="2477"/>
      <c r="GK1680" s="2477"/>
      <c r="GL1680" s="2477"/>
      <c r="GM1680" s="2477"/>
      <c r="GN1680" s="2477"/>
      <c r="GO1680" s="2477"/>
      <c r="GP1680" s="2477"/>
      <c r="GQ1680" s="2477"/>
      <c r="GR1680" s="2477"/>
      <c r="GS1680" s="2477"/>
      <c r="GT1680" s="2477"/>
      <c r="GU1680" s="2477"/>
      <c r="GV1680" s="2477"/>
      <c r="GW1680" s="2477"/>
      <c r="GX1680" s="2477"/>
      <c r="GY1680" s="2477"/>
      <c r="GZ1680" s="2477"/>
      <c r="HA1680" s="2477"/>
      <c r="HB1680" s="2477"/>
      <c r="HC1680" s="2477"/>
      <c r="HD1680" s="2477"/>
      <c r="HE1680" s="2477"/>
      <c r="HF1680" s="2477"/>
      <c r="HG1680" s="2477"/>
      <c r="HH1680" s="2477"/>
      <c r="HI1680" s="2477"/>
      <c r="HJ1680" s="2477"/>
      <c r="HK1680" s="2477"/>
      <c r="HL1680" s="2477"/>
      <c r="HM1680" s="2477"/>
      <c r="HN1680" s="2477"/>
      <c r="HO1680" s="2477"/>
      <c r="HP1680" s="2477"/>
      <c r="HQ1680" s="2477"/>
      <c r="HR1680" s="2477"/>
      <c r="HS1680" s="2477"/>
      <c r="HT1680" s="2477"/>
      <c r="HU1680" s="2477"/>
      <c r="HV1680" s="2477"/>
      <c r="HW1680" s="2477"/>
      <c r="HX1680" s="2477"/>
      <c r="HY1680" s="2477"/>
      <c r="HZ1680" s="2477"/>
      <c r="IA1680" s="2477"/>
      <c r="IB1680" s="2477"/>
      <c r="IC1680" s="2477"/>
      <c r="ID1680" s="2477"/>
      <c r="IE1680" s="2477"/>
      <c r="IF1680" s="2477"/>
      <c r="IG1680" s="2477"/>
      <c r="IH1680" s="2477"/>
      <c r="II1680" s="2477"/>
      <c r="IJ1680" s="2477"/>
      <c r="IK1680" s="2477"/>
      <c r="IL1680" s="2477"/>
      <c r="IM1680" s="2477"/>
      <c r="IN1680" s="2477"/>
      <c r="IO1680" s="2477"/>
      <c r="IP1680" s="2477"/>
      <c r="IQ1680" s="2477"/>
      <c r="IR1680" s="2477"/>
      <c r="IS1680" s="2477"/>
      <c r="IT1680" s="2477"/>
      <c r="IU1680" s="2477"/>
      <c r="IV1680" s="2477"/>
      <c r="IW1680" s="2477"/>
      <c r="IX1680" s="2477"/>
      <c r="IY1680" s="2477"/>
      <c r="IZ1680" s="2477"/>
      <c r="JA1680" s="2477"/>
      <c r="JB1680" s="2477"/>
      <c r="JC1680" s="2477"/>
      <c r="JD1680" s="2477"/>
      <c r="JE1680" s="2477"/>
      <c r="JF1680" s="2477"/>
      <c r="JG1680" s="2477"/>
      <c r="JH1680" s="2477"/>
      <c r="JI1680" s="2477"/>
      <c r="JJ1680" s="2477"/>
      <c r="JK1680" s="2477"/>
      <c r="JL1680" s="2477"/>
      <c r="JM1680" s="2477"/>
      <c r="JN1680" s="2477"/>
      <c r="JO1680" s="2477"/>
      <c r="JP1680" s="2477"/>
      <c r="JQ1680" s="2477"/>
      <c r="JR1680" s="2477"/>
      <c r="JS1680" s="2477"/>
      <c r="JT1680" s="2477"/>
      <c r="JU1680" s="2477"/>
      <c r="JV1680" s="2477"/>
      <c r="JW1680" s="2477"/>
      <c r="JX1680" s="2477"/>
      <c r="JY1680" s="2477"/>
      <c r="JZ1680" s="2477"/>
      <c r="KA1680" s="2477"/>
      <c r="KB1680" s="2477"/>
      <c r="KC1680" s="2477"/>
      <c r="KD1680" s="2477"/>
      <c r="KE1680" s="2477"/>
      <c r="KF1680" s="2477"/>
      <c r="KG1680" s="2477"/>
      <c r="KH1680" s="2477"/>
      <c r="KI1680" s="2477"/>
      <c r="KJ1680" s="2477"/>
      <c r="KK1680" s="2477"/>
      <c r="KL1680" s="2477"/>
      <c r="KM1680" s="2477"/>
      <c r="KN1680" s="2477"/>
      <c r="KO1680" s="2477"/>
      <c r="KP1680" s="2477"/>
      <c r="KQ1680" s="2477"/>
      <c r="KR1680" s="2477"/>
      <c r="KS1680" s="2477"/>
      <c r="KT1680" s="2477"/>
      <c r="KU1680" s="2477"/>
      <c r="KV1680" s="2477"/>
      <c r="KW1680" s="2477"/>
      <c r="KX1680" s="2477"/>
      <c r="KY1680" s="2477"/>
      <c r="KZ1680" s="2477"/>
      <c r="LA1680" s="2477"/>
      <c r="LB1680" s="2477"/>
      <c r="LC1680" s="2477"/>
      <c r="LD1680" s="2477"/>
      <c r="LE1680" s="2477"/>
      <c r="LF1680" s="2477"/>
      <c r="LG1680" s="2477"/>
      <c r="LH1680" s="2477"/>
      <c r="LI1680" s="2477"/>
      <c r="LJ1680" s="2477"/>
      <c r="LK1680" s="2477"/>
      <c r="LL1680" s="2477"/>
      <c r="LM1680" s="2477"/>
      <c r="LN1680" s="2477"/>
      <c r="LO1680" s="2477"/>
      <c r="LP1680" s="2477"/>
      <c r="LQ1680" s="2477"/>
      <c r="LR1680" s="2477"/>
      <c r="LS1680" s="2477"/>
      <c r="LT1680" s="2477"/>
      <c r="LU1680" s="2477"/>
      <c r="LV1680" s="2477"/>
      <c r="LW1680" s="2477"/>
      <c r="LX1680" s="2477"/>
      <c r="LY1680" s="2477"/>
      <c r="LZ1680" s="2477"/>
      <c r="MA1680" s="2477"/>
      <c r="MB1680" s="2477"/>
      <c r="MC1680" s="2477"/>
      <c r="MD1680" s="2477"/>
      <c r="ME1680" s="2477"/>
      <c r="MF1680" s="2477"/>
      <c r="MG1680" s="2477"/>
      <c r="MH1680" s="2477"/>
      <c r="MI1680" s="2477"/>
      <c r="MJ1680" s="2477"/>
      <c r="MK1680" s="2477"/>
      <c r="ML1680" s="2477"/>
      <c r="MM1680" s="2477"/>
      <c r="MN1680" s="2477"/>
      <c r="MO1680" s="2477"/>
      <c r="MP1680" s="2477"/>
      <c r="MQ1680" s="2477"/>
      <c r="MR1680" s="2477"/>
      <c r="MS1680" s="2477"/>
      <c r="MT1680" s="2477"/>
      <c r="MU1680" s="2477"/>
      <c r="MV1680" s="2477"/>
      <c r="MW1680" s="2477"/>
      <c r="MX1680" s="2477"/>
      <c r="MY1680" s="2477"/>
      <c r="MZ1680" s="2477"/>
      <c r="NA1680" s="2477"/>
      <c r="NB1680" s="2477"/>
      <c r="NC1680" s="2477"/>
      <c r="ND1680" s="2477"/>
      <c r="NE1680" s="2477"/>
      <c r="NF1680" s="2477"/>
      <c r="NG1680" s="2477"/>
      <c r="NH1680" s="2477"/>
      <c r="NI1680" s="2477"/>
      <c r="NJ1680" s="2477"/>
      <c r="NK1680" s="2477"/>
      <c r="NL1680" s="2477"/>
      <c r="NM1680" s="2477"/>
      <c r="NN1680" s="2477"/>
      <c r="NO1680" s="2477"/>
      <c r="NP1680" s="2477"/>
      <c r="NQ1680" s="2477"/>
      <c r="NR1680" s="2477"/>
      <c r="NS1680" s="2477"/>
      <c r="NT1680" s="2477"/>
      <c r="NU1680" s="2477"/>
      <c r="NV1680" s="2477"/>
      <c r="NW1680" s="2477"/>
      <c r="NX1680" s="2477"/>
      <c r="NY1680" s="2477"/>
      <c r="NZ1680" s="2477"/>
      <c r="OA1680" s="2477"/>
      <c r="OB1680" s="2477"/>
      <c r="OC1680" s="2477"/>
      <c r="OD1680" s="2477"/>
      <c r="OE1680" s="2477"/>
      <c r="OF1680" s="2477"/>
      <c r="OG1680" s="2477"/>
      <c r="OH1680" s="2477"/>
      <c r="OI1680" s="2477"/>
      <c r="OJ1680" s="2477"/>
      <c r="OK1680" s="2477"/>
      <c r="OL1680" s="2477"/>
      <c r="OM1680" s="2477"/>
      <c r="ON1680" s="2477"/>
      <c r="OO1680" s="2477"/>
      <c r="OP1680" s="2477"/>
      <c r="OQ1680" s="2477"/>
      <c r="OR1680" s="2477"/>
      <c r="OS1680" s="2477"/>
      <c r="OT1680" s="2477"/>
      <c r="OU1680" s="2477"/>
      <c r="OV1680" s="2477"/>
      <c r="OW1680" s="2477"/>
      <c r="OX1680" s="2477"/>
      <c r="OY1680" s="2477"/>
      <c r="OZ1680" s="2477"/>
      <c r="PA1680" s="2477"/>
      <c r="PB1680" s="2477"/>
      <c r="PC1680" s="2477"/>
      <c r="PD1680" s="2477"/>
      <c r="PE1680" s="2477"/>
      <c r="PF1680" s="2477"/>
      <c r="PG1680" s="2477"/>
      <c r="PH1680" s="2477"/>
      <c r="PI1680" s="2477"/>
      <c r="PJ1680" s="2477"/>
      <c r="PK1680" s="2477"/>
      <c r="PL1680" s="2477"/>
      <c r="PM1680" s="2477"/>
      <c r="PN1680" s="2477"/>
      <c r="PO1680" s="2477"/>
      <c r="PP1680" s="2477"/>
      <c r="PQ1680" s="2477"/>
      <c r="PR1680" s="2477"/>
      <c r="PS1680" s="2477"/>
      <c r="PT1680" s="2477"/>
      <c r="PU1680" s="2477"/>
      <c r="PV1680" s="2477"/>
      <c r="PW1680" s="2477"/>
      <c r="PX1680" s="2477"/>
      <c r="PY1680" s="2477"/>
      <c r="PZ1680" s="2477"/>
      <c r="QA1680" s="2477"/>
      <c r="QB1680" s="2477"/>
      <c r="QC1680" s="2477"/>
      <c r="QD1680" s="2477"/>
      <c r="QE1680" s="2477"/>
      <c r="QF1680" s="2477"/>
      <c r="QG1680" s="2477"/>
      <c r="QH1680" s="2477"/>
      <c r="QI1680" s="2477"/>
      <c r="QJ1680" s="2477"/>
      <c r="QK1680" s="2477"/>
      <c r="QL1680" s="2477"/>
      <c r="QM1680" s="2477"/>
      <c r="QN1680" s="2477"/>
      <c r="QO1680" s="2477"/>
      <c r="QP1680" s="2477"/>
      <c r="QQ1680" s="2477"/>
      <c r="QR1680" s="2477"/>
      <c r="QS1680" s="2477"/>
      <c r="QT1680" s="2477"/>
      <c r="QU1680" s="2477"/>
      <c r="QV1680" s="2477"/>
      <c r="QW1680" s="2477"/>
      <c r="QX1680" s="2477"/>
      <c r="QY1680" s="2477"/>
      <c r="QZ1680" s="2477"/>
      <c r="RA1680" s="2477"/>
      <c r="RB1680" s="2477"/>
      <c r="RC1680" s="2477"/>
      <c r="RD1680" s="2477"/>
      <c r="RE1680" s="2477"/>
      <c r="RF1680" s="2477"/>
      <c r="RG1680" s="2477"/>
      <c r="RH1680" s="2477"/>
      <c r="RI1680" s="2477"/>
      <c r="RJ1680" s="2477"/>
      <c r="RK1680" s="2477"/>
      <c r="RL1680" s="2477"/>
      <c r="RM1680" s="2477"/>
      <c r="RN1680" s="2477"/>
      <c r="RO1680" s="2477"/>
      <c r="RP1680" s="2477"/>
      <c r="RQ1680" s="2477"/>
      <c r="RR1680" s="2477"/>
      <c r="RS1680" s="2477"/>
      <c r="RT1680" s="2477"/>
      <c r="RU1680" s="2477"/>
      <c r="RV1680" s="2477"/>
      <c r="RW1680" s="2477"/>
      <c r="RX1680" s="2477"/>
      <c r="RY1680" s="2477"/>
      <c r="RZ1680" s="2477"/>
      <c r="SA1680" s="2477"/>
      <c r="SB1680" s="2477"/>
      <c r="SC1680" s="2477"/>
      <c r="SD1680" s="2477"/>
      <c r="SE1680" s="2477"/>
      <c r="SF1680" s="2477"/>
      <c r="SG1680" s="2477"/>
      <c r="SH1680" s="2477"/>
      <c r="SI1680" s="2477"/>
      <c r="SJ1680" s="2477"/>
      <c r="SK1680" s="2477"/>
      <c r="SL1680" s="2477"/>
      <c r="SM1680" s="2477"/>
      <c r="SN1680" s="2477"/>
      <c r="SO1680" s="2477"/>
      <c r="SP1680" s="2477"/>
      <c r="SQ1680" s="2477"/>
      <c r="SR1680" s="2477"/>
      <c r="SS1680" s="2477"/>
      <c r="ST1680" s="2477"/>
      <c r="SU1680" s="2477"/>
      <c r="SV1680" s="2477"/>
      <c r="SW1680" s="2477"/>
      <c r="SX1680" s="2477"/>
      <c r="SY1680" s="2477"/>
      <c r="SZ1680" s="2477"/>
      <c r="TA1680" s="2477"/>
      <c r="TB1680" s="2477"/>
      <c r="TC1680" s="2477"/>
      <c r="TD1680" s="2477"/>
      <c r="TE1680" s="2477"/>
      <c r="TF1680" s="2477"/>
      <c r="TG1680" s="2477"/>
      <c r="TH1680" s="2477"/>
      <c r="TI1680" s="2477"/>
      <c r="TJ1680" s="2477"/>
      <c r="TK1680" s="2477"/>
      <c r="TL1680" s="2477"/>
      <c r="TM1680" s="2477"/>
      <c r="TN1680" s="2477"/>
      <c r="TO1680" s="2477"/>
      <c r="TP1680" s="2477"/>
      <c r="TQ1680" s="2477"/>
      <c r="TR1680" s="2477"/>
      <c r="TS1680" s="2477"/>
      <c r="TT1680" s="2477"/>
      <c r="TU1680" s="2477"/>
      <c r="TV1680" s="2477"/>
      <c r="TW1680" s="2477"/>
      <c r="TX1680" s="2477"/>
      <c r="TY1680" s="2477"/>
      <c r="TZ1680" s="2477"/>
      <c r="UA1680" s="2477"/>
      <c r="UB1680" s="2477"/>
      <c r="UC1680" s="2477"/>
      <c r="UD1680" s="2477"/>
      <c r="UE1680" s="2477"/>
      <c r="UF1680" s="2477"/>
      <c r="UG1680" s="2477"/>
      <c r="UH1680" s="2477"/>
      <c r="UI1680" s="2477"/>
      <c r="UJ1680" s="2477"/>
      <c r="UK1680" s="2477"/>
      <c r="UL1680" s="2477"/>
      <c r="UM1680" s="2477"/>
      <c r="UN1680" s="2477"/>
      <c r="UO1680" s="2477"/>
      <c r="UP1680" s="2477"/>
      <c r="UQ1680" s="2477"/>
      <c r="UR1680" s="2477"/>
      <c r="US1680" s="2477"/>
      <c r="UT1680" s="2477"/>
      <c r="UU1680" s="2477"/>
      <c r="UV1680" s="2477"/>
      <c r="UW1680" s="2477"/>
      <c r="UX1680" s="2477"/>
      <c r="UY1680" s="2477"/>
      <c r="UZ1680" s="2477"/>
      <c r="VA1680" s="2477"/>
      <c r="VB1680" s="2477"/>
      <c r="VC1680" s="2477"/>
      <c r="VD1680" s="2477"/>
      <c r="VE1680" s="2477"/>
      <c r="VF1680" s="2477"/>
      <c r="VG1680" s="2477"/>
      <c r="VH1680" s="2477"/>
      <c r="VI1680" s="2477"/>
      <c r="VJ1680" s="2477"/>
      <c r="VK1680" s="2477"/>
      <c r="VL1680" s="2477"/>
      <c r="VM1680" s="2477"/>
      <c r="VN1680" s="2477"/>
      <c r="VO1680" s="2477"/>
      <c r="VP1680" s="2477"/>
      <c r="VQ1680" s="2477"/>
      <c r="VR1680" s="2477"/>
      <c r="VS1680" s="2477"/>
      <c r="VT1680" s="2477"/>
      <c r="VU1680" s="2477"/>
      <c r="VV1680" s="2477"/>
      <c r="VW1680" s="2477"/>
      <c r="VX1680" s="2477"/>
      <c r="VY1680" s="2477"/>
      <c r="VZ1680" s="2477"/>
      <c r="WA1680" s="2477"/>
      <c r="WB1680" s="2477"/>
      <c r="WC1680" s="2477"/>
      <c r="WD1680" s="2477"/>
      <c r="WE1680" s="2477"/>
      <c r="WF1680" s="2477"/>
      <c r="WG1680" s="2477"/>
      <c r="WH1680" s="2477"/>
      <c r="WI1680" s="2477"/>
      <c r="WJ1680" s="2477"/>
      <c r="WK1680" s="2477"/>
      <c r="WL1680" s="2477"/>
      <c r="WM1680" s="2477"/>
      <c r="WN1680" s="2477"/>
      <c r="WO1680" s="2477"/>
      <c r="WP1680" s="2477"/>
      <c r="WQ1680" s="2477"/>
      <c r="WR1680" s="2477"/>
      <c r="WS1680" s="2477"/>
      <c r="WT1680" s="2477"/>
      <c r="WU1680" s="2477"/>
      <c r="WV1680" s="2477"/>
      <c r="WW1680" s="2477"/>
      <c r="WX1680" s="2477"/>
      <c r="WY1680" s="2477"/>
      <c r="WZ1680" s="2477"/>
      <c r="XA1680" s="2477"/>
      <c r="XB1680" s="2477"/>
      <c r="XC1680" s="2477"/>
      <c r="XD1680" s="2477"/>
      <c r="XE1680" s="2477"/>
      <c r="XF1680" s="2477"/>
      <c r="XG1680" s="2477"/>
      <c r="XH1680" s="2477"/>
      <c r="XI1680" s="2477"/>
      <c r="XJ1680" s="2477"/>
      <c r="XK1680" s="2477"/>
      <c r="XL1680" s="2477"/>
      <c r="XM1680" s="2477"/>
      <c r="XN1680" s="2477"/>
      <c r="XO1680" s="2477"/>
      <c r="XP1680" s="2477"/>
      <c r="XQ1680" s="2477"/>
      <c r="XR1680" s="2477"/>
      <c r="XS1680" s="2477"/>
      <c r="XT1680" s="2477"/>
      <c r="XU1680" s="2477"/>
      <c r="XV1680" s="2477"/>
      <c r="XW1680" s="2477"/>
      <c r="XX1680" s="2477"/>
      <c r="XY1680" s="2477"/>
      <c r="XZ1680" s="2477"/>
      <c r="YA1680" s="2477"/>
      <c r="YB1680" s="2477"/>
      <c r="YC1680" s="2477"/>
      <c r="YD1680" s="2477"/>
      <c r="YE1680" s="2477"/>
      <c r="YF1680" s="2477"/>
      <c r="YG1680" s="2477"/>
      <c r="YH1680" s="2477"/>
      <c r="YI1680" s="2477"/>
      <c r="YJ1680" s="2477"/>
      <c r="YK1680" s="2477"/>
      <c r="YL1680" s="2477"/>
      <c r="YM1680" s="2477"/>
      <c r="YN1680" s="2477"/>
      <c r="YO1680" s="2477"/>
      <c r="YP1680" s="2477"/>
      <c r="YQ1680" s="2477"/>
      <c r="YR1680" s="2477"/>
      <c r="YS1680" s="2477"/>
      <c r="YT1680" s="2477"/>
      <c r="YU1680" s="2477"/>
      <c r="YV1680" s="2477"/>
      <c r="YW1680" s="2477"/>
      <c r="YX1680" s="2477"/>
      <c r="YY1680" s="2477"/>
      <c r="YZ1680" s="2477"/>
      <c r="ZA1680" s="2477"/>
      <c r="ZB1680" s="2477"/>
      <c r="ZC1680" s="2477"/>
      <c r="ZD1680" s="2477"/>
      <c r="ZE1680" s="2477"/>
      <c r="ZF1680" s="2477"/>
      <c r="ZG1680" s="2477"/>
      <c r="ZH1680" s="2477"/>
      <c r="ZI1680" s="2477"/>
      <c r="ZJ1680" s="2477"/>
      <c r="ZK1680" s="2477"/>
      <c r="ZL1680" s="2477"/>
      <c r="ZM1680" s="2477"/>
      <c r="ZN1680" s="2477"/>
      <c r="ZO1680" s="2477"/>
      <c r="ZP1680" s="2477"/>
      <c r="ZQ1680" s="2477"/>
      <c r="ZR1680" s="2477"/>
      <c r="ZS1680" s="2477"/>
      <c r="ZT1680" s="2477"/>
      <c r="ZU1680" s="2477"/>
      <c r="ZV1680" s="2477"/>
      <c r="ZW1680" s="2477"/>
      <c r="ZX1680" s="2477"/>
      <c r="ZY1680" s="2477"/>
      <c r="ZZ1680" s="2477"/>
      <c r="AAA1680" s="2477"/>
      <c r="AAB1680" s="2477"/>
      <c r="AAC1680" s="2477"/>
      <c r="AAD1680" s="2477"/>
      <c r="AAE1680" s="2477"/>
      <c r="AAF1680" s="2477"/>
      <c r="AAG1680" s="2477"/>
      <c r="AAH1680" s="2477"/>
      <c r="AAI1680" s="2477"/>
      <c r="AAJ1680" s="2477"/>
      <c r="AAK1680" s="2477"/>
      <c r="AAL1680" s="2477"/>
      <c r="AAM1680" s="2477"/>
      <c r="AAN1680" s="2477"/>
      <c r="AAO1680" s="2477"/>
      <c r="AAP1680" s="2477"/>
      <c r="AAQ1680" s="2477"/>
      <c r="AAR1680" s="2477"/>
      <c r="AAS1680" s="2477"/>
      <c r="AAT1680" s="2477"/>
      <c r="AAU1680" s="2477"/>
      <c r="AAV1680" s="2477"/>
      <c r="AAW1680" s="2477"/>
      <c r="AAX1680" s="2477"/>
      <c r="AAY1680" s="2477"/>
      <c r="AAZ1680" s="2477"/>
      <c r="ABA1680" s="2477"/>
      <c r="ABB1680" s="2477"/>
      <c r="ABC1680" s="2477"/>
      <c r="ABD1680" s="2477"/>
      <c r="ABE1680" s="2477"/>
      <c r="ABF1680" s="2477"/>
      <c r="ABG1680" s="2477"/>
      <c r="ABH1680" s="2477"/>
      <c r="ABI1680" s="2477"/>
      <c r="ABJ1680" s="2477"/>
      <c r="ABK1680" s="2477"/>
      <c r="ABL1680" s="2477"/>
      <c r="ABM1680" s="2477"/>
      <c r="ABN1680" s="2477"/>
      <c r="ABO1680" s="2477"/>
      <c r="ABP1680" s="2477"/>
      <c r="ABQ1680" s="2477"/>
      <c r="ABR1680" s="2477"/>
      <c r="ABS1680" s="2477"/>
      <c r="ABT1680" s="2477"/>
      <c r="ABU1680" s="2477"/>
      <c r="ABV1680" s="2477"/>
      <c r="ABW1680" s="2477"/>
      <c r="ABX1680" s="2477"/>
      <c r="ABY1680" s="2477"/>
      <c r="ABZ1680" s="2477"/>
      <c r="ACA1680" s="2477"/>
      <c r="ACB1680" s="2477"/>
      <c r="ACC1680" s="2477"/>
      <c r="ACD1680" s="2477"/>
      <c r="ACE1680" s="2477"/>
      <c r="ACF1680" s="2477"/>
      <c r="ACG1680" s="2477"/>
      <c r="ACH1680" s="2477"/>
      <c r="ACI1680" s="2477"/>
      <c r="ACJ1680" s="2477"/>
      <c r="ACK1680" s="2477"/>
      <c r="ACL1680" s="2477"/>
      <c r="ACM1680" s="2477"/>
      <c r="ACN1680" s="2477"/>
      <c r="ACO1680" s="2477"/>
      <c r="ACP1680" s="2477"/>
      <c r="ACQ1680" s="2477"/>
      <c r="ACR1680" s="2477"/>
      <c r="ACS1680" s="2477"/>
      <c r="ACT1680" s="2477"/>
      <c r="ACU1680" s="2477"/>
      <c r="ACV1680" s="2477"/>
      <c r="ACW1680" s="2477"/>
      <c r="ACX1680" s="2477"/>
      <c r="ACY1680" s="2477"/>
      <c r="ACZ1680" s="2477"/>
      <c r="ADA1680" s="2477"/>
      <c r="ADB1680" s="2477"/>
      <c r="ADC1680" s="2477"/>
      <c r="ADD1680" s="2477"/>
      <c r="ADE1680" s="2477"/>
      <c r="ADF1680" s="2477"/>
      <c r="ADG1680" s="2477"/>
      <c r="ADH1680" s="2477"/>
      <c r="ADI1680" s="2477"/>
      <c r="ADJ1680" s="2477"/>
      <c r="ADK1680" s="2477"/>
      <c r="ADL1680" s="2477"/>
      <c r="ADM1680" s="2477"/>
      <c r="ADN1680" s="2477"/>
      <c r="ADO1680" s="2477"/>
      <c r="ADP1680" s="2477"/>
      <c r="ADQ1680" s="2477"/>
      <c r="ADR1680" s="2477"/>
      <c r="ADS1680" s="2477"/>
      <c r="ADT1680" s="2477"/>
      <c r="ADU1680" s="2477"/>
      <c r="ADV1680" s="2477"/>
      <c r="ADW1680" s="2477"/>
      <c r="ADX1680" s="2477"/>
      <c r="ADY1680" s="2477"/>
      <c r="ADZ1680" s="2477"/>
      <c r="AEA1680" s="2477"/>
      <c r="AEB1680" s="2477"/>
      <c r="AEC1680" s="2477"/>
      <c r="AED1680" s="2477"/>
      <c r="AEE1680" s="2477"/>
      <c r="AEF1680" s="2477"/>
      <c r="AEG1680" s="2477"/>
      <c r="AEH1680" s="2477"/>
      <c r="AEI1680" s="2477"/>
      <c r="AEJ1680" s="2477"/>
      <c r="AEK1680" s="2477"/>
      <c r="AEL1680" s="2477"/>
      <c r="AEM1680" s="2477"/>
      <c r="AEN1680" s="2477"/>
      <c r="AEO1680" s="2477"/>
      <c r="AEP1680" s="2477"/>
      <c r="AEQ1680" s="2477"/>
      <c r="AER1680" s="2477"/>
      <c r="AES1680" s="2477"/>
      <c r="AET1680" s="2477"/>
      <c r="AEU1680" s="2477"/>
      <c r="AEV1680" s="2477"/>
      <c r="AEW1680" s="2477"/>
      <c r="AEX1680" s="2477"/>
      <c r="AEY1680" s="2477"/>
      <c r="AEZ1680" s="2477"/>
      <c r="AFA1680" s="2477"/>
      <c r="AFB1680" s="2477"/>
      <c r="AFC1680" s="2477"/>
      <c r="AFD1680" s="2477"/>
      <c r="AFE1680" s="2477"/>
      <c r="AFF1680" s="2477"/>
      <c r="AFG1680" s="2477"/>
      <c r="AFH1680" s="2477"/>
      <c r="AFI1680" s="2477"/>
      <c r="AFJ1680" s="2477"/>
      <c r="AFK1680" s="2477"/>
      <c r="AFL1680" s="2477"/>
      <c r="AFM1680" s="2477"/>
      <c r="AFN1680" s="2477"/>
      <c r="AFO1680" s="2477"/>
      <c r="AFP1680" s="2477"/>
      <c r="AFQ1680" s="2477"/>
      <c r="AFR1680" s="2477"/>
      <c r="AFS1680" s="2477"/>
      <c r="AFT1680" s="2477"/>
      <c r="AFU1680" s="2477"/>
      <c r="AFV1680" s="2477"/>
      <c r="AFW1680" s="2477"/>
      <c r="AFX1680" s="2477"/>
      <c r="AFY1680" s="2477"/>
      <c r="AFZ1680" s="2477"/>
      <c r="AGA1680" s="2477"/>
      <c r="AGB1680" s="2477"/>
      <c r="AGC1680" s="2477"/>
      <c r="AGD1680" s="2477"/>
      <c r="AGE1680" s="2477"/>
      <c r="AGF1680" s="2477"/>
      <c r="AGG1680" s="2477"/>
      <c r="AGH1680" s="2477"/>
      <c r="AGI1680" s="2477"/>
      <c r="AGJ1680" s="2477"/>
      <c r="AGK1680" s="2477"/>
      <c r="AGL1680" s="2477"/>
      <c r="AGM1680" s="2477"/>
      <c r="AGN1680" s="2477"/>
      <c r="AGO1680" s="2477"/>
      <c r="AGP1680" s="2477"/>
      <c r="AGQ1680" s="2477"/>
      <c r="AGR1680" s="2477"/>
      <c r="AGS1680" s="2477"/>
      <c r="AGT1680" s="2477"/>
      <c r="AGU1680" s="2477"/>
      <c r="AGV1680" s="2477"/>
      <c r="AGW1680" s="2477"/>
      <c r="AGX1680" s="2477"/>
      <c r="AGY1680" s="2477"/>
      <c r="AGZ1680" s="2477"/>
      <c r="AHA1680" s="2477"/>
      <c r="AHB1680" s="2477"/>
      <c r="AHC1680" s="2477"/>
      <c r="AHD1680" s="2477"/>
      <c r="AHE1680" s="2477"/>
      <c r="AHF1680" s="2477"/>
      <c r="AHG1680" s="2477"/>
      <c r="AHH1680" s="2477"/>
      <c r="AHI1680" s="2477"/>
      <c r="AHJ1680" s="2477"/>
      <c r="AHK1680" s="2477"/>
      <c r="AHL1680" s="2477"/>
      <c r="AHM1680" s="2477"/>
      <c r="AHN1680" s="2477"/>
      <c r="AHO1680" s="2477"/>
      <c r="AHP1680" s="2477"/>
      <c r="AHQ1680" s="2477"/>
      <c r="AHR1680" s="2477"/>
      <c r="AHS1680" s="2477"/>
      <c r="AHT1680" s="2477"/>
      <c r="AHU1680" s="2477"/>
      <c r="AHV1680" s="2477"/>
      <c r="AHW1680" s="2477"/>
      <c r="AHX1680" s="2477"/>
      <c r="AHY1680" s="2477"/>
      <c r="AHZ1680" s="2477"/>
      <c r="AIA1680" s="2477"/>
      <c r="AIB1680" s="2477"/>
      <c r="AIC1680" s="2477"/>
      <c r="AID1680" s="2477"/>
      <c r="AIE1680" s="2477"/>
      <c r="AIF1680" s="2477"/>
      <c r="AIG1680" s="2477"/>
      <c r="AIH1680" s="2477"/>
      <c r="AII1680" s="2477"/>
      <c r="AIJ1680" s="2477"/>
      <c r="AIK1680" s="2477"/>
      <c r="AIL1680" s="2477"/>
      <c r="AIM1680" s="2477"/>
      <c r="AIN1680" s="2477"/>
      <c r="AIO1680" s="2477"/>
      <c r="AIP1680" s="2477"/>
      <c r="AIQ1680" s="2477"/>
      <c r="AIR1680" s="2477"/>
      <c r="AIS1680" s="2477"/>
      <c r="AIT1680" s="2477"/>
      <c r="AIU1680" s="2477"/>
      <c r="AIV1680" s="2477"/>
      <c r="AIW1680" s="2477"/>
      <c r="AIX1680" s="2477"/>
      <c r="AIY1680" s="2477"/>
      <c r="AIZ1680" s="2477"/>
      <c r="AJA1680" s="2477"/>
      <c r="AJB1680" s="2477"/>
      <c r="AJC1680" s="2477"/>
      <c r="AJD1680" s="2477"/>
      <c r="AJE1680" s="2477"/>
      <c r="AJF1680" s="2477"/>
      <c r="AJG1680" s="2477"/>
      <c r="AJH1680" s="2477"/>
      <c r="AJI1680" s="2477"/>
      <c r="AJJ1680" s="2477"/>
      <c r="AJK1680" s="2477"/>
      <c r="AJL1680" s="2477"/>
      <c r="AJM1680" s="2477"/>
      <c r="AJN1680" s="2477"/>
      <c r="AJO1680" s="2477"/>
      <c r="AJP1680" s="2477"/>
      <c r="AJQ1680" s="2477"/>
      <c r="AJR1680" s="2477"/>
      <c r="AJS1680" s="2477"/>
      <c r="AJT1680" s="2477"/>
      <c r="AJU1680" s="2477"/>
      <c r="AJV1680" s="2477"/>
      <c r="AJW1680" s="2477"/>
      <c r="AJX1680" s="2477"/>
      <c r="AJY1680" s="2477"/>
      <c r="AJZ1680" s="2477"/>
      <c r="AKA1680" s="2477"/>
      <c r="AKB1680" s="2477"/>
      <c r="AKC1680" s="2477"/>
      <c r="AKD1680" s="2477"/>
      <c r="AKE1680" s="2477"/>
      <c r="AKF1680" s="2477"/>
      <c r="AKG1680" s="2477"/>
      <c r="AKH1680" s="2477"/>
      <c r="AKI1680" s="2477"/>
      <c r="AKJ1680" s="2477"/>
      <c r="AKK1680" s="2477"/>
      <c r="AKL1680" s="2477"/>
      <c r="AKM1680" s="2477"/>
      <c r="AKN1680" s="2477"/>
      <c r="AKO1680" s="2477"/>
      <c r="AKP1680" s="2477"/>
      <c r="AKQ1680" s="2477"/>
      <c r="AKR1680" s="2477"/>
      <c r="AKS1680" s="2477"/>
      <c r="AKT1680" s="2477"/>
      <c r="AKU1680" s="2477"/>
      <c r="AKV1680" s="2477"/>
      <c r="AKW1680" s="2477"/>
      <c r="AKX1680" s="2477"/>
      <c r="AKY1680" s="2477"/>
      <c r="AKZ1680" s="2477"/>
      <c r="ALA1680" s="2477"/>
      <c r="ALB1680" s="2477"/>
      <c r="ALC1680" s="2477"/>
      <c r="ALD1680" s="2477"/>
      <c r="ALE1680" s="2477"/>
      <c r="ALF1680" s="2477"/>
      <c r="ALG1680" s="2477"/>
      <c r="ALH1680" s="2477"/>
      <c r="ALI1680" s="2477"/>
      <c r="ALJ1680" s="2477"/>
      <c r="ALK1680" s="2477"/>
      <c r="ALL1680" s="2477"/>
      <c r="ALM1680" s="2477"/>
      <c r="ALN1680" s="2477"/>
      <c r="ALO1680" s="2477"/>
      <c r="ALP1680" s="2477"/>
      <c r="ALQ1680" s="2477"/>
      <c r="ALR1680" s="2477"/>
      <c r="ALS1680" s="2477"/>
      <c r="ALT1680" s="2477"/>
      <c r="ALU1680" s="2477"/>
      <c r="ALV1680" s="2477"/>
      <c r="ALW1680" s="2477"/>
      <c r="ALX1680" s="2477"/>
      <c r="ALY1680" s="2477"/>
      <c r="ALZ1680" s="2477"/>
      <c r="AMA1680" s="2477"/>
      <c r="AMB1680" s="2477"/>
      <c r="AMC1680" s="2477"/>
      <c r="AMD1680" s="2477"/>
      <c r="AME1680" s="2477"/>
      <c r="AMF1680" s="2477"/>
      <c r="AMG1680" s="2477"/>
      <c r="AMH1680" s="2477"/>
      <c r="AMI1680" s="2477"/>
      <c r="AMJ1680" s="2477"/>
      <c r="AMK1680" s="2477"/>
      <c r="AML1680" s="2477"/>
      <c r="AMM1680" s="2477"/>
      <c r="AMN1680" s="2477"/>
      <c r="AMO1680" s="2477"/>
      <c r="AMP1680" s="2477"/>
      <c r="AMQ1680" s="2477"/>
      <c r="AMR1680" s="2477"/>
      <c r="AMS1680" s="2477"/>
      <c r="AMT1680" s="2477"/>
      <c r="AMU1680" s="2477"/>
      <c r="AMV1680" s="2477"/>
      <c r="AMW1680" s="2477"/>
      <c r="AMX1680" s="2477"/>
      <c r="AMY1680" s="2477"/>
      <c r="AMZ1680" s="2477"/>
      <c r="ANA1680" s="2477"/>
      <c r="ANB1680" s="2477"/>
      <c r="ANC1680" s="2477"/>
      <c r="AND1680" s="2477"/>
      <c r="ANE1680" s="2477"/>
      <c r="ANF1680" s="2477"/>
      <c r="ANG1680" s="2477"/>
      <c r="ANH1680" s="2477"/>
      <c r="ANI1680" s="2477"/>
      <c r="ANJ1680" s="2477"/>
      <c r="ANK1680" s="2477"/>
      <c r="ANL1680" s="2477"/>
      <c r="ANM1680" s="2477"/>
      <c r="ANN1680" s="2477"/>
      <c r="ANO1680" s="2477"/>
      <c r="ANP1680" s="2477"/>
      <c r="ANQ1680" s="2477"/>
      <c r="ANR1680" s="2477"/>
      <c r="ANS1680" s="2477"/>
      <c r="ANT1680" s="2477"/>
      <c r="ANU1680" s="2477"/>
      <c r="ANV1680" s="2477"/>
      <c r="ANW1680" s="2477"/>
      <c r="ANX1680" s="2477"/>
      <c r="ANY1680" s="2477"/>
      <c r="ANZ1680" s="2477"/>
      <c r="AOA1680" s="2477"/>
      <c r="AOB1680" s="2477"/>
      <c r="AOC1680" s="2477"/>
      <c r="AOD1680" s="2477"/>
      <c r="AOE1680" s="2477"/>
      <c r="AOF1680" s="2477"/>
      <c r="AOG1680" s="2477"/>
      <c r="AOH1680" s="2477"/>
      <c r="AOI1680" s="2477"/>
      <c r="AOJ1680" s="2477"/>
      <c r="AOK1680" s="2477"/>
      <c r="AOL1680" s="2477"/>
      <c r="AOM1680" s="2477"/>
      <c r="AON1680" s="2477"/>
      <c r="AOO1680" s="2477"/>
      <c r="AOP1680" s="2477"/>
      <c r="AOQ1680" s="2477"/>
      <c r="AOR1680" s="2477"/>
      <c r="AOS1680" s="2477"/>
      <c r="AOT1680" s="2477"/>
      <c r="AOU1680" s="2477"/>
      <c r="AOV1680" s="2477"/>
      <c r="AOW1680" s="2477"/>
      <c r="AOX1680" s="2477"/>
      <c r="AOY1680" s="2477"/>
      <c r="AOZ1680" s="2477"/>
      <c r="APA1680" s="2477"/>
      <c r="APB1680" s="2477"/>
      <c r="APC1680" s="2477"/>
      <c r="APD1680" s="2477"/>
      <c r="APE1680" s="2477"/>
      <c r="APF1680" s="2477"/>
      <c r="APG1680" s="2477"/>
      <c r="APH1680" s="2477"/>
      <c r="API1680" s="2477"/>
      <c r="APJ1680" s="2477"/>
      <c r="APK1680" s="2477"/>
      <c r="APL1680" s="2477"/>
      <c r="APM1680" s="2477"/>
      <c r="APN1680" s="2477"/>
      <c r="APO1680" s="2477"/>
      <c r="APP1680" s="2477"/>
      <c r="APQ1680" s="2477"/>
      <c r="APR1680" s="2477"/>
      <c r="APS1680" s="2477"/>
      <c r="APT1680" s="2477"/>
      <c r="APU1680" s="2477"/>
      <c r="APV1680" s="2477"/>
      <c r="APW1680" s="2477"/>
      <c r="APX1680" s="2477"/>
      <c r="APY1680" s="2477"/>
      <c r="APZ1680" s="2477"/>
      <c r="AQA1680" s="2477"/>
      <c r="AQB1680" s="2477"/>
      <c r="AQC1680" s="2477"/>
      <c r="AQD1680" s="2477"/>
      <c r="AQE1680" s="2477"/>
      <c r="AQF1680" s="2477"/>
      <c r="AQG1680" s="2477"/>
      <c r="AQH1680" s="2477"/>
      <c r="AQI1680" s="2477"/>
      <c r="AQJ1680" s="2477"/>
      <c r="AQK1680" s="2477"/>
      <c r="AQL1680" s="2477"/>
      <c r="AQM1680" s="2477"/>
      <c r="AQN1680" s="2477"/>
      <c r="AQO1680" s="2477"/>
      <c r="AQP1680" s="2477"/>
      <c r="AQQ1680" s="2477"/>
      <c r="AQR1680" s="2477"/>
      <c r="AQS1680" s="2477"/>
      <c r="AQT1680" s="2477"/>
      <c r="AQU1680" s="2477"/>
      <c r="AQV1680" s="2477"/>
      <c r="AQW1680" s="2477"/>
      <c r="AQX1680" s="2477"/>
      <c r="AQY1680" s="2477"/>
      <c r="AQZ1680" s="2477"/>
      <c r="ARA1680" s="2477"/>
      <c r="ARB1680" s="2477"/>
      <c r="ARC1680" s="2477"/>
      <c r="ARD1680" s="2477"/>
      <c r="ARE1680" s="2477"/>
      <c r="ARF1680" s="2477"/>
      <c r="ARG1680" s="2477"/>
      <c r="ARH1680" s="2477"/>
      <c r="ARI1680" s="2477"/>
      <c r="ARJ1680" s="2477"/>
      <c r="ARK1680" s="2477"/>
      <c r="ARL1680" s="2477"/>
      <c r="ARM1680" s="2477"/>
      <c r="ARN1680" s="2477"/>
      <c r="ARO1680" s="2477"/>
      <c r="ARP1680" s="2477"/>
      <c r="ARQ1680" s="2477"/>
      <c r="ARR1680" s="2477"/>
      <c r="ARS1680" s="2477"/>
      <c r="ART1680" s="2477"/>
      <c r="ARU1680" s="2477"/>
      <c r="ARV1680" s="2477"/>
      <c r="ARW1680" s="2477"/>
      <c r="ARX1680" s="2477"/>
      <c r="ARY1680" s="2477"/>
      <c r="ARZ1680" s="2477"/>
      <c r="ASA1680" s="2477"/>
      <c r="ASB1680" s="2477"/>
      <c r="ASC1680" s="2477"/>
      <c r="ASD1680" s="2477"/>
      <c r="ASE1680" s="2477"/>
      <c r="ASF1680" s="2477"/>
      <c r="ASG1680" s="2477"/>
      <c r="ASH1680" s="2477"/>
      <c r="ASI1680" s="2477"/>
      <c r="ASJ1680" s="2477"/>
      <c r="ASK1680" s="2477"/>
      <c r="ASL1680" s="2477"/>
      <c r="ASM1680" s="2477"/>
      <c r="ASN1680" s="2477"/>
      <c r="ASO1680" s="2477"/>
      <c r="ASP1680" s="2477"/>
      <c r="ASQ1680" s="2477"/>
      <c r="ASR1680" s="2477"/>
      <c r="ASS1680" s="2477"/>
      <c r="AST1680" s="2477"/>
      <c r="ASU1680" s="2477"/>
      <c r="ASV1680" s="2477"/>
      <c r="ASW1680" s="2477"/>
      <c r="ASX1680" s="2477"/>
      <c r="ASY1680" s="2477"/>
      <c r="ASZ1680" s="2477"/>
      <c r="ATA1680" s="2477"/>
      <c r="ATB1680" s="2477"/>
      <c r="ATC1680" s="2477"/>
      <c r="ATD1680" s="2477"/>
      <c r="ATE1680" s="2477"/>
      <c r="ATF1680" s="2477"/>
      <c r="ATG1680" s="2477"/>
      <c r="ATH1680" s="2477"/>
      <c r="ATI1680" s="2477"/>
      <c r="ATJ1680" s="2477"/>
      <c r="ATK1680" s="2477"/>
      <c r="ATL1680" s="2477"/>
      <c r="ATM1680" s="2477"/>
      <c r="ATN1680" s="2477"/>
      <c r="ATO1680" s="2477"/>
      <c r="ATP1680" s="2477"/>
      <c r="ATQ1680" s="2477"/>
      <c r="ATR1680" s="2477"/>
      <c r="ATS1680" s="2477"/>
      <c r="ATT1680" s="2477"/>
      <c r="ATU1680" s="2477"/>
      <c r="ATV1680" s="2477"/>
      <c r="ATW1680" s="2477"/>
      <c r="ATX1680" s="2477"/>
      <c r="ATY1680" s="2477"/>
      <c r="ATZ1680" s="2477"/>
      <c r="AUA1680" s="2477"/>
      <c r="AUB1680" s="2477"/>
      <c r="AUC1680" s="2477"/>
      <c r="AUD1680" s="2477"/>
      <c r="AUE1680" s="2477"/>
      <c r="AUF1680" s="2477"/>
      <c r="AUG1680" s="2477"/>
      <c r="AUH1680" s="2477"/>
      <c r="AUI1680" s="2477"/>
      <c r="AUJ1680" s="2477"/>
      <c r="AUK1680" s="2477"/>
      <c r="AUL1680" s="2477"/>
      <c r="AUM1680" s="2477"/>
      <c r="AUN1680" s="2477"/>
      <c r="AUO1680" s="2477"/>
      <c r="AUP1680" s="2477"/>
      <c r="AUQ1680" s="2477"/>
      <c r="AUR1680" s="2477"/>
      <c r="AUS1680" s="2477"/>
      <c r="AUT1680" s="2477"/>
      <c r="AUU1680" s="2477"/>
      <c r="AUV1680" s="2477"/>
      <c r="AUW1680" s="2477"/>
      <c r="AUX1680" s="2477"/>
      <c r="AUY1680" s="2477"/>
      <c r="AUZ1680" s="2477"/>
      <c r="AVA1680" s="2477"/>
      <c r="AVB1680" s="2477"/>
      <c r="AVC1680" s="2477"/>
      <c r="AVD1680" s="2477"/>
      <c r="AVE1680" s="2477"/>
      <c r="AVF1680" s="2477"/>
      <c r="AVG1680" s="2477"/>
      <c r="AVH1680" s="2477"/>
      <c r="AVI1680" s="2477"/>
      <c r="AVJ1680" s="2477"/>
      <c r="AVK1680" s="2477"/>
      <c r="AVL1680" s="2477"/>
      <c r="AVM1680" s="2477"/>
      <c r="AVN1680" s="2477"/>
      <c r="AVO1680" s="2477"/>
      <c r="AVP1680" s="2477"/>
      <c r="AVQ1680" s="2477"/>
      <c r="AVR1680" s="2477"/>
      <c r="AVS1680" s="2477"/>
      <c r="AVT1680" s="2477"/>
      <c r="AVU1680" s="2477"/>
      <c r="AVV1680" s="2477"/>
      <c r="AVW1680" s="2477"/>
      <c r="AVX1680" s="2477"/>
      <c r="AVY1680" s="2477"/>
      <c r="AVZ1680" s="2477"/>
      <c r="AWA1680" s="2477"/>
      <c r="AWB1680" s="2477"/>
      <c r="AWC1680" s="2477"/>
      <c r="AWD1680" s="2477"/>
      <c r="AWE1680" s="2477"/>
      <c r="AWF1680" s="2477"/>
      <c r="AWG1680" s="2477"/>
      <c r="AWH1680" s="2477"/>
      <c r="AWI1680" s="2477"/>
      <c r="AWJ1680" s="2477"/>
      <c r="AWK1680" s="2477"/>
      <c r="AWL1680" s="2477"/>
      <c r="AWM1680" s="2477"/>
      <c r="AWN1680" s="2477"/>
      <c r="AWO1680" s="2477"/>
      <c r="AWP1680" s="2477"/>
      <c r="AWQ1680" s="2477"/>
      <c r="AWR1680" s="2477"/>
      <c r="AWS1680" s="2477"/>
      <c r="AWT1680" s="2477"/>
      <c r="AWU1680" s="2477"/>
      <c r="AWV1680" s="2477"/>
      <c r="AWW1680" s="2477"/>
      <c r="AWX1680" s="2477"/>
      <c r="AWY1680" s="2477"/>
      <c r="AWZ1680" s="2477"/>
      <c r="AXA1680" s="2477"/>
      <c r="AXB1680" s="2477"/>
      <c r="AXC1680" s="2477"/>
      <c r="AXD1680" s="2477"/>
      <c r="AXE1680" s="2477"/>
      <c r="AXF1680" s="2477"/>
      <c r="AXG1680" s="2477"/>
      <c r="AXH1680" s="2477"/>
      <c r="AXI1680" s="2477"/>
      <c r="AXJ1680" s="2477"/>
      <c r="AXK1680" s="2477"/>
      <c r="AXL1680" s="2477"/>
      <c r="AXM1680" s="2477"/>
      <c r="AXN1680" s="2477"/>
      <c r="AXO1680" s="2477"/>
      <c r="AXP1680" s="2477"/>
      <c r="AXQ1680" s="2477"/>
      <c r="AXR1680" s="2477"/>
      <c r="AXS1680" s="2477"/>
      <c r="AXT1680" s="2477"/>
      <c r="AXU1680" s="2477"/>
      <c r="AXV1680" s="2477"/>
      <c r="AXW1680" s="2477"/>
      <c r="AXX1680" s="2477"/>
      <c r="AXY1680" s="2477"/>
      <c r="AXZ1680" s="2477"/>
      <c r="AYA1680" s="2477"/>
      <c r="AYB1680" s="2477"/>
      <c r="AYC1680" s="2477"/>
      <c r="AYD1680" s="2477"/>
      <c r="AYE1680" s="2477"/>
      <c r="AYF1680" s="2477"/>
      <c r="AYG1680" s="2477"/>
      <c r="AYH1680" s="2477"/>
      <c r="AYI1680" s="2477"/>
      <c r="AYJ1680" s="2477"/>
      <c r="AYK1680" s="2477"/>
      <c r="AYL1680" s="2477"/>
      <c r="AYM1680" s="2477"/>
      <c r="AYN1680" s="2477"/>
      <c r="AYO1680" s="2477"/>
      <c r="AYP1680" s="2477"/>
      <c r="AYQ1680" s="2477"/>
      <c r="AYR1680" s="2477"/>
      <c r="AYS1680" s="2477"/>
      <c r="AYT1680" s="2477"/>
      <c r="AYU1680" s="2477"/>
      <c r="AYV1680" s="2477"/>
      <c r="AYW1680" s="2477"/>
      <c r="AYX1680" s="2477"/>
      <c r="AYY1680" s="2477"/>
      <c r="AYZ1680" s="2477"/>
      <c r="AZA1680" s="2477"/>
      <c r="AZB1680" s="2477"/>
      <c r="AZC1680" s="2477"/>
      <c r="AZD1680" s="2477"/>
      <c r="AZE1680" s="2477"/>
      <c r="AZF1680" s="2477"/>
      <c r="AZG1680" s="2477"/>
      <c r="AZH1680" s="2477"/>
      <c r="AZI1680" s="2477"/>
      <c r="AZJ1680" s="2477"/>
      <c r="AZK1680" s="2477"/>
      <c r="AZL1680" s="2477"/>
      <c r="AZM1680" s="2477"/>
      <c r="AZN1680" s="2477"/>
      <c r="AZO1680" s="2477"/>
      <c r="AZP1680" s="2477"/>
      <c r="AZQ1680" s="2477"/>
      <c r="AZR1680" s="2477"/>
      <c r="AZS1680" s="2477"/>
      <c r="AZT1680" s="2477"/>
      <c r="AZU1680" s="2477"/>
      <c r="AZV1680" s="2477"/>
      <c r="AZW1680" s="2477"/>
      <c r="AZX1680" s="2477"/>
      <c r="AZY1680" s="2477"/>
      <c r="AZZ1680" s="2477"/>
      <c r="BAA1680" s="2477"/>
      <c r="BAB1680" s="2477"/>
      <c r="BAC1680" s="2477"/>
      <c r="BAD1680" s="2477"/>
      <c r="BAE1680" s="2477"/>
      <c r="BAF1680" s="2477"/>
      <c r="BAG1680" s="2477"/>
      <c r="BAH1680" s="2477"/>
      <c r="BAI1680" s="2477"/>
      <c r="BAJ1680" s="2477"/>
      <c r="BAK1680" s="2477"/>
      <c r="BAL1680" s="2477"/>
      <c r="BAM1680" s="2477"/>
      <c r="BAN1680" s="2477"/>
      <c r="BAO1680" s="2477"/>
      <c r="BAP1680" s="2477"/>
      <c r="BAQ1680" s="2477"/>
      <c r="BAR1680" s="2477"/>
      <c r="BAS1680" s="2477"/>
      <c r="BAT1680" s="2477"/>
      <c r="BAU1680" s="2477"/>
      <c r="BAV1680" s="2477"/>
      <c r="BAW1680" s="2477"/>
      <c r="BAX1680" s="2477"/>
      <c r="BAY1680" s="2477"/>
      <c r="BAZ1680" s="2477"/>
      <c r="BBA1680" s="2477"/>
      <c r="BBB1680" s="2477"/>
      <c r="BBC1680" s="2477"/>
      <c r="BBD1680" s="2477"/>
      <c r="BBE1680" s="2477"/>
      <c r="BBF1680" s="2477"/>
      <c r="BBG1680" s="2477"/>
      <c r="BBH1680" s="2477"/>
      <c r="BBI1680" s="2477"/>
      <c r="BBJ1680" s="2477"/>
      <c r="BBK1680" s="2477"/>
      <c r="BBL1680" s="2477"/>
      <c r="BBM1680" s="2477"/>
      <c r="BBN1680" s="2477"/>
      <c r="BBO1680" s="2477"/>
      <c r="BBP1680" s="2477"/>
      <c r="BBQ1680" s="2477"/>
      <c r="BBR1680" s="2477"/>
      <c r="BBS1680" s="2477"/>
      <c r="BBT1680" s="2477"/>
      <c r="BBU1680" s="2477"/>
      <c r="BBV1680" s="2477"/>
      <c r="BBW1680" s="2477"/>
      <c r="BBX1680" s="2477"/>
      <c r="BBY1680" s="2477"/>
      <c r="BBZ1680" s="2477"/>
      <c r="BCA1680" s="2477"/>
      <c r="BCB1680" s="2477"/>
      <c r="BCC1680" s="2477"/>
      <c r="BCD1680" s="2477"/>
      <c r="BCE1680" s="2477"/>
      <c r="BCF1680" s="2477"/>
      <c r="BCG1680" s="2477"/>
      <c r="BCH1680" s="2477"/>
      <c r="BCI1680" s="2477"/>
      <c r="BCJ1680" s="2477"/>
      <c r="BCK1680" s="2477"/>
      <c r="BCL1680" s="2477"/>
      <c r="BCM1680" s="2477"/>
      <c r="BCN1680" s="2477"/>
      <c r="BCO1680" s="2477"/>
      <c r="BCP1680" s="2477"/>
      <c r="BCQ1680" s="2477"/>
      <c r="BCR1680" s="2477"/>
      <c r="BCS1680" s="2477"/>
      <c r="BCT1680" s="2477"/>
      <c r="BCU1680" s="2477"/>
      <c r="BCV1680" s="2477"/>
      <c r="BCW1680" s="2477"/>
      <c r="BCX1680" s="2477"/>
      <c r="BCY1680" s="2477"/>
      <c r="BCZ1680" s="2477"/>
      <c r="BDA1680" s="2477"/>
      <c r="BDB1680" s="2477"/>
      <c r="BDC1680" s="2477"/>
      <c r="BDD1680" s="2477"/>
      <c r="BDE1680" s="2477"/>
      <c r="BDF1680" s="2477"/>
      <c r="BDG1680" s="2477"/>
      <c r="BDH1680" s="2477"/>
      <c r="BDI1680" s="2477"/>
      <c r="BDJ1680" s="2477"/>
      <c r="BDK1680" s="2477"/>
      <c r="BDL1680" s="2477"/>
      <c r="BDM1680" s="2477"/>
      <c r="BDN1680" s="2477"/>
      <c r="BDO1680" s="2477"/>
      <c r="BDP1680" s="2477"/>
      <c r="BDQ1680" s="2477"/>
      <c r="BDR1680" s="2477"/>
      <c r="BDS1680" s="2477"/>
      <c r="BDT1680" s="2477"/>
      <c r="BDU1680" s="2477"/>
      <c r="BDV1680" s="2477"/>
      <c r="BDW1680" s="2477"/>
      <c r="BDX1680" s="2477"/>
      <c r="BDY1680" s="2477"/>
      <c r="BDZ1680" s="2477"/>
      <c r="BEA1680" s="2477"/>
      <c r="BEB1680" s="2477"/>
      <c r="BEC1680" s="2477"/>
      <c r="BED1680" s="2477"/>
      <c r="BEE1680" s="2477"/>
      <c r="BEF1680" s="2477"/>
      <c r="BEG1680" s="2477"/>
      <c r="BEH1680" s="2477"/>
      <c r="BEI1680" s="2477"/>
      <c r="BEJ1680" s="2477"/>
      <c r="BEK1680" s="2477"/>
      <c r="BEL1680" s="2477"/>
      <c r="BEM1680" s="2477"/>
      <c r="BEN1680" s="2477"/>
      <c r="BEO1680" s="2477"/>
      <c r="BEP1680" s="2477"/>
      <c r="BEQ1680" s="2477"/>
      <c r="BER1680" s="2477"/>
      <c r="BES1680" s="2477"/>
      <c r="BET1680" s="2477"/>
      <c r="BEU1680" s="2477"/>
      <c r="BEV1680" s="2477"/>
      <c r="BEW1680" s="2477"/>
      <c r="BEX1680" s="2477"/>
      <c r="BEY1680" s="2477"/>
      <c r="BEZ1680" s="2477"/>
      <c r="BFA1680" s="2477"/>
      <c r="BFB1680" s="2477"/>
      <c r="BFC1680" s="2477"/>
      <c r="BFD1680" s="2477"/>
      <c r="BFE1680" s="2477"/>
      <c r="BFF1680" s="2477"/>
      <c r="BFG1680" s="2477"/>
      <c r="BFH1680" s="2477"/>
      <c r="BFI1680" s="2477"/>
      <c r="BFJ1680" s="2477"/>
      <c r="BFK1680" s="2477"/>
      <c r="BFL1680" s="2477"/>
      <c r="BFM1680" s="2477"/>
      <c r="BFN1680" s="2477"/>
      <c r="BFO1680" s="2477"/>
      <c r="BFP1680" s="2477"/>
      <c r="BFQ1680" s="2477"/>
      <c r="BFR1680" s="2477"/>
      <c r="BFS1680" s="2477"/>
      <c r="BFT1680" s="2477"/>
      <c r="BFU1680" s="2477"/>
      <c r="BFV1680" s="2477"/>
      <c r="BFW1680" s="2477"/>
      <c r="BFX1680" s="2477"/>
      <c r="BFY1680" s="2477"/>
      <c r="BFZ1680" s="2477"/>
      <c r="BGA1680" s="2477"/>
      <c r="BGB1680" s="2477"/>
      <c r="BGC1680" s="2477"/>
      <c r="BGD1680" s="2477"/>
      <c r="BGE1680" s="2477"/>
      <c r="BGF1680" s="2477"/>
      <c r="BGG1680" s="2477"/>
      <c r="BGH1680" s="2477"/>
      <c r="BGI1680" s="2477"/>
      <c r="BGJ1680" s="2477"/>
      <c r="BGK1680" s="2477"/>
      <c r="BGL1680" s="2477"/>
      <c r="BGM1680" s="2477"/>
      <c r="BGN1680" s="2477"/>
      <c r="BGO1680" s="2477"/>
      <c r="BGP1680" s="2477"/>
      <c r="BGQ1680" s="2477"/>
      <c r="BGR1680" s="2477"/>
      <c r="BGS1680" s="2477"/>
      <c r="BGT1680" s="2477"/>
      <c r="BGU1680" s="2477"/>
      <c r="BGV1680" s="2477"/>
      <c r="BGW1680" s="2477"/>
      <c r="BGX1680" s="2477"/>
      <c r="BGY1680" s="2477"/>
      <c r="BGZ1680" s="2477"/>
      <c r="BHA1680" s="2477"/>
      <c r="BHB1680" s="2477"/>
      <c r="BHC1680" s="2477"/>
      <c r="BHD1680" s="2477"/>
      <c r="BHE1680" s="2477"/>
      <c r="BHF1680" s="2477"/>
      <c r="BHG1680" s="2477"/>
      <c r="BHH1680" s="2477"/>
      <c r="BHI1680" s="2477"/>
      <c r="BHJ1680" s="2477"/>
      <c r="BHK1680" s="2477"/>
      <c r="BHL1680" s="2477"/>
      <c r="BHM1680" s="2477"/>
      <c r="BHN1680" s="2477"/>
      <c r="BHO1680" s="2477"/>
      <c r="BHP1680" s="2477"/>
      <c r="BHQ1680" s="2477"/>
      <c r="BHR1680" s="2477"/>
      <c r="BHS1680" s="2477"/>
      <c r="BHT1680" s="2477"/>
      <c r="BHU1680" s="2477"/>
      <c r="BHV1680" s="2477"/>
      <c r="BHW1680" s="2477"/>
      <c r="BHX1680" s="2477"/>
      <c r="BHY1680" s="2477"/>
      <c r="BHZ1680" s="2477"/>
      <c r="BIA1680" s="2477"/>
      <c r="BIB1680" s="2477"/>
      <c r="BIC1680" s="2477"/>
      <c r="BID1680" s="2477"/>
      <c r="BIE1680" s="2477"/>
      <c r="BIF1680" s="2477"/>
      <c r="BIG1680" s="2477"/>
      <c r="BIH1680" s="2477"/>
      <c r="BII1680" s="2477"/>
      <c r="BIJ1680" s="2477"/>
      <c r="BIK1680" s="2477"/>
      <c r="BIL1680" s="2477"/>
      <c r="BIM1680" s="2477"/>
      <c r="BIN1680" s="2477"/>
      <c r="BIO1680" s="2477"/>
      <c r="BIP1680" s="2477"/>
      <c r="BIQ1680" s="2477"/>
      <c r="BIR1680" s="2477"/>
      <c r="BIS1680" s="2477"/>
      <c r="BIT1680" s="2477"/>
      <c r="BIU1680" s="2477"/>
      <c r="BIV1680" s="2477"/>
      <c r="BIW1680" s="2477"/>
      <c r="BIX1680" s="2477"/>
      <c r="BIY1680" s="2477"/>
      <c r="BIZ1680" s="2477"/>
      <c r="BJA1680" s="2477"/>
      <c r="BJB1680" s="2477"/>
      <c r="BJC1680" s="2477"/>
      <c r="BJD1680" s="2477"/>
      <c r="BJE1680" s="2477"/>
      <c r="BJF1680" s="2477"/>
      <c r="BJG1680" s="2477"/>
      <c r="BJH1680" s="2477"/>
      <c r="BJI1680" s="2477"/>
      <c r="BJJ1680" s="2477"/>
      <c r="BJK1680" s="2477"/>
      <c r="BJL1680" s="2477"/>
      <c r="BJM1680" s="2477"/>
      <c r="BJN1680" s="2477"/>
      <c r="BJO1680" s="2477"/>
      <c r="BJP1680" s="2477"/>
      <c r="BJQ1680" s="2477"/>
      <c r="BJR1680" s="2477"/>
      <c r="BJS1680" s="2477"/>
      <c r="BJT1680" s="2477"/>
      <c r="BJU1680" s="2477"/>
      <c r="BJV1680" s="2477"/>
      <c r="BJW1680" s="2477"/>
      <c r="BJX1680" s="2477"/>
      <c r="BJY1680" s="2477"/>
      <c r="BJZ1680" s="2477"/>
      <c r="BKA1680" s="2477"/>
      <c r="BKB1680" s="2477"/>
      <c r="BKC1680" s="2477"/>
      <c r="BKD1680" s="2477"/>
      <c r="BKE1680" s="2477"/>
      <c r="BKF1680" s="2477"/>
      <c r="BKG1680" s="2477"/>
      <c r="BKH1680" s="2477"/>
      <c r="BKI1680" s="2477"/>
      <c r="BKJ1680" s="2477"/>
      <c r="BKK1680" s="2477"/>
      <c r="BKL1680" s="2477"/>
      <c r="BKM1680" s="2477"/>
      <c r="BKN1680" s="2477"/>
      <c r="BKO1680" s="2477"/>
      <c r="BKP1680" s="2477"/>
      <c r="BKQ1680" s="2477"/>
      <c r="BKR1680" s="2477"/>
      <c r="BKS1680" s="2477"/>
      <c r="BKT1680" s="2477"/>
      <c r="BKU1680" s="2477"/>
      <c r="BKV1680" s="2477"/>
      <c r="BKW1680" s="2477"/>
      <c r="BKX1680" s="2477"/>
      <c r="BKY1680" s="2477"/>
      <c r="BKZ1680" s="2477"/>
      <c r="BLA1680" s="2477"/>
      <c r="BLB1680" s="2477"/>
      <c r="BLC1680" s="2477"/>
      <c r="BLD1680" s="2477"/>
      <c r="BLE1680" s="2477"/>
      <c r="BLF1680" s="2477"/>
      <c r="BLG1680" s="2477"/>
      <c r="BLH1680" s="2477"/>
      <c r="BLI1680" s="2477"/>
      <c r="BLJ1680" s="2477"/>
      <c r="BLK1680" s="2477"/>
      <c r="BLL1680" s="2477"/>
      <c r="BLM1680" s="2477"/>
      <c r="BLN1680" s="2477"/>
      <c r="BLO1680" s="2477"/>
      <c r="BLP1680" s="2477"/>
      <c r="BLQ1680" s="2477"/>
      <c r="BLR1680" s="2477"/>
      <c r="BLS1680" s="2477"/>
      <c r="BLT1680" s="2477"/>
      <c r="BLU1680" s="2477"/>
      <c r="BLV1680" s="2477"/>
      <c r="BLW1680" s="2477"/>
      <c r="BLX1680" s="2477"/>
      <c r="BLY1680" s="2477"/>
      <c r="BLZ1680" s="2477"/>
      <c r="BMA1680" s="2477"/>
      <c r="BMB1680" s="2477"/>
      <c r="BMC1680" s="2477"/>
      <c r="BMD1680" s="2477"/>
      <c r="BME1680" s="2477"/>
      <c r="BMF1680" s="2477"/>
      <c r="BMG1680" s="2477"/>
      <c r="BMH1680" s="2477"/>
      <c r="BMI1680" s="2477"/>
      <c r="BMJ1680" s="2477"/>
      <c r="BMK1680" s="2477"/>
      <c r="BML1680" s="2477"/>
      <c r="BMM1680" s="2477"/>
      <c r="BMN1680" s="2477"/>
      <c r="BMO1680" s="2477"/>
      <c r="BMP1680" s="2477"/>
      <c r="BMQ1680" s="2477"/>
      <c r="BMR1680" s="2477"/>
      <c r="BMS1680" s="2477"/>
      <c r="BMT1680" s="2477"/>
      <c r="BMU1680" s="2477"/>
      <c r="BMV1680" s="2477"/>
      <c r="BMW1680" s="2477"/>
      <c r="BMX1680" s="2477"/>
      <c r="BMY1680" s="2477"/>
      <c r="BMZ1680" s="2477"/>
      <c r="BNA1680" s="2477"/>
      <c r="BNB1680" s="2477"/>
      <c r="BNC1680" s="2477"/>
      <c r="BND1680" s="2477"/>
      <c r="BNE1680" s="2477"/>
      <c r="BNF1680" s="2477"/>
      <c r="BNG1680" s="2477"/>
      <c r="BNH1680" s="2477"/>
      <c r="BNI1680" s="2477"/>
      <c r="BNJ1680" s="2477"/>
      <c r="BNK1680" s="2477"/>
      <c r="BNL1680" s="2477"/>
      <c r="BNM1680" s="2477"/>
      <c r="BNN1680" s="2477"/>
      <c r="BNO1680" s="2477"/>
      <c r="BNP1680" s="2477"/>
      <c r="BNQ1680" s="2477"/>
      <c r="BNR1680" s="2477"/>
      <c r="BNS1680" s="2477"/>
      <c r="BNT1680" s="2477"/>
      <c r="BNU1680" s="2477"/>
      <c r="BNV1680" s="2477"/>
      <c r="BNW1680" s="2477"/>
      <c r="BNX1680" s="2477"/>
      <c r="BNY1680" s="2477"/>
      <c r="BNZ1680" s="2477"/>
      <c r="BOA1680" s="2477"/>
      <c r="BOB1680" s="2477"/>
      <c r="BOC1680" s="2477"/>
      <c r="BOD1680" s="2477"/>
      <c r="BOE1680" s="2477"/>
      <c r="BOF1680" s="2477"/>
      <c r="BOG1680" s="2477"/>
      <c r="BOH1680" s="2477"/>
      <c r="BOI1680" s="2477"/>
      <c r="BOJ1680" s="2477"/>
      <c r="BOK1680" s="2477"/>
      <c r="BOL1680" s="2477"/>
      <c r="BOM1680" s="2477"/>
      <c r="BON1680" s="2477"/>
      <c r="BOO1680" s="2477"/>
      <c r="BOP1680" s="2477"/>
      <c r="BOQ1680" s="2477"/>
      <c r="BOR1680" s="2477"/>
      <c r="BOS1680" s="2477"/>
      <c r="BOT1680" s="2477"/>
      <c r="BOU1680" s="2477"/>
      <c r="BOV1680" s="2477"/>
      <c r="BOW1680" s="2477"/>
      <c r="BOX1680" s="2477"/>
      <c r="BOY1680" s="2477"/>
      <c r="BOZ1680" s="2477"/>
      <c r="BPA1680" s="2477"/>
      <c r="BPB1680" s="2477"/>
      <c r="BPC1680" s="2477"/>
      <c r="BPD1680" s="2477"/>
      <c r="BPE1680" s="2477"/>
      <c r="BPF1680" s="2477"/>
      <c r="BPG1680" s="2477"/>
      <c r="BPH1680" s="2477"/>
      <c r="BPI1680" s="2477"/>
      <c r="BPJ1680" s="2477"/>
      <c r="BPK1680" s="2477"/>
      <c r="BPL1680" s="2477"/>
      <c r="BPM1680" s="2477"/>
      <c r="BPN1680" s="2477"/>
      <c r="BPO1680" s="2477"/>
      <c r="BPP1680" s="2477"/>
      <c r="BPQ1680" s="2477"/>
      <c r="BPR1680" s="2477"/>
      <c r="BPS1680" s="2477"/>
      <c r="BPT1680" s="2477"/>
      <c r="BPU1680" s="2477"/>
      <c r="BPV1680" s="2477"/>
      <c r="BPW1680" s="2477"/>
      <c r="BPX1680" s="2477"/>
      <c r="BPY1680" s="2477"/>
      <c r="BPZ1680" s="2477"/>
      <c r="BQA1680" s="2477"/>
      <c r="BQB1680" s="2477"/>
      <c r="BQC1680" s="2477"/>
      <c r="BQD1680" s="2477"/>
      <c r="BQE1680" s="2477"/>
      <c r="BQF1680" s="2477"/>
      <c r="BQG1680" s="2477"/>
      <c r="BQH1680" s="2477"/>
      <c r="BQI1680" s="2477"/>
      <c r="BQJ1680" s="2477"/>
      <c r="BQK1680" s="2477"/>
      <c r="BQL1680" s="2477"/>
      <c r="BQM1680" s="2477"/>
      <c r="BQN1680" s="2477"/>
      <c r="BQO1680" s="2477"/>
      <c r="BQP1680" s="2477"/>
      <c r="BQQ1680" s="2477"/>
      <c r="BQR1680" s="2477"/>
      <c r="BQS1680" s="2477"/>
      <c r="BQT1680" s="2477"/>
      <c r="BQU1680" s="2477"/>
      <c r="BQV1680" s="2477"/>
      <c r="BQW1680" s="2477"/>
      <c r="BQX1680" s="2477"/>
      <c r="BQY1680" s="2477"/>
      <c r="BQZ1680" s="2477"/>
      <c r="BRA1680" s="2477"/>
      <c r="BRB1680" s="2477"/>
      <c r="BRC1680" s="2477"/>
      <c r="BRD1680" s="2477"/>
      <c r="BRE1680" s="2477"/>
      <c r="BRF1680" s="2477"/>
      <c r="BRG1680" s="2477"/>
      <c r="BRH1680" s="2477"/>
      <c r="BRI1680" s="2477"/>
      <c r="BRJ1680" s="2477"/>
      <c r="BRK1680" s="2477"/>
      <c r="BRL1680" s="2477"/>
      <c r="BRM1680" s="2477"/>
      <c r="BRN1680" s="2477"/>
      <c r="BRO1680" s="2477"/>
      <c r="BRP1680" s="2477"/>
      <c r="BRQ1680" s="2477"/>
      <c r="BRR1680" s="2477"/>
      <c r="BRS1680" s="2477"/>
      <c r="BRT1680" s="2477"/>
      <c r="BRU1680" s="2477"/>
      <c r="BRV1680" s="2477"/>
      <c r="BRW1680" s="2477"/>
      <c r="BRX1680" s="2477"/>
      <c r="BRY1680" s="2477"/>
      <c r="BRZ1680" s="2477"/>
      <c r="BSA1680" s="2477"/>
      <c r="BSB1680" s="2477"/>
      <c r="BSC1680" s="2477"/>
      <c r="BSD1680" s="2477"/>
      <c r="BSE1680" s="2477"/>
      <c r="BSF1680" s="2477"/>
      <c r="BSG1680" s="2477"/>
      <c r="BSH1680" s="2477"/>
      <c r="BSI1680" s="2477"/>
      <c r="BSJ1680" s="2477"/>
      <c r="BSK1680" s="2477"/>
      <c r="BSL1680" s="2477"/>
      <c r="BSM1680" s="2477"/>
      <c r="BSN1680" s="2477"/>
      <c r="BSO1680" s="2477"/>
      <c r="BSP1680" s="2477"/>
      <c r="BSQ1680" s="2477"/>
      <c r="BSR1680" s="2477"/>
      <c r="BSS1680" s="2477"/>
      <c r="BST1680" s="2477"/>
      <c r="BSU1680" s="2477"/>
      <c r="BSV1680" s="2477"/>
      <c r="BSW1680" s="2477"/>
      <c r="BSX1680" s="2477"/>
      <c r="BSY1680" s="2477"/>
      <c r="BSZ1680" s="2477"/>
      <c r="BTA1680" s="2477"/>
      <c r="BTB1680" s="2477"/>
      <c r="BTC1680" s="2477"/>
      <c r="BTD1680" s="2477"/>
      <c r="BTE1680" s="2477"/>
      <c r="BTF1680" s="2477"/>
      <c r="BTG1680" s="2477"/>
      <c r="BTH1680" s="2477"/>
      <c r="BTI1680" s="2477"/>
      <c r="BTJ1680" s="2477"/>
      <c r="BTK1680" s="2477"/>
      <c r="BTL1680" s="2477"/>
      <c r="BTM1680" s="2477"/>
      <c r="BTN1680" s="2477"/>
      <c r="BTO1680" s="2477"/>
      <c r="BTP1680" s="2477"/>
      <c r="BTQ1680" s="2477"/>
      <c r="BTR1680" s="2477"/>
      <c r="BTS1680" s="2477"/>
      <c r="BTT1680" s="2477"/>
      <c r="BTU1680" s="2477"/>
      <c r="BTV1680" s="2477"/>
      <c r="BTW1680" s="2477"/>
      <c r="BTX1680" s="2477"/>
      <c r="BTY1680" s="2477"/>
      <c r="BTZ1680" s="2477"/>
      <c r="BUA1680" s="2477"/>
      <c r="BUB1680" s="2477"/>
      <c r="BUC1680" s="2477"/>
      <c r="BUD1680" s="2477"/>
      <c r="BUE1680" s="2477"/>
      <c r="BUF1680" s="2477"/>
      <c r="BUG1680" s="2477"/>
      <c r="BUH1680" s="2477"/>
      <c r="BUI1680" s="2477"/>
      <c r="BUJ1680" s="2477"/>
      <c r="BUK1680" s="2477"/>
      <c r="BUL1680" s="2477"/>
      <c r="BUM1680" s="2477"/>
      <c r="BUN1680" s="2477"/>
      <c r="BUO1680" s="2477"/>
      <c r="BUP1680" s="2477"/>
      <c r="BUQ1680" s="2477"/>
      <c r="BUR1680" s="2477"/>
      <c r="BUS1680" s="2477"/>
      <c r="BUT1680" s="2477"/>
      <c r="BUU1680" s="2477"/>
      <c r="BUV1680" s="2477"/>
      <c r="BUW1680" s="2477"/>
      <c r="BUX1680" s="2477"/>
      <c r="BUY1680" s="2477"/>
      <c r="BUZ1680" s="2477"/>
      <c r="BVA1680" s="2477"/>
      <c r="BVB1680" s="2477"/>
      <c r="BVC1680" s="2477"/>
      <c r="BVD1680" s="2477"/>
      <c r="BVE1680" s="2477"/>
      <c r="BVF1680" s="2477"/>
      <c r="BVG1680" s="2477"/>
      <c r="BVH1680" s="2477"/>
      <c r="BVI1680" s="2477"/>
      <c r="BVJ1680" s="2477"/>
      <c r="BVK1680" s="2477"/>
      <c r="BVL1680" s="2477"/>
      <c r="BVM1680" s="2477"/>
      <c r="BVN1680" s="2477"/>
      <c r="BVO1680" s="2477"/>
      <c r="BVP1680" s="2477"/>
      <c r="BVQ1680" s="2477"/>
      <c r="BVR1680" s="2477"/>
      <c r="BVS1680" s="2477"/>
      <c r="BVT1680" s="2477"/>
      <c r="BVU1680" s="2477"/>
      <c r="BVV1680" s="2477"/>
      <c r="BVW1680" s="2477"/>
      <c r="BVX1680" s="2477"/>
      <c r="BVY1680" s="2477"/>
      <c r="BVZ1680" s="2477"/>
      <c r="BWA1680" s="2477"/>
      <c r="BWB1680" s="2477"/>
      <c r="BWC1680" s="2477"/>
      <c r="BWD1680" s="2477"/>
      <c r="BWE1680" s="2477"/>
      <c r="BWF1680" s="2477"/>
      <c r="BWG1680" s="2477"/>
      <c r="BWH1680" s="2477"/>
      <c r="BWI1680" s="2477"/>
      <c r="BWJ1680" s="2477"/>
      <c r="BWK1680" s="2477"/>
      <c r="BWL1680" s="2477"/>
      <c r="BWM1680" s="2477"/>
      <c r="BWN1680" s="2477"/>
      <c r="BWO1680" s="2477"/>
      <c r="BWP1680" s="2477"/>
      <c r="BWQ1680" s="2477"/>
      <c r="BWR1680" s="2477"/>
      <c r="BWS1680" s="2477"/>
      <c r="BWT1680" s="2477"/>
      <c r="BWU1680" s="2477"/>
      <c r="BWV1680" s="2477"/>
      <c r="BWW1680" s="2477"/>
      <c r="BWX1680" s="2477"/>
      <c r="BWY1680" s="2477"/>
      <c r="BWZ1680" s="2477"/>
      <c r="BXA1680" s="2477"/>
      <c r="BXB1680" s="2477"/>
      <c r="BXC1680" s="2477"/>
      <c r="BXD1680" s="2477"/>
      <c r="BXE1680" s="2477"/>
      <c r="BXF1680" s="2477"/>
      <c r="BXG1680" s="2477"/>
      <c r="BXH1680" s="2477"/>
      <c r="BXI1680" s="2477"/>
      <c r="BXJ1680" s="2477"/>
      <c r="BXK1680" s="2477"/>
      <c r="BXL1680" s="2477"/>
      <c r="BXM1680" s="2477"/>
      <c r="BXN1680" s="2477"/>
      <c r="BXO1680" s="2477"/>
      <c r="BXP1680" s="2477"/>
      <c r="BXQ1680" s="2477"/>
      <c r="BXR1680" s="2477"/>
      <c r="BXS1680" s="2477"/>
      <c r="BXT1680" s="2477"/>
      <c r="BXU1680" s="2477"/>
      <c r="BXV1680" s="2477"/>
      <c r="BXW1680" s="2477"/>
      <c r="BXX1680" s="2477"/>
      <c r="BXY1680" s="2477"/>
      <c r="BXZ1680" s="2477"/>
      <c r="BYA1680" s="2477"/>
      <c r="BYB1680" s="2477"/>
      <c r="BYC1680" s="2477"/>
      <c r="BYD1680" s="2477"/>
      <c r="BYE1680" s="2477"/>
      <c r="BYF1680" s="2477"/>
      <c r="BYG1680" s="2477"/>
      <c r="BYH1680" s="2477"/>
      <c r="BYI1680" s="2477"/>
      <c r="BYJ1680" s="2477"/>
      <c r="BYK1680" s="2477"/>
      <c r="BYL1680" s="2477"/>
      <c r="BYM1680" s="2477"/>
      <c r="BYN1680" s="2477"/>
      <c r="BYO1680" s="2477"/>
      <c r="BYP1680" s="2477"/>
      <c r="BYQ1680" s="2477"/>
      <c r="BYR1680" s="2477"/>
      <c r="BYS1680" s="2477"/>
      <c r="BYT1680" s="2477"/>
      <c r="BYU1680" s="2477"/>
      <c r="BYV1680" s="2477"/>
      <c r="BYW1680" s="2477"/>
      <c r="BYX1680" s="2477"/>
      <c r="BYY1680" s="2477"/>
      <c r="BYZ1680" s="2477"/>
      <c r="BZA1680" s="2477"/>
      <c r="BZB1680" s="2477"/>
      <c r="BZC1680" s="2477"/>
      <c r="BZD1680" s="2477"/>
      <c r="BZE1680" s="2477"/>
      <c r="BZF1680" s="2477"/>
      <c r="BZG1680" s="2477"/>
      <c r="BZH1680" s="2477"/>
      <c r="BZI1680" s="2477"/>
      <c r="BZJ1680" s="2477"/>
      <c r="BZK1680" s="2477"/>
      <c r="BZL1680" s="2477"/>
      <c r="BZM1680" s="2477"/>
      <c r="BZN1680" s="2477"/>
      <c r="BZO1680" s="2477"/>
      <c r="BZP1680" s="2477"/>
      <c r="BZQ1680" s="2477"/>
      <c r="BZR1680" s="2477"/>
      <c r="BZS1680" s="2477"/>
      <c r="BZT1680" s="2477"/>
      <c r="BZU1680" s="2477"/>
      <c r="BZV1680" s="2477"/>
      <c r="BZW1680" s="2477"/>
      <c r="BZX1680" s="2477"/>
      <c r="BZY1680" s="2477"/>
      <c r="BZZ1680" s="2477"/>
      <c r="CAA1680" s="2477"/>
      <c r="CAB1680" s="2477"/>
      <c r="CAC1680" s="2477"/>
      <c r="CAD1680" s="2477"/>
      <c r="CAE1680" s="2477"/>
      <c r="CAF1680" s="2477"/>
      <c r="CAG1680" s="2477"/>
      <c r="CAH1680" s="2477"/>
      <c r="CAI1680" s="2477"/>
      <c r="CAJ1680" s="2477"/>
      <c r="CAK1680" s="2477"/>
      <c r="CAL1680" s="2477"/>
      <c r="CAM1680" s="2477"/>
      <c r="CAN1680" s="2477"/>
      <c r="CAO1680" s="2477"/>
      <c r="CAP1680" s="2477"/>
      <c r="CAQ1680" s="2477"/>
      <c r="CAR1680" s="2477"/>
      <c r="CAS1680" s="2477"/>
      <c r="CAT1680" s="2477"/>
      <c r="CAU1680" s="2477"/>
      <c r="CAV1680" s="2477"/>
      <c r="CAW1680" s="2477"/>
      <c r="CAX1680" s="2477"/>
      <c r="CAY1680" s="2477"/>
      <c r="CAZ1680" s="2477"/>
      <c r="CBA1680" s="2477"/>
      <c r="CBB1680" s="2477"/>
      <c r="CBC1680" s="2477"/>
      <c r="CBD1680" s="2477"/>
      <c r="CBE1680" s="2477"/>
      <c r="CBF1680" s="2477"/>
      <c r="CBG1680" s="2477"/>
      <c r="CBH1680" s="2477"/>
      <c r="CBI1680" s="2477"/>
      <c r="CBJ1680" s="2477"/>
      <c r="CBK1680" s="2477"/>
      <c r="CBL1680" s="2477"/>
      <c r="CBM1680" s="2477"/>
      <c r="CBN1680" s="2477"/>
      <c r="CBO1680" s="2477"/>
      <c r="CBP1680" s="2477"/>
      <c r="CBQ1680" s="2477"/>
      <c r="CBR1680" s="2477"/>
      <c r="CBS1680" s="2477"/>
      <c r="CBT1680" s="2477"/>
      <c r="CBU1680" s="2477"/>
      <c r="CBV1680" s="2477"/>
      <c r="CBW1680" s="2477"/>
      <c r="CBX1680" s="2477"/>
      <c r="CBY1680" s="2477"/>
      <c r="CBZ1680" s="2477"/>
      <c r="CCA1680" s="2477"/>
      <c r="CCB1680" s="2477"/>
      <c r="CCC1680" s="2477"/>
      <c r="CCD1680" s="2477"/>
      <c r="CCE1680" s="2477"/>
      <c r="CCF1680" s="2477"/>
      <c r="CCG1680" s="2477"/>
      <c r="CCH1680" s="2477"/>
      <c r="CCI1680" s="2477"/>
      <c r="CCJ1680" s="2477"/>
      <c r="CCK1680" s="2477"/>
      <c r="CCL1680" s="2477"/>
      <c r="CCM1680" s="2477"/>
      <c r="CCN1680" s="2477"/>
      <c r="CCO1680" s="2477"/>
      <c r="CCP1680" s="2477"/>
      <c r="CCQ1680" s="2477"/>
      <c r="CCR1680" s="2477"/>
      <c r="CCS1680" s="2477"/>
      <c r="CCT1680" s="2477"/>
      <c r="CCU1680" s="2477"/>
      <c r="CCV1680" s="2477"/>
      <c r="CCW1680" s="2477"/>
      <c r="CCX1680" s="2477"/>
      <c r="CCY1680" s="2477"/>
      <c r="CCZ1680" s="2477"/>
      <c r="CDA1680" s="2477"/>
      <c r="CDB1680" s="2477"/>
      <c r="CDC1680" s="2477"/>
      <c r="CDD1680" s="2477"/>
      <c r="CDE1680" s="2477"/>
      <c r="CDF1680" s="2477"/>
      <c r="CDG1680" s="2477"/>
      <c r="CDH1680" s="2477"/>
      <c r="CDI1680" s="2477"/>
      <c r="CDJ1680" s="2477"/>
      <c r="CDK1680" s="2477"/>
      <c r="CDL1680" s="2477"/>
      <c r="CDM1680" s="2477"/>
      <c r="CDN1680" s="2477"/>
      <c r="CDO1680" s="2477"/>
      <c r="CDP1680" s="2477"/>
      <c r="CDQ1680" s="2477"/>
      <c r="CDR1680" s="2477"/>
      <c r="CDS1680" s="2477"/>
      <c r="CDT1680" s="2477"/>
      <c r="CDU1680" s="2477"/>
      <c r="CDV1680" s="2477"/>
      <c r="CDW1680" s="2477"/>
      <c r="CDX1680" s="2477"/>
      <c r="CDY1680" s="2477"/>
      <c r="CDZ1680" s="2477"/>
      <c r="CEA1680" s="2477"/>
      <c r="CEB1680" s="2477"/>
      <c r="CEC1680" s="2477"/>
      <c r="CED1680" s="2477"/>
      <c r="CEE1680" s="2477"/>
      <c r="CEF1680" s="2477"/>
      <c r="CEG1680" s="2477"/>
      <c r="CEH1680" s="2477"/>
      <c r="CEI1680" s="2477"/>
      <c r="CEJ1680" s="2477"/>
      <c r="CEK1680" s="2477"/>
      <c r="CEL1680" s="2477"/>
      <c r="CEM1680" s="2477"/>
      <c r="CEN1680" s="2477"/>
      <c r="CEO1680" s="2477"/>
      <c r="CEP1680" s="2477"/>
      <c r="CEQ1680" s="2477"/>
      <c r="CER1680" s="2477"/>
      <c r="CES1680" s="2477"/>
      <c r="CET1680" s="2477"/>
      <c r="CEU1680" s="2477"/>
      <c r="CEV1680" s="2477"/>
      <c r="CEW1680" s="2477"/>
      <c r="CEX1680" s="2477"/>
      <c r="CEY1680" s="2477"/>
      <c r="CEZ1680" s="2477"/>
      <c r="CFA1680" s="2477"/>
      <c r="CFB1680" s="2477"/>
      <c r="CFC1680" s="2477"/>
      <c r="CFD1680" s="2477"/>
      <c r="CFE1680" s="2477"/>
      <c r="CFF1680" s="2477"/>
      <c r="CFG1680" s="2477"/>
      <c r="CFH1680" s="2477"/>
      <c r="CFI1680" s="2477"/>
      <c r="CFJ1680" s="2477"/>
      <c r="CFK1680" s="2477"/>
      <c r="CFL1680" s="2477"/>
      <c r="CFM1680" s="2477"/>
      <c r="CFN1680" s="2477"/>
      <c r="CFO1680" s="2477"/>
      <c r="CFP1680" s="2477"/>
      <c r="CFQ1680" s="2477"/>
      <c r="CFR1680" s="2477"/>
      <c r="CFS1680" s="2477"/>
      <c r="CFT1680" s="2477"/>
      <c r="CFU1680" s="2477"/>
      <c r="CFV1680" s="2477"/>
      <c r="CFW1680" s="2477"/>
      <c r="CFX1680" s="2477"/>
      <c r="CFY1680" s="2477"/>
      <c r="CFZ1680" s="2477"/>
      <c r="CGA1680" s="2477"/>
      <c r="CGB1680" s="2477"/>
      <c r="CGC1680" s="2477"/>
      <c r="CGD1680" s="2477"/>
      <c r="CGE1680" s="2477"/>
      <c r="CGF1680" s="2477"/>
      <c r="CGG1680" s="2477"/>
      <c r="CGH1680" s="2477"/>
      <c r="CGI1680" s="2477"/>
      <c r="CGJ1680" s="2477"/>
      <c r="CGK1680" s="2477"/>
      <c r="CGL1680" s="2477"/>
      <c r="CGM1680" s="2477"/>
      <c r="CGN1680" s="2477"/>
      <c r="CGO1680" s="2477"/>
      <c r="CGP1680" s="2477"/>
      <c r="CGQ1680" s="2477"/>
      <c r="CGR1680" s="2477"/>
      <c r="CGS1680" s="2477"/>
      <c r="CGT1680" s="2477"/>
      <c r="CGU1680" s="2477"/>
      <c r="CGV1680" s="2477"/>
      <c r="CGW1680" s="2477"/>
      <c r="CGX1680" s="2477"/>
      <c r="CGY1680" s="2477"/>
      <c r="CGZ1680" s="2477"/>
      <c r="CHA1680" s="2477"/>
      <c r="CHB1680" s="2477"/>
      <c r="CHC1680" s="2477"/>
      <c r="CHD1680" s="2477"/>
      <c r="CHE1680" s="2477"/>
      <c r="CHF1680" s="2477"/>
      <c r="CHG1680" s="2477"/>
      <c r="CHH1680" s="2477"/>
      <c r="CHI1680" s="2477"/>
      <c r="CHJ1680" s="2477"/>
      <c r="CHK1680" s="2477"/>
      <c r="CHL1680" s="2477"/>
      <c r="CHM1680" s="2477"/>
      <c r="CHN1680" s="2477"/>
      <c r="CHO1680" s="2477"/>
      <c r="CHP1680" s="2477"/>
      <c r="CHQ1680" s="2477"/>
      <c r="CHR1680" s="2477"/>
      <c r="CHS1680" s="2477"/>
      <c r="CHT1680" s="2477"/>
      <c r="CHU1680" s="2477"/>
      <c r="CHV1680" s="2477"/>
      <c r="CHW1680" s="2477"/>
      <c r="CHX1680" s="2477"/>
      <c r="CHY1680" s="2477"/>
      <c r="CHZ1680" s="2477"/>
      <c r="CIA1680" s="2477"/>
      <c r="CIB1680" s="2477"/>
      <c r="CIC1680" s="2477"/>
      <c r="CID1680" s="2477"/>
      <c r="CIE1680" s="2477"/>
      <c r="CIF1680" s="2477"/>
      <c r="CIG1680" s="2477"/>
      <c r="CIH1680" s="2477"/>
      <c r="CII1680" s="2477"/>
      <c r="CIJ1680" s="2477"/>
      <c r="CIK1680" s="2477"/>
      <c r="CIL1680" s="2477"/>
      <c r="CIM1680" s="2477"/>
      <c r="CIN1680" s="2477"/>
      <c r="CIO1680" s="2477"/>
      <c r="CIP1680" s="2477"/>
      <c r="CIQ1680" s="2477"/>
      <c r="CIR1680" s="2477"/>
      <c r="CIS1680" s="2477"/>
      <c r="CIT1680" s="2477"/>
      <c r="CIU1680" s="2477"/>
      <c r="CIV1680" s="2477"/>
      <c r="CIW1680" s="2477"/>
      <c r="CIX1680" s="2477"/>
      <c r="CIY1680" s="2477"/>
      <c r="CIZ1680" s="2477"/>
      <c r="CJA1680" s="2477"/>
      <c r="CJB1680" s="2477"/>
      <c r="CJC1680" s="2477"/>
      <c r="CJD1680" s="2477"/>
      <c r="CJE1680" s="2477"/>
      <c r="CJF1680" s="2477"/>
      <c r="CJG1680" s="2477"/>
      <c r="CJH1680" s="2477"/>
      <c r="CJI1680" s="2477"/>
      <c r="CJJ1680" s="2477"/>
      <c r="CJK1680" s="2477"/>
      <c r="CJL1680" s="2477"/>
      <c r="CJM1680" s="2477"/>
      <c r="CJN1680" s="2477"/>
      <c r="CJO1680" s="2477"/>
      <c r="CJP1680" s="2477"/>
      <c r="CJQ1680" s="2477"/>
      <c r="CJR1680" s="2477"/>
      <c r="CJS1680" s="2477"/>
      <c r="CJT1680" s="2477"/>
      <c r="CJU1680" s="2477"/>
      <c r="CJV1680" s="2477"/>
      <c r="CJW1680" s="2477"/>
      <c r="CJX1680" s="2477"/>
      <c r="CJY1680" s="2477"/>
      <c r="CJZ1680" s="2477"/>
      <c r="CKA1680" s="2477"/>
      <c r="CKB1680" s="2477"/>
      <c r="CKC1680" s="2477"/>
      <c r="CKD1680" s="2477"/>
      <c r="CKE1680" s="2477"/>
      <c r="CKF1680" s="2477"/>
      <c r="CKG1680" s="2477"/>
      <c r="CKH1680" s="2477"/>
      <c r="CKI1680" s="2477"/>
      <c r="CKJ1680" s="2477"/>
      <c r="CKK1680" s="2477"/>
      <c r="CKL1680" s="2477"/>
      <c r="CKM1680" s="2477"/>
      <c r="CKN1680" s="2477"/>
      <c r="CKO1680" s="2477"/>
      <c r="CKP1680" s="2477"/>
      <c r="CKQ1680" s="2477"/>
      <c r="CKR1680" s="2477"/>
      <c r="CKS1680" s="2477"/>
      <c r="CKT1680" s="2477"/>
      <c r="CKU1680" s="2477"/>
      <c r="CKV1680" s="2477"/>
      <c r="CKW1680" s="2477"/>
      <c r="CKX1680" s="2477"/>
      <c r="CKY1680" s="2477"/>
      <c r="CKZ1680" s="2477"/>
      <c r="CLA1680" s="2477"/>
      <c r="CLB1680" s="2477"/>
      <c r="CLC1680" s="2477"/>
      <c r="CLD1680" s="2477"/>
      <c r="CLE1680" s="2477"/>
      <c r="CLF1680" s="2477"/>
      <c r="CLG1680" s="2477"/>
      <c r="CLH1680" s="2477"/>
      <c r="CLI1680" s="2477"/>
      <c r="CLJ1680" s="2477"/>
      <c r="CLK1680" s="2477"/>
      <c r="CLL1680" s="2477"/>
      <c r="CLM1680" s="2477"/>
      <c r="CLN1680" s="2477"/>
      <c r="CLO1680" s="2477"/>
      <c r="CLP1680" s="2477"/>
      <c r="CLQ1680" s="2477"/>
      <c r="CLR1680" s="2477"/>
      <c r="CLS1680" s="2477"/>
      <c r="CLT1680" s="2477"/>
      <c r="CLU1680" s="2477"/>
      <c r="CLV1680" s="2477"/>
      <c r="CLW1680" s="2477"/>
      <c r="CLX1680" s="2477"/>
      <c r="CLY1680" s="2477"/>
      <c r="CLZ1680" s="2477"/>
      <c r="CMA1680" s="2477"/>
      <c r="CMB1680" s="2477"/>
      <c r="CMC1680" s="2477"/>
      <c r="CMD1680" s="2477"/>
      <c r="CME1680" s="2477"/>
      <c r="CMF1680" s="2477"/>
      <c r="CMG1680" s="2477"/>
      <c r="CMH1680" s="2477"/>
      <c r="CMI1680" s="2477"/>
      <c r="CMJ1680" s="2477"/>
      <c r="CMK1680" s="2477"/>
      <c r="CML1680" s="2477"/>
      <c r="CMM1680" s="2477"/>
      <c r="CMN1680" s="2477"/>
      <c r="CMO1680" s="2477"/>
      <c r="CMP1680" s="2477"/>
      <c r="CMQ1680" s="2477"/>
      <c r="CMR1680" s="2477"/>
      <c r="CMS1680" s="2477"/>
      <c r="CMT1680" s="2477"/>
      <c r="CMU1680" s="2477"/>
      <c r="CMV1680" s="2477"/>
      <c r="CMW1680" s="2477"/>
      <c r="CMX1680" s="2477"/>
      <c r="CMY1680" s="2477"/>
      <c r="CMZ1680" s="2477"/>
      <c r="CNA1680" s="2477"/>
      <c r="CNB1680" s="2477"/>
      <c r="CNC1680" s="2477"/>
      <c r="CND1680" s="2477"/>
      <c r="CNE1680" s="2477"/>
      <c r="CNF1680" s="2477"/>
      <c r="CNG1680" s="2477"/>
      <c r="CNH1680" s="2477"/>
      <c r="CNI1680" s="2477"/>
      <c r="CNJ1680" s="2477"/>
      <c r="CNK1680" s="2477"/>
      <c r="CNL1680" s="2477"/>
      <c r="CNM1680" s="2477"/>
      <c r="CNN1680" s="2477"/>
      <c r="CNO1680" s="2477"/>
      <c r="CNP1680" s="2477"/>
      <c r="CNQ1680" s="2477"/>
      <c r="CNR1680" s="2477"/>
      <c r="CNS1680" s="2477"/>
      <c r="CNT1680" s="2477"/>
      <c r="CNU1680" s="2477"/>
      <c r="CNV1680" s="2477"/>
      <c r="CNW1680" s="2477"/>
      <c r="CNX1680" s="2477"/>
      <c r="CNY1680" s="2477"/>
      <c r="CNZ1680" s="2477"/>
      <c r="COA1680" s="2477"/>
      <c r="COB1680" s="2477"/>
      <c r="COC1680" s="2477"/>
      <c r="COD1680" s="2477"/>
      <c r="COE1680" s="2477"/>
      <c r="COF1680" s="2477"/>
      <c r="COG1680" s="2477"/>
      <c r="COH1680" s="2477"/>
      <c r="COI1680" s="2477"/>
      <c r="COJ1680" s="2477"/>
      <c r="COK1680" s="2477"/>
      <c r="COL1680" s="2477"/>
      <c r="COM1680" s="2477"/>
      <c r="CON1680" s="2477"/>
      <c r="COO1680" s="2477"/>
      <c r="COP1680" s="2477"/>
      <c r="COQ1680" s="2477"/>
      <c r="COR1680" s="2477"/>
      <c r="COS1680" s="2477"/>
      <c r="COT1680" s="2477"/>
      <c r="COU1680" s="2477"/>
      <c r="COV1680" s="2477"/>
      <c r="COW1680" s="2477"/>
      <c r="COX1680" s="2477"/>
      <c r="COY1680" s="2477"/>
      <c r="COZ1680" s="2477"/>
      <c r="CPA1680" s="2477"/>
      <c r="CPB1680" s="2477"/>
      <c r="CPC1680" s="2477"/>
      <c r="CPD1680" s="2477"/>
      <c r="CPE1680" s="2477"/>
      <c r="CPF1680" s="2477"/>
      <c r="CPG1680" s="2477"/>
      <c r="CPH1680" s="2477"/>
      <c r="CPI1680" s="2477"/>
      <c r="CPJ1680" s="2477"/>
      <c r="CPK1680" s="2477"/>
      <c r="CPL1680" s="2477"/>
      <c r="CPM1680" s="2477"/>
      <c r="CPN1680" s="2477"/>
      <c r="CPO1680" s="2477"/>
      <c r="CPP1680" s="2477"/>
      <c r="CPQ1680" s="2477"/>
      <c r="CPR1680" s="2477"/>
      <c r="CPS1680" s="2477"/>
      <c r="CPT1680" s="2477"/>
      <c r="CPU1680" s="2477"/>
      <c r="CPV1680" s="2477"/>
      <c r="CPW1680" s="2477"/>
      <c r="CPX1680" s="2477"/>
      <c r="CPY1680" s="2477"/>
      <c r="CPZ1680" s="2477"/>
      <c r="CQA1680" s="2477"/>
      <c r="CQB1680" s="2477"/>
      <c r="CQC1680" s="2477"/>
      <c r="CQD1680" s="2477"/>
      <c r="CQE1680" s="2477"/>
      <c r="CQF1680" s="2477"/>
      <c r="CQG1680" s="2477"/>
      <c r="CQH1680" s="2477"/>
      <c r="CQI1680" s="2477"/>
      <c r="CQJ1680" s="2477"/>
      <c r="CQK1680" s="2477"/>
      <c r="CQL1680" s="2477"/>
      <c r="CQM1680" s="2477"/>
      <c r="CQN1680" s="2477"/>
      <c r="CQO1680" s="2477"/>
      <c r="CQP1680" s="2477"/>
      <c r="CQQ1680" s="2477"/>
      <c r="CQR1680" s="2477"/>
      <c r="CQS1680" s="2477"/>
      <c r="CQT1680" s="2477"/>
      <c r="CQU1680" s="2477"/>
      <c r="CQV1680" s="2477"/>
      <c r="CQW1680" s="2477"/>
      <c r="CQX1680" s="2477"/>
      <c r="CQY1680" s="2477"/>
      <c r="CQZ1680" s="2477"/>
      <c r="CRA1680" s="2477"/>
      <c r="CRB1680" s="2477"/>
      <c r="CRC1680" s="2477"/>
      <c r="CRD1680" s="2477"/>
      <c r="CRE1680" s="2477"/>
      <c r="CRF1680" s="2477"/>
      <c r="CRG1680" s="2477"/>
      <c r="CRH1680" s="2477"/>
      <c r="CRI1680" s="2477"/>
      <c r="CRJ1680" s="2477"/>
      <c r="CRK1680" s="2477"/>
      <c r="CRL1680" s="2477"/>
      <c r="CRM1680" s="2477"/>
      <c r="CRN1680" s="2477"/>
      <c r="CRO1680" s="2477"/>
      <c r="CRP1680" s="2477"/>
      <c r="CRQ1680" s="2477"/>
      <c r="CRR1680" s="2477"/>
      <c r="CRS1680" s="2477"/>
      <c r="CRT1680" s="2477"/>
      <c r="CRU1680" s="2477"/>
      <c r="CRV1680" s="2477"/>
      <c r="CRW1680" s="2477"/>
      <c r="CRX1680" s="2477"/>
      <c r="CRY1680" s="2477"/>
      <c r="CRZ1680" s="2477"/>
      <c r="CSA1680" s="2477"/>
      <c r="CSB1680" s="2477"/>
      <c r="CSC1680" s="2477"/>
      <c r="CSD1680" s="2477"/>
      <c r="CSE1680" s="2477"/>
      <c r="CSF1680" s="2477"/>
      <c r="CSG1680" s="2477"/>
      <c r="CSH1680" s="2477"/>
      <c r="CSI1680" s="2477"/>
      <c r="CSJ1680" s="2477"/>
      <c r="CSK1680" s="2477"/>
      <c r="CSL1680" s="2477"/>
      <c r="CSM1680" s="2477"/>
      <c r="CSN1680" s="2477"/>
      <c r="CSO1680" s="2477"/>
      <c r="CSP1680" s="2477"/>
      <c r="CSQ1680" s="2477"/>
      <c r="CSR1680" s="2477"/>
      <c r="CSS1680" s="2477"/>
      <c r="CST1680" s="2477"/>
      <c r="CSU1680" s="2477"/>
      <c r="CSV1680" s="2477"/>
      <c r="CSW1680" s="2477"/>
      <c r="CSX1680" s="2477"/>
      <c r="CSY1680" s="2477"/>
      <c r="CSZ1680" s="2477"/>
      <c r="CTA1680" s="2477"/>
      <c r="CTB1680" s="2477"/>
      <c r="CTC1680" s="2477"/>
      <c r="CTD1680" s="2477"/>
      <c r="CTE1680" s="2477"/>
      <c r="CTF1680" s="2477"/>
      <c r="CTG1680" s="2477"/>
      <c r="CTH1680" s="2477"/>
      <c r="CTI1680" s="2477"/>
      <c r="CTJ1680" s="2477"/>
      <c r="CTK1680" s="2477"/>
      <c r="CTL1680" s="2477"/>
      <c r="CTM1680" s="2477"/>
      <c r="CTN1680" s="2477"/>
      <c r="CTO1680" s="2477"/>
      <c r="CTP1680" s="2477"/>
      <c r="CTQ1680" s="2477"/>
      <c r="CTR1680" s="2477"/>
      <c r="CTS1680" s="2477"/>
      <c r="CTT1680" s="2477"/>
      <c r="CTU1680" s="2477"/>
      <c r="CTV1680" s="2477"/>
      <c r="CTW1680" s="2477"/>
      <c r="CTX1680" s="2477"/>
      <c r="CTY1680" s="2477"/>
      <c r="CTZ1680" s="2477"/>
      <c r="CUA1680" s="2477"/>
      <c r="CUB1680" s="2477"/>
      <c r="CUC1680" s="2477"/>
      <c r="CUD1680" s="2477"/>
      <c r="CUE1680" s="2477"/>
      <c r="CUF1680" s="2477"/>
      <c r="CUG1680" s="2477"/>
      <c r="CUH1680" s="2477"/>
      <c r="CUI1680" s="2477"/>
      <c r="CUJ1680" s="2477"/>
      <c r="CUK1680" s="2477"/>
      <c r="CUL1680" s="2477"/>
      <c r="CUM1680" s="2477"/>
      <c r="CUN1680" s="2477"/>
      <c r="CUO1680" s="2477"/>
      <c r="CUP1680" s="2477"/>
      <c r="CUQ1680" s="2477"/>
      <c r="CUR1680" s="2477"/>
      <c r="CUS1680" s="2477"/>
      <c r="CUT1680" s="2477"/>
      <c r="CUU1680" s="2477"/>
      <c r="CUV1680" s="2477"/>
      <c r="CUW1680" s="2477"/>
      <c r="CUX1680" s="2477"/>
      <c r="CUY1680" s="2477"/>
      <c r="CUZ1680" s="2477"/>
      <c r="CVA1680" s="2477"/>
      <c r="CVB1680" s="2477"/>
      <c r="CVC1680" s="2477"/>
      <c r="CVD1680" s="2477"/>
      <c r="CVE1680" s="2477"/>
      <c r="CVF1680" s="2477"/>
      <c r="CVG1680" s="2477"/>
      <c r="CVH1680" s="2477"/>
      <c r="CVI1680" s="2477"/>
      <c r="CVJ1680" s="2477"/>
      <c r="CVK1680" s="2477"/>
      <c r="CVL1680" s="2477"/>
      <c r="CVM1680" s="2477"/>
      <c r="CVN1680" s="2477"/>
      <c r="CVO1680" s="2477"/>
      <c r="CVP1680" s="2477"/>
      <c r="CVQ1680" s="2477"/>
      <c r="CVR1680" s="2477"/>
      <c r="CVS1680" s="2477"/>
      <c r="CVT1680" s="2477"/>
      <c r="CVU1680" s="2477"/>
      <c r="CVV1680" s="2477"/>
      <c r="CVW1680" s="2477"/>
      <c r="CVX1680" s="2477"/>
      <c r="CVY1680" s="2477"/>
      <c r="CVZ1680" s="2477"/>
      <c r="CWA1680" s="2477"/>
      <c r="CWB1680" s="2477"/>
      <c r="CWC1680" s="2477"/>
      <c r="CWD1680" s="2477"/>
      <c r="CWE1680" s="2477"/>
      <c r="CWF1680" s="2477"/>
      <c r="CWG1680" s="2477"/>
      <c r="CWH1680" s="2477"/>
      <c r="CWI1680" s="2477"/>
      <c r="CWJ1680" s="2477"/>
      <c r="CWK1680" s="2477"/>
      <c r="CWL1680" s="2477"/>
      <c r="CWM1680" s="2477"/>
      <c r="CWN1680" s="2477"/>
      <c r="CWO1680" s="2477"/>
      <c r="CWP1680" s="2477"/>
      <c r="CWQ1680" s="2477"/>
      <c r="CWR1680" s="2477"/>
      <c r="CWS1680" s="2477"/>
      <c r="CWT1680" s="2477"/>
      <c r="CWU1680" s="2477"/>
      <c r="CWV1680" s="2477"/>
      <c r="CWW1680" s="2477"/>
      <c r="CWX1680" s="2477"/>
      <c r="CWY1680" s="2477"/>
      <c r="CWZ1680" s="2477"/>
      <c r="CXA1680" s="2477"/>
      <c r="CXB1680" s="2477"/>
      <c r="CXC1680" s="2477"/>
      <c r="CXD1680" s="2477"/>
      <c r="CXE1680" s="2477"/>
      <c r="CXF1680" s="2477"/>
      <c r="CXG1680" s="2477"/>
      <c r="CXH1680" s="2477"/>
      <c r="CXI1680" s="2477"/>
      <c r="CXJ1680" s="2477"/>
      <c r="CXK1680" s="2477"/>
      <c r="CXL1680" s="2477"/>
      <c r="CXM1680" s="2477"/>
      <c r="CXN1680" s="2477"/>
      <c r="CXO1680" s="2477"/>
      <c r="CXP1680" s="2477"/>
      <c r="CXQ1680" s="2477"/>
      <c r="CXR1680" s="2477"/>
      <c r="CXS1680" s="2477"/>
      <c r="CXT1680" s="2477"/>
      <c r="CXU1680" s="2477"/>
      <c r="CXV1680" s="2477"/>
      <c r="CXW1680" s="2477"/>
      <c r="CXX1680" s="2477"/>
      <c r="CXY1680" s="2477"/>
      <c r="CXZ1680" s="2477"/>
      <c r="CYA1680" s="2477"/>
      <c r="CYB1680" s="2477"/>
      <c r="CYC1680" s="2477"/>
      <c r="CYD1680" s="2477"/>
      <c r="CYE1680" s="2477"/>
      <c r="CYF1680" s="2477"/>
      <c r="CYG1680" s="2477"/>
      <c r="CYH1680" s="2477"/>
      <c r="CYI1680" s="2477"/>
      <c r="CYJ1680" s="2477"/>
      <c r="CYK1680" s="2477"/>
      <c r="CYL1680" s="2477"/>
      <c r="CYM1680" s="2477"/>
      <c r="CYN1680" s="2477"/>
      <c r="CYO1680" s="2477"/>
      <c r="CYP1680" s="2477"/>
      <c r="CYQ1680" s="2477"/>
      <c r="CYR1680" s="2477"/>
      <c r="CYS1680" s="2477"/>
      <c r="CYT1680" s="2477"/>
      <c r="CYU1680" s="2477"/>
      <c r="CYV1680" s="2477"/>
      <c r="CYW1680" s="2477"/>
      <c r="CYX1680" s="2477"/>
      <c r="CYY1680" s="2477"/>
      <c r="CYZ1680" s="2477"/>
      <c r="CZA1680" s="2477"/>
      <c r="CZB1680" s="2477"/>
      <c r="CZC1680" s="2477"/>
      <c r="CZD1680" s="2477"/>
      <c r="CZE1680" s="2477"/>
      <c r="CZF1680" s="2477"/>
      <c r="CZG1680" s="2477"/>
      <c r="CZH1680" s="2477"/>
      <c r="CZI1680" s="2477"/>
      <c r="CZJ1680" s="2477"/>
      <c r="CZK1680" s="2477"/>
      <c r="CZL1680" s="2477"/>
      <c r="CZM1680" s="2477"/>
      <c r="CZN1680" s="2477"/>
      <c r="CZO1680" s="2477"/>
      <c r="CZP1680" s="2477"/>
      <c r="CZQ1680" s="2477"/>
      <c r="CZR1680" s="2477"/>
      <c r="CZS1680" s="2477"/>
      <c r="CZT1680" s="2477"/>
      <c r="CZU1680" s="2477"/>
      <c r="CZV1680" s="2477"/>
      <c r="CZW1680" s="2477"/>
      <c r="CZX1680" s="2477"/>
      <c r="CZY1680" s="2477"/>
      <c r="CZZ1680" s="2477"/>
      <c r="DAA1680" s="2477"/>
      <c r="DAB1680" s="2477"/>
      <c r="DAC1680" s="2477"/>
      <c r="DAD1680" s="2477"/>
      <c r="DAE1680" s="2477"/>
      <c r="DAF1680" s="2477"/>
      <c r="DAG1680" s="2477"/>
      <c r="DAH1680" s="2477"/>
      <c r="DAI1680" s="2477"/>
      <c r="DAJ1680" s="2477"/>
      <c r="DAK1680" s="2477"/>
      <c r="DAL1680" s="2477"/>
      <c r="DAM1680" s="2477"/>
      <c r="DAN1680" s="2477"/>
      <c r="DAO1680" s="2477"/>
      <c r="DAP1680" s="2477"/>
      <c r="DAQ1680" s="2477"/>
      <c r="DAR1680" s="2477"/>
      <c r="DAS1680" s="2477"/>
      <c r="DAT1680" s="2477"/>
      <c r="DAU1680" s="2477"/>
      <c r="DAV1680" s="2477"/>
      <c r="DAW1680" s="2477"/>
      <c r="DAX1680" s="2477"/>
      <c r="DAY1680" s="2477"/>
      <c r="DAZ1680" s="2477"/>
      <c r="DBA1680" s="2477"/>
      <c r="DBB1680" s="2477"/>
      <c r="DBC1680" s="2477"/>
      <c r="DBD1680" s="2477"/>
      <c r="DBE1680" s="2477"/>
      <c r="DBF1680" s="2477"/>
      <c r="DBG1680" s="2477"/>
      <c r="DBH1680" s="2477"/>
      <c r="DBI1680" s="2477"/>
      <c r="DBJ1680" s="2477"/>
      <c r="DBK1680" s="2477"/>
      <c r="DBL1680" s="2477"/>
      <c r="DBM1680" s="2477"/>
      <c r="DBN1680" s="2477"/>
      <c r="DBO1680" s="2477"/>
      <c r="DBP1680" s="2477"/>
      <c r="DBQ1680" s="2477"/>
      <c r="DBR1680" s="2477"/>
      <c r="DBS1680" s="2477"/>
      <c r="DBT1680" s="2477"/>
      <c r="DBU1680" s="2477"/>
      <c r="DBV1680" s="2477"/>
      <c r="DBW1680" s="2477"/>
      <c r="DBX1680" s="2477"/>
      <c r="DBY1680" s="2477"/>
      <c r="DBZ1680" s="2477"/>
      <c r="DCA1680" s="2477"/>
      <c r="DCB1680" s="2477"/>
      <c r="DCC1680" s="2477"/>
      <c r="DCD1680" s="2477"/>
      <c r="DCE1680" s="2477"/>
      <c r="DCF1680" s="2477"/>
      <c r="DCG1680" s="2477"/>
      <c r="DCH1680" s="2477"/>
      <c r="DCI1680" s="2477"/>
      <c r="DCJ1680" s="2477"/>
      <c r="DCK1680" s="2477"/>
      <c r="DCL1680" s="2477"/>
      <c r="DCM1680" s="2477"/>
      <c r="DCN1680" s="2477"/>
      <c r="DCO1680" s="2477"/>
      <c r="DCP1680" s="2477"/>
      <c r="DCQ1680" s="2477"/>
      <c r="DCR1680" s="2477"/>
      <c r="DCS1680" s="2477"/>
      <c r="DCT1680" s="2477"/>
      <c r="DCU1680" s="2477"/>
      <c r="DCV1680" s="2477"/>
      <c r="DCW1680" s="2477"/>
      <c r="DCX1680" s="2477"/>
      <c r="DCY1680" s="2477"/>
      <c r="DCZ1680" s="2477"/>
      <c r="DDA1680" s="2477"/>
      <c r="DDB1680" s="2477"/>
      <c r="DDC1680" s="2477"/>
      <c r="DDD1680" s="2477"/>
      <c r="DDE1680" s="2477"/>
      <c r="DDF1680" s="2477"/>
      <c r="DDG1680" s="2477"/>
      <c r="DDH1680" s="2477"/>
      <c r="DDI1680" s="2477"/>
      <c r="DDJ1680" s="2477"/>
      <c r="DDK1680" s="2477"/>
      <c r="DDL1680" s="2477"/>
      <c r="DDM1680" s="2477"/>
      <c r="DDN1680" s="2477"/>
      <c r="DDO1680" s="2477"/>
      <c r="DDP1680" s="2477"/>
      <c r="DDQ1680" s="2477"/>
      <c r="DDR1680" s="2477"/>
      <c r="DDS1680" s="2477"/>
      <c r="DDT1680" s="2477"/>
      <c r="DDU1680" s="2477"/>
      <c r="DDV1680" s="2477"/>
      <c r="DDW1680" s="2477"/>
      <c r="DDX1680" s="2477"/>
      <c r="DDY1680" s="2477"/>
      <c r="DDZ1680" s="2477"/>
      <c r="DEA1680" s="2477"/>
      <c r="DEB1680" s="2477"/>
      <c r="DEC1680" s="2477"/>
      <c r="DED1680" s="2477"/>
      <c r="DEE1680" s="2477"/>
      <c r="DEF1680" s="2477"/>
      <c r="DEG1680" s="2477"/>
      <c r="DEH1680" s="2477"/>
      <c r="DEI1680" s="2477"/>
      <c r="DEJ1680" s="2477"/>
      <c r="DEK1680" s="2477"/>
      <c r="DEL1680" s="2477"/>
      <c r="DEM1680" s="2477"/>
      <c r="DEN1680" s="2477"/>
      <c r="DEO1680" s="2477"/>
      <c r="DEP1680" s="2477"/>
      <c r="DEQ1680" s="2477"/>
      <c r="DER1680" s="2477"/>
      <c r="DES1680" s="2477"/>
      <c r="DET1680" s="2477"/>
      <c r="DEU1680" s="2477"/>
      <c r="DEV1680" s="2477"/>
      <c r="DEW1680" s="2477"/>
      <c r="DEX1680" s="2477"/>
      <c r="DEY1680" s="2477"/>
      <c r="DEZ1680" s="2477"/>
      <c r="DFA1680" s="2477"/>
      <c r="DFB1680" s="2477"/>
      <c r="DFC1680" s="2477"/>
      <c r="DFD1680" s="2477"/>
      <c r="DFE1680" s="2477"/>
      <c r="DFF1680" s="2477"/>
      <c r="DFG1680" s="2477"/>
      <c r="DFH1680" s="2477"/>
      <c r="DFI1680" s="2477"/>
      <c r="DFJ1680" s="2477"/>
      <c r="DFK1680" s="2477"/>
      <c r="DFL1680" s="2477"/>
      <c r="DFM1680" s="2477"/>
      <c r="DFN1680" s="2477"/>
      <c r="DFO1680" s="2477"/>
      <c r="DFP1680" s="2477"/>
      <c r="DFQ1680" s="2477"/>
      <c r="DFR1680" s="2477"/>
      <c r="DFS1680" s="2477"/>
      <c r="DFT1680" s="2477"/>
      <c r="DFU1680" s="2477"/>
      <c r="DFV1680" s="2477"/>
      <c r="DFW1680" s="2477"/>
      <c r="DFX1680" s="2477"/>
      <c r="DFY1680" s="2477"/>
      <c r="DFZ1680" s="2477"/>
      <c r="DGA1680" s="2477"/>
      <c r="DGB1680" s="2477"/>
      <c r="DGC1680" s="2477"/>
      <c r="DGD1680" s="2477"/>
      <c r="DGE1680" s="2477"/>
      <c r="DGF1680" s="2477"/>
      <c r="DGG1680" s="2477"/>
      <c r="DGH1680" s="2477"/>
      <c r="DGI1680" s="2477"/>
      <c r="DGJ1680" s="2477"/>
      <c r="DGK1680" s="2477"/>
      <c r="DGL1680" s="2477"/>
      <c r="DGM1680" s="2477"/>
      <c r="DGN1680" s="2477"/>
      <c r="DGO1680" s="2477"/>
      <c r="DGP1680" s="2477"/>
      <c r="DGQ1680" s="2477"/>
      <c r="DGR1680" s="2477"/>
      <c r="DGS1680" s="2477"/>
      <c r="DGT1680" s="2477"/>
      <c r="DGU1680" s="2477"/>
      <c r="DGV1680" s="2477"/>
      <c r="DGW1680" s="2477"/>
      <c r="DGX1680" s="2477"/>
      <c r="DGY1680" s="2477"/>
      <c r="DGZ1680" s="2477"/>
      <c r="DHA1680" s="2477"/>
      <c r="DHB1680" s="2477"/>
      <c r="DHC1680" s="2477"/>
      <c r="DHD1680" s="2477"/>
      <c r="DHE1680" s="2477"/>
      <c r="DHF1680" s="2477"/>
      <c r="DHG1680" s="2477"/>
      <c r="DHH1680" s="2477"/>
      <c r="DHI1680" s="2477"/>
      <c r="DHJ1680" s="2477"/>
      <c r="DHK1680" s="2477"/>
      <c r="DHL1680" s="2477"/>
      <c r="DHM1680" s="2477"/>
      <c r="DHN1680" s="2477"/>
      <c r="DHO1680" s="2477"/>
      <c r="DHP1680" s="2477"/>
      <c r="DHQ1680" s="2477"/>
      <c r="DHR1680" s="2477"/>
      <c r="DHS1680" s="2477"/>
      <c r="DHT1680" s="2477"/>
      <c r="DHU1680" s="2477"/>
      <c r="DHV1680" s="2477"/>
      <c r="DHW1680" s="2477"/>
      <c r="DHX1680" s="2477"/>
      <c r="DHY1680" s="2477"/>
      <c r="DHZ1680" s="2477"/>
      <c r="DIA1680" s="2477"/>
      <c r="DIB1680" s="2477"/>
      <c r="DIC1680" s="2477"/>
      <c r="DID1680" s="2477"/>
      <c r="DIE1680" s="2477"/>
      <c r="DIF1680" s="2477"/>
      <c r="DIG1680" s="2477"/>
      <c r="DIH1680" s="2477"/>
      <c r="DII1680" s="2477"/>
      <c r="DIJ1680" s="2477"/>
      <c r="DIK1680" s="2477"/>
      <c r="DIL1680" s="2477"/>
      <c r="DIM1680" s="2477"/>
      <c r="DIN1680" s="2477"/>
      <c r="DIO1680" s="2477"/>
      <c r="DIP1680" s="2477"/>
      <c r="DIQ1680" s="2477"/>
      <c r="DIR1680" s="2477"/>
      <c r="DIS1680" s="2477"/>
      <c r="DIT1680" s="2477"/>
      <c r="DIU1680" s="2477"/>
      <c r="DIV1680" s="2477"/>
      <c r="DIW1680" s="2477"/>
      <c r="DIX1680" s="2477"/>
      <c r="DIY1680" s="2477"/>
      <c r="DIZ1680" s="2477"/>
      <c r="DJA1680" s="2477"/>
      <c r="DJB1680" s="2477"/>
      <c r="DJC1680" s="2477"/>
      <c r="DJD1680" s="2477"/>
      <c r="DJE1680" s="2477"/>
      <c r="DJF1680" s="2477"/>
      <c r="DJG1680" s="2477"/>
      <c r="DJH1680" s="2477"/>
      <c r="DJI1680" s="2477"/>
      <c r="DJJ1680" s="2477"/>
      <c r="DJK1680" s="2477"/>
      <c r="DJL1680" s="2477"/>
      <c r="DJM1680" s="2477"/>
      <c r="DJN1680" s="2477"/>
      <c r="DJO1680" s="2477"/>
      <c r="DJP1680" s="2477"/>
      <c r="DJQ1680" s="2477"/>
      <c r="DJR1680" s="2477"/>
      <c r="DJS1680" s="2477"/>
      <c r="DJT1680" s="2477"/>
      <c r="DJU1680" s="2477"/>
      <c r="DJV1680" s="2477"/>
      <c r="DJW1680" s="2477"/>
      <c r="DJX1680" s="2477"/>
      <c r="DJY1680" s="2477"/>
      <c r="DJZ1680" s="2477"/>
      <c r="DKA1680" s="2477"/>
      <c r="DKB1680" s="2477"/>
      <c r="DKC1680" s="2477"/>
      <c r="DKD1680" s="2477"/>
      <c r="DKE1680" s="2477"/>
      <c r="DKF1680" s="2477"/>
      <c r="DKG1680" s="2477"/>
      <c r="DKH1680" s="2477"/>
      <c r="DKI1680" s="2477"/>
      <c r="DKJ1680" s="2477"/>
      <c r="DKK1680" s="2477"/>
      <c r="DKL1680" s="2477"/>
      <c r="DKM1680" s="2477"/>
      <c r="DKN1680" s="2477"/>
      <c r="DKO1680" s="2477"/>
      <c r="DKP1680" s="2477"/>
      <c r="DKQ1680" s="2477"/>
      <c r="DKR1680" s="2477"/>
      <c r="DKS1680" s="2477"/>
      <c r="DKT1680" s="2477"/>
      <c r="DKU1680" s="2477"/>
      <c r="DKV1680" s="2477"/>
      <c r="DKW1680" s="2477"/>
      <c r="DKX1680" s="2477"/>
      <c r="DKY1680" s="2477"/>
      <c r="DKZ1680" s="2477"/>
      <c r="DLA1680" s="2477"/>
      <c r="DLB1680" s="2477"/>
      <c r="DLC1680" s="2477"/>
      <c r="DLD1680" s="2477"/>
      <c r="DLE1680" s="2477"/>
      <c r="DLF1680" s="2477"/>
      <c r="DLG1680" s="2477"/>
      <c r="DLH1680" s="2477"/>
      <c r="DLI1680" s="2477"/>
      <c r="DLJ1680" s="2477"/>
      <c r="DLK1680" s="2477"/>
      <c r="DLL1680" s="2477"/>
      <c r="DLM1680" s="2477"/>
      <c r="DLN1680" s="2477"/>
      <c r="DLO1680" s="2477"/>
      <c r="DLP1680" s="2477"/>
      <c r="DLQ1680" s="2477"/>
      <c r="DLR1680" s="2477"/>
      <c r="DLS1680" s="2477"/>
      <c r="DLT1680" s="2477"/>
      <c r="DLU1680" s="2477"/>
      <c r="DLV1680" s="2477"/>
      <c r="DLW1680" s="2477"/>
      <c r="DLX1680" s="2477"/>
      <c r="DLY1680" s="2477"/>
      <c r="DLZ1680" s="2477"/>
      <c r="DMA1680" s="2477"/>
      <c r="DMB1680" s="2477"/>
      <c r="DMC1680" s="2477"/>
      <c r="DMD1680" s="2477"/>
      <c r="DME1680" s="2477"/>
      <c r="DMF1680" s="2477"/>
      <c r="DMG1680" s="2477"/>
      <c r="DMH1680" s="2477"/>
      <c r="DMI1680" s="2477"/>
      <c r="DMJ1680" s="2477"/>
      <c r="DMK1680" s="2477"/>
      <c r="DML1680" s="2477"/>
      <c r="DMM1680" s="2477"/>
      <c r="DMN1680" s="2477"/>
      <c r="DMO1680" s="2477"/>
      <c r="DMP1680" s="2477"/>
      <c r="DMQ1680" s="2477"/>
      <c r="DMR1680" s="2477"/>
      <c r="DMS1680" s="2477"/>
      <c r="DMT1680" s="2477"/>
      <c r="DMU1680" s="2477"/>
      <c r="DMV1680" s="2477"/>
      <c r="DMW1680" s="2477"/>
      <c r="DMX1680" s="2477"/>
      <c r="DMY1680" s="2477"/>
      <c r="DMZ1680" s="2477"/>
      <c r="DNA1680" s="2477"/>
      <c r="DNB1680" s="2477"/>
      <c r="DNC1680" s="2477"/>
      <c r="DND1680" s="2477"/>
      <c r="DNE1680" s="2477"/>
      <c r="DNF1680" s="2477"/>
      <c r="DNG1680" s="2477"/>
      <c r="DNH1680" s="2477"/>
      <c r="DNI1680" s="2477"/>
      <c r="DNJ1680" s="2477"/>
      <c r="DNK1680" s="2477"/>
      <c r="DNL1680" s="2477"/>
      <c r="DNM1680" s="2477"/>
      <c r="DNN1680" s="2477"/>
      <c r="DNO1680" s="2477"/>
      <c r="DNP1680" s="2477"/>
      <c r="DNQ1680" s="2477"/>
      <c r="DNR1680" s="2477"/>
      <c r="DNS1680" s="2477"/>
      <c r="DNT1680" s="2477"/>
      <c r="DNU1680" s="2477"/>
      <c r="DNV1680" s="2477"/>
      <c r="DNW1680" s="2477"/>
      <c r="DNX1680" s="2477"/>
      <c r="DNY1680" s="2477"/>
      <c r="DNZ1680" s="2477"/>
      <c r="DOA1680" s="2477"/>
      <c r="DOB1680" s="2477"/>
      <c r="DOC1680" s="2477"/>
      <c r="DOD1680" s="2477"/>
      <c r="DOE1680" s="2477"/>
      <c r="DOF1680" s="2477"/>
      <c r="DOG1680" s="2477"/>
      <c r="DOH1680" s="2477"/>
      <c r="DOI1680" s="2477"/>
      <c r="DOJ1680" s="2477"/>
      <c r="DOK1680" s="2477"/>
      <c r="DOL1680" s="2477"/>
      <c r="DOM1680" s="2477"/>
      <c r="DON1680" s="2477"/>
      <c r="DOO1680" s="2477"/>
      <c r="DOP1680" s="2477"/>
      <c r="DOQ1680" s="2477"/>
      <c r="DOR1680" s="2477"/>
      <c r="DOS1680" s="2477"/>
      <c r="DOT1680" s="2477"/>
      <c r="DOU1680" s="2477"/>
      <c r="DOV1680" s="2477"/>
      <c r="DOW1680" s="2477"/>
      <c r="DOX1680" s="2477"/>
      <c r="DOY1680" s="2477"/>
      <c r="DOZ1680" s="2477"/>
      <c r="DPA1680" s="2477"/>
      <c r="DPB1680" s="2477"/>
      <c r="DPC1680" s="2477"/>
      <c r="DPD1680" s="2477"/>
      <c r="DPE1680" s="2477"/>
      <c r="DPF1680" s="2477"/>
      <c r="DPG1680" s="2477"/>
      <c r="DPH1680" s="2477"/>
      <c r="DPI1680" s="2477"/>
      <c r="DPJ1680" s="2477"/>
      <c r="DPK1680" s="2477"/>
      <c r="DPL1680" s="2477"/>
      <c r="DPM1680" s="2477"/>
      <c r="DPN1680" s="2477"/>
      <c r="DPO1680" s="2477"/>
      <c r="DPP1680" s="2477"/>
      <c r="DPQ1680" s="2477"/>
      <c r="DPR1680" s="2477"/>
      <c r="DPS1680" s="2477"/>
      <c r="DPT1680" s="2477"/>
      <c r="DPU1680" s="2477"/>
      <c r="DPV1680" s="2477"/>
      <c r="DPW1680" s="2477"/>
      <c r="DPX1680" s="2477"/>
      <c r="DPY1680" s="2477"/>
      <c r="DPZ1680" s="2477"/>
      <c r="DQA1680" s="2477"/>
      <c r="DQB1680" s="2477"/>
      <c r="DQC1680" s="2477"/>
      <c r="DQD1680" s="2477"/>
      <c r="DQE1680" s="2477"/>
      <c r="DQF1680" s="2477"/>
      <c r="DQG1680" s="2477"/>
      <c r="DQH1680" s="2477"/>
      <c r="DQI1680" s="2477"/>
      <c r="DQJ1680" s="2477"/>
      <c r="DQK1680" s="2477"/>
      <c r="DQL1680" s="2477"/>
      <c r="DQM1680" s="2477"/>
      <c r="DQN1680" s="2477"/>
      <c r="DQO1680" s="2477"/>
      <c r="DQP1680" s="2477"/>
      <c r="DQQ1680" s="2477"/>
      <c r="DQR1680" s="2477"/>
      <c r="DQS1680" s="2477"/>
      <c r="DQT1680" s="2477"/>
      <c r="DQU1680" s="2477"/>
      <c r="DQV1680" s="2477"/>
      <c r="DQW1680" s="2477"/>
      <c r="DQX1680" s="2477"/>
      <c r="DQY1680" s="2477"/>
      <c r="DQZ1680" s="2477"/>
      <c r="DRA1680" s="2477"/>
      <c r="DRB1680" s="2477"/>
      <c r="DRC1680" s="2477"/>
      <c r="DRD1680" s="2477"/>
      <c r="DRE1680" s="2477"/>
      <c r="DRF1680" s="2477"/>
      <c r="DRG1680" s="2477"/>
      <c r="DRH1680" s="2477"/>
      <c r="DRI1680" s="2477"/>
      <c r="DRJ1680" s="2477"/>
      <c r="DRK1680" s="2477"/>
      <c r="DRL1680" s="2477"/>
      <c r="DRM1680" s="2477"/>
      <c r="DRN1680" s="2477"/>
      <c r="DRO1680" s="2477"/>
      <c r="DRP1680" s="2477"/>
      <c r="DRQ1680" s="2477"/>
      <c r="DRR1680" s="2477"/>
      <c r="DRS1680" s="2477"/>
      <c r="DRT1680" s="2477"/>
      <c r="DRU1680" s="2477"/>
      <c r="DRV1680" s="2477"/>
      <c r="DRW1680" s="2477"/>
      <c r="DRX1680" s="2477"/>
      <c r="DRY1680" s="2477"/>
      <c r="DRZ1680" s="2477"/>
      <c r="DSA1680" s="2477"/>
      <c r="DSB1680" s="2477"/>
      <c r="DSC1680" s="2477"/>
      <c r="DSD1680" s="2477"/>
      <c r="DSE1680" s="2477"/>
      <c r="DSF1680" s="2477"/>
      <c r="DSG1680" s="2477"/>
      <c r="DSH1680" s="2477"/>
      <c r="DSI1680" s="2477"/>
      <c r="DSJ1680" s="2477"/>
      <c r="DSK1680" s="2477"/>
      <c r="DSL1680" s="2477"/>
      <c r="DSM1680" s="2477"/>
      <c r="DSN1680" s="2477"/>
      <c r="DSO1680" s="2477"/>
      <c r="DSP1680" s="2477"/>
      <c r="DSQ1680" s="2477"/>
      <c r="DSR1680" s="2477"/>
      <c r="DSS1680" s="2477"/>
      <c r="DST1680" s="2477"/>
      <c r="DSU1680" s="2477"/>
      <c r="DSV1680" s="2477"/>
      <c r="DSW1680" s="2477"/>
      <c r="DSX1680" s="2477"/>
      <c r="DSY1680" s="2477"/>
      <c r="DSZ1680" s="2477"/>
      <c r="DTA1680" s="2477"/>
      <c r="DTB1680" s="2477"/>
      <c r="DTC1680" s="2477"/>
      <c r="DTD1680" s="2477"/>
      <c r="DTE1680" s="2477"/>
      <c r="DTF1680" s="2477"/>
      <c r="DTG1680" s="2477"/>
      <c r="DTH1680" s="2477"/>
      <c r="DTI1680" s="2477"/>
      <c r="DTJ1680" s="2477"/>
      <c r="DTK1680" s="2477"/>
      <c r="DTL1680" s="2477"/>
      <c r="DTM1680" s="2477"/>
      <c r="DTN1680" s="2477"/>
      <c r="DTO1680" s="2477"/>
      <c r="DTP1680" s="2477"/>
      <c r="DTQ1680" s="2477"/>
      <c r="DTR1680" s="2477"/>
      <c r="DTS1680" s="2477"/>
      <c r="DTT1680" s="2477"/>
      <c r="DTU1680" s="2477"/>
      <c r="DTV1680" s="2477"/>
      <c r="DTW1680" s="2477"/>
      <c r="DTX1680" s="2477"/>
      <c r="DTY1680" s="2477"/>
      <c r="DTZ1680" s="2477"/>
      <c r="DUA1680" s="2477"/>
      <c r="DUB1680" s="2477"/>
      <c r="DUC1680" s="2477"/>
      <c r="DUD1680" s="2477"/>
      <c r="DUE1680" s="2477"/>
      <c r="DUF1680" s="2477"/>
      <c r="DUG1680" s="2477"/>
      <c r="DUH1680" s="2477"/>
      <c r="DUI1680" s="2477"/>
      <c r="DUJ1680" s="2477"/>
      <c r="DUK1680" s="2477"/>
      <c r="DUL1680" s="2477"/>
      <c r="DUM1680" s="2477"/>
      <c r="DUN1680" s="2477"/>
      <c r="DUO1680" s="2477"/>
      <c r="DUP1680" s="2477"/>
      <c r="DUQ1680" s="2477"/>
      <c r="DUR1680" s="2477"/>
      <c r="DUS1680" s="2477"/>
      <c r="DUT1680" s="2477"/>
      <c r="DUU1680" s="2477"/>
      <c r="DUV1680" s="2477"/>
      <c r="DUW1680" s="2477"/>
      <c r="DUX1680" s="2477"/>
      <c r="DUY1680" s="2477"/>
      <c r="DUZ1680" s="2477"/>
      <c r="DVA1680" s="2477"/>
      <c r="DVB1680" s="2477"/>
      <c r="DVC1680" s="2477"/>
      <c r="DVD1680" s="2477"/>
      <c r="DVE1680" s="2477"/>
      <c r="DVF1680" s="2477"/>
      <c r="DVG1680" s="2477"/>
      <c r="DVH1680" s="2477"/>
      <c r="DVI1680" s="2477"/>
      <c r="DVJ1680" s="2477"/>
      <c r="DVK1680" s="2477"/>
      <c r="DVL1680" s="2477"/>
      <c r="DVM1680" s="2477"/>
      <c r="DVN1680" s="2477"/>
      <c r="DVO1680" s="2477"/>
      <c r="DVP1680" s="2477"/>
      <c r="DVQ1680" s="2477"/>
      <c r="DVR1680" s="2477"/>
      <c r="DVS1680" s="2477"/>
      <c r="DVT1680" s="2477"/>
      <c r="DVU1680" s="2477"/>
      <c r="DVV1680" s="2477"/>
      <c r="DVW1680" s="2477"/>
      <c r="DVX1680" s="2477"/>
      <c r="DVY1680" s="2477"/>
      <c r="DVZ1680" s="2477"/>
      <c r="DWA1680" s="2477"/>
      <c r="DWB1680" s="2477"/>
      <c r="DWC1680" s="2477"/>
      <c r="DWD1680" s="2477"/>
      <c r="DWE1680" s="2477"/>
      <c r="DWF1680" s="2477"/>
      <c r="DWG1680" s="2477"/>
      <c r="DWH1680" s="2477"/>
      <c r="DWI1680" s="2477"/>
      <c r="DWJ1680" s="2477"/>
      <c r="DWK1680" s="2477"/>
      <c r="DWL1680" s="2477"/>
      <c r="DWM1680" s="2477"/>
      <c r="DWN1680" s="2477"/>
      <c r="DWO1680" s="2477"/>
      <c r="DWP1680" s="2477"/>
      <c r="DWQ1680" s="2477"/>
      <c r="DWR1680" s="2477"/>
      <c r="DWS1680" s="2477"/>
      <c r="DWT1680" s="2477"/>
      <c r="DWU1680" s="2477"/>
      <c r="DWV1680" s="2477"/>
      <c r="DWW1680" s="2477"/>
      <c r="DWX1680" s="2477"/>
      <c r="DWY1680" s="2477"/>
      <c r="DWZ1680" s="2477"/>
      <c r="DXA1680" s="2477"/>
      <c r="DXB1680" s="2477"/>
      <c r="DXC1680" s="2477"/>
      <c r="DXD1680" s="2477"/>
      <c r="DXE1680" s="2477"/>
      <c r="DXF1680" s="2477"/>
      <c r="DXG1680" s="2477"/>
      <c r="DXH1680" s="2477"/>
      <c r="DXI1680" s="2477"/>
      <c r="DXJ1680" s="2477"/>
      <c r="DXK1680" s="2477"/>
      <c r="DXL1680" s="2477"/>
      <c r="DXM1680" s="2477"/>
      <c r="DXN1680" s="2477"/>
      <c r="DXO1680" s="2477"/>
      <c r="DXP1680" s="2477"/>
      <c r="DXQ1680" s="2477"/>
      <c r="DXR1680" s="2477"/>
      <c r="DXS1680" s="2477"/>
      <c r="DXT1680" s="2477"/>
      <c r="DXU1680" s="2477"/>
      <c r="DXV1680" s="2477"/>
      <c r="DXW1680" s="2477"/>
      <c r="DXX1680" s="2477"/>
      <c r="DXY1680" s="2477"/>
      <c r="DXZ1680" s="2477"/>
      <c r="DYA1680" s="2477"/>
      <c r="DYB1680" s="2477"/>
      <c r="DYC1680" s="2477"/>
      <c r="DYD1680" s="2477"/>
      <c r="DYE1680" s="2477"/>
      <c r="DYF1680" s="2477"/>
      <c r="DYG1680" s="2477"/>
      <c r="DYH1680" s="2477"/>
      <c r="DYI1680" s="2477"/>
      <c r="DYJ1680" s="2477"/>
      <c r="DYK1680" s="2477"/>
      <c r="DYL1680" s="2477"/>
      <c r="DYM1680" s="2477"/>
      <c r="DYN1680" s="2477"/>
      <c r="DYO1680" s="2477"/>
      <c r="DYP1680" s="2477"/>
      <c r="DYQ1680" s="2477"/>
      <c r="DYR1680" s="2477"/>
      <c r="DYS1680" s="2477"/>
      <c r="DYT1680" s="2477"/>
      <c r="DYU1680" s="2477"/>
      <c r="DYV1680" s="2477"/>
      <c r="DYW1680" s="2477"/>
      <c r="DYX1680" s="2477"/>
      <c r="DYY1680" s="2477"/>
      <c r="DYZ1680" s="2477"/>
      <c r="DZA1680" s="2477"/>
      <c r="DZB1680" s="2477"/>
      <c r="DZC1680" s="2477"/>
      <c r="DZD1680" s="2477"/>
      <c r="DZE1680" s="2477"/>
      <c r="DZF1680" s="2477"/>
      <c r="DZG1680" s="2477"/>
      <c r="DZH1680" s="2477"/>
      <c r="DZI1680" s="2477"/>
      <c r="DZJ1680" s="2477"/>
      <c r="DZK1680" s="2477"/>
      <c r="DZL1680" s="2477"/>
      <c r="DZM1680" s="2477"/>
      <c r="DZN1680" s="2477"/>
      <c r="DZO1680" s="2477"/>
      <c r="DZP1680" s="2477"/>
      <c r="DZQ1680" s="2477"/>
      <c r="DZR1680" s="2477"/>
      <c r="DZS1680" s="2477"/>
      <c r="DZT1680" s="2477"/>
      <c r="DZU1680" s="2477"/>
      <c r="DZV1680" s="2477"/>
      <c r="DZW1680" s="2477"/>
      <c r="DZX1680" s="2477"/>
      <c r="DZY1680" s="2477"/>
      <c r="DZZ1680" s="2477"/>
      <c r="EAA1680" s="2477"/>
      <c r="EAB1680" s="2477"/>
      <c r="EAC1680" s="2477"/>
      <c r="EAD1680" s="2477"/>
      <c r="EAE1680" s="2477"/>
      <c r="EAF1680" s="2477"/>
      <c r="EAG1680" s="2477"/>
      <c r="EAH1680" s="2477"/>
      <c r="EAI1680" s="2477"/>
      <c r="EAJ1680" s="2477"/>
      <c r="EAK1680" s="2477"/>
      <c r="EAL1680" s="2477"/>
      <c r="EAM1680" s="2477"/>
      <c r="EAN1680" s="2477"/>
      <c r="EAO1680" s="2477"/>
      <c r="EAP1680" s="2477"/>
      <c r="EAQ1680" s="2477"/>
      <c r="EAR1680" s="2477"/>
      <c r="EAS1680" s="2477"/>
      <c r="EAT1680" s="2477"/>
      <c r="EAU1680" s="2477"/>
      <c r="EAV1680" s="2477"/>
      <c r="EAW1680" s="2477"/>
      <c r="EAX1680" s="2477"/>
      <c r="EAY1680" s="2477"/>
      <c r="EAZ1680" s="2477"/>
      <c r="EBA1680" s="2477"/>
      <c r="EBB1680" s="2477"/>
      <c r="EBC1680" s="2477"/>
      <c r="EBD1680" s="2477"/>
      <c r="EBE1680" s="2477"/>
      <c r="EBF1680" s="2477"/>
      <c r="EBG1680" s="2477"/>
      <c r="EBH1680" s="2477"/>
      <c r="EBI1680" s="2477"/>
      <c r="EBJ1680" s="2477"/>
      <c r="EBK1680" s="2477"/>
      <c r="EBL1680" s="2477"/>
      <c r="EBM1680" s="2477"/>
      <c r="EBN1680" s="2477"/>
      <c r="EBO1680" s="2477"/>
      <c r="EBP1680" s="2477"/>
      <c r="EBQ1680" s="2477"/>
      <c r="EBR1680" s="2477"/>
      <c r="EBS1680" s="2477"/>
      <c r="EBT1680" s="2477"/>
      <c r="EBU1680" s="2477"/>
      <c r="EBV1680" s="2477"/>
      <c r="EBW1680" s="2477"/>
      <c r="EBX1680" s="2477"/>
      <c r="EBY1680" s="2477"/>
      <c r="EBZ1680" s="2477"/>
      <c r="ECA1680" s="2477"/>
      <c r="ECB1680" s="2477"/>
      <c r="ECC1680" s="2477"/>
      <c r="ECD1680" s="2477"/>
      <c r="ECE1680" s="2477"/>
      <c r="ECF1680" s="2477"/>
      <c r="ECG1680" s="2477"/>
      <c r="ECH1680" s="2477"/>
      <c r="ECI1680" s="2477"/>
      <c r="ECJ1680" s="2477"/>
      <c r="ECK1680" s="2477"/>
      <c r="ECL1680" s="2477"/>
      <c r="ECM1680" s="2477"/>
      <c r="ECN1680" s="2477"/>
      <c r="ECO1680" s="2477"/>
      <c r="ECP1680" s="2477"/>
      <c r="ECQ1680" s="2477"/>
      <c r="ECR1680" s="2477"/>
      <c r="ECS1680" s="2477"/>
      <c r="ECT1680" s="2477"/>
      <c r="ECU1680" s="2477"/>
      <c r="ECV1680" s="2477"/>
      <c r="ECW1680" s="2477"/>
      <c r="ECX1680" s="2477"/>
      <c r="ECY1680" s="2477"/>
      <c r="ECZ1680" s="2477"/>
      <c r="EDA1680" s="2477"/>
      <c r="EDB1680" s="2477"/>
      <c r="EDC1680" s="2477"/>
      <c r="EDD1680" s="2477"/>
      <c r="EDE1680" s="2477"/>
      <c r="EDF1680" s="2477"/>
      <c r="EDG1680" s="2477"/>
      <c r="EDH1680" s="2477"/>
      <c r="EDI1680" s="2477"/>
      <c r="EDJ1680" s="2477"/>
      <c r="EDK1680" s="2477"/>
      <c r="EDL1680" s="2477"/>
      <c r="EDM1680" s="2477"/>
      <c r="EDN1680" s="2477"/>
      <c r="EDO1680" s="2477"/>
      <c r="EDP1680" s="2477"/>
      <c r="EDQ1680" s="2477"/>
      <c r="EDR1680" s="2477"/>
      <c r="EDS1680" s="2477"/>
      <c r="EDT1680" s="2477"/>
      <c r="EDU1680" s="2477"/>
      <c r="EDV1680" s="2477"/>
      <c r="EDW1680" s="2477"/>
      <c r="EDX1680" s="2477"/>
      <c r="EDY1680" s="2477"/>
      <c r="EDZ1680" s="2477"/>
      <c r="EEA1680" s="2477"/>
      <c r="EEB1680" s="2477"/>
      <c r="EEC1680" s="2477"/>
      <c r="EED1680" s="2477"/>
      <c r="EEE1680" s="2477"/>
      <c r="EEF1680" s="2477"/>
      <c r="EEG1680" s="2477"/>
      <c r="EEH1680" s="2477"/>
      <c r="EEI1680" s="2477"/>
      <c r="EEJ1680" s="2477"/>
      <c r="EEK1680" s="2477"/>
      <c r="EEL1680" s="2477"/>
      <c r="EEM1680" s="2477"/>
      <c r="EEN1680" s="2477"/>
      <c r="EEO1680" s="2477"/>
      <c r="EEP1680" s="2477"/>
      <c r="EEQ1680" s="2477"/>
      <c r="EER1680" s="2477"/>
      <c r="EES1680" s="2477"/>
      <c r="EET1680" s="2477"/>
      <c r="EEU1680" s="2477"/>
      <c r="EEV1680" s="2477"/>
      <c r="EEW1680" s="2477"/>
      <c r="EEX1680" s="2477"/>
      <c r="EEY1680" s="2477"/>
      <c r="EEZ1680" s="2477"/>
      <c r="EFA1680" s="2477"/>
      <c r="EFB1680" s="2477"/>
      <c r="EFC1680" s="2477"/>
      <c r="EFD1680" s="2477"/>
      <c r="EFE1680" s="2477"/>
      <c r="EFF1680" s="2477"/>
      <c r="EFG1680" s="2477"/>
      <c r="EFH1680" s="2477"/>
      <c r="EFI1680" s="2477"/>
      <c r="EFJ1680" s="2477"/>
      <c r="EFK1680" s="2477"/>
      <c r="EFL1680" s="2477"/>
      <c r="EFM1680" s="2477"/>
      <c r="EFN1680" s="2477"/>
      <c r="EFO1680" s="2477"/>
      <c r="EFP1680" s="2477"/>
      <c r="EFQ1680" s="2477"/>
      <c r="EFR1680" s="2477"/>
      <c r="EFS1680" s="2477"/>
      <c r="EFT1680" s="2477"/>
      <c r="EFU1680" s="2477"/>
      <c r="EFV1680" s="2477"/>
      <c r="EFW1680" s="2477"/>
      <c r="EFX1680" s="2477"/>
      <c r="EFY1680" s="2477"/>
      <c r="EFZ1680" s="2477"/>
      <c r="EGA1680" s="2477"/>
      <c r="EGB1680" s="2477"/>
      <c r="EGC1680" s="2477"/>
      <c r="EGD1680" s="2477"/>
      <c r="EGE1680" s="2477"/>
      <c r="EGF1680" s="2477"/>
      <c r="EGG1680" s="2477"/>
      <c r="EGH1680" s="2477"/>
      <c r="EGI1680" s="2477"/>
      <c r="EGJ1680" s="2477"/>
      <c r="EGK1680" s="2477"/>
      <c r="EGL1680" s="2477"/>
      <c r="EGM1680" s="2477"/>
      <c r="EGN1680" s="2477"/>
      <c r="EGO1680" s="2477"/>
      <c r="EGP1680" s="2477"/>
      <c r="EGQ1680" s="2477"/>
      <c r="EGR1680" s="2477"/>
      <c r="EGS1680" s="2477"/>
      <c r="EGT1680" s="2477"/>
      <c r="EGU1680" s="2477"/>
      <c r="EGV1680" s="2477"/>
      <c r="EGW1680" s="2477"/>
      <c r="EGX1680" s="2477"/>
      <c r="EGY1680" s="2477"/>
      <c r="EGZ1680" s="2477"/>
      <c r="EHA1680" s="2477"/>
      <c r="EHB1680" s="2477"/>
      <c r="EHC1680" s="2477"/>
      <c r="EHD1680" s="2477"/>
      <c r="EHE1680" s="2477"/>
      <c r="EHF1680" s="2477"/>
      <c r="EHG1680" s="2477"/>
      <c r="EHH1680" s="2477"/>
      <c r="EHI1680" s="2477"/>
      <c r="EHJ1680" s="2477"/>
      <c r="EHK1680" s="2477"/>
      <c r="EHL1680" s="2477"/>
      <c r="EHM1680" s="2477"/>
      <c r="EHN1680" s="2477"/>
      <c r="EHO1680" s="2477"/>
      <c r="EHP1680" s="2477"/>
      <c r="EHQ1680" s="2477"/>
      <c r="EHR1680" s="2477"/>
      <c r="EHS1680" s="2477"/>
      <c r="EHT1680" s="2477"/>
      <c r="EHU1680" s="2477"/>
      <c r="EHV1680" s="2477"/>
      <c r="EHW1680" s="2477"/>
      <c r="EHX1680" s="2477"/>
      <c r="EHY1680" s="2477"/>
      <c r="EHZ1680" s="2477"/>
      <c r="EIA1680" s="2477"/>
      <c r="EIB1680" s="2477"/>
      <c r="EIC1680" s="2477"/>
      <c r="EID1680" s="2477"/>
      <c r="EIE1680" s="2477"/>
      <c r="EIF1680" s="2477"/>
      <c r="EIG1680" s="2477"/>
      <c r="EIH1680" s="2477"/>
      <c r="EII1680" s="2477"/>
      <c r="EIJ1680" s="2477"/>
      <c r="EIK1680" s="2477"/>
      <c r="EIL1680" s="2477"/>
      <c r="EIM1680" s="2477"/>
      <c r="EIN1680" s="2477"/>
      <c r="EIO1680" s="2477"/>
      <c r="EIP1680" s="2477"/>
      <c r="EIQ1680" s="2477"/>
      <c r="EIR1680" s="2477"/>
      <c r="EIS1680" s="2477"/>
      <c r="EIT1680" s="2477"/>
      <c r="EIU1680" s="2477"/>
      <c r="EIV1680" s="2477"/>
      <c r="EIW1680" s="2477"/>
      <c r="EIX1680" s="2477"/>
      <c r="EIY1680" s="2477"/>
      <c r="EIZ1680" s="2477"/>
      <c r="EJA1680" s="2477"/>
      <c r="EJB1680" s="2477"/>
      <c r="EJC1680" s="2477"/>
      <c r="EJD1680" s="2477"/>
      <c r="EJE1680" s="2477"/>
      <c r="EJF1680" s="2477"/>
      <c r="EJG1680" s="2477"/>
      <c r="EJH1680" s="2477"/>
      <c r="EJI1680" s="2477"/>
      <c r="EJJ1680" s="2477"/>
      <c r="EJK1680" s="2477"/>
      <c r="EJL1680" s="2477"/>
      <c r="EJM1680" s="2477"/>
      <c r="EJN1680" s="2477"/>
      <c r="EJO1680" s="2477"/>
      <c r="EJP1680" s="2477"/>
      <c r="EJQ1680" s="2477"/>
      <c r="EJR1680" s="2477"/>
      <c r="EJS1680" s="2477"/>
      <c r="EJT1680" s="2477"/>
      <c r="EJU1680" s="2477"/>
      <c r="EJV1680" s="2477"/>
      <c r="EJW1680" s="2477"/>
      <c r="EJX1680" s="2477"/>
      <c r="EJY1680" s="2477"/>
      <c r="EJZ1680" s="2477"/>
      <c r="EKA1680" s="2477"/>
      <c r="EKB1680" s="2477"/>
      <c r="EKC1680" s="2477"/>
      <c r="EKD1680" s="2477"/>
      <c r="EKE1680" s="2477"/>
      <c r="EKF1680" s="2477"/>
      <c r="EKG1680" s="2477"/>
      <c r="EKH1680" s="2477"/>
      <c r="EKI1680" s="2477"/>
      <c r="EKJ1680" s="2477"/>
      <c r="EKK1680" s="2477"/>
      <c r="EKL1680" s="2477"/>
      <c r="EKM1680" s="2477"/>
      <c r="EKN1680" s="2477"/>
      <c r="EKO1680" s="2477"/>
      <c r="EKP1680" s="2477"/>
      <c r="EKQ1680" s="2477"/>
      <c r="EKR1680" s="2477"/>
      <c r="EKS1680" s="2477"/>
      <c r="EKT1680" s="2477"/>
      <c r="EKU1680" s="2477"/>
      <c r="EKV1680" s="2477"/>
      <c r="EKW1680" s="2477"/>
      <c r="EKX1680" s="2477"/>
      <c r="EKY1680" s="2477"/>
      <c r="EKZ1680" s="2477"/>
      <c r="ELA1680" s="2477"/>
      <c r="ELB1680" s="2477"/>
      <c r="ELC1680" s="2477"/>
      <c r="ELD1680" s="2477"/>
      <c r="ELE1680" s="2477"/>
      <c r="ELF1680" s="2477"/>
      <c r="ELG1680" s="2477"/>
      <c r="ELH1680" s="2477"/>
      <c r="ELI1680" s="2477"/>
      <c r="ELJ1680" s="2477"/>
      <c r="ELK1680" s="2477"/>
      <c r="ELL1680" s="2477"/>
      <c r="ELM1680" s="2477"/>
      <c r="ELN1680" s="2477"/>
      <c r="ELO1680" s="2477"/>
      <c r="ELP1680" s="2477"/>
      <c r="ELQ1680" s="2477"/>
      <c r="ELR1680" s="2477"/>
      <c r="ELS1680" s="2477"/>
      <c r="ELT1680" s="2477"/>
      <c r="ELU1680" s="2477"/>
      <c r="ELV1680" s="2477"/>
      <c r="ELW1680" s="2477"/>
      <c r="ELX1680" s="2477"/>
      <c r="ELY1680" s="2477"/>
      <c r="ELZ1680" s="2477"/>
      <c r="EMA1680" s="2477"/>
      <c r="EMB1680" s="2477"/>
      <c r="EMC1680" s="2477"/>
      <c r="EMD1680" s="2477"/>
      <c r="EME1680" s="2477"/>
      <c r="EMF1680" s="2477"/>
      <c r="EMG1680" s="2477"/>
      <c r="EMH1680" s="2477"/>
      <c r="EMI1680" s="2477"/>
      <c r="EMJ1680" s="2477"/>
      <c r="EMK1680" s="2477"/>
      <c r="EML1680" s="2477"/>
      <c r="EMM1680" s="2477"/>
      <c r="EMN1680" s="2477"/>
      <c r="EMO1680" s="2477"/>
      <c r="EMP1680" s="2477"/>
      <c r="EMQ1680" s="2477"/>
      <c r="EMR1680" s="2477"/>
      <c r="EMS1680" s="2477"/>
      <c r="EMT1680" s="2477"/>
      <c r="EMU1680" s="2477"/>
      <c r="EMV1680" s="2477"/>
      <c r="EMW1680" s="2477"/>
      <c r="EMX1680" s="2477"/>
      <c r="EMY1680" s="2477"/>
      <c r="EMZ1680" s="2477"/>
      <c r="ENA1680" s="2477"/>
      <c r="ENB1680" s="2477"/>
      <c r="ENC1680" s="2477"/>
      <c r="END1680" s="2477"/>
      <c r="ENE1680" s="2477"/>
      <c r="ENF1680" s="2477"/>
      <c r="ENG1680" s="2477"/>
      <c r="ENH1680" s="2477"/>
      <c r="ENI1680" s="2477"/>
      <c r="ENJ1680" s="2477"/>
      <c r="ENK1680" s="2477"/>
      <c r="ENL1680" s="2477"/>
      <c r="ENM1680" s="2477"/>
      <c r="ENN1680" s="2477"/>
      <c r="ENO1680" s="2477"/>
      <c r="ENP1680" s="2477"/>
      <c r="ENQ1680" s="2477"/>
      <c r="ENR1680" s="2477"/>
      <c r="ENS1680" s="2477"/>
      <c r="ENT1680" s="2477"/>
      <c r="ENU1680" s="2477"/>
      <c r="ENV1680" s="2477"/>
      <c r="ENW1680" s="2477"/>
      <c r="ENX1680" s="2477"/>
      <c r="ENY1680" s="2477"/>
      <c r="ENZ1680" s="2477"/>
      <c r="EOA1680" s="2477"/>
      <c r="EOB1680" s="2477"/>
      <c r="EOC1680" s="2477"/>
      <c r="EOD1680" s="2477"/>
      <c r="EOE1680" s="2477"/>
      <c r="EOF1680" s="2477"/>
      <c r="EOG1680" s="2477"/>
      <c r="EOH1680" s="2477"/>
      <c r="EOI1680" s="2477"/>
      <c r="EOJ1680" s="2477"/>
      <c r="EOK1680" s="2477"/>
      <c r="EOL1680" s="2477"/>
      <c r="EOM1680" s="2477"/>
      <c r="EON1680" s="2477"/>
      <c r="EOO1680" s="2477"/>
      <c r="EOP1680" s="2477"/>
      <c r="EOQ1680" s="2477"/>
      <c r="EOR1680" s="2477"/>
      <c r="EOS1680" s="2477"/>
      <c r="EOT1680" s="2477"/>
      <c r="EOU1680" s="2477"/>
      <c r="EOV1680" s="2477"/>
      <c r="EOW1680" s="2477"/>
      <c r="EOX1680" s="2477"/>
      <c r="EOY1680" s="2477"/>
      <c r="EOZ1680" s="2477"/>
      <c r="EPA1680" s="2477"/>
      <c r="EPB1680" s="2477"/>
      <c r="EPC1680" s="2477"/>
      <c r="EPD1680" s="2477"/>
      <c r="EPE1680" s="2477"/>
      <c r="EPF1680" s="2477"/>
      <c r="EPG1680" s="2477"/>
      <c r="EPH1680" s="2477"/>
      <c r="EPI1680" s="2477"/>
      <c r="EPJ1680" s="2477"/>
      <c r="EPK1680" s="2477"/>
      <c r="EPL1680" s="2477"/>
      <c r="EPM1680" s="2477"/>
      <c r="EPN1680" s="2477"/>
      <c r="EPO1680" s="2477"/>
      <c r="EPP1680" s="2477"/>
      <c r="EPQ1680" s="2477"/>
      <c r="EPR1680" s="2477"/>
      <c r="EPS1680" s="2477"/>
      <c r="EPT1680" s="2477"/>
      <c r="EPU1680" s="2477"/>
      <c r="EPV1680" s="2477"/>
      <c r="EPW1680" s="2477"/>
      <c r="EPX1680" s="2477"/>
      <c r="EPY1680" s="2477"/>
      <c r="EPZ1680" s="2477"/>
      <c r="EQA1680" s="2477"/>
      <c r="EQB1680" s="2477"/>
      <c r="EQC1680" s="2477"/>
      <c r="EQD1680" s="2477"/>
      <c r="EQE1680" s="2477"/>
      <c r="EQF1680" s="2477"/>
      <c r="EQG1680" s="2477"/>
      <c r="EQH1680" s="2477"/>
      <c r="EQI1680" s="2477"/>
      <c r="EQJ1680" s="2477"/>
      <c r="EQK1680" s="2477"/>
      <c r="EQL1680" s="2477"/>
      <c r="EQM1680" s="2477"/>
      <c r="EQN1680" s="2477"/>
      <c r="EQO1680" s="2477"/>
      <c r="EQP1680" s="2477"/>
      <c r="EQQ1680" s="2477"/>
      <c r="EQR1680" s="2477"/>
      <c r="EQS1680" s="2477"/>
      <c r="EQT1680" s="2477"/>
      <c r="EQU1680" s="2477"/>
      <c r="EQV1680" s="2477"/>
      <c r="EQW1680" s="2477"/>
      <c r="EQX1680" s="2477"/>
      <c r="EQY1680" s="2477"/>
      <c r="EQZ1680" s="2477"/>
      <c r="ERA1680" s="2477"/>
      <c r="ERB1680" s="2477"/>
      <c r="ERC1680" s="2477"/>
      <c r="ERD1680" s="2477"/>
      <c r="ERE1680" s="2477"/>
      <c r="ERF1680" s="2477"/>
      <c r="ERG1680" s="2477"/>
      <c r="ERH1680" s="2477"/>
      <c r="ERI1680" s="2477"/>
      <c r="ERJ1680" s="2477"/>
      <c r="ERK1680" s="2477"/>
      <c r="ERL1680" s="2477"/>
      <c r="ERM1680" s="2477"/>
      <c r="ERN1680" s="2477"/>
      <c r="ERO1680" s="2477"/>
      <c r="ERP1680" s="2477"/>
      <c r="ERQ1680" s="2477"/>
      <c r="ERR1680" s="2477"/>
      <c r="ERS1680" s="2477"/>
      <c r="ERT1680" s="2477"/>
      <c r="ERU1680" s="2477"/>
      <c r="ERV1680" s="2477"/>
      <c r="ERW1680" s="2477"/>
      <c r="ERX1680" s="2477"/>
      <c r="ERY1680" s="2477"/>
      <c r="ERZ1680" s="2477"/>
      <c r="ESA1680" s="2477"/>
      <c r="ESB1680" s="2477"/>
      <c r="ESC1680" s="2477"/>
      <c r="ESD1680" s="2477"/>
      <c r="ESE1680" s="2477"/>
      <c r="ESF1680" s="2477"/>
      <c r="ESG1680" s="2477"/>
      <c r="ESH1680" s="2477"/>
      <c r="ESI1680" s="2477"/>
      <c r="ESJ1680" s="2477"/>
      <c r="ESK1680" s="2477"/>
      <c r="ESL1680" s="2477"/>
      <c r="ESM1680" s="2477"/>
      <c r="ESN1680" s="2477"/>
      <c r="ESO1680" s="2477"/>
      <c r="ESP1680" s="2477"/>
      <c r="ESQ1680" s="2477"/>
      <c r="ESR1680" s="2477"/>
      <c r="ESS1680" s="2477"/>
      <c r="EST1680" s="2477"/>
      <c r="ESU1680" s="2477"/>
      <c r="ESV1680" s="2477"/>
      <c r="ESW1680" s="2477"/>
      <c r="ESX1680" s="2477"/>
      <c r="ESY1680" s="2477"/>
      <c r="ESZ1680" s="2477"/>
      <c r="ETA1680" s="2477"/>
      <c r="ETB1680" s="2477"/>
      <c r="ETC1680" s="2477"/>
      <c r="ETD1680" s="2477"/>
      <c r="ETE1680" s="2477"/>
      <c r="ETF1680" s="2477"/>
      <c r="ETG1680" s="2477"/>
      <c r="ETH1680" s="2477"/>
      <c r="ETI1680" s="2477"/>
      <c r="ETJ1680" s="2477"/>
      <c r="ETK1680" s="2477"/>
      <c r="ETL1680" s="2477"/>
      <c r="ETM1680" s="2477"/>
      <c r="ETN1680" s="2477"/>
      <c r="ETO1680" s="2477"/>
      <c r="ETP1680" s="2477"/>
      <c r="ETQ1680" s="2477"/>
      <c r="ETR1680" s="2477"/>
      <c r="ETS1680" s="2477"/>
      <c r="ETT1680" s="2477"/>
      <c r="ETU1680" s="2477"/>
      <c r="ETV1680" s="2477"/>
      <c r="ETW1680" s="2477"/>
      <c r="ETX1680" s="2477"/>
      <c r="ETY1680" s="2477"/>
      <c r="ETZ1680" s="2477"/>
      <c r="EUA1680" s="2477"/>
      <c r="EUB1680" s="2477"/>
      <c r="EUC1680" s="2477"/>
      <c r="EUD1680" s="2477"/>
      <c r="EUE1680" s="2477"/>
      <c r="EUF1680" s="2477"/>
      <c r="EUG1680" s="2477"/>
      <c r="EUH1680" s="2477"/>
      <c r="EUI1680" s="2477"/>
      <c r="EUJ1680" s="2477"/>
      <c r="EUK1680" s="2477"/>
      <c r="EUL1680" s="2477"/>
      <c r="EUM1680" s="2477"/>
      <c r="EUN1680" s="2477"/>
      <c r="EUO1680" s="2477"/>
      <c r="EUP1680" s="2477"/>
      <c r="EUQ1680" s="2477"/>
      <c r="EUR1680" s="2477"/>
      <c r="EUS1680" s="2477"/>
      <c r="EUT1680" s="2477"/>
      <c r="EUU1680" s="2477"/>
      <c r="EUV1680" s="2477"/>
      <c r="EUW1680" s="2477"/>
      <c r="EUX1680" s="2477"/>
      <c r="EUY1680" s="2477"/>
      <c r="EUZ1680" s="2477"/>
      <c r="EVA1680" s="2477"/>
      <c r="EVB1680" s="2477"/>
      <c r="EVC1680" s="2477"/>
      <c r="EVD1680" s="2477"/>
      <c r="EVE1680" s="2477"/>
      <c r="EVF1680" s="2477"/>
      <c r="EVG1680" s="2477"/>
      <c r="EVH1680" s="2477"/>
      <c r="EVI1680" s="2477"/>
      <c r="EVJ1680" s="2477"/>
      <c r="EVK1680" s="2477"/>
      <c r="EVL1680" s="2477"/>
      <c r="EVM1680" s="2477"/>
      <c r="EVN1680" s="2477"/>
      <c r="EVO1680" s="2477"/>
      <c r="EVP1680" s="2477"/>
      <c r="EVQ1680" s="2477"/>
      <c r="EVR1680" s="2477"/>
      <c r="EVS1680" s="2477"/>
      <c r="EVT1680" s="2477"/>
      <c r="EVU1680" s="2477"/>
      <c r="EVV1680" s="2477"/>
      <c r="EVW1680" s="2477"/>
      <c r="EVX1680" s="2477"/>
      <c r="EVY1680" s="2477"/>
      <c r="EVZ1680" s="2477"/>
      <c r="EWA1680" s="2477"/>
      <c r="EWB1680" s="2477"/>
      <c r="EWC1680" s="2477"/>
      <c r="EWD1680" s="2477"/>
      <c r="EWE1680" s="2477"/>
      <c r="EWF1680" s="2477"/>
      <c r="EWG1680" s="2477"/>
      <c r="EWH1680" s="2477"/>
      <c r="EWI1680" s="2477"/>
      <c r="EWJ1680" s="2477"/>
      <c r="EWK1680" s="2477"/>
      <c r="EWL1680" s="2477"/>
      <c r="EWM1680" s="2477"/>
      <c r="EWN1680" s="2477"/>
      <c r="EWO1680" s="2477"/>
      <c r="EWP1680" s="2477"/>
      <c r="EWQ1680" s="2477"/>
      <c r="EWR1680" s="2477"/>
      <c r="EWS1680" s="2477"/>
      <c r="EWT1680" s="2477"/>
      <c r="EWU1680" s="2477"/>
      <c r="EWV1680" s="2477"/>
      <c r="EWW1680" s="2477"/>
      <c r="EWX1680" s="2477"/>
      <c r="EWY1680" s="2477"/>
      <c r="EWZ1680" s="2477"/>
      <c r="EXA1680" s="2477"/>
      <c r="EXB1680" s="2477"/>
      <c r="EXC1680" s="2477"/>
      <c r="EXD1680" s="2477"/>
      <c r="EXE1680" s="2477"/>
      <c r="EXF1680" s="2477"/>
      <c r="EXG1680" s="2477"/>
      <c r="EXH1680" s="2477"/>
      <c r="EXI1680" s="2477"/>
      <c r="EXJ1680" s="2477"/>
      <c r="EXK1680" s="2477"/>
      <c r="EXL1680" s="2477"/>
      <c r="EXM1680" s="2477"/>
      <c r="EXN1680" s="2477"/>
      <c r="EXO1680" s="2477"/>
      <c r="EXP1680" s="2477"/>
      <c r="EXQ1680" s="2477"/>
      <c r="EXR1680" s="2477"/>
      <c r="EXS1680" s="2477"/>
      <c r="EXT1680" s="2477"/>
      <c r="EXU1680" s="2477"/>
      <c r="EXV1680" s="2477"/>
      <c r="EXW1680" s="2477"/>
      <c r="EXX1680" s="2477"/>
      <c r="EXY1680" s="2477"/>
      <c r="EXZ1680" s="2477"/>
      <c r="EYA1680" s="2477"/>
      <c r="EYB1680" s="2477"/>
      <c r="EYC1680" s="2477"/>
      <c r="EYD1680" s="2477"/>
      <c r="EYE1680" s="2477"/>
      <c r="EYF1680" s="2477"/>
      <c r="EYG1680" s="2477"/>
      <c r="EYH1680" s="2477"/>
      <c r="EYI1680" s="2477"/>
      <c r="EYJ1680" s="2477"/>
      <c r="EYK1680" s="2477"/>
      <c r="EYL1680" s="2477"/>
      <c r="EYM1680" s="2477"/>
      <c r="EYN1680" s="2477"/>
      <c r="EYO1680" s="2477"/>
      <c r="EYP1680" s="2477"/>
      <c r="EYQ1680" s="2477"/>
      <c r="EYR1680" s="2477"/>
      <c r="EYS1680" s="2477"/>
      <c r="EYT1680" s="2477"/>
      <c r="EYU1680" s="2477"/>
      <c r="EYV1680" s="2477"/>
      <c r="EYW1680" s="2477"/>
      <c r="EYX1680" s="2477"/>
      <c r="EYY1680" s="2477"/>
      <c r="EYZ1680" s="2477"/>
      <c r="EZA1680" s="2477"/>
      <c r="EZB1680" s="2477"/>
      <c r="EZC1680" s="2477"/>
      <c r="EZD1680" s="2477"/>
      <c r="EZE1680" s="2477"/>
      <c r="EZF1680" s="2477"/>
      <c r="EZG1680" s="2477"/>
      <c r="EZH1680" s="2477"/>
      <c r="EZI1680" s="2477"/>
      <c r="EZJ1680" s="2477"/>
      <c r="EZK1680" s="2477"/>
      <c r="EZL1680" s="2477"/>
      <c r="EZM1680" s="2477"/>
      <c r="EZN1680" s="2477"/>
      <c r="EZO1680" s="2477"/>
      <c r="EZP1680" s="2477"/>
      <c r="EZQ1680" s="2477"/>
      <c r="EZR1680" s="2477"/>
      <c r="EZS1680" s="2477"/>
      <c r="EZT1680" s="2477"/>
      <c r="EZU1680" s="2477"/>
      <c r="EZV1680" s="2477"/>
      <c r="EZW1680" s="2477"/>
      <c r="EZX1680" s="2477"/>
      <c r="EZY1680" s="2477"/>
      <c r="EZZ1680" s="2477"/>
      <c r="FAA1680" s="2477"/>
      <c r="FAB1680" s="2477"/>
      <c r="FAC1680" s="2477"/>
      <c r="FAD1680" s="2477"/>
      <c r="FAE1680" s="2477"/>
      <c r="FAF1680" s="2477"/>
      <c r="FAG1680" s="2477"/>
      <c r="FAH1680" s="2477"/>
      <c r="FAI1680" s="2477"/>
      <c r="FAJ1680" s="2477"/>
      <c r="FAK1680" s="2477"/>
      <c r="FAL1680" s="2477"/>
      <c r="FAM1680" s="2477"/>
      <c r="FAN1680" s="2477"/>
      <c r="FAO1680" s="2477"/>
      <c r="FAP1680" s="2477"/>
      <c r="FAQ1680" s="2477"/>
      <c r="FAR1680" s="2477"/>
      <c r="FAS1680" s="2477"/>
      <c r="FAT1680" s="2477"/>
      <c r="FAU1680" s="2477"/>
      <c r="FAV1680" s="2477"/>
      <c r="FAW1680" s="2477"/>
      <c r="FAX1680" s="2477"/>
      <c r="FAY1680" s="2477"/>
      <c r="FAZ1680" s="2477"/>
      <c r="FBA1680" s="2477"/>
      <c r="FBB1680" s="2477"/>
      <c r="FBC1680" s="2477"/>
      <c r="FBD1680" s="2477"/>
      <c r="FBE1680" s="2477"/>
      <c r="FBF1680" s="2477"/>
      <c r="FBG1680" s="2477"/>
      <c r="FBH1680" s="2477"/>
      <c r="FBI1680" s="2477"/>
      <c r="FBJ1680" s="2477"/>
      <c r="FBK1680" s="2477"/>
      <c r="FBL1680" s="2477"/>
      <c r="FBM1680" s="2477"/>
      <c r="FBN1680" s="2477"/>
      <c r="FBO1680" s="2477"/>
      <c r="FBP1680" s="2477"/>
      <c r="FBQ1680" s="2477"/>
      <c r="FBR1680" s="2477"/>
      <c r="FBS1680" s="2477"/>
      <c r="FBT1680" s="2477"/>
      <c r="FBU1680" s="2477"/>
      <c r="FBV1680" s="2477"/>
      <c r="FBW1680" s="2477"/>
      <c r="FBX1680" s="2477"/>
      <c r="FBY1680" s="2477"/>
      <c r="FBZ1680" s="2477"/>
      <c r="FCA1680" s="2477"/>
      <c r="FCB1680" s="2477"/>
      <c r="FCC1680" s="2477"/>
      <c r="FCD1680" s="2477"/>
      <c r="FCE1680" s="2477"/>
      <c r="FCF1680" s="2477"/>
      <c r="FCG1680" s="2477"/>
      <c r="FCH1680" s="2477"/>
      <c r="FCI1680" s="2477"/>
      <c r="FCJ1680" s="2477"/>
      <c r="FCK1680" s="2477"/>
      <c r="FCL1680" s="2477"/>
      <c r="FCM1680" s="2477"/>
      <c r="FCN1680" s="2477"/>
      <c r="FCO1680" s="2477"/>
      <c r="FCP1680" s="2477"/>
      <c r="FCQ1680" s="2477"/>
      <c r="FCR1680" s="2477"/>
      <c r="FCS1680" s="2477"/>
      <c r="FCT1680" s="2477"/>
      <c r="FCU1680" s="2477"/>
      <c r="FCV1680" s="2477"/>
      <c r="FCW1680" s="2477"/>
      <c r="FCX1680" s="2477"/>
      <c r="FCY1680" s="2477"/>
      <c r="FCZ1680" s="2477"/>
      <c r="FDA1680" s="2477"/>
      <c r="FDB1680" s="2477"/>
      <c r="FDC1680" s="2477"/>
      <c r="FDD1680" s="2477"/>
      <c r="FDE1680" s="2477"/>
      <c r="FDF1680" s="2477"/>
      <c r="FDG1680" s="2477"/>
      <c r="FDH1680" s="2477"/>
      <c r="FDI1680" s="2477"/>
      <c r="FDJ1680" s="2477"/>
      <c r="FDK1680" s="2477"/>
      <c r="FDL1680" s="2477"/>
      <c r="FDM1680" s="2477"/>
      <c r="FDN1680" s="2477"/>
      <c r="FDO1680" s="2477"/>
      <c r="FDP1680" s="2477"/>
      <c r="FDQ1680" s="2477"/>
      <c r="FDR1680" s="2477"/>
      <c r="FDS1680" s="2477"/>
      <c r="FDT1680" s="2477"/>
      <c r="FDU1680" s="2477"/>
      <c r="FDV1680" s="2477"/>
      <c r="FDW1680" s="2477"/>
      <c r="FDX1680" s="2477"/>
      <c r="FDY1680" s="2477"/>
      <c r="FDZ1680" s="2477"/>
      <c r="FEA1680" s="2477"/>
      <c r="FEB1680" s="2477"/>
      <c r="FEC1680" s="2477"/>
      <c r="FED1680" s="2477"/>
      <c r="FEE1680" s="2477"/>
      <c r="FEF1680" s="2477"/>
      <c r="FEG1680" s="2477"/>
      <c r="FEH1680" s="2477"/>
      <c r="FEI1680" s="2477"/>
      <c r="FEJ1680" s="2477"/>
      <c r="FEK1680" s="2477"/>
      <c r="FEL1680" s="2477"/>
      <c r="FEM1680" s="2477"/>
      <c r="FEN1680" s="2477"/>
      <c r="FEO1680" s="2477"/>
      <c r="FEP1680" s="2477"/>
      <c r="FEQ1680" s="2477"/>
      <c r="FER1680" s="2477"/>
      <c r="FES1680" s="2477"/>
      <c r="FET1680" s="2477"/>
      <c r="FEU1680" s="2477"/>
      <c r="FEV1680" s="2477"/>
      <c r="FEW1680" s="2477"/>
      <c r="FEX1680" s="2477"/>
      <c r="FEY1680" s="2477"/>
      <c r="FEZ1680" s="2477"/>
      <c r="FFA1680" s="2477"/>
      <c r="FFB1680" s="2477"/>
      <c r="FFC1680" s="2477"/>
      <c r="FFD1680" s="2477"/>
      <c r="FFE1680" s="2477"/>
      <c r="FFF1680" s="2477"/>
      <c r="FFG1680" s="2477"/>
      <c r="FFH1680" s="2477"/>
      <c r="FFI1680" s="2477"/>
      <c r="FFJ1680" s="2477"/>
      <c r="FFK1680" s="2477"/>
      <c r="FFL1680" s="2477"/>
      <c r="FFM1680" s="2477"/>
      <c r="FFN1680" s="2477"/>
      <c r="FFO1680" s="2477"/>
      <c r="FFP1680" s="2477"/>
      <c r="FFQ1680" s="2477"/>
      <c r="FFR1680" s="2477"/>
      <c r="FFS1680" s="2477"/>
      <c r="FFT1680" s="2477"/>
      <c r="FFU1680" s="2477"/>
      <c r="FFV1680" s="2477"/>
      <c r="FFW1680" s="2477"/>
      <c r="FFX1680" s="2477"/>
      <c r="FFY1680" s="2477"/>
      <c r="FFZ1680" s="2477"/>
      <c r="FGA1680" s="2477"/>
      <c r="FGB1680" s="2477"/>
      <c r="FGC1680" s="2477"/>
      <c r="FGD1680" s="2477"/>
      <c r="FGE1680" s="2477"/>
      <c r="FGF1680" s="2477"/>
      <c r="FGG1680" s="2477"/>
      <c r="FGH1680" s="2477"/>
      <c r="FGI1680" s="2477"/>
      <c r="FGJ1680" s="2477"/>
      <c r="FGK1680" s="2477"/>
      <c r="FGL1680" s="2477"/>
      <c r="FGM1680" s="2477"/>
      <c r="FGN1680" s="2477"/>
      <c r="FGO1680" s="2477"/>
      <c r="FGP1680" s="2477"/>
      <c r="FGQ1680" s="2477"/>
      <c r="FGR1680" s="2477"/>
      <c r="FGS1680" s="2477"/>
      <c r="FGT1680" s="2477"/>
      <c r="FGU1680" s="2477"/>
      <c r="FGV1680" s="2477"/>
      <c r="FGW1680" s="2477"/>
      <c r="FGX1680" s="2477"/>
      <c r="FGY1680" s="2477"/>
      <c r="FGZ1680" s="2477"/>
      <c r="FHA1680" s="2477"/>
      <c r="FHB1680" s="2477"/>
      <c r="FHC1680" s="2477"/>
      <c r="FHD1680" s="2477"/>
      <c r="FHE1680" s="2477"/>
      <c r="FHF1680" s="2477"/>
      <c r="FHG1680" s="2477"/>
      <c r="FHH1680" s="2477"/>
      <c r="FHI1680" s="2477"/>
      <c r="FHJ1680" s="2477"/>
      <c r="FHK1680" s="2477"/>
      <c r="FHL1680" s="2477"/>
      <c r="FHM1680" s="2477"/>
      <c r="FHN1680" s="2477"/>
      <c r="FHO1680" s="2477"/>
      <c r="FHP1680" s="2477"/>
      <c r="FHQ1680" s="2477"/>
      <c r="FHR1680" s="2477"/>
      <c r="FHS1680" s="2477"/>
      <c r="FHT1680" s="2477"/>
      <c r="FHU1680" s="2477"/>
      <c r="FHV1680" s="2477"/>
      <c r="FHW1680" s="2477"/>
      <c r="FHX1680" s="2477"/>
      <c r="FHY1680" s="2477"/>
      <c r="FHZ1680" s="2477"/>
      <c r="FIA1680" s="2477"/>
      <c r="FIB1680" s="2477"/>
      <c r="FIC1680" s="2477"/>
      <c r="FID1680" s="2477"/>
      <c r="FIE1680" s="2477"/>
      <c r="FIF1680" s="2477"/>
      <c r="FIG1680" s="2477"/>
      <c r="FIH1680" s="2477"/>
      <c r="FII1680" s="2477"/>
      <c r="FIJ1680" s="2477"/>
      <c r="FIK1680" s="2477"/>
      <c r="FIL1680" s="2477"/>
      <c r="FIM1680" s="2477"/>
      <c r="FIN1680" s="2477"/>
      <c r="FIO1680" s="2477"/>
      <c r="FIP1680" s="2477"/>
      <c r="FIQ1680" s="2477"/>
      <c r="FIR1680" s="2477"/>
      <c r="FIS1680" s="2477"/>
      <c r="FIT1680" s="2477"/>
      <c r="FIU1680" s="2477"/>
      <c r="FIV1680" s="2477"/>
      <c r="FIW1680" s="2477"/>
      <c r="FIX1680" s="2477"/>
      <c r="FIY1680" s="2477"/>
      <c r="FIZ1680" s="2477"/>
      <c r="FJA1680" s="2477"/>
      <c r="FJB1680" s="2477"/>
      <c r="FJC1680" s="2477"/>
      <c r="FJD1680" s="2477"/>
      <c r="FJE1680" s="2477"/>
      <c r="FJF1680" s="2477"/>
      <c r="FJG1680" s="2477"/>
      <c r="FJH1680" s="2477"/>
      <c r="FJI1680" s="2477"/>
      <c r="FJJ1680" s="2477"/>
      <c r="FJK1680" s="2477"/>
      <c r="FJL1680" s="2477"/>
      <c r="FJM1680" s="2477"/>
      <c r="FJN1680" s="2477"/>
      <c r="FJO1680" s="2477"/>
      <c r="FJP1680" s="2477"/>
      <c r="FJQ1680" s="2477"/>
      <c r="FJR1680" s="2477"/>
      <c r="FJS1680" s="2477"/>
      <c r="FJT1680" s="2477"/>
      <c r="FJU1680" s="2477"/>
      <c r="FJV1680" s="2477"/>
      <c r="FJW1680" s="2477"/>
      <c r="FJX1680" s="2477"/>
      <c r="FJY1680" s="2477"/>
      <c r="FJZ1680" s="2477"/>
      <c r="FKA1680" s="2477"/>
      <c r="FKB1680" s="2477"/>
      <c r="FKC1680" s="2477"/>
      <c r="FKD1680" s="2477"/>
      <c r="FKE1680" s="2477"/>
      <c r="FKF1680" s="2477"/>
      <c r="FKG1680" s="2477"/>
      <c r="FKH1680" s="2477"/>
      <c r="FKI1680" s="2477"/>
      <c r="FKJ1680" s="2477"/>
      <c r="FKK1680" s="2477"/>
      <c r="FKL1680" s="2477"/>
      <c r="FKM1680" s="2477"/>
      <c r="FKN1680" s="2477"/>
      <c r="FKO1680" s="2477"/>
      <c r="FKP1680" s="2477"/>
      <c r="FKQ1680" s="2477"/>
      <c r="FKR1680" s="2477"/>
      <c r="FKS1680" s="2477"/>
      <c r="FKT1680" s="2477"/>
      <c r="FKU1680" s="2477"/>
      <c r="FKV1680" s="2477"/>
      <c r="FKW1680" s="2477"/>
      <c r="FKX1680" s="2477"/>
      <c r="FKY1680" s="2477"/>
      <c r="FKZ1680" s="2477"/>
      <c r="FLA1680" s="2477"/>
      <c r="FLB1680" s="2477"/>
      <c r="FLC1680" s="2477"/>
      <c r="FLD1680" s="2477"/>
      <c r="FLE1680" s="2477"/>
      <c r="FLF1680" s="2477"/>
      <c r="FLG1680" s="2477"/>
      <c r="FLH1680" s="2477"/>
      <c r="FLI1680" s="2477"/>
      <c r="FLJ1680" s="2477"/>
      <c r="FLK1680" s="2477"/>
      <c r="FLL1680" s="2477"/>
      <c r="FLM1680" s="2477"/>
      <c r="FLN1680" s="2477"/>
      <c r="FLO1680" s="2477"/>
      <c r="FLP1680" s="2477"/>
      <c r="FLQ1680" s="2477"/>
      <c r="FLR1680" s="2477"/>
      <c r="FLS1680" s="2477"/>
      <c r="FLT1680" s="2477"/>
      <c r="FLU1680" s="2477"/>
      <c r="FLV1680" s="2477"/>
      <c r="FLW1680" s="2477"/>
      <c r="FLX1680" s="2477"/>
      <c r="FLY1680" s="2477"/>
      <c r="FLZ1680" s="2477"/>
      <c r="FMA1680" s="2477"/>
      <c r="FMB1680" s="2477"/>
      <c r="FMC1680" s="2477"/>
      <c r="FMD1680" s="2477"/>
      <c r="FME1680" s="2477"/>
      <c r="FMF1680" s="2477"/>
      <c r="FMG1680" s="2477"/>
      <c r="FMH1680" s="2477"/>
      <c r="FMI1680" s="2477"/>
      <c r="FMJ1680" s="2477"/>
      <c r="FMK1680" s="2477"/>
      <c r="FML1680" s="2477"/>
      <c r="FMM1680" s="2477"/>
      <c r="FMN1680" s="2477"/>
      <c r="FMO1680" s="2477"/>
      <c r="FMP1680" s="2477"/>
      <c r="FMQ1680" s="2477"/>
      <c r="FMR1680" s="2477"/>
      <c r="FMS1680" s="2477"/>
      <c r="FMT1680" s="2477"/>
      <c r="FMU1680" s="2477"/>
      <c r="FMV1680" s="2477"/>
      <c r="FMW1680" s="2477"/>
      <c r="FMX1680" s="2477"/>
      <c r="FMY1680" s="2477"/>
      <c r="FMZ1680" s="2477"/>
      <c r="FNA1680" s="2477"/>
      <c r="FNB1680" s="2477"/>
      <c r="FNC1680" s="2477"/>
      <c r="FND1680" s="2477"/>
      <c r="FNE1680" s="2477"/>
      <c r="FNF1680" s="2477"/>
      <c r="FNG1680" s="2477"/>
      <c r="FNH1680" s="2477"/>
      <c r="FNI1680" s="2477"/>
      <c r="FNJ1680" s="2477"/>
      <c r="FNK1680" s="2477"/>
      <c r="FNL1680" s="2477"/>
      <c r="FNM1680" s="2477"/>
      <c r="FNN1680" s="2477"/>
      <c r="FNO1680" s="2477"/>
      <c r="FNP1680" s="2477"/>
      <c r="FNQ1680" s="2477"/>
      <c r="FNR1680" s="2477"/>
      <c r="FNS1680" s="2477"/>
      <c r="FNT1680" s="2477"/>
      <c r="FNU1680" s="2477"/>
      <c r="FNV1680" s="2477"/>
      <c r="FNW1680" s="2477"/>
      <c r="FNX1680" s="2477"/>
      <c r="FNY1680" s="2477"/>
      <c r="FNZ1680" s="2477"/>
      <c r="FOA1680" s="2477"/>
      <c r="FOB1680" s="2477"/>
      <c r="FOC1680" s="2477"/>
      <c r="FOD1680" s="2477"/>
      <c r="FOE1680" s="2477"/>
      <c r="FOF1680" s="2477"/>
      <c r="FOG1680" s="2477"/>
      <c r="FOH1680" s="2477"/>
      <c r="FOI1680" s="2477"/>
      <c r="FOJ1680" s="2477"/>
      <c r="FOK1680" s="2477"/>
      <c r="FOL1680" s="2477"/>
      <c r="FOM1680" s="2477"/>
      <c r="FON1680" s="2477"/>
      <c r="FOO1680" s="2477"/>
      <c r="FOP1680" s="2477"/>
      <c r="FOQ1680" s="2477"/>
      <c r="FOR1680" s="2477"/>
      <c r="FOS1680" s="2477"/>
      <c r="FOT1680" s="2477"/>
      <c r="FOU1680" s="2477"/>
      <c r="FOV1680" s="2477"/>
      <c r="FOW1680" s="2477"/>
      <c r="FOX1680" s="2477"/>
      <c r="FOY1680" s="2477"/>
      <c r="FOZ1680" s="2477"/>
      <c r="FPA1680" s="2477"/>
      <c r="FPB1680" s="2477"/>
      <c r="FPC1680" s="2477"/>
      <c r="FPD1680" s="2477"/>
      <c r="FPE1680" s="2477"/>
      <c r="FPF1680" s="2477"/>
      <c r="FPG1680" s="2477"/>
      <c r="FPH1680" s="2477"/>
      <c r="FPI1680" s="2477"/>
      <c r="FPJ1680" s="2477"/>
      <c r="FPK1680" s="2477"/>
      <c r="FPL1680" s="2477"/>
      <c r="FPM1680" s="2477"/>
      <c r="FPN1680" s="2477"/>
      <c r="FPO1680" s="2477"/>
      <c r="FPP1680" s="2477"/>
      <c r="FPQ1680" s="2477"/>
      <c r="FPR1680" s="2477"/>
      <c r="FPS1680" s="2477"/>
      <c r="FPT1680" s="2477"/>
      <c r="FPU1680" s="2477"/>
      <c r="FPV1680" s="2477"/>
      <c r="FPW1680" s="2477"/>
      <c r="FPX1680" s="2477"/>
      <c r="FPY1680" s="2477"/>
      <c r="FPZ1680" s="2477"/>
      <c r="FQA1680" s="2477"/>
      <c r="FQB1680" s="2477"/>
      <c r="FQC1680" s="2477"/>
      <c r="FQD1680" s="2477"/>
      <c r="FQE1680" s="2477"/>
      <c r="FQF1680" s="2477"/>
      <c r="FQG1680" s="2477"/>
      <c r="FQH1680" s="2477"/>
      <c r="FQI1680" s="2477"/>
      <c r="FQJ1680" s="2477"/>
      <c r="FQK1680" s="2477"/>
      <c r="FQL1680" s="2477"/>
      <c r="FQM1680" s="2477"/>
      <c r="FQN1680" s="2477"/>
      <c r="FQO1680" s="2477"/>
      <c r="FQP1680" s="2477"/>
      <c r="FQQ1680" s="2477"/>
      <c r="FQR1680" s="2477"/>
      <c r="FQS1680" s="2477"/>
      <c r="FQT1680" s="2477"/>
      <c r="FQU1680" s="2477"/>
      <c r="FQV1680" s="2477"/>
      <c r="FQW1680" s="2477"/>
      <c r="FQX1680" s="2477"/>
      <c r="FQY1680" s="2477"/>
      <c r="FQZ1680" s="2477"/>
      <c r="FRA1680" s="2477"/>
      <c r="FRB1680" s="2477"/>
      <c r="FRC1680" s="2477"/>
      <c r="FRD1680" s="2477"/>
      <c r="FRE1680" s="2477"/>
      <c r="FRF1680" s="2477"/>
      <c r="FRG1680" s="2477"/>
      <c r="FRH1680" s="2477"/>
      <c r="FRI1680" s="2477"/>
      <c r="FRJ1680" s="2477"/>
      <c r="FRK1680" s="2477"/>
      <c r="FRL1680" s="2477"/>
      <c r="FRM1680" s="2477"/>
      <c r="FRN1680" s="2477"/>
      <c r="FRO1680" s="2477"/>
      <c r="FRP1680" s="2477"/>
      <c r="FRQ1680" s="2477"/>
      <c r="FRR1680" s="2477"/>
      <c r="FRS1680" s="2477"/>
      <c r="FRT1680" s="2477"/>
      <c r="FRU1680" s="2477"/>
      <c r="FRV1680" s="2477"/>
      <c r="FRW1680" s="2477"/>
      <c r="FRX1680" s="2477"/>
      <c r="FRY1680" s="2477"/>
      <c r="FRZ1680" s="2477"/>
      <c r="FSA1680" s="2477"/>
      <c r="FSB1680" s="2477"/>
      <c r="FSC1680" s="2477"/>
      <c r="FSD1680" s="2477"/>
      <c r="FSE1680" s="2477"/>
      <c r="FSF1680" s="2477"/>
      <c r="FSG1680" s="2477"/>
      <c r="FSH1680" s="2477"/>
      <c r="FSI1680" s="2477"/>
      <c r="FSJ1680" s="2477"/>
      <c r="FSK1680" s="2477"/>
      <c r="FSL1680" s="2477"/>
      <c r="FSM1680" s="2477"/>
      <c r="FSN1680" s="2477"/>
      <c r="FSO1680" s="2477"/>
      <c r="FSP1680" s="2477"/>
      <c r="FSQ1680" s="2477"/>
      <c r="FSR1680" s="2477"/>
      <c r="FSS1680" s="2477"/>
      <c r="FST1680" s="2477"/>
      <c r="FSU1680" s="2477"/>
      <c r="FSV1680" s="2477"/>
      <c r="FSW1680" s="2477"/>
      <c r="FSX1680" s="2477"/>
      <c r="FSY1680" s="2477"/>
      <c r="FSZ1680" s="2477"/>
      <c r="FTA1680" s="2477"/>
      <c r="FTB1680" s="2477"/>
      <c r="FTC1680" s="2477"/>
      <c r="FTD1680" s="2477"/>
      <c r="FTE1680" s="2477"/>
      <c r="FTF1680" s="2477"/>
      <c r="FTG1680" s="2477"/>
      <c r="FTH1680" s="2477"/>
      <c r="FTI1680" s="2477"/>
      <c r="FTJ1680" s="2477"/>
      <c r="FTK1680" s="2477"/>
      <c r="FTL1680" s="2477"/>
      <c r="FTM1680" s="2477"/>
      <c r="FTN1680" s="2477"/>
      <c r="FTO1680" s="2477"/>
      <c r="FTP1680" s="2477"/>
      <c r="FTQ1680" s="2477"/>
      <c r="FTR1680" s="2477"/>
      <c r="FTS1680" s="2477"/>
      <c r="FTT1680" s="2477"/>
      <c r="FTU1680" s="2477"/>
      <c r="FTV1680" s="2477"/>
      <c r="FTW1680" s="2477"/>
      <c r="FTX1680" s="2477"/>
      <c r="FTY1680" s="2477"/>
      <c r="FTZ1680" s="2477"/>
      <c r="FUA1680" s="2477"/>
      <c r="FUB1680" s="2477"/>
      <c r="FUC1680" s="2477"/>
      <c r="FUD1680" s="2477"/>
      <c r="FUE1680" s="2477"/>
      <c r="FUF1680" s="2477"/>
      <c r="FUG1680" s="2477"/>
      <c r="FUH1680" s="2477"/>
      <c r="FUI1680" s="2477"/>
      <c r="FUJ1680" s="2477"/>
      <c r="FUK1680" s="2477"/>
      <c r="FUL1680" s="2477"/>
      <c r="FUM1680" s="2477"/>
      <c r="FUN1680" s="2477"/>
      <c r="FUO1680" s="2477"/>
      <c r="FUP1680" s="2477"/>
      <c r="FUQ1680" s="2477"/>
      <c r="FUR1680" s="2477"/>
      <c r="FUS1680" s="2477"/>
      <c r="FUT1680" s="2477"/>
      <c r="FUU1680" s="2477"/>
      <c r="FUV1680" s="2477"/>
      <c r="FUW1680" s="2477"/>
      <c r="FUX1680" s="2477"/>
      <c r="FUY1680" s="2477"/>
      <c r="FUZ1680" s="2477"/>
      <c r="FVA1680" s="2477"/>
      <c r="FVB1680" s="2477"/>
      <c r="FVC1680" s="2477"/>
      <c r="FVD1680" s="2477"/>
      <c r="FVE1680" s="2477"/>
      <c r="FVF1680" s="2477"/>
      <c r="FVG1680" s="2477"/>
      <c r="FVH1680" s="2477"/>
      <c r="FVI1680" s="2477"/>
      <c r="FVJ1680" s="2477"/>
      <c r="FVK1680" s="2477"/>
      <c r="FVL1680" s="2477"/>
      <c r="FVM1680" s="2477"/>
      <c r="FVN1680" s="2477"/>
      <c r="FVO1680" s="2477"/>
      <c r="FVP1680" s="2477"/>
      <c r="FVQ1680" s="2477"/>
      <c r="FVR1680" s="2477"/>
      <c r="FVS1680" s="2477"/>
      <c r="FVT1680" s="2477"/>
      <c r="FVU1680" s="2477"/>
      <c r="FVV1680" s="2477"/>
      <c r="FVW1680" s="2477"/>
      <c r="FVX1680" s="2477"/>
      <c r="FVY1680" s="2477"/>
      <c r="FVZ1680" s="2477"/>
      <c r="FWA1680" s="2477"/>
      <c r="FWB1680" s="2477"/>
      <c r="FWC1680" s="2477"/>
      <c r="FWD1680" s="2477"/>
      <c r="FWE1680" s="2477"/>
      <c r="FWF1680" s="2477"/>
      <c r="FWG1680" s="2477"/>
      <c r="FWH1680" s="2477"/>
      <c r="FWI1680" s="2477"/>
      <c r="FWJ1680" s="2477"/>
      <c r="FWK1680" s="2477"/>
      <c r="FWL1680" s="2477"/>
      <c r="FWM1680" s="2477"/>
      <c r="FWN1680" s="2477"/>
      <c r="FWO1680" s="2477"/>
      <c r="FWP1680" s="2477"/>
      <c r="FWQ1680" s="2477"/>
      <c r="FWR1680" s="2477"/>
      <c r="FWS1680" s="2477"/>
      <c r="FWT1680" s="2477"/>
      <c r="FWU1680" s="2477"/>
      <c r="FWV1680" s="2477"/>
      <c r="FWW1680" s="2477"/>
      <c r="FWX1680" s="2477"/>
      <c r="FWY1680" s="2477"/>
      <c r="FWZ1680" s="2477"/>
      <c r="FXA1680" s="2477"/>
      <c r="FXB1680" s="2477"/>
      <c r="FXC1680" s="2477"/>
      <c r="FXD1680" s="2477"/>
      <c r="FXE1680" s="2477"/>
      <c r="FXF1680" s="2477"/>
      <c r="FXG1680" s="2477"/>
      <c r="FXH1680" s="2477"/>
      <c r="FXI1680" s="2477"/>
      <c r="FXJ1680" s="2477"/>
      <c r="FXK1680" s="2477"/>
      <c r="FXL1680" s="2477"/>
      <c r="FXM1680" s="2477"/>
      <c r="FXN1680" s="2477"/>
      <c r="FXO1680" s="2477"/>
      <c r="FXP1680" s="2477"/>
      <c r="FXQ1680" s="2477"/>
      <c r="FXR1680" s="2477"/>
      <c r="FXS1680" s="2477"/>
      <c r="FXT1680" s="2477"/>
      <c r="FXU1680" s="2477"/>
      <c r="FXV1680" s="2477"/>
      <c r="FXW1680" s="2477"/>
      <c r="FXX1680" s="2477"/>
      <c r="FXY1680" s="2477"/>
      <c r="FXZ1680" s="2477"/>
      <c r="FYA1680" s="2477"/>
      <c r="FYB1680" s="2477"/>
      <c r="FYC1680" s="2477"/>
      <c r="FYD1680" s="2477"/>
      <c r="FYE1680" s="2477"/>
      <c r="FYF1680" s="2477"/>
      <c r="FYG1680" s="2477"/>
      <c r="FYH1680" s="2477"/>
      <c r="FYI1680" s="2477"/>
      <c r="FYJ1680" s="2477"/>
      <c r="FYK1680" s="2477"/>
      <c r="FYL1680" s="2477"/>
      <c r="FYM1680" s="2477"/>
      <c r="FYN1680" s="2477"/>
      <c r="FYO1680" s="2477"/>
      <c r="FYP1680" s="2477"/>
      <c r="FYQ1680" s="2477"/>
      <c r="FYR1680" s="2477"/>
      <c r="FYS1680" s="2477"/>
      <c r="FYT1680" s="2477"/>
      <c r="FYU1680" s="2477"/>
      <c r="FYV1680" s="2477"/>
      <c r="FYW1680" s="2477"/>
      <c r="FYX1680" s="2477"/>
      <c r="FYY1680" s="2477"/>
      <c r="FYZ1680" s="2477"/>
      <c r="FZA1680" s="2477"/>
      <c r="FZB1680" s="2477"/>
      <c r="FZC1680" s="2477"/>
      <c r="FZD1680" s="2477"/>
      <c r="FZE1680" s="2477"/>
      <c r="FZF1680" s="2477"/>
      <c r="FZG1680" s="2477"/>
      <c r="FZH1680" s="2477"/>
      <c r="FZI1680" s="2477"/>
      <c r="FZJ1680" s="2477"/>
      <c r="FZK1680" s="2477"/>
      <c r="FZL1680" s="2477"/>
      <c r="FZM1680" s="2477"/>
      <c r="FZN1680" s="2477"/>
      <c r="FZO1680" s="2477"/>
      <c r="FZP1680" s="2477"/>
      <c r="FZQ1680" s="2477"/>
      <c r="FZR1680" s="2477"/>
      <c r="FZS1680" s="2477"/>
      <c r="FZT1680" s="2477"/>
      <c r="FZU1680" s="2477"/>
      <c r="FZV1680" s="2477"/>
      <c r="FZW1680" s="2477"/>
      <c r="FZX1680" s="2477"/>
      <c r="FZY1680" s="2477"/>
      <c r="FZZ1680" s="2477"/>
      <c r="GAA1680" s="2477"/>
      <c r="GAB1680" s="2477"/>
      <c r="GAC1680" s="2477"/>
      <c r="GAD1680" s="2477"/>
      <c r="GAE1680" s="2477"/>
      <c r="GAF1680" s="2477"/>
      <c r="GAG1680" s="2477"/>
      <c r="GAH1680" s="2477"/>
      <c r="GAI1680" s="2477"/>
      <c r="GAJ1680" s="2477"/>
      <c r="GAK1680" s="2477"/>
      <c r="GAL1680" s="2477"/>
      <c r="GAM1680" s="2477"/>
      <c r="GAN1680" s="2477"/>
      <c r="GAO1680" s="2477"/>
      <c r="GAP1680" s="2477"/>
      <c r="GAQ1680" s="2477"/>
      <c r="GAR1680" s="2477"/>
      <c r="GAS1680" s="2477"/>
      <c r="GAT1680" s="2477"/>
      <c r="GAU1680" s="2477"/>
      <c r="GAV1680" s="2477"/>
      <c r="GAW1680" s="2477"/>
      <c r="GAX1680" s="2477"/>
      <c r="GAY1680" s="2477"/>
      <c r="GAZ1680" s="2477"/>
      <c r="GBA1680" s="2477"/>
      <c r="GBB1680" s="2477"/>
      <c r="GBC1680" s="2477"/>
      <c r="GBD1680" s="2477"/>
      <c r="GBE1680" s="2477"/>
      <c r="GBF1680" s="2477"/>
      <c r="GBG1680" s="2477"/>
      <c r="GBH1680" s="2477"/>
      <c r="GBI1680" s="2477"/>
      <c r="GBJ1680" s="2477"/>
      <c r="GBK1680" s="2477"/>
      <c r="GBL1680" s="2477"/>
      <c r="GBM1680" s="2477"/>
      <c r="GBN1680" s="2477"/>
      <c r="GBO1680" s="2477"/>
      <c r="GBP1680" s="2477"/>
      <c r="GBQ1680" s="2477"/>
      <c r="GBR1680" s="2477"/>
      <c r="GBS1680" s="2477"/>
      <c r="GBT1680" s="2477"/>
      <c r="GBU1680" s="2477"/>
      <c r="GBV1680" s="2477"/>
      <c r="GBW1680" s="2477"/>
      <c r="GBX1680" s="2477"/>
      <c r="GBY1680" s="2477"/>
      <c r="GBZ1680" s="2477"/>
      <c r="GCA1680" s="2477"/>
      <c r="GCB1680" s="2477"/>
      <c r="GCC1680" s="2477"/>
      <c r="GCD1680" s="2477"/>
      <c r="GCE1680" s="2477"/>
      <c r="GCF1680" s="2477"/>
      <c r="GCG1680" s="2477"/>
      <c r="GCH1680" s="2477"/>
      <c r="GCI1680" s="2477"/>
      <c r="GCJ1680" s="2477"/>
      <c r="GCK1680" s="2477"/>
      <c r="GCL1680" s="2477"/>
      <c r="GCM1680" s="2477"/>
      <c r="GCN1680" s="2477"/>
      <c r="GCO1680" s="2477"/>
      <c r="GCP1680" s="2477"/>
      <c r="GCQ1680" s="2477"/>
      <c r="GCR1680" s="2477"/>
      <c r="GCS1680" s="2477"/>
      <c r="GCT1680" s="2477"/>
      <c r="GCU1680" s="2477"/>
      <c r="GCV1680" s="2477"/>
      <c r="GCW1680" s="2477"/>
      <c r="GCX1680" s="2477"/>
      <c r="GCY1680" s="2477"/>
      <c r="GCZ1680" s="2477"/>
      <c r="GDA1680" s="2477"/>
      <c r="GDB1680" s="2477"/>
      <c r="GDC1680" s="2477"/>
      <c r="GDD1680" s="2477"/>
      <c r="GDE1680" s="2477"/>
      <c r="GDF1680" s="2477"/>
      <c r="GDG1680" s="2477"/>
      <c r="GDH1680" s="2477"/>
      <c r="GDI1680" s="2477"/>
      <c r="GDJ1680" s="2477"/>
      <c r="GDK1680" s="2477"/>
      <c r="GDL1680" s="2477"/>
      <c r="GDM1680" s="2477"/>
      <c r="GDN1680" s="2477"/>
      <c r="GDO1680" s="2477"/>
      <c r="GDP1680" s="2477"/>
      <c r="GDQ1680" s="2477"/>
      <c r="GDR1680" s="2477"/>
      <c r="GDS1680" s="2477"/>
      <c r="GDT1680" s="2477"/>
      <c r="GDU1680" s="2477"/>
      <c r="GDV1680" s="2477"/>
      <c r="GDW1680" s="2477"/>
      <c r="GDX1680" s="2477"/>
      <c r="GDY1680" s="2477"/>
      <c r="GDZ1680" s="2477"/>
      <c r="GEA1680" s="2477"/>
      <c r="GEB1680" s="2477"/>
      <c r="GEC1680" s="2477"/>
      <c r="GED1680" s="2477"/>
      <c r="GEE1680" s="2477"/>
      <c r="GEF1680" s="2477"/>
      <c r="GEG1680" s="2477"/>
      <c r="GEH1680" s="2477"/>
      <c r="GEI1680" s="2477"/>
      <c r="GEJ1680" s="2477"/>
      <c r="GEK1680" s="2477"/>
      <c r="GEL1680" s="2477"/>
      <c r="GEM1680" s="2477"/>
      <c r="GEN1680" s="2477"/>
      <c r="GEO1680" s="2477"/>
      <c r="GEP1680" s="2477"/>
      <c r="GEQ1680" s="2477"/>
      <c r="GER1680" s="2477"/>
      <c r="GES1680" s="2477"/>
      <c r="GET1680" s="2477"/>
      <c r="GEU1680" s="2477"/>
      <c r="GEV1680" s="2477"/>
      <c r="GEW1680" s="2477"/>
      <c r="GEX1680" s="2477"/>
      <c r="GEY1680" s="2477"/>
      <c r="GEZ1680" s="2477"/>
      <c r="GFA1680" s="2477"/>
      <c r="GFB1680" s="2477"/>
      <c r="GFC1680" s="2477"/>
      <c r="GFD1680" s="2477"/>
      <c r="GFE1680" s="2477"/>
      <c r="GFF1680" s="2477"/>
      <c r="GFG1680" s="2477"/>
      <c r="GFH1680" s="2477"/>
      <c r="GFI1680" s="2477"/>
      <c r="GFJ1680" s="2477"/>
      <c r="GFK1680" s="2477"/>
      <c r="GFL1680" s="2477"/>
      <c r="GFM1680" s="2477"/>
      <c r="GFN1680" s="2477"/>
      <c r="GFO1680" s="2477"/>
      <c r="GFP1680" s="2477"/>
      <c r="GFQ1680" s="2477"/>
      <c r="GFR1680" s="2477"/>
      <c r="GFS1680" s="2477"/>
      <c r="GFT1680" s="2477"/>
      <c r="GFU1680" s="2477"/>
      <c r="GFV1680" s="2477"/>
      <c r="GFW1680" s="2477"/>
      <c r="GFX1680" s="2477"/>
      <c r="GFY1680" s="2477"/>
      <c r="GFZ1680" s="2477"/>
      <c r="GGA1680" s="2477"/>
      <c r="GGB1680" s="2477"/>
      <c r="GGC1680" s="2477"/>
      <c r="GGD1680" s="2477"/>
      <c r="GGE1680" s="2477"/>
      <c r="GGF1680" s="2477"/>
      <c r="GGG1680" s="2477"/>
      <c r="GGH1680" s="2477"/>
      <c r="GGI1680" s="2477"/>
      <c r="GGJ1680" s="2477"/>
      <c r="GGK1680" s="2477"/>
      <c r="GGL1680" s="2477"/>
      <c r="GGM1680" s="2477"/>
      <c r="GGN1680" s="2477"/>
      <c r="GGO1680" s="2477"/>
      <c r="GGP1680" s="2477"/>
      <c r="GGQ1680" s="2477"/>
      <c r="GGR1680" s="2477"/>
      <c r="GGS1680" s="2477"/>
      <c r="GGT1680" s="2477"/>
      <c r="GGU1680" s="2477"/>
      <c r="GGV1680" s="2477"/>
      <c r="GGW1680" s="2477"/>
      <c r="GGX1680" s="2477"/>
      <c r="GGY1680" s="2477"/>
      <c r="GGZ1680" s="2477"/>
      <c r="GHA1680" s="2477"/>
      <c r="GHB1680" s="2477"/>
      <c r="GHC1680" s="2477"/>
      <c r="GHD1680" s="2477"/>
      <c r="GHE1680" s="2477"/>
      <c r="GHF1680" s="2477"/>
      <c r="GHG1680" s="2477"/>
      <c r="GHH1680" s="2477"/>
      <c r="GHI1680" s="2477"/>
      <c r="GHJ1680" s="2477"/>
      <c r="GHK1680" s="2477"/>
      <c r="GHL1680" s="2477"/>
      <c r="GHM1680" s="2477"/>
      <c r="GHN1680" s="2477"/>
      <c r="GHO1680" s="2477"/>
      <c r="GHP1680" s="2477"/>
      <c r="GHQ1680" s="2477"/>
      <c r="GHR1680" s="2477"/>
      <c r="GHS1680" s="2477"/>
      <c r="GHT1680" s="2477"/>
      <c r="GHU1680" s="2477"/>
      <c r="GHV1680" s="2477"/>
      <c r="GHW1680" s="2477"/>
      <c r="GHX1680" s="2477"/>
      <c r="GHY1680" s="2477"/>
      <c r="GHZ1680" s="2477"/>
      <c r="GIA1680" s="2477"/>
      <c r="GIB1680" s="2477"/>
      <c r="GIC1680" s="2477"/>
      <c r="GID1680" s="2477"/>
      <c r="GIE1680" s="2477"/>
      <c r="GIF1680" s="2477"/>
      <c r="GIG1680" s="2477"/>
      <c r="GIH1680" s="2477"/>
      <c r="GII1680" s="2477"/>
      <c r="GIJ1680" s="2477"/>
      <c r="GIK1680" s="2477"/>
      <c r="GIL1680" s="2477"/>
      <c r="GIM1680" s="2477"/>
      <c r="GIN1680" s="2477"/>
      <c r="GIO1680" s="2477"/>
      <c r="GIP1680" s="2477"/>
      <c r="GIQ1680" s="2477"/>
      <c r="GIR1680" s="2477"/>
      <c r="GIS1680" s="2477"/>
      <c r="GIT1680" s="2477"/>
      <c r="GIU1680" s="2477"/>
      <c r="GIV1680" s="2477"/>
      <c r="GIW1680" s="2477"/>
      <c r="GIX1680" s="2477"/>
      <c r="GIY1680" s="2477"/>
      <c r="GIZ1680" s="2477"/>
      <c r="GJA1680" s="2477"/>
      <c r="GJB1680" s="2477"/>
      <c r="GJC1680" s="2477"/>
      <c r="GJD1680" s="2477"/>
      <c r="GJE1680" s="2477"/>
      <c r="GJF1680" s="2477"/>
      <c r="GJG1680" s="2477"/>
      <c r="GJH1680" s="2477"/>
      <c r="GJI1680" s="2477"/>
      <c r="GJJ1680" s="2477"/>
      <c r="GJK1680" s="2477"/>
      <c r="GJL1680" s="2477"/>
      <c r="GJM1680" s="2477"/>
      <c r="GJN1680" s="2477"/>
      <c r="GJO1680" s="2477"/>
      <c r="GJP1680" s="2477"/>
      <c r="GJQ1680" s="2477"/>
      <c r="GJR1680" s="2477"/>
      <c r="GJS1680" s="2477"/>
      <c r="GJT1680" s="2477"/>
      <c r="GJU1680" s="2477"/>
      <c r="GJV1680" s="2477"/>
      <c r="GJW1680" s="2477"/>
      <c r="GJX1680" s="2477"/>
      <c r="GJY1680" s="2477"/>
      <c r="GJZ1680" s="2477"/>
      <c r="GKA1680" s="2477"/>
      <c r="GKB1680" s="2477"/>
      <c r="GKC1680" s="2477"/>
      <c r="GKD1680" s="2477"/>
      <c r="GKE1680" s="2477"/>
      <c r="GKF1680" s="2477"/>
      <c r="GKG1680" s="2477"/>
      <c r="GKH1680" s="2477"/>
      <c r="GKI1680" s="2477"/>
      <c r="GKJ1680" s="2477"/>
      <c r="GKK1680" s="2477"/>
      <c r="GKL1680" s="2477"/>
      <c r="GKM1680" s="2477"/>
      <c r="GKN1680" s="2477"/>
      <c r="GKO1680" s="2477"/>
      <c r="GKP1680" s="2477"/>
      <c r="GKQ1680" s="2477"/>
      <c r="GKR1680" s="2477"/>
      <c r="GKS1680" s="2477"/>
      <c r="GKT1680" s="2477"/>
      <c r="GKU1680" s="2477"/>
      <c r="GKV1680" s="2477"/>
      <c r="GKW1680" s="2477"/>
      <c r="GKX1680" s="2477"/>
      <c r="GKY1680" s="2477"/>
      <c r="GKZ1680" s="2477"/>
      <c r="GLA1680" s="2477"/>
      <c r="GLB1680" s="2477"/>
      <c r="GLC1680" s="2477"/>
      <c r="GLD1680" s="2477"/>
      <c r="GLE1680" s="2477"/>
      <c r="GLF1680" s="2477"/>
      <c r="GLG1680" s="2477"/>
      <c r="GLH1680" s="2477"/>
      <c r="GLI1680" s="2477"/>
      <c r="GLJ1680" s="2477"/>
      <c r="GLK1680" s="2477"/>
      <c r="GLL1680" s="2477"/>
      <c r="GLM1680" s="2477"/>
      <c r="GLN1680" s="2477"/>
      <c r="GLO1680" s="2477"/>
      <c r="GLP1680" s="2477"/>
      <c r="GLQ1680" s="2477"/>
      <c r="GLR1680" s="2477"/>
      <c r="GLS1680" s="2477"/>
      <c r="GLT1680" s="2477"/>
      <c r="GLU1680" s="2477"/>
      <c r="GLV1680" s="2477"/>
      <c r="GLW1680" s="2477"/>
      <c r="GLX1680" s="2477"/>
      <c r="GLY1680" s="2477"/>
      <c r="GLZ1680" s="2477"/>
      <c r="GMA1680" s="2477"/>
      <c r="GMB1680" s="2477"/>
      <c r="GMC1680" s="2477"/>
      <c r="GMD1680" s="2477"/>
      <c r="GME1680" s="2477"/>
      <c r="GMF1680" s="2477"/>
      <c r="GMG1680" s="2477"/>
      <c r="GMH1680" s="2477"/>
      <c r="GMI1680" s="2477"/>
      <c r="GMJ1680" s="2477"/>
      <c r="GMK1680" s="2477"/>
      <c r="GML1680" s="2477"/>
      <c r="GMM1680" s="2477"/>
      <c r="GMN1680" s="2477"/>
      <c r="GMO1680" s="2477"/>
      <c r="GMP1680" s="2477"/>
      <c r="GMQ1680" s="2477"/>
      <c r="GMR1680" s="2477"/>
      <c r="GMS1680" s="2477"/>
      <c r="GMT1680" s="2477"/>
      <c r="GMU1680" s="2477"/>
      <c r="GMV1680" s="2477"/>
      <c r="GMW1680" s="2477"/>
      <c r="GMX1680" s="2477"/>
      <c r="GMY1680" s="2477"/>
      <c r="GMZ1680" s="2477"/>
      <c r="GNA1680" s="2477"/>
      <c r="GNB1680" s="2477"/>
      <c r="GNC1680" s="2477"/>
      <c r="GND1680" s="2477"/>
      <c r="GNE1680" s="2477"/>
      <c r="GNF1680" s="2477"/>
      <c r="GNG1680" s="2477"/>
      <c r="GNH1680" s="2477"/>
      <c r="GNI1680" s="2477"/>
      <c r="GNJ1680" s="2477"/>
      <c r="GNK1680" s="2477"/>
      <c r="GNL1680" s="2477"/>
      <c r="GNM1680" s="2477"/>
      <c r="GNN1680" s="2477"/>
      <c r="GNO1680" s="2477"/>
      <c r="GNP1680" s="2477"/>
      <c r="GNQ1680" s="2477"/>
      <c r="GNR1680" s="2477"/>
      <c r="GNS1680" s="2477"/>
      <c r="GNT1680" s="2477"/>
      <c r="GNU1680" s="2477"/>
      <c r="GNV1680" s="2477"/>
      <c r="GNW1680" s="2477"/>
      <c r="GNX1680" s="2477"/>
      <c r="GNY1680" s="2477"/>
      <c r="GNZ1680" s="2477"/>
      <c r="GOA1680" s="2477"/>
      <c r="GOB1680" s="2477"/>
      <c r="GOC1680" s="2477"/>
      <c r="GOD1680" s="2477"/>
      <c r="GOE1680" s="2477"/>
      <c r="GOF1680" s="2477"/>
      <c r="GOG1680" s="2477"/>
      <c r="GOH1680" s="2477"/>
      <c r="GOI1680" s="2477"/>
      <c r="GOJ1680" s="2477"/>
      <c r="GOK1680" s="2477"/>
      <c r="GOL1680" s="2477"/>
      <c r="GOM1680" s="2477"/>
      <c r="GON1680" s="2477"/>
      <c r="GOO1680" s="2477"/>
      <c r="GOP1680" s="2477"/>
      <c r="GOQ1680" s="2477"/>
      <c r="GOR1680" s="2477"/>
      <c r="GOS1680" s="2477"/>
      <c r="GOT1680" s="2477"/>
      <c r="GOU1680" s="2477"/>
      <c r="GOV1680" s="2477"/>
      <c r="GOW1680" s="2477"/>
      <c r="GOX1680" s="2477"/>
      <c r="GOY1680" s="2477"/>
      <c r="GOZ1680" s="2477"/>
      <c r="GPA1680" s="2477"/>
      <c r="GPB1680" s="2477"/>
      <c r="GPC1680" s="2477"/>
      <c r="GPD1680" s="2477"/>
      <c r="GPE1680" s="2477"/>
      <c r="GPF1680" s="2477"/>
      <c r="GPG1680" s="2477"/>
      <c r="GPH1680" s="2477"/>
      <c r="GPI1680" s="2477"/>
      <c r="GPJ1680" s="2477"/>
      <c r="GPK1680" s="2477"/>
      <c r="GPL1680" s="2477"/>
      <c r="GPM1680" s="2477"/>
      <c r="GPN1680" s="2477"/>
      <c r="GPO1680" s="2477"/>
      <c r="GPP1680" s="2477"/>
      <c r="GPQ1680" s="2477"/>
      <c r="GPR1680" s="2477"/>
      <c r="GPS1680" s="2477"/>
      <c r="GPT1680" s="2477"/>
      <c r="GPU1680" s="2477"/>
      <c r="GPV1680" s="2477"/>
      <c r="GPW1680" s="2477"/>
      <c r="GPX1680" s="2477"/>
      <c r="GPY1680" s="2477"/>
      <c r="GPZ1680" s="2477"/>
      <c r="GQA1680" s="2477"/>
      <c r="GQB1680" s="2477"/>
      <c r="GQC1680" s="2477"/>
      <c r="GQD1680" s="2477"/>
      <c r="GQE1680" s="2477"/>
      <c r="GQF1680" s="2477"/>
      <c r="GQG1680" s="2477"/>
      <c r="GQH1680" s="2477"/>
      <c r="GQI1680" s="2477"/>
      <c r="GQJ1680" s="2477"/>
      <c r="GQK1680" s="2477"/>
      <c r="GQL1680" s="2477"/>
      <c r="GQM1680" s="2477"/>
      <c r="GQN1680" s="2477"/>
      <c r="GQO1680" s="2477"/>
      <c r="GQP1680" s="2477"/>
      <c r="GQQ1680" s="2477"/>
      <c r="GQR1680" s="2477"/>
      <c r="GQS1680" s="2477"/>
      <c r="GQT1680" s="2477"/>
      <c r="GQU1680" s="2477"/>
      <c r="GQV1680" s="2477"/>
      <c r="GQW1680" s="2477"/>
      <c r="GQX1680" s="2477"/>
      <c r="GQY1680" s="2477"/>
      <c r="GQZ1680" s="2477"/>
      <c r="GRA1680" s="2477"/>
      <c r="GRB1680" s="2477"/>
      <c r="GRC1680" s="2477"/>
      <c r="GRD1680" s="2477"/>
      <c r="GRE1680" s="2477"/>
      <c r="GRF1680" s="2477"/>
      <c r="GRG1680" s="2477"/>
      <c r="GRH1680" s="2477"/>
      <c r="GRI1680" s="2477"/>
      <c r="GRJ1680" s="2477"/>
      <c r="GRK1680" s="2477"/>
      <c r="GRL1680" s="2477"/>
      <c r="GRM1680" s="2477"/>
      <c r="GRN1680" s="2477"/>
      <c r="GRO1680" s="2477"/>
      <c r="GRP1680" s="2477"/>
      <c r="GRQ1680" s="2477"/>
      <c r="GRR1680" s="2477"/>
      <c r="GRS1680" s="2477"/>
      <c r="GRT1680" s="2477"/>
      <c r="GRU1680" s="2477"/>
      <c r="GRV1680" s="2477"/>
      <c r="GRW1680" s="2477"/>
      <c r="GRX1680" s="2477"/>
      <c r="GRY1680" s="2477"/>
      <c r="GRZ1680" s="2477"/>
      <c r="GSA1680" s="2477"/>
      <c r="GSB1680" s="2477"/>
      <c r="GSC1680" s="2477"/>
      <c r="GSD1680" s="2477"/>
      <c r="GSE1680" s="2477"/>
      <c r="GSF1680" s="2477"/>
      <c r="GSG1680" s="2477"/>
      <c r="GSH1680" s="2477"/>
      <c r="GSI1680" s="2477"/>
      <c r="GSJ1680" s="2477"/>
      <c r="GSK1680" s="2477"/>
      <c r="GSL1680" s="2477"/>
      <c r="GSM1680" s="2477"/>
      <c r="GSN1680" s="2477"/>
      <c r="GSO1680" s="2477"/>
      <c r="GSP1680" s="2477"/>
      <c r="GSQ1680" s="2477"/>
      <c r="GSR1680" s="2477"/>
      <c r="GSS1680" s="2477"/>
      <c r="GST1680" s="2477"/>
      <c r="GSU1680" s="2477"/>
      <c r="GSV1680" s="2477"/>
      <c r="GSW1680" s="2477"/>
      <c r="GSX1680" s="2477"/>
      <c r="GSY1680" s="2477"/>
      <c r="GSZ1680" s="2477"/>
      <c r="GTA1680" s="2477"/>
      <c r="GTB1680" s="2477"/>
      <c r="GTC1680" s="2477"/>
      <c r="GTD1680" s="2477"/>
      <c r="GTE1680" s="2477"/>
      <c r="GTF1680" s="2477"/>
      <c r="GTG1680" s="2477"/>
      <c r="GTH1680" s="2477"/>
      <c r="GTI1680" s="2477"/>
      <c r="GTJ1680" s="2477"/>
      <c r="GTK1680" s="2477"/>
      <c r="GTL1680" s="2477"/>
      <c r="GTM1680" s="2477"/>
      <c r="GTN1680" s="2477"/>
      <c r="GTO1680" s="2477"/>
      <c r="GTP1680" s="2477"/>
      <c r="GTQ1680" s="2477"/>
      <c r="GTR1680" s="2477"/>
      <c r="GTS1680" s="2477"/>
      <c r="GTT1680" s="2477"/>
      <c r="GTU1680" s="2477"/>
      <c r="GTV1680" s="2477"/>
      <c r="GTW1680" s="2477"/>
      <c r="GTX1680" s="2477"/>
      <c r="GTY1680" s="2477"/>
      <c r="GTZ1680" s="2477"/>
      <c r="GUA1680" s="2477"/>
      <c r="GUB1680" s="2477"/>
      <c r="GUC1680" s="2477"/>
      <c r="GUD1680" s="2477"/>
      <c r="GUE1680" s="2477"/>
      <c r="GUF1680" s="2477"/>
      <c r="GUG1680" s="2477"/>
      <c r="GUH1680" s="2477"/>
      <c r="GUI1680" s="2477"/>
      <c r="GUJ1680" s="2477"/>
      <c r="GUK1680" s="2477"/>
      <c r="GUL1680" s="2477"/>
      <c r="GUM1680" s="2477"/>
      <c r="GUN1680" s="2477"/>
      <c r="GUO1680" s="2477"/>
      <c r="GUP1680" s="2477"/>
      <c r="GUQ1680" s="2477"/>
      <c r="GUR1680" s="2477"/>
      <c r="GUS1680" s="2477"/>
      <c r="GUT1680" s="2477"/>
      <c r="GUU1680" s="2477"/>
      <c r="GUV1680" s="2477"/>
      <c r="GUW1680" s="2477"/>
      <c r="GUX1680" s="2477"/>
      <c r="GUY1680" s="2477"/>
      <c r="GUZ1680" s="2477"/>
      <c r="GVA1680" s="2477"/>
      <c r="GVB1680" s="2477"/>
      <c r="GVC1680" s="2477"/>
      <c r="GVD1680" s="2477"/>
      <c r="GVE1680" s="2477"/>
      <c r="GVF1680" s="2477"/>
      <c r="GVG1680" s="2477"/>
      <c r="GVH1680" s="2477"/>
      <c r="GVI1680" s="2477"/>
      <c r="GVJ1680" s="2477"/>
      <c r="GVK1680" s="2477"/>
      <c r="GVL1680" s="2477"/>
      <c r="GVM1680" s="2477"/>
      <c r="GVN1680" s="2477"/>
      <c r="GVO1680" s="2477"/>
      <c r="GVP1680" s="2477"/>
      <c r="GVQ1680" s="2477"/>
      <c r="GVR1680" s="2477"/>
      <c r="GVS1680" s="2477"/>
      <c r="GVT1680" s="2477"/>
      <c r="GVU1680" s="2477"/>
      <c r="GVV1680" s="2477"/>
      <c r="GVW1680" s="2477"/>
      <c r="GVX1680" s="2477"/>
      <c r="GVY1680" s="2477"/>
      <c r="GVZ1680" s="2477"/>
      <c r="GWA1680" s="2477"/>
      <c r="GWB1680" s="2477"/>
      <c r="GWC1680" s="2477"/>
      <c r="GWD1680" s="2477"/>
      <c r="GWE1680" s="2477"/>
      <c r="GWF1680" s="2477"/>
      <c r="GWG1680" s="2477"/>
      <c r="GWH1680" s="2477"/>
      <c r="GWI1680" s="2477"/>
      <c r="GWJ1680" s="2477"/>
      <c r="GWK1680" s="2477"/>
      <c r="GWL1680" s="2477"/>
      <c r="GWM1680" s="2477"/>
      <c r="GWN1680" s="2477"/>
      <c r="GWO1680" s="2477"/>
      <c r="GWP1680" s="2477"/>
      <c r="GWQ1680" s="2477"/>
      <c r="GWR1680" s="2477"/>
      <c r="GWS1680" s="2477"/>
      <c r="GWT1680" s="2477"/>
      <c r="GWU1680" s="2477"/>
      <c r="GWV1680" s="2477"/>
      <c r="GWW1680" s="2477"/>
      <c r="GWX1680" s="2477"/>
      <c r="GWY1680" s="2477"/>
      <c r="GWZ1680" s="2477"/>
      <c r="GXA1680" s="2477"/>
      <c r="GXB1680" s="2477"/>
      <c r="GXC1680" s="2477"/>
      <c r="GXD1680" s="2477"/>
      <c r="GXE1680" s="2477"/>
      <c r="GXF1680" s="2477"/>
      <c r="GXG1680" s="2477"/>
      <c r="GXH1680" s="2477"/>
      <c r="GXI1680" s="2477"/>
      <c r="GXJ1680" s="2477"/>
      <c r="GXK1680" s="2477"/>
      <c r="GXL1680" s="2477"/>
      <c r="GXM1680" s="2477"/>
      <c r="GXN1680" s="2477"/>
      <c r="GXO1680" s="2477"/>
      <c r="GXP1680" s="2477"/>
      <c r="GXQ1680" s="2477"/>
      <c r="GXR1680" s="2477"/>
      <c r="GXS1680" s="2477"/>
      <c r="GXT1680" s="2477"/>
      <c r="GXU1680" s="2477"/>
      <c r="GXV1680" s="2477"/>
      <c r="GXW1680" s="2477"/>
      <c r="GXX1680" s="2477"/>
      <c r="GXY1680" s="2477"/>
      <c r="GXZ1680" s="2477"/>
      <c r="GYA1680" s="2477"/>
      <c r="GYB1680" s="2477"/>
      <c r="GYC1680" s="2477"/>
      <c r="GYD1680" s="2477"/>
      <c r="GYE1680" s="2477"/>
      <c r="GYF1680" s="2477"/>
      <c r="GYG1680" s="2477"/>
      <c r="GYH1680" s="2477"/>
      <c r="GYI1680" s="2477"/>
      <c r="GYJ1680" s="2477"/>
      <c r="GYK1680" s="2477"/>
      <c r="GYL1680" s="2477"/>
      <c r="GYM1680" s="2477"/>
      <c r="GYN1680" s="2477"/>
      <c r="GYO1680" s="2477"/>
      <c r="GYP1680" s="2477"/>
      <c r="GYQ1680" s="2477"/>
      <c r="GYR1680" s="2477"/>
      <c r="GYS1680" s="2477"/>
      <c r="GYT1680" s="2477"/>
      <c r="GYU1680" s="2477"/>
      <c r="GYV1680" s="2477"/>
      <c r="GYW1680" s="2477"/>
      <c r="GYX1680" s="2477"/>
      <c r="GYY1680" s="2477"/>
      <c r="GYZ1680" s="2477"/>
      <c r="GZA1680" s="2477"/>
      <c r="GZB1680" s="2477"/>
      <c r="GZC1680" s="2477"/>
      <c r="GZD1680" s="2477"/>
      <c r="GZE1680" s="2477"/>
      <c r="GZF1680" s="2477"/>
      <c r="GZG1680" s="2477"/>
      <c r="GZH1680" s="2477"/>
      <c r="GZI1680" s="2477"/>
      <c r="GZJ1680" s="2477"/>
      <c r="GZK1680" s="2477"/>
      <c r="GZL1680" s="2477"/>
      <c r="GZM1680" s="2477"/>
      <c r="GZN1680" s="2477"/>
      <c r="GZO1680" s="2477"/>
      <c r="GZP1680" s="2477"/>
      <c r="GZQ1680" s="2477"/>
      <c r="GZR1680" s="2477"/>
      <c r="GZS1680" s="2477"/>
      <c r="GZT1680" s="2477"/>
      <c r="GZU1680" s="2477"/>
      <c r="GZV1680" s="2477"/>
      <c r="GZW1680" s="2477"/>
      <c r="GZX1680" s="2477"/>
      <c r="GZY1680" s="2477"/>
      <c r="GZZ1680" s="2477"/>
      <c r="HAA1680" s="2477"/>
      <c r="HAB1680" s="2477"/>
      <c r="HAC1680" s="2477"/>
      <c r="HAD1680" s="2477"/>
      <c r="HAE1680" s="2477"/>
      <c r="HAF1680" s="2477"/>
      <c r="HAG1680" s="2477"/>
      <c r="HAH1680" s="2477"/>
      <c r="HAI1680" s="2477"/>
      <c r="HAJ1680" s="2477"/>
      <c r="HAK1680" s="2477"/>
      <c r="HAL1680" s="2477"/>
      <c r="HAM1680" s="2477"/>
      <c r="HAN1680" s="2477"/>
      <c r="HAO1680" s="2477"/>
      <c r="HAP1680" s="2477"/>
      <c r="HAQ1680" s="2477"/>
      <c r="HAR1680" s="2477"/>
      <c r="HAS1680" s="2477"/>
      <c r="HAT1680" s="2477"/>
      <c r="HAU1680" s="2477"/>
      <c r="HAV1680" s="2477"/>
      <c r="HAW1680" s="2477"/>
      <c r="HAX1680" s="2477"/>
      <c r="HAY1680" s="2477"/>
      <c r="HAZ1680" s="2477"/>
      <c r="HBA1680" s="2477"/>
      <c r="HBB1680" s="2477"/>
      <c r="HBC1680" s="2477"/>
      <c r="HBD1680" s="2477"/>
      <c r="HBE1680" s="2477"/>
      <c r="HBF1680" s="2477"/>
      <c r="HBG1680" s="2477"/>
      <c r="HBH1680" s="2477"/>
      <c r="HBI1680" s="2477"/>
      <c r="HBJ1680" s="2477"/>
      <c r="HBK1680" s="2477"/>
      <c r="HBL1680" s="2477"/>
      <c r="HBM1680" s="2477"/>
      <c r="HBN1680" s="2477"/>
      <c r="HBO1680" s="2477"/>
      <c r="HBP1680" s="2477"/>
      <c r="HBQ1680" s="2477"/>
      <c r="HBR1680" s="2477"/>
      <c r="HBS1680" s="2477"/>
      <c r="HBT1680" s="2477"/>
      <c r="HBU1680" s="2477"/>
      <c r="HBV1680" s="2477"/>
      <c r="HBW1680" s="2477"/>
      <c r="HBX1680" s="2477"/>
      <c r="HBY1680" s="2477"/>
      <c r="HBZ1680" s="2477"/>
      <c r="HCA1680" s="2477"/>
      <c r="HCB1680" s="2477"/>
      <c r="HCC1680" s="2477"/>
      <c r="HCD1680" s="2477"/>
      <c r="HCE1680" s="2477"/>
      <c r="HCF1680" s="2477"/>
      <c r="HCG1680" s="2477"/>
      <c r="HCH1680" s="2477"/>
      <c r="HCI1680" s="2477"/>
      <c r="HCJ1680" s="2477"/>
      <c r="HCK1680" s="2477"/>
      <c r="HCL1680" s="2477"/>
      <c r="HCM1680" s="2477"/>
      <c r="HCN1680" s="2477"/>
      <c r="HCO1680" s="2477"/>
      <c r="HCP1680" s="2477"/>
      <c r="HCQ1680" s="2477"/>
      <c r="HCR1680" s="2477"/>
      <c r="HCS1680" s="2477"/>
      <c r="HCT1680" s="2477"/>
      <c r="HCU1680" s="2477"/>
      <c r="HCV1680" s="2477"/>
      <c r="HCW1680" s="2477"/>
      <c r="HCX1680" s="2477"/>
      <c r="HCY1680" s="2477"/>
      <c r="HCZ1680" s="2477"/>
      <c r="HDA1680" s="2477"/>
      <c r="HDB1680" s="2477"/>
      <c r="HDC1680" s="2477"/>
      <c r="HDD1680" s="2477"/>
      <c r="HDE1680" s="2477"/>
      <c r="HDF1680" s="2477"/>
      <c r="HDG1680" s="2477"/>
      <c r="HDH1680" s="2477"/>
      <c r="HDI1680" s="2477"/>
      <c r="HDJ1680" s="2477"/>
      <c r="HDK1680" s="2477"/>
      <c r="HDL1680" s="2477"/>
      <c r="HDM1680" s="2477"/>
      <c r="HDN1680" s="2477"/>
      <c r="HDO1680" s="2477"/>
      <c r="HDP1680" s="2477"/>
      <c r="HDQ1680" s="2477"/>
      <c r="HDR1680" s="2477"/>
      <c r="HDS1680" s="2477"/>
      <c r="HDT1680" s="2477"/>
      <c r="HDU1680" s="2477"/>
      <c r="HDV1680" s="2477"/>
      <c r="HDW1680" s="2477"/>
      <c r="HDX1680" s="2477"/>
      <c r="HDY1680" s="2477"/>
      <c r="HDZ1680" s="2477"/>
      <c r="HEA1680" s="2477"/>
      <c r="HEB1680" s="2477"/>
      <c r="HEC1680" s="2477"/>
      <c r="HED1680" s="2477"/>
      <c r="HEE1680" s="2477"/>
      <c r="HEF1680" s="2477"/>
      <c r="HEG1680" s="2477"/>
      <c r="HEH1680" s="2477"/>
      <c r="HEI1680" s="2477"/>
      <c r="HEJ1680" s="2477"/>
      <c r="HEK1680" s="2477"/>
      <c r="HEL1680" s="2477"/>
      <c r="HEM1680" s="2477"/>
      <c r="HEN1680" s="2477"/>
      <c r="HEO1680" s="2477"/>
      <c r="HEP1680" s="2477"/>
      <c r="HEQ1680" s="2477"/>
      <c r="HER1680" s="2477"/>
      <c r="HES1680" s="2477"/>
      <c r="HET1680" s="2477"/>
      <c r="HEU1680" s="2477"/>
      <c r="HEV1680" s="2477"/>
      <c r="HEW1680" s="2477"/>
      <c r="HEX1680" s="2477"/>
      <c r="HEY1680" s="2477"/>
      <c r="HEZ1680" s="2477"/>
      <c r="HFA1680" s="2477"/>
      <c r="HFB1680" s="2477"/>
      <c r="HFC1680" s="2477"/>
      <c r="HFD1680" s="2477"/>
      <c r="HFE1680" s="2477"/>
      <c r="HFF1680" s="2477"/>
      <c r="HFG1680" s="2477"/>
      <c r="HFH1680" s="2477"/>
      <c r="HFI1680" s="2477"/>
      <c r="HFJ1680" s="2477"/>
      <c r="HFK1680" s="2477"/>
      <c r="HFL1680" s="2477"/>
      <c r="HFM1680" s="2477"/>
      <c r="HFN1680" s="2477"/>
      <c r="HFO1680" s="2477"/>
      <c r="HFP1680" s="2477"/>
      <c r="HFQ1680" s="2477"/>
      <c r="HFR1680" s="2477"/>
      <c r="HFS1680" s="2477"/>
      <c r="HFT1680" s="2477"/>
      <c r="HFU1680" s="2477"/>
      <c r="HFV1680" s="2477"/>
      <c r="HFW1680" s="2477"/>
      <c r="HFX1680" s="2477"/>
      <c r="HFY1680" s="2477"/>
      <c r="HFZ1680" s="2477"/>
      <c r="HGA1680" s="2477"/>
      <c r="HGB1680" s="2477"/>
      <c r="HGC1680" s="2477"/>
      <c r="HGD1680" s="2477"/>
      <c r="HGE1680" s="2477"/>
      <c r="HGF1680" s="2477"/>
      <c r="HGG1680" s="2477"/>
      <c r="HGH1680" s="2477"/>
      <c r="HGI1680" s="2477"/>
      <c r="HGJ1680" s="2477"/>
      <c r="HGK1680" s="2477"/>
      <c r="HGL1680" s="2477"/>
      <c r="HGM1680" s="2477"/>
      <c r="HGN1680" s="2477"/>
      <c r="HGO1680" s="2477"/>
      <c r="HGP1680" s="2477"/>
      <c r="HGQ1680" s="2477"/>
      <c r="HGR1680" s="2477"/>
      <c r="HGS1680" s="2477"/>
      <c r="HGT1680" s="2477"/>
      <c r="HGU1680" s="2477"/>
      <c r="HGV1680" s="2477"/>
      <c r="HGW1680" s="2477"/>
      <c r="HGX1680" s="2477"/>
      <c r="HGY1680" s="2477"/>
      <c r="HGZ1680" s="2477"/>
      <c r="HHA1680" s="2477"/>
      <c r="HHB1680" s="2477"/>
      <c r="HHC1680" s="2477"/>
      <c r="HHD1680" s="2477"/>
      <c r="HHE1680" s="2477"/>
      <c r="HHF1680" s="2477"/>
      <c r="HHG1680" s="2477"/>
      <c r="HHH1680" s="2477"/>
      <c r="HHI1680" s="2477"/>
      <c r="HHJ1680" s="2477"/>
      <c r="HHK1680" s="2477"/>
      <c r="HHL1680" s="2477"/>
      <c r="HHM1680" s="2477"/>
      <c r="HHN1680" s="2477"/>
      <c r="HHO1680" s="2477"/>
      <c r="HHP1680" s="2477"/>
      <c r="HHQ1680" s="2477"/>
      <c r="HHR1680" s="2477"/>
      <c r="HHS1680" s="2477"/>
      <c r="HHT1680" s="2477"/>
      <c r="HHU1680" s="2477"/>
      <c r="HHV1680" s="2477"/>
      <c r="HHW1680" s="2477"/>
      <c r="HHX1680" s="2477"/>
      <c r="HHY1680" s="2477"/>
      <c r="HHZ1680" s="2477"/>
      <c r="HIA1680" s="2477"/>
      <c r="HIB1680" s="2477"/>
      <c r="HIC1680" s="2477"/>
      <c r="HID1680" s="2477"/>
      <c r="HIE1680" s="2477"/>
      <c r="HIF1680" s="2477"/>
      <c r="HIG1680" s="2477"/>
      <c r="HIH1680" s="2477"/>
      <c r="HII1680" s="2477"/>
      <c r="HIJ1680" s="2477"/>
      <c r="HIK1680" s="2477"/>
      <c r="HIL1680" s="2477"/>
      <c r="HIM1680" s="2477"/>
      <c r="HIN1680" s="2477"/>
      <c r="HIO1680" s="2477"/>
      <c r="HIP1680" s="2477"/>
      <c r="HIQ1680" s="2477"/>
      <c r="HIR1680" s="2477"/>
      <c r="HIS1680" s="2477"/>
      <c r="HIT1680" s="2477"/>
      <c r="HIU1680" s="2477"/>
      <c r="HIV1680" s="2477"/>
      <c r="HIW1680" s="2477"/>
      <c r="HIX1680" s="2477"/>
      <c r="HIY1680" s="2477"/>
      <c r="HIZ1680" s="2477"/>
      <c r="HJA1680" s="2477"/>
      <c r="HJB1680" s="2477"/>
      <c r="HJC1680" s="2477"/>
      <c r="HJD1680" s="2477"/>
      <c r="HJE1680" s="2477"/>
      <c r="HJF1680" s="2477"/>
      <c r="HJG1680" s="2477"/>
      <c r="HJH1680" s="2477"/>
      <c r="HJI1680" s="2477"/>
      <c r="HJJ1680" s="2477"/>
      <c r="HJK1680" s="2477"/>
      <c r="HJL1680" s="2477"/>
      <c r="HJM1680" s="2477"/>
      <c r="HJN1680" s="2477"/>
      <c r="HJO1680" s="2477"/>
      <c r="HJP1680" s="2477"/>
      <c r="HJQ1680" s="2477"/>
      <c r="HJR1680" s="2477"/>
      <c r="HJS1680" s="2477"/>
      <c r="HJT1680" s="2477"/>
      <c r="HJU1680" s="2477"/>
      <c r="HJV1680" s="2477"/>
      <c r="HJW1680" s="2477"/>
      <c r="HJX1680" s="2477"/>
      <c r="HJY1680" s="2477"/>
      <c r="HJZ1680" s="2477"/>
      <c r="HKA1680" s="2477"/>
      <c r="HKB1680" s="2477"/>
      <c r="HKC1680" s="2477"/>
      <c r="HKD1680" s="2477"/>
      <c r="HKE1680" s="2477"/>
      <c r="HKF1680" s="2477"/>
      <c r="HKG1680" s="2477"/>
      <c r="HKH1680" s="2477"/>
      <c r="HKI1680" s="2477"/>
      <c r="HKJ1680" s="2477"/>
      <c r="HKK1680" s="2477"/>
      <c r="HKL1680" s="2477"/>
      <c r="HKM1680" s="2477"/>
      <c r="HKN1680" s="2477"/>
      <c r="HKO1680" s="2477"/>
      <c r="HKP1680" s="2477"/>
      <c r="HKQ1680" s="2477"/>
      <c r="HKR1680" s="2477"/>
      <c r="HKS1680" s="2477"/>
      <c r="HKT1680" s="2477"/>
      <c r="HKU1680" s="2477"/>
      <c r="HKV1680" s="2477"/>
      <c r="HKW1680" s="2477"/>
      <c r="HKX1680" s="2477"/>
      <c r="HKY1680" s="2477"/>
      <c r="HKZ1680" s="2477"/>
      <c r="HLA1680" s="2477"/>
      <c r="HLB1680" s="2477"/>
      <c r="HLC1680" s="2477"/>
      <c r="HLD1680" s="2477"/>
      <c r="HLE1680" s="2477"/>
      <c r="HLF1680" s="2477"/>
      <c r="HLG1680" s="2477"/>
      <c r="HLH1680" s="2477"/>
      <c r="HLI1680" s="2477"/>
      <c r="HLJ1680" s="2477"/>
      <c r="HLK1680" s="2477"/>
      <c r="HLL1680" s="2477"/>
      <c r="HLM1680" s="2477"/>
      <c r="HLN1680" s="2477"/>
      <c r="HLO1680" s="2477"/>
      <c r="HLP1680" s="2477"/>
      <c r="HLQ1680" s="2477"/>
      <c r="HLR1680" s="2477"/>
      <c r="HLS1680" s="2477"/>
      <c r="HLT1680" s="2477"/>
      <c r="HLU1680" s="2477"/>
      <c r="HLV1680" s="2477"/>
      <c r="HLW1680" s="2477"/>
      <c r="HLX1680" s="2477"/>
      <c r="HLY1680" s="2477"/>
      <c r="HLZ1680" s="2477"/>
      <c r="HMA1680" s="2477"/>
      <c r="HMB1680" s="2477"/>
      <c r="HMC1680" s="2477"/>
      <c r="HMD1680" s="2477"/>
      <c r="HME1680" s="2477"/>
      <c r="HMF1680" s="2477"/>
      <c r="HMG1680" s="2477"/>
      <c r="HMH1680" s="2477"/>
      <c r="HMI1680" s="2477"/>
      <c r="HMJ1680" s="2477"/>
      <c r="HMK1680" s="2477"/>
      <c r="HML1680" s="2477"/>
      <c r="HMM1680" s="2477"/>
      <c r="HMN1680" s="2477"/>
      <c r="HMO1680" s="2477"/>
      <c r="HMP1680" s="2477"/>
      <c r="HMQ1680" s="2477"/>
      <c r="HMR1680" s="2477"/>
      <c r="HMS1680" s="2477"/>
      <c r="HMT1680" s="2477"/>
      <c r="HMU1680" s="2477"/>
      <c r="HMV1680" s="2477"/>
      <c r="HMW1680" s="2477"/>
      <c r="HMX1680" s="2477"/>
      <c r="HMY1680" s="2477"/>
      <c r="HMZ1680" s="2477"/>
      <c r="HNA1680" s="2477"/>
      <c r="HNB1680" s="2477"/>
      <c r="HNC1680" s="2477"/>
      <c r="HND1680" s="2477"/>
      <c r="HNE1680" s="2477"/>
      <c r="HNF1680" s="2477"/>
      <c r="HNG1680" s="2477"/>
      <c r="HNH1680" s="2477"/>
      <c r="HNI1680" s="2477"/>
      <c r="HNJ1680" s="2477"/>
      <c r="HNK1680" s="2477"/>
      <c r="HNL1680" s="2477"/>
      <c r="HNM1680" s="2477"/>
      <c r="HNN1680" s="2477"/>
      <c r="HNO1680" s="2477"/>
      <c r="HNP1680" s="2477"/>
      <c r="HNQ1680" s="2477"/>
      <c r="HNR1680" s="2477"/>
      <c r="HNS1680" s="2477"/>
      <c r="HNT1680" s="2477"/>
      <c r="HNU1680" s="2477"/>
      <c r="HNV1680" s="2477"/>
      <c r="HNW1680" s="2477"/>
      <c r="HNX1680" s="2477"/>
      <c r="HNY1680" s="2477"/>
      <c r="HNZ1680" s="2477"/>
      <c r="HOA1680" s="2477"/>
      <c r="HOB1680" s="2477"/>
      <c r="HOC1680" s="2477"/>
      <c r="HOD1680" s="2477"/>
      <c r="HOE1680" s="2477"/>
      <c r="HOF1680" s="2477"/>
      <c r="HOG1680" s="2477"/>
      <c r="HOH1680" s="2477"/>
      <c r="HOI1680" s="2477"/>
      <c r="HOJ1680" s="2477"/>
      <c r="HOK1680" s="2477"/>
      <c r="HOL1680" s="2477"/>
      <c r="HOM1680" s="2477"/>
      <c r="HON1680" s="2477"/>
      <c r="HOO1680" s="2477"/>
      <c r="HOP1680" s="2477"/>
      <c r="HOQ1680" s="2477"/>
      <c r="HOR1680" s="2477"/>
      <c r="HOS1680" s="2477"/>
      <c r="HOT1680" s="2477"/>
      <c r="HOU1680" s="2477"/>
      <c r="HOV1680" s="2477"/>
      <c r="HOW1680" s="2477"/>
      <c r="HOX1680" s="2477"/>
      <c r="HOY1680" s="2477"/>
      <c r="HOZ1680" s="2477"/>
      <c r="HPA1680" s="2477"/>
      <c r="HPB1680" s="2477"/>
      <c r="HPC1680" s="2477"/>
      <c r="HPD1680" s="2477"/>
      <c r="HPE1680" s="2477"/>
      <c r="HPF1680" s="2477"/>
      <c r="HPG1680" s="2477"/>
      <c r="HPH1680" s="2477"/>
      <c r="HPI1680" s="2477"/>
      <c r="HPJ1680" s="2477"/>
      <c r="HPK1680" s="2477"/>
      <c r="HPL1680" s="2477"/>
      <c r="HPM1680" s="2477"/>
      <c r="HPN1680" s="2477"/>
      <c r="HPO1680" s="2477"/>
      <c r="HPP1680" s="2477"/>
      <c r="HPQ1680" s="2477"/>
      <c r="HPR1680" s="2477"/>
      <c r="HPS1680" s="2477"/>
      <c r="HPT1680" s="2477"/>
      <c r="HPU1680" s="2477"/>
      <c r="HPV1680" s="2477"/>
      <c r="HPW1680" s="2477"/>
      <c r="HPX1680" s="2477"/>
      <c r="HPY1680" s="2477"/>
      <c r="HPZ1680" s="2477"/>
      <c r="HQA1680" s="2477"/>
      <c r="HQB1680" s="2477"/>
      <c r="HQC1680" s="2477"/>
      <c r="HQD1680" s="2477"/>
      <c r="HQE1680" s="2477"/>
      <c r="HQF1680" s="2477"/>
      <c r="HQG1680" s="2477"/>
      <c r="HQH1680" s="2477"/>
      <c r="HQI1680" s="2477"/>
      <c r="HQJ1680" s="2477"/>
      <c r="HQK1680" s="2477"/>
      <c r="HQL1680" s="2477"/>
      <c r="HQM1680" s="2477"/>
      <c r="HQN1680" s="2477"/>
      <c r="HQO1680" s="2477"/>
      <c r="HQP1680" s="2477"/>
      <c r="HQQ1680" s="2477"/>
      <c r="HQR1680" s="2477"/>
      <c r="HQS1680" s="2477"/>
      <c r="HQT1680" s="2477"/>
      <c r="HQU1680" s="2477"/>
      <c r="HQV1680" s="2477"/>
      <c r="HQW1680" s="2477"/>
      <c r="HQX1680" s="2477"/>
      <c r="HQY1680" s="2477"/>
      <c r="HQZ1680" s="2477"/>
      <c r="HRA1680" s="2477"/>
      <c r="HRB1680" s="2477"/>
      <c r="HRC1680" s="2477"/>
      <c r="HRD1680" s="2477"/>
      <c r="HRE1680" s="2477"/>
      <c r="HRF1680" s="2477"/>
      <c r="HRG1680" s="2477"/>
      <c r="HRH1680" s="2477"/>
      <c r="HRI1680" s="2477"/>
      <c r="HRJ1680" s="2477"/>
      <c r="HRK1680" s="2477"/>
      <c r="HRL1680" s="2477"/>
      <c r="HRM1680" s="2477"/>
      <c r="HRN1680" s="2477"/>
      <c r="HRO1680" s="2477"/>
      <c r="HRP1680" s="2477"/>
      <c r="HRQ1680" s="2477"/>
      <c r="HRR1680" s="2477"/>
      <c r="HRS1680" s="2477"/>
      <c r="HRT1680" s="2477"/>
      <c r="HRU1680" s="2477"/>
      <c r="HRV1680" s="2477"/>
      <c r="HRW1680" s="2477"/>
      <c r="HRX1680" s="2477"/>
      <c r="HRY1680" s="2477"/>
      <c r="HRZ1680" s="2477"/>
      <c r="HSA1680" s="2477"/>
      <c r="HSB1680" s="2477"/>
      <c r="HSC1680" s="2477"/>
      <c r="HSD1680" s="2477"/>
      <c r="HSE1680" s="2477"/>
      <c r="HSF1680" s="2477"/>
      <c r="HSG1680" s="2477"/>
      <c r="HSH1680" s="2477"/>
      <c r="HSI1680" s="2477"/>
      <c r="HSJ1680" s="2477"/>
      <c r="HSK1680" s="2477"/>
      <c r="HSL1680" s="2477"/>
      <c r="HSM1680" s="2477"/>
      <c r="HSN1680" s="2477"/>
      <c r="HSO1680" s="2477"/>
      <c r="HSP1680" s="2477"/>
      <c r="HSQ1680" s="2477"/>
      <c r="HSR1680" s="2477"/>
      <c r="HSS1680" s="2477"/>
      <c r="HST1680" s="2477"/>
      <c r="HSU1680" s="2477"/>
      <c r="HSV1680" s="2477"/>
      <c r="HSW1680" s="2477"/>
      <c r="HSX1680" s="2477"/>
      <c r="HSY1680" s="2477"/>
      <c r="HSZ1680" s="2477"/>
      <c r="HTA1680" s="2477"/>
      <c r="HTB1680" s="2477"/>
      <c r="HTC1680" s="2477"/>
      <c r="HTD1680" s="2477"/>
      <c r="HTE1680" s="2477"/>
      <c r="HTF1680" s="2477"/>
      <c r="HTG1680" s="2477"/>
      <c r="HTH1680" s="2477"/>
      <c r="HTI1680" s="2477"/>
      <c r="HTJ1680" s="2477"/>
      <c r="HTK1680" s="2477"/>
      <c r="HTL1680" s="2477"/>
      <c r="HTM1680" s="2477"/>
      <c r="HTN1680" s="2477"/>
      <c r="HTO1680" s="2477"/>
      <c r="HTP1680" s="2477"/>
      <c r="HTQ1680" s="2477"/>
      <c r="HTR1680" s="2477"/>
      <c r="HTS1680" s="2477"/>
      <c r="HTT1680" s="2477"/>
      <c r="HTU1680" s="2477"/>
      <c r="HTV1680" s="2477"/>
      <c r="HTW1680" s="2477"/>
      <c r="HTX1680" s="2477"/>
      <c r="HTY1680" s="2477"/>
      <c r="HTZ1680" s="2477"/>
      <c r="HUA1680" s="2477"/>
      <c r="HUB1680" s="2477"/>
      <c r="HUC1680" s="2477"/>
      <c r="HUD1680" s="2477"/>
      <c r="HUE1680" s="2477"/>
      <c r="HUF1680" s="2477"/>
      <c r="HUG1680" s="2477"/>
      <c r="HUH1680" s="2477"/>
      <c r="HUI1680" s="2477"/>
      <c r="HUJ1680" s="2477"/>
      <c r="HUK1680" s="2477"/>
      <c r="HUL1680" s="2477"/>
      <c r="HUM1680" s="2477"/>
      <c r="HUN1680" s="2477"/>
      <c r="HUO1680" s="2477"/>
      <c r="HUP1680" s="2477"/>
      <c r="HUQ1680" s="2477"/>
      <c r="HUR1680" s="2477"/>
      <c r="HUS1680" s="2477"/>
      <c r="HUT1680" s="2477"/>
      <c r="HUU1680" s="2477"/>
      <c r="HUV1680" s="2477"/>
      <c r="HUW1680" s="2477"/>
      <c r="HUX1680" s="2477"/>
      <c r="HUY1680" s="2477"/>
      <c r="HUZ1680" s="2477"/>
      <c r="HVA1680" s="2477"/>
      <c r="HVB1680" s="2477"/>
      <c r="HVC1680" s="2477"/>
      <c r="HVD1680" s="2477"/>
      <c r="HVE1680" s="2477"/>
      <c r="HVF1680" s="2477"/>
      <c r="HVG1680" s="2477"/>
      <c r="HVH1680" s="2477"/>
      <c r="HVI1680" s="2477"/>
      <c r="HVJ1680" s="2477"/>
      <c r="HVK1680" s="2477"/>
      <c r="HVL1680" s="2477"/>
      <c r="HVM1680" s="2477"/>
      <c r="HVN1680" s="2477"/>
      <c r="HVO1680" s="2477"/>
      <c r="HVP1680" s="2477"/>
      <c r="HVQ1680" s="2477"/>
      <c r="HVR1680" s="2477"/>
      <c r="HVS1680" s="2477"/>
      <c r="HVT1680" s="2477"/>
      <c r="HVU1680" s="2477"/>
      <c r="HVV1680" s="2477"/>
      <c r="HVW1680" s="2477"/>
      <c r="HVX1680" s="2477"/>
      <c r="HVY1680" s="2477"/>
      <c r="HVZ1680" s="2477"/>
      <c r="HWA1680" s="2477"/>
      <c r="HWB1680" s="2477"/>
      <c r="HWC1680" s="2477"/>
      <c r="HWD1680" s="2477"/>
      <c r="HWE1680" s="2477"/>
      <c r="HWF1680" s="2477"/>
      <c r="HWG1680" s="2477"/>
      <c r="HWH1680" s="2477"/>
      <c r="HWI1680" s="2477"/>
      <c r="HWJ1680" s="2477"/>
      <c r="HWK1680" s="2477"/>
      <c r="HWL1680" s="2477"/>
      <c r="HWM1680" s="2477"/>
      <c r="HWN1680" s="2477"/>
      <c r="HWO1680" s="2477"/>
      <c r="HWP1680" s="2477"/>
      <c r="HWQ1680" s="2477"/>
      <c r="HWR1680" s="2477"/>
      <c r="HWS1680" s="2477"/>
      <c r="HWT1680" s="2477"/>
      <c r="HWU1680" s="2477"/>
      <c r="HWV1680" s="2477"/>
      <c r="HWW1680" s="2477"/>
      <c r="HWX1680" s="2477"/>
      <c r="HWY1680" s="2477"/>
      <c r="HWZ1680" s="2477"/>
      <c r="HXA1680" s="2477"/>
      <c r="HXB1680" s="2477"/>
      <c r="HXC1680" s="2477"/>
      <c r="HXD1680" s="2477"/>
      <c r="HXE1680" s="2477"/>
      <c r="HXF1680" s="2477"/>
      <c r="HXG1680" s="2477"/>
      <c r="HXH1680" s="2477"/>
      <c r="HXI1680" s="2477"/>
      <c r="HXJ1680" s="2477"/>
      <c r="HXK1680" s="2477"/>
      <c r="HXL1680" s="2477"/>
      <c r="HXM1680" s="2477"/>
      <c r="HXN1680" s="2477"/>
      <c r="HXO1680" s="2477"/>
      <c r="HXP1680" s="2477"/>
      <c r="HXQ1680" s="2477"/>
      <c r="HXR1680" s="2477"/>
      <c r="HXS1680" s="2477"/>
      <c r="HXT1680" s="2477"/>
      <c r="HXU1680" s="2477"/>
      <c r="HXV1680" s="2477"/>
      <c r="HXW1680" s="2477"/>
      <c r="HXX1680" s="2477"/>
      <c r="HXY1680" s="2477"/>
      <c r="HXZ1680" s="2477"/>
      <c r="HYA1680" s="2477"/>
      <c r="HYB1680" s="2477"/>
      <c r="HYC1680" s="2477"/>
      <c r="HYD1680" s="2477"/>
      <c r="HYE1680" s="2477"/>
      <c r="HYF1680" s="2477"/>
      <c r="HYG1680" s="2477"/>
      <c r="HYH1680" s="2477"/>
      <c r="HYI1680" s="2477"/>
      <c r="HYJ1680" s="2477"/>
      <c r="HYK1680" s="2477"/>
      <c r="HYL1680" s="2477"/>
      <c r="HYM1680" s="2477"/>
      <c r="HYN1680" s="2477"/>
      <c r="HYO1680" s="2477"/>
      <c r="HYP1680" s="2477"/>
      <c r="HYQ1680" s="2477"/>
      <c r="HYR1680" s="2477"/>
      <c r="HYS1680" s="2477"/>
      <c r="HYT1680" s="2477"/>
      <c r="HYU1680" s="2477"/>
      <c r="HYV1680" s="2477"/>
      <c r="HYW1680" s="2477"/>
      <c r="HYX1680" s="2477"/>
      <c r="HYY1680" s="2477"/>
      <c r="HYZ1680" s="2477"/>
      <c r="HZA1680" s="2477"/>
      <c r="HZB1680" s="2477"/>
      <c r="HZC1680" s="2477"/>
      <c r="HZD1680" s="2477"/>
      <c r="HZE1680" s="2477"/>
      <c r="HZF1680" s="2477"/>
      <c r="HZG1680" s="2477"/>
      <c r="HZH1680" s="2477"/>
      <c r="HZI1680" s="2477"/>
      <c r="HZJ1680" s="2477"/>
      <c r="HZK1680" s="2477"/>
      <c r="HZL1680" s="2477"/>
      <c r="HZM1680" s="2477"/>
      <c r="HZN1680" s="2477"/>
      <c r="HZO1680" s="2477"/>
      <c r="HZP1680" s="2477"/>
      <c r="HZQ1680" s="2477"/>
      <c r="HZR1680" s="2477"/>
      <c r="HZS1680" s="2477"/>
      <c r="HZT1680" s="2477"/>
      <c r="HZU1680" s="2477"/>
      <c r="HZV1680" s="2477"/>
      <c r="HZW1680" s="2477"/>
      <c r="HZX1680" s="2477"/>
      <c r="HZY1680" s="2477"/>
      <c r="HZZ1680" s="2477"/>
      <c r="IAA1680" s="2477"/>
      <c r="IAB1680" s="2477"/>
      <c r="IAC1680" s="2477"/>
      <c r="IAD1680" s="2477"/>
      <c r="IAE1680" s="2477"/>
      <c r="IAF1680" s="2477"/>
      <c r="IAG1680" s="2477"/>
      <c r="IAH1680" s="2477"/>
      <c r="IAI1680" s="2477"/>
      <c r="IAJ1680" s="2477"/>
      <c r="IAK1680" s="2477"/>
      <c r="IAL1680" s="2477"/>
      <c r="IAM1680" s="2477"/>
      <c r="IAN1680" s="2477"/>
      <c r="IAO1680" s="2477"/>
      <c r="IAP1680" s="2477"/>
      <c r="IAQ1680" s="2477"/>
      <c r="IAR1680" s="2477"/>
      <c r="IAS1680" s="2477"/>
      <c r="IAT1680" s="2477"/>
      <c r="IAU1680" s="2477"/>
      <c r="IAV1680" s="2477"/>
      <c r="IAW1680" s="2477"/>
      <c r="IAX1680" s="2477"/>
      <c r="IAY1680" s="2477"/>
      <c r="IAZ1680" s="2477"/>
      <c r="IBA1680" s="2477"/>
      <c r="IBB1680" s="2477"/>
      <c r="IBC1680" s="2477"/>
      <c r="IBD1680" s="2477"/>
      <c r="IBE1680" s="2477"/>
      <c r="IBF1680" s="2477"/>
      <c r="IBG1680" s="2477"/>
      <c r="IBH1680" s="2477"/>
      <c r="IBI1680" s="2477"/>
      <c r="IBJ1680" s="2477"/>
      <c r="IBK1680" s="2477"/>
      <c r="IBL1680" s="2477"/>
      <c r="IBM1680" s="2477"/>
      <c r="IBN1680" s="2477"/>
      <c r="IBO1680" s="2477"/>
      <c r="IBP1680" s="2477"/>
      <c r="IBQ1680" s="2477"/>
      <c r="IBR1680" s="2477"/>
      <c r="IBS1680" s="2477"/>
      <c r="IBT1680" s="2477"/>
      <c r="IBU1680" s="2477"/>
      <c r="IBV1680" s="2477"/>
      <c r="IBW1680" s="2477"/>
      <c r="IBX1680" s="2477"/>
      <c r="IBY1680" s="2477"/>
      <c r="IBZ1680" s="2477"/>
      <c r="ICA1680" s="2477"/>
      <c r="ICB1680" s="2477"/>
      <c r="ICC1680" s="2477"/>
      <c r="ICD1680" s="2477"/>
      <c r="ICE1680" s="2477"/>
      <c r="ICF1680" s="2477"/>
      <c r="ICG1680" s="2477"/>
      <c r="ICH1680" s="2477"/>
      <c r="ICI1680" s="2477"/>
      <c r="ICJ1680" s="2477"/>
      <c r="ICK1680" s="2477"/>
      <c r="ICL1680" s="2477"/>
      <c r="ICM1680" s="2477"/>
      <c r="ICN1680" s="2477"/>
      <c r="ICO1680" s="2477"/>
      <c r="ICP1680" s="2477"/>
      <c r="ICQ1680" s="2477"/>
      <c r="ICR1680" s="2477"/>
      <c r="ICS1680" s="2477"/>
      <c r="ICT1680" s="2477"/>
      <c r="ICU1680" s="2477"/>
      <c r="ICV1680" s="2477"/>
      <c r="ICW1680" s="2477"/>
      <c r="ICX1680" s="2477"/>
      <c r="ICY1680" s="2477"/>
      <c r="ICZ1680" s="2477"/>
      <c r="IDA1680" s="2477"/>
      <c r="IDB1680" s="2477"/>
      <c r="IDC1680" s="2477"/>
      <c r="IDD1680" s="2477"/>
      <c r="IDE1680" s="2477"/>
      <c r="IDF1680" s="2477"/>
      <c r="IDG1680" s="2477"/>
      <c r="IDH1680" s="2477"/>
      <c r="IDI1680" s="2477"/>
      <c r="IDJ1680" s="2477"/>
      <c r="IDK1680" s="2477"/>
      <c r="IDL1680" s="2477"/>
      <c r="IDM1680" s="2477"/>
      <c r="IDN1680" s="2477"/>
      <c r="IDO1680" s="2477"/>
      <c r="IDP1680" s="2477"/>
      <c r="IDQ1680" s="2477"/>
      <c r="IDR1680" s="2477"/>
      <c r="IDS1680" s="2477"/>
      <c r="IDT1680" s="2477"/>
      <c r="IDU1680" s="2477"/>
      <c r="IDV1680" s="2477"/>
      <c r="IDW1680" s="2477"/>
      <c r="IDX1680" s="2477"/>
      <c r="IDY1680" s="2477"/>
      <c r="IDZ1680" s="2477"/>
      <c r="IEA1680" s="2477"/>
      <c r="IEB1680" s="2477"/>
      <c r="IEC1680" s="2477"/>
      <c r="IED1680" s="2477"/>
      <c r="IEE1680" s="2477"/>
      <c r="IEF1680" s="2477"/>
      <c r="IEG1680" s="2477"/>
      <c r="IEH1680" s="2477"/>
      <c r="IEI1680" s="2477"/>
      <c r="IEJ1680" s="2477"/>
      <c r="IEK1680" s="2477"/>
      <c r="IEL1680" s="2477"/>
      <c r="IEM1680" s="2477"/>
      <c r="IEN1680" s="2477"/>
      <c r="IEO1680" s="2477"/>
      <c r="IEP1680" s="2477"/>
      <c r="IEQ1680" s="2477"/>
      <c r="IER1680" s="2477"/>
      <c r="IES1680" s="2477"/>
      <c r="IET1680" s="2477"/>
      <c r="IEU1680" s="2477"/>
      <c r="IEV1680" s="2477"/>
      <c r="IEW1680" s="2477"/>
      <c r="IEX1680" s="2477"/>
      <c r="IEY1680" s="2477"/>
      <c r="IEZ1680" s="2477"/>
      <c r="IFA1680" s="2477"/>
      <c r="IFB1680" s="2477"/>
      <c r="IFC1680" s="2477"/>
      <c r="IFD1680" s="2477"/>
      <c r="IFE1680" s="2477"/>
      <c r="IFF1680" s="2477"/>
      <c r="IFG1680" s="2477"/>
      <c r="IFH1680" s="2477"/>
      <c r="IFI1680" s="2477"/>
      <c r="IFJ1680" s="2477"/>
      <c r="IFK1680" s="2477"/>
      <c r="IFL1680" s="2477"/>
      <c r="IFM1680" s="2477"/>
      <c r="IFN1680" s="2477"/>
      <c r="IFO1680" s="2477"/>
      <c r="IFP1680" s="2477"/>
      <c r="IFQ1680" s="2477"/>
      <c r="IFR1680" s="2477"/>
      <c r="IFS1680" s="2477"/>
      <c r="IFT1680" s="2477"/>
      <c r="IFU1680" s="2477"/>
      <c r="IFV1680" s="2477"/>
      <c r="IFW1680" s="2477"/>
      <c r="IFX1680" s="2477"/>
      <c r="IFY1680" s="2477"/>
      <c r="IFZ1680" s="2477"/>
      <c r="IGA1680" s="2477"/>
      <c r="IGB1680" s="2477"/>
      <c r="IGC1680" s="2477"/>
      <c r="IGD1680" s="2477"/>
      <c r="IGE1680" s="2477"/>
      <c r="IGF1680" s="2477"/>
      <c r="IGG1680" s="2477"/>
      <c r="IGH1680" s="2477"/>
      <c r="IGI1680" s="2477"/>
      <c r="IGJ1680" s="2477"/>
      <c r="IGK1680" s="2477"/>
      <c r="IGL1680" s="2477"/>
      <c r="IGM1680" s="2477"/>
      <c r="IGN1680" s="2477"/>
      <c r="IGO1680" s="2477"/>
      <c r="IGP1680" s="2477"/>
      <c r="IGQ1680" s="2477"/>
      <c r="IGR1680" s="2477"/>
      <c r="IGS1680" s="2477"/>
      <c r="IGT1680" s="2477"/>
      <c r="IGU1680" s="2477"/>
      <c r="IGV1680" s="2477"/>
      <c r="IGW1680" s="2477"/>
      <c r="IGX1680" s="2477"/>
      <c r="IGY1680" s="2477"/>
      <c r="IGZ1680" s="2477"/>
      <c r="IHA1680" s="2477"/>
      <c r="IHB1680" s="2477"/>
      <c r="IHC1680" s="2477"/>
      <c r="IHD1680" s="2477"/>
      <c r="IHE1680" s="2477"/>
      <c r="IHF1680" s="2477"/>
      <c r="IHG1680" s="2477"/>
      <c r="IHH1680" s="2477"/>
      <c r="IHI1680" s="2477"/>
      <c r="IHJ1680" s="2477"/>
      <c r="IHK1680" s="2477"/>
      <c r="IHL1680" s="2477"/>
      <c r="IHM1680" s="2477"/>
      <c r="IHN1680" s="2477"/>
      <c r="IHO1680" s="2477"/>
      <c r="IHP1680" s="2477"/>
      <c r="IHQ1680" s="2477"/>
      <c r="IHR1680" s="2477"/>
      <c r="IHS1680" s="2477"/>
      <c r="IHT1680" s="2477"/>
      <c r="IHU1680" s="2477"/>
      <c r="IHV1680" s="2477"/>
      <c r="IHW1680" s="2477"/>
      <c r="IHX1680" s="2477"/>
      <c r="IHY1680" s="2477"/>
      <c r="IHZ1680" s="2477"/>
      <c r="IIA1680" s="2477"/>
      <c r="IIB1680" s="2477"/>
      <c r="IIC1680" s="2477"/>
      <c r="IID1680" s="2477"/>
      <c r="IIE1680" s="2477"/>
      <c r="IIF1680" s="2477"/>
      <c r="IIG1680" s="2477"/>
      <c r="IIH1680" s="2477"/>
      <c r="III1680" s="2477"/>
      <c r="IIJ1680" s="2477"/>
      <c r="IIK1680" s="2477"/>
      <c r="IIL1680" s="2477"/>
      <c r="IIM1680" s="2477"/>
      <c r="IIN1680" s="2477"/>
      <c r="IIO1680" s="2477"/>
      <c r="IIP1680" s="2477"/>
      <c r="IIQ1680" s="2477"/>
      <c r="IIR1680" s="2477"/>
      <c r="IIS1680" s="2477"/>
      <c r="IIT1680" s="2477"/>
      <c r="IIU1680" s="2477"/>
      <c r="IIV1680" s="2477"/>
      <c r="IIW1680" s="2477"/>
      <c r="IIX1680" s="2477"/>
      <c r="IIY1680" s="2477"/>
      <c r="IIZ1680" s="2477"/>
      <c r="IJA1680" s="2477"/>
      <c r="IJB1680" s="2477"/>
      <c r="IJC1680" s="2477"/>
      <c r="IJD1680" s="2477"/>
      <c r="IJE1680" s="2477"/>
      <c r="IJF1680" s="2477"/>
      <c r="IJG1680" s="2477"/>
      <c r="IJH1680" s="2477"/>
      <c r="IJI1680" s="2477"/>
      <c r="IJJ1680" s="2477"/>
      <c r="IJK1680" s="2477"/>
      <c r="IJL1680" s="2477"/>
      <c r="IJM1680" s="2477"/>
      <c r="IJN1680" s="2477"/>
      <c r="IJO1680" s="2477"/>
      <c r="IJP1680" s="2477"/>
      <c r="IJQ1680" s="2477"/>
      <c r="IJR1680" s="2477"/>
      <c r="IJS1680" s="2477"/>
      <c r="IJT1680" s="2477"/>
      <c r="IJU1680" s="2477"/>
      <c r="IJV1680" s="2477"/>
      <c r="IJW1680" s="2477"/>
      <c r="IJX1680" s="2477"/>
      <c r="IJY1680" s="2477"/>
      <c r="IJZ1680" s="2477"/>
      <c r="IKA1680" s="2477"/>
      <c r="IKB1680" s="2477"/>
      <c r="IKC1680" s="2477"/>
      <c r="IKD1680" s="2477"/>
      <c r="IKE1680" s="2477"/>
      <c r="IKF1680" s="2477"/>
      <c r="IKG1680" s="2477"/>
      <c r="IKH1680" s="2477"/>
      <c r="IKI1680" s="2477"/>
      <c r="IKJ1680" s="2477"/>
      <c r="IKK1680" s="2477"/>
      <c r="IKL1680" s="2477"/>
      <c r="IKM1680" s="2477"/>
      <c r="IKN1680" s="2477"/>
      <c r="IKO1680" s="2477"/>
      <c r="IKP1680" s="2477"/>
      <c r="IKQ1680" s="2477"/>
      <c r="IKR1680" s="2477"/>
      <c r="IKS1680" s="2477"/>
      <c r="IKT1680" s="2477"/>
      <c r="IKU1680" s="2477"/>
      <c r="IKV1680" s="2477"/>
      <c r="IKW1680" s="2477"/>
      <c r="IKX1680" s="2477"/>
      <c r="IKY1680" s="2477"/>
      <c r="IKZ1680" s="2477"/>
      <c r="ILA1680" s="2477"/>
      <c r="ILB1680" s="2477"/>
      <c r="ILC1680" s="2477"/>
      <c r="ILD1680" s="2477"/>
      <c r="ILE1680" s="2477"/>
      <c r="ILF1680" s="2477"/>
      <c r="ILG1680" s="2477"/>
      <c r="ILH1680" s="2477"/>
      <c r="ILI1680" s="2477"/>
      <c r="ILJ1680" s="2477"/>
      <c r="ILK1680" s="2477"/>
      <c r="ILL1680" s="2477"/>
      <c r="ILM1680" s="2477"/>
      <c r="ILN1680" s="2477"/>
      <c r="ILO1680" s="2477"/>
      <c r="ILP1680" s="2477"/>
      <c r="ILQ1680" s="2477"/>
      <c r="ILR1680" s="2477"/>
      <c r="ILS1680" s="2477"/>
      <c r="ILT1680" s="2477"/>
      <c r="ILU1680" s="2477"/>
      <c r="ILV1680" s="2477"/>
      <c r="ILW1680" s="2477"/>
      <c r="ILX1680" s="2477"/>
      <c r="ILY1680" s="2477"/>
      <c r="ILZ1680" s="2477"/>
      <c r="IMA1680" s="2477"/>
      <c r="IMB1680" s="2477"/>
      <c r="IMC1680" s="2477"/>
      <c r="IMD1680" s="2477"/>
      <c r="IME1680" s="2477"/>
      <c r="IMF1680" s="2477"/>
      <c r="IMG1680" s="2477"/>
      <c r="IMH1680" s="2477"/>
      <c r="IMI1680" s="2477"/>
      <c r="IMJ1680" s="2477"/>
      <c r="IMK1680" s="2477"/>
      <c r="IML1680" s="2477"/>
      <c r="IMM1680" s="2477"/>
      <c r="IMN1680" s="2477"/>
      <c r="IMO1680" s="2477"/>
      <c r="IMP1680" s="2477"/>
      <c r="IMQ1680" s="2477"/>
      <c r="IMR1680" s="2477"/>
      <c r="IMS1680" s="2477"/>
      <c r="IMT1680" s="2477"/>
      <c r="IMU1680" s="2477"/>
      <c r="IMV1680" s="2477"/>
      <c r="IMW1680" s="2477"/>
      <c r="IMX1680" s="2477"/>
      <c r="IMY1680" s="2477"/>
      <c r="IMZ1680" s="2477"/>
      <c r="INA1680" s="2477"/>
      <c r="INB1680" s="2477"/>
      <c r="INC1680" s="2477"/>
      <c r="IND1680" s="2477"/>
      <c r="INE1680" s="2477"/>
      <c r="INF1680" s="2477"/>
      <c r="ING1680" s="2477"/>
      <c r="INH1680" s="2477"/>
      <c r="INI1680" s="2477"/>
      <c r="INJ1680" s="2477"/>
      <c r="INK1680" s="2477"/>
      <c r="INL1680" s="2477"/>
      <c r="INM1680" s="2477"/>
      <c r="INN1680" s="2477"/>
      <c r="INO1680" s="2477"/>
      <c r="INP1680" s="2477"/>
      <c r="INQ1680" s="2477"/>
      <c r="INR1680" s="2477"/>
      <c r="INS1680" s="2477"/>
      <c r="INT1680" s="2477"/>
      <c r="INU1680" s="2477"/>
      <c r="INV1680" s="2477"/>
      <c r="INW1680" s="2477"/>
      <c r="INX1680" s="2477"/>
      <c r="INY1680" s="2477"/>
      <c r="INZ1680" s="2477"/>
      <c r="IOA1680" s="2477"/>
      <c r="IOB1680" s="2477"/>
      <c r="IOC1680" s="2477"/>
      <c r="IOD1680" s="2477"/>
      <c r="IOE1680" s="2477"/>
      <c r="IOF1680" s="2477"/>
      <c r="IOG1680" s="2477"/>
      <c r="IOH1680" s="2477"/>
      <c r="IOI1680" s="2477"/>
      <c r="IOJ1680" s="2477"/>
      <c r="IOK1680" s="2477"/>
      <c r="IOL1680" s="2477"/>
      <c r="IOM1680" s="2477"/>
      <c r="ION1680" s="2477"/>
      <c r="IOO1680" s="2477"/>
      <c r="IOP1680" s="2477"/>
      <c r="IOQ1680" s="2477"/>
      <c r="IOR1680" s="2477"/>
      <c r="IOS1680" s="2477"/>
      <c r="IOT1680" s="2477"/>
      <c r="IOU1680" s="2477"/>
      <c r="IOV1680" s="2477"/>
      <c r="IOW1680" s="2477"/>
      <c r="IOX1680" s="2477"/>
      <c r="IOY1680" s="2477"/>
      <c r="IOZ1680" s="2477"/>
      <c r="IPA1680" s="2477"/>
      <c r="IPB1680" s="2477"/>
      <c r="IPC1680" s="2477"/>
      <c r="IPD1680" s="2477"/>
      <c r="IPE1680" s="2477"/>
      <c r="IPF1680" s="2477"/>
      <c r="IPG1680" s="2477"/>
      <c r="IPH1680" s="2477"/>
      <c r="IPI1680" s="2477"/>
      <c r="IPJ1680" s="2477"/>
      <c r="IPK1680" s="2477"/>
      <c r="IPL1680" s="2477"/>
      <c r="IPM1680" s="2477"/>
      <c r="IPN1680" s="2477"/>
      <c r="IPO1680" s="2477"/>
      <c r="IPP1680" s="2477"/>
      <c r="IPQ1680" s="2477"/>
      <c r="IPR1680" s="2477"/>
      <c r="IPS1680" s="2477"/>
      <c r="IPT1680" s="2477"/>
      <c r="IPU1680" s="2477"/>
      <c r="IPV1680" s="2477"/>
      <c r="IPW1680" s="2477"/>
      <c r="IPX1680" s="2477"/>
      <c r="IPY1680" s="2477"/>
      <c r="IPZ1680" s="2477"/>
      <c r="IQA1680" s="2477"/>
      <c r="IQB1680" s="2477"/>
      <c r="IQC1680" s="2477"/>
      <c r="IQD1680" s="2477"/>
      <c r="IQE1680" s="2477"/>
      <c r="IQF1680" s="2477"/>
      <c r="IQG1680" s="2477"/>
      <c r="IQH1680" s="2477"/>
      <c r="IQI1680" s="2477"/>
      <c r="IQJ1680" s="2477"/>
      <c r="IQK1680" s="2477"/>
      <c r="IQL1680" s="2477"/>
      <c r="IQM1680" s="2477"/>
      <c r="IQN1680" s="2477"/>
      <c r="IQO1680" s="2477"/>
      <c r="IQP1680" s="2477"/>
      <c r="IQQ1680" s="2477"/>
      <c r="IQR1680" s="2477"/>
      <c r="IQS1680" s="2477"/>
      <c r="IQT1680" s="2477"/>
      <c r="IQU1680" s="2477"/>
      <c r="IQV1680" s="2477"/>
      <c r="IQW1680" s="2477"/>
      <c r="IQX1680" s="2477"/>
      <c r="IQY1680" s="2477"/>
      <c r="IQZ1680" s="2477"/>
      <c r="IRA1680" s="2477"/>
      <c r="IRB1680" s="2477"/>
      <c r="IRC1680" s="2477"/>
      <c r="IRD1680" s="2477"/>
      <c r="IRE1680" s="2477"/>
      <c r="IRF1680" s="2477"/>
      <c r="IRG1680" s="2477"/>
      <c r="IRH1680" s="2477"/>
      <c r="IRI1680" s="2477"/>
      <c r="IRJ1680" s="2477"/>
      <c r="IRK1680" s="2477"/>
      <c r="IRL1680" s="2477"/>
      <c r="IRM1680" s="2477"/>
      <c r="IRN1680" s="2477"/>
      <c r="IRO1680" s="2477"/>
      <c r="IRP1680" s="2477"/>
      <c r="IRQ1680" s="2477"/>
      <c r="IRR1680" s="2477"/>
      <c r="IRS1680" s="2477"/>
      <c r="IRT1680" s="2477"/>
      <c r="IRU1680" s="2477"/>
      <c r="IRV1680" s="2477"/>
      <c r="IRW1680" s="2477"/>
      <c r="IRX1680" s="2477"/>
      <c r="IRY1680" s="2477"/>
      <c r="IRZ1680" s="2477"/>
      <c r="ISA1680" s="2477"/>
      <c r="ISB1680" s="2477"/>
      <c r="ISC1680" s="2477"/>
      <c r="ISD1680" s="2477"/>
      <c r="ISE1680" s="2477"/>
      <c r="ISF1680" s="2477"/>
      <c r="ISG1680" s="2477"/>
      <c r="ISH1680" s="2477"/>
      <c r="ISI1680" s="2477"/>
      <c r="ISJ1680" s="2477"/>
      <c r="ISK1680" s="2477"/>
      <c r="ISL1680" s="2477"/>
      <c r="ISM1680" s="2477"/>
      <c r="ISN1680" s="2477"/>
      <c r="ISO1680" s="2477"/>
      <c r="ISP1680" s="2477"/>
      <c r="ISQ1680" s="2477"/>
      <c r="ISR1680" s="2477"/>
      <c r="ISS1680" s="2477"/>
      <c r="IST1680" s="2477"/>
      <c r="ISU1680" s="2477"/>
      <c r="ISV1680" s="2477"/>
      <c r="ISW1680" s="2477"/>
      <c r="ISX1680" s="2477"/>
      <c r="ISY1680" s="2477"/>
      <c r="ISZ1680" s="2477"/>
      <c r="ITA1680" s="2477"/>
      <c r="ITB1680" s="2477"/>
      <c r="ITC1680" s="2477"/>
      <c r="ITD1680" s="2477"/>
      <c r="ITE1680" s="2477"/>
      <c r="ITF1680" s="2477"/>
      <c r="ITG1680" s="2477"/>
      <c r="ITH1680" s="2477"/>
      <c r="ITI1680" s="2477"/>
      <c r="ITJ1680" s="2477"/>
      <c r="ITK1680" s="2477"/>
      <c r="ITL1680" s="2477"/>
      <c r="ITM1680" s="2477"/>
      <c r="ITN1680" s="2477"/>
      <c r="ITO1680" s="2477"/>
      <c r="ITP1680" s="2477"/>
      <c r="ITQ1680" s="2477"/>
      <c r="ITR1680" s="2477"/>
      <c r="ITS1680" s="2477"/>
      <c r="ITT1680" s="2477"/>
      <c r="ITU1680" s="2477"/>
      <c r="ITV1680" s="2477"/>
      <c r="ITW1680" s="2477"/>
      <c r="ITX1680" s="2477"/>
      <c r="ITY1680" s="2477"/>
      <c r="ITZ1680" s="2477"/>
      <c r="IUA1680" s="2477"/>
      <c r="IUB1680" s="2477"/>
      <c r="IUC1680" s="2477"/>
      <c r="IUD1680" s="2477"/>
      <c r="IUE1680" s="2477"/>
      <c r="IUF1680" s="2477"/>
      <c r="IUG1680" s="2477"/>
      <c r="IUH1680" s="2477"/>
      <c r="IUI1680" s="2477"/>
      <c r="IUJ1680" s="2477"/>
      <c r="IUK1680" s="2477"/>
      <c r="IUL1680" s="2477"/>
      <c r="IUM1680" s="2477"/>
      <c r="IUN1680" s="2477"/>
      <c r="IUO1680" s="2477"/>
      <c r="IUP1680" s="2477"/>
      <c r="IUQ1680" s="2477"/>
      <c r="IUR1680" s="2477"/>
      <c r="IUS1680" s="2477"/>
      <c r="IUT1680" s="2477"/>
      <c r="IUU1680" s="2477"/>
      <c r="IUV1680" s="2477"/>
      <c r="IUW1680" s="2477"/>
      <c r="IUX1680" s="2477"/>
      <c r="IUY1680" s="2477"/>
      <c r="IUZ1680" s="2477"/>
      <c r="IVA1680" s="2477"/>
      <c r="IVB1680" s="2477"/>
      <c r="IVC1680" s="2477"/>
      <c r="IVD1680" s="2477"/>
      <c r="IVE1680" s="2477"/>
      <c r="IVF1680" s="2477"/>
      <c r="IVG1680" s="2477"/>
      <c r="IVH1680" s="2477"/>
      <c r="IVI1680" s="2477"/>
      <c r="IVJ1680" s="2477"/>
      <c r="IVK1680" s="2477"/>
      <c r="IVL1680" s="2477"/>
      <c r="IVM1680" s="2477"/>
      <c r="IVN1680" s="2477"/>
      <c r="IVO1680" s="2477"/>
      <c r="IVP1680" s="2477"/>
      <c r="IVQ1680" s="2477"/>
      <c r="IVR1680" s="2477"/>
      <c r="IVS1680" s="2477"/>
      <c r="IVT1680" s="2477"/>
      <c r="IVU1680" s="2477"/>
      <c r="IVV1680" s="2477"/>
      <c r="IVW1680" s="2477"/>
      <c r="IVX1680" s="2477"/>
      <c r="IVY1680" s="2477"/>
      <c r="IVZ1680" s="2477"/>
      <c r="IWA1680" s="2477"/>
      <c r="IWB1680" s="2477"/>
      <c r="IWC1680" s="2477"/>
      <c r="IWD1680" s="2477"/>
      <c r="IWE1680" s="2477"/>
      <c r="IWF1680" s="2477"/>
      <c r="IWG1680" s="2477"/>
      <c r="IWH1680" s="2477"/>
      <c r="IWI1680" s="2477"/>
      <c r="IWJ1680" s="2477"/>
      <c r="IWK1680" s="2477"/>
      <c r="IWL1680" s="2477"/>
      <c r="IWM1680" s="2477"/>
      <c r="IWN1680" s="2477"/>
      <c r="IWO1680" s="2477"/>
      <c r="IWP1680" s="2477"/>
      <c r="IWQ1680" s="2477"/>
      <c r="IWR1680" s="2477"/>
      <c r="IWS1680" s="2477"/>
      <c r="IWT1680" s="2477"/>
      <c r="IWU1680" s="2477"/>
      <c r="IWV1680" s="2477"/>
      <c r="IWW1680" s="2477"/>
      <c r="IWX1680" s="2477"/>
      <c r="IWY1680" s="2477"/>
      <c r="IWZ1680" s="2477"/>
      <c r="IXA1680" s="2477"/>
      <c r="IXB1680" s="2477"/>
      <c r="IXC1680" s="2477"/>
      <c r="IXD1680" s="2477"/>
      <c r="IXE1680" s="2477"/>
      <c r="IXF1680" s="2477"/>
      <c r="IXG1680" s="2477"/>
      <c r="IXH1680" s="2477"/>
      <c r="IXI1680" s="2477"/>
      <c r="IXJ1680" s="2477"/>
      <c r="IXK1680" s="2477"/>
      <c r="IXL1680" s="2477"/>
      <c r="IXM1680" s="2477"/>
      <c r="IXN1680" s="2477"/>
      <c r="IXO1680" s="2477"/>
      <c r="IXP1680" s="2477"/>
      <c r="IXQ1680" s="2477"/>
      <c r="IXR1680" s="2477"/>
      <c r="IXS1680" s="2477"/>
      <c r="IXT1680" s="2477"/>
      <c r="IXU1680" s="2477"/>
      <c r="IXV1680" s="2477"/>
      <c r="IXW1680" s="2477"/>
      <c r="IXX1680" s="2477"/>
      <c r="IXY1680" s="2477"/>
      <c r="IXZ1680" s="2477"/>
      <c r="IYA1680" s="2477"/>
      <c r="IYB1680" s="2477"/>
      <c r="IYC1680" s="2477"/>
      <c r="IYD1680" s="2477"/>
      <c r="IYE1680" s="2477"/>
      <c r="IYF1680" s="2477"/>
      <c r="IYG1680" s="2477"/>
      <c r="IYH1680" s="2477"/>
      <c r="IYI1680" s="2477"/>
      <c r="IYJ1680" s="2477"/>
      <c r="IYK1680" s="2477"/>
      <c r="IYL1680" s="2477"/>
      <c r="IYM1680" s="2477"/>
      <c r="IYN1680" s="2477"/>
      <c r="IYO1680" s="2477"/>
      <c r="IYP1680" s="2477"/>
      <c r="IYQ1680" s="2477"/>
      <c r="IYR1680" s="2477"/>
      <c r="IYS1680" s="2477"/>
      <c r="IYT1680" s="2477"/>
      <c r="IYU1680" s="2477"/>
      <c r="IYV1680" s="2477"/>
      <c r="IYW1680" s="2477"/>
      <c r="IYX1680" s="2477"/>
      <c r="IYY1680" s="2477"/>
      <c r="IYZ1680" s="2477"/>
      <c r="IZA1680" s="2477"/>
      <c r="IZB1680" s="2477"/>
      <c r="IZC1680" s="2477"/>
      <c r="IZD1680" s="2477"/>
      <c r="IZE1680" s="2477"/>
      <c r="IZF1680" s="2477"/>
      <c r="IZG1680" s="2477"/>
      <c r="IZH1680" s="2477"/>
      <c r="IZI1680" s="2477"/>
      <c r="IZJ1680" s="2477"/>
      <c r="IZK1680" s="2477"/>
      <c r="IZL1680" s="2477"/>
      <c r="IZM1680" s="2477"/>
      <c r="IZN1680" s="2477"/>
      <c r="IZO1680" s="2477"/>
      <c r="IZP1680" s="2477"/>
      <c r="IZQ1680" s="2477"/>
      <c r="IZR1680" s="2477"/>
      <c r="IZS1680" s="2477"/>
      <c r="IZT1680" s="2477"/>
      <c r="IZU1680" s="2477"/>
      <c r="IZV1680" s="2477"/>
      <c r="IZW1680" s="2477"/>
      <c r="IZX1680" s="2477"/>
      <c r="IZY1680" s="2477"/>
      <c r="IZZ1680" s="2477"/>
      <c r="JAA1680" s="2477"/>
      <c r="JAB1680" s="2477"/>
      <c r="JAC1680" s="2477"/>
      <c r="JAD1680" s="2477"/>
      <c r="JAE1680" s="2477"/>
      <c r="JAF1680" s="2477"/>
      <c r="JAG1680" s="2477"/>
      <c r="JAH1680" s="2477"/>
      <c r="JAI1680" s="2477"/>
      <c r="JAJ1680" s="2477"/>
      <c r="JAK1680" s="2477"/>
      <c r="JAL1680" s="2477"/>
      <c r="JAM1680" s="2477"/>
      <c r="JAN1680" s="2477"/>
      <c r="JAO1680" s="2477"/>
      <c r="JAP1680" s="2477"/>
      <c r="JAQ1680" s="2477"/>
      <c r="JAR1680" s="2477"/>
      <c r="JAS1680" s="2477"/>
      <c r="JAT1680" s="2477"/>
      <c r="JAU1680" s="2477"/>
      <c r="JAV1680" s="2477"/>
      <c r="JAW1680" s="2477"/>
      <c r="JAX1680" s="2477"/>
      <c r="JAY1680" s="2477"/>
      <c r="JAZ1680" s="2477"/>
      <c r="JBA1680" s="2477"/>
      <c r="JBB1680" s="2477"/>
      <c r="JBC1680" s="2477"/>
      <c r="JBD1680" s="2477"/>
      <c r="JBE1680" s="2477"/>
      <c r="JBF1680" s="2477"/>
      <c r="JBG1680" s="2477"/>
      <c r="JBH1680" s="2477"/>
      <c r="JBI1680" s="2477"/>
      <c r="JBJ1680" s="2477"/>
      <c r="JBK1680" s="2477"/>
      <c r="JBL1680" s="2477"/>
      <c r="JBM1680" s="2477"/>
      <c r="JBN1680" s="2477"/>
      <c r="JBO1680" s="2477"/>
      <c r="JBP1680" s="2477"/>
      <c r="JBQ1680" s="2477"/>
      <c r="JBR1680" s="2477"/>
      <c r="JBS1680" s="2477"/>
      <c r="JBT1680" s="2477"/>
      <c r="JBU1680" s="2477"/>
      <c r="JBV1680" s="2477"/>
      <c r="JBW1680" s="2477"/>
      <c r="JBX1680" s="2477"/>
      <c r="JBY1680" s="2477"/>
      <c r="JBZ1680" s="2477"/>
      <c r="JCA1680" s="2477"/>
      <c r="JCB1680" s="2477"/>
      <c r="JCC1680" s="2477"/>
      <c r="JCD1680" s="2477"/>
      <c r="JCE1680" s="2477"/>
      <c r="JCF1680" s="2477"/>
      <c r="JCG1680" s="2477"/>
      <c r="JCH1680" s="2477"/>
      <c r="JCI1680" s="2477"/>
      <c r="JCJ1680" s="2477"/>
      <c r="JCK1680" s="2477"/>
      <c r="JCL1680" s="2477"/>
      <c r="JCM1680" s="2477"/>
      <c r="JCN1680" s="2477"/>
      <c r="JCO1680" s="2477"/>
      <c r="JCP1680" s="2477"/>
      <c r="JCQ1680" s="2477"/>
      <c r="JCR1680" s="2477"/>
      <c r="JCS1680" s="2477"/>
      <c r="JCT1680" s="2477"/>
      <c r="JCU1680" s="2477"/>
      <c r="JCV1680" s="2477"/>
      <c r="JCW1680" s="2477"/>
      <c r="JCX1680" s="2477"/>
      <c r="JCY1680" s="2477"/>
      <c r="JCZ1680" s="2477"/>
      <c r="JDA1680" s="2477"/>
      <c r="JDB1680" s="2477"/>
      <c r="JDC1680" s="2477"/>
      <c r="JDD1680" s="2477"/>
      <c r="JDE1680" s="2477"/>
      <c r="JDF1680" s="2477"/>
      <c r="JDG1680" s="2477"/>
      <c r="JDH1680" s="2477"/>
      <c r="JDI1680" s="2477"/>
      <c r="JDJ1680" s="2477"/>
      <c r="JDK1680" s="2477"/>
      <c r="JDL1680" s="2477"/>
      <c r="JDM1680" s="2477"/>
      <c r="JDN1680" s="2477"/>
      <c r="JDO1680" s="2477"/>
      <c r="JDP1680" s="2477"/>
      <c r="JDQ1680" s="2477"/>
      <c r="JDR1680" s="2477"/>
      <c r="JDS1680" s="2477"/>
      <c r="JDT1680" s="2477"/>
      <c r="JDU1680" s="2477"/>
      <c r="JDV1680" s="2477"/>
      <c r="JDW1680" s="2477"/>
      <c r="JDX1680" s="2477"/>
      <c r="JDY1680" s="2477"/>
      <c r="JDZ1680" s="2477"/>
      <c r="JEA1680" s="2477"/>
      <c r="JEB1680" s="2477"/>
      <c r="JEC1680" s="2477"/>
      <c r="JED1680" s="2477"/>
      <c r="JEE1680" s="2477"/>
      <c r="JEF1680" s="2477"/>
      <c r="JEG1680" s="2477"/>
      <c r="JEH1680" s="2477"/>
      <c r="JEI1680" s="2477"/>
      <c r="JEJ1680" s="2477"/>
      <c r="JEK1680" s="2477"/>
      <c r="JEL1680" s="2477"/>
      <c r="JEM1680" s="2477"/>
      <c r="JEN1680" s="2477"/>
      <c r="JEO1680" s="2477"/>
      <c r="JEP1680" s="2477"/>
      <c r="JEQ1680" s="2477"/>
      <c r="JER1680" s="2477"/>
      <c r="JES1680" s="2477"/>
      <c r="JET1680" s="2477"/>
      <c r="JEU1680" s="2477"/>
      <c r="JEV1680" s="2477"/>
      <c r="JEW1680" s="2477"/>
      <c r="JEX1680" s="2477"/>
      <c r="JEY1680" s="2477"/>
      <c r="JEZ1680" s="2477"/>
      <c r="JFA1680" s="2477"/>
      <c r="JFB1680" s="2477"/>
      <c r="JFC1680" s="2477"/>
      <c r="JFD1680" s="2477"/>
      <c r="JFE1680" s="2477"/>
      <c r="JFF1680" s="2477"/>
      <c r="JFG1680" s="2477"/>
      <c r="JFH1680" s="2477"/>
      <c r="JFI1680" s="2477"/>
      <c r="JFJ1680" s="2477"/>
      <c r="JFK1680" s="2477"/>
      <c r="JFL1680" s="2477"/>
      <c r="JFM1680" s="2477"/>
      <c r="JFN1680" s="2477"/>
      <c r="JFO1680" s="2477"/>
      <c r="JFP1680" s="2477"/>
      <c r="JFQ1680" s="2477"/>
      <c r="JFR1680" s="2477"/>
      <c r="JFS1680" s="2477"/>
      <c r="JFT1680" s="2477"/>
      <c r="JFU1680" s="2477"/>
      <c r="JFV1680" s="2477"/>
      <c r="JFW1680" s="2477"/>
      <c r="JFX1680" s="2477"/>
      <c r="JFY1680" s="2477"/>
      <c r="JFZ1680" s="2477"/>
      <c r="JGA1680" s="2477"/>
      <c r="JGB1680" s="2477"/>
      <c r="JGC1680" s="2477"/>
      <c r="JGD1680" s="2477"/>
      <c r="JGE1680" s="2477"/>
      <c r="JGF1680" s="2477"/>
      <c r="JGG1680" s="2477"/>
      <c r="JGH1680" s="2477"/>
      <c r="JGI1680" s="2477"/>
      <c r="JGJ1680" s="2477"/>
      <c r="JGK1680" s="2477"/>
      <c r="JGL1680" s="2477"/>
      <c r="JGM1680" s="2477"/>
      <c r="JGN1680" s="2477"/>
      <c r="JGO1680" s="2477"/>
      <c r="JGP1680" s="2477"/>
      <c r="JGQ1680" s="2477"/>
      <c r="JGR1680" s="2477"/>
      <c r="JGS1680" s="2477"/>
      <c r="JGT1680" s="2477"/>
      <c r="JGU1680" s="2477"/>
      <c r="JGV1680" s="2477"/>
      <c r="JGW1680" s="2477"/>
      <c r="JGX1680" s="2477"/>
      <c r="JGY1680" s="2477"/>
      <c r="JGZ1680" s="2477"/>
      <c r="JHA1680" s="2477"/>
      <c r="JHB1680" s="2477"/>
      <c r="JHC1680" s="2477"/>
      <c r="JHD1680" s="2477"/>
      <c r="JHE1680" s="2477"/>
      <c r="JHF1680" s="2477"/>
      <c r="JHG1680" s="2477"/>
      <c r="JHH1680" s="2477"/>
      <c r="JHI1680" s="2477"/>
      <c r="JHJ1680" s="2477"/>
      <c r="JHK1680" s="2477"/>
      <c r="JHL1680" s="2477"/>
      <c r="JHM1680" s="2477"/>
      <c r="JHN1680" s="2477"/>
      <c r="JHO1680" s="2477"/>
      <c r="JHP1680" s="2477"/>
      <c r="JHQ1680" s="2477"/>
      <c r="JHR1680" s="2477"/>
      <c r="JHS1680" s="2477"/>
      <c r="JHT1680" s="2477"/>
      <c r="JHU1680" s="2477"/>
      <c r="JHV1680" s="2477"/>
      <c r="JHW1680" s="2477"/>
      <c r="JHX1680" s="2477"/>
      <c r="JHY1680" s="2477"/>
      <c r="JHZ1680" s="2477"/>
      <c r="JIA1680" s="2477"/>
      <c r="JIB1680" s="2477"/>
      <c r="JIC1680" s="2477"/>
      <c r="JID1680" s="2477"/>
      <c r="JIE1680" s="2477"/>
      <c r="JIF1680" s="2477"/>
      <c r="JIG1680" s="2477"/>
      <c r="JIH1680" s="2477"/>
      <c r="JII1680" s="2477"/>
      <c r="JIJ1680" s="2477"/>
      <c r="JIK1680" s="2477"/>
      <c r="JIL1680" s="2477"/>
      <c r="JIM1680" s="2477"/>
      <c r="JIN1680" s="2477"/>
      <c r="JIO1680" s="2477"/>
      <c r="JIP1680" s="2477"/>
      <c r="JIQ1680" s="2477"/>
      <c r="JIR1680" s="2477"/>
      <c r="JIS1680" s="2477"/>
      <c r="JIT1680" s="2477"/>
      <c r="JIU1680" s="2477"/>
      <c r="JIV1680" s="2477"/>
      <c r="JIW1680" s="2477"/>
      <c r="JIX1680" s="2477"/>
      <c r="JIY1680" s="2477"/>
      <c r="JIZ1680" s="2477"/>
      <c r="JJA1680" s="2477"/>
      <c r="JJB1680" s="2477"/>
      <c r="JJC1680" s="2477"/>
      <c r="JJD1680" s="2477"/>
      <c r="JJE1680" s="2477"/>
      <c r="JJF1680" s="2477"/>
      <c r="JJG1680" s="2477"/>
      <c r="JJH1680" s="2477"/>
      <c r="JJI1680" s="2477"/>
      <c r="JJJ1680" s="2477"/>
      <c r="JJK1680" s="2477"/>
      <c r="JJL1680" s="2477"/>
      <c r="JJM1680" s="2477"/>
      <c r="JJN1680" s="2477"/>
      <c r="JJO1680" s="2477"/>
      <c r="JJP1680" s="2477"/>
      <c r="JJQ1680" s="2477"/>
      <c r="JJR1680" s="2477"/>
      <c r="JJS1680" s="2477"/>
      <c r="JJT1680" s="2477"/>
      <c r="JJU1680" s="2477"/>
      <c r="JJV1680" s="2477"/>
      <c r="JJW1680" s="2477"/>
      <c r="JJX1680" s="2477"/>
      <c r="JJY1680" s="2477"/>
      <c r="JJZ1680" s="2477"/>
      <c r="JKA1680" s="2477"/>
      <c r="JKB1680" s="2477"/>
      <c r="JKC1680" s="2477"/>
      <c r="JKD1680" s="2477"/>
      <c r="JKE1680" s="2477"/>
      <c r="JKF1680" s="2477"/>
      <c r="JKG1680" s="2477"/>
      <c r="JKH1680" s="2477"/>
      <c r="JKI1680" s="2477"/>
      <c r="JKJ1680" s="2477"/>
      <c r="JKK1680" s="2477"/>
      <c r="JKL1680" s="2477"/>
      <c r="JKM1680" s="2477"/>
      <c r="JKN1680" s="2477"/>
      <c r="JKO1680" s="2477"/>
      <c r="JKP1680" s="2477"/>
      <c r="JKQ1680" s="2477"/>
      <c r="JKR1680" s="2477"/>
      <c r="JKS1680" s="2477"/>
      <c r="JKT1680" s="2477"/>
      <c r="JKU1680" s="2477"/>
      <c r="JKV1680" s="2477"/>
      <c r="JKW1680" s="2477"/>
      <c r="JKX1680" s="2477"/>
      <c r="JKY1680" s="2477"/>
      <c r="JKZ1680" s="2477"/>
      <c r="JLA1680" s="2477"/>
      <c r="JLB1680" s="2477"/>
      <c r="JLC1680" s="2477"/>
      <c r="JLD1680" s="2477"/>
      <c r="JLE1680" s="2477"/>
      <c r="JLF1680" s="2477"/>
      <c r="JLG1680" s="2477"/>
      <c r="JLH1680" s="2477"/>
      <c r="JLI1680" s="2477"/>
      <c r="JLJ1680" s="2477"/>
      <c r="JLK1680" s="2477"/>
      <c r="JLL1680" s="2477"/>
      <c r="JLM1680" s="2477"/>
      <c r="JLN1680" s="2477"/>
      <c r="JLO1680" s="2477"/>
      <c r="JLP1680" s="2477"/>
      <c r="JLQ1680" s="2477"/>
      <c r="JLR1680" s="2477"/>
      <c r="JLS1680" s="2477"/>
      <c r="JLT1680" s="2477"/>
      <c r="JLU1680" s="2477"/>
      <c r="JLV1680" s="2477"/>
      <c r="JLW1680" s="2477"/>
      <c r="JLX1680" s="2477"/>
      <c r="JLY1680" s="2477"/>
      <c r="JLZ1680" s="2477"/>
      <c r="JMA1680" s="2477"/>
      <c r="JMB1680" s="2477"/>
      <c r="JMC1680" s="2477"/>
      <c r="JMD1680" s="2477"/>
      <c r="JME1680" s="2477"/>
      <c r="JMF1680" s="2477"/>
      <c r="JMG1680" s="2477"/>
      <c r="JMH1680" s="2477"/>
      <c r="JMI1680" s="2477"/>
      <c r="JMJ1680" s="2477"/>
      <c r="JMK1680" s="2477"/>
      <c r="JML1680" s="2477"/>
      <c r="JMM1680" s="2477"/>
      <c r="JMN1680" s="2477"/>
      <c r="JMO1680" s="2477"/>
      <c r="JMP1680" s="2477"/>
      <c r="JMQ1680" s="2477"/>
      <c r="JMR1680" s="2477"/>
      <c r="JMS1680" s="2477"/>
      <c r="JMT1680" s="2477"/>
      <c r="JMU1680" s="2477"/>
      <c r="JMV1680" s="2477"/>
      <c r="JMW1680" s="2477"/>
      <c r="JMX1680" s="2477"/>
      <c r="JMY1680" s="2477"/>
      <c r="JMZ1680" s="2477"/>
      <c r="JNA1680" s="2477"/>
      <c r="JNB1680" s="2477"/>
      <c r="JNC1680" s="2477"/>
      <c r="JND1680" s="2477"/>
      <c r="JNE1680" s="2477"/>
      <c r="JNF1680" s="2477"/>
      <c r="JNG1680" s="2477"/>
      <c r="JNH1680" s="2477"/>
      <c r="JNI1680" s="2477"/>
      <c r="JNJ1680" s="2477"/>
      <c r="JNK1680" s="2477"/>
      <c r="JNL1680" s="2477"/>
      <c r="JNM1680" s="2477"/>
      <c r="JNN1680" s="2477"/>
      <c r="JNO1680" s="2477"/>
      <c r="JNP1680" s="2477"/>
      <c r="JNQ1680" s="2477"/>
      <c r="JNR1680" s="2477"/>
      <c r="JNS1680" s="2477"/>
      <c r="JNT1680" s="2477"/>
      <c r="JNU1680" s="2477"/>
      <c r="JNV1680" s="2477"/>
      <c r="JNW1680" s="2477"/>
      <c r="JNX1680" s="2477"/>
      <c r="JNY1680" s="2477"/>
      <c r="JNZ1680" s="2477"/>
      <c r="JOA1680" s="2477"/>
      <c r="JOB1680" s="2477"/>
      <c r="JOC1680" s="2477"/>
      <c r="JOD1680" s="2477"/>
      <c r="JOE1680" s="2477"/>
      <c r="JOF1680" s="2477"/>
      <c r="JOG1680" s="2477"/>
      <c r="JOH1680" s="2477"/>
      <c r="JOI1680" s="2477"/>
      <c r="JOJ1680" s="2477"/>
      <c r="JOK1680" s="2477"/>
      <c r="JOL1680" s="2477"/>
      <c r="JOM1680" s="2477"/>
      <c r="JON1680" s="2477"/>
      <c r="JOO1680" s="2477"/>
      <c r="JOP1680" s="2477"/>
      <c r="JOQ1680" s="2477"/>
      <c r="JOR1680" s="2477"/>
      <c r="JOS1680" s="2477"/>
      <c r="JOT1680" s="2477"/>
      <c r="JOU1680" s="2477"/>
      <c r="JOV1680" s="2477"/>
      <c r="JOW1680" s="2477"/>
      <c r="JOX1680" s="2477"/>
      <c r="JOY1680" s="2477"/>
      <c r="JOZ1680" s="2477"/>
      <c r="JPA1680" s="2477"/>
      <c r="JPB1680" s="2477"/>
      <c r="JPC1680" s="2477"/>
      <c r="JPD1680" s="2477"/>
      <c r="JPE1680" s="2477"/>
      <c r="JPF1680" s="2477"/>
      <c r="JPG1680" s="2477"/>
      <c r="JPH1680" s="2477"/>
      <c r="JPI1680" s="2477"/>
      <c r="JPJ1680" s="2477"/>
      <c r="JPK1680" s="2477"/>
      <c r="JPL1680" s="2477"/>
      <c r="JPM1680" s="2477"/>
      <c r="JPN1680" s="2477"/>
      <c r="JPO1680" s="2477"/>
      <c r="JPP1680" s="2477"/>
      <c r="JPQ1680" s="2477"/>
      <c r="JPR1680" s="2477"/>
      <c r="JPS1680" s="2477"/>
      <c r="JPT1680" s="2477"/>
      <c r="JPU1680" s="2477"/>
      <c r="JPV1680" s="2477"/>
      <c r="JPW1680" s="2477"/>
      <c r="JPX1680" s="2477"/>
      <c r="JPY1680" s="2477"/>
      <c r="JPZ1680" s="2477"/>
      <c r="JQA1680" s="2477"/>
      <c r="JQB1680" s="2477"/>
      <c r="JQC1680" s="2477"/>
      <c r="JQD1680" s="2477"/>
      <c r="JQE1680" s="2477"/>
      <c r="JQF1680" s="2477"/>
      <c r="JQG1680" s="2477"/>
      <c r="JQH1680" s="2477"/>
      <c r="JQI1680" s="2477"/>
      <c r="JQJ1680" s="2477"/>
      <c r="JQK1680" s="2477"/>
      <c r="JQL1680" s="2477"/>
      <c r="JQM1680" s="2477"/>
      <c r="JQN1680" s="2477"/>
      <c r="JQO1680" s="2477"/>
      <c r="JQP1680" s="2477"/>
      <c r="JQQ1680" s="2477"/>
      <c r="JQR1680" s="2477"/>
      <c r="JQS1680" s="2477"/>
      <c r="JQT1680" s="2477"/>
      <c r="JQU1680" s="2477"/>
      <c r="JQV1680" s="2477"/>
      <c r="JQW1680" s="2477"/>
      <c r="JQX1680" s="2477"/>
      <c r="JQY1680" s="2477"/>
      <c r="JQZ1680" s="2477"/>
      <c r="JRA1680" s="2477"/>
      <c r="JRB1680" s="2477"/>
      <c r="JRC1680" s="2477"/>
      <c r="JRD1680" s="2477"/>
      <c r="JRE1680" s="2477"/>
      <c r="JRF1680" s="2477"/>
      <c r="JRG1680" s="2477"/>
      <c r="JRH1680" s="2477"/>
      <c r="JRI1680" s="2477"/>
      <c r="JRJ1680" s="2477"/>
      <c r="JRK1680" s="2477"/>
      <c r="JRL1680" s="2477"/>
      <c r="JRM1680" s="2477"/>
      <c r="JRN1680" s="2477"/>
      <c r="JRO1680" s="2477"/>
      <c r="JRP1680" s="2477"/>
      <c r="JRQ1680" s="2477"/>
      <c r="JRR1680" s="2477"/>
      <c r="JRS1680" s="2477"/>
      <c r="JRT1680" s="2477"/>
      <c r="JRU1680" s="2477"/>
      <c r="JRV1680" s="2477"/>
      <c r="JRW1680" s="2477"/>
      <c r="JRX1680" s="2477"/>
      <c r="JRY1680" s="2477"/>
      <c r="JRZ1680" s="2477"/>
      <c r="JSA1680" s="2477"/>
      <c r="JSB1680" s="2477"/>
      <c r="JSC1680" s="2477"/>
      <c r="JSD1680" s="2477"/>
      <c r="JSE1680" s="2477"/>
      <c r="JSF1680" s="2477"/>
      <c r="JSG1680" s="2477"/>
      <c r="JSH1680" s="2477"/>
      <c r="JSI1680" s="2477"/>
      <c r="JSJ1680" s="2477"/>
      <c r="JSK1680" s="2477"/>
      <c r="JSL1680" s="2477"/>
      <c r="JSM1680" s="2477"/>
      <c r="JSN1680" s="2477"/>
      <c r="JSO1680" s="2477"/>
      <c r="JSP1680" s="2477"/>
      <c r="JSQ1680" s="2477"/>
      <c r="JSR1680" s="2477"/>
      <c r="JSS1680" s="2477"/>
      <c r="JST1680" s="2477"/>
      <c r="JSU1680" s="2477"/>
      <c r="JSV1680" s="2477"/>
      <c r="JSW1680" s="2477"/>
      <c r="JSX1680" s="2477"/>
      <c r="JSY1680" s="2477"/>
      <c r="JSZ1680" s="2477"/>
      <c r="JTA1680" s="2477"/>
      <c r="JTB1680" s="2477"/>
      <c r="JTC1680" s="2477"/>
      <c r="JTD1680" s="2477"/>
      <c r="JTE1680" s="2477"/>
      <c r="JTF1680" s="2477"/>
      <c r="JTG1680" s="2477"/>
      <c r="JTH1680" s="2477"/>
      <c r="JTI1680" s="2477"/>
      <c r="JTJ1680" s="2477"/>
      <c r="JTK1680" s="2477"/>
      <c r="JTL1680" s="2477"/>
      <c r="JTM1680" s="2477"/>
      <c r="JTN1680" s="2477"/>
      <c r="JTO1680" s="2477"/>
      <c r="JTP1680" s="2477"/>
      <c r="JTQ1680" s="2477"/>
      <c r="JTR1680" s="2477"/>
      <c r="JTS1680" s="2477"/>
      <c r="JTT1680" s="2477"/>
      <c r="JTU1680" s="2477"/>
      <c r="JTV1680" s="2477"/>
      <c r="JTW1680" s="2477"/>
      <c r="JTX1680" s="2477"/>
      <c r="JTY1680" s="2477"/>
      <c r="JTZ1680" s="2477"/>
      <c r="JUA1680" s="2477"/>
      <c r="JUB1680" s="2477"/>
      <c r="JUC1680" s="2477"/>
      <c r="JUD1680" s="2477"/>
      <c r="JUE1680" s="2477"/>
      <c r="JUF1680" s="2477"/>
      <c r="JUG1680" s="2477"/>
      <c r="JUH1680" s="2477"/>
      <c r="JUI1680" s="2477"/>
      <c r="JUJ1680" s="2477"/>
      <c r="JUK1680" s="2477"/>
      <c r="JUL1680" s="2477"/>
      <c r="JUM1680" s="2477"/>
      <c r="JUN1680" s="2477"/>
      <c r="JUO1680" s="2477"/>
      <c r="JUP1680" s="2477"/>
      <c r="JUQ1680" s="2477"/>
      <c r="JUR1680" s="2477"/>
      <c r="JUS1680" s="2477"/>
      <c r="JUT1680" s="2477"/>
      <c r="JUU1680" s="2477"/>
      <c r="JUV1680" s="2477"/>
      <c r="JUW1680" s="2477"/>
      <c r="JUX1680" s="2477"/>
      <c r="JUY1680" s="2477"/>
      <c r="JUZ1680" s="2477"/>
      <c r="JVA1680" s="2477"/>
      <c r="JVB1680" s="2477"/>
      <c r="JVC1680" s="2477"/>
      <c r="JVD1680" s="2477"/>
      <c r="JVE1680" s="2477"/>
      <c r="JVF1680" s="2477"/>
      <c r="JVG1680" s="2477"/>
      <c r="JVH1680" s="2477"/>
      <c r="JVI1680" s="2477"/>
      <c r="JVJ1680" s="2477"/>
      <c r="JVK1680" s="2477"/>
      <c r="JVL1680" s="2477"/>
      <c r="JVM1680" s="2477"/>
      <c r="JVN1680" s="2477"/>
      <c r="JVO1680" s="2477"/>
      <c r="JVP1680" s="2477"/>
      <c r="JVQ1680" s="2477"/>
      <c r="JVR1680" s="2477"/>
      <c r="JVS1680" s="2477"/>
      <c r="JVT1680" s="2477"/>
      <c r="JVU1680" s="2477"/>
      <c r="JVV1680" s="2477"/>
      <c r="JVW1680" s="2477"/>
      <c r="JVX1680" s="2477"/>
      <c r="JVY1680" s="2477"/>
      <c r="JVZ1680" s="2477"/>
      <c r="JWA1680" s="2477"/>
      <c r="JWB1680" s="2477"/>
      <c r="JWC1680" s="2477"/>
      <c r="JWD1680" s="2477"/>
      <c r="JWE1680" s="2477"/>
      <c r="JWF1680" s="2477"/>
      <c r="JWG1680" s="2477"/>
      <c r="JWH1680" s="2477"/>
      <c r="JWI1680" s="2477"/>
      <c r="JWJ1680" s="2477"/>
      <c r="JWK1680" s="2477"/>
      <c r="JWL1680" s="2477"/>
      <c r="JWM1680" s="2477"/>
      <c r="JWN1680" s="2477"/>
      <c r="JWO1680" s="2477"/>
      <c r="JWP1680" s="2477"/>
      <c r="JWQ1680" s="2477"/>
      <c r="JWR1680" s="2477"/>
      <c r="JWS1680" s="2477"/>
      <c r="JWT1680" s="2477"/>
      <c r="JWU1680" s="2477"/>
      <c r="JWV1680" s="2477"/>
      <c r="JWW1680" s="2477"/>
      <c r="JWX1680" s="2477"/>
      <c r="JWY1680" s="2477"/>
      <c r="JWZ1680" s="2477"/>
      <c r="JXA1680" s="2477"/>
      <c r="JXB1680" s="2477"/>
      <c r="JXC1680" s="2477"/>
      <c r="JXD1680" s="2477"/>
      <c r="JXE1680" s="2477"/>
      <c r="JXF1680" s="2477"/>
      <c r="JXG1680" s="2477"/>
      <c r="JXH1680" s="2477"/>
      <c r="JXI1680" s="2477"/>
      <c r="JXJ1680" s="2477"/>
      <c r="JXK1680" s="2477"/>
      <c r="JXL1680" s="2477"/>
      <c r="JXM1680" s="2477"/>
      <c r="JXN1680" s="2477"/>
      <c r="JXO1680" s="2477"/>
      <c r="JXP1680" s="2477"/>
      <c r="JXQ1680" s="2477"/>
      <c r="JXR1680" s="2477"/>
      <c r="JXS1680" s="2477"/>
      <c r="JXT1680" s="2477"/>
      <c r="JXU1680" s="2477"/>
      <c r="JXV1680" s="2477"/>
      <c r="JXW1680" s="2477"/>
      <c r="JXX1680" s="2477"/>
      <c r="JXY1680" s="2477"/>
      <c r="JXZ1680" s="2477"/>
      <c r="JYA1680" s="2477"/>
      <c r="JYB1680" s="2477"/>
      <c r="JYC1680" s="2477"/>
      <c r="JYD1680" s="2477"/>
      <c r="JYE1680" s="2477"/>
      <c r="JYF1680" s="2477"/>
      <c r="JYG1680" s="2477"/>
      <c r="JYH1680" s="2477"/>
      <c r="JYI1680" s="2477"/>
      <c r="JYJ1680" s="2477"/>
      <c r="JYK1680" s="2477"/>
      <c r="JYL1680" s="2477"/>
      <c r="JYM1680" s="2477"/>
      <c r="JYN1680" s="2477"/>
      <c r="JYO1680" s="2477"/>
      <c r="JYP1680" s="2477"/>
      <c r="JYQ1680" s="2477"/>
      <c r="JYR1680" s="2477"/>
      <c r="JYS1680" s="2477"/>
      <c r="JYT1680" s="2477"/>
      <c r="JYU1680" s="2477"/>
      <c r="JYV1680" s="2477"/>
      <c r="JYW1680" s="2477"/>
      <c r="JYX1680" s="2477"/>
      <c r="JYY1680" s="2477"/>
      <c r="JYZ1680" s="2477"/>
      <c r="JZA1680" s="2477"/>
      <c r="JZB1680" s="2477"/>
      <c r="JZC1680" s="2477"/>
      <c r="JZD1680" s="2477"/>
      <c r="JZE1680" s="2477"/>
      <c r="JZF1680" s="2477"/>
      <c r="JZG1680" s="2477"/>
      <c r="JZH1680" s="2477"/>
      <c r="JZI1680" s="2477"/>
      <c r="JZJ1680" s="2477"/>
      <c r="JZK1680" s="2477"/>
      <c r="JZL1680" s="2477"/>
      <c r="JZM1680" s="2477"/>
      <c r="JZN1680" s="2477"/>
      <c r="JZO1680" s="2477"/>
      <c r="JZP1680" s="2477"/>
      <c r="JZQ1680" s="2477"/>
      <c r="JZR1680" s="2477"/>
      <c r="JZS1680" s="2477"/>
      <c r="JZT1680" s="2477"/>
      <c r="JZU1680" s="2477"/>
      <c r="JZV1680" s="2477"/>
      <c r="JZW1680" s="2477"/>
      <c r="JZX1680" s="2477"/>
      <c r="JZY1680" s="2477"/>
      <c r="JZZ1680" s="2477"/>
      <c r="KAA1680" s="2477"/>
      <c r="KAB1680" s="2477"/>
      <c r="KAC1680" s="2477"/>
      <c r="KAD1680" s="2477"/>
      <c r="KAE1680" s="2477"/>
      <c r="KAF1680" s="2477"/>
      <c r="KAG1680" s="2477"/>
      <c r="KAH1680" s="2477"/>
      <c r="KAI1680" s="2477"/>
      <c r="KAJ1680" s="2477"/>
      <c r="KAK1680" s="2477"/>
      <c r="KAL1680" s="2477"/>
      <c r="KAM1680" s="2477"/>
      <c r="KAN1680" s="2477"/>
      <c r="KAO1680" s="2477"/>
      <c r="KAP1680" s="2477"/>
      <c r="KAQ1680" s="2477"/>
      <c r="KAR1680" s="2477"/>
      <c r="KAS1680" s="2477"/>
      <c r="KAT1680" s="2477"/>
      <c r="KAU1680" s="2477"/>
      <c r="KAV1680" s="2477"/>
      <c r="KAW1680" s="2477"/>
      <c r="KAX1680" s="2477"/>
      <c r="KAY1680" s="2477"/>
      <c r="KAZ1680" s="2477"/>
      <c r="KBA1680" s="2477"/>
      <c r="KBB1680" s="2477"/>
      <c r="KBC1680" s="2477"/>
      <c r="KBD1680" s="2477"/>
      <c r="KBE1680" s="2477"/>
      <c r="KBF1680" s="2477"/>
      <c r="KBG1680" s="2477"/>
      <c r="KBH1680" s="2477"/>
      <c r="KBI1680" s="2477"/>
      <c r="KBJ1680" s="2477"/>
      <c r="KBK1680" s="2477"/>
      <c r="KBL1680" s="2477"/>
      <c r="KBM1680" s="2477"/>
      <c r="KBN1680" s="2477"/>
      <c r="KBO1680" s="2477"/>
      <c r="KBP1680" s="2477"/>
      <c r="KBQ1680" s="2477"/>
      <c r="KBR1680" s="2477"/>
      <c r="KBS1680" s="2477"/>
      <c r="KBT1680" s="2477"/>
      <c r="KBU1680" s="2477"/>
      <c r="KBV1680" s="2477"/>
      <c r="KBW1680" s="2477"/>
      <c r="KBX1680" s="2477"/>
      <c r="KBY1680" s="2477"/>
      <c r="KBZ1680" s="2477"/>
      <c r="KCA1680" s="2477"/>
      <c r="KCB1680" s="2477"/>
      <c r="KCC1680" s="2477"/>
      <c r="KCD1680" s="2477"/>
      <c r="KCE1680" s="2477"/>
      <c r="KCF1680" s="2477"/>
      <c r="KCG1680" s="2477"/>
      <c r="KCH1680" s="2477"/>
      <c r="KCI1680" s="2477"/>
      <c r="KCJ1680" s="2477"/>
      <c r="KCK1680" s="2477"/>
      <c r="KCL1680" s="2477"/>
      <c r="KCM1680" s="2477"/>
      <c r="KCN1680" s="2477"/>
      <c r="KCO1680" s="2477"/>
      <c r="KCP1680" s="2477"/>
      <c r="KCQ1680" s="2477"/>
      <c r="KCR1680" s="2477"/>
      <c r="KCS1680" s="2477"/>
      <c r="KCT1680" s="2477"/>
      <c r="KCU1680" s="2477"/>
      <c r="KCV1680" s="2477"/>
      <c r="KCW1680" s="2477"/>
      <c r="KCX1680" s="2477"/>
      <c r="KCY1680" s="2477"/>
      <c r="KCZ1680" s="2477"/>
      <c r="KDA1680" s="2477"/>
      <c r="KDB1680" s="2477"/>
      <c r="KDC1680" s="2477"/>
      <c r="KDD1680" s="2477"/>
      <c r="KDE1680" s="2477"/>
      <c r="KDF1680" s="2477"/>
      <c r="KDG1680" s="2477"/>
      <c r="KDH1680" s="2477"/>
      <c r="KDI1680" s="2477"/>
      <c r="KDJ1680" s="2477"/>
      <c r="KDK1680" s="2477"/>
      <c r="KDL1680" s="2477"/>
      <c r="KDM1680" s="2477"/>
      <c r="KDN1680" s="2477"/>
      <c r="KDO1680" s="2477"/>
      <c r="KDP1680" s="2477"/>
      <c r="KDQ1680" s="2477"/>
      <c r="KDR1680" s="2477"/>
      <c r="KDS1680" s="2477"/>
      <c r="KDT1680" s="2477"/>
      <c r="KDU1680" s="2477"/>
      <c r="KDV1680" s="2477"/>
      <c r="KDW1680" s="2477"/>
      <c r="KDX1680" s="2477"/>
      <c r="KDY1680" s="2477"/>
      <c r="KDZ1680" s="2477"/>
      <c r="KEA1680" s="2477"/>
      <c r="KEB1680" s="2477"/>
      <c r="KEC1680" s="2477"/>
      <c r="KED1680" s="2477"/>
      <c r="KEE1680" s="2477"/>
      <c r="KEF1680" s="2477"/>
      <c r="KEG1680" s="2477"/>
      <c r="KEH1680" s="2477"/>
      <c r="KEI1680" s="2477"/>
      <c r="KEJ1680" s="2477"/>
      <c r="KEK1680" s="2477"/>
      <c r="KEL1680" s="2477"/>
      <c r="KEM1680" s="2477"/>
      <c r="KEN1680" s="2477"/>
      <c r="KEO1680" s="2477"/>
      <c r="KEP1680" s="2477"/>
      <c r="KEQ1680" s="2477"/>
      <c r="KER1680" s="2477"/>
      <c r="KES1680" s="2477"/>
      <c r="KET1680" s="2477"/>
      <c r="KEU1680" s="2477"/>
      <c r="KEV1680" s="2477"/>
      <c r="KEW1680" s="2477"/>
      <c r="KEX1680" s="2477"/>
      <c r="KEY1680" s="2477"/>
      <c r="KEZ1680" s="2477"/>
      <c r="KFA1680" s="2477"/>
      <c r="KFB1680" s="2477"/>
      <c r="KFC1680" s="2477"/>
      <c r="KFD1680" s="2477"/>
      <c r="KFE1680" s="2477"/>
      <c r="KFF1680" s="2477"/>
      <c r="KFG1680" s="2477"/>
      <c r="KFH1680" s="2477"/>
      <c r="KFI1680" s="2477"/>
      <c r="KFJ1680" s="2477"/>
      <c r="KFK1680" s="2477"/>
      <c r="KFL1680" s="2477"/>
      <c r="KFM1680" s="2477"/>
      <c r="KFN1680" s="2477"/>
      <c r="KFO1680" s="2477"/>
      <c r="KFP1680" s="2477"/>
      <c r="KFQ1680" s="2477"/>
      <c r="KFR1680" s="2477"/>
      <c r="KFS1680" s="2477"/>
      <c r="KFT1680" s="2477"/>
      <c r="KFU1680" s="2477"/>
      <c r="KFV1680" s="2477"/>
      <c r="KFW1680" s="2477"/>
      <c r="KFX1680" s="2477"/>
      <c r="KFY1680" s="2477"/>
      <c r="KFZ1680" s="2477"/>
      <c r="KGA1680" s="2477"/>
      <c r="KGB1680" s="2477"/>
      <c r="KGC1680" s="2477"/>
      <c r="KGD1680" s="2477"/>
      <c r="KGE1680" s="2477"/>
      <c r="KGF1680" s="2477"/>
      <c r="KGG1680" s="2477"/>
      <c r="KGH1680" s="2477"/>
      <c r="KGI1680" s="2477"/>
      <c r="KGJ1680" s="2477"/>
      <c r="KGK1680" s="2477"/>
      <c r="KGL1680" s="2477"/>
      <c r="KGM1680" s="2477"/>
      <c r="KGN1680" s="2477"/>
      <c r="KGO1680" s="2477"/>
      <c r="KGP1680" s="2477"/>
      <c r="KGQ1680" s="2477"/>
      <c r="KGR1680" s="2477"/>
      <c r="KGS1680" s="2477"/>
      <c r="KGT1680" s="2477"/>
      <c r="KGU1680" s="2477"/>
      <c r="KGV1680" s="2477"/>
      <c r="KGW1680" s="2477"/>
      <c r="KGX1680" s="2477"/>
      <c r="KGY1680" s="2477"/>
      <c r="KGZ1680" s="2477"/>
      <c r="KHA1680" s="2477"/>
      <c r="KHB1680" s="2477"/>
      <c r="KHC1680" s="2477"/>
      <c r="KHD1680" s="2477"/>
      <c r="KHE1680" s="2477"/>
      <c r="KHF1680" s="2477"/>
      <c r="KHG1680" s="2477"/>
      <c r="KHH1680" s="2477"/>
      <c r="KHI1680" s="2477"/>
      <c r="KHJ1680" s="2477"/>
      <c r="KHK1680" s="2477"/>
      <c r="KHL1680" s="2477"/>
      <c r="KHM1680" s="2477"/>
      <c r="KHN1680" s="2477"/>
      <c r="KHO1680" s="2477"/>
      <c r="KHP1680" s="2477"/>
      <c r="KHQ1680" s="2477"/>
      <c r="KHR1680" s="2477"/>
      <c r="KHS1680" s="2477"/>
      <c r="KHT1680" s="2477"/>
      <c r="KHU1680" s="2477"/>
      <c r="KHV1680" s="2477"/>
      <c r="KHW1680" s="2477"/>
      <c r="KHX1680" s="2477"/>
      <c r="KHY1680" s="2477"/>
      <c r="KHZ1680" s="2477"/>
      <c r="KIA1680" s="2477"/>
      <c r="KIB1680" s="2477"/>
      <c r="KIC1680" s="2477"/>
      <c r="KID1680" s="2477"/>
      <c r="KIE1680" s="2477"/>
      <c r="KIF1680" s="2477"/>
      <c r="KIG1680" s="2477"/>
      <c r="KIH1680" s="2477"/>
      <c r="KII1680" s="2477"/>
      <c r="KIJ1680" s="2477"/>
      <c r="KIK1680" s="2477"/>
      <c r="KIL1680" s="2477"/>
      <c r="KIM1680" s="2477"/>
      <c r="KIN1680" s="2477"/>
      <c r="KIO1680" s="2477"/>
      <c r="KIP1680" s="2477"/>
      <c r="KIQ1680" s="2477"/>
      <c r="KIR1680" s="2477"/>
      <c r="KIS1680" s="2477"/>
      <c r="KIT1680" s="2477"/>
      <c r="KIU1680" s="2477"/>
      <c r="KIV1680" s="2477"/>
      <c r="KIW1680" s="2477"/>
      <c r="KIX1680" s="2477"/>
      <c r="KIY1680" s="2477"/>
      <c r="KIZ1680" s="2477"/>
      <c r="KJA1680" s="2477"/>
      <c r="KJB1680" s="2477"/>
      <c r="KJC1680" s="2477"/>
      <c r="KJD1680" s="2477"/>
      <c r="KJE1680" s="2477"/>
      <c r="KJF1680" s="2477"/>
      <c r="KJG1680" s="2477"/>
      <c r="KJH1680" s="2477"/>
      <c r="KJI1680" s="2477"/>
      <c r="KJJ1680" s="2477"/>
      <c r="KJK1680" s="2477"/>
      <c r="KJL1680" s="2477"/>
      <c r="KJM1680" s="2477"/>
      <c r="KJN1680" s="2477"/>
      <c r="KJO1680" s="2477"/>
      <c r="KJP1680" s="2477"/>
      <c r="KJQ1680" s="2477"/>
      <c r="KJR1680" s="2477"/>
      <c r="KJS1680" s="2477"/>
      <c r="KJT1680" s="2477"/>
      <c r="KJU1680" s="2477"/>
      <c r="KJV1680" s="2477"/>
      <c r="KJW1680" s="2477"/>
      <c r="KJX1680" s="2477"/>
      <c r="KJY1680" s="2477"/>
      <c r="KJZ1680" s="2477"/>
      <c r="KKA1680" s="2477"/>
      <c r="KKB1680" s="2477"/>
      <c r="KKC1680" s="2477"/>
      <c r="KKD1680" s="2477"/>
      <c r="KKE1680" s="2477"/>
      <c r="KKF1680" s="2477"/>
      <c r="KKG1680" s="2477"/>
      <c r="KKH1680" s="2477"/>
      <c r="KKI1680" s="2477"/>
      <c r="KKJ1680" s="2477"/>
      <c r="KKK1680" s="2477"/>
      <c r="KKL1680" s="2477"/>
      <c r="KKM1680" s="2477"/>
      <c r="KKN1680" s="2477"/>
      <c r="KKO1680" s="2477"/>
      <c r="KKP1680" s="2477"/>
      <c r="KKQ1680" s="2477"/>
      <c r="KKR1680" s="2477"/>
      <c r="KKS1680" s="2477"/>
      <c r="KKT1680" s="2477"/>
      <c r="KKU1680" s="2477"/>
      <c r="KKV1680" s="2477"/>
      <c r="KKW1680" s="2477"/>
      <c r="KKX1680" s="2477"/>
      <c r="KKY1680" s="2477"/>
      <c r="KKZ1680" s="2477"/>
      <c r="KLA1680" s="2477"/>
      <c r="KLB1680" s="2477"/>
      <c r="KLC1680" s="2477"/>
      <c r="KLD1680" s="2477"/>
      <c r="KLE1680" s="2477"/>
      <c r="KLF1680" s="2477"/>
      <c r="KLG1680" s="2477"/>
      <c r="KLH1680" s="2477"/>
      <c r="KLI1680" s="2477"/>
      <c r="KLJ1680" s="2477"/>
      <c r="KLK1680" s="2477"/>
      <c r="KLL1680" s="2477"/>
      <c r="KLM1680" s="2477"/>
      <c r="KLN1680" s="2477"/>
      <c r="KLO1680" s="2477"/>
      <c r="KLP1680" s="2477"/>
      <c r="KLQ1680" s="2477"/>
      <c r="KLR1680" s="2477"/>
      <c r="KLS1680" s="2477"/>
      <c r="KLT1680" s="2477"/>
      <c r="KLU1680" s="2477"/>
      <c r="KLV1680" s="2477"/>
      <c r="KLW1680" s="2477"/>
      <c r="KLX1680" s="2477"/>
      <c r="KLY1680" s="2477"/>
      <c r="KLZ1680" s="2477"/>
      <c r="KMA1680" s="2477"/>
      <c r="KMB1680" s="2477"/>
      <c r="KMC1680" s="2477"/>
      <c r="KMD1680" s="2477"/>
      <c r="KME1680" s="2477"/>
      <c r="KMF1680" s="2477"/>
      <c r="KMG1680" s="2477"/>
      <c r="KMH1680" s="2477"/>
      <c r="KMI1680" s="2477"/>
      <c r="KMJ1680" s="2477"/>
      <c r="KMK1680" s="2477"/>
      <c r="KML1680" s="2477"/>
      <c r="KMM1680" s="2477"/>
      <c r="KMN1680" s="2477"/>
      <c r="KMO1680" s="2477"/>
      <c r="KMP1680" s="2477"/>
      <c r="KMQ1680" s="2477"/>
      <c r="KMR1680" s="2477"/>
      <c r="KMS1680" s="2477"/>
      <c r="KMT1680" s="2477"/>
      <c r="KMU1680" s="2477"/>
      <c r="KMV1680" s="2477"/>
      <c r="KMW1680" s="2477"/>
      <c r="KMX1680" s="2477"/>
      <c r="KMY1680" s="2477"/>
      <c r="KMZ1680" s="2477"/>
      <c r="KNA1680" s="2477"/>
      <c r="KNB1680" s="2477"/>
      <c r="KNC1680" s="2477"/>
      <c r="KND1680" s="2477"/>
      <c r="KNE1680" s="2477"/>
      <c r="KNF1680" s="2477"/>
      <c r="KNG1680" s="2477"/>
      <c r="KNH1680" s="2477"/>
      <c r="KNI1680" s="2477"/>
      <c r="KNJ1680" s="2477"/>
      <c r="KNK1680" s="2477"/>
      <c r="KNL1680" s="2477"/>
      <c r="KNM1680" s="2477"/>
      <c r="KNN1680" s="2477"/>
      <c r="KNO1680" s="2477"/>
      <c r="KNP1680" s="2477"/>
      <c r="KNQ1680" s="2477"/>
      <c r="KNR1680" s="2477"/>
      <c r="KNS1680" s="2477"/>
      <c r="KNT1680" s="2477"/>
      <c r="KNU1680" s="2477"/>
      <c r="KNV1680" s="2477"/>
      <c r="KNW1680" s="2477"/>
      <c r="KNX1680" s="2477"/>
      <c r="KNY1680" s="2477"/>
      <c r="KNZ1680" s="2477"/>
      <c r="KOA1680" s="2477"/>
      <c r="KOB1680" s="2477"/>
      <c r="KOC1680" s="2477"/>
      <c r="KOD1680" s="2477"/>
      <c r="KOE1680" s="2477"/>
      <c r="KOF1680" s="2477"/>
      <c r="KOG1680" s="2477"/>
      <c r="KOH1680" s="2477"/>
      <c r="KOI1680" s="2477"/>
      <c r="KOJ1680" s="2477"/>
      <c r="KOK1680" s="2477"/>
      <c r="KOL1680" s="2477"/>
      <c r="KOM1680" s="2477"/>
      <c r="KON1680" s="2477"/>
      <c r="KOO1680" s="2477"/>
      <c r="KOP1680" s="2477"/>
      <c r="KOQ1680" s="2477"/>
      <c r="KOR1680" s="2477"/>
      <c r="KOS1680" s="2477"/>
      <c r="KOT1680" s="2477"/>
      <c r="KOU1680" s="2477"/>
      <c r="KOV1680" s="2477"/>
      <c r="KOW1680" s="2477"/>
      <c r="KOX1680" s="2477"/>
      <c r="KOY1680" s="2477"/>
      <c r="KOZ1680" s="2477"/>
      <c r="KPA1680" s="2477"/>
      <c r="KPB1680" s="2477"/>
      <c r="KPC1680" s="2477"/>
      <c r="KPD1680" s="2477"/>
      <c r="KPE1680" s="2477"/>
      <c r="KPF1680" s="2477"/>
      <c r="KPG1680" s="2477"/>
      <c r="KPH1680" s="2477"/>
      <c r="KPI1680" s="2477"/>
      <c r="KPJ1680" s="2477"/>
      <c r="KPK1680" s="2477"/>
      <c r="KPL1680" s="2477"/>
      <c r="KPM1680" s="2477"/>
      <c r="KPN1680" s="2477"/>
      <c r="KPO1680" s="2477"/>
      <c r="KPP1680" s="2477"/>
      <c r="KPQ1680" s="2477"/>
      <c r="KPR1680" s="2477"/>
      <c r="KPS1680" s="2477"/>
      <c r="KPT1680" s="2477"/>
      <c r="KPU1680" s="2477"/>
      <c r="KPV1680" s="2477"/>
      <c r="KPW1680" s="2477"/>
      <c r="KPX1680" s="2477"/>
      <c r="KPY1680" s="2477"/>
      <c r="KPZ1680" s="2477"/>
      <c r="KQA1680" s="2477"/>
      <c r="KQB1680" s="2477"/>
      <c r="KQC1680" s="2477"/>
      <c r="KQD1680" s="2477"/>
      <c r="KQE1680" s="2477"/>
      <c r="KQF1680" s="2477"/>
      <c r="KQG1680" s="2477"/>
      <c r="KQH1680" s="2477"/>
      <c r="KQI1680" s="2477"/>
      <c r="KQJ1680" s="2477"/>
      <c r="KQK1680" s="2477"/>
      <c r="KQL1680" s="2477"/>
      <c r="KQM1680" s="2477"/>
      <c r="KQN1680" s="2477"/>
      <c r="KQO1680" s="2477"/>
      <c r="KQP1680" s="2477"/>
      <c r="KQQ1680" s="2477"/>
      <c r="KQR1680" s="2477"/>
      <c r="KQS1680" s="2477"/>
      <c r="KQT1680" s="2477"/>
      <c r="KQU1680" s="2477"/>
      <c r="KQV1680" s="2477"/>
      <c r="KQW1680" s="2477"/>
      <c r="KQX1680" s="2477"/>
      <c r="KQY1680" s="2477"/>
      <c r="KQZ1680" s="2477"/>
      <c r="KRA1680" s="2477"/>
      <c r="KRB1680" s="2477"/>
      <c r="KRC1680" s="2477"/>
      <c r="KRD1680" s="2477"/>
      <c r="KRE1680" s="2477"/>
      <c r="KRF1680" s="2477"/>
      <c r="KRG1680" s="2477"/>
      <c r="KRH1680" s="2477"/>
      <c r="KRI1680" s="2477"/>
      <c r="KRJ1680" s="2477"/>
      <c r="KRK1680" s="2477"/>
      <c r="KRL1680" s="2477"/>
      <c r="KRM1680" s="2477"/>
      <c r="KRN1680" s="2477"/>
      <c r="KRO1680" s="2477"/>
      <c r="KRP1680" s="2477"/>
      <c r="KRQ1680" s="2477"/>
      <c r="KRR1680" s="2477"/>
      <c r="KRS1680" s="2477"/>
      <c r="KRT1680" s="2477"/>
      <c r="KRU1680" s="2477"/>
      <c r="KRV1680" s="2477"/>
      <c r="KRW1680" s="2477"/>
      <c r="KRX1680" s="2477"/>
      <c r="KRY1680" s="2477"/>
      <c r="KRZ1680" s="2477"/>
      <c r="KSA1680" s="2477"/>
      <c r="KSB1680" s="2477"/>
      <c r="KSC1680" s="2477"/>
      <c r="KSD1680" s="2477"/>
      <c r="KSE1680" s="2477"/>
      <c r="KSF1680" s="2477"/>
      <c r="KSG1680" s="2477"/>
      <c r="KSH1680" s="2477"/>
      <c r="KSI1680" s="2477"/>
      <c r="KSJ1680" s="2477"/>
      <c r="KSK1680" s="2477"/>
      <c r="KSL1680" s="2477"/>
      <c r="KSM1680" s="2477"/>
      <c r="KSN1680" s="2477"/>
      <c r="KSO1680" s="2477"/>
      <c r="KSP1680" s="2477"/>
      <c r="KSQ1680" s="2477"/>
      <c r="KSR1680" s="2477"/>
      <c r="KSS1680" s="2477"/>
      <c r="KST1680" s="2477"/>
      <c r="KSU1680" s="2477"/>
      <c r="KSV1680" s="2477"/>
      <c r="KSW1680" s="2477"/>
      <c r="KSX1680" s="2477"/>
      <c r="KSY1680" s="2477"/>
      <c r="KSZ1680" s="2477"/>
      <c r="KTA1680" s="2477"/>
      <c r="KTB1680" s="2477"/>
      <c r="KTC1680" s="2477"/>
      <c r="KTD1680" s="2477"/>
      <c r="KTE1680" s="2477"/>
      <c r="KTF1680" s="2477"/>
      <c r="KTG1680" s="2477"/>
      <c r="KTH1680" s="2477"/>
      <c r="KTI1680" s="2477"/>
      <c r="KTJ1680" s="2477"/>
      <c r="KTK1680" s="2477"/>
      <c r="KTL1680" s="2477"/>
      <c r="KTM1680" s="2477"/>
      <c r="KTN1680" s="2477"/>
      <c r="KTO1680" s="2477"/>
      <c r="KTP1680" s="2477"/>
      <c r="KTQ1680" s="2477"/>
      <c r="KTR1680" s="2477"/>
      <c r="KTS1680" s="2477"/>
      <c r="KTT1680" s="2477"/>
      <c r="KTU1680" s="2477"/>
      <c r="KTV1680" s="2477"/>
      <c r="KTW1680" s="2477"/>
      <c r="KTX1680" s="2477"/>
      <c r="KTY1680" s="2477"/>
      <c r="KTZ1680" s="2477"/>
      <c r="KUA1680" s="2477"/>
      <c r="KUB1680" s="2477"/>
      <c r="KUC1680" s="2477"/>
      <c r="KUD1680" s="2477"/>
      <c r="KUE1680" s="2477"/>
      <c r="KUF1680" s="2477"/>
      <c r="KUG1680" s="2477"/>
      <c r="KUH1680" s="2477"/>
      <c r="KUI1680" s="2477"/>
      <c r="KUJ1680" s="2477"/>
      <c r="KUK1680" s="2477"/>
      <c r="KUL1680" s="2477"/>
      <c r="KUM1680" s="2477"/>
      <c r="KUN1680" s="2477"/>
      <c r="KUO1680" s="2477"/>
      <c r="KUP1680" s="2477"/>
      <c r="KUQ1680" s="2477"/>
      <c r="KUR1680" s="2477"/>
      <c r="KUS1680" s="2477"/>
      <c r="KUT1680" s="2477"/>
      <c r="KUU1680" s="2477"/>
      <c r="KUV1680" s="2477"/>
      <c r="KUW1680" s="2477"/>
      <c r="KUX1680" s="2477"/>
      <c r="KUY1680" s="2477"/>
      <c r="KUZ1680" s="2477"/>
      <c r="KVA1680" s="2477"/>
      <c r="KVB1680" s="2477"/>
      <c r="KVC1680" s="2477"/>
      <c r="KVD1680" s="2477"/>
      <c r="KVE1680" s="2477"/>
      <c r="KVF1680" s="2477"/>
      <c r="KVG1680" s="2477"/>
      <c r="KVH1680" s="2477"/>
      <c r="KVI1680" s="2477"/>
      <c r="KVJ1680" s="2477"/>
      <c r="KVK1680" s="2477"/>
      <c r="KVL1680" s="2477"/>
      <c r="KVM1680" s="2477"/>
      <c r="KVN1680" s="2477"/>
      <c r="KVO1680" s="2477"/>
      <c r="KVP1680" s="2477"/>
      <c r="KVQ1680" s="2477"/>
      <c r="KVR1680" s="2477"/>
      <c r="KVS1680" s="2477"/>
      <c r="KVT1680" s="2477"/>
      <c r="KVU1680" s="2477"/>
      <c r="KVV1680" s="2477"/>
      <c r="KVW1680" s="2477"/>
      <c r="KVX1680" s="2477"/>
      <c r="KVY1680" s="2477"/>
      <c r="KVZ1680" s="2477"/>
      <c r="KWA1680" s="2477"/>
      <c r="KWB1680" s="2477"/>
      <c r="KWC1680" s="2477"/>
      <c r="KWD1680" s="2477"/>
      <c r="KWE1680" s="2477"/>
      <c r="KWF1680" s="2477"/>
      <c r="KWG1680" s="2477"/>
      <c r="KWH1680" s="2477"/>
      <c r="KWI1680" s="2477"/>
      <c r="KWJ1680" s="2477"/>
      <c r="KWK1680" s="2477"/>
      <c r="KWL1680" s="2477"/>
      <c r="KWM1680" s="2477"/>
      <c r="KWN1680" s="2477"/>
      <c r="KWO1680" s="2477"/>
      <c r="KWP1680" s="2477"/>
      <c r="KWQ1680" s="2477"/>
      <c r="KWR1680" s="2477"/>
      <c r="KWS1680" s="2477"/>
      <c r="KWT1680" s="2477"/>
      <c r="KWU1680" s="2477"/>
      <c r="KWV1680" s="2477"/>
      <c r="KWW1680" s="2477"/>
      <c r="KWX1680" s="2477"/>
      <c r="KWY1680" s="2477"/>
      <c r="KWZ1680" s="2477"/>
      <c r="KXA1680" s="2477"/>
      <c r="KXB1680" s="2477"/>
      <c r="KXC1680" s="2477"/>
      <c r="KXD1680" s="2477"/>
      <c r="KXE1680" s="2477"/>
      <c r="KXF1680" s="2477"/>
      <c r="KXG1680" s="2477"/>
      <c r="KXH1680" s="2477"/>
      <c r="KXI1680" s="2477"/>
      <c r="KXJ1680" s="2477"/>
      <c r="KXK1680" s="2477"/>
      <c r="KXL1680" s="2477"/>
      <c r="KXM1680" s="2477"/>
      <c r="KXN1680" s="2477"/>
      <c r="KXO1680" s="2477"/>
      <c r="KXP1680" s="2477"/>
      <c r="KXQ1680" s="2477"/>
      <c r="KXR1680" s="2477"/>
      <c r="KXS1680" s="2477"/>
      <c r="KXT1680" s="2477"/>
      <c r="KXU1680" s="2477"/>
      <c r="KXV1680" s="2477"/>
      <c r="KXW1680" s="2477"/>
      <c r="KXX1680" s="2477"/>
      <c r="KXY1680" s="2477"/>
      <c r="KXZ1680" s="2477"/>
      <c r="KYA1680" s="2477"/>
      <c r="KYB1680" s="2477"/>
      <c r="KYC1680" s="2477"/>
      <c r="KYD1680" s="2477"/>
      <c r="KYE1680" s="2477"/>
      <c r="KYF1680" s="2477"/>
      <c r="KYG1680" s="2477"/>
      <c r="KYH1680" s="2477"/>
      <c r="KYI1680" s="2477"/>
      <c r="KYJ1680" s="2477"/>
      <c r="KYK1680" s="2477"/>
      <c r="KYL1680" s="2477"/>
      <c r="KYM1680" s="2477"/>
      <c r="KYN1680" s="2477"/>
      <c r="KYO1680" s="2477"/>
      <c r="KYP1680" s="2477"/>
      <c r="KYQ1680" s="2477"/>
      <c r="KYR1680" s="2477"/>
      <c r="KYS1680" s="2477"/>
      <c r="KYT1680" s="2477"/>
      <c r="KYU1680" s="2477"/>
      <c r="KYV1680" s="2477"/>
      <c r="KYW1680" s="2477"/>
      <c r="KYX1680" s="2477"/>
      <c r="KYY1680" s="2477"/>
      <c r="KYZ1680" s="2477"/>
      <c r="KZA1680" s="2477"/>
      <c r="KZB1680" s="2477"/>
      <c r="KZC1680" s="2477"/>
      <c r="KZD1680" s="2477"/>
      <c r="KZE1680" s="2477"/>
      <c r="KZF1680" s="2477"/>
      <c r="KZG1680" s="2477"/>
      <c r="KZH1680" s="2477"/>
      <c r="KZI1680" s="2477"/>
      <c r="KZJ1680" s="2477"/>
      <c r="KZK1680" s="2477"/>
      <c r="KZL1680" s="2477"/>
      <c r="KZM1680" s="2477"/>
      <c r="KZN1680" s="2477"/>
      <c r="KZO1680" s="2477"/>
      <c r="KZP1680" s="2477"/>
      <c r="KZQ1680" s="2477"/>
      <c r="KZR1680" s="2477"/>
      <c r="KZS1680" s="2477"/>
      <c r="KZT1680" s="2477"/>
      <c r="KZU1680" s="2477"/>
      <c r="KZV1680" s="2477"/>
      <c r="KZW1680" s="2477"/>
      <c r="KZX1680" s="2477"/>
      <c r="KZY1680" s="2477"/>
      <c r="KZZ1680" s="2477"/>
      <c r="LAA1680" s="2477"/>
      <c r="LAB1680" s="2477"/>
      <c r="LAC1680" s="2477"/>
      <c r="LAD1680" s="2477"/>
      <c r="LAE1680" s="2477"/>
      <c r="LAF1680" s="2477"/>
      <c r="LAG1680" s="2477"/>
      <c r="LAH1680" s="2477"/>
      <c r="LAI1680" s="2477"/>
      <c r="LAJ1680" s="2477"/>
      <c r="LAK1680" s="2477"/>
      <c r="LAL1680" s="2477"/>
      <c r="LAM1680" s="2477"/>
      <c r="LAN1680" s="2477"/>
      <c r="LAO1680" s="2477"/>
      <c r="LAP1680" s="2477"/>
      <c r="LAQ1680" s="2477"/>
      <c r="LAR1680" s="2477"/>
      <c r="LAS1680" s="2477"/>
      <c r="LAT1680" s="2477"/>
      <c r="LAU1680" s="2477"/>
      <c r="LAV1680" s="2477"/>
      <c r="LAW1680" s="2477"/>
      <c r="LAX1680" s="2477"/>
      <c r="LAY1680" s="2477"/>
      <c r="LAZ1680" s="2477"/>
      <c r="LBA1680" s="2477"/>
      <c r="LBB1680" s="2477"/>
      <c r="LBC1680" s="2477"/>
      <c r="LBD1680" s="2477"/>
      <c r="LBE1680" s="2477"/>
      <c r="LBF1680" s="2477"/>
      <c r="LBG1680" s="2477"/>
      <c r="LBH1680" s="2477"/>
      <c r="LBI1680" s="2477"/>
      <c r="LBJ1680" s="2477"/>
      <c r="LBK1680" s="2477"/>
      <c r="LBL1680" s="2477"/>
      <c r="LBM1680" s="2477"/>
      <c r="LBN1680" s="2477"/>
      <c r="LBO1680" s="2477"/>
      <c r="LBP1680" s="2477"/>
      <c r="LBQ1680" s="2477"/>
      <c r="LBR1680" s="2477"/>
      <c r="LBS1680" s="2477"/>
      <c r="LBT1680" s="2477"/>
      <c r="LBU1680" s="2477"/>
      <c r="LBV1680" s="2477"/>
      <c r="LBW1680" s="2477"/>
      <c r="LBX1680" s="2477"/>
      <c r="LBY1680" s="2477"/>
      <c r="LBZ1680" s="2477"/>
      <c r="LCA1680" s="2477"/>
      <c r="LCB1680" s="2477"/>
      <c r="LCC1680" s="2477"/>
      <c r="LCD1680" s="2477"/>
      <c r="LCE1680" s="2477"/>
      <c r="LCF1680" s="2477"/>
      <c r="LCG1680" s="2477"/>
      <c r="LCH1680" s="2477"/>
      <c r="LCI1680" s="2477"/>
      <c r="LCJ1680" s="2477"/>
      <c r="LCK1680" s="2477"/>
      <c r="LCL1680" s="2477"/>
      <c r="LCM1680" s="2477"/>
      <c r="LCN1680" s="2477"/>
      <c r="LCO1680" s="2477"/>
      <c r="LCP1680" s="2477"/>
      <c r="LCQ1680" s="2477"/>
      <c r="LCR1680" s="2477"/>
      <c r="LCS1680" s="2477"/>
      <c r="LCT1680" s="2477"/>
      <c r="LCU1680" s="2477"/>
      <c r="LCV1680" s="2477"/>
      <c r="LCW1680" s="2477"/>
      <c r="LCX1680" s="2477"/>
      <c r="LCY1680" s="2477"/>
      <c r="LCZ1680" s="2477"/>
      <c r="LDA1680" s="2477"/>
      <c r="LDB1680" s="2477"/>
      <c r="LDC1680" s="2477"/>
      <c r="LDD1680" s="2477"/>
      <c r="LDE1680" s="2477"/>
      <c r="LDF1680" s="2477"/>
      <c r="LDG1680" s="2477"/>
      <c r="LDH1680" s="2477"/>
      <c r="LDI1680" s="2477"/>
      <c r="LDJ1680" s="2477"/>
      <c r="LDK1680" s="2477"/>
      <c r="LDL1680" s="2477"/>
      <c r="LDM1680" s="2477"/>
      <c r="LDN1680" s="2477"/>
      <c r="LDO1680" s="2477"/>
      <c r="LDP1680" s="2477"/>
      <c r="LDQ1680" s="2477"/>
      <c r="LDR1680" s="2477"/>
      <c r="LDS1680" s="2477"/>
      <c r="LDT1680" s="2477"/>
      <c r="LDU1680" s="2477"/>
      <c r="LDV1680" s="2477"/>
      <c r="LDW1680" s="2477"/>
      <c r="LDX1680" s="2477"/>
      <c r="LDY1680" s="2477"/>
      <c r="LDZ1680" s="2477"/>
      <c r="LEA1680" s="2477"/>
      <c r="LEB1680" s="2477"/>
      <c r="LEC1680" s="2477"/>
      <c r="LED1680" s="2477"/>
      <c r="LEE1680" s="2477"/>
      <c r="LEF1680" s="2477"/>
      <c r="LEG1680" s="2477"/>
      <c r="LEH1680" s="2477"/>
      <c r="LEI1680" s="2477"/>
      <c r="LEJ1680" s="2477"/>
      <c r="LEK1680" s="2477"/>
      <c r="LEL1680" s="2477"/>
      <c r="LEM1680" s="2477"/>
      <c r="LEN1680" s="2477"/>
      <c r="LEO1680" s="2477"/>
      <c r="LEP1680" s="2477"/>
      <c r="LEQ1680" s="2477"/>
      <c r="LER1680" s="2477"/>
      <c r="LES1680" s="2477"/>
      <c r="LET1680" s="2477"/>
      <c r="LEU1680" s="2477"/>
      <c r="LEV1680" s="2477"/>
      <c r="LEW1680" s="2477"/>
      <c r="LEX1680" s="2477"/>
      <c r="LEY1680" s="2477"/>
      <c r="LEZ1680" s="2477"/>
      <c r="LFA1680" s="2477"/>
      <c r="LFB1680" s="2477"/>
      <c r="LFC1680" s="2477"/>
      <c r="LFD1680" s="2477"/>
      <c r="LFE1680" s="2477"/>
      <c r="LFF1680" s="2477"/>
      <c r="LFG1680" s="2477"/>
      <c r="LFH1680" s="2477"/>
      <c r="LFI1680" s="2477"/>
      <c r="LFJ1680" s="2477"/>
      <c r="LFK1680" s="2477"/>
      <c r="LFL1680" s="2477"/>
      <c r="LFM1680" s="2477"/>
      <c r="LFN1680" s="2477"/>
      <c r="LFO1680" s="2477"/>
      <c r="LFP1680" s="2477"/>
      <c r="LFQ1680" s="2477"/>
      <c r="LFR1680" s="2477"/>
      <c r="LFS1680" s="2477"/>
      <c r="LFT1680" s="2477"/>
      <c r="LFU1680" s="2477"/>
      <c r="LFV1680" s="2477"/>
      <c r="LFW1680" s="2477"/>
      <c r="LFX1680" s="2477"/>
      <c r="LFY1680" s="2477"/>
      <c r="LFZ1680" s="2477"/>
      <c r="LGA1680" s="2477"/>
      <c r="LGB1680" s="2477"/>
      <c r="LGC1680" s="2477"/>
      <c r="LGD1680" s="2477"/>
      <c r="LGE1680" s="2477"/>
      <c r="LGF1680" s="2477"/>
      <c r="LGG1680" s="2477"/>
      <c r="LGH1680" s="2477"/>
      <c r="LGI1680" s="2477"/>
      <c r="LGJ1680" s="2477"/>
      <c r="LGK1680" s="2477"/>
      <c r="LGL1680" s="2477"/>
      <c r="LGM1680" s="2477"/>
      <c r="LGN1680" s="2477"/>
      <c r="LGO1680" s="2477"/>
      <c r="LGP1680" s="2477"/>
      <c r="LGQ1680" s="2477"/>
      <c r="LGR1680" s="2477"/>
      <c r="LGS1680" s="2477"/>
      <c r="LGT1680" s="2477"/>
      <c r="LGU1680" s="2477"/>
      <c r="LGV1680" s="2477"/>
      <c r="LGW1680" s="2477"/>
      <c r="LGX1680" s="2477"/>
      <c r="LGY1680" s="2477"/>
      <c r="LGZ1680" s="2477"/>
      <c r="LHA1680" s="2477"/>
      <c r="LHB1680" s="2477"/>
      <c r="LHC1680" s="2477"/>
      <c r="LHD1680" s="2477"/>
      <c r="LHE1680" s="2477"/>
      <c r="LHF1680" s="2477"/>
      <c r="LHG1680" s="2477"/>
      <c r="LHH1680" s="2477"/>
      <c r="LHI1680" s="2477"/>
      <c r="LHJ1680" s="2477"/>
      <c r="LHK1680" s="2477"/>
      <c r="LHL1680" s="2477"/>
      <c r="LHM1680" s="2477"/>
      <c r="LHN1680" s="2477"/>
      <c r="LHO1680" s="2477"/>
      <c r="LHP1680" s="2477"/>
      <c r="LHQ1680" s="2477"/>
      <c r="LHR1680" s="2477"/>
      <c r="LHS1680" s="2477"/>
      <c r="LHT1680" s="2477"/>
      <c r="LHU1680" s="2477"/>
      <c r="LHV1680" s="2477"/>
      <c r="LHW1680" s="2477"/>
      <c r="LHX1680" s="2477"/>
      <c r="LHY1680" s="2477"/>
      <c r="LHZ1680" s="2477"/>
      <c r="LIA1680" s="2477"/>
      <c r="LIB1680" s="2477"/>
      <c r="LIC1680" s="2477"/>
      <c r="LID1680" s="2477"/>
      <c r="LIE1680" s="2477"/>
      <c r="LIF1680" s="2477"/>
      <c r="LIG1680" s="2477"/>
      <c r="LIH1680" s="2477"/>
      <c r="LII1680" s="2477"/>
      <c r="LIJ1680" s="2477"/>
      <c r="LIK1680" s="2477"/>
      <c r="LIL1680" s="2477"/>
      <c r="LIM1680" s="2477"/>
      <c r="LIN1680" s="2477"/>
      <c r="LIO1680" s="2477"/>
      <c r="LIP1680" s="2477"/>
      <c r="LIQ1680" s="2477"/>
      <c r="LIR1680" s="2477"/>
      <c r="LIS1680" s="2477"/>
      <c r="LIT1680" s="2477"/>
      <c r="LIU1680" s="2477"/>
      <c r="LIV1680" s="2477"/>
      <c r="LIW1680" s="2477"/>
      <c r="LIX1680" s="2477"/>
      <c r="LIY1680" s="2477"/>
      <c r="LIZ1680" s="2477"/>
      <c r="LJA1680" s="2477"/>
      <c r="LJB1680" s="2477"/>
      <c r="LJC1680" s="2477"/>
      <c r="LJD1680" s="2477"/>
      <c r="LJE1680" s="2477"/>
      <c r="LJF1680" s="2477"/>
      <c r="LJG1680" s="2477"/>
      <c r="LJH1680" s="2477"/>
      <c r="LJI1680" s="2477"/>
      <c r="LJJ1680" s="2477"/>
      <c r="LJK1680" s="2477"/>
      <c r="LJL1680" s="2477"/>
      <c r="LJM1680" s="2477"/>
      <c r="LJN1680" s="2477"/>
      <c r="LJO1680" s="2477"/>
      <c r="LJP1680" s="2477"/>
      <c r="LJQ1680" s="2477"/>
      <c r="LJR1680" s="2477"/>
      <c r="LJS1680" s="2477"/>
      <c r="LJT1680" s="2477"/>
      <c r="LJU1680" s="2477"/>
      <c r="LJV1680" s="2477"/>
      <c r="LJW1680" s="2477"/>
      <c r="LJX1680" s="2477"/>
      <c r="LJY1680" s="2477"/>
      <c r="LJZ1680" s="2477"/>
      <c r="LKA1680" s="2477"/>
      <c r="LKB1680" s="2477"/>
      <c r="LKC1680" s="2477"/>
      <c r="LKD1680" s="2477"/>
      <c r="LKE1680" s="2477"/>
      <c r="LKF1680" s="2477"/>
      <c r="LKG1680" s="2477"/>
      <c r="LKH1680" s="2477"/>
      <c r="LKI1680" s="2477"/>
      <c r="LKJ1680" s="2477"/>
      <c r="LKK1680" s="2477"/>
      <c r="LKL1680" s="2477"/>
      <c r="LKM1680" s="2477"/>
      <c r="LKN1680" s="2477"/>
      <c r="LKO1680" s="2477"/>
      <c r="LKP1680" s="2477"/>
      <c r="LKQ1680" s="2477"/>
      <c r="LKR1680" s="2477"/>
      <c r="LKS1680" s="2477"/>
      <c r="LKT1680" s="2477"/>
      <c r="LKU1680" s="2477"/>
      <c r="LKV1680" s="2477"/>
      <c r="LKW1680" s="2477"/>
      <c r="LKX1680" s="2477"/>
      <c r="LKY1680" s="2477"/>
      <c r="LKZ1680" s="2477"/>
      <c r="LLA1680" s="2477"/>
      <c r="LLB1680" s="2477"/>
      <c r="LLC1680" s="2477"/>
      <c r="LLD1680" s="2477"/>
      <c r="LLE1680" s="2477"/>
      <c r="LLF1680" s="2477"/>
      <c r="LLG1680" s="2477"/>
      <c r="LLH1680" s="2477"/>
      <c r="LLI1680" s="2477"/>
      <c r="LLJ1680" s="2477"/>
      <c r="LLK1680" s="2477"/>
      <c r="LLL1680" s="2477"/>
      <c r="LLM1680" s="2477"/>
      <c r="LLN1680" s="2477"/>
      <c r="LLO1680" s="2477"/>
      <c r="LLP1680" s="2477"/>
      <c r="LLQ1680" s="2477"/>
      <c r="LLR1680" s="2477"/>
      <c r="LLS1680" s="2477"/>
      <c r="LLT1680" s="2477"/>
      <c r="LLU1680" s="2477"/>
      <c r="LLV1680" s="2477"/>
      <c r="LLW1680" s="2477"/>
      <c r="LLX1680" s="2477"/>
      <c r="LLY1680" s="2477"/>
      <c r="LLZ1680" s="2477"/>
      <c r="LMA1680" s="2477"/>
      <c r="LMB1680" s="2477"/>
      <c r="LMC1680" s="2477"/>
      <c r="LMD1680" s="2477"/>
      <c r="LME1680" s="2477"/>
      <c r="LMF1680" s="2477"/>
      <c r="LMG1680" s="2477"/>
      <c r="LMH1680" s="2477"/>
      <c r="LMI1680" s="2477"/>
      <c r="LMJ1680" s="2477"/>
      <c r="LMK1680" s="2477"/>
      <c r="LML1680" s="2477"/>
      <c r="LMM1680" s="2477"/>
      <c r="LMN1680" s="2477"/>
      <c r="LMO1680" s="2477"/>
      <c r="LMP1680" s="2477"/>
      <c r="LMQ1680" s="2477"/>
      <c r="LMR1680" s="2477"/>
      <c r="LMS1680" s="2477"/>
      <c r="LMT1680" s="2477"/>
      <c r="LMU1680" s="2477"/>
      <c r="LMV1680" s="2477"/>
      <c r="LMW1680" s="2477"/>
      <c r="LMX1680" s="2477"/>
      <c r="LMY1680" s="2477"/>
      <c r="LMZ1680" s="2477"/>
      <c r="LNA1680" s="2477"/>
      <c r="LNB1680" s="2477"/>
      <c r="LNC1680" s="2477"/>
      <c r="LND1680" s="2477"/>
      <c r="LNE1680" s="2477"/>
      <c r="LNF1680" s="2477"/>
      <c r="LNG1680" s="2477"/>
      <c r="LNH1680" s="2477"/>
      <c r="LNI1680" s="2477"/>
      <c r="LNJ1680" s="2477"/>
      <c r="LNK1680" s="2477"/>
      <c r="LNL1680" s="2477"/>
      <c r="LNM1680" s="2477"/>
      <c r="LNN1680" s="2477"/>
      <c r="LNO1680" s="2477"/>
      <c r="LNP1680" s="2477"/>
      <c r="LNQ1680" s="2477"/>
      <c r="LNR1680" s="2477"/>
      <c r="LNS1680" s="2477"/>
      <c r="LNT1680" s="2477"/>
      <c r="LNU1680" s="2477"/>
      <c r="LNV1680" s="2477"/>
      <c r="LNW1680" s="2477"/>
      <c r="LNX1680" s="2477"/>
      <c r="LNY1680" s="2477"/>
      <c r="LNZ1680" s="2477"/>
      <c r="LOA1680" s="2477"/>
      <c r="LOB1680" s="2477"/>
      <c r="LOC1680" s="2477"/>
      <c r="LOD1680" s="2477"/>
      <c r="LOE1680" s="2477"/>
      <c r="LOF1680" s="2477"/>
      <c r="LOG1680" s="2477"/>
      <c r="LOH1680" s="2477"/>
      <c r="LOI1680" s="2477"/>
      <c r="LOJ1680" s="2477"/>
      <c r="LOK1680" s="2477"/>
      <c r="LOL1680" s="2477"/>
      <c r="LOM1680" s="2477"/>
      <c r="LON1680" s="2477"/>
      <c r="LOO1680" s="2477"/>
      <c r="LOP1680" s="2477"/>
      <c r="LOQ1680" s="2477"/>
      <c r="LOR1680" s="2477"/>
      <c r="LOS1680" s="2477"/>
      <c r="LOT1680" s="2477"/>
      <c r="LOU1680" s="2477"/>
      <c r="LOV1680" s="2477"/>
      <c r="LOW1680" s="2477"/>
      <c r="LOX1680" s="2477"/>
      <c r="LOY1680" s="2477"/>
      <c r="LOZ1680" s="2477"/>
      <c r="LPA1680" s="2477"/>
      <c r="LPB1680" s="2477"/>
      <c r="LPC1680" s="2477"/>
      <c r="LPD1680" s="2477"/>
      <c r="LPE1680" s="2477"/>
      <c r="LPF1680" s="2477"/>
      <c r="LPG1680" s="2477"/>
      <c r="LPH1680" s="2477"/>
      <c r="LPI1680" s="2477"/>
      <c r="LPJ1680" s="2477"/>
      <c r="LPK1680" s="2477"/>
      <c r="LPL1680" s="2477"/>
      <c r="LPM1680" s="2477"/>
      <c r="LPN1680" s="2477"/>
      <c r="LPO1680" s="2477"/>
      <c r="LPP1680" s="2477"/>
      <c r="LPQ1680" s="2477"/>
      <c r="LPR1680" s="2477"/>
      <c r="LPS1680" s="2477"/>
      <c r="LPT1680" s="2477"/>
      <c r="LPU1680" s="2477"/>
      <c r="LPV1680" s="2477"/>
      <c r="LPW1680" s="2477"/>
      <c r="LPX1680" s="2477"/>
      <c r="LPY1680" s="2477"/>
      <c r="LPZ1680" s="2477"/>
      <c r="LQA1680" s="2477"/>
      <c r="LQB1680" s="2477"/>
      <c r="LQC1680" s="2477"/>
      <c r="LQD1680" s="2477"/>
      <c r="LQE1680" s="2477"/>
      <c r="LQF1680" s="2477"/>
      <c r="LQG1680" s="2477"/>
      <c r="LQH1680" s="2477"/>
      <c r="LQI1680" s="2477"/>
      <c r="LQJ1680" s="2477"/>
      <c r="LQK1680" s="2477"/>
      <c r="LQL1680" s="2477"/>
      <c r="LQM1680" s="2477"/>
      <c r="LQN1680" s="2477"/>
      <c r="LQO1680" s="2477"/>
      <c r="LQP1680" s="2477"/>
      <c r="LQQ1680" s="2477"/>
      <c r="LQR1680" s="2477"/>
      <c r="LQS1680" s="2477"/>
      <c r="LQT1680" s="2477"/>
      <c r="LQU1680" s="2477"/>
      <c r="LQV1680" s="2477"/>
      <c r="LQW1680" s="2477"/>
      <c r="LQX1680" s="2477"/>
      <c r="LQY1680" s="2477"/>
      <c r="LQZ1680" s="2477"/>
      <c r="LRA1680" s="2477"/>
      <c r="LRB1680" s="2477"/>
      <c r="LRC1680" s="2477"/>
      <c r="LRD1680" s="2477"/>
      <c r="LRE1680" s="2477"/>
      <c r="LRF1680" s="2477"/>
      <c r="LRG1680" s="2477"/>
      <c r="LRH1680" s="2477"/>
      <c r="LRI1680" s="2477"/>
      <c r="LRJ1680" s="2477"/>
      <c r="LRK1680" s="2477"/>
      <c r="LRL1680" s="2477"/>
      <c r="LRM1680" s="2477"/>
      <c r="LRN1680" s="2477"/>
      <c r="LRO1680" s="2477"/>
      <c r="LRP1680" s="2477"/>
      <c r="LRQ1680" s="2477"/>
      <c r="LRR1680" s="2477"/>
      <c r="LRS1680" s="2477"/>
      <c r="LRT1680" s="2477"/>
      <c r="LRU1680" s="2477"/>
      <c r="LRV1680" s="2477"/>
      <c r="LRW1680" s="2477"/>
      <c r="LRX1680" s="2477"/>
      <c r="LRY1680" s="2477"/>
      <c r="LRZ1680" s="2477"/>
      <c r="LSA1680" s="2477"/>
      <c r="LSB1680" s="2477"/>
      <c r="LSC1680" s="2477"/>
      <c r="LSD1680" s="2477"/>
      <c r="LSE1680" s="2477"/>
      <c r="LSF1680" s="2477"/>
      <c r="LSG1680" s="2477"/>
      <c r="LSH1680" s="2477"/>
      <c r="LSI1680" s="2477"/>
      <c r="LSJ1680" s="2477"/>
      <c r="LSK1680" s="2477"/>
      <c r="LSL1680" s="2477"/>
      <c r="LSM1680" s="2477"/>
      <c r="LSN1680" s="2477"/>
      <c r="LSO1680" s="2477"/>
      <c r="LSP1680" s="2477"/>
      <c r="LSQ1680" s="2477"/>
      <c r="LSR1680" s="2477"/>
      <c r="LSS1680" s="2477"/>
      <c r="LST1680" s="2477"/>
      <c r="LSU1680" s="2477"/>
      <c r="LSV1680" s="2477"/>
      <c r="LSW1680" s="2477"/>
      <c r="LSX1680" s="2477"/>
      <c r="LSY1680" s="2477"/>
      <c r="LSZ1680" s="2477"/>
      <c r="LTA1680" s="2477"/>
      <c r="LTB1680" s="2477"/>
      <c r="LTC1680" s="2477"/>
      <c r="LTD1680" s="2477"/>
      <c r="LTE1680" s="2477"/>
      <c r="LTF1680" s="2477"/>
      <c r="LTG1680" s="2477"/>
      <c r="LTH1680" s="2477"/>
      <c r="LTI1680" s="2477"/>
      <c r="LTJ1680" s="2477"/>
      <c r="LTK1680" s="2477"/>
      <c r="LTL1680" s="2477"/>
      <c r="LTM1680" s="2477"/>
      <c r="LTN1680" s="2477"/>
      <c r="LTO1680" s="2477"/>
      <c r="LTP1680" s="2477"/>
      <c r="LTQ1680" s="2477"/>
      <c r="LTR1680" s="2477"/>
      <c r="LTS1680" s="2477"/>
      <c r="LTT1680" s="2477"/>
      <c r="LTU1680" s="2477"/>
      <c r="LTV1680" s="2477"/>
      <c r="LTW1680" s="2477"/>
      <c r="LTX1680" s="2477"/>
      <c r="LTY1680" s="2477"/>
      <c r="LTZ1680" s="2477"/>
      <c r="LUA1680" s="2477"/>
      <c r="LUB1680" s="2477"/>
      <c r="LUC1680" s="2477"/>
      <c r="LUD1680" s="2477"/>
      <c r="LUE1680" s="2477"/>
      <c r="LUF1680" s="2477"/>
      <c r="LUG1680" s="2477"/>
      <c r="LUH1680" s="2477"/>
      <c r="LUI1680" s="2477"/>
      <c r="LUJ1680" s="2477"/>
      <c r="LUK1680" s="2477"/>
      <c r="LUL1680" s="2477"/>
      <c r="LUM1680" s="2477"/>
      <c r="LUN1680" s="2477"/>
      <c r="LUO1680" s="2477"/>
      <c r="LUP1680" s="2477"/>
      <c r="LUQ1680" s="2477"/>
      <c r="LUR1680" s="2477"/>
      <c r="LUS1680" s="2477"/>
      <c r="LUT1680" s="2477"/>
      <c r="LUU1680" s="2477"/>
      <c r="LUV1680" s="2477"/>
      <c r="LUW1680" s="2477"/>
      <c r="LUX1680" s="2477"/>
      <c r="LUY1680" s="2477"/>
      <c r="LUZ1680" s="2477"/>
      <c r="LVA1680" s="2477"/>
      <c r="LVB1680" s="2477"/>
      <c r="LVC1680" s="2477"/>
      <c r="LVD1680" s="2477"/>
      <c r="LVE1680" s="2477"/>
      <c r="LVF1680" s="2477"/>
      <c r="LVG1680" s="2477"/>
      <c r="LVH1680" s="2477"/>
      <c r="LVI1680" s="2477"/>
      <c r="LVJ1680" s="2477"/>
      <c r="LVK1680" s="2477"/>
      <c r="LVL1680" s="2477"/>
      <c r="LVM1680" s="2477"/>
      <c r="LVN1680" s="2477"/>
      <c r="LVO1680" s="2477"/>
      <c r="LVP1680" s="2477"/>
      <c r="LVQ1680" s="2477"/>
      <c r="LVR1680" s="2477"/>
      <c r="LVS1680" s="2477"/>
      <c r="LVT1680" s="2477"/>
      <c r="LVU1680" s="2477"/>
      <c r="LVV1680" s="2477"/>
      <c r="LVW1680" s="2477"/>
      <c r="LVX1680" s="2477"/>
      <c r="LVY1680" s="2477"/>
      <c r="LVZ1680" s="2477"/>
      <c r="LWA1680" s="2477"/>
      <c r="LWB1680" s="2477"/>
      <c r="LWC1680" s="2477"/>
      <c r="LWD1680" s="2477"/>
      <c r="LWE1680" s="2477"/>
      <c r="LWF1680" s="2477"/>
      <c r="LWG1680" s="2477"/>
      <c r="LWH1680" s="2477"/>
      <c r="LWI1680" s="2477"/>
      <c r="LWJ1680" s="2477"/>
      <c r="LWK1680" s="2477"/>
      <c r="LWL1680" s="2477"/>
      <c r="LWM1680" s="2477"/>
      <c r="LWN1680" s="2477"/>
      <c r="LWO1680" s="2477"/>
      <c r="LWP1680" s="2477"/>
      <c r="LWQ1680" s="2477"/>
      <c r="LWR1680" s="2477"/>
      <c r="LWS1680" s="2477"/>
      <c r="LWT1680" s="2477"/>
      <c r="LWU1680" s="2477"/>
      <c r="LWV1680" s="2477"/>
      <c r="LWW1680" s="2477"/>
      <c r="LWX1680" s="2477"/>
      <c r="LWY1680" s="2477"/>
      <c r="LWZ1680" s="2477"/>
      <c r="LXA1680" s="2477"/>
      <c r="LXB1680" s="2477"/>
      <c r="LXC1680" s="2477"/>
      <c r="LXD1680" s="2477"/>
      <c r="LXE1680" s="2477"/>
      <c r="LXF1680" s="2477"/>
      <c r="LXG1680" s="2477"/>
      <c r="LXH1680" s="2477"/>
      <c r="LXI1680" s="2477"/>
      <c r="LXJ1680" s="2477"/>
      <c r="LXK1680" s="2477"/>
      <c r="LXL1680" s="2477"/>
      <c r="LXM1680" s="2477"/>
      <c r="LXN1680" s="2477"/>
      <c r="LXO1680" s="2477"/>
      <c r="LXP1680" s="2477"/>
      <c r="LXQ1680" s="2477"/>
      <c r="LXR1680" s="2477"/>
      <c r="LXS1680" s="2477"/>
      <c r="LXT1680" s="2477"/>
      <c r="LXU1680" s="2477"/>
      <c r="LXV1680" s="2477"/>
      <c r="LXW1680" s="2477"/>
      <c r="LXX1680" s="2477"/>
      <c r="LXY1680" s="2477"/>
      <c r="LXZ1680" s="2477"/>
      <c r="LYA1680" s="2477"/>
      <c r="LYB1680" s="2477"/>
      <c r="LYC1680" s="2477"/>
      <c r="LYD1680" s="2477"/>
      <c r="LYE1680" s="2477"/>
      <c r="LYF1680" s="2477"/>
      <c r="LYG1680" s="2477"/>
      <c r="LYH1680" s="2477"/>
      <c r="LYI1680" s="2477"/>
      <c r="LYJ1680" s="2477"/>
      <c r="LYK1680" s="2477"/>
      <c r="LYL1680" s="2477"/>
      <c r="LYM1680" s="2477"/>
      <c r="LYN1680" s="2477"/>
      <c r="LYO1680" s="2477"/>
      <c r="LYP1680" s="2477"/>
      <c r="LYQ1680" s="2477"/>
      <c r="LYR1680" s="2477"/>
      <c r="LYS1680" s="2477"/>
      <c r="LYT1680" s="2477"/>
      <c r="LYU1680" s="2477"/>
      <c r="LYV1680" s="2477"/>
      <c r="LYW1680" s="2477"/>
      <c r="LYX1680" s="2477"/>
      <c r="LYY1680" s="2477"/>
      <c r="LYZ1680" s="2477"/>
      <c r="LZA1680" s="2477"/>
      <c r="LZB1680" s="2477"/>
      <c r="LZC1680" s="2477"/>
      <c r="LZD1680" s="2477"/>
      <c r="LZE1680" s="2477"/>
      <c r="LZF1680" s="2477"/>
      <c r="LZG1680" s="2477"/>
      <c r="LZH1680" s="2477"/>
      <c r="LZI1680" s="2477"/>
      <c r="LZJ1680" s="2477"/>
      <c r="LZK1680" s="2477"/>
      <c r="LZL1680" s="2477"/>
      <c r="LZM1680" s="2477"/>
      <c r="LZN1680" s="2477"/>
      <c r="LZO1680" s="2477"/>
      <c r="LZP1680" s="2477"/>
      <c r="LZQ1680" s="2477"/>
      <c r="LZR1680" s="2477"/>
      <c r="LZS1680" s="2477"/>
      <c r="LZT1680" s="2477"/>
      <c r="LZU1680" s="2477"/>
      <c r="LZV1680" s="2477"/>
      <c r="LZW1680" s="2477"/>
      <c r="LZX1680" s="2477"/>
      <c r="LZY1680" s="2477"/>
      <c r="LZZ1680" s="2477"/>
      <c r="MAA1680" s="2477"/>
      <c r="MAB1680" s="2477"/>
      <c r="MAC1680" s="2477"/>
      <c r="MAD1680" s="2477"/>
      <c r="MAE1680" s="2477"/>
      <c r="MAF1680" s="2477"/>
      <c r="MAG1680" s="2477"/>
      <c r="MAH1680" s="2477"/>
      <c r="MAI1680" s="2477"/>
      <c r="MAJ1680" s="2477"/>
      <c r="MAK1680" s="2477"/>
      <c r="MAL1680" s="2477"/>
      <c r="MAM1680" s="2477"/>
      <c r="MAN1680" s="2477"/>
      <c r="MAO1680" s="2477"/>
      <c r="MAP1680" s="2477"/>
      <c r="MAQ1680" s="2477"/>
      <c r="MAR1680" s="2477"/>
      <c r="MAS1680" s="2477"/>
      <c r="MAT1680" s="2477"/>
      <c r="MAU1680" s="2477"/>
      <c r="MAV1680" s="2477"/>
      <c r="MAW1680" s="2477"/>
      <c r="MAX1680" s="2477"/>
      <c r="MAY1680" s="2477"/>
      <c r="MAZ1680" s="2477"/>
      <c r="MBA1680" s="2477"/>
      <c r="MBB1680" s="2477"/>
      <c r="MBC1680" s="2477"/>
      <c r="MBD1680" s="2477"/>
      <c r="MBE1680" s="2477"/>
      <c r="MBF1680" s="2477"/>
      <c r="MBG1680" s="2477"/>
      <c r="MBH1680" s="2477"/>
      <c r="MBI1680" s="2477"/>
      <c r="MBJ1680" s="2477"/>
      <c r="MBK1680" s="2477"/>
      <c r="MBL1680" s="2477"/>
      <c r="MBM1680" s="2477"/>
      <c r="MBN1680" s="2477"/>
      <c r="MBO1680" s="2477"/>
      <c r="MBP1680" s="2477"/>
      <c r="MBQ1680" s="2477"/>
      <c r="MBR1680" s="2477"/>
      <c r="MBS1680" s="2477"/>
      <c r="MBT1680" s="2477"/>
      <c r="MBU1680" s="2477"/>
      <c r="MBV1680" s="2477"/>
      <c r="MBW1680" s="2477"/>
      <c r="MBX1680" s="2477"/>
      <c r="MBY1680" s="2477"/>
      <c r="MBZ1680" s="2477"/>
      <c r="MCA1680" s="2477"/>
      <c r="MCB1680" s="2477"/>
      <c r="MCC1680" s="2477"/>
      <c r="MCD1680" s="2477"/>
      <c r="MCE1680" s="2477"/>
      <c r="MCF1680" s="2477"/>
      <c r="MCG1680" s="2477"/>
      <c r="MCH1680" s="2477"/>
      <c r="MCI1680" s="2477"/>
      <c r="MCJ1680" s="2477"/>
      <c r="MCK1680" s="2477"/>
      <c r="MCL1680" s="2477"/>
      <c r="MCM1680" s="2477"/>
      <c r="MCN1680" s="2477"/>
      <c r="MCO1680" s="2477"/>
      <c r="MCP1680" s="2477"/>
      <c r="MCQ1680" s="2477"/>
      <c r="MCR1680" s="2477"/>
      <c r="MCS1680" s="2477"/>
      <c r="MCT1680" s="2477"/>
      <c r="MCU1680" s="2477"/>
      <c r="MCV1680" s="2477"/>
      <c r="MCW1680" s="2477"/>
      <c r="MCX1680" s="2477"/>
      <c r="MCY1680" s="2477"/>
      <c r="MCZ1680" s="2477"/>
      <c r="MDA1680" s="2477"/>
      <c r="MDB1680" s="2477"/>
      <c r="MDC1680" s="2477"/>
      <c r="MDD1680" s="2477"/>
      <c r="MDE1680" s="2477"/>
      <c r="MDF1680" s="2477"/>
      <c r="MDG1680" s="2477"/>
      <c r="MDH1680" s="2477"/>
      <c r="MDI1680" s="2477"/>
      <c r="MDJ1680" s="2477"/>
      <c r="MDK1680" s="2477"/>
      <c r="MDL1680" s="2477"/>
      <c r="MDM1680" s="2477"/>
      <c r="MDN1680" s="2477"/>
      <c r="MDO1680" s="2477"/>
      <c r="MDP1680" s="2477"/>
      <c r="MDQ1680" s="2477"/>
      <c r="MDR1680" s="2477"/>
      <c r="MDS1680" s="2477"/>
      <c r="MDT1680" s="2477"/>
      <c r="MDU1680" s="2477"/>
      <c r="MDV1680" s="2477"/>
      <c r="MDW1680" s="2477"/>
      <c r="MDX1680" s="2477"/>
      <c r="MDY1680" s="2477"/>
      <c r="MDZ1680" s="2477"/>
      <c r="MEA1680" s="2477"/>
      <c r="MEB1680" s="2477"/>
      <c r="MEC1680" s="2477"/>
      <c r="MED1680" s="2477"/>
      <c r="MEE1680" s="2477"/>
      <c r="MEF1680" s="2477"/>
      <c r="MEG1680" s="2477"/>
      <c r="MEH1680" s="2477"/>
      <c r="MEI1680" s="2477"/>
      <c r="MEJ1680" s="2477"/>
      <c r="MEK1680" s="2477"/>
      <c r="MEL1680" s="2477"/>
      <c r="MEM1680" s="2477"/>
      <c r="MEN1680" s="2477"/>
      <c r="MEO1680" s="2477"/>
      <c r="MEP1680" s="2477"/>
      <c r="MEQ1680" s="2477"/>
      <c r="MER1680" s="2477"/>
      <c r="MES1680" s="2477"/>
      <c r="MET1680" s="2477"/>
      <c r="MEU1680" s="2477"/>
      <c r="MEV1680" s="2477"/>
      <c r="MEW1680" s="2477"/>
      <c r="MEX1680" s="2477"/>
      <c r="MEY1680" s="2477"/>
      <c r="MEZ1680" s="2477"/>
      <c r="MFA1680" s="2477"/>
      <c r="MFB1680" s="2477"/>
      <c r="MFC1680" s="2477"/>
      <c r="MFD1680" s="2477"/>
      <c r="MFE1680" s="2477"/>
      <c r="MFF1680" s="2477"/>
      <c r="MFG1680" s="2477"/>
      <c r="MFH1680" s="2477"/>
      <c r="MFI1680" s="2477"/>
      <c r="MFJ1680" s="2477"/>
      <c r="MFK1680" s="2477"/>
      <c r="MFL1680" s="2477"/>
      <c r="MFM1680" s="2477"/>
      <c r="MFN1680" s="2477"/>
      <c r="MFO1680" s="2477"/>
      <c r="MFP1680" s="2477"/>
      <c r="MFQ1680" s="2477"/>
      <c r="MFR1680" s="2477"/>
      <c r="MFS1680" s="2477"/>
      <c r="MFT1680" s="2477"/>
      <c r="MFU1680" s="2477"/>
      <c r="MFV1680" s="2477"/>
      <c r="MFW1680" s="2477"/>
      <c r="MFX1680" s="2477"/>
      <c r="MFY1680" s="2477"/>
      <c r="MFZ1680" s="2477"/>
      <c r="MGA1680" s="2477"/>
      <c r="MGB1680" s="2477"/>
      <c r="MGC1680" s="2477"/>
      <c r="MGD1680" s="2477"/>
      <c r="MGE1680" s="2477"/>
      <c r="MGF1680" s="2477"/>
      <c r="MGG1680" s="2477"/>
      <c r="MGH1680" s="2477"/>
      <c r="MGI1680" s="2477"/>
      <c r="MGJ1680" s="2477"/>
      <c r="MGK1680" s="2477"/>
      <c r="MGL1680" s="2477"/>
      <c r="MGM1680" s="2477"/>
      <c r="MGN1680" s="2477"/>
      <c r="MGO1680" s="2477"/>
      <c r="MGP1680" s="2477"/>
      <c r="MGQ1680" s="2477"/>
      <c r="MGR1680" s="2477"/>
      <c r="MGS1680" s="2477"/>
      <c r="MGT1680" s="2477"/>
      <c r="MGU1680" s="2477"/>
      <c r="MGV1680" s="2477"/>
      <c r="MGW1680" s="2477"/>
      <c r="MGX1680" s="2477"/>
      <c r="MGY1680" s="2477"/>
      <c r="MGZ1680" s="2477"/>
      <c r="MHA1680" s="2477"/>
      <c r="MHB1680" s="2477"/>
      <c r="MHC1680" s="2477"/>
      <c r="MHD1680" s="2477"/>
      <c r="MHE1680" s="2477"/>
      <c r="MHF1680" s="2477"/>
      <c r="MHG1680" s="2477"/>
      <c r="MHH1680" s="2477"/>
      <c r="MHI1680" s="2477"/>
      <c r="MHJ1680" s="2477"/>
      <c r="MHK1680" s="2477"/>
      <c r="MHL1680" s="2477"/>
      <c r="MHM1680" s="2477"/>
      <c r="MHN1680" s="2477"/>
      <c r="MHO1680" s="2477"/>
      <c r="MHP1680" s="2477"/>
      <c r="MHQ1680" s="2477"/>
      <c r="MHR1680" s="2477"/>
      <c r="MHS1680" s="2477"/>
      <c r="MHT1680" s="2477"/>
      <c r="MHU1680" s="2477"/>
      <c r="MHV1680" s="2477"/>
      <c r="MHW1680" s="2477"/>
      <c r="MHX1680" s="2477"/>
      <c r="MHY1680" s="2477"/>
      <c r="MHZ1680" s="2477"/>
      <c r="MIA1680" s="2477"/>
      <c r="MIB1680" s="2477"/>
      <c r="MIC1680" s="2477"/>
      <c r="MID1680" s="2477"/>
      <c r="MIE1680" s="2477"/>
      <c r="MIF1680" s="2477"/>
      <c r="MIG1680" s="2477"/>
      <c r="MIH1680" s="2477"/>
      <c r="MII1680" s="2477"/>
      <c r="MIJ1680" s="2477"/>
      <c r="MIK1680" s="2477"/>
      <c r="MIL1680" s="2477"/>
      <c r="MIM1680" s="2477"/>
      <c r="MIN1680" s="2477"/>
      <c r="MIO1680" s="2477"/>
      <c r="MIP1680" s="2477"/>
      <c r="MIQ1680" s="2477"/>
      <c r="MIR1680" s="2477"/>
      <c r="MIS1680" s="2477"/>
      <c r="MIT1680" s="2477"/>
      <c r="MIU1680" s="2477"/>
      <c r="MIV1680" s="2477"/>
      <c r="MIW1680" s="2477"/>
      <c r="MIX1680" s="2477"/>
      <c r="MIY1680" s="2477"/>
      <c r="MIZ1680" s="2477"/>
      <c r="MJA1680" s="2477"/>
      <c r="MJB1680" s="2477"/>
      <c r="MJC1680" s="2477"/>
      <c r="MJD1680" s="2477"/>
      <c r="MJE1680" s="2477"/>
      <c r="MJF1680" s="2477"/>
      <c r="MJG1680" s="2477"/>
      <c r="MJH1680" s="2477"/>
      <c r="MJI1680" s="2477"/>
      <c r="MJJ1680" s="2477"/>
      <c r="MJK1680" s="2477"/>
      <c r="MJL1680" s="2477"/>
      <c r="MJM1680" s="2477"/>
      <c r="MJN1680" s="2477"/>
      <c r="MJO1680" s="2477"/>
      <c r="MJP1680" s="2477"/>
      <c r="MJQ1680" s="2477"/>
      <c r="MJR1680" s="2477"/>
      <c r="MJS1680" s="2477"/>
      <c r="MJT1680" s="2477"/>
      <c r="MJU1680" s="2477"/>
      <c r="MJV1680" s="2477"/>
      <c r="MJW1680" s="2477"/>
      <c r="MJX1680" s="2477"/>
      <c r="MJY1680" s="2477"/>
      <c r="MJZ1680" s="2477"/>
      <c r="MKA1680" s="2477"/>
      <c r="MKB1680" s="2477"/>
      <c r="MKC1680" s="2477"/>
      <c r="MKD1680" s="2477"/>
      <c r="MKE1680" s="2477"/>
      <c r="MKF1680" s="2477"/>
      <c r="MKG1680" s="2477"/>
      <c r="MKH1680" s="2477"/>
      <c r="MKI1680" s="2477"/>
      <c r="MKJ1680" s="2477"/>
      <c r="MKK1680" s="2477"/>
      <c r="MKL1680" s="2477"/>
      <c r="MKM1680" s="2477"/>
      <c r="MKN1680" s="2477"/>
      <c r="MKO1680" s="2477"/>
      <c r="MKP1680" s="2477"/>
      <c r="MKQ1680" s="2477"/>
      <c r="MKR1680" s="2477"/>
      <c r="MKS1680" s="2477"/>
      <c r="MKT1680" s="2477"/>
      <c r="MKU1680" s="2477"/>
      <c r="MKV1680" s="2477"/>
      <c r="MKW1680" s="2477"/>
      <c r="MKX1680" s="2477"/>
      <c r="MKY1680" s="2477"/>
      <c r="MKZ1680" s="2477"/>
      <c r="MLA1680" s="2477"/>
      <c r="MLB1680" s="2477"/>
      <c r="MLC1680" s="2477"/>
      <c r="MLD1680" s="2477"/>
      <c r="MLE1680" s="2477"/>
      <c r="MLF1680" s="2477"/>
      <c r="MLG1680" s="2477"/>
      <c r="MLH1680" s="2477"/>
      <c r="MLI1680" s="2477"/>
      <c r="MLJ1680" s="2477"/>
      <c r="MLK1680" s="2477"/>
      <c r="MLL1680" s="2477"/>
      <c r="MLM1680" s="2477"/>
      <c r="MLN1680" s="2477"/>
      <c r="MLO1680" s="2477"/>
      <c r="MLP1680" s="2477"/>
      <c r="MLQ1680" s="2477"/>
      <c r="MLR1680" s="2477"/>
      <c r="MLS1680" s="2477"/>
      <c r="MLT1680" s="2477"/>
      <c r="MLU1680" s="2477"/>
      <c r="MLV1680" s="2477"/>
      <c r="MLW1680" s="2477"/>
      <c r="MLX1680" s="2477"/>
      <c r="MLY1680" s="2477"/>
      <c r="MLZ1680" s="2477"/>
      <c r="MMA1680" s="2477"/>
      <c r="MMB1680" s="2477"/>
      <c r="MMC1680" s="2477"/>
      <c r="MMD1680" s="2477"/>
      <c r="MME1680" s="2477"/>
      <c r="MMF1680" s="2477"/>
      <c r="MMG1680" s="2477"/>
      <c r="MMH1680" s="2477"/>
      <c r="MMI1680" s="2477"/>
      <c r="MMJ1680" s="2477"/>
      <c r="MMK1680" s="2477"/>
      <c r="MML1680" s="2477"/>
      <c r="MMM1680" s="2477"/>
      <c r="MMN1680" s="2477"/>
      <c r="MMO1680" s="2477"/>
      <c r="MMP1680" s="2477"/>
      <c r="MMQ1680" s="2477"/>
      <c r="MMR1680" s="2477"/>
      <c r="MMS1680" s="2477"/>
      <c r="MMT1680" s="2477"/>
      <c r="MMU1680" s="2477"/>
      <c r="MMV1680" s="2477"/>
      <c r="MMW1680" s="2477"/>
      <c r="MMX1680" s="2477"/>
      <c r="MMY1680" s="2477"/>
      <c r="MMZ1680" s="2477"/>
      <c r="MNA1680" s="2477"/>
      <c r="MNB1680" s="2477"/>
      <c r="MNC1680" s="2477"/>
      <c r="MND1680" s="2477"/>
      <c r="MNE1680" s="2477"/>
      <c r="MNF1680" s="2477"/>
      <c r="MNG1680" s="2477"/>
      <c r="MNH1680" s="2477"/>
      <c r="MNI1680" s="2477"/>
      <c r="MNJ1680" s="2477"/>
      <c r="MNK1680" s="2477"/>
      <c r="MNL1680" s="2477"/>
      <c r="MNM1680" s="2477"/>
      <c r="MNN1680" s="2477"/>
      <c r="MNO1680" s="2477"/>
      <c r="MNP1680" s="2477"/>
      <c r="MNQ1680" s="2477"/>
      <c r="MNR1680" s="2477"/>
      <c r="MNS1680" s="2477"/>
      <c r="MNT1680" s="2477"/>
      <c r="MNU1680" s="2477"/>
      <c r="MNV1680" s="2477"/>
      <c r="MNW1680" s="2477"/>
      <c r="MNX1680" s="2477"/>
      <c r="MNY1680" s="2477"/>
      <c r="MNZ1680" s="2477"/>
      <c r="MOA1680" s="2477"/>
      <c r="MOB1680" s="2477"/>
      <c r="MOC1680" s="2477"/>
      <c r="MOD1680" s="2477"/>
      <c r="MOE1680" s="2477"/>
      <c r="MOF1680" s="2477"/>
      <c r="MOG1680" s="2477"/>
      <c r="MOH1680" s="2477"/>
      <c r="MOI1680" s="2477"/>
      <c r="MOJ1680" s="2477"/>
      <c r="MOK1680" s="2477"/>
      <c r="MOL1680" s="2477"/>
      <c r="MOM1680" s="2477"/>
      <c r="MON1680" s="2477"/>
      <c r="MOO1680" s="2477"/>
      <c r="MOP1680" s="2477"/>
      <c r="MOQ1680" s="2477"/>
      <c r="MOR1680" s="2477"/>
      <c r="MOS1680" s="2477"/>
      <c r="MOT1680" s="2477"/>
      <c r="MOU1680" s="2477"/>
      <c r="MOV1680" s="2477"/>
      <c r="MOW1680" s="2477"/>
      <c r="MOX1680" s="2477"/>
      <c r="MOY1680" s="2477"/>
      <c r="MOZ1680" s="2477"/>
      <c r="MPA1680" s="2477"/>
      <c r="MPB1680" s="2477"/>
      <c r="MPC1680" s="2477"/>
      <c r="MPD1680" s="2477"/>
      <c r="MPE1680" s="2477"/>
      <c r="MPF1680" s="2477"/>
      <c r="MPG1680" s="2477"/>
      <c r="MPH1680" s="2477"/>
      <c r="MPI1680" s="2477"/>
      <c r="MPJ1680" s="2477"/>
      <c r="MPK1680" s="2477"/>
      <c r="MPL1680" s="2477"/>
      <c r="MPM1680" s="2477"/>
      <c r="MPN1680" s="2477"/>
      <c r="MPO1680" s="2477"/>
      <c r="MPP1680" s="2477"/>
      <c r="MPQ1680" s="2477"/>
      <c r="MPR1680" s="2477"/>
      <c r="MPS1680" s="2477"/>
      <c r="MPT1680" s="2477"/>
      <c r="MPU1680" s="2477"/>
      <c r="MPV1680" s="2477"/>
      <c r="MPW1680" s="2477"/>
      <c r="MPX1680" s="2477"/>
      <c r="MPY1680" s="2477"/>
      <c r="MPZ1680" s="2477"/>
      <c r="MQA1680" s="2477"/>
      <c r="MQB1680" s="2477"/>
      <c r="MQC1680" s="2477"/>
      <c r="MQD1680" s="2477"/>
      <c r="MQE1680" s="2477"/>
      <c r="MQF1680" s="2477"/>
      <c r="MQG1680" s="2477"/>
      <c r="MQH1680" s="2477"/>
      <c r="MQI1680" s="2477"/>
      <c r="MQJ1680" s="2477"/>
      <c r="MQK1680" s="2477"/>
      <c r="MQL1680" s="2477"/>
      <c r="MQM1680" s="2477"/>
      <c r="MQN1680" s="2477"/>
      <c r="MQO1680" s="2477"/>
      <c r="MQP1680" s="2477"/>
      <c r="MQQ1680" s="2477"/>
      <c r="MQR1680" s="2477"/>
      <c r="MQS1680" s="2477"/>
      <c r="MQT1680" s="2477"/>
      <c r="MQU1680" s="2477"/>
      <c r="MQV1680" s="2477"/>
      <c r="MQW1680" s="2477"/>
      <c r="MQX1680" s="2477"/>
      <c r="MQY1680" s="2477"/>
      <c r="MQZ1680" s="2477"/>
      <c r="MRA1680" s="2477"/>
      <c r="MRB1680" s="2477"/>
      <c r="MRC1680" s="2477"/>
      <c r="MRD1680" s="2477"/>
      <c r="MRE1680" s="2477"/>
      <c r="MRF1680" s="2477"/>
      <c r="MRG1680" s="2477"/>
      <c r="MRH1680" s="2477"/>
      <c r="MRI1680" s="2477"/>
      <c r="MRJ1680" s="2477"/>
      <c r="MRK1680" s="2477"/>
      <c r="MRL1680" s="2477"/>
      <c r="MRM1680" s="2477"/>
      <c r="MRN1680" s="2477"/>
      <c r="MRO1680" s="2477"/>
      <c r="MRP1680" s="2477"/>
      <c r="MRQ1680" s="2477"/>
      <c r="MRR1680" s="2477"/>
      <c r="MRS1680" s="2477"/>
      <c r="MRT1680" s="2477"/>
      <c r="MRU1680" s="2477"/>
      <c r="MRV1680" s="2477"/>
      <c r="MRW1680" s="2477"/>
      <c r="MRX1680" s="2477"/>
      <c r="MRY1680" s="2477"/>
      <c r="MRZ1680" s="2477"/>
      <c r="MSA1680" s="2477"/>
      <c r="MSB1680" s="2477"/>
      <c r="MSC1680" s="2477"/>
      <c r="MSD1680" s="2477"/>
      <c r="MSE1680" s="2477"/>
      <c r="MSF1680" s="2477"/>
      <c r="MSG1680" s="2477"/>
      <c r="MSH1680" s="2477"/>
      <c r="MSI1680" s="2477"/>
      <c r="MSJ1680" s="2477"/>
      <c r="MSK1680" s="2477"/>
      <c r="MSL1680" s="2477"/>
      <c r="MSM1680" s="2477"/>
      <c r="MSN1680" s="2477"/>
      <c r="MSO1680" s="2477"/>
      <c r="MSP1680" s="2477"/>
      <c r="MSQ1680" s="2477"/>
      <c r="MSR1680" s="2477"/>
      <c r="MSS1680" s="2477"/>
      <c r="MST1680" s="2477"/>
      <c r="MSU1680" s="2477"/>
      <c r="MSV1680" s="2477"/>
      <c r="MSW1680" s="2477"/>
      <c r="MSX1680" s="2477"/>
      <c r="MSY1680" s="2477"/>
      <c r="MSZ1680" s="2477"/>
      <c r="MTA1680" s="2477"/>
      <c r="MTB1680" s="2477"/>
      <c r="MTC1680" s="2477"/>
      <c r="MTD1680" s="2477"/>
      <c r="MTE1680" s="2477"/>
      <c r="MTF1680" s="2477"/>
      <c r="MTG1680" s="2477"/>
      <c r="MTH1680" s="2477"/>
      <c r="MTI1680" s="2477"/>
      <c r="MTJ1680" s="2477"/>
      <c r="MTK1680" s="2477"/>
      <c r="MTL1680" s="2477"/>
      <c r="MTM1680" s="2477"/>
      <c r="MTN1680" s="2477"/>
      <c r="MTO1680" s="2477"/>
      <c r="MTP1680" s="2477"/>
      <c r="MTQ1680" s="2477"/>
      <c r="MTR1680" s="2477"/>
      <c r="MTS1680" s="2477"/>
      <c r="MTT1680" s="2477"/>
      <c r="MTU1680" s="2477"/>
      <c r="MTV1680" s="2477"/>
      <c r="MTW1680" s="2477"/>
      <c r="MTX1680" s="2477"/>
      <c r="MTY1680" s="2477"/>
      <c r="MTZ1680" s="2477"/>
      <c r="MUA1680" s="2477"/>
      <c r="MUB1680" s="2477"/>
      <c r="MUC1680" s="2477"/>
      <c r="MUD1680" s="2477"/>
      <c r="MUE1680" s="2477"/>
      <c r="MUF1680" s="2477"/>
      <c r="MUG1680" s="2477"/>
      <c r="MUH1680" s="2477"/>
      <c r="MUI1680" s="2477"/>
      <c r="MUJ1680" s="2477"/>
      <c r="MUK1680" s="2477"/>
      <c r="MUL1680" s="2477"/>
      <c r="MUM1680" s="2477"/>
      <c r="MUN1680" s="2477"/>
      <c r="MUO1680" s="2477"/>
      <c r="MUP1680" s="2477"/>
      <c r="MUQ1680" s="2477"/>
      <c r="MUR1680" s="2477"/>
      <c r="MUS1680" s="2477"/>
      <c r="MUT1680" s="2477"/>
      <c r="MUU1680" s="2477"/>
      <c r="MUV1680" s="2477"/>
      <c r="MUW1680" s="2477"/>
      <c r="MUX1680" s="2477"/>
      <c r="MUY1680" s="2477"/>
      <c r="MUZ1680" s="2477"/>
      <c r="MVA1680" s="2477"/>
      <c r="MVB1680" s="2477"/>
      <c r="MVC1680" s="2477"/>
      <c r="MVD1680" s="2477"/>
      <c r="MVE1680" s="2477"/>
      <c r="MVF1680" s="2477"/>
      <c r="MVG1680" s="2477"/>
      <c r="MVH1680" s="2477"/>
      <c r="MVI1680" s="2477"/>
      <c r="MVJ1680" s="2477"/>
      <c r="MVK1680" s="2477"/>
      <c r="MVL1680" s="2477"/>
      <c r="MVM1680" s="2477"/>
      <c r="MVN1680" s="2477"/>
      <c r="MVO1680" s="2477"/>
      <c r="MVP1680" s="2477"/>
      <c r="MVQ1680" s="2477"/>
      <c r="MVR1680" s="2477"/>
      <c r="MVS1680" s="2477"/>
      <c r="MVT1680" s="2477"/>
      <c r="MVU1680" s="2477"/>
      <c r="MVV1680" s="2477"/>
      <c r="MVW1680" s="2477"/>
      <c r="MVX1680" s="2477"/>
      <c r="MVY1680" s="2477"/>
      <c r="MVZ1680" s="2477"/>
      <c r="MWA1680" s="2477"/>
      <c r="MWB1680" s="2477"/>
      <c r="MWC1680" s="2477"/>
      <c r="MWD1680" s="2477"/>
      <c r="MWE1680" s="2477"/>
      <c r="MWF1680" s="2477"/>
      <c r="MWG1680" s="2477"/>
      <c r="MWH1680" s="2477"/>
      <c r="MWI1680" s="2477"/>
      <c r="MWJ1680" s="2477"/>
      <c r="MWK1680" s="2477"/>
      <c r="MWL1680" s="2477"/>
      <c r="MWM1680" s="2477"/>
      <c r="MWN1680" s="2477"/>
      <c r="MWO1680" s="2477"/>
      <c r="MWP1680" s="2477"/>
      <c r="MWQ1680" s="2477"/>
      <c r="MWR1680" s="2477"/>
      <c r="MWS1680" s="2477"/>
      <c r="MWT1680" s="2477"/>
      <c r="MWU1680" s="2477"/>
      <c r="MWV1680" s="2477"/>
      <c r="MWW1680" s="2477"/>
      <c r="MWX1680" s="2477"/>
      <c r="MWY1680" s="2477"/>
      <c r="MWZ1680" s="2477"/>
      <c r="MXA1680" s="2477"/>
      <c r="MXB1680" s="2477"/>
      <c r="MXC1680" s="2477"/>
      <c r="MXD1680" s="2477"/>
      <c r="MXE1680" s="2477"/>
      <c r="MXF1680" s="2477"/>
      <c r="MXG1680" s="2477"/>
      <c r="MXH1680" s="2477"/>
      <c r="MXI1680" s="2477"/>
      <c r="MXJ1680" s="2477"/>
      <c r="MXK1680" s="2477"/>
      <c r="MXL1680" s="2477"/>
      <c r="MXM1680" s="2477"/>
      <c r="MXN1680" s="2477"/>
      <c r="MXO1680" s="2477"/>
      <c r="MXP1680" s="2477"/>
      <c r="MXQ1680" s="2477"/>
      <c r="MXR1680" s="2477"/>
      <c r="MXS1680" s="2477"/>
      <c r="MXT1680" s="2477"/>
      <c r="MXU1680" s="2477"/>
      <c r="MXV1680" s="2477"/>
      <c r="MXW1680" s="2477"/>
      <c r="MXX1680" s="2477"/>
      <c r="MXY1680" s="2477"/>
      <c r="MXZ1680" s="2477"/>
      <c r="MYA1680" s="2477"/>
      <c r="MYB1680" s="2477"/>
      <c r="MYC1680" s="2477"/>
      <c r="MYD1680" s="2477"/>
      <c r="MYE1680" s="2477"/>
      <c r="MYF1680" s="2477"/>
      <c r="MYG1680" s="2477"/>
      <c r="MYH1680" s="2477"/>
      <c r="MYI1680" s="2477"/>
      <c r="MYJ1680" s="2477"/>
      <c r="MYK1680" s="2477"/>
      <c r="MYL1680" s="2477"/>
      <c r="MYM1680" s="2477"/>
      <c r="MYN1680" s="2477"/>
      <c r="MYO1680" s="2477"/>
      <c r="MYP1680" s="2477"/>
      <c r="MYQ1680" s="2477"/>
      <c r="MYR1680" s="2477"/>
      <c r="MYS1680" s="2477"/>
      <c r="MYT1680" s="2477"/>
      <c r="MYU1680" s="2477"/>
      <c r="MYV1680" s="2477"/>
      <c r="MYW1680" s="2477"/>
      <c r="MYX1680" s="2477"/>
      <c r="MYY1680" s="2477"/>
      <c r="MYZ1680" s="2477"/>
      <c r="MZA1680" s="2477"/>
      <c r="MZB1680" s="2477"/>
      <c r="MZC1680" s="2477"/>
      <c r="MZD1680" s="2477"/>
      <c r="MZE1680" s="2477"/>
      <c r="MZF1680" s="2477"/>
      <c r="MZG1680" s="2477"/>
      <c r="MZH1680" s="2477"/>
      <c r="MZI1680" s="2477"/>
      <c r="MZJ1680" s="2477"/>
      <c r="MZK1680" s="2477"/>
      <c r="MZL1680" s="2477"/>
      <c r="MZM1680" s="2477"/>
      <c r="MZN1680" s="2477"/>
      <c r="MZO1680" s="2477"/>
      <c r="MZP1680" s="2477"/>
      <c r="MZQ1680" s="2477"/>
      <c r="MZR1680" s="2477"/>
      <c r="MZS1680" s="2477"/>
      <c r="MZT1680" s="2477"/>
      <c r="MZU1680" s="2477"/>
      <c r="MZV1680" s="2477"/>
      <c r="MZW1680" s="2477"/>
      <c r="MZX1680" s="2477"/>
      <c r="MZY1680" s="2477"/>
      <c r="MZZ1680" s="2477"/>
      <c r="NAA1680" s="2477"/>
      <c r="NAB1680" s="2477"/>
      <c r="NAC1680" s="2477"/>
      <c r="NAD1680" s="2477"/>
      <c r="NAE1680" s="2477"/>
      <c r="NAF1680" s="2477"/>
      <c r="NAG1680" s="2477"/>
      <c r="NAH1680" s="2477"/>
      <c r="NAI1680" s="2477"/>
      <c r="NAJ1680" s="2477"/>
      <c r="NAK1680" s="2477"/>
      <c r="NAL1680" s="2477"/>
      <c r="NAM1680" s="2477"/>
      <c r="NAN1680" s="2477"/>
      <c r="NAO1680" s="2477"/>
      <c r="NAP1680" s="2477"/>
      <c r="NAQ1680" s="2477"/>
      <c r="NAR1680" s="2477"/>
      <c r="NAS1680" s="2477"/>
      <c r="NAT1680" s="2477"/>
      <c r="NAU1680" s="2477"/>
      <c r="NAV1680" s="2477"/>
      <c r="NAW1680" s="2477"/>
      <c r="NAX1680" s="2477"/>
      <c r="NAY1680" s="2477"/>
      <c r="NAZ1680" s="2477"/>
      <c r="NBA1680" s="2477"/>
      <c r="NBB1680" s="2477"/>
      <c r="NBC1680" s="2477"/>
      <c r="NBD1680" s="2477"/>
      <c r="NBE1680" s="2477"/>
      <c r="NBF1680" s="2477"/>
      <c r="NBG1680" s="2477"/>
      <c r="NBH1680" s="2477"/>
      <c r="NBI1680" s="2477"/>
      <c r="NBJ1680" s="2477"/>
      <c r="NBK1680" s="2477"/>
      <c r="NBL1680" s="2477"/>
      <c r="NBM1680" s="2477"/>
      <c r="NBN1680" s="2477"/>
      <c r="NBO1680" s="2477"/>
      <c r="NBP1680" s="2477"/>
      <c r="NBQ1680" s="2477"/>
      <c r="NBR1680" s="2477"/>
      <c r="NBS1680" s="2477"/>
      <c r="NBT1680" s="2477"/>
      <c r="NBU1680" s="2477"/>
      <c r="NBV1680" s="2477"/>
      <c r="NBW1680" s="2477"/>
      <c r="NBX1680" s="2477"/>
      <c r="NBY1680" s="2477"/>
      <c r="NBZ1680" s="2477"/>
      <c r="NCA1680" s="2477"/>
      <c r="NCB1680" s="2477"/>
      <c r="NCC1680" s="2477"/>
      <c r="NCD1680" s="2477"/>
      <c r="NCE1680" s="2477"/>
      <c r="NCF1680" s="2477"/>
      <c r="NCG1680" s="2477"/>
      <c r="NCH1680" s="2477"/>
      <c r="NCI1680" s="2477"/>
      <c r="NCJ1680" s="2477"/>
      <c r="NCK1680" s="2477"/>
      <c r="NCL1680" s="2477"/>
      <c r="NCM1680" s="2477"/>
      <c r="NCN1680" s="2477"/>
      <c r="NCO1680" s="2477"/>
      <c r="NCP1680" s="2477"/>
      <c r="NCQ1680" s="2477"/>
      <c r="NCR1680" s="2477"/>
      <c r="NCS1680" s="2477"/>
      <c r="NCT1680" s="2477"/>
      <c r="NCU1680" s="2477"/>
      <c r="NCV1680" s="2477"/>
      <c r="NCW1680" s="2477"/>
      <c r="NCX1680" s="2477"/>
      <c r="NCY1680" s="2477"/>
      <c r="NCZ1680" s="2477"/>
      <c r="NDA1680" s="2477"/>
      <c r="NDB1680" s="2477"/>
      <c r="NDC1680" s="2477"/>
      <c r="NDD1680" s="2477"/>
      <c r="NDE1680" s="2477"/>
      <c r="NDF1680" s="2477"/>
      <c r="NDG1680" s="2477"/>
      <c r="NDH1680" s="2477"/>
      <c r="NDI1680" s="2477"/>
      <c r="NDJ1680" s="2477"/>
      <c r="NDK1680" s="2477"/>
      <c r="NDL1680" s="2477"/>
      <c r="NDM1680" s="2477"/>
      <c r="NDN1680" s="2477"/>
      <c r="NDO1680" s="2477"/>
      <c r="NDP1680" s="2477"/>
      <c r="NDQ1680" s="2477"/>
      <c r="NDR1680" s="2477"/>
      <c r="NDS1680" s="2477"/>
      <c r="NDT1680" s="2477"/>
      <c r="NDU1680" s="2477"/>
      <c r="NDV1680" s="2477"/>
      <c r="NDW1680" s="2477"/>
      <c r="NDX1680" s="2477"/>
      <c r="NDY1680" s="2477"/>
      <c r="NDZ1680" s="2477"/>
      <c r="NEA1680" s="2477"/>
      <c r="NEB1680" s="2477"/>
      <c r="NEC1680" s="2477"/>
      <c r="NED1680" s="2477"/>
      <c r="NEE1680" s="2477"/>
      <c r="NEF1680" s="2477"/>
      <c r="NEG1680" s="2477"/>
      <c r="NEH1680" s="2477"/>
      <c r="NEI1680" s="2477"/>
      <c r="NEJ1680" s="2477"/>
      <c r="NEK1680" s="2477"/>
      <c r="NEL1680" s="2477"/>
      <c r="NEM1680" s="2477"/>
      <c r="NEN1680" s="2477"/>
      <c r="NEO1680" s="2477"/>
      <c r="NEP1680" s="2477"/>
      <c r="NEQ1680" s="2477"/>
      <c r="NER1680" s="2477"/>
      <c r="NES1680" s="2477"/>
      <c r="NET1680" s="2477"/>
      <c r="NEU1680" s="2477"/>
      <c r="NEV1680" s="2477"/>
      <c r="NEW1680" s="2477"/>
      <c r="NEX1680" s="2477"/>
      <c r="NEY1680" s="2477"/>
      <c r="NEZ1680" s="2477"/>
      <c r="NFA1680" s="2477"/>
      <c r="NFB1680" s="2477"/>
      <c r="NFC1680" s="2477"/>
      <c r="NFD1680" s="2477"/>
      <c r="NFE1680" s="2477"/>
      <c r="NFF1680" s="2477"/>
      <c r="NFG1680" s="2477"/>
      <c r="NFH1680" s="2477"/>
      <c r="NFI1680" s="2477"/>
      <c r="NFJ1680" s="2477"/>
      <c r="NFK1680" s="2477"/>
      <c r="NFL1680" s="2477"/>
      <c r="NFM1680" s="2477"/>
      <c r="NFN1680" s="2477"/>
      <c r="NFO1680" s="2477"/>
      <c r="NFP1680" s="2477"/>
      <c r="NFQ1680" s="2477"/>
      <c r="NFR1680" s="2477"/>
      <c r="NFS1680" s="2477"/>
      <c r="NFT1680" s="2477"/>
      <c r="NFU1680" s="2477"/>
      <c r="NFV1680" s="2477"/>
      <c r="NFW1680" s="2477"/>
      <c r="NFX1680" s="2477"/>
      <c r="NFY1680" s="2477"/>
      <c r="NFZ1680" s="2477"/>
      <c r="NGA1680" s="2477"/>
      <c r="NGB1680" s="2477"/>
      <c r="NGC1680" s="2477"/>
      <c r="NGD1680" s="2477"/>
      <c r="NGE1680" s="2477"/>
      <c r="NGF1680" s="2477"/>
      <c r="NGG1680" s="2477"/>
      <c r="NGH1680" s="2477"/>
      <c r="NGI1680" s="2477"/>
      <c r="NGJ1680" s="2477"/>
      <c r="NGK1680" s="2477"/>
      <c r="NGL1680" s="2477"/>
      <c r="NGM1680" s="2477"/>
      <c r="NGN1680" s="2477"/>
      <c r="NGO1680" s="2477"/>
      <c r="NGP1680" s="2477"/>
      <c r="NGQ1680" s="2477"/>
      <c r="NGR1680" s="2477"/>
      <c r="NGS1680" s="2477"/>
      <c r="NGT1680" s="2477"/>
      <c r="NGU1680" s="2477"/>
      <c r="NGV1680" s="2477"/>
      <c r="NGW1680" s="2477"/>
      <c r="NGX1680" s="2477"/>
      <c r="NGY1680" s="2477"/>
      <c r="NGZ1680" s="2477"/>
      <c r="NHA1680" s="2477"/>
      <c r="NHB1680" s="2477"/>
      <c r="NHC1680" s="2477"/>
      <c r="NHD1680" s="2477"/>
      <c r="NHE1680" s="2477"/>
      <c r="NHF1680" s="2477"/>
      <c r="NHG1680" s="2477"/>
      <c r="NHH1680" s="2477"/>
      <c r="NHI1680" s="2477"/>
      <c r="NHJ1680" s="2477"/>
      <c r="NHK1680" s="2477"/>
      <c r="NHL1680" s="2477"/>
      <c r="NHM1680" s="2477"/>
      <c r="NHN1680" s="2477"/>
      <c r="NHO1680" s="2477"/>
      <c r="NHP1680" s="2477"/>
      <c r="NHQ1680" s="2477"/>
      <c r="NHR1680" s="2477"/>
      <c r="NHS1680" s="2477"/>
      <c r="NHT1680" s="2477"/>
      <c r="NHU1680" s="2477"/>
      <c r="NHV1680" s="2477"/>
      <c r="NHW1680" s="2477"/>
      <c r="NHX1680" s="2477"/>
      <c r="NHY1680" s="2477"/>
      <c r="NHZ1680" s="2477"/>
      <c r="NIA1680" s="2477"/>
      <c r="NIB1680" s="2477"/>
      <c r="NIC1680" s="2477"/>
      <c r="NID1680" s="2477"/>
      <c r="NIE1680" s="2477"/>
      <c r="NIF1680" s="2477"/>
      <c r="NIG1680" s="2477"/>
      <c r="NIH1680" s="2477"/>
      <c r="NII1680" s="2477"/>
      <c r="NIJ1680" s="2477"/>
      <c r="NIK1680" s="2477"/>
      <c r="NIL1680" s="2477"/>
      <c r="NIM1680" s="2477"/>
      <c r="NIN1680" s="2477"/>
      <c r="NIO1680" s="2477"/>
      <c r="NIP1680" s="2477"/>
      <c r="NIQ1680" s="2477"/>
      <c r="NIR1680" s="2477"/>
      <c r="NIS1680" s="2477"/>
      <c r="NIT1680" s="2477"/>
      <c r="NIU1680" s="2477"/>
      <c r="NIV1680" s="2477"/>
      <c r="NIW1680" s="2477"/>
      <c r="NIX1680" s="2477"/>
      <c r="NIY1680" s="2477"/>
      <c r="NIZ1680" s="2477"/>
      <c r="NJA1680" s="2477"/>
      <c r="NJB1680" s="2477"/>
      <c r="NJC1680" s="2477"/>
      <c r="NJD1680" s="2477"/>
      <c r="NJE1680" s="2477"/>
      <c r="NJF1680" s="2477"/>
      <c r="NJG1680" s="2477"/>
      <c r="NJH1680" s="2477"/>
      <c r="NJI1680" s="2477"/>
      <c r="NJJ1680" s="2477"/>
      <c r="NJK1680" s="2477"/>
      <c r="NJL1680" s="2477"/>
      <c r="NJM1680" s="2477"/>
      <c r="NJN1680" s="2477"/>
      <c r="NJO1680" s="2477"/>
      <c r="NJP1680" s="2477"/>
      <c r="NJQ1680" s="2477"/>
      <c r="NJR1680" s="2477"/>
      <c r="NJS1680" s="2477"/>
      <c r="NJT1680" s="2477"/>
      <c r="NJU1680" s="2477"/>
      <c r="NJV1680" s="2477"/>
      <c r="NJW1680" s="2477"/>
      <c r="NJX1680" s="2477"/>
      <c r="NJY1680" s="2477"/>
      <c r="NJZ1680" s="2477"/>
      <c r="NKA1680" s="2477"/>
      <c r="NKB1680" s="2477"/>
      <c r="NKC1680" s="2477"/>
      <c r="NKD1680" s="2477"/>
      <c r="NKE1680" s="2477"/>
      <c r="NKF1680" s="2477"/>
      <c r="NKG1680" s="2477"/>
      <c r="NKH1680" s="2477"/>
      <c r="NKI1680" s="2477"/>
      <c r="NKJ1680" s="2477"/>
      <c r="NKK1680" s="2477"/>
      <c r="NKL1680" s="2477"/>
      <c r="NKM1680" s="2477"/>
      <c r="NKN1680" s="2477"/>
      <c r="NKO1680" s="2477"/>
      <c r="NKP1680" s="2477"/>
      <c r="NKQ1680" s="2477"/>
      <c r="NKR1680" s="2477"/>
      <c r="NKS1680" s="2477"/>
      <c r="NKT1680" s="2477"/>
      <c r="NKU1680" s="2477"/>
      <c r="NKV1680" s="2477"/>
      <c r="NKW1680" s="2477"/>
      <c r="NKX1680" s="2477"/>
      <c r="NKY1680" s="2477"/>
      <c r="NKZ1680" s="2477"/>
      <c r="NLA1680" s="2477"/>
      <c r="NLB1680" s="2477"/>
      <c r="NLC1680" s="2477"/>
      <c r="NLD1680" s="2477"/>
      <c r="NLE1680" s="2477"/>
      <c r="NLF1680" s="2477"/>
      <c r="NLG1680" s="2477"/>
      <c r="NLH1680" s="2477"/>
      <c r="NLI1680" s="2477"/>
      <c r="NLJ1680" s="2477"/>
      <c r="NLK1680" s="2477"/>
      <c r="NLL1680" s="2477"/>
      <c r="NLM1680" s="2477"/>
      <c r="NLN1680" s="2477"/>
      <c r="NLO1680" s="2477"/>
      <c r="NLP1680" s="2477"/>
      <c r="NLQ1680" s="2477"/>
      <c r="NLR1680" s="2477"/>
      <c r="NLS1680" s="2477"/>
      <c r="NLT1680" s="2477"/>
      <c r="NLU1680" s="2477"/>
      <c r="NLV1680" s="2477"/>
      <c r="NLW1680" s="2477"/>
      <c r="NLX1680" s="2477"/>
      <c r="NLY1680" s="2477"/>
      <c r="NLZ1680" s="2477"/>
      <c r="NMA1680" s="2477"/>
      <c r="NMB1680" s="2477"/>
      <c r="NMC1680" s="2477"/>
      <c r="NMD1680" s="2477"/>
      <c r="NME1680" s="2477"/>
      <c r="NMF1680" s="2477"/>
      <c r="NMG1680" s="2477"/>
      <c r="NMH1680" s="2477"/>
      <c r="NMI1680" s="2477"/>
      <c r="NMJ1680" s="2477"/>
      <c r="NMK1680" s="2477"/>
      <c r="NML1680" s="2477"/>
      <c r="NMM1680" s="2477"/>
      <c r="NMN1680" s="2477"/>
      <c r="NMO1680" s="2477"/>
      <c r="NMP1680" s="2477"/>
      <c r="NMQ1680" s="2477"/>
      <c r="NMR1680" s="2477"/>
      <c r="NMS1680" s="2477"/>
      <c r="NMT1680" s="2477"/>
      <c r="NMU1680" s="2477"/>
      <c r="NMV1680" s="2477"/>
      <c r="NMW1680" s="2477"/>
      <c r="NMX1680" s="2477"/>
      <c r="NMY1680" s="2477"/>
      <c r="NMZ1680" s="2477"/>
      <c r="NNA1680" s="2477"/>
      <c r="NNB1680" s="2477"/>
      <c r="NNC1680" s="2477"/>
      <c r="NND1680" s="2477"/>
      <c r="NNE1680" s="2477"/>
      <c r="NNF1680" s="2477"/>
      <c r="NNG1680" s="2477"/>
      <c r="NNH1680" s="2477"/>
      <c r="NNI1680" s="2477"/>
      <c r="NNJ1680" s="2477"/>
      <c r="NNK1680" s="2477"/>
      <c r="NNL1680" s="2477"/>
      <c r="NNM1680" s="2477"/>
      <c r="NNN1680" s="2477"/>
      <c r="NNO1680" s="2477"/>
      <c r="NNP1680" s="2477"/>
      <c r="NNQ1680" s="2477"/>
      <c r="NNR1680" s="2477"/>
      <c r="NNS1680" s="2477"/>
      <c r="NNT1680" s="2477"/>
      <c r="NNU1680" s="2477"/>
      <c r="NNV1680" s="2477"/>
      <c r="NNW1680" s="2477"/>
      <c r="NNX1680" s="2477"/>
      <c r="NNY1680" s="2477"/>
      <c r="NNZ1680" s="2477"/>
      <c r="NOA1680" s="2477"/>
      <c r="NOB1680" s="2477"/>
      <c r="NOC1680" s="2477"/>
      <c r="NOD1680" s="2477"/>
      <c r="NOE1680" s="2477"/>
      <c r="NOF1680" s="2477"/>
      <c r="NOG1680" s="2477"/>
      <c r="NOH1680" s="2477"/>
      <c r="NOI1680" s="2477"/>
      <c r="NOJ1680" s="2477"/>
      <c r="NOK1680" s="2477"/>
      <c r="NOL1680" s="2477"/>
      <c r="NOM1680" s="2477"/>
      <c r="NON1680" s="2477"/>
      <c r="NOO1680" s="2477"/>
      <c r="NOP1680" s="2477"/>
      <c r="NOQ1680" s="2477"/>
      <c r="NOR1680" s="2477"/>
      <c r="NOS1680" s="2477"/>
      <c r="NOT1680" s="2477"/>
      <c r="NOU1680" s="2477"/>
      <c r="NOV1680" s="2477"/>
      <c r="NOW1680" s="2477"/>
      <c r="NOX1680" s="2477"/>
      <c r="NOY1680" s="2477"/>
      <c r="NOZ1680" s="2477"/>
      <c r="NPA1680" s="2477"/>
      <c r="NPB1680" s="2477"/>
      <c r="NPC1680" s="2477"/>
      <c r="NPD1680" s="2477"/>
      <c r="NPE1680" s="2477"/>
      <c r="NPF1680" s="2477"/>
      <c r="NPG1680" s="2477"/>
      <c r="NPH1680" s="2477"/>
      <c r="NPI1680" s="2477"/>
      <c r="NPJ1680" s="2477"/>
      <c r="NPK1680" s="2477"/>
      <c r="NPL1680" s="2477"/>
      <c r="NPM1680" s="2477"/>
      <c r="NPN1680" s="2477"/>
      <c r="NPO1680" s="2477"/>
      <c r="NPP1680" s="2477"/>
      <c r="NPQ1680" s="2477"/>
      <c r="NPR1680" s="2477"/>
      <c r="NPS1680" s="2477"/>
      <c r="NPT1680" s="2477"/>
      <c r="NPU1680" s="2477"/>
      <c r="NPV1680" s="2477"/>
      <c r="NPW1680" s="2477"/>
      <c r="NPX1680" s="2477"/>
      <c r="NPY1680" s="2477"/>
      <c r="NPZ1680" s="2477"/>
      <c r="NQA1680" s="2477"/>
      <c r="NQB1680" s="2477"/>
      <c r="NQC1680" s="2477"/>
      <c r="NQD1680" s="2477"/>
      <c r="NQE1680" s="2477"/>
      <c r="NQF1680" s="2477"/>
      <c r="NQG1680" s="2477"/>
      <c r="NQH1680" s="2477"/>
      <c r="NQI1680" s="2477"/>
      <c r="NQJ1680" s="2477"/>
      <c r="NQK1680" s="2477"/>
      <c r="NQL1680" s="2477"/>
      <c r="NQM1680" s="2477"/>
      <c r="NQN1680" s="2477"/>
      <c r="NQO1680" s="2477"/>
      <c r="NQP1680" s="2477"/>
      <c r="NQQ1680" s="2477"/>
      <c r="NQR1680" s="2477"/>
      <c r="NQS1680" s="2477"/>
      <c r="NQT1680" s="2477"/>
      <c r="NQU1680" s="2477"/>
      <c r="NQV1680" s="2477"/>
      <c r="NQW1680" s="2477"/>
      <c r="NQX1680" s="2477"/>
      <c r="NQY1680" s="2477"/>
      <c r="NQZ1680" s="2477"/>
      <c r="NRA1680" s="2477"/>
      <c r="NRB1680" s="2477"/>
      <c r="NRC1680" s="2477"/>
      <c r="NRD1680" s="2477"/>
      <c r="NRE1680" s="2477"/>
      <c r="NRF1680" s="2477"/>
      <c r="NRG1680" s="2477"/>
      <c r="NRH1680" s="2477"/>
      <c r="NRI1680" s="2477"/>
      <c r="NRJ1680" s="2477"/>
      <c r="NRK1680" s="2477"/>
      <c r="NRL1680" s="2477"/>
      <c r="NRM1680" s="2477"/>
      <c r="NRN1680" s="2477"/>
      <c r="NRO1680" s="2477"/>
      <c r="NRP1680" s="2477"/>
      <c r="NRQ1680" s="2477"/>
      <c r="NRR1680" s="2477"/>
      <c r="NRS1680" s="2477"/>
      <c r="NRT1680" s="2477"/>
      <c r="NRU1680" s="2477"/>
      <c r="NRV1680" s="2477"/>
      <c r="NRW1680" s="2477"/>
      <c r="NRX1680" s="2477"/>
      <c r="NRY1680" s="2477"/>
      <c r="NRZ1680" s="2477"/>
      <c r="NSA1680" s="2477"/>
      <c r="NSB1680" s="2477"/>
      <c r="NSC1680" s="2477"/>
      <c r="NSD1680" s="2477"/>
      <c r="NSE1680" s="2477"/>
      <c r="NSF1680" s="2477"/>
      <c r="NSG1680" s="2477"/>
      <c r="NSH1680" s="2477"/>
      <c r="NSI1680" s="2477"/>
      <c r="NSJ1680" s="2477"/>
      <c r="NSK1680" s="2477"/>
      <c r="NSL1680" s="2477"/>
      <c r="NSM1680" s="2477"/>
      <c r="NSN1680" s="2477"/>
      <c r="NSO1680" s="2477"/>
      <c r="NSP1680" s="2477"/>
      <c r="NSQ1680" s="2477"/>
      <c r="NSR1680" s="2477"/>
      <c r="NSS1680" s="2477"/>
      <c r="NST1680" s="2477"/>
      <c r="NSU1680" s="2477"/>
      <c r="NSV1680" s="2477"/>
      <c r="NSW1680" s="2477"/>
      <c r="NSX1680" s="2477"/>
      <c r="NSY1680" s="2477"/>
      <c r="NSZ1680" s="2477"/>
      <c r="NTA1680" s="2477"/>
      <c r="NTB1680" s="2477"/>
      <c r="NTC1680" s="2477"/>
      <c r="NTD1680" s="2477"/>
      <c r="NTE1680" s="2477"/>
      <c r="NTF1680" s="2477"/>
      <c r="NTG1680" s="2477"/>
      <c r="NTH1680" s="2477"/>
      <c r="NTI1680" s="2477"/>
      <c r="NTJ1680" s="2477"/>
      <c r="NTK1680" s="2477"/>
      <c r="NTL1680" s="2477"/>
      <c r="NTM1680" s="2477"/>
      <c r="NTN1680" s="2477"/>
      <c r="NTO1680" s="2477"/>
      <c r="NTP1680" s="2477"/>
      <c r="NTQ1680" s="2477"/>
      <c r="NTR1680" s="2477"/>
      <c r="NTS1680" s="2477"/>
      <c r="NTT1680" s="2477"/>
      <c r="NTU1680" s="2477"/>
      <c r="NTV1680" s="2477"/>
      <c r="NTW1680" s="2477"/>
      <c r="NTX1680" s="2477"/>
      <c r="NTY1680" s="2477"/>
      <c r="NTZ1680" s="2477"/>
      <c r="NUA1680" s="2477"/>
      <c r="NUB1680" s="2477"/>
      <c r="NUC1680" s="2477"/>
      <c r="NUD1680" s="2477"/>
      <c r="NUE1680" s="2477"/>
      <c r="NUF1680" s="2477"/>
      <c r="NUG1680" s="2477"/>
      <c r="NUH1680" s="2477"/>
      <c r="NUI1680" s="2477"/>
      <c r="NUJ1680" s="2477"/>
      <c r="NUK1680" s="2477"/>
      <c r="NUL1680" s="2477"/>
      <c r="NUM1680" s="2477"/>
      <c r="NUN1680" s="2477"/>
      <c r="NUO1680" s="2477"/>
      <c r="NUP1680" s="2477"/>
      <c r="NUQ1680" s="2477"/>
      <c r="NUR1680" s="2477"/>
      <c r="NUS1680" s="2477"/>
      <c r="NUT1680" s="2477"/>
      <c r="NUU1680" s="2477"/>
      <c r="NUV1680" s="2477"/>
      <c r="NUW1680" s="2477"/>
      <c r="NUX1680" s="2477"/>
      <c r="NUY1680" s="2477"/>
      <c r="NUZ1680" s="2477"/>
      <c r="NVA1680" s="2477"/>
      <c r="NVB1680" s="2477"/>
      <c r="NVC1680" s="2477"/>
      <c r="NVD1680" s="2477"/>
      <c r="NVE1680" s="2477"/>
      <c r="NVF1680" s="2477"/>
      <c r="NVG1680" s="2477"/>
      <c r="NVH1680" s="2477"/>
      <c r="NVI1680" s="2477"/>
      <c r="NVJ1680" s="2477"/>
      <c r="NVK1680" s="2477"/>
      <c r="NVL1680" s="2477"/>
      <c r="NVM1680" s="2477"/>
      <c r="NVN1680" s="2477"/>
      <c r="NVO1680" s="2477"/>
      <c r="NVP1680" s="2477"/>
      <c r="NVQ1680" s="2477"/>
      <c r="NVR1680" s="2477"/>
      <c r="NVS1680" s="2477"/>
      <c r="NVT1680" s="2477"/>
      <c r="NVU1680" s="2477"/>
      <c r="NVV1680" s="2477"/>
      <c r="NVW1680" s="2477"/>
      <c r="NVX1680" s="2477"/>
      <c r="NVY1680" s="2477"/>
      <c r="NVZ1680" s="2477"/>
      <c r="NWA1680" s="2477"/>
      <c r="NWB1680" s="2477"/>
      <c r="NWC1680" s="2477"/>
      <c r="NWD1680" s="2477"/>
      <c r="NWE1680" s="2477"/>
      <c r="NWF1680" s="2477"/>
      <c r="NWG1680" s="2477"/>
      <c r="NWH1680" s="2477"/>
      <c r="NWI1680" s="2477"/>
      <c r="NWJ1680" s="2477"/>
      <c r="NWK1680" s="2477"/>
      <c r="NWL1680" s="2477"/>
      <c r="NWM1680" s="2477"/>
      <c r="NWN1680" s="2477"/>
      <c r="NWO1680" s="2477"/>
      <c r="NWP1680" s="2477"/>
      <c r="NWQ1680" s="2477"/>
      <c r="NWR1680" s="2477"/>
      <c r="NWS1680" s="2477"/>
      <c r="NWT1680" s="2477"/>
      <c r="NWU1680" s="2477"/>
      <c r="NWV1680" s="2477"/>
      <c r="NWW1680" s="2477"/>
      <c r="NWX1680" s="2477"/>
      <c r="NWY1680" s="2477"/>
      <c r="NWZ1680" s="2477"/>
      <c r="NXA1680" s="2477"/>
      <c r="NXB1680" s="2477"/>
      <c r="NXC1680" s="2477"/>
      <c r="NXD1680" s="2477"/>
      <c r="NXE1680" s="2477"/>
      <c r="NXF1680" s="2477"/>
      <c r="NXG1680" s="2477"/>
      <c r="NXH1680" s="2477"/>
      <c r="NXI1680" s="2477"/>
      <c r="NXJ1680" s="2477"/>
      <c r="NXK1680" s="2477"/>
      <c r="NXL1680" s="2477"/>
      <c r="NXM1680" s="2477"/>
      <c r="NXN1680" s="2477"/>
      <c r="NXO1680" s="2477"/>
      <c r="NXP1680" s="2477"/>
      <c r="NXQ1680" s="2477"/>
      <c r="NXR1680" s="2477"/>
      <c r="NXS1680" s="2477"/>
      <c r="NXT1680" s="2477"/>
      <c r="NXU1680" s="2477"/>
      <c r="NXV1680" s="2477"/>
      <c r="NXW1680" s="2477"/>
      <c r="NXX1680" s="2477"/>
      <c r="NXY1680" s="2477"/>
      <c r="NXZ1680" s="2477"/>
      <c r="NYA1680" s="2477"/>
      <c r="NYB1680" s="2477"/>
      <c r="NYC1680" s="2477"/>
      <c r="NYD1680" s="2477"/>
      <c r="NYE1680" s="2477"/>
      <c r="NYF1680" s="2477"/>
      <c r="NYG1680" s="2477"/>
      <c r="NYH1680" s="2477"/>
      <c r="NYI1680" s="2477"/>
      <c r="NYJ1680" s="2477"/>
      <c r="NYK1680" s="2477"/>
      <c r="NYL1680" s="2477"/>
      <c r="NYM1680" s="2477"/>
      <c r="NYN1680" s="2477"/>
      <c r="NYO1680" s="2477"/>
      <c r="NYP1680" s="2477"/>
      <c r="NYQ1680" s="2477"/>
      <c r="NYR1680" s="2477"/>
      <c r="NYS1680" s="2477"/>
      <c r="NYT1680" s="2477"/>
      <c r="NYU1680" s="2477"/>
      <c r="NYV1680" s="2477"/>
      <c r="NYW1680" s="2477"/>
      <c r="NYX1680" s="2477"/>
      <c r="NYY1680" s="2477"/>
      <c r="NYZ1680" s="2477"/>
      <c r="NZA1680" s="2477"/>
      <c r="NZB1680" s="2477"/>
      <c r="NZC1680" s="2477"/>
      <c r="NZD1680" s="2477"/>
      <c r="NZE1680" s="2477"/>
      <c r="NZF1680" s="2477"/>
      <c r="NZG1680" s="2477"/>
      <c r="NZH1680" s="2477"/>
      <c r="NZI1680" s="2477"/>
      <c r="NZJ1680" s="2477"/>
      <c r="NZK1680" s="2477"/>
      <c r="NZL1680" s="2477"/>
      <c r="NZM1680" s="2477"/>
      <c r="NZN1680" s="2477"/>
      <c r="NZO1680" s="2477"/>
      <c r="NZP1680" s="2477"/>
      <c r="NZQ1680" s="2477"/>
      <c r="NZR1680" s="2477"/>
      <c r="NZS1680" s="2477"/>
      <c r="NZT1680" s="2477"/>
      <c r="NZU1680" s="2477"/>
      <c r="NZV1680" s="2477"/>
      <c r="NZW1680" s="2477"/>
      <c r="NZX1680" s="2477"/>
      <c r="NZY1680" s="2477"/>
      <c r="NZZ1680" s="2477"/>
      <c r="OAA1680" s="2477"/>
      <c r="OAB1680" s="2477"/>
      <c r="OAC1680" s="2477"/>
      <c r="OAD1680" s="2477"/>
      <c r="OAE1680" s="2477"/>
      <c r="OAF1680" s="2477"/>
      <c r="OAG1680" s="2477"/>
      <c r="OAH1680" s="2477"/>
      <c r="OAI1680" s="2477"/>
      <c r="OAJ1680" s="2477"/>
      <c r="OAK1680" s="2477"/>
      <c r="OAL1680" s="2477"/>
      <c r="OAM1680" s="2477"/>
      <c r="OAN1680" s="2477"/>
      <c r="OAO1680" s="2477"/>
      <c r="OAP1680" s="2477"/>
      <c r="OAQ1680" s="2477"/>
      <c r="OAR1680" s="2477"/>
      <c r="OAS1680" s="2477"/>
      <c r="OAT1680" s="2477"/>
      <c r="OAU1680" s="2477"/>
      <c r="OAV1680" s="2477"/>
      <c r="OAW1680" s="2477"/>
      <c r="OAX1680" s="2477"/>
      <c r="OAY1680" s="2477"/>
      <c r="OAZ1680" s="2477"/>
      <c r="OBA1680" s="2477"/>
      <c r="OBB1680" s="2477"/>
      <c r="OBC1680" s="2477"/>
      <c r="OBD1680" s="2477"/>
      <c r="OBE1680" s="2477"/>
      <c r="OBF1680" s="2477"/>
      <c r="OBG1680" s="2477"/>
      <c r="OBH1680" s="2477"/>
      <c r="OBI1680" s="2477"/>
      <c r="OBJ1680" s="2477"/>
      <c r="OBK1680" s="2477"/>
      <c r="OBL1680" s="2477"/>
      <c r="OBM1680" s="2477"/>
      <c r="OBN1680" s="2477"/>
      <c r="OBO1680" s="2477"/>
      <c r="OBP1680" s="2477"/>
      <c r="OBQ1680" s="2477"/>
      <c r="OBR1680" s="2477"/>
      <c r="OBS1680" s="2477"/>
      <c r="OBT1680" s="2477"/>
      <c r="OBU1680" s="2477"/>
      <c r="OBV1680" s="2477"/>
      <c r="OBW1680" s="2477"/>
      <c r="OBX1680" s="2477"/>
      <c r="OBY1680" s="2477"/>
      <c r="OBZ1680" s="2477"/>
      <c r="OCA1680" s="2477"/>
      <c r="OCB1680" s="2477"/>
      <c r="OCC1680" s="2477"/>
      <c r="OCD1680" s="2477"/>
      <c r="OCE1680" s="2477"/>
      <c r="OCF1680" s="2477"/>
      <c r="OCG1680" s="2477"/>
      <c r="OCH1680" s="2477"/>
      <c r="OCI1680" s="2477"/>
      <c r="OCJ1680" s="2477"/>
      <c r="OCK1680" s="2477"/>
      <c r="OCL1680" s="2477"/>
      <c r="OCM1680" s="2477"/>
      <c r="OCN1680" s="2477"/>
      <c r="OCO1680" s="2477"/>
      <c r="OCP1680" s="2477"/>
      <c r="OCQ1680" s="2477"/>
      <c r="OCR1680" s="2477"/>
      <c r="OCS1680" s="2477"/>
      <c r="OCT1680" s="2477"/>
      <c r="OCU1680" s="2477"/>
      <c r="OCV1680" s="2477"/>
      <c r="OCW1680" s="2477"/>
      <c r="OCX1680" s="2477"/>
      <c r="OCY1680" s="2477"/>
      <c r="OCZ1680" s="2477"/>
      <c r="ODA1680" s="2477"/>
      <c r="ODB1680" s="2477"/>
      <c r="ODC1680" s="2477"/>
      <c r="ODD1680" s="2477"/>
      <c r="ODE1680" s="2477"/>
      <c r="ODF1680" s="2477"/>
      <c r="ODG1680" s="2477"/>
      <c r="ODH1680" s="2477"/>
      <c r="ODI1680" s="2477"/>
      <c r="ODJ1680" s="2477"/>
      <c r="ODK1680" s="2477"/>
      <c r="ODL1680" s="2477"/>
      <c r="ODM1680" s="2477"/>
      <c r="ODN1680" s="2477"/>
      <c r="ODO1680" s="2477"/>
      <c r="ODP1680" s="2477"/>
      <c r="ODQ1680" s="2477"/>
      <c r="ODR1680" s="2477"/>
      <c r="ODS1680" s="2477"/>
      <c r="ODT1680" s="2477"/>
      <c r="ODU1680" s="2477"/>
      <c r="ODV1680" s="2477"/>
      <c r="ODW1680" s="2477"/>
      <c r="ODX1680" s="2477"/>
      <c r="ODY1680" s="2477"/>
      <c r="ODZ1680" s="2477"/>
      <c r="OEA1680" s="2477"/>
      <c r="OEB1680" s="2477"/>
      <c r="OEC1680" s="2477"/>
      <c r="OED1680" s="2477"/>
      <c r="OEE1680" s="2477"/>
      <c r="OEF1680" s="2477"/>
      <c r="OEG1680" s="2477"/>
      <c r="OEH1680" s="2477"/>
      <c r="OEI1680" s="2477"/>
      <c r="OEJ1680" s="2477"/>
      <c r="OEK1680" s="2477"/>
      <c r="OEL1680" s="2477"/>
      <c r="OEM1680" s="2477"/>
      <c r="OEN1680" s="2477"/>
      <c r="OEO1680" s="2477"/>
      <c r="OEP1680" s="2477"/>
      <c r="OEQ1680" s="2477"/>
      <c r="OER1680" s="2477"/>
      <c r="OES1680" s="2477"/>
      <c r="OET1680" s="2477"/>
      <c r="OEU1680" s="2477"/>
      <c r="OEV1680" s="2477"/>
      <c r="OEW1680" s="2477"/>
      <c r="OEX1680" s="2477"/>
      <c r="OEY1680" s="2477"/>
      <c r="OEZ1680" s="2477"/>
      <c r="OFA1680" s="2477"/>
      <c r="OFB1680" s="2477"/>
      <c r="OFC1680" s="2477"/>
      <c r="OFD1680" s="2477"/>
      <c r="OFE1680" s="2477"/>
      <c r="OFF1680" s="2477"/>
      <c r="OFG1680" s="2477"/>
      <c r="OFH1680" s="2477"/>
      <c r="OFI1680" s="2477"/>
      <c r="OFJ1680" s="2477"/>
      <c r="OFK1680" s="2477"/>
      <c r="OFL1680" s="2477"/>
      <c r="OFM1680" s="2477"/>
      <c r="OFN1680" s="2477"/>
      <c r="OFO1680" s="2477"/>
      <c r="OFP1680" s="2477"/>
      <c r="OFQ1680" s="2477"/>
      <c r="OFR1680" s="2477"/>
      <c r="OFS1680" s="2477"/>
      <c r="OFT1680" s="2477"/>
      <c r="OFU1680" s="2477"/>
      <c r="OFV1680" s="2477"/>
      <c r="OFW1680" s="2477"/>
      <c r="OFX1680" s="2477"/>
      <c r="OFY1680" s="2477"/>
      <c r="OFZ1680" s="2477"/>
      <c r="OGA1680" s="2477"/>
      <c r="OGB1680" s="2477"/>
      <c r="OGC1680" s="2477"/>
      <c r="OGD1680" s="2477"/>
      <c r="OGE1680" s="2477"/>
      <c r="OGF1680" s="2477"/>
      <c r="OGG1680" s="2477"/>
      <c r="OGH1680" s="2477"/>
      <c r="OGI1680" s="2477"/>
      <c r="OGJ1680" s="2477"/>
      <c r="OGK1680" s="2477"/>
      <c r="OGL1680" s="2477"/>
      <c r="OGM1680" s="2477"/>
      <c r="OGN1680" s="2477"/>
      <c r="OGO1680" s="2477"/>
      <c r="OGP1680" s="2477"/>
      <c r="OGQ1680" s="2477"/>
      <c r="OGR1680" s="2477"/>
      <c r="OGS1680" s="2477"/>
      <c r="OGT1680" s="2477"/>
      <c r="OGU1680" s="2477"/>
      <c r="OGV1680" s="2477"/>
      <c r="OGW1680" s="2477"/>
      <c r="OGX1680" s="2477"/>
      <c r="OGY1680" s="2477"/>
      <c r="OGZ1680" s="2477"/>
      <c r="OHA1680" s="2477"/>
      <c r="OHB1680" s="2477"/>
      <c r="OHC1680" s="2477"/>
      <c r="OHD1680" s="2477"/>
      <c r="OHE1680" s="2477"/>
      <c r="OHF1680" s="2477"/>
      <c r="OHG1680" s="2477"/>
      <c r="OHH1680" s="2477"/>
      <c r="OHI1680" s="2477"/>
      <c r="OHJ1680" s="2477"/>
      <c r="OHK1680" s="2477"/>
      <c r="OHL1680" s="2477"/>
      <c r="OHM1680" s="2477"/>
      <c r="OHN1680" s="2477"/>
      <c r="OHO1680" s="2477"/>
      <c r="OHP1680" s="2477"/>
      <c r="OHQ1680" s="2477"/>
      <c r="OHR1680" s="2477"/>
      <c r="OHS1680" s="2477"/>
      <c r="OHT1680" s="2477"/>
      <c r="OHU1680" s="2477"/>
      <c r="OHV1680" s="2477"/>
      <c r="OHW1680" s="2477"/>
      <c r="OHX1680" s="2477"/>
      <c r="OHY1680" s="2477"/>
      <c r="OHZ1680" s="2477"/>
      <c r="OIA1680" s="2477"/>
      <c r="OIB1680" s="2477"/>
      <c r="OIC1680" s="2477"/>
      <c r="OID1680" s="2477"/>
      <c r="OIE1680" s="2477"/>
      <c r="OIF1680" s="2477"/>
      <c r="OIG1680" s="2477"/>
      <c r="OIH1680" s="2477"/>
      <c r="OII1680" s="2477"/>
      <c r="OIJ1680" s="2477"/>
      <c r="OIK1680" s="2477"/>
      <c r="OIL1680" s="2477"/>
      <c r="OIM1680" s="2477"/>
      <c r="OIN1680" s="2477"/>
      <c r="OIO1680" s="2477"/>
      <c r="OIP1680" s="2477"/>
      <c r="OIQ1680" s="2477"/>
      <c r="OIR1680" s="2477"/>
      <c r="OIS1680" s="2477"/>
      <c r="OIT1680" s="2477"/>
      <c r="OIU1680" s="2477"/>
      <c r="OIV1680" s="2477"/>
      <c r="OIW1680" s="2477"/>
      <c r="OIX1680" s="2477"/>
      <c r="OIY1680" s="2477"/>
      <c r="OIZ1680" s="2477"/>
      <c r="OJA1680" s="2477"/>
      <c r="OJB1680" s="2477"/>
      <c r="OJC1680" s="2477"/>
      <c r="OJD1680" s="2477"/>
      <c r="OJE1680" s="2477"/>
      <c r="OJF1680" s="2477"/>
      <c r="OJG1680" s="2477"/>
      <c r="OJH1680" s="2477"/>
      <c r="OJI1680" s="2477"/>
      <c r="OJJ1680" s="2477"/>
      <c r="OJK1680" s="2477"/>
      <c r="OJL1680" s="2477"/>
      <c r="OJM1680" s="2477"/>
      <c r="OJN1680" s="2477"/>
      <c r="OJO1680" s="2477"/>
      <c r="OJP1680" s="2477"/>
      <c r="OJQ1680" s="2477"/>
      <c r="OJR1680" s="2477"/>
      <c r="OJS1680" s="2477"/>
      <c r="OJT1680" s="2477"/>
      <c r="OJU1680" s="2477"/>
      <c r="OJV1680" s="2477"/>
      <c r="OJW1680" s="2477"/>
      <c r="OJX1680" s="2477"/>
      <c r="OJY1680" s="2477"/>
      <c r="OJZ1680" s="2477"/>
      <c r="OKA1680" s="2477"/>
      <c r="OKB1680" s="2477"/>
      <c r="OKC1680" s="2477"/>
      <c r="OKD1680" s="2477"/>
      <c r="OKE1680" s="2477"/>
      <c r="OKF1680" s="2477"/>
      <c r="OKG1680" s="2477"/>
      <c r="OKH1680" s="2477"/>
      <c r="OKI1680" s="2477"/>
      <c r="OKJ1680" s="2477"/>
      <c r="OKK1680" s="2477"/>
      <c r="OKL1680" s="2477"/>
      <c r="OKM1680" s="2477"/>
      <c r="OKN1680" s="2477"/>
      <c r="OKO1680" s="2477"/>
      <c r="OKP1680" s="2477"/>
      <c r="OKQ1680" s="2477"/>
      <c r="OKR1680" s="2477"/>
      <c r="OKS1680" s="2477"/>
      <c r="OKT1680" s="2477"/>
      <c r="OKU1680" s="2477"/>
      <c r="OKV1680" s="2477"/>
      <c r="OKW1680" s="2477"/>
      <c r="OKX1680" s="2477"/>
      <c r="OKY1680" s="2477"/>
      <c r="OKZ1680" s="2477"/>
      <c r="OLA1680" s="2477"/>
      <c r="OLB1680" s="2477"/>
      <c r="OLC1680" s="2477"/>
      <c r="OLD1680" s="2477"/>
      <c r="OLE1680" s="2477"/>
      <c r="OLF1680" s="2477"/>
      <c r="OLG1680" s="2477"/>
      <c r="OLH1680" s="2477"/>
      <c r="OLI1680" s="2477"/>
      <c r="OLJ1680" s="2477"/>
      <c r="OLK1680" s="2477"/>
      <c r="OLL1680" s="2477"/>
      <c r="OLM1680" s="2477"/>
      <c r="OLN1680" s="2477"/>
      <c r="OLO1680" s="2477"/>
      <c r="OLP1680" s="2477"/>
      <c r="OLQ1680" s="2477"/>
      <c r="OLR1680" s="2477"/>
      <c r="OLS1680" s="2477"/>
      <c r="OLT1680" s="2477"/>
      <c r="OLU1680" s="2477"/>
      <c r="OLV1680" s="2477"/>
      <c r="OLW1680" s="2477"/>
      <c r="OLX1680" s="2477"/>
      <c r="OLY1680" s="2477"/>
      <c r="OLZ1680" s="2477"/>
      <c r="OMA1680" s="2477"/>
      <c r="OMB1680" s="2477"/>
      <c r="OMC1680" s="2477"/>
      <c r="OMD1680" s="2477"/>
      <c r="OME1680" s="2477"/>
      <c r="OMF1680" s="2477"/>
      <c r="OMG1680" s="2477"/>
      <c r="OMH1680" s="2477"/>
      <c r="OMI1680" s="2477"/>
      <c r="OMJ1680" s="2477"/>
      <c r="OMK1680" s="2477"/>
      <c r="OML1680" s="2477"/>
      <c r="OMM1680" s="2477"/>
      <c r="OMN1680" s="2477"/>
      <c r="OMO1680" s="2477"/>
      <c r="OMP1680" s="2477"/>
      <c r="OMQ1680" s="2477"/>
      <c r="OMR1680" s="2477"/>
      <c r="OMS1680" s="2477"/>
      <c r="OMT1680" s="2477"/>
      <c r="OMU1680" s="2477"/>
      <c r="OMV1680" s="2477"/>
      <c r="OMW1680" s="2477"/>
      <c r="OMX1680" s="2477"/>
      <c r="OMY1680" s="2477"/>
      <c r="OMZ1680" s="2477"/>
      <c r="ONA1680" s="2477"/>
      <c r="ONB1680" s="2477"/>
      <c r="ONC1680" s="2477"/>
      <c r="OND1680" s="2477"/>
      <c r="ONE1680" s="2477"/>
      <c r="ONF1680" s="2477"/>
      <c r="ONG1680" s="2477"/>
      <c r="ONH1680" s="2477"/>
      <c r="ONI1680" s="2477"/>
      <c r="ONJ1680" s="2477"/>
      <c r="ONK1680" s="2477"/>
      <c r="ONL1680" s="2477"/>
      <c r="ONM1680" s="2477"/>
      <c r="ONN1680" s="2477"/>
      <c r="ONO1680" s="2477"/>
      <c r="ONP1680" s="2477"/>
      <c r="ONQ1680" s="2477"/>
      <c r="ONR1680" s="2477"/>
      <c r="ONS1680" s="2477"/>
      <c r="ONT1680" s="2477"/>
      <c r="ONU1680" s="2477"/>
      <c r="ONV1680" s="2477"/>
      <c r="ONW1680" s="2477"/>
      <c r="ONX1680" s="2477"/>
      <c r="ONY1680" s="2477"/>
      <c r="ONZ1680" s="2477"/>
      <c r="OOA1680" s="2477"/>
      <c r="OOB1680" s="2477"/>
      <c r="OOC1680" s="2477"/>
      <c r="OOD1680" s="2477"/>
      <c r="OOE1680" s="2477"/>
      <c r="OOF1680" s="2477"/>
      <c r="OOG1680" s="2477"/>
      <c r="OOH1680" s="2477"/>
      <c r="OOI1680" s="2477"/>
      <c r="OOJ1680" s="2477"/>
      <c r="OOK1680" s="2477"/>
      <c r="OOL1680" s="2477"/>
      <c r="OOM1680" s="2477"/>
      <c r="OON1680" s="2477"/>
      <c r="OOO1680" s="2477"/>
      <c r="OOP1680" s="2477"/>
      <c r="OOQ1680" s="2477"/>
      <c r="OOR1680" s="2477"/>
      <c r="OOS1680" s="2477"/>
      <c r="OOT1680" s="2477"/>
      <c r="OOU1680" s="2477"/>
      <c r="OOV1680" s="2477"/>
      <c r="OOW1680" s="2477"/>
      <c r="OOX1680" s="2477"/>
      <c r="OOY1680" s="2477"/>
      <c r="OOZ1680" s="2477"/>
      <c r="OPA1680" s="2477"/>
      <c r="OPB1680" s="2477"/>
      <c r="OPC1680" s="2477"/>
      <c r="OPD1680" s="2477"/>
      <c r="OPE1680" s="2477"/>
      <c r="OPF1680" s="2477"/>
      <c r="OPG1680" s="2477"/>
      <c r="OPH1680" s="2477"/>
      <c r="OPI1680" s="2477"/>
      <c r="OPJ1680" s="2477"/>
      <c r="OPK1680" s="2477"/>
      <c r="OPL1680" s="2477"/>
      <c r="OPM1680" s="2477"/>
      <c r="OPN1680" s="2477"/>
      <c r="OPO1680" s="2477"/>
      <c r="OPP1680" s="2477"/>
      <c r="OPQ1680" s="2477"/>
      <c r="OPR1680" s="2477"/>
      <c r="OPS1680" s="2477"/>
      <c r="OPT1680" s="2477"/>
      <c r="OPU1680" s="2477"/>
      <c r="OPV1680" s="2477"/>
      <c r="OPW1680" s="2477"/>
      <c r="OPX1680" s="2477"/>
      <c r="OPY1680" s="2477"/>
      <c r="OPZ1680" s="2477"/>
      <c r="OQA1680" s="2477"/>
      <c r="OQB1680" s="2477"/>
      <c r="OQC1680" s="2477"/>
      <c r="OQD1680" s="2477"/>
      <c r="OQE1680" s="2477"/>
      <c r="OQF1680" s="2477"/>
      <c r="OQG1680" s="2477"/>
      <c r="OQH1680" s="2477"/>
      <c r="OQI1680" s="2477"/>
      <c r="OQJ1680" s="2477"/>
      <c r="OQK1680" s="2477"/>
      <c r="OQL1680" s="2477"/>
      <c r="OQM1680" s="2477"/>
      <c r="OQN1680" s="2477"/>
      <c r="OQO1680" s="2477"/>
      <c r="OQP1680" s="2477"/>
      <c r="OQQ1680" s="2477"/>
      <c r="OQR1680" s="2477"/>
      <c r="OQS1680" s="2477"/>
      <c r="OQT1680" s="2477"/>
      <c r="OQU1680" s="2477"/>
      <c r="OQV1680" s="2477"/>
      <c r="OQW1680" s="2477"/>
      <c r="OQX1680" s="2477"/>
      <c r="OQY1680" s="2477"/>
      <c r="OQZ1680" s="2477"/>
      <c r="ORA1680" s="2477"/>
      <c r="ORB1680" s="2477"/>
      <c r="ORC1680" s="2477"/>
      <c r="ORD1680" s="2477"/>
      <c r="ORE1680" s="2477"/>
      <c r="ORF1680" s="2477"/>
      <c r="ORG1680" s="2477"/>
      <c r="ORH1680" s="2477"/>
      <c r="ORI1680" s="2477"/>
      <c r="ORJ1680" s="2477"/>
      <c r="ORK1680" s="2477"/>
      <c r="ORL1680" s="2477"/>
      <c r="ORM1680" s="2477"/>
      <c r="ORN1680" s="2477"/>
      <c r="ORO1680" s="2477"/>
      <c r="ORP1680" s="2477"/>
      <c r="ORQ1680" s="2477"/>
      <c r="ORR1680" s="2477"/>
      <c r="ORS1680" s="2477"/>
      <c r="ORT1680" s="2477"/>
      <c r="ORU1680" s="2477"/>
      <c r="ORV1680" s="2477"/>
      <c r="ORW1680" s="2477"/>
      <c r="ORX1680" s="2477"/>
      <c r="ORY1680" s="2477"/>
      <c r="ORZ1680" s="2477"/>
      <c r="OSA1680" s="2477"/>
      <c r="OSB1680" s="2477"/>
      <c r="OSC1680" s="2477"/>
      <c r="OSD1680" s="2477"/>
      <c r="OSE1680" s="2477"/>
      <c r="OSF1680" s="2477"/>
      <c r="OSG1680" s="2477"/>
      <c r="OSH1680" s="2477"/>
      <c r="OSI1680" s="2477"/>
      <c r="OSJ1680" s="2477"/>
      <c r="OSK1680" s="2477"/>
      <c r="OSL1680" s="2477"/>
      <c r="OSM1680" s="2477"/>
      <c r="OSN1680" s="2477"/>
      <c r="OSO1680" s="2477"/>
      <c r="OSP1680" s="2477"/>
      <c r="OSQ1680" s="2477"/>
      <c r="OSR1680" s="2477"/>
      <c r="OSS1680" s="2477"/>
      <c r="OST1680" s="2477"/>
      <c r="OSU1680" s="2477"/>
      <c r="OSV1680" s="2477"/>
      <c r="OSW1680" s="2477"/>
      <c r="OSX1680" s="2477"/>
      <c r="OSY1680" s="2477"/>
      <c r="OSZ1680" s="2477"/>
      <c r="OTA1680" s="2477"/>
      <c r="OTB1680" s="2477"/>
      <c r="OTC1680" s="2477"/>
      <c r="OTD1680" s="2477"/>
      <c r="OTE1680" s="2477"/>
      <c r="OTF1680" s="2477"/>
      <c r="OTG1680" s="2477"/>
      <c r="OTH1680" s="2477"/>
      <c r="OTI1680" s="2477"/>
      <c r="OTJ1680" s="2477"/>
      <c r="OTK1680" s="2477"/>
      <c r="OTL1680" s="2477"/>
      <c r="OTM1680" s="2477"/>
      <c r="OTN1680" s="2477"/>
      <c r="OTO1680" s="2477"/>
      <c r="OTP1680" s="2477"/>
      <c r="OTQ1680" s="2477"/>
      <c r="OTR1680" s="2477"/>
      <c r="OTS1680" s="2477"/>
      <c r="OTT1680" s="2477"/>
      <c r="OTU1680" s="2477"/>
      <c r="OTV1680" s="2477"/>
      <c r="OTW1680" s="2477"/>
      <c r="OTX1680" s="2477"/>
      <c r="OTY1680" s="2477"/>
      <c r="OTZ1680" s="2477"/>
      <c r="OUA1680" s="2477"/>
      <c r="OUB1680" s="2477"/>
      <c r="OUC1680" s="2477"/>
      <c r="OUD1680" s="2477"/>
      <c r="OUE1680" s="2477"/>
      <c r="OUF1680" s="2477"/>
      <c r="OUG1680" s="2477"/>
      <c r="OUH1680" s="2477"/>
      <c r="OUI1680" s="2477"/>
      <c r="OUJ1680" s="2477"/>
      <c r="OUK1680" s="2477"/>
      <c r="OUL1680" s="2477"/>
      <c r="OUM1680" s="2477"/>
      <c r="OUN1680" s="2477"/>
      <c r="OUO1680" s="2477"/>
      <c r="OUP1680" s="2477"/>
      <c r="OUQ1680" s="2477"/>
      <c r="OUR1680" s="2477"/>
      <c r="OUS1680" s="2477"/>
      <c r="OUT1680" s="2477"/>
      <c r="OUU1680" s="2477"/>
      <c r="OUV1680" s="2477"/>
      <c r="OUW1680" s="2477"/>
      <c r="OUX1680" s="2477"/>
      <c r="OUY1680" s="2477"/>
      <c r="OUZ1680" s="2477"/>
      <c r="OVA1680" s="2477"/>
      <c r="OVB1680" s="2477"/>
      <c r="OVC1680" s="2477"/>
      <c r="OVD1680" s="2477"/>
      <c r="OVE1680" s="2477"/>
      <c r="OVF1680" s="2477"/>
      <c r="OVG1680" s="2477"/>
      <c r="OVH1680" s="2477"/>
      <c r="OVI1680" s="2477"/>
      <c r="OVJ1680" s="2477"/>
      <c r="OVK1680" s="2477"/>
      <c r="OVL1680" s="2477"/>
      <c r="OVM1680" s="2477"/>
      <c r="OVN1680" s="2477"/>
      <c r="OVO1680" s="2477"/>
      <c r="OVP1680" s="2477"/>
      <c r="OVQ1680" s="2477"/>
      <c r="OVR1680" s="2477"/>
      <c r="OVS1680" s="2477"/>
      <c r="OVT1680" s="2477"/>
      <c r="OVU1680" s="2477"/>
      <c r="OVV1680" s="2477"/>
      <c r="OVW1680" s="2477"/>
      <c r="OVX1680" s="2477"/>
      <c r="OVY1680" s="2477"/>
      <c r="OVZ1680" s="2477"/>
      <c r="OWA1680" s="2477"/>
      <c r="OWB1680" s="2477"/>
      <c r="OWC1680" s="2477"/>
      <c r="OWD1680" s="2477"/>
      <c r="OWE1680" s="2477"/>
      <c r="OWF1680" s="2477"/>
      <c r="OWG1680" s="2477"/>
      <c r="OWH1680" s="2477"/>
      <c r="OWI1680" s="2477"/>
      <c r="OWJ1680" s="2477"/>
      <c r="OWK1680" s="2477"/>
      <c r="OWL1680" s="2477"/>
      <c r="OWM1680" s="2477"/>
      <c r="OWN1680" s="2477"/>
      <c r="OWO1680" s="2477"/>
      <c r="OWP1680" s="2477"/>
      <c r="OWQ1680" s="2477"/>
      <c r="OWR1680" s="2477"/>
      <c r="OWS1680" s="2477"/>
      <c r="OWT1680" s="2477"/>
      <c r="OWU1680" s="2477"/>
      <c r="OWV1680" s="2477"/>
      <c r="OWW1680" s="2477"/>
      <c r="OWX1680" s="2477"/>
      <c r="OWY1680" s="2477"/>
      <c r="OWZ1680" s="2477"/>
      <c r="OXA1680" s="2477"/>
      <c r="OXB1680" s="2477"/>
      <c r="OXC1680" s="2477"/>
      <c r="OXD1680" s="2477"/>
      <c r="OXE1680" s="2477"/>
      <c r="OXF1680" s="2477"/>
      <c r="OXG1680" s="2477"/>
      <c r="OXH1680" s="2477"/>
      <c r="OXI1680" s="2477"/>
      <c r="OXJ1680" s="2477"/>
      <c r="OXK1680" s="2477"/>
      <c r="OXL1680" s="2477"/>
      <c r="OXM1680" s="2477"/>
      <c r="OXN1680" s="2477"/>
      <c r="OXO1680" s="2477"/>
      <c r="OXP1680" s="2477"/>
      <c r="OXQ1680" s="2477"/>
      <c r="OXR1680" s="2477"/>
      <c r="OXS1680" s="2477"/>
      <c r="OXT1680" s="2477"/>
      <c r="OXU1680" s="2477"/>
      <c r="OXV1680" s="2477"/>
      <c r="OXW1680" s="2477"/>
      <c r="OXX1680" s="2477"/>
      <c r="OXY1680" s="2477"/>
      <c r="OXZ1680" s="2477"/>
      <c r="OYA1680" s="2477"/>
      <c r="OYB1680" s="2477"/>
      <c r="OYC1680" s="2477"/>
      <c r="OYD1680" s="2477"/>
      <c r="OYE1680" s="2477"/>
      <c r="OYF1680" s="2477"/>
      <c r="OYG1680" s="2477"/>
      <c r="OYH1680" s="2477"/>
      <c r="OYI1680" s="2477"/>
      <c r="OYJ1680" s="2477"/>
      <c r="OYK1680" s="2477"/>
      <c r="OYL1680" s="2477"/>
      <c r="OYM1680" s="2477"/>
      <c r="OYN1680" s="2477"/>
      <c r="OYO1680" s="2477"/>
      <c r="OYP1680" s="2477"/>
      <c r="OYQ1680" s="2477"/>
      <c r="OYR1680" s="2477"/>
      <c r="OYS1680" s="2477"/>
      <c r="OYT1680" s="2477"/>
      <c r="OYU1680" s="2477"/>
      <c r="OYV1680" s="2477"/>
      <c r="OYW1680" s="2477"/>
      <c r="OYX1680" s="2477"/>
      <c r="OYY1680" s="2477"/>
      <c r="OYZ1680" s="2477"/>
      <c r="OZA1680" s="2477"/>
      <c r="OZB1680" s="2477"/>
      <c r="OZC1680" s="2477"/>
      <c r="OZD1680" s="2477"/>
      <c r="OZE1680" s="2477"/>
      <c r="OZF1680" s="2477"/>
      <c r="OZG1680" s="2477"/>
      <c r="OZH1680" s="2477"/>
      <c r="OZI1680" s="2477"/>
      <c r="OZJ1680" s="2477"/>
      <c r="OZK1680" s="2477"/>
      <c r="OZL1680" s="2477"/>
      <c r="OZM1680" s="2477"/>
      <c r="OZN1680" s="2477"/>
      <c r="OZO1680" s="2477"/>
      <c r="OZP1680" s="2477"/>
      <c r="OZQ1680" s="2477"/>
      <c r="OZR1680" s="2477"/>
      <c r="OZS1680" s="2477"/>
      <c r="OZT1680" s="2477"/>
      <c r="OZU1680" s="2477"/>
      <c r="OZV1680" s="2477"/>
      <c r="OZW1680" s="2477"/>
      <c r="OZX1680" s="2477"/>
      <c r="OZY1680" s="2477"/>
      <c r="OZZ1680" s="2477"/>
      <c r="PAA1680" s="2477"/>
      <c r="PAB1680" s="2477"/>
      <c r="PAC1680" s="2477"/>
      <c r="PAD1680" s="2477"/>
      <c r="PAE1680" s="2477"/>
      <c r="PAF1680" s="2477"/>
      <c r="PAG1680" s="2477"/>
      <c r="PAH1680" s="2477"/>
      <c r="PAI1680" s="2477"/>
      <c r="PAJ1680" s="2477"/>
      <c r="PAK1680" s="2477"/>
      <c r="PAL1680" s="2477"/>
      <c r="PAM1680" s="2477"/>
      <c r="PAN1680" s="2477"/>
      <c r="PAO1680" s="2477"/>
      <c r="PAP1680" s="2477"/>
      <c r="PAQ1680" s="2477"/>
      <c r="PAR1680" s="2477"/>
      <c r="PAS1680" s="2477"/>
      <c r="PAT1680" s="2477"/>
      <c r="PAU1680" s="2477"/>
      <c r="PAV1680" s="2477"/>
      <c r="PAW1680" s="2477"/>
      <c r="PAX1680" s="2477"/>
      <c r="PAY1680" s="2477"/>
      <c r="PAZ1680" s="2477"/>
      <c r="PBA1680" s="2477"/>
      <c r="PBB1680" s="2477"/>
      <c r="PBC1680" s="2477"/>
      <c r="PBD1680" s="2477"/>
      <c r="PBE1680" s="2477"/>
      <c r="PBF1680" s="2477"/>
      <c r="PBG1680" s="2477"/>
      <c r="PBH1680" s="2477"/>
      <c r="PBI1680" s="2477"/>
      <c r="PBJ1680" s="2477"/>
      <c r="PBK1680" s="2477"/>
      <c r="PBL1680" s="2477"/>
      <c r="PBM1680" s="2477"/>
      <c r="PBN1680" s="2477"/>
      <c r="PBO1680" s="2477"/>
      <c r="PBP1680" s="2477"/>
      <c r="PBQ1680" s="2477"/>
      <c r="PBR1680" s="2477"/>
      <c r="PBS1680" s="2477"/>
      <c r="PBT1680" s="2477"/>
      <c r="PBU1680" s="2477"/>
      <c r="PBV1680" s="2477"/>
      <c r="PBW1680" s="2477"/>
      <c r="PBX1680" s="2477"/>
      <c r="PBY1680" s="2477"/>
      <c r="PBZ1680" s="2477"/>
      <c r="PCA1680" s="2477"/>
      <c r="PCB1680" s="2477"/>
      <c r="PCC1680" s="2477"/>
      <c r="PCD1680" s="2477"/>
      <c r="PCE1680" s="2477"/>
      <c r="PCF1680" s="2477"/>
      <c r="PCG1680" s="2477"/>
      <c r="PCH1680" s="2477"/>
      <c r="PCI1680" s="2477"/>
      <c r="PCJ1680" s="2477"/>
      <c r="PCK1680" s="2477"/>
      <c r="PCL1680" s="2477"/>
      <c r="PCM1680" s="2477"/>
      <c r="PCN1680" s="2477"/>
      <c r="PCO1680" s="2477"/>
      <c r="PCP1680" s="2477"/>
      <c r="PCQ1680" s="2477"/>
      <c r="PCR1680" s="2477"/>
      <c r="PCS1680" s="2477"/>
      <c r="PCT1680" s="2477"/>
      <c r="PCU1680" s="2477"/>
      <c r="PCV1680" s="2477"/>
      <c r="PCW1680" s="2477"/>
      <c r="PCX1680" s="2477"/>
      <c r="PCY1680" s="2477"/>
      <c r="PCZ1680" s="2477"/>
      <c r="PDA1680" s="2477"/>
      <c r="PDB1680" s="2477"/>
      <c r="PDC1680" s="2477"/>
      <c r="PDD1680" s="2477"/>
      <c r="PDE1680" s="2477"/>
      <c r="PDF1680" s="2477"/>
      <c r="PDG1680" s="2477"/>
      <c r="PDH1680" s="2477"/>
      <c r="PDI1680" s="2477"/>
      <c r="PDJ1680" s="2477"/>
      <c r="PDK1680" s="2477"/>
      <c r="PDL1680" s="2477"/>
      <c r="PDM1680" s="2477"/>
      <c r="PDN1680" s="2477"/>
      <c r="PDO1680" s="2477"/>
      <c r="PDP1680" s="2477"/>
      <c r="PDQ1680" s="2477"/>
      <c r="PDR1680" s="2477"/>
      <c r="PDS1680" s="2477"/>
      <c r="PDT1680" s="2477"/>
      <c r="PDU1680" s="2477"/>
      <c r="PDV1680" s="2477"/>
      <c r="PDW1680" s="2477"/>
      <c r="PDX1680" s="2477"/>
      <c r="PDY1680" s="2477"/>
      <c r="PDZ1680" s="2477"/>
      <c r="PEA1680" s="2477"/>
      <c r="PEB1680" s="2477"/>
      <c r="PEC1680" s="2477"/>
      <c r="PED1680" s="2477"/>
      <c r="PEE1680" s="2477"/>
      <c r="PEF1680" s="2477"/>
      <c r="PEG1680" s="2477"/>
      <c r="PEH1680" s="2477"/>
      <c r="PEI1680" s="2477"/>
      <c r="PEJ1680" s="2477"/>
      <c r="PEK1680" s="2477"/>
      <c r="PEL1680" s="2477"/>
      <c r="PEM1680" s="2477"/>
      <c r="PEN1680" s="2477"/>
      <c r="PEO1680" s="2477"/>
      <c r="PEP1680" s="2477"/>
      <c r="PEQ1680" s="2477"/>
      <c r="PER1680" s="2477"/>
      <c r="PES1680" s="2477"/>
      <c r="PET1680" s="2477"/>
      <c r="PEU1680" s="2477"/>
      <c r="PEV1680" s="2477"/>
      <c r="PEW1680" s="2477"/>
      <c r="PEX1680" s="2477"/>
      <c r="PEY1680" s="2477"/>
      <c r="PEZ1680" s="2477"/>
      <c r="PFA1680" s="2477"/>
      <c r="PFB1680" s="2477"/>
      <c r="PFC1680" s="2477"/>
      <c r="PFD1680" s="2477"/>
      <c r="PFE1680" s="2477"/>
      <c r="PFF1680" s="2477"/>
      <c r="PFG1680" s="2477"/>
      <c r="PFH1680" s="2477"/>
      <c r="PFI1680" s="2477"/>
      <c r="PFJ1680" s="2477"/>
      <c r="PFK1680" s="2477"/>
      <c r="PFL1680" s="2477"/>
      <c r="PFM1680" s="2477"/>
      <c r="PFN1680" s="2477"/>
      <c r="PFO1680" s="2477"/>
      <c r="PFP1680" s="2477"/>
      <c r="PFQ1680" s="2477"/>
      <c r="PFR1680" s="2477"/>
      <c r="PFS1680" s="2477"/>
      <c r="PFT1680" s="2477"/>
      <c r="PFU1680" s="2477"/>
      <c r="PFV1680" s="2477"/>
      <c r="PFW1680" s="2477"/>
      <c r="PFX1680" s="2477"/>
      <c r="PFY1680" s="2477"/>
      <c r="PFZ1680" s="2477"/>
      <c r="PGA1680" s="2477"/>
      <c r="PGB1680" s="2477"/>
      <c r="PGC1680" s="2477"/>
      <c r="PGD1680" s="2477"/>
      <c r="PGE1680" s="2477"/>
      <c r="PGF1680" s="2477"/>
      <c r="PGG1680" s="2477"/>
      <c r="PGH1680" s="2477"/>
      <c r="PGI1680" s="2477"/>
      <c r="PGJ1680" s="2477"/>
      <c r="PGK1680" s="2477"/>
      <c r="PGL1680" s="2477"/>
      <c r="PGM1680" s="2477"/>
      <c r="PGN1680" s="2477"/>
      <c r="PGO1680" s="2477"/>
      <c r="PGP1680" s="2477"/>
      <c r="PGQ1680" s="2477"/>
      <c r="PGR1680" s="2477"/>
      <c r="PGS1680" s="2477"/>
      <c r="PGT1680" s="2477"/>
      <c r="PGU1680" s="2477"/>
      <c r="PGV1680" s="2477"/>
      <c r="PGW1680" s="2477"/>
      <c r="PGX1680" s="2477"/>
      <c r="PGY1680" s="2477"/>
      <c r="PGZ1680" s="2477"/>
      <c r="PHA1680" s="2477"/>
      <c r="PHB1680" s="2477"/>
      <c r="PHC1680" s="2477"/>
      <c r="PHD1680" s="2477"/>
      <c r="PHE1680" s="2477"/>
      <c r="PHF1680" s="2477"/>
      <c r="PHG1680" s="2477"/>
      <c r="PHH1680" s="2477"/>
      <c r="PHI1680" s="2477"/>
      <c r="PHJ1680" s="2477"/>
      <c r="PHK1680" s="2477"/>
      <c r="PHL1680" s="2477"/>
      <c r="PHM1680" s="2477"/>
      <c r="PHN1680" s="2477"/>
      <c r="PHO1680" s="2477"/>
      <c r="PHP1680" s="2477"/>
      <c r="PHQ1680" s="2477"/>
      <c r="PHR1680" s="2477"/>
      <c r="PHS1680" s="2477"/>
      <c r="PHT1680" s="2477"/>
      <c r="PHU1680" s="2477"/>
      <c r="PHV1680" s="2477"/>
      <c r="PHW1680" s="2477"/>
      <c r="PHX1680" s="2477"/>
      <c r="PHY1680" s="2477"/>
      <c r="PHZ1680" s="2477"/>
      <c r="PIA1680" s="2477"/>
      <c r="PIB1680" s="2477"/>
      <c r="PIC1680" s="2477"/>
      <c r="PID1680" s="2477"/>
      <c r="PIE1680" s="2477"/>
      <c r="PIF1680" s="2477"/>
      <c r="PIG1680" s="2477"/>
      <c r="PIH1680" s="2477"/>
      <c r="PII1680" s="2477"/>
      <c r="PIJ1680" s="2477"/>
      <c r="PIK1680" s="2477"/>
      <c r="PIL1680" s="2477"/>
      <c r="PIM1680" s="2477"/>
      <c r="PIN1680" s="2477"/>
      <c r="PIO1680" s="2477"/>
      <c r="PIP1680" s="2477"/>
      <c r="PIQ1680" s="2477"/>
      <c r="PIR1680" s="2477"/>
      <c r="PIS1680" s="2477"/>
      <c r="PIT1680" s="2477"/>
      <c r="PIU1680" s="2477"/>
      <c r="PIV1680" s="2477"/>
      <c r="PIW1680" s="2477"/>
      <c r="PIX1680" s="2477"/>
      <c r="PIY1680" s="2477"/>
      <c r="PIZ1680" s="2477"/>
      <c r="PJA1680" s="2477"/>
      <c r="PJB1680" s="2477"/>
      <c r="PJC1680" s="2477"/>
      <c r="PJD1680" s="2477"/>
      <c r="PJE1680" s="2477"/>
      <c r="PJF1680" s="2477"/>
      <c r="PJG1680" s="2477"/>
      <c r="PJH1680" s="2477"/>
      <c r="PJI1680" s="2477"/>
      <c r="PJJ1680" s="2477"/>
      <c r="PJK1680" s="2477"/>
      <c r="PJL1680" s="2477"/>
      <c r="PJM1680" s="2477"/>
      <c r="PJN1680" s="2477"/>
      <c r="PJO1680" s="2477"/>
      <c r="PJP1680" s="2477"/>
      <c r="PJQ1680" s="2477"/>
      <c r="PJR1680" s="2477"/>
      <c r="PJS1680" s="2477"/>
      <c r="PJT1680" s="2477"/>
      <c r="PJU1680" s="2477"/>
      <c r="PJV1680" s="2477"/>
      <c r="PJW1680" s="2477"/>
      <c r="PJX1680" s="2477"/>
      <c r="PJY1680" s="2477"/>
      <c r="PJZ1680" s="2477"/>
      <c r="PKA1680" s="2477"/>
      <c r="PKB1680" s="2477"/>
      <c r="PKC1680" s="2477"/>
      <c r="PKD1680" s="2477"/>
      <c r="PKE1680" s="2477"/>
      <c r="PKF1680" s="2477"/>
      <c r="PKG1680" s="2477"/>
      <c r="PKH1680" s="2477"/>
      <c r="PKI1680" s="2477"/>
      <c r="PKJ1680" s="2477"/>
      <c r="PKK1680" s="2477"/>
      <c r="PKL1680" s="2477"/>
      <c r="PKM1680" s="2477"/>
      <c r="PKN1680" s="2477"/>
      <c r="PKO1680" s="2477"/>
      <c r="PKP1680" s="2477"/>
      <c r="PKQ1680" s="2477"/>
      <c r="PKR1680" s="2477"/>
      <c r="PKS1680" s="2477"/>
      <c r="PKT1680" s="2477"/>
      <c r="PKU1680" s="2477"/>
      <c r="PKV1680" s="2477"/>
      <c r="PKW1680" s="2477"/>
      <c r="PKX1680" s="2477"/>
      <c r="PKY1680" s="2477"/>
      <c r="PKZ1680" s="2477"/>
      <c r="PLA1680" s="2477"/>
      <c r="PLB1680" s="2477"/>
      <c r="PLC1680" s="2477"/>
      <c r="PLD1680" s="2477"/>
      <c r="PLE1680" s="2477"/>
      <c r="PLF1680" s="2477"/>
      <c r="PLG1680" s="2477"/>
      <c r="PLH1680" s="2477"/>
      <c r="PLI1680" s="2477"/>
      <c r="PLJ1680" s="2477"/>
      <c r="PLK1680" s="2477"/>
      <c r="PLL1680" s="2477"/>
      <c r="PLM1680" s="2477"/>
      <c r="PLN1680" s="2477"/>
      <c r="PLO1680" s="2477"/>
      <c r="PLP1680" s="2477"/>
      <c r="PLQ1680" s="2477"/>
      <c r="PLR1680" s="2477"/>
      <c r="PLS1680" s="2477"/>
      <c r="PLT1680" s="2477"/>
      <c r="PLU1680" s="2477"/>
      <c r="PLV1680" s="2477"/>
      <c r="PLW1680" s="2477"/>
      <c r="PLX1680" s="2477"/>
      <c r="PLY1680" s="2477"/>
      <c r="PLZ1680" s="2477"/>
      <c r="PMA1680" s="2477"/>
      <c r="PMB1680" s="2477"/>
      <c r="PMC1680" s="2477"/>
      <c r="PMD1680" s="2477"/>
      <c r="PME1680" s="2477"/>
      <c r="PMF1680" s="2477"/>
      <c r="PMG1680" s="2477"/>
      <c r="PMH1680" s="2477"/>
      <c r="PMI1680" s="2477"/>
      <c r="PMJ1680" s="2477"/>
      <c r="PMK1680" s="2477"/>
      <c r="PML1680" s="2477"/>
      <c r="PMM1680" s="2477"/>
      <c r="PMN1680" s="2477"/>
      <c r="PMO1680" s="2477"/>
      <c r="PMP1680" s="2477"/>
      <c r="PMQ1680" s="2477"/>
      <c r="PMR1680" s="2477"/>
      <c r="PMS1680" s="2477"/>
      <c r="PMT1680" s="2477"/>
      <c r="PMU1680" s="2477"/>
      <c r="PMV1680" s="2477"/>
      <c r="PMW1680" s="2477"/>
      <c r="PMX1680" s="2477"/>
      <c r="PMY1680" s="2477"/>
      <c r="PMZ1680" s="2477"/>
      <c r="PNA1680" s="2477"/>
      <c r="PNB1680" s="2477"/>
      <c r="PNC1680" s="2477"/>
      <c r="PND1680" s="2477"/>
      <c r="PNE1680" s="2477"/>
      <c r="PNF1680" s="2477"/>
      <c r="PNG1680" s="2477"/>
      <c r="PNH1680" s="2477"/>
      <c r="PNI1680" s="2477"/>
      <c r="PNJ1680" s="2477"/>
      <c r="PNK1680" s="2477"/>
      <c r="PNL1680" s="2477"/>
      <c r="PNM1680" s="2477"/>
      <c r="PNN1680" s="2477"/>
      <c r="PNO1680" s="2477"/>
      <c r="PNP1680" s="2477"/>
      <c r="PNQ1680" s="2477"/>
      <c r="PNR1680" s="2477"/>
      <c r="PNS1680" s="2477"/>
      <c r="PNT1680" s="2477"/>
      <c r="PNU1680" s="2477"/>
      <c r="PNV1680" s="2477"/>
      <c r="PNW1680" s="2477"/>
      <c r="PNX1680" s="2477"/>
      <c r="PNY1680" s="2477"/>
      <c r="PNZ1680" s="2477"/>
      <c r="POA1680" s="2477"/>
      <c r="POB1680" s="2477"/>
      <c r="POC1680" s="2477"/>
      <c r="POD1680" s="2477"/>
      <c r="POE1680" s="2477"/>
      <c r="POF1680" s="2477"/>
      <c r="POG1680" s="2477"/>
      <c r="POH1680" s="2477"/>
      <c r="POI1680" s="2477"/>
      <c r="POJ1680" s="2477"/>
      <c r="POK1680" s="2477"/>
      <c r="POL1680" s="2477"/>
      <c r="POM1680" s="2477"/>
      <c r="PON1680" s="2477"/>
      <c r="POO1680" s="2477"/>
      <c r="POP1680" s="2477"/>
      <c r="POQ1680" s="2477"/>
      <c r="POR1680" s="2477"/>
      <c r="POS1680" s="2477"/>
      <c r="POT1680" s="2477"/>
      <c r="POU1680" s="2477"/>
      <c r="POV1680" s="2477"/>
      <c r="POW1680" s="2477"/>
      <c r="POX1680" s="2477"/>
      <c r="POY1680" s="2477"/>
      <c r="POZ1680" s="2477"/>
      <c r="PPA1680" s="2477"/>
      <c r="PPB1680" s="2477"/>
      <c r="PPC1680" s="2477"/>
      <c r="PPD1680" s="2477"/>
      <c r="PPE1680" s="2477"/>
      <c r="PPF1680" s="2477"/>
      <c r="PPG1680" s="2477"/>
      <c r="PPH1680" s="2477"/>
      <c r="PPI1680" s="2477"/>
      <c r="PPJ1680" s="2477"/>
      <c r="PPK1680" s="2477"/>
      <c r="PPL1680" s="2477"/>
      <c r="PPM1680" s="2477"/>
      <c r="PPN1680" s="2477"/>
      <c r="PPO1680" s="2477"/>
      <c r="PPP1680" s="2477"/>
      <c r="PPQ1680" s="2477"/>
      <c r="PPR1680" s="2477"/>
      <c r="PPS1680" s="2477"/>
      <c r="PPT1680" s="2477"/>
      <c r="PPU1680" s="2477"/>
      <c r="PPV1680" s="2477"/>
      <c r="PPW1680" s="2477"/>
      <c r="PPX1680" s="2477"/>
      <c r="PPY1680" s="2477"/>
      <c r="PPZ1680" s="2477"/>
      <c r="PQA1680" s="2477"/>
      <c r="PQB1680" s="2477"/>
      <c r="PQC1680" s="2477"/>
      <c r="PQD1680" s="2477"/>
      <c r="PQE1680" s="2477"/>
      <c r="PQF1680" s="2477"/>
      <c r="PQG1680" s="2477"/>
      <c r="PQH1680" s="2477"/>
      <c r="PQI1680" s="2477"/>
      <c r="PQJ1680" s="2477"/>
      <c r="PQK1680" s="2477"/>
      <c r="PQL1680" s="2477"/>
      <c r="PQM1680" s="2477"/>
      <c r="PQN1680" s="2477"/>
      <c r="PQO1680" s="2477"/>
      <c r="PQP1680" s="2477"/>
      <c r="PQQ1680" s="2477"/>
      <c r="PQR1680" s="2477"/>
      <c r="PQS1680" s="2477"/>
      <c r="PQT1680" s="2477"/>
      <c r="PQU1680" s="2477"/>
      <c r="PQV1680" s="2477"/>
      <c r="PQW1680" s="2477"/>
      <c r="PQX1680" s="2477"/>
      <c r="PQY1680" s="2477"/>
      <c r="PQZ1680" s="2477"/>
      <c r="PRA1680" s="2477"/>
      <c r="PRB1680" s="2477"/>
      <c r="PRC1680" s="2477"/>
      <c r="PRD1680" s="2477"/>
      <c r="PRE1680" s="2477"/>
      <c r="PRF1680" s="2477"/>
      <c r="PRG1680" s="2477"/>
      <c r="PRH1680" s="2477"/>
      <c r="PRI1680" s="2477"/>
      <c r="PRJ1680" s="2477"/>
      <c r="PRK1680" s="2477"/>
      <c r="PRL1680" s="2477"/>
      <c r="PRM1680" s="2477"/>
      <c r="PRN1680" s="2477"/>
      <c r="PRO1680" s="2477"/>
      <c r="PRP1680" s="2477"/>
      <c r="PRQ1680" s="2477"/>
      <c r="PRR1680" s="2477"/>
      <c r="PRS1680" s="2477"/>
      <c r="PRT1680" s="2477"/>
      <c r="PRU1680" s="2477"/>
      <c r="PRV1680" s="2477"/>
      <c r="PRW1680" s="2477"/>
      <c r="PRX1680" s="2477"/>
      <c r="PRY1680" s="2477"/>
      <c r="PRZ1680" s="2477"/>
      <c r="PSA1680" s="2477"/>
      <c r="PSB1680" s="2477"/>
      <c r="PSC1680" s="2477"/>
      <c r="PSD1680" s="2477"/>
      <c r="PSE1680" s="2477"/>
      <c r="PSF1680" s="2477"/>
      <c r="PSG1680" s="2477"/>
      <c r="PSH1680" s="2477"/>
      <c r="PSI1680" s="2477"/>
      <c r="PSJ1680" s="2477"/>
      <c r="PSK1680" s="2477"/>
      <c r="PSL1680" s="2477"/>
      <c r="PSM1680" s="2477"/>
      <c r="PSN1680" s="2477"/>
      <c r="PSO1680" s="2477"/>
      <c r="PSP1680" s="2477"/>
      <c r="PSQ1680" s="2477"/>
      <c r="PSR1680" s="2477"/>
      <c r="PSS1680" s="2477"/>
      <c r="PST1680" s="2477"/>
      <c r="PSU1680" s="2477"/>
      <c r="PSV1680" s="2477"/>
      <c r="PSW1680" s="2477"/>
      <c r="PSX1680" s="2477"/>
      <c r="PSY1680" s="2477"/>
      <c r="PSZ1680" s="2477"/>
      <c r="PTA1680" s="2477"/>
      <c r="PTB1680" s="2477"/>
      <c r="PTC1680" s="2477"/>
      <c r="PTD1680" s="2477"/>
      <c r="PTE1680" s="2477"/>
      <c r="PTF1680" s="2477"/>
      <c r="PTG1680" s="2477"/>
      <c r="PTH1680" s="2477"/>
      <c r="PTI1680" s="2477"/>
      <c r="PTJ1680" s="2477"/>
      <c r="PTK1680" s="2477"/>
      <c r="PTL1680" s="2477"/>
      <c r="PTM1680" s="2477"/>
      <c r="PTN1680" s="2477"/>
      <c r="PTO1680" s="2477"/>
      <c r="PTP1680" s="2477"/>
      <c r="PTQ1680" s="2477"/>
      <c r="PTR1680" s="2477"/>
      <c r="PTS1680" s="2477"/>
      <c r="PTT1680" s="2477"/>
      <c r="PTU1680" s="2477"/>
      <c r="PTV1680" s="2477"/>
      <c r="PTW1680" s="2477"/>
      <c r="PTX1680" s="2477"/>
      <c r="PTY1680" s="2477"/>
      <c r="PTZ1680" s="2477"/>
      <c r="PUA1680" s="2477"/>
      <c r="PUB1680" s="2477"/>
      <c r="PUC1680" s="2477"/>
      <c r="PUD1680" s="2477"/>
      <c r="PUE1680" s="2477"/>
      <c r="PUF1680" s="2477"/>
      <c r="PUG1680" s="2477"/>
      <c r="PUH1680" s="2477"/>
      <c r="PUI1680" s="2477"/>
      <c r="PUJ1680" s="2477"/>
      <c r="PUK1680" s="2477"/>
      <c r="PUL1680" s="2477"/>
      <c r="PUM1680" s="2477"/>
      <c r="PUN1680" s="2477"/>
      <c r="PUO1680" s="2477"/>
      <c r="PUP1680" s="2477"/>
      <c r="PUQ1680" s="2477"/>
      <c r="PUR1680" s="2477"/>
      <c r="PUS1680" s="2477"/>
      <c r="PUT1680" s="2477"/>
      <c r="PUU1680" s="2477"/>
      <c r="PUV1680" s="2477"/>
      <c r="PUW1680" s="2477"/>
      <c r="PUX1680" s="2477"/>
      <c r="PUY1680" s="2477"/>
      <c r="PUZ1680" s="2477"/>
      <c r="PVA1680" s="2477"/>
      <c r="PVB1680" s="2477"/>
      <c r="PVC1680" s="2477"/>
      <c r="PVD1680" s="2477"/>
      <c r="PVE1680" s="2477"/>
      <c r="PVF1680" s="2477"/>
      <c r="PVG1680" s="2477"/>
      <c r="PVH1680" s="2477"/>
      <c r="PVI1680" s="2477"/>
      <c r="PVJ1680" s="2477"/>
      <c r="PVK1680" s="2477"/>
      <c r="PVL1680" s="2477"/>
      <c r="PVM1680" s="2477"/>
      <c r="PVN1680" s="2477"/>
      <c r="PVO1680" s="2477"/>
      <c r="PVP1680" s="2477"/>
      <c r="PVQ1680" s="2477"/>
      <c r="PVR1680" s="2477"/>
      <c r="PVS1680" s="2477"/>
      <c r="PVT1680" s="2477"/>
      <c r="PVU1680" s="2477"/>
      <c r="PVV1680" s="2477"/>
      <c r="PVW1680" s="2477"/>
      <c r="PVX1680" s="2477"/>
      <c r="PVY1680" s="2477"/>
      <c r="PVZ1680" s="2477"/>
      <c r="PWA1680" s="2477"/>
      <c r="PWB1680" s="2477"/>
      <c r="PWC1680" s="2477"/>
      <c r="PWD1680" s="2477"/>
      <c r="PWE1680" s="2477"/>
      <c r="PWF1680" s="2477"/>
      <c r="PWG1680" s="2477"/>
      <c r="PWH1680" s="2477"/>
      <c r="PWI1680" s="2477"/>
      <c r="PWJ1680" s="2477"/>
      <c r="PWK1680" s="2477"/>
      <c r="PWL1680" s="2477"/>
      <c r="PWM1680" s="2477"/>
      <c r="PWN1680" s="2477"/>
      <c r="PWO1680" s="2477"/>
      <c r="PWP1680" s="2477"/>
      <c r="PWQ1680" s="2477"/>
      <c r="PWR1680" s="2477"/>
      <c r="PWS1680" s="2477"/>
      <c r="PWT1680" s="2477"/>
      <c r="PWU1680" s="2477"/>
      <c r="PWV1680" s="2477"/>
      <c r="PWW1680" s="2477"/>
      <c r="PWX1680" s="2477"/>
      <c r="PWY1680" s="2477"/>
      <c r="PWZ1680" s="2477"/>
      <c r="PXA1680" s="2477"/>
      <c r="PXB1680" s="2477"/>
      <c r="PXC1680" s="2477"/>
      <c r="PXD1680" s="2477"/>
      <c r="PXE1680" s="2477"/>
      <c r="PXF1680" s="2477"/>
      <c r="PXG1680" s="2477"/>
      <c r="PXH1680" s="2477"/>
      <c r="PXI1680" s="2477"/>
      <c r="PXJ1680" s="2477"/>
      <c r="PXK1680" s="2477"/>
      <c r="PXL1680" s="2477"/>
      <c r="PXM1680" s="2477"/>
      <c r="PXN1680" s="2477"/>
      <c r="PXO1680" s="2477"/>
      <c r="PXP1680" s="2477"/>
      <c r="PXQ1680" s="2477"/>
      <c r="PXR1680" s="2477"/>
      <c r="PXS1680" s="2477"/>
      <c r="PXT1680" s="2477"/>
      <c r="PXU1680" s="2477"/>
      <c r="PXV1680" s="2477"/>
      <c r="PXW1680" s="2477"/>
      <c r="PXX1680" s="2477"/>
      <c r="PXY1680" s="2477"/>
      <c r="PXZ1680" s="2477"/>
      <c r="PYA1680" s="2477"/>
      <c r="PYB1680" s="2477"/>
      <c r="PYC1680" s="2477"/>
      <c r="PYD1680" s="2477"/>
      <c r="PYE1680" s="2477"/>
      <c r="PYF1680" s="2477"/>
      <c r="PYG1680" s="2477"/>
      <c r="PYH1680" s="2477"/>
      <c r="PYI1680" s="2477"/>
      <c r="PYJ1680" s="2477"/>
      <c r="PYK1680" s="2477"/>
      <c r="PYL1680" s="2477"/>
      <c r="PYM1680" s="2477"/>
      <c r="PYN1680" s="2477"/>
      <c r="PYO1680" s="2477"/>
      <c r="PYP1680" s="2477"/>
      <c r="PYQ1680" s="2477"/>
      <c r="PYR1680" s="2477"/>
      <c r="PYS1680" s="2477"/>
      <c r="PYT1680" s="2477"/>
      <c r="PYU1680" s="2477"/>
      <c r="PYV1680" s="2477"/>
      <c r="PYW1680" s="2477"/>
      <c r="PYX1680" s="2477"/>
      <c r="PYY1680" s="2477"/>
      <c r="PYZ1680" s="2477"/>
      <c r="PZA1680" s="2477"/>
      <c r="PZB1680" s="2477"/>
      <c r="PZC1680" s="2477"/>
      <c r="PZD1680" s="2477"/>
      <c r="PZE1680" s="2477"/>
      <c r="PZF1680" s="2477"/>
      <c r="PZG1680" s="2477"/>
      <c r="PZH1680" s="2477"/>
      <c r="PZI1680" s="2477"/>
      <c r="PZJ1680" s="2477"/>
      <c r="PZK1680" s="2477"/>
      <c r="PZL1680" s="2477"/>
      <c r="PZM1680" s="2477"/>
      <c r="PZN1680" s="2477"/>
      <c r="PZO1680" s="2477"/>
      <c r="PZP1680" s="2477"/>
      <c r="PZQ1680" s="2477"/>
      <c r="PZR1680" s="2477"/>
      <c r="PZS1680" s="2477"/>
      <c r="PZT1680" s="2477"/>
      <c r="PZU1680" s="2477"/>
      <c r="PZV1680" s="2477"/>
      <c r="PZW1680" s="2477"/>
      <c r="PZX1680" s="2477"/>
      <c r="PZY1680" s="2477"/>
      <c r="PZZ1680" s="2477"/>
      <c r="QAA1680" s="2477"/>
      <c r="QAB1680" s="2477"/>
      <c r="QAC1680" s="2477"/>
      <c r="QAD1680" s="2477"/>
      <c r="QAE1680" s="2477"/>
      <c r="QAF1680" s="2477"/>
      <c r="QAG1680" s="2477"/>
      <c r="QAH1680" s="2477"/>
      <c r="QAI1680" s="2477"/>
      <c r="QAJ1680" s="2477"/>
      <c r="QAK1680" s="2477"/>
      <c r="QAL1680" s="2477"/>
      <c r="QAM1680" s="2477"/>
      <c r="QAN1680" s="2477"/>
      <c r="QAO1680" s="2477"/>
      <c r="QAP1680" s="2477"/>
      <c r="QAQ1680" s="2477"/>
      <c r="QAR1680" s="2477"/>
      <c r="QAS1680" s="2477"/>
      <c r="QAT1680" s="2477"/>
      <c r="QAU1680" s="2477"/>
      <c r="QAV1680" s="2477"/>
      <c r="QAW1680" s="2477"/>
      <c r="QAX1680" s="2477"/>
      <c r="QAY1680" s="2477"/>
      <c r="QAZ1680" s="2477"/>
      <c r="QBA1680" s="2477"/>
      <c r="QBB1680" s="2477"/>
      <c r="QBC1680" s="2477"/>
      <c r="QBD1680" s="2477"/>
      <c r="QBE1680" s="2477"/>
      <c r="QBF1680" s="2477"/>
      <c r="QBG1680" s="2477"/>
      <c r="QBH1680" s="2477"/>
      <c r="QBI1680" s="2477"/>
      <c r="QBJ1680" s="2477"/>
      <c r="QBK1680" s="2477"/>
      <c r="QBL1680" s="2477"/>
      <c r="QBM1680" s="2477"/>
      <c r="QBN1680" s="2477"/>
      <c r="QBO1680" s="2477"/>
      <c r="QBP1680" s="2477"/>
      <c r="QBQ1680" s="2477"/>
      <c r="QBR1680" s="2477"/>
      <c r="QBS1680" s="2477"/>
      <c r="QBT1680" s="2477"/>
      <c r="QBU1680" s="2477"/>
      <c r="QBV1680" s="2477"/>
      <c r="QBW1680" s="2477"/>
      <c r="QBX1680" s="2477"/>
      <c r="QBY1680" s="2477"/>
      <c r="QBZ1680" s="2477"/>
      <c r="QCA1680" s="2477"/>
      <c r="QCB1680" s="2477"/>
      <c r="QCC1680" s="2477"/>
      <c r="QCD1680" s="2477"/>
      <c r="QCE1680" s="2477"/>
      <c r="QCF1680" s="2477"/>
      <c r="QCG1680" s="2477"/>
      <c r="QCH1680" s="2477"/>
      <c r="QCI1680" s="2477"/>
      <c r="QCJ1680" s="2477"/>
      <c r="QCK1680" s="2477"/>
      <c r="QCL1680" s="2477"/>
      <c r="QCM1680" s="2477"/>
      <c r="QCN1680" s="2477"/>
      <c r="QCO1680" s="2477"/>
      <c r="QCP1680" s="2477"/>
      <c r="QCQ1680" s="2477"/>
      <c r="QCR1680" s="2477"/>
      <c r="QCS1680" s="2477"/>
      <c r="QCT1680" s="2477"/>
      <c r="QCU1680" s="2477"/>
      <c r="QCV1680" s="2477"/>
      <c r="QCW1680" s="2477"/>
      <c r="QCX1680" s="2477"/>
      <c r="QCY1680" s="2477"/>
      <c r="QCZ1680" s="2477"/>
      <c r="QDA1680" s="2477"/>
      <c r="QDB1680" s="2477"/>
      <c r="QDC1680" s="2477"/>
      <c r="QDD1680" s="2477"/>
      <c r="QDE1680" s="2477"/>
      <c r="QDF1680" s="2477"/>
      <c r="QDG1680" s="2477"/>
      <c r="QDH1680" s="2477"/>
      <c r="QDI1680" s="2477"/>
      <c r="QDJ1680" s="2477"/>
      <c r="QDK1680" s="2477"/>
      <c r="QDL1680" s="2477"/>
      <c r="QDM1680" s="2477"/>
      <c r="QDN1680" s="2477"/>
      <c r="QDO1680" s="2477"/>
      <c r="QDP1680" s="2477"/>
      <c r="QDQ1680" s="2477"/>
      <c r="QDR1680" s="2477"/>
      <c r="QDS1680" s="2477"/>
      <c r="QDT1680" s="2477"/>
      <c r="QDU1680" s="2477"/>
      <c r="QDV1680" s="2477"/>
      <c r="QDW1680" s="2477"/>
      <c r="QDX1680" s="2477"/>
      <c r="QDY1680" s="2477"/>
      <c r="QDZ1680" s="2477"/>
      <c r="QEA1680" s="2477"/>
      <c r="QEB1680" s="2477"/>
      <c r="QEC1680" s="2477"/>
      <c r="QED1680" s="2477"/>
      <c r="QEE1680" s="2477"/>
      <c r="QEF1680" s="2477"/>
      <c r="QEG1680" s="2477"/>
      <c r="QEH1680" s="2477"/>
      <c r="QEI1680" s="2477"/>
      <c r="QEJ1680" s="2477"/>
      <c r="QEK1680" s="2477"/>
      <c r="QEL1680" s="2477"/>
      <c r="QEM1680" s="2477"/>
      <c r="QEN1680" s="2477"/>
      <c r="QEO1680" s="2477"/>
      <c r="QEP1680" s="2477"/>
      <c r="QEQ1680" s="2477"/>
      <c r="QER1680" s="2477"/>
      <c r="QES1680" s="2477"/>
      <c r="QET1680" s="2477"/>
      <c r="QEU1680" s="2477"/>
      <c r="QEV1680" s="2477"/>
      <c r="QEW1680" s="2477"/>
      <c r="QEX1680" s="2477"/>
      <c r="QEY1680" s="2477"/>
      <c r="QEZ1680" s="2477"/>
      <c r="QFA1680" s="2477"/>
      <c r="QFB1680" s="2477"/>
      <c r="QFC1680" s="2477"/>
      <c r="QFD1680" s="2477"/>
      <c r="QFE1680" s="2477"/>
      <c r="QFF1680" s="2477"/>
      <c r="QFG1680" s="2477"/>
      <c r="QFH1680" s="2477"/>
      <c r="QFI1680" s="2477"/>
      <c r="QFJ1680" s="2477"/>
      <c r="QFK1680" s="2477"/>
      <c r="QFL1680" s="2477"/>
      <c r="QFM1680" s="2477"/>
      <c r="QFN1680" s="2477"/>
      <c r="QFO1680" s="2477"/>
      <c r="QFP1680" s="2477"/>
      <c r="QFQ1680" s="2477"/>
      <c r="QFR1680" s="2477"/>
      <c r="QFS1680" s="2477"/>
      <c r="QFT1680" s="2477"/>
      <c r="QFU1680" s="2477"/>
      <c r="QFV1680" s="2477"/>
      <c r="QFW1680" s="2477"/>
      <c r="QFX1680" s="2477"/>
      <c r="QFY1680" s="2477"/>
      <c r="QFZ1680" s="2477"/>
      <c r="QGA1680" s="2477"/>
      <c r="QGB1680" s="2477"/>
      <c r="QGC1680" s="2477"/>
      <c r="QGD1680" s="2477"/>
      <c r="QGE1680" s="2477"/>
      <c r="QGF1680" s="2477"/>
      <c r="QGG1680" s="2477"/>
      <c r="QGH1680" s="2477"/>
      <c r="QGI1680" s="2477"/>
      <c r="QGJ1680" s="2477"/>
      <c r="QGK1680" s="2477"/>
      <c r="QGL1680" s="2477"/>
      <c r="QGM1680" s="2477"/>
      <c r="QGN1680" s="2477"/>
      <c r="QGO1680" s="2477"/>
      <c r="QGP1680" s="2477"/>
      <c r="QGQ1680" s="2477"/>
      <c r="QGR1680" s="2477"/>
      <c r="QGS1680" s="2477"/>
      <c r="QGT1680" s="2477"/>
      <c r="QGU1680" s="2477"/>
      <c r="QGV1680" s="2477"/>
      <c r="QGW1680" s="2477"/>
      <c r="QGX1680" s="2477"/>
      <c r="QGY1680" s="2477"/>
      <c r="QGZ1680" s="2477"/>
      <c r="QHA1680" s="2477"/>
      <c r="QHB1680" s="2477"/>
      <c r="QHC1680" s="2477"/>
      <c r="QHD1680" s="2477"/>
      <c r="QHE1680" s="2477"/>
      <c r="QHF1680" s="2477"/>
      <c r="QHG1680" s="2477"/>
      <c r="QHH1680" s="2477"/>
      <c r="QHI1680" s="2477"/>
      <c r="QHJ1680" s="2477"/>
      <c r="QHK1680" s="2477"/>
      <c r="QHL1680" s="2477"/>
      <c r="QHM1680" s="2477"/>
      <c r="QHN1680" s="2477"/>
      <c r="QHO1680" s="2477"/>
      <c r="QHP1680" s="2477"/>
      <c r="QHQ1680" s="2477"/>
      <c r="QHR1680" s="2477"/>
      <c r="QHS1680" s="2477"/>
      <c r="QHT1680" s="2477"/>
      <c r="QHU1680" s="2477"/>
      <c r="QHV1680" s="2477"/>
      <c r="QHW1680" s="2477"/>
      <c r="QHX1680" s="2477"/>
      <c r="QHY1680" s="2477"/>
      <c r="QHZ1680" s="2477"/>
      <c r="QIA1680" s="2477"/>
      <c r="QIB1680" s="2477"/>
      <c r="QIC1680" s="2477"/>
      <c r="QID1680" s="2477"/>
      <c r="QIE1680" s="2477"/>
      <c r="QIF1680" s="2477"/>
      <c r="QIG1680" s="2477"/>
      <c r="QIH1680" s="2477"/>
      <c r="QII1680" s="2477"/>
      <c r="QIJ1680" s="2477"/>
      <c r="QIK1680" s="2477"/>
      <c r="QIL1680" s="2477"/>
      <c r="QIM1680" s="2477"/>
      <c r="QIN1680" s="2477"/>
      <c r="QIO1680" s="2477"/>
      <c r="QIP1680" s="2477"/>
      <c r="QIQ1680" s="2477"/>
      <c r="QIR1680" s="2477"/>
      <c r="QIS1680" s="2477"/>
      <c r="QIT1680" s="2477"/>
      <c r="QIU1680" s="2477"/>
      <c r="QIV1680" s="2477"/>
      <c r="QIW1680" s="2477"/>
      <c r="QIX1680" s="2477"/>
      <c r="QIY1680" s="2477"/>
      <c r="QIZ1680" s="2477"/>
      <c r="QJA1680" s="2477"/>
      <c r="QJB1680" s="2477"/>
      <c r="QJC1680" s="2477"/>
      <c r="QJD1680" s="2477"/>
      <c r="QJE1680" s="2477"/>
      <c r="QJF1680" s="2477"/>
      <c r="QJG1680" s="2477"/>
      <c r="QJH1680" s="2477"/>
      <c r="QJI1680" s="2477"/>
      <c r="QJJ1680" s="2477"/>
      <c r="QJK1680" s="2477"/>
      <c r="QJL1680" s="2477"/>
      <c r="QJM1680" s="2477"/>
      <c r="QJN1680" s="2477"/>
      <c r="QJO1680" s="2477"/>
      <c r="QJP1680" s="2477"/>
      <c r="QJQ1680" s="2477"/>
      <c r="QJR1680" s="2477"/>
      <c r="QJS1680" s="2477"/>
      <c r="QJT1680" s="2477"/>
      <c r="QJU1680" s="2477"/>
      <c r="QJV1680" s="2477"/>
      <c r="QJW1680" s="2477"/>
      <c r="QJX1680" s="2477"/>
      <c r="QJY1680" s="2477"/>
      <c r="QJZ1680" s="2477"/>
      <c r="QKA1680" s="2477"/>
      <c r="QKB1680" s="2477"/>
      <c r="QKC1680" s="2477"/>
      <c r="QKD1680" s="2477"/>
      <c r="QKE1680" s="2477"/>
      <c r="QKF1680" s="2477"/>
      <c r="QKG1680" s="2477"/>
      <c r="QKH1680" s="2477"/>
      <c r="QKI1680" s="2477"/>
      <c r="QKJ1680" s="2477"/>
      <c r="QKK1680" s="2477"/>
      <c r="QKL1680" s="2477"/>
      <c r="QKM1680" s="2477"/>
      <c r="QKN1680" s="2477"/>
      <c r="QKO1680" s="2477"/>
      <c r="QKP1680" s="2477"/>
      <c r="QKQ1680" s="2477"/>
      <c r="QKR1680" s="2477"/>
      <c r="QKS1680" s="2477"/>
      <c r="QKT1680" s="2477"/>
      <c r="QKU1680" s="2477"/>
      <c r="QKV1680" s="2477"/>
      <c r="QKW1680" s="2477"/>
      <c r="QKX1680" s="2477"/>
      <c r="QKY1680" s="2477"/>
      <c r="QKZ1680" s="2477"/>
      <c r="QLA1680" s="2477"/>
      <c r="QLB1680" s="2477"/>
      <c r="QLC1680" s="2477"/>
      <c r="QLD1680" s="2477"/>
      <c r="QLE1680" s="2477"/>
      <c r="QLF1680" s="2477"/>
      <c r="QLG1680" s="2477"/>
      <c r="QLH1680" s="2477"/>
      <c r="QLI1680" s="2477"/>
      <c r="QLJ1680" s="2477"/>
      <c r="QLK1680" s="2477"/>
      <c r="QLL1680" s="2477"/>
      <c r="QLM1680" s="2477"/>
      <c r="QLN1680" s="2477"/>
      <c r="QLO1680" s="2477"/>
      <c r="QLP1680" s="2477"/>
      <c r="QLQ1680" s="2477"/>
      <c r="QLR1680" s="2477"/>
      <c r="QLS1680" s="2477"/>
      <c r="QLT1680" s="2477"/>
      <c r="QLU1680" s="2477"/>
      <c r="QLV1680" s="2477"/>
      <c r="QLW1680" s="2477"/>
      <c r="QLX1680" s="2477"/>
      <c r="QLY1680" s="2477"/>
      <c r="QLZ1680" s="2477"/>
      <c r="QMA1680" s="2477"/>
      <c r="QMB1680" s="2477"/>
      <c r="QMC1680" s="2477"/>
      <c r="QMD1680" s="2477"/>
      <c r="QME1680" s="2477"/>
      <c r="QMF1680" s="2477"/>
      <c r="QMG1680" s="2477"/>
      <c r="QMH1680" s="2477"/>
      <c r="QMI1680" s="2477"/>
      <c r="QMJ1680" s="2477"/>
      <c r="QMK1680" s="2477"/>
      <c r="QML1680" s="2477"/>
      <c r="QMM1680" s="2477"/>
      <c r="QMN1680" s="2477"/>
      <c r="QMO1680" s="2477"/>
      <c r="QMP1680" s="2477"/>
      <c r="QMQ1680" s="2477"/>
      <c r="QMR1680" s="2477"/>
      <c r="QMS1680" s="2477"/>
      <c r="QMT1680" s="2477"/>
      <c r="QMU1680" s="2477"/>
      <c r="QMV1680" s="2477"/>
      <c r="QMW1680" s="2477"/>
      <c r="QMX1680" s="2477"/>
      <c r="QMY1680" s="2477"/>
      <c r="QMZ1680" s="2477"/>
      <c r="QNA1680" s="2477"/>
      <c r="QNB1680" s="2477"/>
      <c r="QNC1680" s="2477"/>
      <c r="QND1680" s="2477"/>
      <c r="QNE1680" s="2477"/>
      <c r="QNF1680" s="2477"/>
      <c r="QNG1680" s="2477"/>
      <c r="QNH1680" s="2477"/>
      <c r="QNI1680" s="2477"/>
      <c r="QNJ1680" s="2477"/>
      <c r="QNK1680" s="2477"/>
      <c r="QNL1680" s="2477"/>
      <c r="QNM1680" s="2477"/>
      <c r="QNN1680" s="2477"/>
      <c r="QNO1680" s="2477"/>
      <c r="QNP1680" s="2477"/>
      <c r="QNQ1680" s="2477"/>
      <c r="QNR1680" s="2477"/>
      <c r="QNS1680" s="2477"/>
      <c r="QNT1680" s="2477"/>
      <c r="QNU1680" s="2477"/>
      <c r="QNV1680" s="2477"/>
      <c r="QNW1680" s="2477"/>
      <c r="QNX1680" s="2477"/>
      <c r="QNY1680" s="2477"/>
      <c r="QNZ1680" s="2477"/>
      <c r="QOA1680" s="2477"/>
      <c r="QOB1680" s="2477"/>
      <c r="QOC1680" s="2477"/>
      <c r="QOD1680" s="2477"/>
      <c r="QOE1680" s="2477"/>
      <c r="QOF1680" s="2477"/>
      <c r="QOG1680" s="2477"/>
      <c r="QOH1680" s="2477"/>
      <c r="QOI1680" s="2477"/>
      <c r="QOJ1680" s="2477"/>
      <c r="QOK1680" s="2477"/>
      <c r="QOL1680" s="2477"/>
      <c r="QOM1680" s="2477"/>
      <c r="QON1680" s="2477"/>
      <c r="QOO1680" s="2477"/>
      <c r="QOP1680" s="2477"/>
      <c r="QOQ1680" s="2477"/>
      <c r="QOR1680" s="2477"/>
      <c r="QOS1680" s="2477"/>
      <c r="QOT1680" s="2477"/>
      <c r="QOU1680" s="2477"/>
      <c r="QOV1680" s="2477"/>
      <c r="QOW1680" s="2477"/>
      <c r="QOX1680" s="2477"/>
      <c r="QOY1680" s="2477"/>
      <c r="QOZ1680" s="2477"/>
      <c r="QPA1680" s="2477"/>
      <c r="QPB1680" s="2477"/>
      <c r="QPC1680" s="2477"/>
      <c r="QPD1680" s="2477"/>
      <c r="QPE1680" s="2477"/>
      <c r="QPF1680" s="2477"/>
      <c r="QPG1680" s="2477"/>
      <c r="QPH1680" s="2477"/>
      <c r="QPI1680" s="2477"/>
      <c r="QPJ1680" s="2477"/>
      <c r="QPK1680" s="2477"/>
      <c r="QPL1680" s="2477"/>
      <c r="QPM1680" s="2477"/>
      <c r="QPN1680" s="2477"/>
      <c r="QPO1680" s="2477"/>
      <c r="QPP1680" s="2477"/>
      <c r="QPQ1680" s="2477"/>
      <c r="QPR1680" s="2477"/>
      <c r="QPS1680" s="2477"/>
      <c r="QPT1680" s="2477"/>
      <c r="QPU1680" s="2477"/>
      <c r="QPV1680" s="2477"/>
      <c r="QPW1680" s="2477"/>
      <c r="QPX1680" s="2477"/>
      <c r="QPY1680" s="2477"/>
      <c r="QPZ1680" s="2477"/>
      <c r="QQA1680" s="2477"/>
      <c r="QQB1680" s="2477"/>
      <c r="QQC1680" s="2477"/>
      <c r="QQD1680" s="2477"/>
      <c r="QQE1680" s="2477"/>
      <c r="QQF1680" s="2477"/>
      <c r="QQG1680" s="2477"/>
      <c r="QQH1680" s="2477"/>
      <c r="QQI1680" s="2477"/>
      <c r="QQJ1680" s="2477"/>
      <c r="QQK1680" s="2477"/>
      <c r="QQL1680" s="2477"/>
      <c r="QQM1680" s="2477"/>
      <c r="QQN1680" s="2477"/>
      <c r="QQO1680" s="2477"/>
      <c r="QQP1680" s="2477"/>
      <c r="QQQ1680" s="2477"/>
      <c r="QQR1680" s="2477"/>
      <c r="QQS1680" s="2477"/>
      <c r="QQT1680" s="2477"/>
      <c r="QQU1680" s="2477"/>
      <c r="QQV1680" s="2477"/>
      <c r="QQW1680" s="2477"/>
      <c r="QQX1680" s="2477"/>
      <c r="QQY1680" s="2477"/>
      <c r="QQZ1680" s="2477"/>
      <c r="QRA1680" s="2477"/>
      <c r="QRB1680" s="2477"/>
      <c r="QRC1680" s="2477"/>
      <c r="QRD1680" s="2477"/>
      <c r="QRE1680" s="2477"/>
      <c r="QRF1680" s="2477"/>
      <c r="QRG1680" s="2477"/>
      <c r="QRH1680" s="2477"/>
      <c r="QRI1680" s="2477"/>
      <c r="QRJ1680" s="2477"/>
      <c r="QRK1680" s="2477"/>
      <c r="QRL1680" s="2477"/>
      <c r="QRM1680" s="2477"/>
      <c r="QRN1680" s="2477"/>
      <c r="QRO1680" s="2477"/>
      <c r="QRP1680" s="2477"/>
      <c r="QRQ1680" s="2477"/>
      <c r="QRR1680" s="2477"/>
      <c r="QRS1680" s="2477"/>
      <c r="QRT1680" s="2477"/>
      <c r="QRU1680" s="2477"/>
      <c r="QRV1680" s="2477"/>
      <c r="QRW1680" s="2477"/>
      <c r="QRX1680" s="2477"/>
      <c r="QRY1680" s="2477"/>
      <c r="QRZ1680" s="2477"/>
      <c r="QSA1680" s="2477"/>
      <c r="QSB1680" s="2477"/>
      <c r="QSC1680" s="2477"/>
      <c r="QSD1680" s="2477"/>
      <c r="QSE1680" s="2477"/>
      <c r="QSF1680" s="2477"/>
      <c r="QSG1680" s="2477"/>
      <c r="QSH1680" s="2477"/>
      <c r="QSI1680" s="2477"/>
      <c r="QSJ1680" s="2477"/>
      <c r="QSK1680" s="2477"/>
      <c r="QSL1680" s="2477"/>
      <c r="QSM1680" s="2477"/>
      <c r="QSN1680" s="2477"/>
      <c r="QSO1680" s="2477"/>
      <c r="QSP1680" s="2477"/>
      <c r="QSQ1680" s="2477"/>
      <c r="QSR1680" s="2477"/>
      <c r="QSS1680" s="2477"/>
      <c r="QST1680" s="2477"/>
      <c r="QSU1680" s="2477"/>
      <c r="QSV1680" s="2477"/>
      <c r="QSW1680" s="2477"/>
      <c r="QSX1680" s="2477"/>
      <c r="QSY1680" s="2477"/>
      <c r="QSZ1680" s="2477"/>
      <c r="QTA1680" s="2477"/>
      <c r="QTB1680" s="2477"/>
      <c r="QTC1680" s="2477"/>
      <c r="QTD1680" s="2477"/>
      <c r="QTE1680" s="2477"/>
      <c r="QTF1680" s="2477"/>
      <c r="QTG1680" s="2477"/>
      <c r="QTH1680" s="2477"/>
      <c r="QTI1680" s="2477"/>
      <c r="QTJ1680" s="2477"/>
      <c r="QTK1680" s="2477"/>
      <c r="QTL1680" s="2477"/>
      <c r="QTM1680" s="2477"/>
      <c r="QTN1680" s="2477"/>
      <c r="QTO1680" s="2477"/>
      <c r="QTP1680" s="2477"/>
      <c r="QTQ1680" s="2477"/>
      <c r="QTR1680" s="2477"/>
      <c r="QTS1680" s="2477"/>
      <c r="QTT1680" s="2477"/>
      <c r="QTU1680" s="2477"/>
      <c r="QTV1680" s="2477"/>
      <c r="QTW1680" s="2477"/>
      <c r="QTX1680" s="2477"/>
      <c r="QTY1680" s="2477"/>
      <c r="QTZ1680" s="2477"/>
      <c r="QUA1680" s="2477"/>
      <c r="QUB1680" s="2477"/>
      <c r="QUC1680" s="2477"/>
      <c r="QUD1680" s="2477"/>
      <c r="QUE1680" s="2477"/>
      <c r="QUF1680" s="2477"/>
      <c r="QUG1680" s="2477"/>
      <c r="QUH1680" s="2477"/>
      <c r="QUI1680" s="2477"/>
      <c r="QUJ1680" s="2477"/>
      <c r="QUK1680" s="2477"/>
      <c r="QUL1680" s="2477"/>
      <c r="QUM1680" s="2477"/>
      <c r="QUN1680" s="2477"/>
      <c r="QUO1680" s="2477"/>
      <c r="QUP1680" s="2477"/>
      <c r="QUQ1680" s="2477"/>
      <c r="QUR1680" s="2477"/>
      <c r="QUS1680" s="2477"/>
      <c r="QUT1680" s="2477"/>
      <c r="QUU1680" s="2477"/>
      <c r="QUV1680" s="2477"/>
      <c r="QUW1680" s="2477"/>
      <c r="QUX1680" s="2477"/>
      <c r="QUY1680" s="2477"/>
      <c r="QUZ1680" s="2477"/>
      <c r="QVA1680" s="2477"/>
      <c r="QVB1680" s="2477"/>
      <c r="QVC1680" s="2477"/>
      <c r="QVD1680" s="2477"/>
      <c r="QVE1680" s="2477"/>
      <c r="QVF1680" s="2477"/>
      <c r="QVG1680" s="2477"/>
      <c r="QVH1680" s="2477"/>
      <c r="QVI1680" s="2477"/>
      <c r="QVJ1680" s="2477"/>
      <c r="QVK1680" s="2477"/>
      <c r="QVL1680" s="2477"/>
      <c r="QVM1680" s="2477"/>
      <c r="QVN1680" s="2477"/>
      <c r="QVO1680" s="2477"/>
      <c r="QVP1680" s="2477"/>
      <c r="QVQ1680" s="2477"/>
      <c r="QVR1680" s="2477"/>
      <c r="QVS1680" s="2477"/>
      <c r="QVT1680" s="2477"/>
      <c r="QVU1680" s="2477"/>
      <c r="QVV1680" s="2477"/>
      <c r="QVW1680" s="2477"/>
      <c r="QVX1680" s="2477"/>
      <c r="QVY1680" s="2477"/>
      <c r="QVZ1680" s="2477"/>
      <c r="QWA1680" s="2477"/>
      <c r="QWB1680" s="2477"/>
      <c r="QWC1680" s="2477"/>
      <c r="QWD1680" s="2477"/>
      <c r="QWE1680" s="2477"/>
      <c r="QWF1680" s="2477"/>
      <c r="QWG1680" s="2477"/>
      <c r="QWH1680" s="2477"/>
      <c r="QWI1680" s="2477"/>
      <c r="QWJ1680" s="2477"/>
      <c r="QWK1680" s="2477"/>
      <c r="QWL1680" s="2477"/>
      <c r="QWM1680" s="2477"/>
      <c r="QWN1680" s="2477"/>
      <c r="QWO1680" s="2477"/>
      <c r="QWP1680" s="2477"/>
      <c r="QWQ1680" s="2477"/>
      <c r="QWR1680" s="2477"/>
      <c r="QWS1680" s="2477"/>
      <c r="QWT1680" s="2477"/>
      <c r="QWU1680" s="2477"/>
      <c r="QWV1680" s="2477"/>
      <c r="QWW1680" s="2477"/>
      <c r="QWX1680" s="2477"/>
      <c r="QWY1680" s="2477"/>
      <c r="QWZ1680" s="2477"/>
      <c r="QXA1680" s="2477"/>
      <c r="QXB1680" s="2477"/>
      <c r="QXC1680" s="2477"/>
      <c r="QXD1680" s="2477"/>
      <c r="QXE1680" s="2477"/>
      <c r="QXF1680" s="2477"/>
      <c r="QXG1680" s="2477"/>
      <c r="QXH1680" s="2477"/>
      <c r="QXI1680" s="2477"/>
      <c r="QXJ1680" s="2477"/>
      <c r="QXK1680" s="2477"/>
      <c r="QXL1680" s="2477"/>
      <c r="QXM1680" s="2477"/>
      <c r="QXN1680" s="2477"/>
      <c r="QXO1680" s="2477"/>
      <c r="QXP1680" s="2477"/>
      <c r="QXQ1680" s="2477"/>
      <c r="QXR1680" s="2477"/>
      <c r="QXS1680" s="2477"/>
      <c r="QXT1680" s="2477"/>
      <c r="QXU1680" s="2477"/>
      <c r="QXV1680" s="2477"/>
      <c r="QXW1680" s="2477"/>
      <c r="QXX1680" s="2477"/>
      <c r="QXY1680" s="2477"/>
      <c r="QXZ1680" s="2477"/>
      <c r="QYA1680" s="2477"/>
      <c r="QYB1680" s="2477"/>
      <c r="QYC1680" s="2477"/>
      <c r="QYD1680" s="2477"/>
      <c r="QYE1680" s="2477"/>
      <c r="QYF1680" s="2477"/>
      <c r="QYG1680" s="2477"/>
      <c r="QYH1680" s="2477"/>
      <c r="QYI1680" s="2477"/>
      <c r="QYJ1680" s="2477"/>
      <c r="QYK1680" s="2477"/>
      <c r="QYL1680" s="2477"/>
      <c r="QYM1680" s="2477"/>
      <c r="QYN1680" s="2477"/>
      <c r="QYO1680" s="2477"/>
      <c r="QYP1680" s="2477"/>
      <c r="QYQ1680" s="2477"/>
      <c r="QYR1680" s="2477"/>
      <c r="QYS1680" s="2477"/>
      <c r="QYT1680" s="2477"/>
      <c r="QYU1680" s="2477"/>
      <c r="QYV1680" s="2477"/>
      <c r="QYW1680" s="2477"/>
      <c r="QYX1680" s="2477"/>
      <c r="QYY1680" s="2477"/>
      <c r="QYZ1680" s="2477"/>
      <c r="QZA1680" s="2477"/>
      <c r="QZB1680" s="2477"/>
      <c r="QZC1680" s="2477"/>
      <c r="QZD1680" s="2477"/>
      <c r="QZE1680" s="2477"/>
      <c r="QZF1680" s="2477"/>
      <c r="QZG1680" s="2477"/>
      <c r="QZH1680" s="2477"/>
      <c r="QZI1680" s="2477"/>
      <c r="QZJ1680" s="2477"/>
      <c r="QZK1680" s="2477"/>
      <c r="QZL1680" s="2477"/>
      <c r="QZM1680" s="2477"/>
      <c r="QZN1680" s="2477"/>
      <c r="QZO1680" s="2477"/>
      <c r="QZP1680" s="2477"/>
      <c r="QZQ1680" s="2477"/>
      <c r="QZR1680" s="2477"/>
      <c r="QZS1680" s="2477"/>
      <c r="QZT1680" s="2477"/>
      <c r="QZU1680" s="2477"/>
      <c r="QZV1680" s="2477"/>
      <c r="QZW1680" s="2477"/>
      <c r="QZX1680" s="2477"/>
      <c r="QZY1680" s="2477"/>
      <c r="QZZ1680" s="2477"/>
      <c r="RAA1680" s="2477"/>
      <c r="RAB1680" s="2477"/>
      <c r="RAC1680" s="2477"/>
      <c r="RAD1680" s="2477"/>
      <c r="RAE1680" s="2477"/>
      <c r="RAF1680" s="2477"/>
      <c r="RAG1680" s="2477"/>
      <c r="RAH1680" s="2477"/>
      <c r="RAI1680" s="2477"/>
      <c r="RAJ1680" s="2477"/>
      <c r="RAK1680" s="2477"/>
      <c r="RAL1680" s="2477"/>
      <c r="RAM1680" s="2477"/>
      <c r="RAN1680" s="2477"/>
      <c r="RAO1680" s="2477"/>
      <c r="RAP1680" s="2477"/>
      <c r="RAQ1680" s="2477"/>
      <c r="RAR1680" s="2477"/>
      <c r="RAS1680" s="2477"/>
      <c r="RAT1680" s="2477"/>
      <c r="RAU1680" s="2477"/>
      <c r="RAV1680" s="2477"/>
      <c r="RAW1680" s="2477"/>
      <c r="RAX1680" s="2477"/>
      <c r="RAY1680" s="2477"/>
      <c r="RAZ1680" s="2477"/>
      <c r="RBA1680" s="2477"/>
      <c r="RBB1680" s="2477"/>
      <c r="RBC1680" s="2477"/>
      <c r="RBD1680" s="2477"/>
      <c r="RBE1680" s="2477"/>
      <c r="RBF1680" s="2477"/>
      <c r="RBG1680" s="2477"/>
      <c r="RBH1680" s="2477"/>
      <c r="RBI1680" s="2477"/>
      <c r="RBJ1680" s="2477"/>
      <c r="RBK1680" s="2477"/>
      <c r="RBL1680" s="2477"/>
      <c r="RBM1680" s="2477"/>
      <c r="RBN1680" s="2477"/>
      <c r="RBO1680" s="2477"/>
      <c r="RBP1680" s="2477"/>
      <c r="RBQ1680" s="2477"/>
      <c r="RBR1680" s="2477"/>
      <c r="RBS1680" s="2477"/>
      <c r="RBT1680" s="2477"/>
      <c r="RBU1680" s="2477"/>
      <c r="RBV1680" s="2477"/>
      <c r="RBW1680" s="2477"/>
      <c r="RBX1680" s="2477"/>
      <c r="RBY1680" s="2477"/>
      <c r="RBZ1680" s="2477"/>
      <c r="RCA1680" s="2477"/>
      <c r="RCB1680" s="2477"/>
      <c r="RCC1680" s="2477"/>
      <c r="RCD1680" s="2477"/>
      <c r="RCE1680" s="2477"/>
      <c r="RCF1680" s="2477"/>
      <c r="RCG1680" s="2477"/>
      <c r="RCH1680" s="2477"/>
      <c r="RCI1680" s="2477"/>
      <c r="RCJ1680" s="2477"/>
      <c r="RCK1680" s="2477"/>
      <c r="RCL1680" s="2477"/>
      <c r="RCM1680" s="2477"/>
      <c r="RCN1680" s="2477"/>
      <c r="RCO1680" s="2477"/>
      <c r="RCP1680" s="2477"/>
      <c r="RCQ1680" s="2477"/>
      <c r="RCR1680" s="2477"/>
      <c r="RCS1680" s="2477"/>
      <c r="RCT1680" s="2477"/>
      <c r="RCU1680" s="2477"/>
      <c r="RCV1680" s="2477"/>
      <c r="RCW1680" s="2477"/>
      <c r="RCX1680" s="2477"/>
      <c r="RCY1680" s="2477"/>
      <c r="RCZ1680" s="2477"/>
      <c r="RDA1680" s="2477"/>
      <c r="RDB1680" s="2477"/>
      <c r="RDC1680" s="2477"/>
      <c r="RDD1680" s="2477"/>
      <c r="RDE1680" s="2477"/>
      <c r="RDF1680" s="2477"/>
      <c r="RDG1680" s="2477"/>
      <c r="RDH1680" s="2477"/>
      <c r="RDI1680" s="2477"/>
      <c r="RDJ1680" s="2477"/>
      <c r="RDK1680" s="2477"/>
      <c r="RDL1680" s="2477"/>
      <c r="RDM1680" s="2477"/>
      <c r="RDN1680" s="2477"/>
      <c r="RDO1680" s="2477"/>
      <c r="RDP1680" s="2477"/>
      <c r="RDQ1680" s="2477"/>
      <c r="RDR1680" s="2477"/>
      <c r="RDS1680" s="2477"/>
      <c r="RDT1680" s="2477"/>
      <c r="RDU1680" s="2477"/>
      <c r="RDV1680" s="2477"/>
      <c r="RDW1680" s="2477"/>
      <c r="RDX1680" s="2477"/>
      <c r="RDY1680" s="2477"/>
      <c r="RDZ1680" s="2477"/>
      <c r="REA1680" s="2477"/>
      <c r="REB1680" s="2477"/>
      <c r="REC1680" s="2477"/>
      <c r="RED1680" s="2477"/>
      <c r="REE1680" s="2477"/>
      <c r="REF1680" s="2477"/>
      <c r="REG1680" s="2477"/>
      <c r="REH1680" s="2477"/>
      <c r="REI1680" s="2477"/>
      <c r="REJ1680" s="2477"/>
      <c r="REK1680" s="2477"/>
      <c r="REL1680" s="2477"/>
      <c r="REM1680" s="2477"/>
      <c r="REN1680" s="2477"/>
      <c r="REO1680" s="2477"/>
      <c r="REP1680" s="2477"/>
      <c r="REQ1680" s="2477"/>
      <c r="RER1680" s="2477"/>
      <c r="RES1680" s="2477"/>
      <c r="RET1680" s="2477"/>
      <c r="REU1680" s="2477"/>
      <c r="REV1680" s="2477"/>
      <c r="REW1680" s="2477"/>
      <c r="REX1680" s="2477"/>
      <c r="REY1680" s="2477"/>
      <c r="REZ1680" s="2477"/>
      <c r="RFA1680" s="2477"/>
      <c r="RFB1680" s="2477"/>
      <c r="RFC1680" s="2477"/>
      <c r="RFD1680" s="2477"/>
      <c r="RFE1680" s="2477"/>
      <c r="RFF1680" s="2477"/>
      <c r="RFG1680" s="2477"/>
      <c r="RFH1680" s="2477"/>
      <c r="RFI1680" s="2477"/>
      <c r="RFJ1680" s="2477"/>
      <c r="RFK1680" s="2477"/>
      <c r="RFL1680" s="2477"/>
      <c r="RFM1680" s="2477"/>
      <c r="RFN1680" s="2477"/>
      <c r="RFO1680" s="2477"/>
      <c r="RFP1680" s="2477"/>
      <c r="RFQ1680" s="2477"/>
      <c r="RFR1680" s="2477"/>
      <c r="RFS1680" s="2477"/>
      <c r="RFT1680" s="2477"/>
      <c r="RFU1680" s="2477"/>
      <c r="RFV1680" s="2477"/>
      <c r="RFW1680" s="2477"/>
      <c r="RFX1680" s="2477"/>
      <c r="RFY1680" s="2477"/>
      <c r="RFZ1680" s="2477"/>
      <c r="RGA1680" s="2477"/>
      <c r="RGB1680" s="2477"/>
      <c r="RGC1680" s="2477"/>
      <c r="RGD1680" s="2477"/>
      <c r="RGE1680" s="2477"/>
      <c r="RGF1680" s="2477"/>
      <c r="RGG1680" s="2477"/>
      <c r="RGH1680" s="2477"/>
      <c r="RGI1680" s="2477"/>
      <c r="RGJ1680" s="2477"/>
      <c r="RGK1680" s="2477"/>
      <c r="RGL1680" s="2477"/>
      <c r="RGM1680" s="2477"/>
      <c r="RGN1680" s="2477"/>
      <c r="RGO1680" s="2477"/>
      <c r="RGP1680" s="2477"/>
      <c r="RGQ1680" s="2477"/>
      <c r="RGR1680" s="2477"/>
      <c r="RGS1680" s="2477"/>
      <c r="RGT1680" s="2477"/>
      <c r="RGU1680" s="2477"/>
      <c r="RGV1680" s="2477"/>
      <c r="RGW1680" s="2477"/>
      <c r="RGX1680" s="2477"/>
      <c r="RGY1680" s="2477"/>
      <c r="RGZ1680" s="2477"/>
      <c r="RHA1680" s="2477"/>
      <c r="RHB1680" s="2477"/>
      <c r="RHC1680" s="2477"/>
      <c r="RHD1680" s="2477"/>
      <c r="RHE1680" s="2477"/>
      <c r="RHF1680" s="2477"/>
      <c r="RHG1680" s="2477"/>
      <c r="RHH1680" s="2477"/>
      <c r="RHI1680" s="2477"/>
      <c r="RHJ1680" s="2477"/>
      <c r="RHK1680" s="2477"/>
      <c r="RHL1680" s="2477"/>
      <c r="RHM1680" s="2477"/>
      <c r="RHN1680" s="2477"/>
      <c r="RHO1680" s="2477"/>
      <c r="RHP1680" s="2477"/>
      <c r="RHQ1680" s="2477"/>
      <c r="RHR1680" s="2477"/>
      <c r="RHS1680" s="2477"/>
      <c r="RHT1680" s="2477"/>
      <c r="RHU1680" s="2477"/>
      <c r="RHV1680" s="2477"/>
      <c r="RHW1680" s="2477"/>
      <c r="RHX1680" s="2477"/>
      <c r="RHY1680" s="2477"/>
      <c r="RHZ1680" s="2477"/>
      <c r="RIA1680" s="2477"/>
      <c r="RIB1680" s="2477"/>
      <c r="RIC1680" s="2477"/>
      <c r="RID1680" s="2477"/>
      <c r="RIE1680" s="2477"/>
      <c r="RIF1680" s="2477"/>
      <c r="RIG1680" s="2477"/>
      <c r="RIH1680" s="2477"/>
      <c r="RII1680" s="2477"/>
      <c r="RIJ1680" s="2477"/>
      <c r="RIK1680" s="2477"/>
      <c r="RIL1680" s="2477"/>
      <c r="RIM1680" s="2477"/>
      <c r="RIN1680" s="2477"/>
      <c r="RIO1680" s="2477"/>
      <c r="RIP1680" s="2477"/>
      <c r="RIQ1680" s="2477"/>
      <c r="RIR1680" s="2477"/>
      <c r="RIS1680" s="2477"/>
      <c r="RIT1680" s="2477"/>
      <c r="RIU1680" s="2477"/>
      <c r="RIV1680" s="2477"/>
      <c r="RIW1680" s="2477"/>
      <c r="RIX1680" s="2477"/>
      <c r="RIY1680" s="2477"/>
      <c r="RIZ1680" s="2477"/>
      <c r="RJA1680" s="2477"/>
      <c r="RJB1680" s="2477"/>
      <c r="RJC1680" s="2477"/>
      <c r="RJD1680" s="2477"/>
      <c r="RJE1680" s="2477"/>
      <c r="RJF1680" s="2477"/>
      <c r="RJG1680" s="2477"/>
      <c r="RJH1680" s="2477"/>
      <c r="RJI1680" s="2477"/>
      <c r="RJJ1680" s="2477"/>
      <c r="RJK1680" s="2477"/>
      <c r="RJL1680" s="2477"/>
      <c r="RJM1680" s="2477"/>
      <c r="RJN1680" s="2477"/>
      <c r="RJO1680" s="2477"/>
      <c r="RJP1680" s="2477"/>
      <c r="RJQ1680" s="2477"/>
      <c r="RJR1680" s="2477"/>
      <c r="RJS1680" s="2477"/>
      <c r="RJT1680" s="2477"/>
      <c r="RJU1680" s="2477"/>
      <c r="RJV1680" s="2477"/>
      <c r="RJW1680" s="2477"/>
      <c r="RJX1680" s="2477"/>
      <c r="RJY1680" s="2477"/>
      <c r="RJZ1680" s="2477"/>
      <c r="RKA1680" s="2477"/>
      <c r="RKB1680" s="2477"/>
      <c r="RKC1680" s="2477"/>
      <c r="RKD1680" s="2477"/>
      <c r="RKE1680" s="2477"/>
      <c r="RKF1680" s="2477"/>
      <c r="RKG1680" s="2477"/>
      <c r="RKH1680" s="2477"/>
      <c r="RKI1680" s="2477"/>
      <c r="RKJ1680" s="2477"/>
      <c r="RKK1680" s="2477"/>
      <c r="RKL1680" s="2477"/>
      <c r="RKM1680" s="2477"/>
      <c r="RKN1680" s="2477"/>
      <c r="RKO1680" s="2477"/>
      <c r="RKP1680" s="2477"/>
      <c r="RKQ1680" s="2477"/>
      <c r="RKR1680" s="2477"/>
      <c r="RKS1680" s="2477"/>
      <c r="RKT1680" s="2477"/>
      <c r="RKU1680" s="2477"/>
      <c r="RKV1680" s="2477"/>
      <c r="RKW1680" s="2477"/>
      <c r="RKX1680" s="2477"/>
      <c r="RKY1680" s="2477"/>
      <c r="RKZ1680" s="2477"/>
      <c r="RLA1680" s="2477"/>
      <c r="RLB1680" s="2477"/>
      <c r="RLC1680" s="2477"/>
      <c r="RLD1680" s="2477"/>
      <c r="RLE1680" s="2477"/>
      <c r="RLF1680" s="2477"/>
      <c r="RLG1680" s="2477"/>
      <c r="RLH1680" s="2477"/>
      <c r="RLI1680" s="2477"/>
      <c r="RLJ1680" s="2477"/>
      <c r="RLK1680" s="2477"/>
      <c r="RLL1680" s="2477"/>
      <c r="RLM1680" s="2477"/>
      <c r="RLN1680" s="2477"/>
      <c r="RLO1680" s="2477"/>
      <c r="RLP1680" s="2477"/>
      <c r="RLQ1680" s="2477"/>
      <c r="RLR1680" s="2477"/>
      <c r="RLS1680" s="2477"/>
      <c r="RLT1680" s="2477"/>
      <c r="RLU1680" s="2477"/>
      <c r="RLV1680" s="2477"/>
      <c r="RLW1680" s="2477"/>
      <c r="RLX1680" s="2477"/>
      <c r="RLY1680" s="2477"/>
      <c r="RLZ1680" s="2477"/>
      <c r="RMA1680" s="2477"/>
      <c r="RMB1680" s="2477"/>
      <c r="RMC1680" s="2477"/>
      <c r="RMD1680" s="2477"/>
      <c r="RME1680" s="2477"/>
      <c r="RMF1680" s="2477"/>
      <c r="RMG1680" s="2477"/>
      <c r="RMH1680" s="2477"/>
      <c r="RMI1680" s="2477"/>
      <c r="RMJ1680" s="2477"/>
      <c r="RMK1680" s="2477"/>
      <c r="RML1680" s="2477"/>
      <c r="RMM1680" s="2477"/>
      <c r="RMN1680" s="2477"/>
      <c r="RMO1680" s="2477"/>
      <c r="RMP1680" s="2477"/>
      <c r="RMQ1680" s="2477"/>
      <c r="RMR1680" s="2477"/>
      <c r="RMS1680" s="2477"/>
      <c r="RMT1680" s="2477"/>
      <c r="RMU1680" s="2477"/>
      <c r="RMV1680" s="2477"/>
      <c r="RMW1680" s="2477"/>
      <c r="RMX1680" s="2477"/>
      <c r="RMY1680" s="2477"/>
      <c r="RMZ1680" s="2477"/>
      <c r="RNA1680" s="2477"/>
      <c r="RNB1680" s="2477"/>
      <c r="RNC1680" s="2477"/>
      <c r="RND1680" s="2477"/>
      <c r="RNE1680" s="2477"/>
      <c r="RNF1680" s="2477"/>
      <c r="RNG1680" s="2477"/>
      <c r="RNH1680" s="2477"/>
      <c r="RNI1680" s="2477"/>
      <c r="RNJ1680" s="2477"/>
      <c r="RNK1680" s="2477"/>
      <c r="RNL1680" s="2477"/>
      <c r="RNM1680" s="2477"/>
      <c r="RNN1680" s="2477"/>
      <c r="RNO1680" s="2477"/>
      <c r="RNP1680" s="2477"/>
      <c r="RNQ1680" s="2477"/>
      <c r="RNR1680" s="2477"/>
      <c r="RNS1680" s="2477"/>
      <c r="RNT1680" s="2477"/>
      <c r="RNU1680" s="2477"/>
      <c r="RNV1680" s="2477"/>
      <c r="RNW1680" s="2477"/>
      <c r="RNX1680" s="2477"/>
      <c r="RNY1680" s="2477"/>
      <c r="RNZ1680" s="2477"/>
      <c r="ROA1680" s="2477"/>
      <c r="ROB1680" s="2477"/>
      <c r="ROC1680" s="2477"/>
      <c r="ROD1680" s="2477"/>
      <c r="ROE1680" s="2477"/>
      <c r="ROF1680" s="2477"/>
      <c r="ROG1680" s="2477"/>
      <c r="ROH1680" s="2477"/>
      <c r="ROI1680" s="2477"/>
      <c r="ROJ1680" s="2477"/>
      <c r="ROK1680" s="2477"/>
      <c r="ROL1680" s="2477"/>
      <c r="ROM1680" s="2477"/>
      <c r="RON1680" s="2477"/>
      <c r="ROO1680" s="2477"/>
      <c r="ROP1680" s="2477"/>
      <c r="ROQ1680" s="2477"/>
      <c r="ROR1680" s="2477"/>
      <c r="ROS1680" s="2477"/>
      <c r="ROT1680" s="2477"/>
      <c r="ROU1680" s="2477"/>
      <c r="ROV1680" s="2477"/>
      <c r="ROW1680" s="2477"/>
      <c r="ROX1680" s="2477"/>
      <c r="ROY1680" s="2477"/>
      <c r="ROZ1680" s="2477"/>
      <c r="RPA1680" s="2477"/>
      <c r="RPB1680" s="2477"/>
      <c r="RPC1680" s="2477"/>
      <c r="RPD1680" s="2477"/>
      <c r="RPE1680" s="2477"/>
      <c r="RPF1680" s="2477"/>
      <c r="RPG1680" s="2477"/>
      <c r="RPH1680" s="2477"/>
      <c r="RPI1680" s="2477"/>
      <c r="RPJ1680" s="2477"/>
      <c r="RPK1680" s="2477"/>
      <c r="RPL1680" s="2477"/>
      <c r="RPM1680" s="2477"/>
      <c r="RPN1680" s="2477"/>
      <c r="RPO1680" s="2477"/>
      <c r="RPP1680" s="2477"/>
      <c r="RPQ1680" s="2477"/>
      <c r="RPR1680" s="2477"/>
      <c r="RPS1680" s="2477"/>
      <c r="RPT1680" s="2477"/>
      <c r="RPU1680" s="2477"/>
      <c r="RPV1680" s="2477"/>
      <c r="RPW1680" s="2477"/>
      <c r="RPX1680" s="2477"/>
      <c r="RPY1680" s="2477"/>
      <c r="RPZ1680" s="2477"/>
      <c r="RQA1680" s="2477"/>
      <c r="RQB1680" s="2477"/>
      <c r="RQC1680" s="2477"/>
      <c r="RQD1680" s="2477"/>
      <c r="RQE1680" s="2477"/>
      <c r="RQF1680" s="2477"/>
      <c r="RQG1680" s="2477"/>
      <c r="RQH1680" s="2477"/>
      <c r="RQI1680" s="2477"/>
      <c r="RQJ1680" s="2477"/>
      <c r="RQK1680" s="2477"/>
      <c r="RQL1680" s="2477"/>
      <c r="RQM1680" s="2477"/>
      <c r="RQN1680" s="2477"/>
      <c r="RQO1680" s="2477"/>
      <c r="RQP1680" s="2477"/>
      <c r="RQQ1680" s="2477"/>
      <c r="RQR1680" s="2477"/>
      <c r="RQS1680" s="2477"/>
      <c r="RQT1680" s="2477"/>
      <c r="RQU1680" s="2477"/>
      <c r="RQV1680" s="2477"/>
      <c r="RQW1680" s="2477"/>
      <c r="RQX1680" s="2477"/>
      <c r="RQY1680" s="2477"/>
      <c r="RQZ1680" s="2477"/>
      <c r="RRA1680" s="2477"/>
      <c r="RRB1680" s="2477"/>
      <c r="RRC1680" s="2477"/>
      <c r="RRD1680" s="2477"/>
      <c r="RRE1680" s="2477"/>
      <c r="RRF1680" s="2477"/>
      <c r="RRG1680" s="2477"/>
      <c r="RRH1680" s="2477"/>
      <c r="RRI1680" s="2477"/>
      <c r="RRJ1680" s="2477"/>
      <c r="RRK1680" s="2477"/>
      <c r="RRL1680" s="2477"/>
      <c r="RRM1680" s="2477"/>
      <c r="RRN1680" s="2477"/>
      <c r="RRO1680" s="2477"/>
      <c r="RRP1680" s="2477"/>
      <c r="RRQ1680" s="2477"/>
      <c r="RRR1680" s="2477"/>
      <c r="RRS1680" s="2477"/>
      <c r="RRT1680" s="2477"/>
      <c r="RRU1680" s="2477"/>
      <c r="RRV1680" s="2477"/>
      <c r="RRW1680" s="2477"/>
      <c r="RRX1680" s="2477"/>
      <c r="RRY1680" s="2477"/>
      <c r="RRZ1680" s="2477"/>
      <c r="RSA1680" s="2477"/>
      <c r="RSB1680" s="2477"/>
      <c r="RSC1680" s="2477"/>
      <c r="RSD1680" s="2477"/>
      <c r="RSE1680" s="2477"/>
      <c r="RSF1680" s="2477"/>
      <c r="RSG1680" s="2477"/>
      <c r="RSH1680" s="2477"/>
      <c r="RSI1680" s="2477"/>
      <c r="RSJ1680" s="2477"/>
      <c r="RSK1680" s="2477"/>
      <c r="RSL1680" s="2477"/>
      <c r="RSM1680" s="2477"/>
      <c r="RSN1680" s="2477"/>
      <c r="RSO1680" s="2477"/>
      <c r="RSP1680" s="2477"/>
      <c r="RSQ1680" s="2477"/>
      <c r="RSR1680" s="2477"/>
      <c r="RSS1680" s="2477"/>
      <c r="RST1680" s="2477"/>
      <c r="RSU1680" s="2477"/>
      <c r="RSV1680" s="2477"/>
      <c r="RSW1680" s="2477"/>
      <c r="RSX1680" s="2477"/>
      <c r="RSY1680" s="2477"/>
      <c r="RSZ1680" s="2477"/>
      <c r="RTA1680" s="2477"/>
      <c r="RTB1680" s="2477"/>
      <c r="RTC1680" s="2477"/>
      <c r="RTD1680" s="2477"/>
      <c r="RTE1680" s="2477"/>
      <c r="RTF1680" s="2477"/>
      <c r="RTG1680" s="2477"/>
      <c r="RTH1680" s="2477"/>
      <c r="RTI1680" s="2477"/>
      <c r="RTJ1680" s="2477"/>
      <c r="RTK1680" s="2477"/>
      <c r="RTL1680" s="2477"/>
      <c r="RTM1680" s="2477"/>
      <c r="RTN1680" s="2477"/>
      <c r="RTO1680" s="2477"/>
      <c r="RTP1680" s="2477"/>
      <c r="RTQ1680" s="2477"/>
      <c r="RTR1680" s="2477"/>
      <c r="RTS1680" s="2477"/>
      <c r="RTT1680" s="2477"/>
      <c r="RTU1680" s="2477"/>
      <c r="RTV1680" s="2477"/>
      <c r="RTW1680" s="2477"/>
      <c r="RTX1680" s="2477"/>
      <c r="RTY1680" s="2477"/>
      <c r="RTZ1680" s="2477"/>
      <c r="RUA1680" s="2477"/>
      <c r="RUB1680" s="2477"/>
      <c r="RUC1680" s="2477"/>
      <c r="RUD1680" s="2477"/>
      <c r="RUE1680" s="2477"/>
      <c r="RUF1680" s="2477"/>
      <c r="RUG1680" s="2477"/>
      <c r="RUH1680" s="2477"/>
      <c r="RUI1680" s="2477"/>
      <c r="RUJ1680" s="2477"/>
      <c r="RUK1680" s="2477"/>
      <c r="RUL1680" s="2477"/>
      <c r="RUM1680" s="2477"/>
      <c r="RUN1680" s="2477"/>
      <c r="RUO1680" s="2477"/>
      <c r="RUP1680" s="2477"/>
      <c r="RUQ1680" s="2477"/>
      <c r="RUR1680" s="2477"/>
      <c r="RUS1680" s="2477"/>
      <c r="RUT1680" s="2477"/>
      <c r="RUU1680" s="2477"/>
      <c r="RUV1680" s="2477"/>
      <c r="RUW1680" s="2477"/>
      <c r="RUX1680" s="2477"/>
      <c r="RUY1680" s="2477"/>
      <c r="RUZ1680" s="2477"/>
      <c r="RVA1680" s="2477"/>
      <c r="RVB1680" s="2477"/>
      <c r="RVC1680" s="2477"/>
      <c r="RVD1680" s="2477"/>
      <c r="RVE1680" s="2477"/>
      <c r="RVF1680" s="2477"/>
      <c r="RVG1680" s="2477"/>
      <c r="RVH1680" s="2477"/>
      <c r="RVI1680" s="2477"/>
      <c r="RVJ1680" s="2477"/>
      <c r="RVK1680" s="2477"/>
      <c r="RVL1680" s="2477"/>
      <c r="RVM1680" s="2477"/>
      <c r="RVN1680" s="2477"/>
      <c r="RVO1680" s="2477"/>
      <c r="RVP1680" s="2477"/>
      <c r="RVQ1680" s="2477"/>
      <c r="RVR1680" s="2477"/>
      <c r="RVS1680" s="2477"/>
      <c r="RVT1680" s="2477"/>
      <c r="RVU1680" s="2477"/>
      <c r="RVV1680" s="2477"/>
      <c r="RVW1680" s="2477"/>
      <c r="RVX1680" s="2477"/>
      <c r="RVY1680" s="2477"/>
      <c r="RVZ1680" s="2477"/>
      <c r="RWA1680" s="2477"/>
      <c r="RWB1680" s="2477"/>
      <c r="RWC1680" s="2477"/>
      <c r="RWD1680" s="2477"/>
      <c r="RWE1680" s="2477"/>
      <c r="RWF1680" s="2477"/>
      <c r="RWG1680" s="2477"/>
      <c r="RWH1680" s="2477"/>
      <c r="RWI1680" s="2477"/>
      <c r="RWJ1680" s="2477"/>
      <c r="RWK1680" s="2477"/>
      <c r="RWL1680" s="2477"/>
      <c r="RWM1680" s="2477"/>
      <c r="RWN1680" s="2477"/>
      <c r="RWO1680" s="2477"/>
      <c r="RWP1680" s="2477"/>
      <c r="RWQ1680" s="2477"/>
      <c r="RWR1680" s="2477"/>
      <c r="RWS1680" s="2477"/>
      <c r="RWT1680" s="2477"/>
      <c r="RWU1680" s="2477"/>
      <c r="RWV1680" s="2477"/>
      <c r="RWW1680" s="2477"/>
      <c r="RWX1680" s="2477"/>
      <c r="RWY1680" s="2477"/>
      <c r="RWZ1680" s="2477"/>
      <c r="RXA1680" s="2477"/>
      <c r="RXB1680" s="2477"/>
      <c r="RXC1680" s="2477"/>
      <c r="RXD1680" s="2477"/>
      <c r="RXE1680" s="2477"/>
      <c r="RXF1680" s="2477"/>
      <c r="RXG1680" s="2477"/>
      <c r="RXH1680" s="2477"/>
      <c r="RXI1680" s="2477"/>
      <c r="RXJ1680" s="2477"/>
      <c r="RXK1680" s="2477"/>
      <c r="RXL1680" s="2477"/>
      <c r="RXM1680" s="2477"/>
      <c r="RXN1680" s="2477"/>
      <c r="RXO1680" s="2477"/>
      <c r="RXP1680" s="2477"/>
      <c r="RXQ1680" s="2477"/>
      <c r="RXR1680" s="2477"/>
      <c r="RXS1680" s="2477"/>
      <c r="RXT1680" s="2477"/>
      <c r="RXU1680" s="2477"/>
      <c r="RXV1680" s="2477"/>
      <c r="RXW1680" s="2477"/>
      <c r="RXX1680" s="2477"/>
      <c r="RXY1680" s="2477"/>
      <c r="RXZ1680" s="2477"/>
      <c r="RYA1680" s="2477"/>
      <c r="RYB1680" s="2477"/>
      <c r="RYC1680" s="2477"/>
      <c r="RYD1680" s="2477"/>
      <c r="RYE1680" s="2477"/>
      <c r="RYF1680" s="2477"/>
      <c r="RYG1680" s="2477"/>
      <c r="RYH1680" s="2477"/>
      <c r="RYI1680" s="2477"/>
      <c r="RYJ1680" s="2477"/>
      <c r="RYK1680" s="2477"/>
      <c r="RYL1680" s="2477"/>
      <c r="RYM1680" s="2477"/>
      <c r="RYN1680" s="2477"/>
      <c r="RYO1680" s="2477"/>
      <c r="RYP1680" s="2477"/>
      <c r="RYQ1680" s="2477"/>
      <c r="RYR1680" s="2477"/>
      <c r="RYS1680" s="2477"/>
      <c r="RYT1680" s="2477"/>
      <c r="RYU1680" s="2477"/>
      <c r="RYV1680" s="2477"/>
      <c r="RYW1680" s="2477"/>
      <c r="RYX1680" s="2477"/>
      <c r="RYY1680" s="2477"/>
      <c r="RYZ1680" s="2477"/>
      <c r="RZA1680" s="2477"/>
      <c r="RZB1680" s="2477"/>
      <c r="RZC1680" s="2477"/>
      <c r="RZD1680" s="2477"/>
      <c r="RZE1680" s="2477"/>
      <c r="RZF1680" s="2477"/>
      <c r="RZG1680" s="2477"/>
      <c r="RZH1680" s="2477"/>
      <c r="RZI1680" s="2477"/>
      <c r="RZJ1680" s="2477"/>
      <c r="RZK1680" s="2477"/>
      <c r="RZL1680" s="2477"/>
      <c r="RZM1680" s="2477"/>
      <c r="RZN1680" s="2477"/>
      <c r="RZO1680" s="2477"/>
      <c r="RZP1680" s="2477"/>
      <c r="RZQ1680" s="2477"/>
      <c r="RZR1680" s="2477"/>
      <c r="RZS1680" s="2477"/>
      <c r="RZT1680" s="2477"/>
      <c r="RZU1680" s="2477"/>
      <c r="RZV1680" s="2477"/>
      <c r="RZW1680" s="2477"/>
      <c r="RZX1680" s="2477"/>
      <c r="RZY1680" s="2477"/>
      <c r="RZZ1680" s="2477"/>
      <c r="SAA1680" s="2477"/>
      <c r="SAB1680" s="2477"/>
      <c r="SAC1680" s="2477"/>
      <c r="SAD1680" s="2477"/>
      <c r="SAE1680" s="2477"/>
      <c r="SAF1680" s="2477"/>
      <c r="SAG1680" s="2477"/>
      <c r="SAH1680" s="2477"/>
      <c r="SAI1680" s="2477"/>
      <c r="SAJ1680" s="2477"/>
      <c r="SAK1680" s="2477"/>
      <c r="SAL1680" s="2477"/>
      <c r="SAM1680" s="2477"/>
      <c r="SAN1680" s="2477"/>
      <c r="SAO1680" s="2477"/>
      <c r="SAP1680" s="2477"/>
      <c r="SAQ1680" s="2477"/>
      <c r="SAR1680" s="2477"/>
      <c r="SAS1680" s="2477"/>
      <c r="SAT1680" s="2477"/>
      <c r="SAU1680" s="2477"/>
      <c r="SAV1680" s="2477"/>
      <c r="SAW1680" s="2477"/>
      <c r="SAX1680" s="2477"/>
      <c r="SAY1680" s="2477"/>
      <c r="SAZ1680" s="2477"/>
      <c r="SBA1680" s="2477"/>
      <c r="SBB1680" s="2477"/>
      <c r="SBC1680" s="2477"/>
      <c r="SBD1680" s="2477"/>
      <c r="SBE1680" s="2477"/>
      <c r="SBF1680" s="2477"/>
      <c r="SBG1680" s="2477"/>
      <c r="SBH1680" s="2477"/>
      <c r="SBI1680" s="2477"/>
      <c r="SBJ1680" s="2477"/>
      <c r="SBK1680" s="2477"/>
      <c r="SBL1680" s="2477"/>
      <c r="SBM1680" s="2477"/>
      <c r="SBN1680" s="2477"/>
      <c r="SBO1680" s="2477"/>
      <c r="SBP1680" s="2477"/>
      <c r="SBQ1680" s="2477"/>
      <c r="SBR1680" s="2477"/>
      <c r="SBS1680" s="2477"/>
      <c r="SBT1680" s="2477"/>
      <c r="SBU1680" s="2477"/>
      <c r="SBV1680" s="2477"/>
      <c r="SBW1680" s="2477"/>
      <c r="SBX1680" s="2477"/>
      <c r="SBY1680" s="2477"/>
      <c r="SBZ1680" s="2477"/>
      <c r="SCA1680" s="2477"/>
      <c r="SCB1680" s="2477"/>
      <c r="SCC1680" s="2477"/>
      <c r="SCD1680" s="2477"/>
      <c r="SCE1680" s="2477"/>
      <c r="SCF1680" s="2477"/>
      <c r="SCG1680" s="2477"/>
      <c r="SCH1680" s="2477"/>
      <c r="SCI1680" s="2477"/>
      <c r="SCJ1680" s="2477"/>
      <c r="SCK1680" s="2477"/>
      <c r="SCL1680" s="2477"/>
      <c r="SCM1680" s="2477"/>
      <c r="SCN1680" s="2477"/>
      <c r="SCO1680" s="2477"/>
      <c r="SCP1680" s="2477"/>
      <c r="SCQ1680" s="2477"/>
      <c r="SCR1680" s="2477"/>
      <c r="SCS1680" s="2477"/>
      <c r="SCT1680" s="2477"/>
      <c r="SCU1680" s="2477"/>
      <c r="SCV1680" s="2477"/>
      <c r="SCW1680" s="2477"/>
      <c r="SCX1680" s="2477"/>
      <c r="SCY1680" s="2477"/>
      <c r="SCZ1680" s="2477"/>
      <c r="SDA1680" s="2477"/>
      <c r="SDB1680" s="2477"/>
      <c r="SDC1680" s="2477"/>
      <c r="SDD1680" s="2477"/>
      <c r="SDE1680" s="2477"/>
      <c r="SDF1680" s="2477"/>
      <c r="SDG1680" s="2477"/>
      <c r="SDH1680" s="2477"/>
      <c r="SDI1680" s="2477"/>
      <c r="SDJ1680" s="2477"/>
      <c r="SDK1680" s="2477"/>
      <c r="SDL1680" s="2477"/>
      <c r="SDM1680" s="2477"/>
      <c r="SDN1680" s="2477"/>
      <c r="SDO1680" s="2477"/>
      <c r="SDP1680" s="2477"/>
      <c r="SDQ1680" s="2477"/>
      <c r="SDR1680" s="2477"/>
      <c r="SDS1680" s="2477"/>
      <c r="SDT1680" s="2477"/>
      <c r="SDU1680" s="2477"/>
      <c r="SDV1680" s="2477"/>
      <c r="SDW1680" s="2477"/>
      <c r="SDX1680" s="2477"/>
      <c r="SDY1680" s="2477"/>
      <c r="SDZ1680" s="2477"/>
      <c r="SEA1680" s="2477"/>
      <c r="SEB1680" s="2477"/>
      <c r="SEC1680" s="2477"/>
      <c r="SED1680" s="2477"/>
      <c r="SEE1680" s="2477"/>
      <c r="SEF1680" s="2477"/>
      <c r="SEG1680" s="2477"/>
      <c r="SEH1680" s="2477"/>
      <c r="SEI1680" s="2477"/>
      <c r="SEJ1680" s="2477"/>
      <c r="SEK1680" s="2477"/>
      <c r="SEL1680" s="2477"/>
      <c r="SEM1680" s="2477"/>
      <c r="SEN1680" s="2477"/>
      <c r="SEO1680" s="2477"/>
      <c r="SEP1680" s="2477"/>
      <c r="SEQ1680" s="2477"/>
      <c r="SER1680" s="2477"/>
      <c r="SES1680" s="2477"/>
      <c r="SET1680" s="2477"/>
      <c r="SEU1680" s="2477"/>
      <c r="SEV1680" s="2477"/>
      <c r="SEW1680" s="2477"/>
      <c r="SEX1680" s="2477"/>
      <c r="SEY1680" s="2477"/>
      <c r="SEZ1680" s="2477"/>
      <c r="SFA1680" s="2477"/>
      <c r="SFB1680" s="2477"/>
      <c r="SFC1680" s="2477"/>
      <c r="SFD1680" s="2477"/>
      <c r="SFE1680" s="2477"/>
      <c r="SFF1680" s="2477"/>
      <c r="SFG1680" s="2477"/>
      <c r="SFH1680" s="2477"/>
      <c r="SFI1680" s="2477"/>
      <c r="SFJ1680" s="2477"/>
      <c r="SFK1680" s="2477"/>
      <c r="SFL1680" s="2477"/>
      <c r="SFM1680" s="2477"/>
      <c r="SFN1680" s="2477"/>
      <c r="SFO1680" s="2477"/>
      <c r="SFP1680" s="2477"/>
      <c r="SFQ1680" s="2477"/>
      <c r="SFR1680" s="2477"/>
      <c r="SFS1680" s="2477"/>
      <c r="SFT1680" s="2477"/>
      <c r="SFU1680" s="2477"/>
      <c r="SFV1680" s="2477"/>
      <c r="SFW1680" s="2477"/>
      <c r="SFX1680" s="2477"/>
      <c r="SFY1680" s="2477"/>
      <c r="SFZ1680" s="2477"/>
      <c r="SGA1680" s="2477"/>
      <c r="SGB1680" s="2477"/>
      <c r="SGC1680" s="2477"/>
      <c r="SGD1680" s="2477"/>
      <c r="SGE1680" s="2477"/>
      <c r="SGF1680" s="2477"/>
      <c r="SGG1680" s="2477"/>
      <c r="SGH1680" s="2477"/>
      <c r="SGI1680" s="2477"/>
      <c r="SGJ1680" s="2477"/>
      <c r="SGK1680" s="2477"/>
      <c r="SGL1680" s="2477"/>
      <c r="SGM1680" s="2477"/>
      <c r="SGN1680" s="2477"/>
      <c r="SGO1680" s="2477"/>
      <c r="SGP1680" s="2477"/>
      <c r="SGQ1680" s="2477"/>
      <c r="SGR1680" s="2477"/>
      <c r="SGS1680" s="2477"/>
      <c r="SGT1680" s="2477"/>
      <c r="SGU1680" s="2477"/>
      <c r="SGV1680" s="2477"/>
      <c r="SGW1680" s="2477"/>
      <c r="SGX1680" s="2477"/>
      <c r="SGY1680" s="2477"/>
      <c r="SGZ1680" s="2477"/>
      <c r="SHA1680" s="2477"/>
      <c r="SHB1680" s="2477"/>
      <c r="SHC1680" s="2477"/>
      <c r="SHD1680" s="2477"/>
      <c r="SHE1680" s="2477"/>
      <c r="SHF1680" s="2477"/>
      <c r="SHG1680" s="2477"/>
      <c r="SHH1680" s="2477"/>
      <c r="SHI1680" s="2477"/>
      <c r="SHJ1680" s="2477"/>
      <c r="SHK1680" s="2477"/>
      <c r="SHL1680" s="2477"/>
      <c r="SHM1680" s="2477"/>
      <c r="SHN1680" s="2477"/>
      <c r="SHO1680" s="2477"/>
      <c r="SHP1680" s="2477"/>
      <c r="SHQ1680" s="2477"/>
      <c r="SHR1680" s="2477"/>
      <c r="SHS1680" s="2477"/>
      <c r="SHT1680" s="2477"/>
      <c r="SHU1680" s="2477"/>
      <c r="SHV1680" s="2477"/>
      <c r="SHW1680" s="2477"/>
      <c r="SHX1680" s="2477"/>
      <c r="SHY1680" s="2477"/>
      <c r="SHZ1680" s="2477"/>
      <c r="SIA1680" s="2477"/>
      <c r="SIB1680" s="2477"/>
      <c r="SIC1680" s="2477"/>
      <c r="SID1680" s="2477"/>
      <c r="SIE1680" s="2477"/>
      <c r="SIF1680" s="2477"/>
      <c r="SIG1680" s="2477"/>
      <c r="SIH1680" s="2477"/>
      <c r="SII1680" s="2477"/>
      <c r="SIJ1680" s="2477"/>
      <c r="SIK1680" s="2477"/>
      <c r="SIL1680" s="2477"/>
      <c r="SIM1680" s="2477"/>
      <c r="SIN1680" s="2477"/>
      <c r="SIO1680" s="2477"/>
      <c r="SIP1680" s="2477"/>
      <c r="SIQ1680" s="2477"/>
      <c r="SIR1680" s="2477"/>
      <c r="SIS1680" s="2477"/>
      <c r="SIT1680" s="2477"/>
      <c r="SIU1680" s="2477"/>
      <c r="SIV1680" s="2477"/>
      <c r="SIW1680" s="2477"/>
      <c r="SIX1680" s="2477"/>
      <c r="SIY1680" s="2477"/>
      <c r="SIZ1680" s="2477"/>
      <c r="SJA1680" s="2477"/>
      <c r="SJB1680" s="2477"/>
      <c r="SJC1680" s="2477"/>
      <c r="SJD1680" s="2477"/>
      <c r="SJE1680" s="2477"/>
      <c r="SJF1680" s="2477"/>
      <c r="SJG1680" s="2477"/>
      <c r="SJH1680" s="2477"/>
      <c r="SJI1680" s="2477"/>
      <c r="SJJ1680" s="2477"/>
      <c r="SJK1680" s="2477"/>
      <c r="SJL1680" s="2477"/>
      <c r="SJM1680" s="2477"/>
      <c r="SJN1680" s="2477"/>
      <c r="SJO1680" s="2477"/>
      <c r="SJP1680" s="2477"/>
      <c r="SJQ1680" s="2477"/>
      <c r="SJR1680" s="2477"/>
      <c r="SJS1680" s="2477"/>
      <c r="SJT1680" s="2477"/>
      <c r="SJU1680" s="2477"/>
      <c r="SJV1680" s="2477"/>
      <c r="SJW1680" s="2477"/>
      <c r="SJX1680" s="2477"/>
      <c r="SJY1680" s="2477"/>
      <c r="SJZ1680" s="2477"/>
      <c r="SKA1680" s="2477"/>
      <c r="SKB1680" s="2477"/>
      <c r="SKC1680" s="2477"/>
      <c r="SKD1680" s="2477"/>
      <c r="SKE1680" s="2477"/>
      <c r="SKF1680" s="2477"/>
      <c r="SKG1680" s="2477"/>
      <c r="SKH1680" s="2477"/>
      <c r="SKI1680" s="2477"/>
      <c r="SKJ1680" s="2477"/>
      <c r="SKK1680" s="2477"/>
      <c r="SKL1680" s="2477"/>
      <c r="SKM1680" s="2477"/>
      <c r="SKN1680" s="2477"/>
      <c r="SKO1680" s="2477"/>
      <c r="SKP1680" s="2477"/>
      <c r="SKQ1680" s="2477"/>
      <c r="SKR1680" s="2477"/>
      <c r="SKS1680" s="2477"/>
      <c r="SKT1680" s="2477"/>
      <c r="SKU1680" s="2477"/>
      <c r="SKV1680" s="2477"/>
      <c r="SKW1680" s="2477"/>
      <c r="SKX1680" s="2477"/>
      <c r="SKY1680" s="2477"/>
      <c r="SKZ1680" s="2477"/>
      <c r="SLA1680" s="2477"/>
      <c r="SLB1680" s="2477"/>
      <c r="SLC1680" s="2477"/>
      <c r="SLD1680" s="2477"/>
      <c r="SLE1680" s="2477"/>
      <c r="SLF1680" s="2477"/>
      <c r="SLG1680" s="2477"/>
      <c r="SLH1680" s="2477"/>
      <c r="SLI1680" s="2477"/>
      <c r="SLJ1680" s="2477"/>
      <c r="SLK1680" s="2477"/>
      <c r="SLL1680" s="2477"/>
      <c r="SLM1680" s="2477"/>
      <c r="SLN1680" s="2477"/>
      <c r="SLO1680" s="2477"/>
      <c r="SLP1680" s="2477"/>
      <c r="SLQ1680" s="2477"/>
      <c r="SLR1680" s="2477"/>
      <c r="SLS1680" s="2477"/>
      <c r="SLT1680" s="2477"/>
      <c r="SLU1680" s="2477"/>
      <c r="SLV1680" s="2477"/>
      <c r="SLW1680" s="2477"/>
      <c r="SLX1680" s="2477"/>
      <c r="SLY1680" s="2477"/>
      <c r="SLZ1680" s="2477"/>
      <c r="SMA1680" s="2477"/>
      <c r="SMB1680" s="2477"/>
      <c r="SMC1680" s="2477"/>
      <c r="SMD1680" s="2477"/>
      <c r="SME1680" s="2477"/>
      <c r="SMF1680" s="2477"/>
      <c r="SMG1680" s="2477"/>
      <c r="SMH1680" s="2477"/>
      <c r="SMI1680" s="2477"/>
      <c r="SMJ1680" s="2477"/>
      <c r="SMK1680" s="2477"/>
      <c r="SML1680" s="2477"/>
      <c r="SMM1680" s="2477"/>
      <c r="SMN1680" s="2477"/>
      <c r="SMO1680" s="2477"/>
      <c r="SMP1680" s="2477"/>
      <c r="SMQ1680" s="2477"/>
      <c r="SMR1680" s="2477"/>
      <c r="SMS1680" s="2477"/>
      <c r="SMT1680" s="2477"/>
      <c r="SMU1680" s="2477"/>
      <c r="SMV1680" s="2477"/>
      <c r="SMW1680" s="2477"/>
      <c r="SMX1680" s="2477"/>
      <c r="SMY1680" s="2477"/>
      <c r="SMZ1680" s="2477"/>
      <c r="SNA1680" s="2477"/>
      <c r="SNB1680" s="2477"/>
      <c r="SNC1680" s="2477"/>
      <c r="SND1680" s="2477"/>
      <c r="SNE1680" s="2477"/>
      <c r="SNF1680" s="2477"/>
      <c r="SNG1680" s="2477"/>
      <c r="SNH1680" s="2477"/>
      <c r="SNI1680" s="2477"/>
      <c r="SNJ1680" s="2477"/>
      <c r="SNK1680" s="2477"/>
      <c r="SNL1680" s="2477"/>
      <c r="SNM1680" s="2477"/>
      <c r="SNN1680" s="2477"/>
      <c r="SNO1680" s="2477"/>
      <c r="SNP1680" s="2477"/>
      <c r="SNQ1680" s="2477"/>
      <c r="SNR1680" s="2477"/>
      <c r="SNS1680" s="2477"/>
      <c r="SNT1680" s="2477"/>
      <c r="SNU1680" s="2477"/>
      <c r="SNV1680" s="2477"/>
      <c r="SNW1680" s="2477"/>
      <c r="SNX1680" s="2477"/>
      <c r="SNY1680" s="2477"/>
      <c r="SNZ1680" s="2477"/>
      <c r="SOA1680" s="2477"/>
      <c r="SOB1680" s="2477"/>
      <c r="SOC1680" s="2477"/>
      <c r="SOD1680" s="2477"/>
      <c r="SOE1680" s="2477"/>
      <c r="SOF1680" s="2477"/>
      <c r="SOG1680" s="2477"/>
      <c r="SOH1680" s="2477"/>
      <c r="SOI1680" s="2477"/>
      <c r="SOJ1680" s="2477"/>
      <c r="SOK1680" s="2477"/>
      <c r="SOL1680" s="2477"/>
      <c r="SOM1680" s="2477"/>
      <c r="SON1680" s="2477"/>
      <c r="SOO1680" s="2477"/>
      <c r="SOP1680" s="2477"/>
      <c r="SOQ1680" s="2477"/>
      <c r="SOR1680" s="2477"/>
      <c r="SOS1680" s="2477"/>
      <c r="SOT1680" s="2477"/>
      <c r="SOU1680" s="2477"/>
      <c r="SOV1680" s="2477"/>
      <c r="SOW1680" s="2477"/>
      <c r="SOX1680" s="2477"/>
      <c r="SOY1680" s="2477"/>
      <c r="SOZ1680" s="2477"/>
      <c r="SPA1680" s="2477"/>
      <c r="SPB1680" s="2477"/>
      <c r="SPC1680" s="2477"/>
      <c r="SPD1680" s="2477"/>
      <c r="SPE1680" s="2477"/>
      <c r="SPF1680" s="2477"/>
      <c r="SPG1680" s="2477"/>
      <c r="SPH1680" s="2477"/>
      <c r="SPI1680" s="2477"/>
      <c r="SPJ1680" s="2477"/>
      <c r="SPK1680" s="2477"/>
      <c r="SPL1680" s="2477"/>
      <c r="SPM1680" s="2477"/>
      <c r="SPN1680" s="2477"/>
      <c r="SPO1680" s="2477"/>
      <c r="SPP1680" s="2477"/>
      <c r="SPQ1680" s="2477"/>
      <c r="SPR1680" s="2477"/>
      <c r="SPS1680" s="2477"/>
      <c r="SPT1680" s="2477"/>
      <c r="SPU1680" s="2477"/>
      <c r="SPV1680" s="2477"/>
      <c r="SPW1680" s="2477"/>
      <c r="SPX1680" s="2477"/>
      <c r="SPY1680" s="2477"/>
      <c r="SPZ1680" s="2477"/>
      <c r="SQA1680" s="2477"/>
      <c r="SQB1680" s="2477"/>
      <c r="SQC1680" s="2477"/>
      <c r="SQD1680" s="2477"/>
      <c r="SQE1680" s="2477"/>
      <c r="SQF1680" s="2477"/>
      <c r="SQG1680" s="2477"/>
      <c r="SQH1680" s="2477"/>
      <c r="SQI1680" s="2477"/>
      <c r="SQJ1680" s="2477"/>
      <c r="SQK1680" s="2477"/>
      <c r="SQL1680" s="2477"/>
      <c r="SQM1680" s="2477"/>
      <c r="SQN1680" s="2477"/>
      <c r="SQO1680" s="2477"/>
      <c r="SQP1680" s="2477"/>
      <c r="SQQ1680" s="2477"/>
      <c r="SQR1680" s="2477"/>
      <c r="SQS1680" s="2477"/>
      <c r="SQT1680" s="2477"/>
      <c r="SQU1680" s="2477"/>
      <c r="SQV1680" s="2477"/>
      <c r="SQW1680" s="2477"/>
      <c r="SQX1680" s="2477"/>
      <c r="SQY1680" s="2477"/>
      <c r="SQZ1680" s="2477"/>
      <c r="SRA1680" s="2477"/>
      <c r="SRB1680" s="2477"/>
      <c r="SRC1680" s="2477"/>
      <c r="SRD1680" s="2477"/>
      <c r="SRE1680" s="2477"/>
      <c r="SRF1680" s="2477"/>
      <c r="SRG1680" s="2477"/>
      <c r="SRH1680" s="2477"/>
      <c r="SRI1680" s="2477"/>
      <c r="SRJ1680" s="2477"/>
      <c r="SRK1680" s="2477"/>
      <c r="SRL1680" s="2477"/>
      <c r="SRM1680" s="2477"/>
      <c r="SRN1680" s="2477"/>
      <c r="SRO1680" s="2477"/>
      <c r="SRP1680" s="2477"/>
      <c r="SRQ1680" s="2477"/>
      <c r="SRR1680" s="2477"/>
      <c r="SRS1680" s="2477"/>
      <c r="SRT1680" s="2477"/>
      <c r="SRU1680" s="2477"/>
      <c r="SRV1680" s="2477"/>
      <c r="SRW1680" s="2477"/>
      <c r="SRX1680" s="2477"/>
      <c r="SRY1680" s="2477"/>
      <c r="SRZ1680" s="2477"/>
      <c r="SSA1680" s="2477"/>
      <c r="SSB1680" s="2477"/>
      <c r="SSC1680" s="2477"/>
      <c r="SSD1680" s="2477"/>
      <c r="SSE1680" s="2477"/>
      <c r="SSF1680" s="2477"/>
      <c r="SSG1680" s="2477"/>
      <c r="SSH1680" s="2477"/>
      <c r="SSI1680" s="2477"/>
      <c r="SSJ1680" s="2477"/>
      <c r="SSK1680" s="2477"/>
      <c r="SSL1680" s="2477"/>
      <c r="SSM1680" s="2477"/>
      <c r="SSN1680" s="2477"/>
      <c r="SSO1680" s="2477"/>
      <c r="SSP1680" s="2477"/>
      <c r="SSQ1680" s="2477"/>
      <c r="SSR1680" s="2477"/>
      <c r="SSS1680" s="2477"/>
      <c r="SST1680" s="2477"/>
      <c r="SSU1680" s="2477"/>
      <c r="SSV1680" s="2477"/>
      <c r="SSW1680" s="2477"/>
      <c r="SSX1680" s="2477"/>
      <c r="SSY1680" s="2477"/>
      <c r="SSZ1680" s="2477"/>
      <c r="STA1680" s="2477"/>
      <c r="STB1680" s="2477"/>
      <c r="STC1680" s="2477"/>
      <c r="STD1680" s="2477"/>
      <c r="STE1680" s="2477"/>
      <c r="STF1680" s="2477"/>
      <c r="STG1680" s="2477"/>
      <c r="STH1680" s="2477"/>
      <c r="STI1680" s="2477"/>
      <c r="STJ1680" s="2477"/>
      <c r="STK1680" s="2477"/>
      <c r="STL1680" s="2477"/>
      <c r="STM1680" s="2477"/>
      <c r="STN1680" s="2477"/>
      <c r="STO1680" s="2477"/>
      <c r="STP1680" s="2477"/>
      <c r="STQ1680" s="2477"/>
      <c r="STR1680" s="2477"/>
      <c r="STS1680" s="2477"/>
      <c r="STT1680" s="2477"/>
      <c r="STU1680" s="2477"/>
      <c r="STV1680" s="2477"/>
      <c r="STW1680" s="2477"/>
      <c r="STX1680" s="2477"/>
      <c r="STY1680" s="2477"/>
      <c r="STZ1680" s="2477"/>
      <c r="SUA1680" s="2477"/>
      <c r="SUB1680" s="2477"/>
      <c r="SUC1680" s="2477"/>
      <c r="SUD1680" s="2477"/>
      <c r="SUE1680" s="2477"/>
      <c r="SUF1680" s="2477"/>
      <c r="SUG1680" s="2477"/>
      <c r="SUH1680" s="2477"/>
      <c r="SUI1680" s="2477"/>
      <c r="SUJ1680" s="2477"/>
      <c r="SUK1680" s="2477"/>
      <c r="SUL1680" s="2477"/>
      <c r="SUM1680" s="2477"/>
      <c r="SUN1680" s="2477"/>
      <c r="SUO1680" s="2477"/>
      <c r="SUP1680" s="2477"/>
      <c r="SUQ1680" s="2477"/>
      <c r="SUR1680" s="2477"/>
      <c r="SUS1680" s="2477"/>
      <c r="SUT1680" s="2477"/>
      <c r="SUU1680" s="2477"/>
      <c r="SUV1680" s="2477"/>
      <c r="SUW1680" s="2477"/>
      <c r="SUX1680" s="2477"/>
      <c r="SUY1680" s="2477"/>
      <c r="SUZ1680" s="2477"/>
      <c r="SVA1680" s="2477"/>
      <c r="SVB1680" s="2477"/>
      <c r="SVC1680" s="2477"/>
      <c r="SVD1680" s="2477"/>
      <c r="SVE1680" s="2477"/>
      <c r="SVF1680" s="2477"/>
      <c r="SVG1680" s="2477"/>
      <c r="SVH1680" s="2477"/>
      <c r="SVI1680" s="2477"/>
      <c r="SVJ1680" s="2477"/>
      <c r="SVK1680" s="2477"/>
      <c r="SVL1680" s="2477"/>
      <c r="SVM1680" s="2477"/>
      <c r="SVN1680" s="2477"/>
      <c r="SVO1680" s="2477"/>
      <c r="SVP1680" s="2477"/>
      <c r="SVQ1680" s="2477"/>
      <c r="SVR1680" s="2477"/>
      <c r="SVS1680" s="2477"/>
      <c r="SVT1680" s="2477"/>
      <c r="SVU1680" s="2477"/>
      <c r="SVV1680" s="2477"/>
      <c r="SVW1680" s="2477"/>
      <c r="SVX1680" s="2477"/>
      <c r="SVY1680" s="2477"/>
      <c r="SVZ1680" s="2477"/>
      <c r="SWA1680" s="2477"/>
      <c r="SWB1680" s="2477"/>
      <c r="SWC1680" s="2477"/>
      <c r="SWD1680" s="2477"/>
      <c r="SWE1680" s="2477"/>
      <c r="SWF1680" s="2477"/>
      <c r="SWG1680" s="2477"/>
      <c r="SWH1680" s="2477"/>
      <c r="SWI1680" s="2477"/>
      <c r="SWJ1680" s="2477"/>
      <c r="SWK1680" s="2477"/>
      <c r="SWL1680" s="2477"/>
      <c r="SWM1680" s="2477"/>
      <c r="SWN1680" s="2477"/>
      <c r="SWO1680" s="2477"/>
      <c r="SWP1680" s="2477"/>
      <c r="SWQ1680" s="2477"/>
      <c r="SWR1680" s="2477"/>
      <c r="SWS1680" s="2477"/>
      <c r="SWT1680" s="2477"/>
      <c r="SWU1680" s="2477"/>
      <c r="SWV1680" s="2477"/>
      <c r="SWW1680" s="2477"/>
      <c r="SWX1680" s="2477"/>
      <c r="SWY1680" s="2477"/>
      <c r="SWZ1680" s="2477"/>
      <c r="SXA1680" s="2477"/>
      <c r="SXB1680" s="2477"/>
      <c r="SXC1680" s="2477"/>
      <c r="SXD1680" s="2477"/>
      <c r="SXE1680" s="2477"/>
      <c r="SXF1680" s="2477"/>
      <c r="SXG1680" s="2477"/>
      <c r="SXH1680" s="2477"/>
      <c r="SXI1680" s="2477"/>
      <c r="SXJ1680" s="2477"/>
      <c r="SXK1680" s="2477"/>
      <c r="SXL1680" s="2477"/>
      <c r="SXM1680" s="2477"/>
      <c r="SXN1680" s="2477"/>
      <c r="SXO1680" s="2477"/>
      <c r="SXP1680" s="2477"/>
      <c r="SXQ1680" s="2477"/>
      <c r="SXR1680" s="2477"/>
      <c r="SXS1680" s="2477"/>
      <c r="SXT1680" s="2477"/>
      <c r="SXU1680" s="2477"/>
      <c r="SXV1680" s="2477"/>
      <c r="SXW1680" s="2477"/>
      <c r="SXX1680" s="2477"/>
      <c r="SXY1680" s="2477"/>
      <c r="SXZ1680" s="2477"/>
      <c r="SYA1680" s="2477"/>
      <c r="SYB1680" s="2477"/>
      <c r="SYC1680" s="2477"/>
      <c r="SYD1680" s="2477"/>
      <c r="SYE1680" s="2477"/>
      <c r="SYF1680" s="2477"/>
      <c r="SYG1680" s="2477"/>
      <c r="SYH1680" s="2477"/>
      <c r="SYI1680" s="2477"/>
      <c r="SYJ1680" s="2477"/>
      <c r="SYK1680" s="2477"/>
      <c r="SYL1680" s="2477"/>
      <c r="SYM1680" s="2477"/>
      <c r="SYN1680" s="2477"/>
      <c r="SYO1680" s="2477"/>
      <c r="SYP1680" s="2477"/>
      <c r="SYQ1680" s="2477"/>
      <c r="SYR1680" s="2477"/>
      <c r="SYS1680" s="2477"/>
      <c r="SYT1680" s="2477"/>
      <c r="SYU1680" s="2477"/>
      <c r="SYV1680" s="2477"/>
      <c r="SYW1680" s="2477"/>
      <c r="SYX1680" s="2477"/>
      <c r="SYY1680" s="2477"/>
      <c r="SYZ1680" s="2477"/>
      <c r="SZA1680" s="2477"/>
      <c r="SZB1680" s="2477"/>
      <c r="SZC1680" s="2477"/>
      <c r="SZD1680" s="2477"/>
      <c r="SZE1680" s="2477"/>
      <c r="SZF1680" s="2477"/>
      <c r="SZG1680" s="2477"/>
      <c r="SZH1680" s="2477"/>
      <c r="SZI1680" s="2477"/>
      <c r="SZJ1680" s="2477"/>
      <c r="SZK1680" s="2477"/>
      <c r="SZL1680" s="2477"/>
      <c r="SZM1680" s="2477"/>
      <c r="SZN1680" s="2477"/>
      <c r="SZO1680" s="2477"/>
      <c r="SZP1680" s="2477"/>
      <c r="SZQ1680" s="2477"/>
      <c r="SZR1680" s="2477"/>
      <c r="SZS1680" s="2477"/>
      <c r="SZT1680" s="2477"/>
      <c r="SZU1680" s="2477"/>
      <c r="SZV1680" s="2477"/>
      <c r="SZW1680" s="2477"/>
      <c r="SZX1680" s="2477"/>
      <c r="SZY1680" s="2477"/>
      <c r="SZZ1680" s="2477"/>
      <c r="TAA1680" s="2477"/>
      <c r="TAB1680" s="2477"/>
      <c r="TAC1680" s="2477"/>
      <c r="TAD1680" s="2477"/>
      <c r="TAE1680" s="2477"/>
      <c r="TAF1680" s="2477"/>
      <c r="TAG1680" s="2477"/>
      <c r="TAH1680" s="2477"/>
      <c r="TAI1680" s="2477"/>
      <c r="TAJ1680" s="2477"/>
      <c r="TAK1680" s="2477"/>
      <c r="TAL1680" s="2477"/>
      <c r="TAM1680" s="2477"/>
      <c r="TAN1680" s="2477"/>
      <c r="TAO1680" s="2477"/>
      <c r="TAP1680" s="2477"/>
      <c r="TAQ1680" s="2477"/>
      <c r="TAR1680" s="2477"/>
      <c r="TAS1680" s="2477"/>
      <c r="TAT1680" s="2477"/>
      <c r="TAU1680" s="2477"/>
      <c r="TAV1680" s="2477"/>
      <c r="TAW1680" s="2477"/>
      <c r="TAX1680" s="2477"/>
      <c r="TAY1680" s="2477"/>
      <c r="TAZ1680" s="2477"/>
      <c r="TBA1680" s="2477"/>
      <c r="TBB1680" s="2477"/>
      <c r="TBC1680" s="2477"/>
      <c r="TBD1680" s="2477"/>
      <c r="TBE1680" s="2477"/>
      <c r="TBF1680" s="2477"/>
      <c r="TBG1680" s="2477"/>
      <c r="TBH1680" s="2477"/>
      <c r="TBI1680" s="2477"/>
      <c r="TBJ1680" s="2477"/>
      <c r="TBK1680" s="2477"/>
      <c r="TBL1680" s="2477"/>
      <c r="TBM1680" s="2477"/>
      <c r="TBN1680" s="2477"/>
      <c r="TBO1680" s="2477"/>
      <c r="TBP1680" s="2477"/>
      <c r="TBQ1680" s="2477"/>
      <c r="TBR1680" s="2477"/>
      <c r="TBS1680" s="2477"/>
      <c r="TBT1680" s="2477"/>
      <c r="TBU1680" s="2477"/>
      <c r="TBV1680" s="2477"/>
      <c r="TBW1680" s="2477"/>
      <c r="TBX1680" s="2477"/>
      <c r="TBY1680" s="2477"/>
      <c r="TBZ1680" s="2477"/>
      <c r="TCA1680" s="2477"/>
      <c r="TCB1680" s="2477"/>
      <c r="TCC1680" s="2477"/>
      <c r="TCD1680" s="2477"/>
      <c r="TCE1680" s="2477"/>
      <c r="TCF1680" s="2477"/>
      <c r="TCG1680" s="2477"/>
      <c r="TCH1680" s="2477"/>
      <c r="TCI1680" s="2477"/>
      <c r="TCJ1680" s="2477"/>
      <c r="TCK1680" s="2477"/>
      <c r="TCL1680" s="2477"/>
      <c r="TCM1680" s="2477"/>
      <c r="TCN1680" s="2477"/>
      <c r="TCO1680" s="2477"/>
      <c r="TCP1680" s="2477"/>
      <c r="TCQ1680" s="2477"/>
      <c r="TCR1680" s="2477"/>
      <c r="TCS1680" s="2477"/>
      <c r="TCT1680" s="2477"/>
      <c r="TCU1680" s="2477"/>
      <c r="TCV1680" s="2477"/>
      <c r="TCW1680" s="2477"/>
      <c r="TCX1680" s="2477"/>
      <c r="TCY1680" s="2477"/>
      <c r="TCZ1680" s="2477"/>
      <c r="TDA1680" s="2477"/>
      <c r="TDB1680" s="2477"/>
      <c r="TDC1680" s="2477"/>
      <c r="TDD1680" s="2477"/>
      <c r="TDE1680" s="2477"/>
      <c r="TDF1680" s="2477"/>
      <c r="TDG1680" s="2477"/>
      <c r="TDH1680" s="2477"/>
      <c r="TDI1680" s="2477"/>
      <c r="TDJ1680" s="2477"/>
      <c r="TDK1680" s="2477"/>
      <c r="TDL1680" s="2477"/>
      <c r="TDM1680" s="2477"/>
      <c r="TDN1680" s="2477"/>
      <c r="TDO1680" s="2477"/>
      <c r="TDP1680" s="2477"/>
      <c r="TDQ1680" s="2477"/>
      <c r="TDR1680" s="2477"/>
      <c r="TDS1680" s="2477"/>
      <c r="TDT1680" s="2477"/>
      <c r="TDU1680" s="2477"/>
      <c r="TDV1680" s="2477"/>
      <c r="TDW1680" s="2477"/>
      <c r="TDX1680" s="2477"/>
      <c r="TDY1680" s="2477"/>
      <c r="TDZ1680" s="2477"/>
      <c r="TEA1680" s="2477"/>
      <c r="TEB1680" s="2477"/>
      <c r="TEC1680" s="2477"/>
      <c r="TED1680" s="2477"/>
      <c r="TEE1680" s="2477"/>
      <c r="TEF1680" s="2477"/>
      <c r="TEG1680" s="2477"/>
      <c r="TEH1680" s="2477"/>
      <c r="TEI1680" s="2477"/>
      <c r="TEJ1680" s="2477"/>
      <c r="TEK1680" s="2477"/>
      <c r="TEL1680" s="2477"/>
      <c r="TEM1680" s="2477"/>
      <c r="TEN1680" s="2477"/>
      <c r="TEO1680" s="2477"/>
      <c r="TEP1680" s="2477"/>
      <c r="TEQ1680" s="2477"/>
      <c r="TER1680" s="2477"/>
      <c r="TES1680" s="2477"/>
      <c r="TET1680" s="2477"/>
      <c r="TEU1680" s="2477"/>
      <c r="TEV1680" s="2477"/>
      <c r="TEW1680" s="2477"/>
      <c r="TEX1680" s="2477"/>
      <c r="TEY1680" s="2477"/>
      <c r="TEZ1680" s="2477"/>
      <c r="TFA1680" s="2477"/>
      <c r="TFB1680" s="2477"/>
      <c r="TFC1680" s="2477"/>
      <c r="TFD1680" s="2477"/>
      <c r="TFE1680" s="2477"/>
      <c r="TFF1680" s="2477"/>
      <c r="TFG1680" s="2477"/>
      <c r="TFH1680" s="2477"/>
      <c r="TFI1680" s="2477"/>
      <c r="TFJ1680" s="2477"/>
      <c r="TFK1680" s="2477"/>
      <c r="TFL1680" s="2477"/>
      <c r="TFM1680" s="2477"/>
      <c r="TFN1680" s="2477"/>
      <c r="TFO1680" s="2477"/>
      <c r="TFP1680" s="2477"/>
      <c r="TFQ1680" s="2477"/>
      <c r="TFR1680" s="2477"/>
      <c r="TFS1680" s="2477"/>
      <c r="TFT1680" s="2477"/>
      <c r="TFU1680" s="2477"/>
      <c r="TFV1680" s="2477"/>
      <c r="TFW1680" s="2477"/>
      <c r="TFX1680" s="2477"/>
      <c r="TFY1680" s="2477"/>
      <c r="TFZ1680" s="2477"/>
      <c r="TGA1680" s="2477"/>
      <c r="TGB1680" s="2477"/>
      <c r="TGC1680" s="2477"/>
      <c r="TGD1680" s="2477"/>
      <c r="TGE1680" s="2477"/>
      <c r="TGF1680" s="2477"/>
      <c r="TGG1680" s="2477"/>
      <c r="TGH1680" s="2477"/>
      <c r="TGI1680" s="2477"/>
      <c r="TGJ1680" s="2477"/>
      <c r="TGK1680" s="2477"/>
      <c r="TGL1680" s="2477"/>
      <c r="TGM1680" s="2477"/>
      <c r="TGN1680" s="2477"/>
      <c r="TGO1680" s="2477"/>
      <c r="TGP1680" s="2477"/>
      <c r="TGQ1680" s="2477"/>
      <c r="TGR1680" s="2477"/>
      <c r="TGS1680" s="2477"/>
      <c r="TGT1680" s="2477"/>
      <c r="TGU1680" s="2477"/>
      <c r="TGV1680" s="2477"/>
      <c r="TGW1680" s="2477"/>
      <c r="TGX1680" s="2477"/>
      <c r="TGY1680" s="2477"/>
      <c r="TGZ1680" s="2477"/>
      <c r="THA1680" s="2477"/>
      <c r="THB1680" s="2477"/>
      <c r="THC1680" s="2477"/>
      <c r="THD1680" s="2477"/>
      <c r="THE1680" s="2477"/>
      <c r="THF1680" s="2477"/>
      <c r="THG1680" s="2477"/>
      <c r="THH1680" s="2477"/>
      <c r="THI1680" s="2477"/>
      <c r="THJ1680" s="2477"/>
      <c r="THK1680" s="2477"/>
      <c r="THL1680" s="2477"/>
      <c r="THM1680" s="2477"/>
      <c r="THN1680" s="2477"/>
      <c r="THO1680" s="2477"/>
      <c r="THP1680" s="2477"/>
      <c r="THQ1680" s="2477"/>
      <c r="THR1680" s="2477"/>
      <c r="THS1680" s="2477"/>
      <c r="THT1680" s="2477"/>
      <c r="THU1680" s="2477"/>
      <c r="THV1680" s="2477"/>
      <c r="THW1680" s="2477"/>
      <c r="THX1680" s="2477"/>
      <c r="THY1680" s="2477"/>
      <c r="THZ1680" s="2477"/>
      <c r="TIA1680" s="2477"/>
      <c r="TIB1680" s="2477"/>
      <c r="TIC1680" s="2477"/>
      <c r="TID1680" s="2477"/>
      <c r="TIE1680" s="2477"/>
      <c r="TIF1680" s="2477"/>
      <c r="TIG1680" s="2477"/>
      <c r="TIH1680" s="2477"/>
      <c r="TII1680" s="2477"/>
      <c r="TIJ1680" s="2477"/>
      <c r="TIK1680" s="2477"/>
      <c r="TIL1680" s="2477"/>
      <c r="TIM1680" s="2477"/>
      <c r="TIN1680" s="2477"/>
      <c r="TIO1680" s="2477"/>
      <c r="TIP1680" s="2477"/>
      <c r="TIQ1680" s="2477"/>
      <c r="TIR1680" s="2477"/>
      <c r="TIS1680" s="2477"/>
      <c r="TIT1680" s="2477"/>
      <c r="TIU1680" s="2477"/>
      <c r="TIV1680" s="2477"/>
      <c r="TIW1680" s="2477"/>
      <c r="TIX1680" s="2477"/>
      <c r="TIY1680" s="2477"/>
      <c r="TIZ1680" s="2477"/>
      <c r="TJA1680" s="2477"/>
      <c r="TJB1680" s="2477"/>
      <c r="TJC1680" s="2477"/>
      <c r="TJD1680" s="2477"/>
      <c r="TJE1680" s="2477"/>
      <c r="TJF1680" s="2477"/>
      <c r="TJG1680" s="2477"/>
      <c r="TJH1680" s="2477"/>
      <c r="TJI1680" s="2477"/>
      <c r="TJJ1680" s="2477"/>
      <c r="TJK1680" s="2477"/>
      <c r="TJL1680" s="2477"/>
      <c r="TJM1680" s="2477"/>
      <c r="TJN1680" s="2477"/>
      <c r="TJO1680" s="2477"/>
      <c r="TJP1680" s="2477"/>
      <c r="TJQ1680" s="2477"/>
      <c r="TJR1680" s="2477"/>
      <c r="TJS1680" s="2477"/>
      <c r="TJT1680" s="2477"/>
      <c r="TJU1680" s="2477"/>
      <c r="TJV1680" s="2477"/>
      <c r="TJW1680" s="2477"/>
      <c r="TJX1680" s="2477"/>
      <c r="TJY1680" s="2477"/>
      <c r="TJZ1680" s="2477"/>
      <c r="TKA1680" s="2477"/>
      <c r="TKB1680" s="2477"/>
      <c r="TKC1680" s="2477"/>
      <c r="TKD1680" s="2477"/>
      <c r="TKE1680" s="2477"/>
      <c r="TKF1680" s="2477"/>
      <c r="TKG1680" s="2477"/>
      <c r="TKH1680" s="2477"/>
      <c r="TKI1680" s="2477"/>
      <c r="TKJ1680" s="2477"/>
      <c r="TKK1680" s="2477"/>
      <c r="TKL1680" s="2477"/>
      <c r="TKM1680" s="2477"/>
      <c r="TKN1680" s="2477"/>
      <c r="TKO1680" s="2477"/>
      <c r="TKP1680" s="2477"/>
      <c r="TKQ1680" s="2477"/>
      <c r="TKR1680" s="2477"/>
      <c r="TKS1680" s="2477"/>
      <c r="TKT1680" s="2477"/>
      <c r="TKU1680" s="2477"/>
      <c r="TKV1680" s="2477"/>
      <c r="TKW1680" s="2477"/>
      <c r="TKX1680" s="2477"/>
      <c r="TKY1680" s="2477"/>
      <c r="TKZ1680" s="2477"/>
      <c r="TLA1680" s="2477"/>
      <c r="TLB1680" s="2477"/>
      <c r="TLC1680" s="2477"/>
      <c r="TLD1680" s="2477"/>
      <c r="TLE1680" s="2477"/>
      <c r="TLF1680" s="2477"/>
      <c r="TLG1680" s="2477"/>
      <c r="TLH1680" s="2477"/>
      <c r="TLI1680" s="2477"/>
      <c r="TLJ1680" s="2477"/>
      <c r="TLK1680" s="2477"/>
      <c r="TLL1680" s="2477"/>
      <c r="TLM1680" s="2477"/>
      <c r="TLN1680" s="2477"/>
      <c r="TLO1680" s="2477"/>
      <c r="TLP1680" s="2477"/>
      <c r="TLQ1680" s="2477"/>
      <c r="TLR1680" s="2477"/>
      <c r="TLS1680" s="2477"/>
      <c r="TLT1680" s="2477"/>
      <c r="TLU1680" s="2477"/>
      <c r="TLV1680" s="2477"/>
      <c r="TLW1680" s="2477"/>
      <c r="TLX1680" s="2477"/>
      <c r="TLY1680" s="2477"/>
      <c r="TLZ1680" s="2477"/>
      <c r="TMA1680" s="2477"/>
      <c r="TMB1680" s="2477"/>
      <c r="TMC1680" s="2477"/>
      <c r="TMD1680" s="2477"/>
      <c r="TME1680" s="2477"/>
      <c r="TMF1680" s="2477"/>
      <c r="TMG1680" s="2477"/>
      <c r="TMH1680" s="2477"/>
      <c r="TMI1680" s="2477"/>
      <c r="TMJ1680" s="2477"/>
      <c r="TMK1680" s="2477"/>
      <c r="TML1680" s="2477"/>
      <c r="TMM1680" s="2477"/>
      <c r="TMN1680" s="2477"/>
      <c r="TMO1680" s="2477"/>
      <c r="TMP1680" s="2477"/>
      <c r="TMQ1680" s="2477"/>
      <c r="TMR1680" s="2477"/>
      <c r="TMS1680" s="2477"/>
      <c r="TMT1680" s="2477"/>
      <c r="TMU1680" s="2477"/>
      <c r="TMV1680" s="2477"/>
      <c r="TMW1680" s="2477"/>
      <c r="TMX1680" s="2477"/>
      <c r="TMY1680" s="2477"/>
      <c r="TMZ1680" s="2477"/>
      <c r="TNA1680" s="2477"/>
      <c r="TNB1680" s="2477"/>
      <c r="TNC1680" s="2477"/>
      <c r="TND1680" s="2477"/>
      <c r="TNE1680" s="2477"/>
      <c r="TNF1680" s="2477"/>
      <c r="TNG1680" s="2477"/>
      <c r="TNH1680" s="2477"/>
      <c r="TNI1680" s="2477"/>
      <c r="TNJ1680" s="2477"/>
      <c r="TNK1680" s="2477"/>
      <c r="TNL1680" s="2477"/>
      <c r="TNM1680" s="2477"/>
      <c r="TNN1680" s="2477"/>
      <c r="TNO1680" s="2477"/>
      <c r="TNP1680" s="2477"/>
      <c r="TNQ1680" s="2477"/>
      <c r="TNR1680" s="2477"/>
      <c r="TNS1680" s="2477"/>
      <c r="TNT1680" s="2477"/>
      <c r="TNU1680" s="2477"/>
      <c r="TNV1680" s="2477"/>
      <c r="TNW1680" s="2477"/>
      <c r="TNX1680" s="2477"/>
      <c r="TNY1680" s="2477"/>
      <c r="TNZ1680" s="2477"/>
      <c r="TOA1680" s="2477"/>
      <c r="TOB1680" s="2477"/>
      <c r="TOC1680" s="2477"/>
      <c r="TOD1680" s="2477"/>
      <c r="TOE1680" s="2477"/>
      <c r="TOF1680" s="2477"/>
      <c r="TOG1680" s="2477"/>
      <c r="TOH1680" s="2477"/>
      <c r="TOI1680" s="2477"/>
      <c r="TOJ1680" s="2477"/>
      <c r="TOK1680" s="2477"/>
      <c r="TOL1680" s="2477"/>
      <c r="TOM1680" s="2477"/>
      <c r="TON1680" s="2477"/>
      <c r="TOO1680" s="2477"/>
      <c r="TOP1680" s="2477"/>
      <c r="TOQ1680" s="2477"/>
      <c r="TOR1680" s="2477"/>
      <c r="TOS1680" s="2477"/>
      <c r="TOT1680" s="2477"/>
      <c r="TOU1680" s="2477"/>
      <c r="TOV1680" s="2477"/>
      <c r="TOW1680" s="2477"/>
      <c r="TOX1680" s="2477"/>
      <c r="TOY1680" s="2477"/>
      <c r="TOZ1680" s="2477"/>
      <c r="TPA1680" s="2477"/>
      <c r="TPB1680" s="2477"/>
      <c r="TPC1680" s="2477"/>
      <c r="TPD1680" s="2477"/>
      <c r="TPE1680" s="2477"/>
      <c r="TPF1680" s="2477"/>
      <c r="TPG1680" s="2477"/>
      <c r="TPH1680" s="2477"/>
      <c r="TPI1680" s="2477"/>
      <c r="TPJ1680" s="2477"/>
      <c r="TPK1680" s="2477"/>
      <c r="TPL1680" s="2477"/>
      <c r="TPM1680" s="2477"/>
      <c r="TPN1680" s="2477"/>
      <c r="TPO1680" s="2477"/>
      <c r="TPP1680" s="2477"/>
      <c r="TPQ1680" s="2477"/>
      <c r="TPR1680" s="2477"/>
      <c r="TPS1680" s="2477"/>
      <c r="TPT1680" s="2477"/>
      <c r="TPU1680" s="2477"/>
      <c r="TPV1680" s="2477"/>
      <c r="TPW1680" s="2477"/>
      <c r="TPX1680" s="2477"/>
      <c r="TPY1680" s="2477"/>
      <c r="TPZ1680" s="2477"/>
      <c r="TQA1680" s="2477"/>
      <c r="TQB1680" s="2477"/>
      <c r="TQC1680" s="2477"/>
      <c r="TQD1680" s="2477"/>
      <c r="TQE1680" s="2477"/>
      <c r="TQF1680" s="2477"/>
      <c r="TQG1680" s="2477"/>
      <c r="TQH1680" s="2477"/>
      <c r="TQI1680" s="2477"/>
      <c r="TQJ1680" s="2477"/>
      <c r="TQK1680" s="2477"/>
      <c r="TQL1680" s="2477"/>
      <c r="TQM1680" s="2477"/>
      <c r="TQN1680" s="2477"/>
      <c r="TQO1680" s="2477"/>
      <c r="TQP1680" s="2477"/>
      <c r="TQQ1680" s="2477"/>
      <c r="TQR1680" s="2477"/>
      <c r="TQS1680" s="2477"/>
      <c r="TQT1680" s="2477"/>
      <c r="TQU1680" s="2477"/>
      <c r="TQV1680" s="2477"/>
      <c r="TQW1680" s="2477"/>
      <c r="TQX1680" s="2477"/>
      <c r="TQY1680" s="2477"/>
      <c r="TQZ1680" s="2477"/>
      <c r="TRA1680" s="2477"/>
      <c r="TRB1680" s="2477"/>
      <c r="TRC1680" s="2477"/>
      <c r="TRD1680" s="2477"/>
      <c r="TRE1680" s="2477"/>
      <c r="TRF1680" s="2477"/>
      <c r="TRG1680" s="2477"/>
      <c r="TRH1680" s="2477"/>
      <c r="TRI1680" s="2477"/>
      <c r="TRJ1680" s="2477"/>
      <c r="TRK1680" s="2477"/>
      <c r="TRL1680" s="2477"/>
      <c r="TRM1680" s="2477"/>
      <c r="TRN1680" s="2477"/>
      <c r="TRO1680" s="2477"/>
      <c r="TRP1680" s="2477"/>
      <c r="TRQ1680" s="2477"/>
      <c r="TRR1680" s="2477"/>
      <c r="TRS1680" s="2477"/>
      <c r="TRT1680" s="2477"/>
      <c r="TRU1680" s="2477"/>
      <c r="TRV1680" s="2477"/>
      <c r="TRW1680" s="2477"/>
      <c r="TRX1680" s="2477"/>
      <c r="TRY1680" s="2477"/>
      <c r="TRZ1680" s="2477"/>
      <c r="TSA1680" s="2477"/>
      <c r="TSB1680" s="2477"/>
      <c r="TSC1680" s="2477"/>
      <c r="TSD1680" s="2477"/>
      <c r="TSE1680" s="2477"/>
      <c r="TSF1680" s="2477"/>
      <c r="TSG1680" s="2477"/>
      <c r="TSH1680" s="2477"/>
      <c r="TSI1680" s="2477"/>
      <c r="TSJ1680" s="2477"/>
      <c r="TSK1680" s="2477"/>
      <c r="TSL1680" s="2477"/>
      <c r="TSM1680" s="2477"/>
      <c r="TSN1680" s="2477"/>
      <c r="TSO1680" s="2477"/>
      <c r="TSP1680" s="2477"/>
      <c r="TSQ1680" s="2477"/>
      <c r="TSR1680" s="2477"/>
      <c r="TSS1680" s="2477"/>
      <c r="TST1680" s="2477"/>
      <c r="TSU1680" s="2477"/>
      <c r="TSV1680" s="2477"/>
      <c r="TSW1680" s="2477"/>
      <c r="TSX1680" s="2477"/>
      <c r="TSY1680" s="2477"/>
      <c r="TSZ1680" s="2477"/>
      <c r="TTA1680" s="2477"/>
      <c r="TTB1680" s="2477"/>
      <c r="TTC1680" s="2477"/>
      <c r="TTD1680" s="2477"/>
      <c r="TTE1680" s="2477"/>
      <c r="TTF1680" s="2477"/>
      <c r="TTG1680" s="2477"/>
      <c r="TTH1680" s="2477"/>
      <c r="TTI1680" s="2477"/>
      <c r="TTJ1680" s="2477"/>
      <c r="TTK1680" s="2477"/>
      <c r="TTL1680" s="2477"/>
      <c r="TTM1680" s="2477"/>
      <c r="TTN1680" s="2477"/>
      <c r="TTO1680" s="2477"/>
      <c r="TTP1680" s="2477"/>
      <c r="TTQ1680" s="2477"/>
      <c r="TTR1680" s="2477"/>
      <c r="TTS1680" s="2477"/>
      <c r="TTT1680" s="2477"/>
      <c r="TTU1680" s="2477"/>
      <c r="TTV1680" s="2477"/>
      <c r="TTW1680" s="2477"/>
      <c r="TTX1680" s="2477"/>
      <c r="TTY1680" s="2477"/>
      <c r="TTZ1680" s="2477"/>
      <c r="TUA1680" s="2477"/>
      <c r="TUB1680" s="2477"/>
      <c r="TUC1680" s="2477"/>
      <c r="TUD1680" s="2477"/>
      <c r="TUE1680" s="2477"/>
      <c r="TUF1680" s="2477"/>
      <c r="TUG1680" s="2477"/>
      <c r="TUH1680" s="2477"/>
      <c r="TUI1680" s="2477"/>
      <c r="TUJ1680" s="2477"/>
      <c r="TUK1680" s="2477"/>
      <c r="TUL1680" s="2477"/>
      <c r="TUM1680" s="2477"/>
      <c r="TUN1680" s="2477"/>
      <c r="TUO1680" s="2477"/>
      <c r="TUP1680" s="2477"/>
      <c r="TUQ1680" s="2477"/>
      <c r="TUR1680" s="2477"/>
      <c r="TUS1680" s="2477"/>
      <c r="TUT1680" s="2477"/>
      <c r="TUU1680" s="2477"/>
      <c r="TUV1680" s="2477"/>
      <c r="TUW1680" s="2477"/>
      <c r="TUX1680" s="2477"/>
      <c r="TUY1680" s="2477"/>
      <c r="TUZ1680" s="2477"/>
      <c r="TVA1680" s="2477"/>
      <c r="TVB1680" s="2477"/>
      <c r="TVC1680" s="2477"/>
      <c r="TVD1680" s="2477"/>
      <c r="TVE1680" s="2477"/>
      <c r="TVF1680" s="2477"/>
      <c r="TVG1680" s="2477"/>
      <c r="TVH1680" s="2477"/>
      <c r="TVI1680" s="2477"/>
      <c r="TVJ1680" s="2477"/>
      <c r="TVK1680" s="2477"/>
      <c r="TVL1680" s="2477"/>
      <c r="TVM1680" s="2477"/>
      <c r="TVN1680" s="2477"/>
      <c r="TVO1680" s="2477"/>
      <c r="TVP1680" s="2477"/>
      <c r="TVQ1680" s="2477"/>
      <c r="TVR1680" s="2477"/>
      <c r="TVS1680" s="2477"/>
      <c r="TVT1680" s="2477"/>
      <c r="TVU1680" s="2477"/>
      <c r="TVV1680" s="2477"/>
      <c r="TVW1680" s="2477"/>
      <c r="TVX1680" s="2477"/>
      <c r="TVY1680" s="2477"/>
      <c r="TVZ1680" s="2477"/>
      <c r="TWA1680" s="2477"/>
      <c r="TWB1680" s="2477"/>
      <c r="TWC1680" s="2477"/>
      <c r="TWD1680" s="2477"/>
      <c r="TWE1680" s="2477"/>
      <c r="TWF1680" s="2477"/>
      <c r="TWG1680" s="2477"/>
      <c r="TWH1680" s="2477"/>
      <c r="TWI1680" s="2477"/>
      <c r="TWJ1680" s="2477"/>
      <c r="TWK1680" s="2477"/>
      <c r="TWL1680" s="2477"/>
      <c r="TWM1680" s="2477"/>
      <c r="TWN1680" s="2477"/>
      <c r="TWO1680" s="2477"/>
      <c r="TWP1680" s="2477"/>
      <c r="TWQ1680" s="2477"/>
      <c r="TWR1680" s="2477"/>
      <c r="TWS1680" s="2477"/>
      <c r="TWT1680" s="2477"/>
      <c r="TWU1680" s="2477"/>
      <c r="TWV1680" s="2477"/>
      <c r="TWW1680" s="2477"/>
      <c r="TWX1680" s="2477"/>
      <c r="TWY1680" s="2477"/>
      <c r="TWZ1680" s="2477"/>
      <c r="TXA1680" s="2477"/>
      <c r="TXB1680" s="2477"/>
      <c r="TXC1680" s="2477"/>
      <c r="TXD1680" s="2477"/>
      <c r="TXE1680" s="2477"/>
      <c r="TXF1680" s="2477"/>
      <c r="TXG1680" s="2477"/>
      <c r="TXH1680" s="2477"/>
      <c r="TXI1680" s="2477"/>
      <c r="TXJ1680" s="2477"/>
      <c r="TXK1680" s="2477"/>
      <c r="TXL1680" s="2477"/>
      <c r="TXM1680" s="2477"/>
      <c r="TXN1680" s="2477"/>
      <c r="TXO1680" s="2477"/>
      <c r="TXP1680" s="2477"/>
      <c r="TXQ1680" s="2477"/>
      <c r="TXR1680" s="2477"/>
      <c r="TXS1680" s="2477"/>
      <c r="TXT1680" s="2477"/>
      <c r="TXU1680" s="2477"/>
      <c r="TXV1680" s="2477"/>
      <c r="TXW1680" s="2477"/>
      <c r="TXX1680" s="2477"/>
      <c r="TXY1680" s="2477"/>
      <c r="TXZ1680" s="2477"/>
      <c r="TYA1680" s="2477"/>
      <c r="TYB1680" s="2477"/>
      <c r="TYC1680" s="2477"/>
      <c r="TYD1680" s="2477"/>
      <c r="TYE1680" s="2477"/>
      <c r="TYF1680" s="2477"/>
      <c r="TYG1680" s="2477"/>
      <c r="TYH1680" s="2477"/>
      <c r="TYI1680" s="2477"/>
      <c r="TYJ1680" s="2477"/>
      <c r="TYK1680" s="2477"/>
      <c r="TYL1680" s="2477"/>
      <c r="TYM1680" s="2477"/>
      <c r="TYN1680" s="2477"/>
      <c r="TYO1680" s="2477"/>
      <c r="TYP1680" s="2477"/>
      <c r="TYQ1680" s="2477"/>
      <c r="TYR1680" s="2477"/>
      <c r="TYS1680" s="2477"/>
      <c r="TYT1680" s="2477"/>
      <c r="TYU1680" s="2477"/>
      <c r="TYV1680" s="2477"/>
      <c r="TYW1680" s="2477"/>
      <c r="TYX1680" s="2477"/>
      <c r="TYY1680" s="2477"/>
      <c r="TYZ1680" s="2477"/>
      <c r="TZA1680" s="2477"/>
      <c r="TZB1680" s="2477"/>
      <c r="TZC1680" s="2477"/>
      <c r="TZD1680" s="2477"/>
      <c r="TZE1680" s="2477"/>
      <c r="TZF1680" s="2477"/>
      <c r="TZG1680" s="2477"/>
      <c r="TZH1680" s="2477"/>
      <c r="TZI1680" s="2477"/>
      <c r="TZJ1680" s="2477"/>
      <c r="TZK1680" s="2477"/>
      <c r="TZL1680" s="2477"/>
      <c r="TZM1680" s="2477"/>
      <c r="TZN1680" s="2477"/>
      <c r="TZO1680" s="2477"/>
      <c r="TZP1680" s="2477"/>
      <c r="TZQ1680" s="2477"/>
      <c r="TZR1680" s="2477"/>
      <c r="TZS1680" s="2477"/>
      <c r="TZT1680" s="2477"/>
      <c r="TZU1680" s="2477"/>
      <c r="TZV1680" s="2477"/>
      <c r="TZW1680" s="2477"/>
      <c r="TZX1680" s="2477"/>
      <c r="TZY1680" s="2477"/>
      <c r="TZZ1680" s="2477"/>
      <c r="UAA1680" s="2477"/>
      <c r="UAB1680" s="2477"/>
      <c r="UAC1680" s="2477"/>
      <c r="UAD1680" s="2477"/>
      <c r="UAE1680" s="2477"/>
      <c r="UAF1680" s="2477"/>
      <c r="UAG1680" s="2477"/>
      <c r="UAH1680" s="2477"/>
      <c r="UAI1680" s="2477"/>
      <c r="UAJ1680" s="2477"/>
      <c r="UAK1680" s="2477"/>
      <c r="UAL1680" s="2477"/>
      <c r="UAM1680" s="2477"/>
      <c r="UAN1680" s="2477"/>
      <c r="UAO1680" s="2477"/>
      <c r="UAP1680" s="2477"/>
      <c r="UAQ1680" s="2477"/>
      <c r="UAR1680" s="2477"/>
      <c r="UAS1680" s="2477"/>
      <c r="UAT1680" s="2477"/>
      <c r="UAU1680" s="2477"/>
      <c r="UAV1680" s="2477"/>
      <c r="UAW1680" s="2477"/>
      <c r="UAX1680" s="2477"/>
      <c r="UAY1680" s="2477"/>
      <c r="UAZ1680" s="2477"/>
      <c r="UBA1680" s="2477"/>
      <c r="UBB1680" s="2477"/>
      <c r="UBC1680" s="2477"/>
      <c r="UBD1680" s="2477"/>
      <c r="UBE1680" s="2477"/>
      <c r="UBF1680" s="2477"/>
      <c r="UBG1680" s="2477"/>
      <c r="UBH1680" s="2477"/>
      <c r="UBI1680" s="2477"/>
      <c r="UBJ1680" s="2477"/>
      <c r="UBK1680" s="2477"/>
      <c r="UBL1680" s="2477"/>
      <c r="UBM1680" s="2477"/>
      <c r="UBN1680" s="2477"/>
      <c r="UBO1680" s="2477"/>
      <c r="UBP1680" s="2477"/>
      <c r="UBQ1680" s="2477"/>
      <c r="UBR1680" s="2477"/>
      <c r="UBS1680" s="2477"/>
      <c r="UBT1680" s="2477"/>
      <c r="UBU1680" s="2477"/>
      <c r="UBV1680" s="2477"/>
      <c r="UBW1680" s="2477"/>
      <c r="UBX1680" s="2477"/>
      <c r="UBY1680" s="2477"/>
      <c r="UBZ1680" s="2477"/>
      <c r="UCA1680" s="2477"/>
      <c r="UCB1680" s="2477"/>
      <c r="UCC1680" s="2477"/>
      <c r="UCD1680" s="2477"/>
      <c r="UCE1680" s="2477"/>
      <c r="UCF1680" s="2477"/>
      <c r="UCG1680" s="2477"/>
      <c r="UCH1680" s="2477"/>
      <c r="UCI1680" s="2477"/>
      <c r="UCJ1680" s="2477"/>
      <c r="UCK1680" s="2477"/>
      <c r="UCL1680" s="2477"/>
      <c r="UCM1680" s="2477"/>
      <c r="UCN1680" s="2477"/>
      <c r="UCO1680" s="2477"/>
      <c r="UCP1680" s="2477"/>
      <c r="UCQ1680" s="2477"/>
      <c r="UCR1680" s="2477"/>
      <c r="UCS1680" s="2477"/>
      <c r="UCT1680" s="2477"/>
      <c r="UCU1680" s="2477"/>
      <c r="UCV1680" s="2477"/>
      <c r="UCW1680" s="2477"/>
      <c r="UCX1680" s="2477"/>
      <c r="UCY1680" s="2477"/>
      <c r="UCZ1680" s="2477"/>
      <c r="UDA1680" s="2477"/>
      <c r="UDB1680" s="2477"/>
      <c r="UDC1680" s="2477"/>
      <c r="UDD1680" s="2477"/>
      <c r="UDE1680" s="2477"/>
      <c r="UDF1680" s="2477"/>
      <c r="UDG1680" s="2477"/>
      <c r="UDH1680" s="2477"/>
      <c r="UDI1680" s="2477"/>
      <c r="UDJ1680" s="2477"/>
      <c r="UDK1680" s="2477"/>
      <c r="UDL1680" s="2477"/>
      <c r="UDM1680" s="2477"/>
      <c r="UDN1680" s="2477"/>
      <c r="UDO1680" s="2477"/>
      <c r="UDP1680" s="2477"/>
      <c r="UDQ1680" s="2477"/>
      <c r="UDR1680" s="2477"/>
      <c r="UDS1680" s="2477"/>
      <c r="UDT1680" s="2477"/>
      <c r="UDU1680" s="2477"/>
      <c r="UDV1680" s="2477"/>
      <c r="UDW1680" s="2477"/>
      <c r="UDX1680" s="2477"/>
      <c r="UDY1680" s="2477"/>
      <c r="UDZ1680" s="2477"/>
      <c r="UEA1680" s="2477"/>
      <c r="UEB1680" s="2477"/>
      <c r="UEC1680" s="2477"/>
      <c r="UED1680" s="2477"/>
      <c r="UEE1680" s="2477"/>
      <c r="UEF1680" s="2477"/>
      <c r="UEG1680" s="2477"/>
      <c r="UEH1680" s="2477"/>
      <c r="UEI1680" s="2477"/>
      <c r="UEJ1680" s="2477"/>
      <c r="UEK1680" s="2477"/>
      <c r="UEL1680" s="2477"/>
      <c r="UEM1680" s="2477"/>
      <c r="UEN1680" s="2477"/>
      <c r="UEO1680" s="2477"/>
      <c r="UEP1680" s="2477"/>
      <c r="UEQ1680" s="2477"/>
      <c r="UER1680" s="2477"/>
      <c r="UES1680" s="2477"/>
      <c r="UET1680" s="2477"/>
      <c r="UEU1680" s="2477"/>
      <c r="UEV1680" s="2477"/>
      <c r="UEW1680" s="2477"/>
      <c r="UEX1680" s="2477"/>
      <c r="UEY1680" s="2477"/>
      <c r="UEZ1680" s="2477"/>
      <c r="UFA1680" s="2477"/>
      <c r="UFB1680" s="2477"/>
      <c r="UFC1680" s="2477"/>
      <c r="UFD1680" s="2477"/>
      <c r="UFE1680" s="2477"/>
      <c r="UFF1680" s="2477"/>
      <c r="UFG1680" s="2477"/>
      <c r="UFH1680" s="2477"/>
      <c r="UFI1680" s="2477"/>
      <c r="UFJ1680" s="2477"/>
      <c r="UFK1680" s="2477"/>
      <c r="UFL1680" s="2477"/>
      <c r="UFM1680" s="2477"/>
      <c r="UFN1680" s="2477"/>
      <c r="UFO1680" s="2477"/>
      <c r="UFP1680" s="2477"/>
      <c r="UFQ1680" s="2477"/>
      <c r="UFR1680" s="2477"/>
      <c r="UFS1680" s="2477"/>
      <c r="UFT1680" s="2477"/>
      <c r="UFU1680" s="2477"/>
      <c r="UFV1680" s="2477"/>
      <c r="UFW1680" s="2477"/>
      <c r="UFX1680" s="2477"/>
      <c r="UFY1680" s="2477"/>
      <c r="UFZ1680" s="2477"/>
      <c r="UGA1680" s="2477"/>
      <c r="UGB1680" s="2477"/>
      <c r="UGC1680" s="2477"/>
      <c r="UGD1680" s="2477"/>
      <c r="UGE1680" s="2477"/>
      <c r="UGF1680" s="2477"/>
      <c r="UGG1680" s="2477"/>
      <c r="UGH1680" s="2477"/>
      <c r="UGI1680" s="2477"/>
      <c r="UGJ1680" s="2477"/>
      <c r="UGK1680" s="2477"/>
      <c r="UGL1680" s="2477"/>
      <c r="UGM1680" s="2477"/>
      <c r="UGN1680" s="2477"/>
      <c r="UGO1680" s="2477"/>
      <c r="UGP1680" s="2477"/>
      <c r="UGQ1680" s="2477"/>
      <c r="UGR1680" s="2477"/>
      <c r="UGS1680" s="2477"/>
      <c r="UGT1680" s="2477"/>
      <c r="UGU1680" s="2477"/>
      <c r="UGV1680" s="2477"/>
      <c r="UGW1680" s="2477"/>
      <c r="UGX1680" s="2477"/>
      <c r="UGY1680" s="2477"/>
      <c r="UGZ1680" s="2477"/>
      <c r="UHA1680" s="2477"/>
      <c r="UHB1680" s="2477"/>
      <c r="UHC1680" s="2477"/>
      <c r="UHD1680" s="2477"/>
      <c r="UHE1680" s="2477"/>
      <c r="UHF1680" s="2477"/>
      <c r="UHG1680" s="2477"/>
      <c r="UHH1680" s="2477"/>
      <c r="UHI1680" s="2477"/>
      <c r="UHJ1680" s="2477"/>
      <c r="UHK1680" s="2477"/>
      <c r="UHL1680" s="2477"/>
      <c r="UHM1680" s="2477"/>
      <c r="UHN1680" s="2477"/>
      <c r="UHO1680" s="2477"/>
      <c r="UHP1680" s="2477"/>
      <c r="UHQ1680" s="2477"/>
      <c r="UHR1680" s="2477"/>
      <c r="UHS1680" s="2477"/>
      <c r="UHT1680" s="2477"/>
      <c r="UHU1680" s="2477"/>
      <c r="UHV1680" s="2477"/>
      <c r="UHW1680" s="2477"/>
      <c r="UHX1680" s="2477"/>
      <c r="UHY1680" s="2477"/>
      <c r="UHZ1680" s="2477"/>
      <c r="UIA1680" s="2477"/>
      <c r="UIB1680" s="2477"/>
      <c r="UIC1680" s="2477"/>
      <c r="UID1680" s="2477"/>
      <c r="UIE1680" s="2477"/>
      <c r="UIF1680" s="2477"/>
      <c r="UIG1680" s="2477"/>
      <c r="UIH1680" s="2477"/>
      <c r="UII1680" s="2477"/>
      <c r="UIJ1680" s="2477"/>
      <c r="UIK1680" s="2477"/>
      <c r="UIL1680" s="2477"/>
      <c r="UIM1680" s="2477"/>
      <c r="UIN1680" s="2477"/>
      <c r="UIO1680" s="2477"/>
      <c r="UIP1680" s="2477"/>
      <c r="UIQ1680" s="2477"/>
      <c r="UIR1680" s="2477"/>
      <c r="UIS1680" s="2477"/>
      <c r="UIT1680" s="2477"/>
      <c r="UIU1680" s="2477"/>
      <c r="UIV1680" s="2477"/>
      <c r="UIW1680" s="2477"/>
      <c r="UIX1680" s="2477"/>
      <c r="UIY1680" s="2477"/>
      <c r="UIZ1680" s="2477"/>
      <c r="UJA1680" s="2477"/>
      <c r="UJB1680" s="2477"/>
      <c r="UJC1680" s="2477"/>
      <c r="UJD1680" s="2477"/>
      <c r="UJE1680" s="2477"/>
      <c r="UJF1680" s="2477"/>
      <c r="UJG1680" s="2477"/>
      <c r="UJH1680" s="2477"/>
      <c r="UJI1680" s="2477"/>
      <c r="UJJ1680" s="2477"/>
      <c r="UJK1680" s="2477"/>
      <c r="UJL1680" s="2477"/>
      <c r="UJM1680" s="2477"/>
      <c r="UJN1680" s="2477"/>
      <c r="UJO1680" s="2477"/>
      <c r="UJP1680" s="2477"/>
      <c r="UJQ1680" s="2477"/>
      <c r="UJR1680" s="2477"/>
      <c r="UJS1680" s="2477"/>
      <c r="UJT1680" s="2477"/>
      <c r="UJU1680" s="2477"/>
      <c r="UJV1680" s="2477"/>
      <c r="UJW1680" s="2477"/>
      <c r="UJX1680" s="2477"/>
      <c r="UJY1680" s="2477"/>
      <c r="UJZ1680" s="2477"/>
      <c r="UKA1680" s="2477"/>
      <c r="UKB1680" s="2477"/>
      <c r="UKC1680" s="2477"/>
      <c r="UKD1680" s="2477"/>
      <c r="UKE1680" s="2477"/>
      <c r="UKF1680" s="2477"/>
      <c r="UKG1680" s="2477"/>
      <c r="UKH1680" s="2477"/>
      <c r="UKI1680" s="2477"/>
      <c r="UKJ1680" s="2477"/>
      <c r="UKK1680" s="2477"/>
      <c r="UKL1680" s="2477"/>
      <c r="UKM1680" s="2477"/>
      <c r="UKN1680" s="2477"/>
      <c r="UKO1680" s="2477"/>
      <c r="UKP1680" s="2477"/>
      <c r="UKQ1680" s="2477"/>
      <c r="UKR1680" s="2477"/>
      <c r="UKS1680" s="2477"/>
      <c r="UKT1680" s="2477"/>
      <c r="UKU1680" s="2477"/>
      <c r="UKV1680" s="2477"/>
      <c r="UKW1680" s="2477"/>
      <c r="UKX1680" s="2477"/>
      <c r="UKY1680" s="2477"/>
      <c r="UKZ1680" s="2477"/>
      <c r="ULA1680" s="2477"/>
      <c r="ULB1680" s="2477"/>
      <c r="ULC1680" s="2477"/>
      <c r="ULD1680" s="2477"/>
      <c r="ULE1680" s="2477"/>
      <c r="ULF1680" s="2477"/>
      <c r="ULG1680" s="2477"/>
      <c r="ULH1680" s="2477"/>
      <c r="ULI1680" s="2477"/>
      <c r="ULJ1680" s="2477"/>
      <c r="ULK1680" s="2477"/>
      <c r="ULL1680" s="2477"/>
      <c r="ULM1680" s="2477"/>
      <c r="ULN1680" s="2477"/>
      <c r="ULO1680" s="2477"/>
      <c r="ULP1680" s="2477"/>
      <c r="ULQ1680" s="2477"/>
      <c r="ULR1680" s="2477"/>
      <c r="ULS1680" s="2477"/>
      <c r="ULT1680" s="2477"/>
      <c r="ULU1680" s="2477"/>
      <c r="ULV1680" s="2477"/>
      <c r="ULW1680" s="2477"/>
      <c r="ULX1680" s="2477"/>
      <c r="ULY1680" s="2477"/>
      <c r="ULZ1680" s="2477"/>
      <c r="UMA1680" s="2477"/>
      <c r="UMB1680" s="2477"/>
      <c r="UMC1680" s="2477"/>
      <c r="UMD1680" s="2477"/>
      <c r="UME1680" s="2477"/>
      <c r="UMF1680" s="2477"/>
      <c r="UMG1680" s="2477"/>
      <c r="UMH1680" s="2477"/>
      <c r="UMI1680" s="2477"/>
      <c r="UMJ1680" s="2477"/>
      <c r="UMK1680" s="2477"/>
      <c r="UML1680" s="2477"/>
      <c r="UMM1680" s="2477"/>
      <c r="UMN1680" s="2477"/>
      <c r="UMO1680" s="2477"/>
      <c r="UMP1680" s="2477"/>
      <c r="UMQ1680" s="2477"/>
      <c r="UMR1680" s="2477"/>
      <c r="UMS1680" s="2477"/>
      <c r="UMT1680" s="2477"/>
      <c r="UMU1680" s="2477"/>
      <c r="UMV1680" s="2477"/>
      <c r="UMW1680" s="2477"/>
      <c r="UMX1680" s="2477"/>
      <c r="UMY1680" s="2477"/>
      <c r="UMZ1680" s="2477"/>
      <c r="UNA1680" s="2477"/>
      <c r="UNB1680" s="2477"/>
      <c r="UNC1680" s="2477"/>
      <c r="UND1680" s="2477"/>
      <c r="UNE1680" s="2477"/>
      <c r="UNF1680" s="2477"/>
      <c r="UNG1680" s="2477"/>
      <c r="UNH1680" s="2477"/>
      <c r="UNI1680" s="2477"/>
      <c r="UNJ1680" s="2477"/>
      <c r="UNK1680" s="2477"/>
      <c r="UNL1680" s="2477"/>
      <c r="UNM1680" s="2477"/>
      <c r="UNN1680" s="2477"/>
      <c r="UNO1680" s="2477"/>
      <c r="UNP1680" s="2477"/>
      <c r="UNQ1680" s="2477"/>
      <c r="UNR1680" s="2477"/>
      <c r="UNS1680" s="2477"/>
      <c r="UNT1680" s="2477"/>
      <c r="UNU1680" s="2477"/>
      <c r="UNV1680" s="2477"/>
      <c r="UNW1680" s="2477"/>
      <c r="UNX1680" s="2477"/>
      <c r="UNY1680" s="2477"/>
      <c r="UNZ1680" s="2477"/>
      <c r="UOA1680" s="2477"/>
      <c r="UOB1680" s="2477"/>
      <c r="UOC1680" s="2477"/>
      <c r="UOD1680" s="2477"/>
      <c r="UOE1680" s="2477"/>
      <c r="UOF1680" s="2477"/>
      <c r="UOG1680" s="2477"/>
      <c r="UOH1680" s="2477"/>
      <c r="UOI1680" s="2477"/>
      <c r="UOJ1680" s="2477"/>
      <c r="UOK1680" s="2477"/>
      <c r="UOL1680" s="2477"/>
      <c r="UOM1680" s="2477"/>
      <c r="UON1680" s="2477"/>
      <c r="UOO1680" s="2477"/>
      <c r="UOP1680" s="2477"/>
      <c r="UOQ1680" s="2477"/>
      <c r="UOR1680" s="2477"/>
      <c r="UOS1680" s="2477"/>
      <c r="UOT1680" s="2477"/>
      <c r="UOU1680" s="2477"/>
      <c r="UOV1680" s="2477"/>
      <c r="UOW1680" s="2477"/>
      <c r="UOX1680" s="2477"/>
      <c r="UOY1680" s="2477"/>
      <c r="UOZ1680" s="2477"/>
      <c r="UPA1680" s="2477"/>
      <c r="UPB1680" s="2477"/>
      <c r="UPC1680" s="2477"/>
      <c r="UPD1680" s="2477"/>
      <c r="UPE1680" s="2477"/>
      <c r="UPF1680" s="2477"/>
      <c r="UPG1680" s="2477"/>
      <c r="UPH1680" s="2477"/>
      <c r="UPI1680" s="2477"/>
      <c r="UPJ1680" s="2477"/>
      <c r="UPK1680" s="2477"/>
      <c r="UPL1680" s="2477"/>
      <c r="UPM1680" s="2477"/>
      <c r="UPN1680" s="2477"/>
      <c r="UPO1680" s="2477"/>
      <c r="UPP1680" s="2477"/>
      <c r="UPQ1680" s="2477"/>
      <c r="UPR1680" s="2477"/>
      <c r="UPS1680" s="2477"/>
      <c r="UPT1680" s="2477"/>
      <c r="UPU1680" s="2477"/>
      <c r="UPV1680" s="2477"/>
      <c r="UPW1680" s="2477"/>
      <c r="UPX1680" s="2477"/>
      <c r="UPY1680" s="2477"/>
      <c r="UPZ1680" s="2477"/>
      <c r="UQA1680" s="2477"/>
      <c r="UQB1680" s="2477"/>
      <c r="UQC1680" s="2477"/>
      <c r="UQD1680" s="2477"/>
      <c r="UQE1680" s="2477"/>
      <c r="UQF1680" s="2477"/>
      <c r="UQG1680" s="2477"/>
      <c r="UQH1680" s="2477"/>
      <c r="UQI1680" s="2477"/>
      <c r="UQJ1680" s="2477"/>
      <c r="UQK1680" s="2477"/>
      <c r="UQL1680" s="2477"/>
      <c r="UQM1680" s="2477"/>
      <c r="UQN1680" s="2477"/>
      <c r="UQO1680" s="2477"/>
      <c r="UQP1680" s="2477"/>
      <c r="UQQ1680" s="2477"/>
      <c r="UQR1680" s="2477"/>
      <c r="UQS1680" s="2477"/>
      <c r="UQT1680" s="2477"/>
      <c r="UQU1680" s="2477"/>
      <c r="UQV1680" s="2477"/>
      <c r="UQW1680" s="2477"/>
      <c r="UQX1680" s="2477"/>
      <c r="UQY1680" s="2477"/>
      <c r="UQZ1680" s="2477"/>
      <c r="URA1680" s="2477"/>
      <c r="URB1680" s="2477"/>
      <c r="URC1680" s="2477"/>
      <c r="URD1680" s="2477"/>
      <c r="URE1680" s="2477"/>
      <c r="URF1680" s="2477"/>
      <c r="URG1680" s="2477"/>
      <c r="URH1680" s="2477"/>
      <c r="URI1680" s="2477"/>
      <c r="URJ1680" s="2477"/>
      <c r="URK1680" s="2477"/>
      <c r="URL1680" s="2477"/>
      <c r="URM1680" s="2477"/>
      <c r="URN1680" s="2477"/>
      <c r="URO1680" s="2477"/>
      <c r="URP1680" s="2477"/>
      <c r="URQ1680" s="2477"/>
      <c r="URR1680" s="2477"/>
      <c r="URS1680" s="2477"/>
      <c r="URT1680" s="2477"/>
      <c r="URU1680" s="2477"/>
      <c r="URV1680" s="2477"/>
      <c r="URW1680" s="2477"/>
      <c r="URX1680" s="2477"/>
      <c r="URY1680" s="2477"/>
      <c r="URZ1680" s="2477"/>
      <c r="USA1680" s="2477"/>
      <c r="USB1680" s="2477"/>
      <c r="USC1680" s="2477"/>
      <c r="USD1680" s="2477"/>
      <c r="USE1680" s="2477"/>
      <c r="USF1680" s="2477"/>
      <c r="USG1680" s="2477"/>
      <c r="USH1680" s="2477"/>
      <c r="USI1680" s="2477"/>
      <c r="USJ1680" s="2477"/>
      <c r="USK1680" s="2477"/>
      <c r="USL1680" s="2477"/>
      <c r="USM1680" s="2477"/>
      <c r="USN1680" s="2477"/>
      <c r="USO1680" s="2477"/>
      <c r="USP1680" s="2477"/>
      <c r="USQ1680" s="2477"/>
      <c r="USR1680" s="2477"/>
      <c r="USS1680" s="2477"/>
      <c r="UST1680" s="2477"/>
      <c r="USU1680" s="2477"/>
      <c r="USV1680" s="2477"/>
      <c r="USW1680" s="2477"/>
      <c r="USX1680" s="2477"/>
      <c r="USY1680" s="2477"/>
      <c r="USZ1680" s="2477"/>
      <c r="UTA1680" s="2477"/>
      <c r="UTB1680" s="2477"/>
      <c r="UTC1680" s="2477"/>
      <c r="UTD1680" s="2477"/>
      <c r="UTE1680" s="2477"/>
      <c r="UTF1680" s="2477"/>
      <c r="UTG1680" s="2477"/>
      <c r="UTH1680" s="2477"/>
      <c r="UTI1680" s="2477"/>
      <c r="UTJ1680" s="2477"/>
      <c r="UTK1680" s="2477"/>
      <c r="UTL1680" s="2477"/>
      <c r="UTM1680" s="2477"/>
      <c r="UTN1680" s="2477"/>
      <c r="UTO1680" s="2477"/>
      <c r="UTP1680" s="2477"/>
      <c r="UTQ1680" s="2477"/>
      <c r="UTR1680" s="2477"/>
      <c r="UTS1680" s="2477"/>
      <c r="UTT1680" s="2477"/>
      <c r="UTU1680" s="2477"/>
      <c r="UTV1680" s="2477"/>
      <c r="UTW1680" s="2477"/>
      <c r="UTX1680" s="2477"/>
      <c r="UTY1680" s="2477"/>
      <c r="UTZ1680" s="2477"/>
      <c r="UUA1680" s="2477"/>
      <c r="UUB1680" s="2477"/>
      <c r="UUC1680" s="2477"/>
      <c r="UUD1680" s="2477"/>
      <c r="UUE1680" s="2477"/>
      <c r="UUF1680" s="2477"/>
      <c r="UUG1680" s="2477"/>
      <c r="UUH1680" s="2477"/>
      <c r="UUI1680" s="2477"/>
      <c r="UUJ1680" s="2477"/>
      <c r="UUK1680" s="2477"/>
      <c r="UUL1680" s="2477"/>
      <c r="UUM1680" s="2477"/>
      <c r="UUN1680" s="2477"/>
      <c r="UUO1680" s="2477"/>
      <c r="UUP1680" s="2477"/>
      <c r="UUQ1680" s="2477"/>
      <c r="UUR1680" s="2477"/>
      <c r="UUS1680" s="2477"/>
      <c r="UUT1680" s="2477"/>
      <c r="UUU1680" s="2477"/>
      <c r="UUV1680" s="2477"/>
      <c r="UUW1680" s="2477"/>
      <c r="UUX1680" s="2477"/>
      <c r="UUY1680" s="2477"/>
      <c r="UUZ1680" s="2477"/>
      <c r="UVA1680" s="2477"/>
      <c r="UVB1680" s="2477"/>
      <c r="UVC1680" s="2477"/>
      <c r="UVD1680" s="2477"/>
      <c r="UVE1680" s="2477"/>
      <c r="UVF1680" s="2477"/>
      <c r="UVG1680" s="2477"/>
      <c r="UVH1680" s="2477"/>
      <c r="UVI1680" s="2477"/>
      <c r="UVJ1680" s="2477"/>
      <c r="UVK1680" s="2477"/>
      <c r="UVL1680" s="2477"/>
      <c r="UVM1680" s="2477"/>
      <c r="UVN1680" s="2477"/>
      <c r="UVO1680" s="2477"/>
      <c r="UVP1680" s="2477"/>
      <c r="UVQ1680" s="2477"/>
      <c r="UVR1680" s="2477"/>
      <c r="UVS1680" s="2477"/>
      <c r="UVT1680" s="2477"/>
      <c r="UVU1680" s="2477"/>
      <c r="UVV1680" s="2477"/>
      <c r="UVW1680" s="2477"/>
      <c r="UVX1680" s="2477"/>
      <c r="UVY1680" s="2477"/>
      <c r="UVZ1680" s="2477"/>
      <c r="UWA1680" s="2477"/>
      <c r="UWB1680" s="2477"/>
      <c r="UWC1680" s="2477"/>
      <c r="UWD1680" s="2477"/>
      <c r="UWE1680" s="2477"/>
      <c r="UWF1680" s="2477"/>
      <c r="UWG1680" s="2477"/>
      <c r="UWH1680" s="2477"/>
      <c r="UWI1680" s="2477"/>
      <c r="UWJ1680" s="2477"/>
      <c r="UWK1680" s="2477"/>
      <c r="UWL1680" s="2477"/>
      <c r="UWM1680" s="2477"/>
      <c r="UWN1680" s="2477"/>
      <c r="UWO1680" s="2477"/>
      <c r="UWP1680" s="2477"/>
      <c r="UWQ1680" s="2477"/>
      <c r="UWR1680" s="2477"/>
      <c r="UWS1680" s="2477"/>
      <c r="UWT1680" s="2477"/>
      <c r="UWU1680" s="2477"/>
      <c r="UWV1680" s="2477"/>
      <c r="UWW1680" s="2477"/>
      <c r="UWX1680" s="2477"/>
      <c r="UWY1680" s="2477"/>
      <c r="UWZ1680" s="2477"/>
      <c r="UXA1680" s="2477"/>
      <c r="UXB1680" s="2477"/>
      <c r="UXC1680" s="2477"/>
      <c r="UXD1680" s="2477"/>
      <c r="UXE1680" s="2477"/>
      <c r="UXF1680" s="2477"/>
      <c r="UXG1680" s="2477"/>
      <c r="UXH1680" s="2477"/>
      <c r="UXI1680" s="2477"/>
      <c r="UXJ1680" s="2477"/>
      <c r="UXK1680" s="2477"/>
      <c r="UXL1680" s="2477"/>
      <c r="UXM1680" s="2477"/>
      <c r="UXN1680" s="2477"/>
      <c r="UXO1680" s="2477"/>
      <c r="UXP1680" s="2477"/>
      <c r="UXQ1680" s="2477"/>
      <c r="UXR1680" s="2477"/>
      <c r="UXS1680" s="2477"/>
      <c r="UXT1680" s="2477"/>
      <c r="UXU1680" s="2477"/>
      <c r="UXV1680" s="2477"/>
      <c r="UXW1680" s="2477"/>
      <c r="UXX1680" s="2477"/>
      <c r="UXY1680" s="2477"/>
      <c r="UXZ1680" s="2477"/>
      <c r="UYA1680" s="2477"/>
      <c r="UYB1680" s="2477"/>
      <c r="UYC1680" s="2477"/>
      <c r="UYD1680" s="2477"/>
      <c r="UYE1680" s="2477"/>
      <c r="UYF1680" s="2477"/>
      <c r="UYG1680" s="2477"/>
      <c r="UYH1680" s="2477"/>
      <c r="UYI1680" s="2477"/>
      <c r="UYJ1680" s="2477"/>
      <c r="UYK1680" s="2477"/>
      <c r="UYL1680" s="2477"/>
      <c r="UYM1680" s="2477"/>
      <c r="UYN1680" s="2477"/>
      <c r="UYO1680" s="2477"/>
      <c r="UYP1680" s="2477"/>
      <c r="UYQ1680" s="2477"/>
      <c r="UYR1680" s="2477"/>
      <c r="UYS1680" s="2477"/>
      <c r="UYT1680" s="2477"/>
      <c r="UYU1680" s="2477"/>
      <c r="UYV1680" s="2477"/>
      <c r="UYW1680" s="2477"/>
      <c r="UYX1680" s="2477"/>
      <c r="UYY1680" s="2477"/>
      <c r="UYZ1680" s="2477"/>
      <c r="UZA1680" s="2477"/>
      <c r="UZB1680" s="2477"/>
      <c r="UZC1680" s="2477"/>
      <c r="UZD1680" s="2477"/>
      <c r="UZE1680" s="2477"/>
      <c r="UZF1680" s="2477"/>
      <c r="UZG1680" s="2477"/>
      <c r="UZH1680" s="2477"/>
      <c r="UZI1680" s="2477"/>
      <c r="UZJ1680" s="2477"/>
      <c r="UZK1680" s="2477"/>
      <c r="UZL1680" s="2477"/>
      <c r="UZM1680" s="2477"/>
      <c r="UZN1680" s="2477"/>
      <c r="UZO1680" s="2477"/>
      <c r="UZP1680" s="2477"/>
      <c r="UZQ1680" s="2477"/>
      <c r="UZR1680" s="2477"/>
      <c r="UZS1680" s="2477"/>
      <c r="UZT1680" s="2477"/>
      <c r="UZU1680" s="2477"/>
      <c r="UZV1680" s="2477"/>
      <c r="UZW1680" s="2477"/>
      <c r="UZX1680" s="2477"/>
      <c r="UZY1680" s="2477"/>
      <c r="UZZ1680" s="2477"/>
      <c r="VAA1680" s="2477"/>
      <c r="VAB1680" s="2477"/>
      <c r="VAC1680" s="2477"/>
      <c r="VAD1680" s="2477"/>
      <c r="VAE1680" s="2477"/>
      <c r="VAF1680" s="2477"/>
      <c r="VAG1680" s="2477"/>
      <c r="VAH1680" s="2477"/>
      <c r="VAI1680" s="2477"/>
      <c r="VAJ1680" s="2477"/>
      <c r="VAK1680" s="2477"/>
      <c r="VAL1680" s="2477"/>
      <c r="VAM1680" s="2477"/>
      <c r="VAN1680" s="2477"/>
      <c r="VAO1680" s="2477"/>
      <c r="VAP1680" s="2477"/>
      <c r="VAQ1680" s="2477"/>
      <c r="VAR1680" s="2477"/>
      <c r="VAS1680" s="2477"/>
      <c r="VAT1680" s="2477"/>
      <c r="VAU1680" s="2477"/>
      <c r="VAV1680" s="2477"/>
      <c r="VAW1680" s="2477"/>
      <c r="VAX1680" s="2477"/>
      <c r="VAY1680" s="2477"/>
      <c r="VAZ1680" s="2477"/>
      <c r="VBA1680" s="2477"/>
      <c r="VBB1680" s="2477"/>
      <c r="VBC1680" s="2477"/>
      <c r="VBD1680" s="2477"/>
      <c r="VBE1680" s="2477"/>
      <c r="VBF1680" s="2477"/>
      <c r="VBG1680" s="2477"/>
      <c r="VBH1680" s="2477"/>
      <c r="VBI1680" s="2477"/>
      <c r="VBJ1680" s="2477"/>
      <c r="VBK1680" s="2477"/>
      <c r="VBL1680" s="2477"/>
      <c r="VBM1680" s="2477"/>
      <c r="VBN1680" s="2477"/>
      <c r="VBO1680" s="2477"/>
      <c r="VBP1680" s="2477"/>
      <c r="VBQ1680" s="2477"/>
      <c r="VBR1680" s="2477"/>
      <c r="VBS1680" s="2477"/>
      <c r="VBT1680" s="2477"/>
      <c r="VBU1680" s="2477"/>
      <c r="VBV1680" s="2477"/>
      <c r="VBW1680" s="2477"/>
      <c r="VBX1680" s="2477"/>
      <c r="VBY1680" s="2477"/>
      <c r="VBZ1680" s="2477"/>
      <c r="VCA1680" s="2477"/>
      <c r="VCB1680" s="2477"/>
      <c r="VCC1680" s="2477"/>
      <c r="VCD1680" s="2477"/>
      <c r="VCE1680" s="2477"/>
      <c r="VCF1680" s="2477"/>
      <c r="VCG1680" s="2477"/>
      <c r="VCH1680" s="2477"/>
      <c r="VCI1680" s="2477"/>
      <c r="VCJ1680" s="2477"/>
      <c r="VCK1680" s="2477"/>
      <c r="VCL1680" s="2477"/>
      <c r="VCM1680" s="2477"/>
      <c r="VCN1680" s="2477"/>
      <c r="VCO1680" s="2477"/>
      <c r="VCP1680" s="2477"/>
      <c r="VCQ1680" s="2477"/>
      <c r="VCR1680" s="2477"/>
      <c r="VCS1680" s="2477"/>
      <c r="VCT1680" s="2477"/>
      <c r="VCU1680" s="2477"/>
      <c r="VCV1680" s="2477"/>
      <c r="VCW1680" s="2477"/>
      <c r="VCX1680" s="2477"/>
      <c r="VCY1680" s="2477"/>
      <c r="VCZ1680" s="2477"/>
      <c r="VDA1680" s="2477"/>
      <c r="VDB1680" s="2477"/>
      <c r="VDC1680" s="2477"/>
      <c r="VDD1680" s="2477"/>
      <c r="VDE1680" s="2477"/>
      <c r="VDF1680" s="2477"/>
      <c r="VDG1680" s="2477"/>
      <c r="VDH1680" s="2477"/>
      <c r="VDI1680" s="2477"/>
      <c r="VDJ1680" s="2477"/>
      <c r="VDK1680" s="2477"/>
      <c r="VDL1680" s="2477"/>
      <c r="VDM1680" s="2477"/>
      <c r="VDN1680" s="2477"/>
      <c r="VDO1680" s="2477"/>
      <c r="VDP1680" s="2477"/>
      <c r="VDQ1680" s="2477"/>
      <c r="VDR1680" s="2477"/>
      <c r="VDS1680" s="2477"/>
      <c r="VDT1680" s="2477"/>
      <c r="VDU1680" s="2477"/>
      <c r="VDV1680" s="2477"/>
      <c r="VDW1680" s="2477"/>
      <c r="VDX1680" s="2477"/>
      <c r="VDY1680" s="2477"/>
      <c r="VDZ1680" s="2477"/>
      <c r="VEA1680" s="2477"/>
      <c r="VEB1680" s="2477"/>
      <c r="VEC1680" s="2477"/>
      <c r="VED1680" s="2477"/>
      <c r="VEE1680" s="2477"/>
      <c r="VEF1680" s="2477"/>
      <c r="VEG1680" s="2477"/>
      <c r="VEH1680" s="2477"/>
      <c r="VEI1680" s="2477"/>
      <c r="VEJ1680" s="2477"/>
      <c r="VEK1680" s="2477"/>
      <c r="VEL1680" s="2477"/>
      <c r="VEM1680" s="2477"/>
      <c r="VEN1680" s="2477"/>
      <c r="VEO1680" s="2477"/>
      <c r="VEP1680" s="2477"/>
      <c r="VEQ1680" s="2477"/>
      <c r="VER1680" s="2477"/>
      <c r="VES1680" s="2477"/>
      <c r="VET1680" s="2477"/>
      <c r="VEU1680" s="2477"/>
      <c r="VEV1680" s="2477"/>
      <c r="VEW1680" s="2477"/>
      <c r="VEX1680" s="2477"/>
      <c r="VEY1680" s="2477"/>
      <c r="VEZ1680" s="2477"/>
      <c r="VFA1680" s="2477"/>
      <c r="VFB1680" s="2477"/>
      <c r="VFC1680" s="2477"/>
      <c r="VFD1680" s="2477"/>
      <c r="VFE1680" s="2477"/>
      <c r="VFF1680" s="2477"/>
      <c r="VFG1680" s="2477"/>
      <c r="VFH1680" s="2477"/>
      <c r="VFI1680" s="2477"/>
      <c r="VFJ1680" s="2477"/>
      <c r="VFK1680" s="2477"/>
      <c r="VFL1680" s="2477"/>
      <c r="VFM1680" s="2477"/>
      <c r="VFN1680" s="2477"/>
      <c r="VFO1680" s="2477"/>
      <c r="VFP1680" s="2477"/>
      <c r="VFQ1680" s="2477"/>
      <c r="VFR1680" s="2477"/>
      <c r="VFS1680" s="2477"/>
      <c r="VFT1680" s="2477"/>
      <c r="VFU1680" s="2477"/>
      <c r="VFV1680" s="2477"/>
      <c r="VFW1680" s="2477"/>
      <c r="VFX1680" s="2477"/>
      <c r="VFY1680" s="2477"/>
      <c r="VFZ1680" s="2477"/>
      <c r="VGA1680" s="2477"/>
      <c r="VGB1680" s="2477"/>
      <c r="VGC1680" s="2477"/>
      <c r="VGD1680" s="2477"/>
      <c r="VGE1680" s="2477"/>
      <c r="VGF1680" s="2477"/>
      <c r="VGG1680" s="2477"/>
      <c r="VGH1680" s="2477"/>
      <c r="VGI1680" s="2477"/>
      <c r="VGJ1680" s="2477"/>
      <c r="VGK1680" s="2477"/>
      <c r="VGL1680" s="2477"/>
      <c r="VGM1680" s="2477"/>
      <c r="VGN1680" s="2477"/>
      <c r="VGO1680" s="2477"/>
      <c r="VGP1680" s="2477"/>
      <c r="VGQ1680" s="2477"/>
      <c r="VGR1680" s="2477"/>
      <c r="VGS1680" s="2477"/>
      <c r="VGT1680" s="2477"/>
      <c r="VGU1680" s="2477"/>
      <c r="VGV1680" s="2477"/>
      <c r="VGW1680" s="2477"/>
      <c r="VGX1680" s="2477"/>
      <c r="VGY1680" s="2477"/>
      <c r="VGZ1680" s="2477"/>
      <c r="VHA1680" s="2477"/>
      <c r="VHB1680" s="2477"/>
      <c r="VHC1680" s="2477"/>
      <c r="VHD1680" s="2477"/>
      <c r="VHE1680" s="2477"/>
      <c r="VHF1680" s="2477"/>
      <c r="VHG1680" s="2477"/>
      <c r="VHH1680" s="2477"/>
      <c r="VHI1680" s="2477"/>
      <c r="VHJ1680" s="2477"/>
      <c r="VHK1680" s="2477"/>
      <c r="VHL1680" s="2477"/>
      <c r="VHM1680" s="2477"/>
      <c r="VHN1680" s="2477"/>
      <c r="VHO1680" s="2477"/>
      <c r="VHP1680" s="2477"/>
      <c r="VHQ1680" s="2477"/>
      <c r="VHR1680" s="2477"/>
      <c r="VHS1680" s="2477"/>
      <c r="VHT1680" s="2477"/>
      <c r="VHU1680" s="2477"/>
      <c r="VHV1680" s="2477"/>
      <c r="VHW1680" s="2477"/>
      <c r="VHX1680" s="2477"/>
      <c r="VHY1680" s="2477"/>
      <c r="VHZ1680" s="2477"/>
      <c r="VIA1680" s="2477"/>
      <c r="VIB1680" s="2477"/>
      <c r="VIC1680" s="2477"/>
      <c r="VID1680" s="2477"/>
      <c r="VIE1680" s="2477"/>
      <c r="VIF1680" s="2477"/>
      <c r="VIG1680" s="2477"/>
      <c r="VIH1680" s="2477"/>
      <c r="VII1680" s="2477"/>
      <c r="VIJ1680" s="2477"/>
      <c r="VIK1680" s="2477"/>
      <c r="VIL1680" s="2477"/>
      <c r="VIM1680" s="2477"/>
      <c r="VIN1680" s="2477"/>
      <c r="VIO1680" s="2477"/>
      <c r="VIP1680" s="2477"/>
      <c r="VIQ1680" s="2477"/>
      <c r="VIR1680" s="2477"/>
      <c r="VIS1680" s="2477"/>
      <c r="VIT1680" s="2477"/>
      <c r="VIU1680" s="2477"/>
      <c r="VIV1680" s="2477"/>
      <c r="VIW1680" s="2477"/>
      <c r="VIX1680" s="2477"/>
      <c r="VIY1680" s="2477"/>
      <c r="VIZ1680" s="2477"/>
      <c r="VJA1680" s="2477"/>
      <c r="VJB1680" s="2477"/>
      <c r="VJC1680" s="2477"/>
      <c r="VJD1680" s="2477"/>
      <c r="VJE1680" s="2477"/>
      <c r="VJF1680" s="2477"/>
      <c r="VJG1680" s="2477"/>
      <c r="VJH1680" s="2477"/>
      <c r="VJI1680" s="2477"/>
      <c r="VJJ1680" s="2477"/>
      <c r="VJK1680" s="2477"/>
      <c r="VJL1680" s="2477"/>
      <c r="VJM1680" s="2477"/>
      <c r="VJN1680" s="2477"/>
      <c r="VJO1680" s="2477"/>
      <c r="VJP1680" s="2477"/>
      <c r="VJQ1680" s="2477"/>
      <c r="VJR1680" s="2477"/>
      <c r="VJS1680" s="2477"/>
      <c r="VJT1680" s="2477"/>
      <c r="VJU1680" s="2477"/>
      <c r="VJV1680" s="2477"/>
      <c r="VJW1680" s="2477"/>
      <c r="VJX1680" s="2477"/>
      <c r="VJY1680" s="2477"/>
      <c r="VJZ1680" s="2477"/>
      <c r="VKA1680" s="2477"/>
      <c r="VKB1680" s="2477"/>
      <c r="VKC1680" s="2477"/>
      <c r="VKD1680" s="2477"/>
      <c r="VKE1680" s="2477"/>
      <c r="VKF1680" s="2477"/>
      <c r="VKG1680" s="2477"/>
      <c r="VKH1680" s="2477"/>
      <c r="VKI1680" s="2477"/>
      <c r="VKJ1680" s="2477"/>
      <c r="VKK1680" s="2477"/>
      <c r="VKL1680" s="2477"/>
      <c r="VKM1680" s="2477"/>
      <c r="VKN1680" s="2477"/>
      <c r="VKO1680" s="2477"/>
      <c r="VKP1680" s="2477"/>
      <c r="VKQ1680" s="2477"/>
      <c r="VKR1680" s="2477"/>
      <c r="VKS1680" s="2477"/>
      <c r="VKT1680" s="2477"/>
      <c r="VKU1680" s="2477"/>
      <c r="VKV1680" s="2477"/>
      <c r="VKW1680" s="2477"/>
      <c r="VKX1680" s="2477"/>
      <c r="VKY1680" s="2477"/>
      <c r="VKZ1680" s="2477"/>
      <c r="VLA1680" s="2477"/>
      <c r="VLB1680" s="2477"/>
      <c r="VLC1680" s="2477"/>
      <c r="VLD1680" s="2477"/>
      <c r="VLE1680" s="2477"/>
      <c r="VLF1680" s="2477"/>
      <c r="VLG1680" s="2477"/>
      <c r="VLH1680" s="2477"/>
      <c r="VLI1680" s="2477"/>
      <c r="VLJ1680" s="2477"/>
      <c r="VLK1680" s="2477"/>
      <c r="VLL1680" s="2477"/>
      <c r="VLM1680" s="2477"/>
      <c r="VLN1680" s="2477"/>
      <c r="VLO1680" s="2477"/>
      <c r="VLP1680" s="2477"/>
      <c r="VLQ1680" s="2477"/>
      <c r="VLR1680" s="2477"/>
      <c r="VLS1680" s="2477"/>
      <c r="VLT1680" s="2477"/>
      <c r="VLU1680" s="2477"/>
      <c r="VLV1680" s="2477"/>
      <c r="VLW1680" s="2477"/>
      <c r="VLX1680" s="2477"/>
      <c r="VLY1680" s="2477"/>
      <c r="VLZ1680" s="2477"/>
      <c r="VMA1680" s="2477"/>
      <c r="VMB1680" s="2477"/>
      <c r="VMC1680" s="2477"/>
      <c r="VMD1680" s="2477"/>
      <c r="VME1680" s="2477"/>
      <c r="VMF1680" s="2477"/>
      <c r="VMG1680" s="2477"/>
      <c r="VMH1680" s="2477"/>
      <c r="VMI1680" s="2477"/>
      <c r="VMJ1680" s="2477"/>
      <c r="VMK1680" s="2477"/>
      <c r="VML1680" s="2477"/>
      <c r="VMM1680" s="2477"/>
      <c r="VMN1680" s="2477"/>
      <c r="VMO1680" s="2477"/>
      <c r="VMP1680" s="2477"/>
      <c r="VMQ1680" s="2477"/>
      <c r="VMR1680" s="2477"/>
      <c r="VMS1680" s="2477"/>
      <c r="VMT1680" s="2477"/>
      <c r="VMU1680" s="2477"/>
      <c r="VMV1680" s="2477"/>
      <c r="VMW1680" s="2477"/>
      <c r="VMX1680" s="2477"/>
      <c r="VMY1680" s="2477"/>
      <c r="VMZ1680" s="2477"/>
      <c r="VNA1680" s="2477"/>
      <c r="VNB1680" s="2477"/>
      <c r="VNC1680" s="2477"/>
      <c r="VND1680" s="2477"/>
      <c r="VNE1680" s="2477"/>
      <c r="VNF1680" s="2477"/>
      <c r="VNG1680" s="2477"/>
      <c r="VNH1680" s="2477"/>
      <c r="VNI1680" s="2477"/>
      <c r="VNJ1680" s="2477"/>
      <c r="VNK1680" s="2477"/>
      <c r="VNL1680" s="2477"/>
      <c r="VNM1680" s="2477"/>
      <c r="VNN1680" s="2477"/>
      <c r="VNO1680" s="2477"/>
      <c r="VNP1680" s="2477"/>
      <c r="VNQ1680" s="2477"/>
      <c r="VNR1680" s="2477"/>
      <c r="VNS1680" s="2477"/>
      <c r="VNT1680" s="2477"/>
      <c r="VNU1680" s="2477"/>
      <c r="VNV1680" s="2477"/>
      <c r="VNW1680" s="2477"/>
      <c r="VNX1680" s="2477"/>
      <c r="VNY1680" s="2477"/>
      <c r="VNZ1680" s="2477"/>
      <c r="VOA1680" s="2477"/>
      <c r="VOB1680" s="2477"/>
      <c r="VOC1680" s="2477"/>
      <c r="VOD1680" s="2477"/>
      <c r="VOE1680" s="2477"/>
      <c r="VOF1680" s="2477"/>
      <c r="VOG1680" s="2477"/>
      <c r="VOH1680" s="2477"/>
      <c r="VOI1680" s="2477"/>
      <c r="VOJ1680" s="2477"/>
      <c r="VOK1680" s="2477"/>
      <c r="VOL1680" s="2477"/>
      <c r="VOM1680" s="2477"/>
      <c r="VON1680" s="2477"/>
      <c r="VOO1680" s="2477"/>
      <c r="VOP1680" s="2477"/>
      <c r="VOQ1680" s="2477"/>
      <c r="VOR1680" s="2477"/>
      <c r="VOS1680" s="2477"/>
      <c r="VOT1680" s="2477"/>
      <c r="VOU1680" s="2477"/>
      <c r="VOV1680" s="2477"/>
      <c r="VOW1680" s="2477"/>
      <c r="VOX1680" s="2477"/>
      <c r="VOY1680" s="2477"/>
      <c r="VOZ1680" s="2477"/>
      <c r="VPA1680" s="2477"/>
      <c r="VPB1680" s="2477"/>
      <c r="VPC1680" s="2477"/>
      <c r="VPD1680" s="2477"/>
      <c r="VPE1680" s="2477"/>
      <c r="VPF1680" s="2477"/>
      <c r="VPG1680" s="2477"/>
      <c r="VPH1680" s="2477"/>
      <c r="VPI1680" s="2477"/>
      <c r="VPJ1680" s="2477"/>
      <c r="VPK1680" s="2477"/>
      <c r="VPL1680" s="2477"/>
      <c r="VPM1680" s="2477"/>
      <c r="VPN1680" s="2477"/>
      <c r="VPO1680" s="2477"/>
      <c r="VPP1680" s="2477"/>
      <c r="VPQ1680" s="2477"/>
      <c r="VPR1680" s="2477"/>
      <c r="VPS1680" s="2477"/>
      <c r="VPT1680" s="2477"/>
      <c r="VPU1680" s="2477"/>
      <c r="VPV1680" s="2477"/>
      <c r="VPW1680" s="2477"/>
      <c r="VPX1680" s="2477"/>
      <c r="VPY1680" s="2477"/>
      <c r="VPZ1680" s="2477"/>
      <c r="VQA1680" s="2477"/>
      <c r="VQB1680" s="2477"/>
      <c r="VQC1680" s="2477"/>
      <c r="VQD1680" s="2477"/>
      <c r="VQE1680" s="2477"/>
      <c r="VQF1680" s="2477"/>
      <c r="VQG1680" s="2477"/>
      <c r="VQH1680" s="2477"/>
      <c r="VQI1680" s="2477"/>
      <c r="VQJ1680" s="2477"/>
      <c r="VQK1680" s="2477"/>
      <c r="VQL1680" s="2477"/>
      <c r="VQM1680" s="2477"/>
      <c r="VQN1680" s="2477"/>
      <c r="VQO1680" s="2477"/>
      <c r="VQP1680" s="2477"/>
      <c r="VQQ1680" s="2477"/>
      <c r="VQR1680" s="2477"/>
      <c r="VQS1680" s="2477"/>
      <c r="VQT1680" s="2477"/>
      <c r="VQU1680" s="2477"/>
      <c r="VQV1680" s="2477"/>
      <c r="VQW1680" s="2477"/>
      <c r="VQX1680" s="2477"/>
      <c r="VQY1680" s="2477"/>
      <c r="VQZ1680" s="2477"/>
      <c r="VRA1680" s="2477"/>
      <c r="VRB1680" s="2477"/>
      <c r="VRC1680" s="2477"/>
      <c r="VRD1680" s="2477"/>
      <c r="VRE1680" s="2477"/>
      <c r="VRF1680" s="2477"/>
      <c r="VRG1680" s="2477"/>
      <c r="VRH1680" s="2477"/>
      <c r="VRI1680" s="2477"/>
      <c r="VRJ1680" s="2477"/>
      <c r="VRK1680" s="2477"/>
      <c r="VRL1680" s="2477"/>
      <c r="VRM1680" s="2477"/>
      <c r="VRN1680" s="2477"/>
      <c r="VRO1680" s="2477"/>
      <c r="VRP1680" s="2477"/>
      <c r="VRQ1680" s="2477"/>
      <c r="VRR1680" s="2477"/>
      <c r="VRS1680" s="2477"/>
      <c r="VRT1680" s="2477"/>
      <c r="VRU1680" s="2477"/>
      <c r="VRV1680" s="2477"/>
      <c r="VRW1680" s="2477"/>
      <c r="VRX1680" s="2477"/>
      <c r="VRY1680" s="2477"/>
      <c r="VRZ1680" s="2477"/>
      <c r="VSA1680" s="2477"/>
      <c r="VSB1680" s="2477"/>
      <c r="VSC1680" s="2477"/>
      <c r="VSD1680" s="2477"/>
      <c r="VSE1680" s="2477"/>
      <c r="VSF1680" s="2477"/>
      <c r="VSG1680" s="2477"/>
      <c r="VSH1680" s="2477"/>
      <c r="VSI1680" s="2477"/>
      <c r="VSJ1680" s="2477"/>
      <c r="VSK1680" s="2477"/>
      <c r="VSL1680" s="2477"/>
      <c r="VSM1680" s="2477"/>
      <c r="VSN1680" s="2477"/>
      <c r="VSO1680" s="2477"/>
      <c r="VSP1680" s="2477"/>
      <c r="VSQ1680" s="2477"/>
      <c r="VSR1680" s="2477"/>
      <c r="VSS1680" s="2477"/>
      <c r="VST1680" s="2477"/>
      <c r="VSU1680" s="2477"/>
      <c r="VSV1680" s="2477"/>
      <c r="VSW1680" s="2477"/>
      <c r="VSX1680" s="2477"/>
      <c r="VSY1680" s="2477"/>
      <c r="VSZ1680" s="2477"/>
      <c r="VTA1680" s="2477"/>
      <c r="VTB1680" s="2477"/>
      <c r="VTC1680" s="2477"/>
      <c r="VTD1680" s="2477"/>
      <c r="VTE1680" s="2477"/>
      <c r="VTF1680" s="2477"/>
      <c r="VTG1680" s="2477"/>
      <c r="VTH1680" s="2477"/>
      <c r="VTI1680" s="2477"/>
      <c r="VTJ1680" s="2477"/>
      <c r="VTK1680" s="2477"/>
      <c r="VTL1680" s="2477"/>
      <c r="VTM1680" s="2477"/>
      <c r="VTN1680" s="2477"/>
      <c r="VTO1680" s="2477"/>
      <c r="VTP1680" s="2477"/>
      <c r="VTQ1680" s="2477"/>
      <c r="VTR1680" s="2477"/>
      <c r="VTS1680" s="2477"/>
      <c r="VTT1680" s="2477"/>
      <c r="VTU1680" s="2477"/>
      <c r="VTV1680" s="2477"/>
      <c r="VTW1680" s="2477"/>
      <c r="VTX1680" s="2477"/>
      <c r="VTY1680" s="2477"/>
      <c r="VTZ1680" s="2477"/>
      <c r="VUA1680" s="2477"/>
      <c r="VUB1680" s="2477"/>
      <c r="VUC1680" s="2477"/>
      <c r="VUD1680" s="2477"/>
      <c r="VUE1680" s="2477"/>
      <c r="VUF1680" s="2477"/>
      <c r="VUG1680" s="2477"/>
      <c r="VUH1680" s="2477"/>
      <c r="VUI1680" s="2477"/>
      <c r="VUJ1680" s="2477"/>
      <c r="VUK1680" s="2477"/>
      <c r="VUL1680" s="2477"/>
      <c r="VUM1680" s="2477"/>
      <c r="VUN1680" s="2477"/>
      <c r="VUO1680" s="2477"/>
      <c r="VUP1680" s="2477"/>
      <c r="VUQ1680" s="2477"/>
      <c r="VUR1680" s="2477"/>
      <c r="VUS1680" s="2477"/>
      <c r="VUT1680" s="2477"/>
      <c r="VUU1680" s="2477"/>
      <c r="VUV1680" s="2477"/>
      <c r="VUW1680" s="2477"/>
      <c r="VUX1680" s="2477"/>
      <c r="VUY1680" s="2477"/>
      <c r="VUZ1680" s="2477"/>
      <c r="VVA1680" s="2477"/>
      <c r="VVB1680" s="2477"/>
      <c r="VVC1680" s="2477"/>
      <c r="VVD1680" s="2477"/>
      <c r="VVE1680" s="2477"/>
      <c r="VVF1680" s="2477"/>
      <c r="VVG1680" s="2477"/>
      <c r="VVH1680" s="2477"/>
      <c r="VVI1680" s="2477"/>
      <c r="VVJ1680" s="2477"/>
      <c r="VVK1680" s="2477"/>
      <c r="VVL1680" s="2477"/>
      <c r="VVM1680" s="2477"/>
      <c r="VVN1680" s="2477"/>
      <c r="VVO1680" s="2477"/>
      <c r="VVP1680" s="2477"/>
      <c r="VVQ1680" s="2477"/>
      <c r="VVR1680" s="2477"/>
      <c r="VVS1680" s="2477"/>
      <c r="VVT1680" s="2477"/>
      <c r="VVU1680" s="2477"/>
      <c r="VVV1680" s="2477"/>
      <c r="VVW1680" s="2477"/>
      <c r="VVX1680" s="2477"/>
      <c r="VVY1680" s="2477"/>
      <c r="VVZ1680" s="2477"/>
      <c r="VWA1680" s="2477"/>
      <c r="VWB1680" s="2477"/>
      <c r="VWC1680" s="2477"/>
      <c r="VWD1680" s="2477"/>
      <c r="VWE1680" s="2477"/>
      <c r="VWF1680" s="2477"/>
      <c r="VWG1680" s="2477"/>
      <c r="VWH1680" s="2477"/>
      <c r="VWI1680" s="2477"/>
      <c r="VWJ1680" s="2477"/>
      <c r="VWK1680" s="2477"/>
      <c r="VWL1680" s="2477"/>
      <c r="VWM1680" s="2477"/>
      <c r="VWN1680" s="2477"/>
      <c r="VWO1680" s="2477"/>
      <c r="VWP1680" s="2477"/>
      <c r="VWQ1680" s="2477"/>
      <c r="VWR1680" s="2477"/>
      <c r="VWS1680" s="2477"/>
      <c r="VWT1680" s="2477"/>
      <c r="VWU1680" s="2477"/>
      <c r="VWV1680" s="2477"/>
      <c r="VWW1680" s="2477"/>
      <c r="VWX1680" s="2477"/>
      <c r="VWY1680" s="2477"/>
      <c r="VWZ1680" s="2477"/>
      <c r="VXA1680" s="2477"/>
      <c r="VXB1680" s="2477"/>
      <c r="VXC1680" s="2477"/>
      <c r="VXD1680" s="2477"/>
      <c r="VXE1680" s="2477"/>
      <c r="VXF1680" s="2477"/>
      <c r="VXG1680" s="2477"/>
      <c r="VXH1680" s="2477"/>
      <c r="VXI1680" s="2477"/>
      <c r="VXJ1680" s="2477"/>
      <c r="VXK1680" s="2477"/>
      <c r="VXL1680" s="2477"/>
      <c r="VXM1680" s="2477"/>
      <c r="VXN1680" s="2477"/>
      <c r="VXO1680" s="2477"/>
      <c r="VXP1680" s="2477"/>
      <c r="VXQ1680" s="2477"/>
      <c r="VXR1680" s="2477"/>
      <c r="VXS1680" s="2477"/>
      <c r="VXT1680" s="2477"/>
      <c r="VXU1680" s="2477"/>
      <c r="VXV1680" s="2477"/>
      <c r="VXW1680" s="2477"/>
      <c r="VXX1680" s="2477"/>
      <c r="VXY1680" s="2477"/>
      <c r="VXZ1680" s="2477"/>
      <c r="VYA1680" s="2477"/>
      <c r="VYB1680" s="2477"/>
      <c r="VYC1680" s="2477"/>
      <c r="VYD1680" s="2477"/>
      <c r="VYE1680" s="2477"/>
      <c r="VYF1680" s="2477"/>
      <c r="VYG1680" s="2477"/>
      <c r="VYH1680" s="2477"/>
      <c r="VYI1680" s="2477"/>
      <c r="VYJ1680" s="2477"/>
      <c r="VYK1680" s="2477"/>
      <c r="VYL1680" s="2477"/>
      <c r="VYM1680" s="2477"/>
      <c r="VYN1680" s="2477"/>
      <c r="VYO1680" s="2477"/>
      <c r="VYP1680" s="2477"/>
      <c r="VYQ1680" s="2477"/>
      <c r="VYR1680" s="2477"/>
      <c r="VYS1680" s="2477"/>
      <c r="VYT1680" s="2477"/>
      <c r="VYU1680" s="2477"/>
      <c r="VYV1680" s="2477"/>
      <c r="VYW1680" s="2477"/>
      <c r="VYX1680" s="2477"/>
      <c r="VYY1680" s="2477"/>
      <c r="VYZ1680" s="2477"/>
      <c r="VZA1680" s="2477"/>
      <c r="VZB1680" s="2477"/>
      <c r="VZC1680" s="2477"/>
      <c r="VZD1680" s="2477"/>
      <c r="VZE1680" s="2477"/>
      <c r="VZF1680" s="2477"/>
      <c r="VZG1680" s="2477"/>
      <c r="VZH1680" s="2477"/>
      <c r="VZI1680" s="2477"/>
      <c r="VZJ1680" s="2477"/>
      <c r="VZK1680" s="2477"/>
      <c r="VZL1680" s="2477"/>
      <c r="VZM1680" s="2477"/>
      <c r="VZN1680" s="2477"/>
      <c r="VZO1680" s="2477"/>
      <c r="VZP1680" s="2477"/>
      <c r="VZQ1680" s="2477"/>
      <c r="VZR1680" s="2477"/>
      <c r="VZS1680" s="2477"/>
      <c r="VZT1680" s="2477"/>
      <c r="VZU1680" s="2477"/>
      <c r="VZV1680" s="2477"/>
      <c r="VZW1680" s="2477"/>
      <c r="VZX1680" s="2477"/>
      <c r="VZY1680" s="2477"/>
      <c r="VZZ1680" s="2477"/>
      <c r="WAA1680" s="2477"/>
      <c r="WAB1680" s="2477"/>
      <c r="WAC1680" s="2477"/>
      <c r="WAD1680" s="2477"/>
      <c r="WAE1680" s="2477"/>
      <c r="WAF1680" s="2477"/>
      <c r="WAG1680" s="2477"/>
      <c r="WAH1680" s="2477"/>
      <c r="WAI1680" s="2477"/>
      <c r="WAJ1680" s="2477"/>
      <c r="WAK1680" s="2477"/>
      <c r="WAL1680" s="2477"/>
      <c r="WAM1680" s="2477"/>
      <c r="WAN1680" s="2477"/>
      <c r="WAO1680" s="2477"/>
      <c r="WAP1680" s="2477"/>
      <c r="WAQ1680" s="2477"/>
      <c r="WAR1680" s="2477"/>
      <c r="WAS1680" s="2477"/>
      <c r="WAT1680" s="2477"/>
      <c r="WAU1680" s="2477"/>
      <c r="WAV1680" s="2477"/>
      <c r="WAW1680" s="2477"/>
      <c r="WAX1680" s="2477"/>
      <c r="WAY1680" s="2477"/>
      <c r="WAZ1680" s="2477"/>
      <c r="WBA1680" s="2477"/>
      <c r="WBB1680" s="2477"/>
      <c r="WBC1680" s="2477"/>
      <c r="WBD1680" s="2477"/>
      <c r="WBE1680" s="2477"/>
      <c r="WBF1680" s="2477"/>
      <c r="WBG1680" s="2477"/>
      <c r="WBH1680" s="2477"/>
      <c r="WBI1680" s="2477"/>
      <c r="WBJ1680" s="2477"/>
      <c r="WBK1680" s="2477"/>
      <c r="WBL1680" s="2477"/>
      <c r="WBM1680" s="2477"/>
      <c r="WBN1680" s="2477"/>
      <c r="WBO1680" s="2477"/>
      <c r="WBP1680" s="2477"/>
      <c r="WBQ1680" s="2477"/>
      <c r="WBR1680" s="2477"/>
      <c r="WBS1680" s="2477"/>
      <c r="WBT1680" s="2477"/>
      <c r="WBU1680" s="2477"/>
      <c r="WBV1680" s="2477"/>
      <c r="WBW1680" s="2477"/>
      <c r="WBX1680" s="2477"/>
      <c r="WBY1680" s="2477"/>
      <c r="WBZ1680" s="2477"/>
      <c r="WCA1680" s="2477"/>
      <c r="WCB1680" s="2477"/>
      <c r="WCC1680" s="2477"/>
      <c r="WCD1680" s="2477"/>
      <c r="WCE1680" s="2477"/>
      <c r="WCF1680" s="2477"/>
      <c r="WCG1680" s="2477"/>
      <c r="WCH1680" s="2477"/>
      <c r="WCI1680" s="2477"/>
      <c r="WCJ1680" s="2477"/>
      <c r="WCK1680" s="2477"/>
      <c r="WCL1680" s="2477"/>
      <c r="WCM1680" s="2477"/>
      <c r="WCN1680" s="2477"/>
      <c r="WCO1680" s="2477"/>
      <c r="WCP1680" s="2477"/>
      <c r="WCQ1680" s="2477"/>
      <c r="WCR1680" s="2477"/>
      <c r="WCS1680" s="2477"/>
      <c r="WCT1680" s="2477"/>
      <c r="WCU1680" s="2477"/>
      <c r="WCV1680" s="2477"/>
      <c r="WCW1680" s="2477"/>
      <c r="WCX1680" s="2477"/>
      <c r="WCY1680" s="2477"/>
      <c r="WCZ1680" s="2477"/>
      <c r="WDA1680" s="2477"/>
      <c r="WDB1680" s="2477"/>
      <c r="WDC1680" s="2477"/>
      <c r="WDD1680" s="2477"/>
      <c r="WDE1680" s="2477"/>
      <c r="WDF1680" s="2477"/>
      <c r="WDG1680" s="2477"/>
      <c r="WDH1680" s="2477"/>
      <c r="WDI1680" s="2477"/>
      <c r="WDJ1680" s="2477"/>
      <c r="WDK1680" s="2477"/>
      <c r="WDL1680" s="2477"/>
      <c r="WDM1680" s="2477"/>
      <c r="WDN1680" s="2477"/>
      <c r="WDO1680" s="2477"/>
      <c r="WDP1680" s="2477"/>
      <c r="WDQ1680" s="2477"/>
      <c r="WDR1680" s="2477"/>
      <c r="WDS1680" s="2477"/>
      <c r="WDT1680" s="2477"/>
      <c r="WDU1680" s="2477"/>
      <c r="WDV1680" s="2477"/>
      <c r="WDW1680" s="2477"/>
      <c r="WDX1680" s="2477"/>
      <c r="WDY1680" s="2477"/>
      <c r="WDZ1680" s="2477"/>
      <c r="WEA1680" s="2477"/>
      <c r="WEB1680" s="2477"/>
      <c r="WEC1680" s="2477"/>
      <c r="WED1680" s="2477"/>
      <c r="WEE1680" s="2477"/>
      <c r="WEF1680" s="2477"/>
      <c r="WEG1680" s="2477"/>
      <c r="WEH1680" s="2477"/>
      <c r="WEI1680" s="2477"/>
      <c r="WEJ1680" s="2477"/>
      <c r="WEK1680" s="2477"/>
      <c r="WEL1680" s="2477"/>
      <c r="WEM1680" s="2477"/>
      <c r="WEN1680" s="2477"/>
      <c r="WEO1680" s="2477"/>
      <c r="WEP1680" s="2477"/>
      <c r="WEQ1680" s="2477"/>
      <c r="WER1680" s="2477"/>
      <c r="WES1680" s="2477"/>
      <c r="WET1680" s="2477"/>
      <c r="WEU1680" s="2477"/>
      <c r="WEV1680" s="2477"/>
      <c r="WEW1680" s="2477"/>
      <c r="WEX1680" s="2477"/>
      <c r="WEY1680" s="2477"/>
      <c r="WEZ1680" s="2477"/>
      <c r="WFA1680" s="2477"/>
      <c r="WFB1680" s="2477"/>
      <c r="WFC1680" s="2477"/>
      <c r="WFD1680" s="2477"/>
      <c r="WFE1680" s="2477"/>
      <c r="WFF1680" s="2477"/>
      <c r="WFG1680" s="2477"/>
      <c r="WFH1680" s="2477"/>
      <c r="WFI1680" s="2477"/>
      <c r="WFJ1680" s="2477"/>
      <c r="WFK1680" s="2477"/>
      <c r="WFL1680" s="2477"/>
      <c r="WFM1680" s="2477"/>
      <c r="WFN1680" s="2477"/>
      <c r="WFO1680" s="2477"/>
      <c r="WFP1680" s="2477"/>
      <c r="WFQ1680" s="2477"/>
      <c r="WFR1680" s="2477"/>
      <c r="WFS1680" s="2477"/>
      <c r="WFT1680" s="2477"/>
      <c r="WFU1680" s="2477"/>
      <c r="WFV1680" s="2477"/>
      <c r="WFW1680" s="2477"/>
      <c r="WFX1680" s="2477"/>
      <c r="WFY1680" s="2477"/>
      <c r="WFZ1680" s="2477"/>
      <c r="WGA1680" s="2477"/>
      <c r="WGB1680" s="2477"/>
      <c r="WGC1680" s="2477"/>
      <c r="WGD1680" s="2477"/>
      <c r="WGE1680" s="2477"/>
      <c r="WGF1680" s="2477"/>
      <c r="WGG1680" s="2477"/>
      <c r="WGH1680" s="2477"/>
      <c r="WGI1680" s="2477"/>
      <c r="WGJ1680" s="2477"/>
      <c r="WGK1680" s="2477"/>
      <c r="WGL1680" s="2477"/>
      <c r="WGM1680" s="2477"/>
      <c r="WGN1680" s="2477"/>
      <c r="WGO1680" s="2477"/>
      <c r="WGP1680" s="2477"/>
      <c r="WGQ1680" s="2477"/>
      <c r="WGR1680" s="2477"/>
      <c r="WGS1680" s="2477"/>
      <c r="WGT1680" s="2477"/>
      <c r="WGU1680" s="2477"/>
      <c r="WGV1680" s="2477"/>
      <c r="WGW1680" s="2477"/>
      <c r="WGX1680" s="2477"/>
      <c r="WGY1680" s="2477"/>
      <c r="WGZ1680" s="2477"/>
      <c r="WHA1680" s="2477"/>
      <c r="WHB1680" s="2477"/>
      <c r="WHC1680" s="2477"/>
      <c r="WHD1680" s="2477"/>
      <c r="WHE1680" s="2477"/>
      <c r="WHF1680" s="2477"/>
      <c r="WHG1680" s="2477"/>
      <c r="WHH1680" s="2477"/>
      <c r="WHI1680" s="2477"/>
      <c r="WHJ1680" s="2477"/>
      <c r="WHK1680" s="2477"/>
      <c r="WHL1680" s="2477"/>
      <c r="WHM1680" s="2477"/>
      <c r="WHN1680" s="2477"/>
      <c r="WHO1680" s="2477"/>
      <c r="WHP1680" s="2477"/>
      <c r="WHQ1680" s="2477"/>
      <c r="WHR1680" s="2477"/>
      <c r="WHS1680" s="2477"/>
      <c r="WHT1680" s="2477"/>
      <c r="WHU1680" s="2477"/>
      <c r="WHV1680" s="2477"/>
      <c r="WHW1680" s="2477"/>
      <c r="WHX1680" s="2477"/>
      <c r="WHY1680" s="2477"/>
      <c r="WHZ1680" s="2477"/>
      <c r="WIA1680" s="2477"/>
      <c r="WIB1680" s="2477"/>
      <c r="WIC1680" s="2477"/>
      <c r="WID1680" s="2477"/>
      <c r="WIE1680" s="2477"/>
      <c r="WIF1680" s="2477"/>
      <c r="WIG1680" s="2477"/>
      <c r="WIH1680" s="2477"/>
      <c r="WII1680" s="2477"/>
      <c r="WIJ1680" s="2477"/>
      <c r="WIK1680" s="2477"/>
      <c r="WIL1680" s="2477"/>
      <c r="WIM1680" s="2477"/>
      <c r="WIN1680" s="2477"/>
      <c r="WIO1680" s="2477"/>
      <c r="WIP1680" s="2477"/>
      <c r="WIQ1680" s="2477"/>
      <c r="WIR1680" s="2477"/>
      <c r="WIS1680" s="2477"/>
      <c r="WIT1680" s="2477"/>
      <c r="WIU1680" s="2477"/>
      <c r="WIV1680" s="2477"/>
      <c r="WIW1680" s="2477"/>
      <c r="WIX1680" s="2477"/>
      <c r="WIY1680" s="2477"/>
      <c r="WIZ1680" s="2477"/>
      <c r="WJA1680" s="2477"/>
      <c r="WJB1680" s="2477"/>
      <c r="WJC1680" s="2477"/>
      <c r="WJD1680" s="2477"/>
      <c r="WJE1680" s="2477"/>
      <c r="WJF1680" s="2477"/>
      <c r="WJG1680" s="2477"/>
      <c r="WJH1680" s="2477"/>
      <c r="WJI1680" s="2477"/>
      <c r="WJJ1680" s="2477"/>
      <c r="WJK1680" s="2477"/>
      <c r="WJL1680" s="2477"/>
      <c r="WJM1680" s="2477"/>
      <c r="WJN1680" s="2477"/>
      <c r="WJO1680" s="2477"/>
      <c r="WJP1680" s="2477"/>
      <c r="WJQ1680" s="2477"/>
      <c r="WJR1680" s="2477"/>
      <c r="WJS1680" s="2477"/>
      <c r="WJT1680" s="2477"/>
      <c r="WJU1680" s="2477"/>
      <c r="WJV1680" s="2477"/>
      <c r="WJW1680" s="2477"/>
      <c r="WJX1680" s="2477"/>
      <c r="WJY1680" s="2477"/>
      <c r="WJZ1680" s="2477"/>
      <c r="WKA1680" s="2477"/>
      <c r="WKB1680" s="2477"/>
      <c r="WKC1680" s="2477"/>
      <c r="WKD1680" s="2477"/>
      <c r="WKE1680" s="2477"/>
      <c r="WKF1680" s="2477"/>
      <c r="WKG1680" s="2477"/>
      <c r="WKH1680" s="2477"/>
      <c r="WKI1680" s="2477"/>
      <c r="WKJ1680" s="2477"/>
      <c r="WKK1680" s="2477"/>
      <c r="WKL1680" s="2477"/>
      <c r="WKM1680" s="2477"/>
      <c r="WKN1680" s="2477"/>
      <c r="WKO1680" s="2477"/>
      <c r="WKP1680" s="2477"/>
      <c r="WKQ1680" s="2477"/>
      <c r="WKR1680" s="2477"/>
      <c r="WKS1680" s="2477"/>
      <c r="WKT1680" s="2477"/>
      <c r="WKU1680" s="2477"/>
      <c r="WKV1680" s="2477"/>
      <c r="WKW1680" s="2477"/>
      <c r="WKX1680" s="2477"/>
      <c r="WKY1680" s="2477"/>
      <c r="WKZ1680" s="2477"/>
      <c r="WLA1680" s="2477"/>
      <c r="WLB1680" s="2477"/>
      <c r="WLC1680" s="2477"/>
      <c r="WLD1680" s="2477"/>
      <c r="WLE1680" s="2477"/>
      <c r="WLF1680" s="2477"/>
      <c r="WLG1680" s="2477"/>
      <c r="WLH1680" s="2477"/>
      <c r="WLI1680" s="2477"/>
      <c r="WLJ1680" s="2477"/>
      <c r="WLK1680" s="2477"/>
      <c r="WLL1680" s="2477"/>
      <c r="WLM1680" s="2477"/>
      <c r="WLN1680" s="2477"/>
      <c r="WLO1680" s="2477"/>
      <c r="WLP1680" s="2477"/>
      <c r="WLQ1680" s="2477"/>
      <c r="WLR1680" s="2477"/>
      <c r="WLS1680" s="2477"/>
      <c r="WLT1680" s="2477"/>
      <c r="WLU1680" s="2477"/>
      <c r="WLV1680" s="2477"/>
      <c r="WLW1680" s="2477"/>
      <c r="WLX1680" s="2477"/>
      <c r="WLY1680" s="2477"/>
      <c r="WLZ1680" s="2477"/>
      <c r="WMA1680" s="2477"/>
      <c r="WMB1680" s="2477"/>
      <c r="WMC1680" s="2477"/>
      <c r="WMD1680" s="2477"/>
      <c r="WME1680" s="2477"/>
      <c r="WMF1680" s="2477"/>
      <c r="WMG1680" s="2477"/>
      <c r="WMH1680" s="2477"/>
      <c r="WMI1680" s="2477"/>
      <c r="WMJ1680" s="2477"/>
      <c r="WMK1680" s="2477"/>
      <c r="WML1680" s="2477"/>
      <c r="WMM1680" s="2477"/>
      <c r="WMN1680" s="2477"/>
      <c r="WMO1680" s="2477"/>
      <c r="WMP1680" s="2477"/>
      <c r="WMQ1680" s="2477"/>
      <c r="WMR1680" s="2477"/>
      <c r="WMS1680" s="2477"/>
      <c r="WMT1680" s="2477"/>
      <c r="WMU1680" s="2477"/>
      <c r="WMV1680" s="2477"/>
      <c r="WMW1680" s="2477"/>
      <c r="WMX1680" s="2477"/>
      <c r="WMY1680" s="2477"/>
      <c r="WMZ1680" s="2477"/>
      <c r="WNA1680" s="2477"/>
      <c r="WNB1680" s="2477"/>
      <c r="WNC1680" s="2477"/>
      <c r="WND1680" s="2477"/>
      <c r="WNE1680" s="2477"/>
      <c r="WNF1680" s="2477"/>
      <c r="WNG1680" s="2477"/>
      <c r="WNH1680" s="2477"/>
      <c r="WNI1680" s="2477"/>
      <c r="WNJ1680" s="2477"/>
      <c r="WNK1680" s="2477"/>
      <c r="WNL1680" s="2477"/>
      <c r="WNM1680" s="2477"/>
      <c r="WNN1680" s="2477"/>
      <c r="WNO1680" s="2477"/>
      <c r="WNP1680" s="2477"/>
      <c r="WNQ1680" s="2477"/>
      <c r="WNR1680" s="2477"/>
      <c r="WNS1680" s="2477"/>
      <c r="WNT1680" s="2477"/>
      <c r="WNU1680" s="2477"/>
      <c r="WNV1680" s="2477"/>
      <c r="WNW1680" s="2477"/>
      <c r="WNX1680" s="2477"/>
      <c r="WNY1680" s="2477"/>
      <c r="WNZ1680" s="2477"/>
      <c r="WOA1680" s="2477"/>
      <c r="WOB1680" s="2477"/>
      <c r="WOC1680" s="2477"/>
      <c r="WOD1680" s="2477"/>
      <c r="WOE1680" s="2477"/>
      <c r="WOF1680" s="2477"/>
      <c r="WOG1680" s="2477"/>
      <c r="WOH1680" s="2477"/>
      <c r="WOI1680" s="2477"/>
      <c r="WOJ1680" s="2477"/>
      <c r="WOK1680" s="2477"/>
      <c r="WOL1680" s="2477"/>
      <c r="WOM1680" s="2477"/>
      <c r="WON1680" s="2477"/>
      <c r="WOO1680" s="2477"/>
      <c r="WOP1680" s="2477"/>
      <c r="WOQ1680" s="2477"/>
      <c r="WOR1680" s="2477"/>
      <c r="WOS1680" s="2477"/>
      <c r="WOT1680" s="2477"/>
      <c r="WOU1680" s="2477"/>
      <c r="WOV1680" s="2477"/>
      <c r="WOW1680" s="2477"/>
      <c r="WOX1680" s="2477"/>
      <c r="WOY1680" s="2477"/>
      <c r="WOZ1680" s="2477"/>
      <c r="WPA1680" s="2477"/>
      <c r="WPB1680" s="2477"/>
      <c r="WPC1680" s="2477"/>
      <c r="WPD1680" s="2477"/>
      <c r="WPE1680" s="2477"/>
      <c r="WPF1680" s="2477"/>
      <c r="WPG1680" s="2477"/>
      <c r="WPH1680" s="2477"/>
      <c r="WPI1680" s="2477"/>
      <c r="WPJ1680" s="2477"/>
      <c r="WPK1680" s="2477"/>
      <c r="WPL1680" s="2477"/>
      <c r="WPM1680" s="2477"/>
      <c r="WPN1680" s="2477"/>
      <c r="WPO1680" s="2477"/>
      <c r="WPP1680" s="2477"/>
      <c r="WPQ1680" s="2477"/>
      <c r="WPR1680" s="2477"/>
      <c r="WPS1680" s="2477"/>
      <c r="WPT1680" s="2477"/>
      <c r="WPU1680" s="2477"/>
      <c r="WPV1680" s="2477"/>
      <c r="WPW1680" s="2477"/>
      <c r="WPX1680" s="2477"/>
      <c r="WPY1680" s="2477"/>
      <c r="WPZ1680" s="2477"/>
      <c r="WQA1680" s="2477"/>
      <c r="WQB1680" s="2477"/>
      <c r="WQC1680" s="2477"/>
      <c r="WQD1680" s="2477"/>
      <c r="WQE1680" s="2477"/>
      <c r="WQF1680" s="2477"/>
      <c r="WQG1680" s="2477"/>
      <c r="WQH1680" s="2477"/>
      <c r="WQI1680" s="2477"/>
      <c r="WQJ1680" s="2477"/>
      <c r="WQK1680" s="2477"/>
      <c r="WQL1680" s="2477"/>
      <c r="WQM1680" s="2477"/>
      <c r="WQN1680" s="2477"/>
      <c r="WQO1680" s="2477"/>
      <c r="WQP1680" s="2477"/>
      <c r="WQQ1680" s="2477"/>
      <c r="WQR1680" s="2477"/>
      <c r="WQS1680" s="2477"/>
      <c r="WQT1680" s="2477"/>
      <c r="WQU1680" s="2477"/>
      <c r="WQV1680" s="2477"/>
      <c r="WQW1680" s="2477"/>
      <c r="WQX1680" s="2477"/>
      <c r="WQY1680" s="2477"/>
      <c r="WQZ1680" s="2477"/>
      <c r="WRA1680" s="2477"/>
      <c r="WRB1680" s="2477"/>
      <c r="WRC1680" s="2477"/>
      <c r="WRD1680" s="2477"/>
      <c r="WRE1680" s="2477"/>
      <c r="WRF1680" s="2477"/>
      <c r="WRG1680" s="2477"/>
      <c r="WRH1680" s="2477"/>
      <c r="WRI1680" s="2477"/>
      <c r="WRJ1680" s="2477"/>
      <c r="WRK1680" s="2477"/>
      <c r="WRL1680" s="2477"/>
      <c r="WRM1680" s="2477"/>
      <c r="WRN1680" s="2477"/>
      <c r="WRO1680" s="2477"/>
      <c r="WRP1680" s="2477"/>
      <c r="WRQ1680" s="2477"/>
      <c r="WRR1680" s="2477"/>
      <c r="WRS1680" s="2477"/>
      <c r="WRT1680" s="2477"/>
      <c r="WRU1680" s="2477"/>
      <c r="WRV1680" s="2477"/>
      <c r="WRW1680" s="2477"/>
      <c r="WRX1680" s="2477"/>
      <c r="WRY1680" s="2477"/>
      <c r="WRZ1680" s="2477"/>
      <c r="WSA1680" s="2477"/>
      <c r="WSB1680" s="2477"/>
      <c r="WSC1680" s="2477"/>
      <c r="WSD1680" s="2477"/>
      <c r="WSE1680" s="2477"/>
      <c r="WSF1680" s="2477"/>
      <c r="WSG1680" s="2477"/>
      <c r="WSH1680" s="2477"/>
      <c r="WSI1680" s="2477"/>
      <c r="WSJ1680" s="2477"/>
      <c r="WSK1680" s="2477"/>
      <c r="WSL1680" s="2477"/>
      <c r="WSM1680" s="2477"/>
      <c r="WSN1680" s="2477"/>
      <c r="WSO1680" s="2477"/>
      <c r="WSP1680" s="2477"/>
      <c r="WSQ1680" s="2477"/>
      <c r="WSR1680" s="2477"/>
      <c r="WSS1680" s="2477"/>
      <c r="WST1680" s="2477"/>
      <c r="WSU1680" s="2477"/>
      <c r="WSV1680" s="2477"/>
      <c r="WSW1680" s="2477"/>
      <c r="WSX1680" s="2477"/>
      <c r="WSY1680" s="2477"/>
      <c r="WSZ1680" s="2477"/>
      <c r="WTA1680" s="2477"/>
      <c r="WTB1680" s="2477"/>
      <c r="WTC1680" s="2477"/>
      <c r="WTD1680" s="2477"/>
      <c r="WTE1680" s="2477"/>
      <c r="WTF1680" s="2477"/>
      <c r="WTG1680" s="2477"/>
      <c r="WTH1680" s="2477"/>
      <c r="WTI1680" s="2477"/>
      <c r="WTJ1680" s="2477"/>
      <c r="WTK1680" s="2477"/>
      <c r="WTL1680" s="2477"/>
      <c r="WTM1680" s="2477"/>
      <c r="WTN1680" s="2477"/>
      <c r="WTO1680" s="2477"/>
      <c r="WTP1680" s="2477"/>
      <c r="WTQ1680" s="2477"/>
      <c r="WTR1680" s="2477"/>
      <c r="WTS1680" s="2477"/>
      <c r="WTT1680" s="2477"/>
      <c r="WTU1680" s="2477"/>
      <c r="WTV1680" s="2477"/>
      <c r="WTW1680" s="2477"/>
      <c r="WTX1680" s="2477"/>
      <c r="WTY1680" s="2477"/>
      <c r="WTZ1680" s="2477"/>
      <c r="WUA1680" s="2477"/>
      <c r="WUB1680" s="2477"/>
      <c r="WUC1680" s="2477"/>
      <c r="WUD1680" s="2477"/>
      <c r="WUE1680" s="2477"/>
      <c r="WUF1680" s="2477"/>
      <c r="WUG1680" s="2477"/>
      <c r="WUH1680" s="2477"/>
      <c r="WUI1680" s="2477"/>
      <c r="WUJ1680" s="2477"/>
      <c r="WUK1680" s="2477"/>
      <c r="WUL1680" s="2477"/>
      <c r="WUM1680" s="2477"/>
      <c r="WUN1680" s="2477"/>
      <c r="WUO1680" s="2477"/>
      <c r="WUP1680" s="2477"/>
      <c r="WUQ1680" s="2477"/>
      <c r="WUR1680" s="2477"/>
      <c r="WUS1680" s="2477"/>
      <c r="WUT1680" s="2477"/>
      <c r="WUU1680" s="2477"/>
      <c r="WUV1680" s="2477"/>
      <c r="WUW1680" s="2477"/>
      <c r="WUX1680" s="2477"/>
      <c r="WUY1680" s="2477"/>
      <c r="WUZ1680" s="2477"/>
      <c r="WVA1680" s="2477"/>
      <c r="WVB1680" s="2477"/>
      <c r="WVC1680" s="2477"/>
      <c r="WVD1680" s="2477"/>
      <c r="WVE1680" s="2477"/>
      <c r="WVF1680" s="2477"/>
      <c r="WVG1680" s="2477"/>
      <c r="WVH1680" s="2477"/>
      <c r="WVI1680" s="2477"/>
      <c r="WVJ1680" s="2477"/>
      <c r="WVK1680" s="2477"/>
      <c r="WVL1680" s="2477"/>
      <c r="WVM1680" s="2477"/>
      <c r="WVN1680" s="2477"/>
      <c r="WVO1680" s="2477"/>
      <c r="WVP1680" s="2477"/>
      <c r="WVQ1680" s="2477"/>
      <c r="WVR1680" s="2477"/>
      <c r="WVS1680" s="2477"/>
      <c r="WVT1680" s="2477"/>
      <c r="WVU1680" s="2477"/>
      <c r="WVV1680" s="2477"/>
      <c r="WVW1680" s="2477"/>
      <c r="WVX1680" s="2477"/>
      <c r="WVY1680" s="2477"/>
      <c r="WVZ1680" s="2477"/>
      <c r="WWA1680" s="2477"/>
      <c r="WWB1680" s="2477"/>
      <c r="WWC1680" s="2477"/>
      <c r="WWD1680" s="2477"/>
      <c r="WWE1680" s="2477"/>
      <c r="WWF1680" s="2477"/>
      <c r="WWG1680" s="2477"/>
      <c r="WWH1680" s="2477"/>
      <c r="WWI1680" s="2477"/>
      <c r="WWJ1680" s="2477"/>
      <c r="WWK1680" s="2477"/>
      <c r="WWL1680" s="2477"/>
      <c r="WWM1680" s="2477"/>
      <c r="WWN1680" s="2477"/>
      <c r="WWO1680" s="2477"/>
      <c r="WWP1680" s="2477"/>
      <c r="WWQ1680" s="2477"/>
      <c r="WWR1680" s="2477"/>
      <c r="WWS1680" s="2477"/>
      <c r="WWT1680" s="2477"/>
      <c r="WWU1680" s="2477"/>
      <c r="WWV1680" s="2477"/>
      <c r="WWW1680" s="2477"/>
      <c r="WWX1680" s="2477"/>
      <c r="WWY1680" s="2477"/>
      <c r="WWZ1680" s="2477"/>
      <c r="WXA1680" s="2477"/>
      <c r="WXB1680" s="2477"/>
      <c r="WXC1680" s="2477"/>
      <c r="WXD1680" s="2477"/>
      <c r="WXE1680" s="2477"/>
      <c r="WXF1680" s="2477"/>
      <c r="WXG1680" s="2477"/>
      <c r="WXH1680" s="2477"/>
      <c r="WXI1680" s="2477"/>
      <c r="WXJ1680" s="2477"/>
      <c r="WXK1680" s="2477"/>
      <c r="WXL1680" s="2477"/>
      <c r="WXM1680" s="2477"/>
      <c r="WXN1680" s="2477"/>
      <c r="WXO1680" s="2477"/>
      <c r="WXP1680" s="2477"/>
      <c r="WXQ1680" s="2477"/>
      <c r="WXR1680" s="2477"/>
      <c r="WXS1680" s="2477"/>
      <c r="WXT1680" s="2477"/>
      <c r="WXU1680" s="2477"/>
      <c r="WXV1680" s="2477"/>
      <c r="WXW1680" s="2477"/>
      <c r="WXX1680" s="2477"/>
      <c r="WXY1680" s="2477"/>
      <c r="WXZ1680" s="2477"/>
      <c r="WYA1680" s="2477"/>
      <c r="WYB1680" s="2477"/>
      <c r="WYC1680" s="2477"/>
      <c r="WYD1680" s="2477"/>
      <c r="WYE1680" s="2477"/>
      <c r="WYF1680" s="2477"/>
      <c r="WYG1680" s="2477"/>
      <c r="WYH1680" s="2477"/>
      <c r="WYI1680" s="2477"/>
      <c r="WYJ1680" s="2477"/>
      <c r="WYK1680" s="2477"/>
      <c r="WYL1680" s="2477"/>
      <c r="WYM1680" s="2477"/>
      <c r="WYN1680" s="2477"/>
      <c r="WYO1680" s="2477"/>
      <c r="WYP1680" s="2477"/>
      <c r="WYQ1680" s="2477"/>
      <c r="WYR1680" s="2477"/>
      <c r="WYS1680" s="2477"/>
      <c r="WYT1680" s="2477"/>
      <c r="WYU1680" s="2477"/>
      <c r="WYV1680" s="2477"/>
      <c r="WYW1680" s="2477"/>
      <c r="WYX1680" s="2477"/>
      <c r="WYY1680" s="2477"/>
      <c r="WYZ1680" s="2477"/>
      <c r="WZA1680" s="2477"/>
      <c r="WZB1680" s="2477"/>
      <c r="WZC1680" s="2477"/>
      <c r="WZD1680" s="2477"/>
      <c r="WZE1680" s="2477"/>
      <c r="WZF1680" s="2477"/>
      <c r="WZG1680" s="2477"/>
      <c r="WZH1680" s="2477"/>
      <c r="WZI1680" s="2477"/>
      <c r="WZJ1680" s="2477"/>
      <c r="WZK1680" s="2477"/>
      <c r="WZL1680" s="2477"/>
      <c r="WZM1680" s="2477"/>
      <c r="WZN1680" s="2477"/>
      <c r="WZO1680" s="2477"/>
      <c r="WZP1680" s="2477"/>
      <c r="WZQ1680" s="2477"/>
      <c r="WZR1680" s="2477"/>
      <c r="WZS1680" s="2477"/>
      <c r="WZT1680" s="2477"/>
      <c r="WZU1680" s="2477"/>
      <c r="WZV1680" s="2477"/>
      <c r="WZW1680" s="2477"/>
      <c r="WZX1680" s="2477"/>
      <c r="WZY1680" s="2477"/>
      <c r="WZZ1680" s="2477"/>
      <c r="XAA1680" s="2477"/>
      <c r="XAB1680" s="2477"/>
      <c r="XAC1680" s="2477"/>
      <c r="XAD1680" s="2477"/>
      <c r="XAE1680" s="2477"/>
      <c r="XAF1680" s="2477"/>
      <c r="XAG1680" s="2477"/>
      <c r="XAH1680" s="2477"/>
      <c r="XAI1680" s="2477"/>
      <c r="XAJ1680" s="2477"/>
      <c r="XAK1680" s="2477"/>
      <c r="XAL1680" s="2477"/>
      <c r="XAM1680" s="2477"/>
      <c r="XAN1680" s="2477"/>
      <c r="XAO1680" s="2477"/>
      <c r="XAP1680" s="2477"/>
      <c r="XAQ1680" s="2477"/>
      <c r="XAR1680" s="2477"/>
      <c r="XAS1680" s="2477"/>
      <c r="XAT1680" s="2477"/>
      <c r="XAU1680" s="2477"/>
      <c r="XAV1680" s="2477"/>
      <c r="XAW1680" s="2477"/>
      <c r="XAX1680" s="2477"/>
      <c r="XAY1680" s="2477"/>
      <c r="XAZ1680" s="2477"/>
      <c r="XBA1680" s="2477"/>
      <c r="XBB1680" s="2477"/>
      <c r="XBC1680" s="2477"/>
      <c r="XBD1680" s="2477"/>
      <c r="XBE1680" s="2477"/>
      <c r="XBF1680" s="2477"/>
      <c r="XBG1680" s="2477"/>
      <c r="XBH1680" s="2477"/>
      <c r="XBI1680" s="2477"/>
      <c r="XBJ1680" s="2477"/>
      <c r="XBK1680" s="2477"/>
      <c r="XBL1680" s="2477"/>
      <c r="XBM1680" s="2477"/>
      <c r="XBN1680" s="2477"/>
      <c r="XBO1680" s="2477"/>
      <c r="XBP1680" s="2477"/>
      <c r="XBQ1680" s="2477"/>
      <c r="XBR1680" s="2477"/>
      <c r="XBS1680" s="2477"/>
      <c r="XBT1680" s="2477"/>
      <c r="XBU1680" s="2477"/>
      <c r="XBV1680" s="2477"/>
      <c r="XBW1680" s="2477"/>
      <c r="XBX1680" s="2477"/>
      <c r="XBY1680" s="2477"/>
      <c r="XBZ1680" s="2477"/>
      <c r="XCA1680" s="2477"/>
      <c r="XCB1680" s="2477"/>
      <c r="XCC1680" s="2477"/>
      <c r="XCD1680" s="2477"/>
      <c r="XCE1680" s="2477"/>
      <c r="XCF1680" s="2477"/>
      <c r="XCG1680" s="2477"/>
      <c r="XCH1680" s="2477"/>
      <c r="XCI1680" s="2477"/>
      <c r="XCJ1680" s="2477"/>
      <c r="XCK1680" s="2477"/>
      <c r="XCL1680" s="2477"/>
      <c r="XCM1680" s="2477"/>
      <c r="XCN1680" s="2477"/>
      <c r="XCO1680" s="2477"/>
      <c r="XCP1680" s="2477"/>
      <c r="XCQ1680" s="2477"/>
      <c r="XCR1680" s="2477"/>
      <c r="XCS1680" s="2477"/>
      <c r="XCT1680" s="2477"/>
      <c r="XCU1680" s="2477"/>
      <c r="XCV1680" s="2477"/>
      <c r="XCW1680" s="2477"/>
      <c r="XCX1680" s="2477"/>
      <c r="XCY1680" s="2477"/>
      <c r="XCZ1680" s="2477"/>
      <c r="XDA1680" s="2477"/>
      <c r="XDB1680" s="2477"/>
      <c r="XDC1680" s="2477"/>
      <c r="XDD1680" s="2477"/>
      <c r="XDE1680" s="2477"/>
      <c r="XDF1680" s="2477"/>
      <c r="XDG1680" s="2477"/>
      <c r="XDH1680" s="2477"/>
      <c r="XDI1680" s="2477"/>
      <c r="XDJ1680" s="2477"/>
      <c r="XDK1680" s="2477"/>
      <c r="XDL1680" s="2477"/>
      <c r="XDM1680" s="2477"/>
      <c r="XDN1680" s="2477"/>
      <c r="XDO1680" s="2477"/>
      <c r="XDP1680" s="2477"/>
      <c r="XDQ1680" s="2477"/>
      <c r="XDR1680" s="2477"/>
      <c r="XDS1680" s="2477"/>
      <c r="XDT1680" s="2477"/>
      <c r="XDU1680" s="2477"/>
      <c r="XDV1680" s="2477"/>
      <c r="XDW1680" s="2477"/>
      <c r="XDX1680" s="2477"/>
      <c r="XDY1680" s="2477"/>
      <c r="XDZ1680" s="2477"/>
      <c r="XEA1680" s="2477"/>
      <c r="XEB1680" s="2477"/>
      <c r="XEC1680" s="2477"/>
      <c r="XED1680" s="2477"/>
      <c r="XEE1680" s="2477"/>
      <c r="XEF1680" s="2477"/>
      <c r="XEG1680" s="2477"/>
      <c r="XEH1680" s="2477"/>
      <c r="XEI1680" s="2477"/>
      <c r="XEJ1680" s="2477"/>
      <c r="XEK1680" s="2477"/>
      <c r="XEL1680" s="2477"/>
      <c r="XEM1680" s="2477"/>
      <c r="XEN1680" s="2477"/>
      <c r="XEO1680" s="2477"/>
      <c r="XEP1680" s="2477"/>
      <c r="XEQ1680" s="2477"/>
      <c r="XER1680" s="2477"/>
      <c r="XES1680" s="2477"/>
      <c r="XET1680" s="2477"/>
      <c r="XEU1680" s="2477"/>
      <c r="XEV1680" s="2477"/>
      <c r="XEW1680" s="2477"/>
      <c r="XEX1680" s="2477"/>
      <c r="XEY1680" s="2477"/>
      <c r="XEZ1680" s="2477"/>
      <c r="XFA1680" s="2477"/>
      <c r="XFB1680" s="2477"/>
      <c r="XFC1680" s="2477"/>
    </row>
    <row r="1681" spans="1:16382" s="2105" customFormat="1" ht="14.4" outlineLevel="1">
      <c r="A1681" s="2182" t="str">
        <f>A1680</f>
        <v/>
      </c>
      <c r="B1681" s="2261"/>
      <c r="C1681" s="2258"/>
      <c r="D1681" s="2259"/>
      <c r="E1681" s="2267" t="s">
        <v>6133</v>
      </c>
      <c r="F1681" s="2268"/>
      <c r="G1681" s="2269"/>
      <c r="H1681" s="2264"/>
      <c r="I1681" s="2264"/>
      <c r="J1681" s="2264"/>
      <c r="K1681" s="2264"/>
      <c r="L1681" s="2264">
        <f t="shared" si="314"/>
        <v>0</v>
      </c>
      <c r="M1681" s="2264">
        <f>I1681*G1681</f>
        <v>0</v>
      </c>
      <c r="N1681" s="2264">
        <f>J1681*G1681</f>
        <v>0</v>
      </c>
      <c r="O1681" s="2264">
        <f>K1681*G1681</f>
        <v>0</v>
      </c>
      <c r="P1681" s="2389"/>
      <c r="Q1681" s="2266"/>
      <c r="R1681" s="2266"/>
      <c r="S1681" s="2266"/>
    </row>
    <row r="1682" spans="1:16382" s="2105" customFormat="1" outlineLevel="1">
      <c r="A1682" s="2182" t="str">
        <f t="shared" ref="A1682:A1688" si="320">IF(G1682&lt;&gt;0,1,"")</f>
        <v/>
      </c>
      <c r="B1682" s="2261" t="s">
        <v>6238</v>
      </c>
      <c r="C1682" s="2258"/>
      <c r="D1682" s="2152">
        <v>0</v>
      </c>
      <c r="E1682" s="2194" t="s">
        <v>5239</v>
      </c>
      <c r="F1682" s="2152" t="s">
        <v>5174</v>
      </c>
      <c r="G1682" s="2450">
        <f>G1680*2</f>
        <v>0</v>
      </c>
      <c r="H1682" s="2264">
        <v>680540.50480000011</v>
      </c>
      <c r="I1682" s="2264"/>
      <c r="J1682" s="2359">
        <v>0</v>
      </c>
      <c r="K1682" s="2264"/>
      <c r="L1682" s="2264">
        <f t="shared" si="314"/>
        <v>0</v>
      </c>
      <c r="M1682" s="2264"/>
      <c r="N1682" s="2264"/>
      <c r="O1682" s="2264"/>
      <c r="P1682" s="2389"/>
      <c r="Q1682" s="2266"/>
      <c r="R1682" s="2266"/>
      <c r="S1682" s="2266"/>
    </row>
    <row r="1683" spans="1:16382" s="2105" customFormat="1" outlineLevel="1">
      <c r="A1683" s="2182" t="str">
        <f t="shared" si="320"/>
        <v/>
      </c>
      <c r="B1683" s="2473" t="s">
        <v>5228</v>
      </c>
      <c r="C1683" s="2258"/>
      <c r="D1683" s="2152">
        <v>0</v>
      </c>
      <c r="E1683" s="2194" t="s">
        <v>6359</v>
      </c>
      <c r="F1683" s="2152" t="s">
        <v>5174</v>
      </c>
      <c r="G1683" s="2450">
        <f>G1682*2</f>
        <v>0</v>
      </c>
      <c r="H1683" s="2264">
        <v>86065.309080000006</v>
      </c>
      <c r="I1683" s="2264"/>
      <c r="J1683" s="2359">
        <v>0</v>
      </c>
      <c r="K1683" s="2264"/>
      <c r="L1683" s="2264">
        <f t="shared" si="314"/>
        <v>0</v>
      </c>
      <c r="M1683" s="2264"/>
      <c r="N1683" s="2264"/>
      <c r="O1683" s="2264"/>
      <c r="P1683" s="2389"/>
      <c r="Q1683" s="2266"/>
      <c r="R1683" s="2266"/>
      <c r="S1683" s="2266"/>
    </row>
    <row r="1684" spans="1:16382" s="2105" customFormat="1" outlineLevel="1">
      <c r="A1684" s="2182" t="str">
        <f t="shared" si="320"/>
        <v/>
      </c>
      <c r="B1684" s="2261" t="s">
        <v>1610</v>
      </c>
      <c r="C1684" s="2258"/>
      <c r="D1684" s="2152">
        <v>0</v>
      </c>
      <c r="E1684" s="2194" t="s">
        <v>2649</v>
      </c>
      <c r="F1684" s="2152" t="s">
        <v>2439</v>
      </c>
      <c r="G1684" s="2450">
        <f>G1680*2</f>
        <v>0</v>
      </c>
      <c r="H1684" s="2264">
        <v>25400</v>
      </c>
      <c r="I1684" s="2264">
        <v>0</v>
      </c>
      <c r="J1684" s="2359">
        <v>0</v>
      </c>
      <c r="K1684" s="2264"/>
      <c r="L1684" s="2264">
        <f t="shared" si="314"/>
        <v>0</v>
      </c>
      <c r="M1684" s="2264"/>
      <c r="N1684" s="2359">
        <f t="shared" ref="N1684:N1696" si="321">G1684*J1684</f>
        <v>0</v>
      </c>
      <c r="O1684" s="2264"/>
      <c r="P1684" s="2389"/>
      <c r="Q1684" s="2266"/>
      <c r="R1684" s="2266"/>
      <c r="S1684" s="2266"/>
    </row>
    <row r="1685" spans="1:16382" s="2105" customFormat="1" outlineLevel="1">
      <c r="A1685" s="2182" t="str">
        <f t="shared" si="320"/>
        <v/>
      </c>
      <c r="B1685" s="2261" t="s">
        <v>1786</v>
      </c>
      <c r="C1685" s="2258"/>
      <c r="D1685" s="2152">
        <v>0</v>
      </c>
      <c r="E1685" s="2194" t="s">
        <v>2639</v>
      </c>
      <c r="F1685" s="2152" t="s">
        <v>2439</v>
      </c>
      <c r="G1685" s="2450">
        <f>G1680*4</f>
        <v>0</v>
      </c>
      <c r="H1685" s="2264">
        <v>12400</v>
      </c>
      <c r="I1685" s="2264">
        <v>0</v>
      </c>
      <c r="J1685" s="2359">
        <v>0</v>
      </c>
      <c r="K1685" s="2264"/>
      <c r="L1685" s="2264">
        <f t="shared" si="314"/>
        <v>0</v>
      </c>
      <c r="M1685" s="2264"/>
      <c r="N1685" s="2359">
        <f t="shared" si="321"/>
        <v>0</v>
      </c>
      <c r="O1685" s="2264"/>
      <c r="P1685" s="2389"/>
      <c r="Q1685" s="2266"/>
      <c r="R1685" s="2266"/>
      <c r="S1685" s="2266"/>
    </row>
    <row r="1686" spans="1:16382" s="2105" customFormat="1" outlineLevel="1">
      <c r="A1686" s="2182" t="str">
        <f t="shared" si="320"/>
        <v/>
      </c>
      <c r="B1686" s="2261" t="s">
        <v>1784</v>
      </c>
      <c r="C1686" s="2258"/>
      <c r="D1686" s="2152">
        <v>0</v>
      </c>
      <c r="E1686" s="2194" t="s">
        <v>2660</v>
      </c>
      <c r="F1686" s="2152" t="s">
        <v>2439</v>
      </c>
      <c r="G1686" s="2450">
        <f>G1680*4</f>
        <v>0</v>
      </c>
      <c r="H1686" s="2264">
        <v>31800</v>
      </c>
      <c r="I1686" s="2264">
        <v>0</v>
      </c>
      <c r="J1686" s="2359">
        <v>0</v>
      </c>
      <c r="K1686" s="2264">
        <v>0</v>
      </c>
      <c r="L1686" s="2264">
        <f t="shared" si="314"/>
        <v>0</v>
      </c>
      <c r="M1686" s="2264">
        <f>I1686*G1686</f>
        <v>0</v>
      </c>
      <c r="N1686" s="2359">
        <f t="shared" si="321"/>
        <v>0</v>
      </c>
      <c r="O1686" s="2264">
        <f>K1686*G1686</f>
        <v>0</v>
      </c>
      <c r="P1686" s="2389"/>
      <c r="Q1686" s="2266"/>
      <c r="R1686" s="2266"/>
      <c r="S1686" s="2266"/>
    </row>
    <row r="1687" spans="1:16382" s="2105" customFormat="1" outlineLevel="1">
      <c r="A1687" s="2182" t="str">
        <f t="shared" si="320"/>
        <v/>
      </c>
      <c r="B1687" s="2249" t="s">
        <v>516</v>
      </c>
      <c r="C1687" s="2258"/>
      <c r="D1687" s="2152" t="s">
        <v>5421</v>
      </c>
      <c r="E1687" s="2194" t="s">
        <v>5422</v>
      </c>
      <c r="F1687" s="2152" t="s">
        <v>2439</v>
      </c>
      <c r="G1687" s="2450">
        <f>G1682</f>
        <v>0</v>
      </c>
      <c r="H1687" s="2264">
        <v>0</v>
      </c>
      <c r="I1687" s="2264"/>
      <c r="J1687" s="2359">
        <v>296544.75</v>
      </c>
      <c r="K1687" s="2264"/>
      <c r="L1687" s="2264">
        <f t="shared" si="314"/>
        <v>0</v>
      </c>
      <c r="M1687" s="2264"/>
      <c r="N1687" s="2359">
        <f t="shared" si="321"/>
        <v>0</v>
      </c>
      <c r="O1687" s="2264"/>
      <c r="P1687" s="2389"/>
      <c r="Q1687" s="2266"/>
      <c r="R1687" s="2266"/>
      <c r="S1687" s="2266"/>
    </row>
    <row r="1688" spans="1:16382" s="2105" customFormat="1" outlineLevel="1">
      <c r="A1688" s="2474" t="str">
        <f t="shared" si="320"/>
        <v/>
      </c>
      <c r="B1688" s="2475"/>
      <c r="C1688" s="2463">
        <f>IF(G1688&gt;0,C1680+1,C1680)</f>
        <v>0</v>
      </c>
      <c r="D1688" s="2464"/>
      <c r="E1688" s="2465" t="s">
        <v>6239</v>
      </c>
      <c r="F1688" s="2466" t="s">
        <v>2385</v>
      </c>
      <c r="G1688" s="2467"/>
      <c r="H1688" s="2468"/>
      <c r="I1688" s="2469"/>
      <c r="J1688" s="2470"/>
      <c r="K1688" s="2470"/>
      <c r="L1688" s="2471">
        <f t="shared" si="314"/>
        <v>0</v>
      </c>
      <c r="M1688" s="2472">
        <f>I1688*G1688</f>
        <v>0</v>
      </c>
      <c r="N1688" s="2471">
        <f t="shared" si="321"/>
        <v>0</v>
      </c>
      <c r="O1688" s="2471">
        <f>K1688*G1688</f>
        <v>0</v>
      </c>
      <c r="P1688" s="2476"/>
      <c r="Q1688" s="2477"/>
      <c r="R1688" s="2477"/>
      <c r="S1688" s="2477"/>
      <c r="T1688" s="2477"/>
      <c r="U1688" s="2477"/>
      <c r="V1688" s="2477"/>
      <c r="W1688" s="2477"/>
      <c r="X1688" s="2477"/>
      <c r="Y1688" s="2477"/>
      <c r="Z1688" s="2477"/>
      <c r="AA1688" s="2477"/>
      <c r="AB1688" s="2477"/>
      <c r="AC1688" s="2477"/>
      <c r="AD1688" s="2477"/>
      <c r="AE1688" s="2477"/>
      <c r="AF1688" s="2477"/>
      <c r="AG1688" s="2477"/>
      <c r="AH1688" s="2477"/>
      <c r="AI1688" s="2477"/>
      <c r="AJ1688" s="2477"/>
      <c r="AK1688" s="2477"/>
      <c r="AL1688" s="2477"/>
      <c r="AM1688" s="2477"/>
      <c r="AN1688" s="2477"/>
      <c r="AO1688" s="2477"/>
      <c r="AP1688" s="2477"/>
      <c r="AQ1688" s="2477"/>
      <c r="AR1688" s="2477"/>
      <c r="AS1688" s="2477"/>
      <c r="AT1688" s="2477"/>
      <c r="AU1688" s="2477"/>
      <c r="AV1688" s="2477"/>
      <c r="AW1688" s="2477"/>
      <c r="AX1688" s="2477"/>
      <c r="AY1688" s="2477"/>
      <c r="AZ1688" s="2477"/>
      <c r="BA1688" s="2477"/>
      <c r="BB1688" s="2477"/>
      <c r="BC1688" s="2477"/>
      <c r="BD1688" s="2477"/>
      <c r="BE1688" s="2477"/>
      <c r="BF1688" s="2477"/>
      <c r="BG1688" s="2477"/>
      <c r="BH1688" s="2477"/>
      <c r="BI1688" s="2477"/>
      <c r="BJ1688" s="2477"/>
      <c r="BK1688" s="2477"/>
      <c r="BL1688" s="2477"/>
      <c r="BM1688" s="2477"/>
      <c r="BN1688" s="2477"/>
      <c r="BO1688" s="2477"/>
      <c r="BP1688" s="2477"/>
      <c r="BQ1688" s="2477"/>
      <c r="BR1688" s="2477"/>
      <c r="BS1688" s="2477"/>
      <c r="BT1688" s="2477"/>
      <c r="BU1688" s="2477"/>
      <c r="BV1688" s="2477"/>
      <c r="BW1688" s="2477"/>
      <c r="BX1688" s="2477"/>
      <c r="BY1688" s="2477"/>
      <c r="BZ1688" s="2477"/>
      <c r="CA1688" s="2477"/>
      <c r="CB1688" s="2477"/>
      <c r="CC1688" s="2477"/>
      <c r="CD1688" s="2477"/>
      <c r="CE1688" s="2477"/>
      <c r="CF1688" s="2477"/>
      <c r="CG1688" s="2477"/>
      <c r="CH1688" s="2477"/>
      <c r="CI1688" s="2477"/>
      <c r="CJ1688" s="2477"/>
      <c r="CK1688" s="2477"/>
      <c r="CL1688" s="2477"/>
      <c r="CM1688" s="2477"/>
      <c r="CN1688" s="2477"/>
      <c r="CO1688" s="2477"/>
      <c r="CP1688" s="2477"/>
      <c r="CQ1688" s="2477"/>
      <c r="CR1688" s="2477"/>
      <c r="CS1688" s="2477"/>
      <c r="CT1688" s="2477"/>
      <c r="CU1688" s="2477"/>
      <c r="CV1688" s="2477"/>
      <c r="CW1688" s="2477"/>
      <c r="CX1688" s="2477"/>
      <c r="CY1688" s="2477"/>
      <c r="CZ1688" s="2477"/>
      <c r="DA1688" s="2477"/>
      <c r="DB1688" s="2477"/>
      <c r="DC1688" s="2477"/>
      <c r="DD1688" s="2477"/>
      <c r="DE1688" s="2477"/>
      <c r="DF1688" s="2477"/>
      <c r="DG1688" s="2477"/>
      <c r="DH1688" s="2477"/>
      <c r="DI1688" s="2477"/>
      <c r="DJ1688" s="2477"/>
      <c r="DK1688" s="2477"/>
      <c r="DL1688" s="2477"/>
      <c r="DM1688" s="2477"/>
      <c r="DN1688" s="2477"/>
      <c r="DO1688" s="2477"/>
      <c r="DP1688" s="2477"/>
      <c r="DQ1688" s="2477"/>
      <c r="DR1688" s="2477"/>
      <c r="DS1688" s="2477"/>
      <c r="DT1688" s="2477"/>
      <c r="DU1688" s="2477"/>
      <c r="DV1688" s="2477"/>
      <c r="DW1688" s="2477"/>
      <c r="DX1688" s="2477"/>
      <c r="DY1688" s="2477"/>
      <c r="DZ1688" s="2477"/>
      <c r="EA1688" s="2477"/>
      <c r="EB1688" s="2477"/>
      <c r="EC1688" s="2477"/>
      <c r="ED1688" s="2477"/>
      <c r="EE1688" s="2477"/>
      <c r="EF1688" s="2477"/>
      <c r="EG1688" s="2477"/>
      <c r="EH1688" s="2477"/>
      <c r="EI1688" s="2477"/>
      <c r="EJ1688" s="2477"/>
      <c r="EK1688" s="2477"/>
      <c r="EL1688" s="2477"/>
      <c r="EM1688" s="2477"/>
      <c r="EN1688" s="2477"/>
      <c r="EO1688" s="2477"/>
      <c r="EP1688" s="2477"/>
      <c r="EQ1688" s="2477"/>
      <c r="ER1688" s="2477"/>
      <c r="ES1688" s="2477"/>
      <c r="ET1688" s="2477"/>
      <c r="EU1688" s="2477"/>
      <c r="EV1688" s="2477"/>
      <c r="EW1688" s="2477"/>
      <c r="EX1688" s="2477"/>
      <c r="EY1688" s="2477"/>
      <c r="EZ1688" s="2477"/>
      <c r="FA1688" s="2477"/>
      <c r="FB1688" s="2477"/>
      <c r="FC1688" s="2477"/>
      <c r="FD1688" s="2477"/>
      <c r="FE1688" s="2477"/>
      <c r="FF1688" s="2477"/>
      <c r="FG1688" s="2477"/>
      <c r="FH1688" s="2477"/>
      <c r="FI1688" s="2477"/>
      <c r="FJ1688" s="2477"/>
      <c r="FK1688" s="2477"/>
      <c r="FL1688" s="2477"/>
      <c r="FM1688" s="2477"/>
      <c r="FN1688" s="2477"/>
      <c r="FO1688" s="2477"/>
      <c r="FP1688" s="2477"/>
      <c r="FQ1688" s="2477"/>
      <c r="FR1688" s="2477"/>
      <c r="FS1688" s="2477"/>
      <c r="FT1688" s="2477"/>
      <c r="FU1688" s="2477"/>
      <c r="FV1688" s="2477"/>
      <c r="FW1688" s="2477"/>
      <c r="FX1688" s="2477"/>
      <c r="FY1688" s="2477"/>
      <c r="FZ1688" s="2477"/>
      <c r="GA1688" s="2477"/>
      <c r="GB1688" s="2477"/>
      <c r="GC1688" s="2477"/>
      <c r="GD1688" s="2477"/>
      <c r="GE1688" s="2477"/>
      <c r="GF1688" s="2477"/>
      <c r="GG1688" s="2477"/>
      <c r="GH1688" s="2477"/>
      <c r="GI1688" s="2477"/>
      <c r="GJ1688" s="2477"/>
      <c r="GK1688" s="2477"/>
      <c r="GL1688" s="2477"/>
      <c r="GM1688" s="2477"/>
      <c r="GN1688" s="2477"/>
      <c r="GO1688" s="2477"/>
      <c r="GP1688" s="2477"/>
      <c r="GQ1688" s="2477"/>
      <c r="GR1688" s="2477"/>
      <c r="GS1688" s="2477"/>
      <c r="GT1688" s="2477"/>
      <c r="GU1688" s="2477"/>
      <c r="GV1688" s="2477"/>
      <c r="GW1688" s="2477"/>
      <c r="GX1688" s="2477"/>
      <c r="GY1688" s="2477"/>
      <c r="GZ1688" s="2477"/>
      <c r="HA1688" s="2477"/>
      <c r="HB1688" s="2477"/>
      <c r="HC1688" s="2477"/>
      <c r="HD1688" s="2477"/>
      <c r="HE1688" s="2477"/>
      <c r="HF1688" s="2477"/>
      <c r="HG1688" s="2477"/>
      <c r="HH1688" s="2477"/>
      <c r="HI1688" s="2477"/>
      <c r="HJ1688" s="2477"/>
      <c r="HK1688" s="2477"/>
      <c r="HL1688" s="2477"/>
      <c r="HM1688" s="2477"/>
      <c r="HN1688" s="2477"/>
      <c r="HO1688" s="2477"/>
      <c r="HP1688" s="2477"/>
      <c r="HQ1688" s="2477"/>
      <c r="HR1688" s="2477"/>
      <c r="HS1688" s="2477"/>
      <c r="HT1688" s="2477"/>
      <c r="HU1688" s="2477"/>
      <c r="HV1688" s="2477"/>
      <c r="HW1688" s="2477"/>
      <c r="HX1688" s="2477"/>
      <c r="HY1688" s="2477"/>
      <c r="HZ1688" s="2477"/>
      <c r="IA1688" s="2477"/>
      <c r="IB1688" s="2477"/>
      <c r="IC1688" s="2477"/>
      <c r="ID1688" s="2477"/>
      <c r="IE1688" s="2477"/>
      <c r="IF1688" s="2477"/>
      <c r="IG1688" s="2477"/>
      <c r="IH1688" s="2477"/>
      <c r="II1688" s="2477"/>
      <c r="IJ1688" s="2477"/>
      <c r="IK1688" s="2477"/>
      <c r="IL1688" s="2477"/>
      <c r="IM1688" s="2477"/>
      <c r="IN1688" s="2477"/>
      <c r="IO1688" s="2477"/>
      <c r="IP1688" s="2477"/>
      <c r="IQ1688" s="2477"/>
      <c r="IR1688" s="2477"/>
      <c r="IS1688" s="2477"/>
      <c r="IT1688" s="2477"/>
      <c r="IU1688" s="2477"/>
      <c r="IV1688" s="2477"/>
      <c r="IW1688" s="2477"/>
      <c r="IX1688" s="2477"/>
      <c r="IY1688" s="2477"/>
      <c r="IZ1688" s="2477"/>
      <c r="JA1688" s="2477"/>
      <c r="JB1688" s="2477"/>
      <c r="JC1688" s="2477"/>
      <c r="JD1688" s="2477"/>
      <c r="JE1688" s="2477"/>
      <c r="JF1688" s="2477"/>
      <c r="JG1688" s="2477"/>
      <c r="JH1688" s="2477"/>
      <c r="JI1688" s="2477"/>
      <c r="JJ1688" s="2477"/>
      <c r="JK1688" s="2477"/>
      <c r="JL1688" s="2477"/>
      <c r="JM1688" s="2477"/>
      <c r="JN1688" s="2477"/>
      <c r="JO1688" s="2477"/>
      <c r="JP1688" s="2477"/>
      <c r="JQ1688" s="2477"/>
      <c r="JR1688" s="2477"/>
      <c r="JS1688" s="2477"/>
      <c r="JT1688" s="2477"/>
      <c r="JU1688" s="2477"/>
      <c r="JV1688" s="2477"/>
      <c r="JW1688" s="2477"/>
      <c r="JX1688" s="2477"/>
      <c r="JY1688" s="2477"/>
      <c r="JZ1688" s="2477"/>
      <c r="KA1688" s="2477"/>
      <c r="KB1688" s="2477"/>
      <c r="KC1688" s="2477"/>
      <c r="KD1688" s="2477"/>
      <c r="KE1688" s="2477"/>
      <c r="KF1688" s="2477"/>
      <c r="KG1688" s="2477"/>
      <c r="KH1688" s="2477"/>
      <c r="KI1688" s="2477"/>
      <c r="KJ1688" s="2477"/>
      <c r="KK1688" s="2477"/>
      <c r="KL1688" s="2477"/>
      <c r="KM1688" s="2477"/>
      <c r="KN1688" s="2477"/>
      <c r="KO1688" s="2477"/>
      <c r="KP1688" s="2477"/>
      <c r="KQ1688" s="2477"/>
      <c r="KR1688" s="2477"/>
      <c r="KS1688" s="2477"/>
      <c r="KT1688" s="2477"/>
      <c r="KU1688" s="2477"/>
      <c r="KV1688" s="2477"/>
      <c r="KW1688" s="2477"/>
      <c r="KX1688" s="2477"/>
      <c r="KY1688" s="2477"/>
      <c r="KZ1688" s="2477"/>
      <c r="LA1688" s="2477"/>
      <c r="LB1688" s="2477"/>
      <c r="LC1688" s="2477"/>
      <c r="LD1688" s="2477"/>
      <c r="LE1688" s="2477"/>
      <c r="LF1688" s="2477"/>
      <c r="LG1688" s="2477"/>
      <c r="LH1688" s="2477"/>
      <c r="LI1688" s="2477"/>
      <c r="LJ1688" s="2477"/>
      <c r="LK1688" s="2477"/>
      <c r="LL1688" s="2477"/>
      <c r="LM1688" s="2477"/>
      <c r="LN1688" s="2477"/>
      <c r="LO1688" s="2477"/>
      <c r="LP1688" s="2477"/>
      <c r="LQ1688" s="2477"/>
      <c r="LR1688" s="2477"/>
      <c r="LS1688" s="2477"/>
      <c r="LT1688" s="2477"/>
      <c r="LU1688" s="2477"/>
      <c r="LV1688" s="2477"/>
      <c r="LW1688" s="2477"/>
      <c r="LX1688" s="2477"/>
      <c r="LY1688" s="2477"/>
      <c r="LZ1688" s="2477"/>
      <c r="MA1688" s="2477"/>
      <c r="MB1688" s="2477"/>
      <c r="MC1688" s="2477"/>
      <c r="MD1688" s="2477"/>
      <c r="ME1688" s="2477"/>
      <c r="MF1688" s="2477"/>
      <c r="MG1688" s="2477"/>
      <c r="MH1688" s="2477"/>
      <c r="MI1688" s="2477"/>
      <c r="MJ1688" s="2477"/>
      <c r="MK1688" s="2477"/>
      <c r="ML1688" s="2477"/>
      <c r="MM1688" s="2477"/>
      <c r="MN1688" s="2477"/>
      <c r="MO1688" s="2477"/>
      <c r="MP1688" s="2477"/>
      <c r="MQ1688" s="2477"/>
      <c r="MR1688" s="2477"/>
      <c r="MS1688" s="2477"/>
      <c r="MT1688" s="2477"/>
      <c r="MU1688" s="2477"/>
      <c r="MV1688" s="2477"/>
      <c r="MW1688" s="2477"/>
      <c r="MX1688" s="2477"/>
      <c r="MY1688" s="2477"/>
      <c r="MZ1688" s="2477"/>
      <c r="NA1688" s="2477"/>
      <c r="NB1688" s="2477"/>
      <c r="NC1688" s="2477"/>
      <c r="ND1688" s="2477"/>
      <c r="NE1688" s="2477"/>
      <c r="NF1688" s="2477"/>
      <c r="NG1688" s="2477"/>
      <c r="NH1688" s="2477"/>
      <c r="NI1688" s="2477"/>
      <c r="NJ1688" s="2477"/>
      <c r="NK1688" s="2477"/>
      <c r="NL1688" s="2477"/>
      <c r="NM1688" s="2477"/>
      <c r="NN1688" s="2477"/>
      <c r="NO1688" s="2477"/>
      <c r="NP1688" s="2477"/>
      <c r="NQ1688" s="2477"/>
      <c r="NR1688" s="2477"/>
      <c r="NS1688" s="2477"/>
      <c r="NT1688" s="2477"/>
      <c r="NU1688" s="2477"/>
      <c r="NV1688" s="2477"/>
      <c r="NW1688" s="2477"/>
      <c r="NX1688" s="2477"/>
      <c r="NY1688" s="2477"/>
      <c r="NZ1688" s="2477"/>
      <c r="OA1688" s="2477"/>
      <c r="OB1688" s="2477"/>
      <c r="OC1688" s="2477"/>
      <c r="OD1688" s="2477"/>
      <c r="OE1688" s="2477"/>
      <c r="OF1688" s="2477"/>
      <c r="OG1688" s="2477"/>
      <c r="OH1688" s="2477"/>
      <c r="OI1688" s="2477"/>
      <c r="OJ1688" s="2477"/>
      <c r="OK1688" s="2477"/>
      <c r="OL1688" s="2477"/>
      <c r="OM1688" s="2477"/>
      <c r="ON1688" s="2477"/>
      <c r="OO1688" s="2477"/>
      <c r="OP1688" s="2477"/>
      <c r="OQ1688" s="2477"/>
      <c r="OR1688" s="2477"/>
      <c r="OS1688" s="2477"/>
      <c r="OT1688" s="2477"/>
      <c r="OU1688" s="2477"/>
      <c r="OV1688" s="2477"/>
      <c r="OW1688" s="2477"/>
      <c r="OX1688" s="2477"/>
      <c r="OY1688" s="2477"/>
      <c r="OZ1688" s="2477"/>
      <c r="PA1688" s="2477"/>
      <c r="PB1688" s="2477"/>
      <c r="PC1688" s="2477"/>
      <c r="PD1688" s="2477"/>
      <c r="PE1688" s="2477"/>
      <c r="PF1688" s="2477"/>
      <c r="PG1688" s="2477"/>
      <c r="PH1688" s="2477"/>
      <c r="PI1688" s="2477"/>
      <c r="PJ1688" s="2477"/>
      <c r="PK1688" s="2477"/>
      <c r="PL1688" s="2477"/>
      <c r="PM1688" s="2477"/>
      <c r="PN1688" s="2477"/>
      <c r="PO1688" s="2477"/>
      <c r="PP1688" s="2477"/>
      <c r="PQ1688" s="2477"/>
      <c r="PR1688" s="2477"/>
      <c r="PS1688" s="2477"/>
      <c r="PT1688" s="2477"/>
      <c r="PU1688" s="2477"/>
      <c r="PV1688" s="2477"/>
      <c r="PW1688" s="2477"/>
      <c r="PX1688" s="2477"/>
      <c r="PY1688" s="2477"/>
      <c r="PZ1688" s="2477"/>
      <c r="QA1688" s="2477"/>
      <c r="QB1688" s="2477"/>
      <c r="QC1688" s="2477"/>
      <c r="QD1688" s="2477"/>
      <c r="QE1688" s="2477"/>
      <c r="QF1688" s="2477"/>
      <c r="QG1688" s="2477"/>
      <c r="QH1688" s="2477"/>
      <c r="QI1688" s="2477"/>
      <c r="QJ1688" s="2477"/>
      <c r="QK1688" s="2477"/>
      <c r="QL1688" s="2477"/>
      <c r="QM1688" s="2477"/>
      <c r="QN1688" s="2477"/>
      <c r="QO1688" s="2477"/>
      <c r="QP1688" s="2477"/>
      <c r="QQ1688" s="2477"/>
      <c r="QR1688" s="2477"/>
      <c r="QS1688" s="2477"/>
      <c r="QT1688" s="2477"/>
      <c r="QU1688" s="2477"/>
      <c r="QV1688" s="2477"/>
      <c r="QW1688" s="2477"/>
      <c r="QX1688" s="2477"/>
      <c r="QY1688" s="2477"/>
      <c r="QZ1688" s="2477"/>
      <c r="RA1688" s="2477"/>
      <c r="RB1688" s="2477"/>
      <c r="RC1688" s="2477"/>
      <c r="RD1688" s="2477"/>
      <c r="RE1688" s="2477"/>
      <c r="RF1688" s="2477"/>
      <c r="RG1688" s="2477"/>
      <c r="RH1688" s="2477"/>
      <c r="RI1688" s="2477"/>
      <c r="RJ1688" s="2477"/>
      <c r="RK1688" s="2477"/>
      <c r="RL1688" s="2477"/>
      <c r="RM1688" s="2477"/>
      <c r="RN1688" s="2477"/>
      <c r="RO1688" s="2477"/>
      <c r="RP1688" s="2477"/>
      <c r="RQ1688" s="2477"/>
      <c r="RR1688" s="2477"/>
      <c r="RS1688" s="2477"/>
      <c r="RT1688" s="2477"/>
      <c r="RU1688" s="2477"/>
      <c r="RV1688" s="2477"/>
      <c r="RW1688" s="2477"/>
      <c r="RX1688" s="2477"/>
      <c r="RY1688" s="2477"/>
      <c r="RZ1688" s="2477"/>
      <c r="SA1688" s="2477"/>
      <c r="SB1688" s="2477"/>
      <c r="SC1688" s="2477"/>
      <c r="SD1688" s="2477"/>
      <c r="SE1688" s="2477"/>
      <c r="SF1688" s="2477"/>
      <c r="SG1688" s="2477"/>
      <c r="SH1688" s="2477"/>
      <c r="SI1688" s="2477"/>
      <c r="SJ1688" s="2477"/>
      <c r="SK1688" s="2477"/>
      <c r="SL1688" s="2477"/>
      <c r="SM1688" s="2477"/>
      <c r="SN1688" s="2477"/>
      <c r="SO1688" s="2477"/>
      <c r="SP1688" s="2477"/>
      <c r="SQ1688" s="2477"/>
      <c r="SR1688" s="2477"/>
      <c r="SS1688" s="2477"/>
      <c r="ST1688" s="2477"/>
      <c r="SU1688" s="2477"/>
      <c r="SV1688" s="2477"/>
      <c r="SW1688" s="2477"/>
      <c r="SX1688" s="2477"/>
      <c r="SY1688" s="2477"/>
      <c r="SZ1688" s="2477"/>
      <c r="TA1688" s="2477"/>
      <c r="TB1688" s="2477"/>
      <c r="TC1688" s="2477"/>
      <c r="TD1688" s="2477"/>
      <c r="TE1688" s="2477"/>
      <c r="TF1688" s="2477"/>
      <c r="TG1688" s="2477"/>
      <c r="TH1688" s="2477"/>
      <c r="TI1688" s="2477"/>
      <c r="TJ1688" s="2477"/>
      <c r="TK1688" s="2477"/>
      <c r="TL1688" s="2477"/>
      <c r="TM1688" s="2477"/>
      <c r="TN1688" s="2477"/>
      <c r="TO1688" s="2477"/>
      <c r="TP1688" s="2477"/>
      <c r="TQ1688" s="2477"/>
      <c r="TR1688" s="2477"/>
      <c r="TS1688" s="2477"/>
      <c r="TT1688" s="2477"/>
      <c r="TU1688" s="2477"/>
      <c r="TV1688" s="2477"/>
      <c r="TW1688" s="2477"/>
      <c r="TX1688" s="2477"/>
      <c r="TY1688" s="2477"/>
      <c r="TZ1688" s="2477"/>
      <c r="UA1688" s="2477"/>
      <c r="UB1688" s="2477"/>
      <c r="UC1688" s="2477"/>
      <c r="UD1688" s="2477"/>
      <c r="UE1688" s="2477"/>
      <c r="UF1688" s="2477"/>
      <c r="UG1688" s="2477"/>
      <c r="UH1688" s="2477"/>
      <c r="UI1688" s="2477"/>
      <c r="UJ1688" s="2477"/>
      <c r="UK1688" s="2477"/>
      <c r="UL1688" s="2477"/>
      <c r="UM1688" s="2477"/>
      <c r="UN1688" s="2477"/>
      <c r="UO1688" s="2477"/>
      <c r="UP1688" s="2477"/>
      <c r="UQ1688" s="2477"/>
      <c r="UR1688" s="2477"/>
      <c r="US1688" s="2477"/>
      <c r="UT1688" s="2477"/>
      <c r="UU1688" s="2477"/>
      <c r="UV1688" s="2477"/>
      <c r="UW1688" s="2477"/>
      <c r="UX1688" s="2477"/>
      <c r="UY1688" s="2477"/>
      <c r="UZ1688" s="2477"/>
      <c r="VA1688" s="2477"/>
      <c r="VB1688" s="2477"/>
      <c r="VC1688" s="2477"/>
      <c r="VD1688" s="2477"/>
      <c r="VE1688" s="2477"/>
      <c r="VF1688" s="2477"/>
      <c r="VG1688" s="2477"/>
      <c r="VH1688" s="2477"/>
      <c r="VI1688" s="2477"/>
      <c r="VJ1688" s="2477"/>
      <c r="VK1688" s="2477"/>
      <c r="VL1688" s="2477"/>
      <c r="VM1688" s="2477"/>
      <c r="VN1688" s="2477"/>
      <c r="VO1688" s="2477"/>
      <c r="VP1688" s="2477"/>
      <c r="VQ1688" s="2477"/>
      <c r="VR1688" s="2477"/>
      <c r="VS1688" s="2477"/>
      <c r="VT1688" s="2477"/>
      <c r="VU1688" s="2477"/>
      <c r="VV1688" s="2477"/>
      <c r="VW1688" s="2477"/>
      <c r="VX1688" s="2477"/>
      <c r="VY1688" s="2477"/>
      <c r="VZ1688" s="2477"/>
      <c r="WA1688" s="2477"/>
      <c r="WB1688" s="2477"/>
      <c r="WC1688" s="2477"/>
      <c r="WD1688" s="2477"/>
      <c r="WE1688" s="2477"/>
      <c r="WF1688" s="2477"/>
      <c r="WG1688" s="2477"/>
      <c r="WH1688" s="2477"/>
      <c r="WI1688" s="2477"/>
      <c r="WJ1688" s="2477"/>
      <c r="WK1688" s="2477"/>
      <c r="WL1688" s="2477"/>
      <c r="WM1688" s="2477"/>
      <c r="WN1688" s="2477"/>
      <c r="WO1688" s="2477"/>
      <c r="WP1688" s="2477"/>
      <c r="WQ1688" s="2477"/>
      <c r="WR1688" s="2477"/>
      <c r="WS1688" s="2477"/>
      <c r="WT1688" s="2477"/>
      <c r="WU1688" s="2477"/>
      <c r="WV1688" s="2477"/>
      <c r="WW1688" s="2477"/>
      <c r="WX1688" s="2477"/>
      <c r="WY1688" s="2477"/>
      <c r="WZ1688" s="2477"/>
      <c r="XA1688" s="2477"/>
      <c r="XB1688" s="2477"/>
      <c r="XC1688" s="2477"/>
      <c r="XD1688" s="2477"/>
      <c r="XE1688" s="2477"/>
      <c r="XF1688" s="2477"/>
      <c r="XG1688" s="2477"/>
      <c r="XH1688" s="2477"/>
      <c r="XI1688" s="2477"/>
      <c r="XJ1688" s="2477"/>
      <c r="XK1688" s="2477"/>
      <c r="XL1688" s="2477"/>
      <c r="XM1688" s="2477"/>
      <c r="XN1688" s="2477"/>
      <c r="XO1688" s="2477"/>
      <c r="XP1688" s="2477"/>
      <c r="XQ1688" s="2477"/>
      <c r="XR1688" s="2477"/>
      <c r="XS1688" s="2477"/>
      <c r="XT1688" s="2477"/>
      <c r="XU1688" s="2477"/>
      <c r="XV1688" s="2477"/>
      <c r="XW1688" s="2477"/>
      <c r="XX1688" s="2477"/>
      <c r="XY1688" s="2477"/>
      <c r="XZ1688" s="2477"/>
      <c r="YA1688" s="2477"/>
      <c r="YB1688" s="2477"/>
      <c r="YC1688" s="2477"/>
      <c r="YD1688" s="2477"/>
      <c r="YE1688" s="2477"/>
      <c r="YF1688" s="2477"/>
      <c r="YG1688" s="2477"/>
      <c r="YH1688" s="2477"/>
      <c r="YI1688" s="2477"/>
      <c r="YJ1688" s="2477"/>
      <c r="YK1688" s="2477"/>
      <c r="YL1688" s="2477"/>
      <c r="YM1688" s="2477"/>
      <c r="YN1688" s="2477"/>
      <c r="YO1688" s="2477"/>
      <c r="YP1688" s="2477"/>
      <c r="YQ1688" s="2477"/>
      <c r="YR1688" s="2477"/>
      <c r="YS1688" s="2477"/>
      <c r="YT1688" s="2477"/>
      <c r="YU1688" s="2477"/>
      <c r="YV1688" s="2477"/>
      <c r="YW1688" s="2477"/>
      <c r="YX1688" s="2477"/>
      <c r="YY1688" s="2477"/>
      <c r="YZ1688" s="2477"/>
      <c r="ZA1688" s="2477"/>
      <c r="ZB1688" s="2477"/>
      <c r="ZC1688" s="2477"/>
      <c r="ZD1688" s="2477"/>
      <c r="ZE1688" s="2477"/>
      <c r="ZF1688" s="2477"/>
      <c r="ZG1688" s="2477"/>
      <c r="ZH1688" s="2477"/>
      <c r="ZI1688" s="2477"/>
      <c r="ZJ1688" s="2477"/>
      <c r="ZK1688" s="2477"/>
      <c r="ZL1688" s="2477"/>
      <c r="ZM1688" s="2477"/>
      <c r="ZN1688" s="2477"/>
      <c r="ZO1688" s="2477"/>
      <c r="ZP1688" s="2477"/>
      <c r="ZQ1688" s="2477"/>
      <c r="ZR1688" s="2477"/>
      <c r="ZS1688" s="2477"/>
      <c r="ZT1688" s="2477"/>
      <c r="ZU1688" s="2477"/>
      <c r="ZV1688" s="2477"/>
      <c r="ZW1688" s="2477"/>
      <c r="ZX1688" s="2477"/>
      <c r="ZY1688" s="2477"/>
      <c r="ZZ1688" s="2477"/>
      <c r="AAA1688" s="2477"/>
      <c r="AAB1688" s="2477"/>
      <c r="AAC1688" s="2477"/>
      <c r="AAD1688" s="2477"/>
      <c r="AAE1688" s="2477"/>
      <c r="AAF1688" s="2477"/>
      <c r="AAG1688" s="2477"/>
      <c r="AAH1688" s="2477"/>
      <c r="AAI1688" s="2477"/>
      <c r="AAJ1688" s="2477"/>
      <c r="AAK1688" s="2477"/>
      <c r="AAL1688" s="2477"/>
      <c r="AAM1688" s="2477"/>
      <c r="AAN1688" s="2477"/>
      <c r="AAO1688" s="2477"/>
      <c r="AAP1688" s="2477"/>
      <c r="AAQ1688" s="2477"/>
      <c r="AAR1688" s="2477"/>
      <c r="AAS1688" s="2477"/>
      <c r="AAT1688" s="2477"/>
      <c r="AAU1688" s="2477"/>
      <c r="AAV1688" s="2477"/>
      <c r="AAW1688" s="2477"/>
      <c r="AAX1688" s="2477"/>
      <c r="AAY1688" s="2477"/>
      <c r="AAZ1688" s="2477"/>
      <c r="ABA1688" s="2477"/>
      <c r="ABB1688" s="2477"/>
      <c r="ABC1688" s="2477"/>
      <c r="ABD1688" s="2477"/>
      <c r="ABE1688" s="2477"/>
      <c r="ABF1688" s="2477"/>
      <c r="ABG1688" s="2477"/>
      <c r="ABH1688" s="2477"/>
      <c r="ABI1688" s="2477"/>
      <c r="ABJ1688" s="2477"/>
      <c r="ABK1688" s="2477"/>
      <c r="ABL1688" s="2477"/>
      <c r="ABM1688" s="2477"/>
      <c r="ABN1688" s="2477"/>
      <c r="ABO1688" s="2477"/>
      <c r="ABP1688" s="2477"/>
      <c r="ABQ1688" s="2477"/>
      <c r="ABR1688" s="2477"/>
      <c r="ABS1688" s="2477"/>
      <c r="ABT1688" s="2477"/>
      <c r="ABU1688" s="2477"/>
      <c r="ABV1688" s="2477"/>
      <c r="ABW1688" s="2477"/>
      <c r="ABX1688" s="2477"/>
      <c r="ABY1688" s="2477"/>
      <c r="ABZ1688" s="2477"/>
      <c r="ACA1688" s="2477"/>
      <c r="ACB1688" s="2477"/>
      <c r="ACC1688" s="2477"/>
      <c r="ACD1688" s="2477"/>
      <c r="ACE1688" s="2477"/>
      <c r="ACF1688" s="2477"/>
      <c r="ACG1688" s="2477"/>
      <c r="ACH1688" s="2477"/>
      <c r="ACI1688" s="2477"/>
      <c r="ACJ1688" s="2477"/>
      <c r="ACK1688" s="2477"/>
      <c r="ACL1688" s="2477"/>
      <c r="ACM1688" s="2477"/>
      <c r="ACN1688" s="2477"/>
      <c r="ACO1688" s="2477"/>
      <c r="ACP1688" s="2477"/>
      <c r="ACQ1688" s="2477"/>
      <c r="ACR1688" s="2477"/>
      <c r="ACS1688" s="2477"/>
      <c r="ACT1688" s="2477"/>
      <c r="ACU1688" s="2477"/>
      <c r="ACV1688" s="2477"/>
      <c r="ACW1688" s="2477"/>
      <c r="ACX1688" s="2477"/>
      <c r="ACY1688" s="2477"/>
      <c r="ACZ1688" s="2477"/>
      <c r="ADA1688" s="2477"/>
      <c r="ADB1688" s="2477"/>
      <c r="ADC1688" s="2477"/>
      <c r="ADD1688" s="2477"/>
      <c r="ADE1688" s="2477"/>
      <c r="ADF1688" s="2477"/>
      <c r="ADG1688" s="2477"/>
      <c r="ADH1688" s="2477"/>
      <c r="ADI1688" s="2477"/>
      <c r="ADJ1688" s="2477"/>
      <c r="ADK1688" s="2477"/>
      <c r="ADL1688" s="2477"/>
      <c r="ADM1688" s="2477"/>
      <c r="ADN1688" s="2477"/>
      <c r="ADO1688" s="2477"/>
      <c r="ADP1688" s="2477"/>
      <c r="ADQ1688" s="2477"/>
      <c r="ADR1688" s="2477"/>
      <c r="ADS1688" s="2477"/>
      <c r="ADT1688" s="2477"/>
      <c r="ADU1688" s="2477"/>
      <c r="ADV1688" s="2477"/>
      <c r="ADW1688" s="2477"/>
      <c r="ADX1688" s="2477"/>
      <c r="ADY1688" s="2477"/>
      <c r="ADZ1688" s="2477"/>
      <c r="AEA1688" s="2477"/>
      <c r="AEB1688" s="2477"/>
      <c r="AEC1688" s="2477"/>
      <c r="AED1688" s="2477"/>
      <c r="AEE1688" s="2477"/>
      <c r="AEF1688" s="2477"/>
      <c r="AEG1688" s="2477"/>
      <c r="AEH1688" s="2477"/>
      <c r="AEI1688" s="2477"/>
      <c r="AEJ1688" s="2477"/>
      <c r="AEK1688" s="2477"/>
      <c r="AEL1688" s="2477"/>
      <c r="AEM1688" s="2477"/>
      <c r="AEN1688" s="2477"/>
      <c r="AEO1688" s="2477"/>
      <c r="AEP1688" s="2477"/>
      <c r="AEQ1688" s="2477"/>
      <c r="AER1688" s="2477"/>
      <c r="AES1688" s="2477"/>
      <c r="AET1688" s="2477"/>
      <c r="AEU1688" s="2477"/>
      <c r="AEV1688" s="2477"/>
      <c r="AEW1688" s="2477"/>
      <c r="AEX1688" s="2477"/>
      <c r="AEY1688" s="2477"/>
      <c r="AEZ1688" s="2477"/>
      <c r="AFA1688" s="2477"/>
      <c r="AFB1688" s="2477"/>
      <c r="AFC1688" s="2477"/>
      <c r="AFD1688" s="2477"/>
      <c r="AFE1688" s="2477"/>
      <c r="AFF1688" s="2477"/>
      <c r="AFG1688" s="2477"/>
      <c r="AFH1688" s="2477"/>
      <c r="AFI1688" s="2477"/>
      <c r="AFJ1688" s="2477"/>
      <c r="AFK1688" s="2477"/>
      <c r="AFL1688" s="2477"/>
      <c r="AFM1688" s="2477"/>
      <c r="AFN1688" s="2477"/>
      <c r="AFO1688" s="2477"/>
      <c r="AFP1688" s="2477"/>
      <c r="AFQ1688" s="2477"/>
      <c r="AFR1688" s="2477"/>
      <c r="AFS1688" s="2477"/>
      <c r="AFT1688" s="2477"/>
      <c r="AFU1688" s="2477"/>
      <c r="AFV1688" s="2477"/>
      <c r="AFW1688" s="2477"/>
      <c r="AFX1688" s="2477"/>
      <c r="AFY1688" s="2477"/>
      <c r="AFZ1688" s="2477"/>
      <c r="AGA1688" s="2477"/>
      <c r="AGB1688" s="2477"/>
      <c r="AGC1688" s="2477"/>
      <c r="AGD1688" s="2477"/>
      <c r="AGE1688" s="2477"/>
      <c r="AGF1688" s="2477"/>
      <c r="AGG1688" s="2477"/>
      <c r="AGH1688" s="2477"/>
      <c r="AGI1688" s="2477"/>
      <c r="AGJ1688" s="2477"/>
      <c r="AGK1688" s="2477"/>
      <c r="AGL1688" s="2477"/>
      <c r="AGM1688" s="2477"/>
      <c r="AGN1688" s="2477"/>
      <c r="AGO1688" s="2477"/>
      <c r="AGP1688" s="2477"/>
      <c r="AGQ1688" s="2477"/>
      <c r="AGR1688" s="2477"/>
      <c r="AGS1688" s="2477"/>
      <c r="AGT1688" s="2477"/>
      <c r="AGU1688" s="2477"/>
      <c r="AGV1688" s="2477"/>
      <c r="AGW1688" s="2477"/>
      <c r="AGX1688" s="2477"/>
      <c r="AGY1688" s="2477"/>
      <c r="AGZ1688" s="2477"/>
      <c r="AHA1688" s="2477"/>
      <c r="AHB1688" s="2477"/>
      <c r="AHC1688" s="2477"/>
      <c r="AHD1688" s="2477"/>
      <c r="AHE1688" s="2477"/>
      <c r="AHF1688" s="2477"/>
      <c r="AHG1688" s="2477"/>
      <c r="AHH1688" s="2477"/>
      <c r="AHI1688" s="2477"/>
      <c r="AHJ1688" s="2477"/>
      <c r="AHK1688" s="2477"/>
      <c r="AHL1688" s="2477"/>
      <c r="AHM1688" s="2477"/>
      <c r="AHN1688" s="2477"/>
      <c r="AHO1688" s="2477"/>
      <c r="AHP1688" s="2477"/>
      <c r="AHQ1688" s="2477"/>
      <c r="AHR1688" s="2477"/>
      <c r="AHS1688" s="2477"/>
      <c r="AHT1688" s="2477"/>
      <c r="AHU1688" s="2477"/>
      <c r="AHV1688" s="2477"/>
      <c r="AHW1688" s="2477"/>
      <c r="AHX1688" s="2477"/>
      <c r="AHY1688" s="2477"/>
      <c r="AHZ1688" s="2477"/>
      <c r="AIA1688" s="2477"/>
      <c r="AIB1688" s="2477"/>
      <c r="AIC1688" s="2477"/>
      <c r="AID1688" s="2477"/>
      <c r="AIE1688" s="2477"/>
      <c r="AIF1688" s="2477"/>
      <c r="AIG1688" s="2477"/>
      <c r="AIH1688" s="2477"/>
      <c r="AII1688" s="2477"/>
      <c r="AIJ1688" s="2477"/>
      <c r="AIK1688" s="2477"/>
      <c r="AIL1688" s="2477"/>
      <c r="AIM1688" s="2477"/>
      <c r="AIN1688" s="2477"/>
      <c r="AIO1688" s="2477"/>
      <c r="AIP1688" s="2477"/>
      <c r="AIQ1688" s="2477"/>
      <c r="AIR1688" s="2477"/>
      <c r="AIS1688" s="2477"/>
      <c r="AIT1688" s="2477"/>
      <c r="AIU1688" s="2477"/>
      <c r="AIV1688" s="2477"/>
      <c r="AIW1688" s="2477"/>
      <c r="AIX1688" s="2477"/>
      <c r="AIY1688" s="2477"/>
      <c r="AIZ1688" s="2477"/>
      <c r="AJA1688" s="2477"/>
      <c r="AJB1688" s="2477"/>
      <c r="AJC1688" s="2477"/>
      <c r="AJD1688" s="2477"/>
      <c r="AJE1688" s="2477"/>
      <c r="AJF1688" s="2477"/>
      <c r="AJG1688" s="2477"/>
      <c r="AJH1688" s="2477"/>
      <c r="AJI1688" s="2477"/>
      <c r="AJJ1688" s="2477"/>
      <c r="AJK1688" s="2477"/>
      <c r="AJL1688" s="2477"/>
      <c r="AJM1688" s="2477"/>
      <c r="AJN1688" s="2477"/>
      <c r="AJO1688" s="2477"/>
      <c r="AJP1688" s="2477"/>
      <c r="AJQ1688" s="2477"/>
      <c r="AJR1688" s="2477"/>
      <c r="AJS1688" s="2477"/>
      <c r="AJT1688" s="2477"/>
      <c r="AJU1688" s="2477"/>
      <c r="AJV1688" s="2477"/>
      <c r="AJW1688" s="2477"/>
      <c r="AJX1688" s="2477"/>
      <c r="AJY1688" s="2477"/>
      <c r="AJZ1688" s="2477"/>
      <c r="AKA1688" s="2477"/>
      <c r="AKB1688" s="2477"/>
      <c r="AKC1688" s="2477"/>
      <c r="AKD1688" s="2477"/>
      <c r="AKE1688" s="2477"/>
      <c r="AKF1688" s="2477"/>
      <c r="AKG1688" s="2477"/>
      <c r="AKH1688" s="2477"/>
      <c r="AKI1688" s="2477"/>
      <c r="AKJ1688" s="2477"/>
      <c r="AKK1688" s="2477"/>
      <c r="AKL1688" s="2477"/>
      <c r="AKM1688" s="2477"/>
      <c r="AKN1688" s="2477"/>
      <c r="AKO1688" s="2477"/>
      <c r="AKP1688" s="2477"/>
      <c r="AKQ1688" s="2477"/>
      <c r="AKR1688" s="2477"/>
      <c r="AKS1688" s="2477"/>
      <c r="AKT1688" s="2477"/>
      <c r="AKU1688" s="2477"/>
      <c r="AKV1688" s="2477"/>
      <c r="AKW1688" s="2477"/>
      <c r="AKX1688" s="2477"/>
      <c r="AKY1688" s="2477"/>
      <c r="AKZ1688" s="2477"/>
      <c r="ALA1688" s="2477"/>
      <c r="ALB1688" s="2477"/>
      <c r="ALC1688" s="2477"/>
      <c r="ALD1688" s="2477"/>
      <c r="ALE1688" s="2477"/>
      <c r="ALF1688" s="2477"/>
      <c r="ALG1688" s="2477"/>
      <c r="ALH1688" s="2477"/>
      <c r="ALI1688" s="2477"/>
      <c r="ALJ1688" s="2477"/>
      <c r="ALK1688" s="2477"/>
      <c r="ALL1688" s="2477"/>
      <c r="ALM1688" s="2477"/>
      <c r="ALN1688" s="2477"/>
      <c r="ALO1688" s="2477"/>
      <c r="ALP1688" s="2477"/>
      <c r="ALQ1688" s="2477"/>
      <c r="ALR1688" s="2477"/>
      <c r="ALS1688" s="2477"/>
      <c r="ALT1688" s="2477"/>
      <c r="ALU1688" s="2477"/>
      <c r="ALV1688" s="2477"/>
      <c r="ALW1688" s="2477"/>
      <c r="ALX1688" s="2477"/>
      <c r="ALY1688" s="2477"/>
      <c r="ALZ1688" s="2477"/>
      <c r="AMA1688" s="2477"/>
      <c r="AMB1688" s="2477"/>
      <c r="AMC1688" s="2477"/>
      <c r="AMD1688" s="2477"/>
      <c r="AME1688" s="2477"/>
      <c r="AMF1688" s="2477"/>
      <c r="AMG1688" s="2477"/>
      <c r="AMH1688" s="2477"/>
      <c r="AMI1688" s="2477"/>
      <c r="AMJ1688" s="2477"/>
      <c r="AMK1688" s="2477"/>
      <c r="AML1688" s="2477"/>
      <c r="AMM1688" s="2477"/>
      <c r="AMN1688" s="2477"/>
      <c r="AMO1688" s="2477"/>
      <c r="AMP1688" s="2477"/>
      <c r="AMQ1688" s="2477"/>
      <c r="AMR1688" s="2477"/>
      <c r="AMS1688" s="2477"/>
      <c r="AMT1688" s="2477"/>
      <c r="AMU1688" s="2477"/>
      <c r="AMV1688" s="2477"/>
      <c r="AMW1688" s="2477"/>
      <c r="AMX1688" s="2477"/>
      <c r="AMY1688" s="2477"/>
      <c r="AMZ1688" s="2477"/>
      <c r="ANA1688" s="2477"/>
      <c r="ANB1688" s="2477"/>
      <c r="ANC1688" s="2477"/>
      <c r="AND1688" s="2477"/>
      <c r="ANE1688" s="2477"/>
      <c r="ANF1688" s="2477"/>
      <c r="ANG1688" s="2477"/>
      <c r="ANH1688" s="2477"/>
      <c r="ANI1688" s="2477"/>
      <c r="ANJ1688" s="2477"/>
      <c r="ANK1688" s="2477"/>
      <c r="ANL1688" s="2477"/>
      <c r="ANM1688" s="2477"/>
      <c r="ANN1688" s="2477"/>
      <c r="ANO1688" s="2477"/>
      <c r="ANP1688" s="2477"/>
      <c r="ANQ1688" s="2477"/>
      <c r="ANR1688" s="2477"/>
      <c r="ANS1688" s="2477"/>
      <c r="ANT1688" s="2477"/>
      <c r="ANU1688" s="2477"/>
      <c r="ANV1688" s="2477"/>
      <c r="ANW1688" s="2477"/>
      <c r="ANX1688" s="2477"/>
      <c r="ANY1688" s="2477"/>
      <c r="ANZ1688" s="2477"/>
      <c r="AOA1688" s="2477"/>
      <c r="AOB1688" s="2477"/>
      <c r="AOC1688" s="2477"/>
      <c r="AOD1688" s="2477"/>
      <c r="AOE1688" s="2477"/>
      <c r="AOF1688" s="2477"/>
      <c r="AOG1688" s="2477"/>
      <c r="AOH1688" s="2477"/>
      <c r="AOI1688" s="2477"/>
      <c r="AOJ1688" s="2477"/>
      <c r="AOK1688" s="2477"/>
      <c r="AOL1688" s="2477"/>
      <c r="AOM1688" s="2477"/>
      <c r="AON1688" s="2477"/>
      <c r="AOO1688" s="2477"/>
      <c r="AOP1688" s="2477"/>
      <c r="AOQ1688" s="2477"/>
      <c r="AOR1688" s="2477"/>
      <c r="AOS1688" s="2477"/>
      <c r="AOT1688" s="2477"/>
      <c r="AOU1688" s="2477"/>
      <c r="AOV1688" s="2477"/>
      <c r="AOW1688" s="2477"/>
      <c r="AOX1688" s="2477"/>
      <c r="AOY1688" s="2477"/>
      <c r="AOZ1688" s="2477"/>
      <c r="APA1688" s="2477"/>
      <c r="APB1688" s="2477"/>
      <c r="APC1688" s="2477"/>
      <c r="APD1688" s="2477"/>
      <c r="APE1688" s="2477"/>
      <c r="APF1688" s="2477"/>
      <c r="APG1688" s="2477"/>
      <c r="APH1688" s="2477"/>
      <c r="API1688" s="2477"/>
      <c r="APJ1688" s="2477"/>
      <c r="APK1688" s="2477"/>
      <c r="APL1688" s="2477"/>
      <c r="APM1688" s="2477"/>
      <c r="APN1688" s="2477"/>
      <c r="APO1688" s="2477"/>
      <c r="APP1688" s="2477"/>
      <c r="APQ1688" s="2477"/>
      <c r="APR1688" s="2477"/>
      <c r="APS1688" s="2477"/>
      <c r="APT1688" s="2477"/>
      <c r="APU1688" s="2477"/>
      <c r="APV1688" s="2477"/>
      <c r="APW1688" s="2477"/>
      <c r="APX1688" s="2477"/>
      <c r="APY1688" s="2477"/>
      <c r="APZ1688" s="2477"/>
      <c r="AQA1688" s="2477"/>
      <c r="AQB1688" s="2477"/>
      <c r="AQC1688" s="2477"/>
      <c r="AQD1688" s="2477"/>
      <c r="AQE1688" s="2477"/>
      <c r="AQF1688" s="2477"/>
      <c r="AQG1688" s="2477"/>
      <c r="AQH1688" s="2477"/>
      <c r="AQI1688" s="2477"/>
      <c r="AQJ1688" s="2477"/>
      <c r="AQK1688" s="2477"/>
      <c r="AQL1688" s="2477"/>
      <c r="AQM1688" s="2477"/>
      <c r="AQN1688" s="2477"/>
      <c r="AQO1688" s="2477"/>
      <c r="AQP1688" s="2477"/>
      <c r="AQQ1688" s="2477"/>
      <c r="AQR1688" s="2477"/>
      <c r="AQS1688" s="2477"/>
      <c r="AQT1688" s="2477"/>
      <c r="AQU1688" s="2477"/>
      <c r="AQV1688" s="2477"/>
      <c r="AQW1688" s="2477"/>
      <c r="AQX1688" s="2477"/>
      <c r="AQY1688" s="2477"/>
      <c r="AQZ1688" s="2477"/>
      <c r="ARA1688" s="2477"/>
      <c r="ARB1688" s="2477"/>
      <c r="ARC1688" s="2477"/>
      <c r="ARD1688" s="2477"/>
      <c r="ARE1688" s="2477"/>
      <c r="ARF1688" s="2477"/>
      <c r="ARG1688" s="2477"/>
      <c r="ARH1688" s="2477"/>
      <c r="ARI1688" s="2477"/>
      <c r="ARJ1688" s="2477"/>
      <c r="ARK1688" s="2477"/>
      <c r="ARL1688" s="2477"/>
      <c r="ARM1688" s="2477"/>
      <c r="ARN1688" s="2477"/>
      <c r="ARO1688" s="2477"/>
      <c r="ARP1688" s="2477"/>
      <c r="ARQ1688" s="2477"/>
      <c r="ARR1688" s="2477"/>
      <c r="ARS1688" s="2477"/>
      <c r="ART1688" s="2477"/>
      <c r="ARU1688" s="2477"/>
      <c r="ARV1688" s="2477"/>
      <c r="ARW1688" s="2477"/>
      <c r="ARX1688" s="2477"/>
      <c r="ARY1688" s="2477"/>
      <c r="ARZ1688" s="2477"/>
      <c r="ASA1688" s="2477"/>
      <c r="ASB1688" s="2477"/>
      <c r="ASC1688" s="2477"/>
      <c r="ASD1688" s="2477"/>
      <c r="ASE1688" s="2477"/>
      <c r="ASF1688" s="2477"/>
      <c r="ASG1688" s="2477"/>
      <c r="ASH1688" s="2477"/>
      <c r="ASI1688" s="2477"/>
      <c r="ASJ1688" s="2477"/>
      <c r="ASK1688" s="2477"/>
      <c r="ASL1688" s="2477"/>
      <c r="ASM1688" s="2477"/>
      <c r="ASN1688" s="2477"/>
      <c r="ASO1688" s="2477"/>
      <c r="ASP1688" s="2477"/>
      <c r="ASQ1688" s="2477"/>
      <c r="ASR1688" s="2477"/>
      <c r="ASS1688" s="2477"/>
      <c r="AST1688" s="2477"/>
      <c r="ASU1688" s="2477"/>
      <c r="ASV1688" s="2477"/>
      <c r="ASW1688" s="2477"/>
      <c r="ASX1688" s="2477"/>
      <c r="ASY1688" s="2477"/>
      <c r="ASZ1688" s="2477"/>
      <c r="ATA1688" s="2477"/>
      <c r="ATB1688" s="2477"/>
      <c r="ATC1688" s="2477"/>
      <c r="ATD1688" s="2477"/>
      <c r="ATE1688" s="2477"/>
      <c r="ATF1688" s="2477"/>
      <c r="ATG1688" s="2477"/>
      <c r="ATH1688" s="2477"/>
      <c r="ATI1688" s="2477"/>
      <c r="ATJ1688" s="2477"/>
      <c r="ATK1688" s="2477"/>
      <c r="ATL1688" s="2477"/>
      <c r="ATM1688" s="2477"/>
      <c r="ATN1688" s="2477"/>
      <c r="ATO1688" s="2477"/>
      <c r="ATP1688" s="2477"/>
      <c r="ATQ1688" s="2477"/>
      <c r="ATR1688" s="2477"/>
      <c r="ATS1688" s="2477"/>
      <c r="ATT1688" s="2477"/>
      <c r="ATU1688" s="2477"/>
      <c r="ATV1688" s="2477"/>
      <c r="ATW1688" s="2477"/>
      <c r="ATX1688" s="2477"/>
      <c r="ATY1688" s="2477"/>
      <c r="ATZ1688" s="2477"/>
      <c r="AUA1688" s="2477"/>
      <c r="AUB1688" s="2477"/>
      <c r="AUC1688" s="2477"/>
      <c r="AUD1688" s="2477"/>
      <c r="AUE1688" s="2477"/>
      <c r="AUF1688" s="2477"/>
      <c r="AUG1688" s="2477"/>
      <c r="AUH1688" s="2477"/>
      <c r="AUI1688" s="2477"/>
      <c r="AUJ1688" s="2477"/>
      <c r="AUK1688" s="2477"/>
      <c r="AUL1688" s="2477"/>
      <c r="AUM1688" s="2477"/>
      <c r="AUN1688" s="2477"/>
      <c r="AUO1688" s="2477"/>
      <c r="AUP1688" s="2477"/>
      <c r="AUQ1688" s="2477"/>
      <c r="AUR1688" s="2477"/>
      <c r="AUS1688" s="2477"/>
      <c r="AUT1688" s="2477"/>
      <c r="AUU1688" s="2477"/>
      <c r="AUV1688" s="2477"/>
      <c r="AUW1688" s="2477"/>
      <c r="AUX1688" s="2477"/>
      <c r="AUY1688" s="2477"/>
      <c r="AUZ1688" s="2477"/>
      <c r="AVA1688" s="2477"/>
      <c r="AVB1688" s="2477"/>
      <c r="AVC1688" s="2477"/>
      <c r="AVD1688" s="2477"/>
      <c r="AVE1688" s="2477"/>
      <c r="AVF1688" s="2477"/>
      <c r="AVG1688" s="2477"/>
      <c r="AVH1688" s="2477"/>
      <c r="AVI1688" s="2477"/>
      <c r="AVJ1688" s="2477"/>
      <c r="AVK1688" s="2477"/>
      <c r="AVL1688" s="2477"/>
      <c r="AVM1688" s="2477"/>
      <c r="AVN1688" s="2477"/>
      <c r="AVO1688" s="2477"/>
      <c r="AVP1688" s="2477"/>
      <c r="AVQ1688" s="2477"/>
      <c r="AVR1688" s="2477"/>
      <c r="AVS1688" s="2477"/>
      <c r="AVT1688" s="2477"/>
      <c r="AVU1688" s="2477"/>
      <c r="AVV1688" s="2477"/>
      <c r="AVW1688" s="2477"/>
      <c r="AVX1688" s="2477"/>
      <c r="AVY1688" s="2477"/>
      <c r="AVZ1688" s="2477"/>
      <c r="AWA1688" s="2477"/>
      <c r="AWB1688" s="2477"/>
      <c r="AWC1688" s="2477"/>
      <c r="AWD1688" s="2477"/>
      <c r="AWE1688" s="2477"/>
      <c r="AWF1688" s="2477"/>
      <c r="AWG1688" s="2477"/>
      <c r="AWH1688" s="2477"/>
      <c r="AWI1688" s="2477"/>
      <c r="AWJ1688" s="2477"/>
      <c r="AWK1688" s="2477"/>
      <c r="AWL1688" s="2477"/>
      <c r="AWM1688" s="2477"/>
      <c r="AWN1688" s="2477"/>
      <c r="AWO1688" s="2477"/>
      <c r="AWP1688" s="2477"/>
      <c r="AWQ1688" s="2477"/>
      <c r="AWR1688" s="2477"/>
      <c r="AWS1688" s="2477"/>
      <c r="AWT1688" s="2477"/>
      <c r="AWU1688" s="2477"/>
      <c r="AWV1688" s="2477"/>
      <c r="AWW1688" s="2477"/>
      <c r="AWX1688" s="2477"/>
      <c r="AWY1688" s="2477"/>
      <c r="AWZ1688" s="2477"/>
      <c r="AXA1688" s="2477"/>
      <c r="AXB1688" s="2477"/>
      <c r="AXC1688" s="2477"/>
      <c r="AXD1688" s="2477"/>
      <c r="AXE1688" s="2477"/>
      <c r="AXF1688" s="2477"/>
      <c r="AXG1688" s="2477"/>
      <c r="AXH1688" s="2477"/>
      <c r="AXI1688" s="2477"/>
      <c r="AXJ1688" s="2477"/>
      <c r="AXK1688" s="2477"/>
      <c r="AXL1688" s="2477"/>
      <c r="AXM1688" s="2477"/>
      <c r="AXN1688" s="2477"/>
      <c r="AXO1688" s="2477"/>
      <c r="AXP1688" s="2477"/>
      <c r="AXQ1688" s="2477"/>
      <c r="AXR1688" s="2477"/>
      <c r="AXS1688" s="2477"/>
      <c r="AXT1688" s="2477"/>
      <c r="AXU1688" s="2477"/>
      <c r="AXV1688" s="2477"/>
      <c r="AXW1688" s="2477"/>
      <c r="AXX1688" s="2477"/>
      <c r="AXY1688" s="2477"/>
      <c r="AXZ1688" s="2477"/>
      <c r="AYA1688" s="2477"/>
      <c r="AYB1688" s="2477"/>
      <c r="AYC1688" s="2477"/>
      <c r="AYD1688" s="2477"/>
      <c r="AYE1688" s="2477"/>
      <c r="AYF1688" s="2477"/>
      <c r="AYG1688" s="2477"/>
      <c r="AYH1688" s="2477"/>
      <c r="AYI1688" s="2477"/>
      <c r="AYJ1688" s="2477"/>
      <c r="AYK1688" s="2477"/>
      <c r="AYL1688" s="2477"/>
      <c r="AYM1688" s="2477"/>
      <c r="AYN1688" s="2477"/>
      <c r="AYO1688" s="2477"/>
      <c r="AYP1688" s="2477"/>
      <c r="AYQ1688" s="2477"/>
      <c r="AYR1688" s="2477"/>
      <c r="AYS1688" s="2477"/>
      <c r="AYT1688" s="2477"/>
      <c r="AYU1688" s="2477"/>
      <c r="AYV1688" s="2477"/>
      <c r="AYW1688" s="2477"/>
      <c r="AYX1688" s="2477"/>
      <c r="AYY1688" s="2477"/>
      <c r="AYZ1688" s="2477"/>
      <c r="AZA1688" s="2477"/>
      <c r="AZB1688" s="2477"/>
      <c r="AZC1688" s="2477"/>
      <c r="AZD1688" s="2477"/>
      <c r="AZE1688" s="2477"/>
      <c r="AZF1688" s="2477"/>
      <c r="AZG1688" s="2477"/>
      <c r="AZH1688" s="2477"/>
      <c r="AZI1688" s="2477"/>
      <c r="AZJ1688" s="2477"/>
      <c r="AZK1688" s="2477"/>
      <c r="AZL1688" s="2477"/>
      <c r="AZM1688" s="2477"/>
      <c r="AZN1688" s="2477"/>
      <c r="AZO1688" s="2477"/>
      <c r="AZP1688" s="2477"/>
      <c r="AZQ1688" s="2477"/>
      <c r="AZR1688" s="2477"/>
      <c r="AZS1688" s="2477"/>
      <c r="AZT1688" s="2477"/>
      <c r="AZU1688" s="2477"/>
      <c r="AZV1688" s="2477"/>
      <c r="AZW1688" s="2477"/>
      <c r="AZX1688" s="2477"/>
      <c r="AZY1688" s="2477"/>
      <c r="AZZ1688" s="2477"/>
      <c r="BAA1688" s="2477"/>
      <c r="BAB1688" s="2477"/>
      <c r="BAC1688" s="2477"/>
      <c r="BAD1688" s="2477"/>
      <c r="BAE1688" s="2477"/>
      <c r="BAF1688" s="2477"/>
      <c r="BAG1688" s="2477"/>
      <c r="BAH1688" s="2477"/>
      <c r="BAI1688" s="2477"/>
      <c r="BAJ1688" s="2477"/>
      <c r="BAK1688" s="2477"/>
      <c r="BAL1688" s="2477"/>
      <c r="BAM1688" s="2477"/>
      <c r="BAN1688" s="2477"/>
      <c r="BAO1688" s="2477"/>
      <c r="BAP1688" s="2477"/>
      <c r="BAQ1688" s="2477"/>
      <c r="BAR1688" s="2477"/>
      <c r="BAS1688" s="2477"/>
      <c r="BAT1688" s="2477"/>
      <c r="BAU1688" s="2477"/>
      <c r="BAV1688" s="2477"/>
      <c r="BAW1688" s="2477"/>
      <c r="BAX1688" s="2477"/>
      <c r="BAY1688" s="2477"/>
      <c r="BAZ1688" s="2477"/>
      <c r="BBA1688" s="2477"/>
      <c r="BBB1688" s="2477"/>
      <c r="BBC1688" s="2477"/>
      <c r="BBD1688" s="2477"/>
      <c r="BBE1688" s="2477"/>
      <c r="BBF1688" s="2477"/>
      <c r="BBG1688" s="2477"/>
      <c r="BBH1688" s="2477"/>
      <c r="BBI1688" s="2477"/>
      <c r="BBJ1688" s="2477"/>
      <c r="BBK1688" s="2477"/>
      <c r="BBL1688" s="2477"/>
      <c r="BBM1688" s="2477"/>
      <c r="BBN1688" s="2477"/>
      <c r="BBO1688" s="2477"/>
      <c r="BBP1688" s="2477"/>
      <c r="BBQ1688" s="2477"/>
      <c r="BBR1688" s="2477"/>
      <c r="BBS1688" s="2477"/>
      <c r="BBT1688" s="2477"/>
      <c r="BBU1688" s="2477"/>
      <c r="BBV1688" s="2477"/>
      <c r="BBW1688" s="2477"/>
      <c r="BBX1688" s="2477"/>
      <c r="BBY1688" s="2477"/>
      <c r="BBZ1688" s="2477"/>
      <c r="BCA1688" s="2477"/>
      <c r="BCB1688" s="2477"/>
      <c r="BCC1688" s="2477"/>
      <c r="BCD1688" s="2477"/>
      <c r="BCE1688" s="2477"/>
      <c r="BCF1688" s="2477"/>
      <c r="BCG1688" s="2477"/>
      <c r="BCH1688" s="2477"/>
      <c r="BCI1688" s="2477"/>
      <c r="BCJ1688" s="2477"/>
      <c r="BCK1688" s="2477"/>
      <c r="BCL1688" s="2477"/>
      <c r="BCM1688" s="2477"/>
      <c r="BCN1688" s="2477"/>
      <c r="BCO1688" s="2477"/>
      <c r="BCP1688" s="2477"/>
      <c r="BCQ1688" s="2477"/>
      <c r="BCR1688" s="2477"/>
      <c r="BCS1688" s="2477"/>
      <c r="BCT1688" s="2477"/>
      <c r="BCU1688" s="2477"/>
      <c r="BCV1688" s="2477"/>
      <c r="BCW1688" s="2477"/>
      <c r="BCX1688" s="2477"/>
      <c r="BCY1688" s="2477"/>
      <c r="BCZ1688" s="2477"/>
      <c r="BDA1688" s="2477"/>
      <c r="BDB1688" s="2477"/>
      <c r="BDC1688" s="2477"/>
      <c r="BDD1688" s="2477"/>
      <c r="BDE1688" s="2477"/>
      <c r="BDF1688" s="2477"/>
      <c r="BDG1688" s="2477"/>
      <c r="BDH1688" s="2477"/>
      <c r="BDI1688" s="2477"/>
      <c r="BDJ1688" s="2477"/>
      <c r="BDK1688" s="2477"/>
      <c r="BDL1688" s="2477"/>
      <c r="BDM1688" s="2477"/>
      <c r="BDN1688" s="2477"/>
      <c r="BDO1688" s="2477"/>
      <c r="BDP1688" s="2477"/>
      <c r="BDQ1688" s="2477"/>
      <c r="BDR1688" s="2477"/>
      <c r="BDS1688" s="2477"/>
      <c r="BDT1688" s="2477"/>
      <c r="BDU1688" s="2477"/>
      <c r="BDV1688" s="2477"/>
      <c r="BDW1688" s="2477"/>
      <c r="BDX1688" s="2477"/>
      <c r="BDY1688" s="2477"/>
      <c r="BDZ1688" s="2477"/>
      <c r="BEA1688" s="2477"/>
      <c r="BEB1688" s="2477"/>
      <c r="BEC1688" s="2477"/>
      <c r="BED1688" s="2477"/>
      <c r="BEE1688" s="2477"/>
      <c r="BEF1688" s="2477"/>
      <c r="BEG1688" s="2477"/>
      <c r="BEH1688" s="2477"/>
      <c r="BEI1688" s="2477"/>
      <c r="BEJ1688" s="2477"/>
      <c r="BEK1688" s="2477"/>
      <c r="BEL1688" s="2477"/>
      <c r="BEM1688" s="2477"/>
      <c r="BEN1688" s="2477"/>
      <c r="BEO1688" s="2477"/>
      <c r="BEP1688" s="2477"/>
      <c r="BEQ1688" s="2477"/>
      <c r="BER1688" s="2477"/>
      <c r="BES1688" s="2477"/>
      <c r="BET1688" s="2477"/>
      <c r="BEU1688" s="2477"/>
      <c r="BEV1688" s="2477"/>
      <c r="BEW1688" s="2477"/>
      <c r="BEX1688" s="2477"/>
      <c r="BEY1688" s="2477"/>
      <c r="BEZ1688" s="2477"/>
      <c r="BFA1688" s="2477"/>
      <c r="BFB1688" s="2477"/>
      <c r="BFC1688" s="2477"/>
      <c r="BFD1688" s="2477"/>
      <c r="BFE1688" s="2477"/>
      <c r="BFF1688" s="2477"/>
      <c r="BFG1688" s="2477"/>
      <c r="BFH1688" s="2477"/>
      <c r="BFI1688" s="2477"/>
      <c r="BFJ1688" s="2477"/>
      <c r="BFK1688" s="2477"/>
      <c r="BFL1688" s="2477"/>
      <c r="BFM1688" s="2477"/>
      <c r="BFN1688" s="2477"/>
      <c r="BFO1688" s="2477"/>
      <c r="BFP1688" s="2477"/>
      <c r="BFQ1688" s="2477"/>
      <c r="BFR1688" s="2477"/>
      <c r="BFS1688" s="2477"/>
      <c r="BFT1688" s="2477"/>
      <c r="BFU1688" s="2477"/>
      <c r="BFV1688" s="2477"/>
      <c r="BFW1688" s="2477"/>
      <c r="BFX1688" s="2477"/>
      <c r="BFY1688" s="2477"/>
      <c r="BFZ1688" s="2477"/>
      <c r="BGA1688" s="2477"/>
      <c r="BGB1688" s="2477"/>
      <c r="BGC1688" s="2477"/>
      <c r="BGD1688" s="2477"/>
      <c r="BGE1688" s="2477"/>
      <c r="BGF1688" s="2477"/>
      <c r="BGG1688" s="2477"/>
      <c r="BGH1688" s="2477"/>
      <c r="BGI1688" s="2477"/>
      <c r="BGJ1688" s="2477"/>
      <c r="BGK1688" s="2477"/>
      <c r="BGL1688" s="2477"/>
      <c r="BGM1688" s="2477"/>
      <c r="BGN1688" s="2477"/>
      <c r="BGO1688" s="2477"/>
      <c r="BGP1688" s="2477"/>
      <c r="BGQ1688" s="2477"/>
      <c r="BGR1688" s="2477"/>
      <c r="BGS1688" s="2477"/>
      <c r="BGT1688" s="2477"/>
      <c r="BGU1688" s="2477"/>
      <c r="BGV1688" s="2477"/>
      <c r="BGW1688" s="2477"/>
      <c r="BGX1688" s="2477"/>
      <c r="BGY1688" s="2477"/>
      <c r="BGZ1688" s="2477"/>
      <c r="BHA1688" s="2477"/>
      <c r="BHB1688" s="2477"/>
      <c r="BHC1688" s="2477"/>
      <c r="BHD1688" s="2477"/>
      <c r="BHE1688" s="2477"/>
      <c r="BHF1688" s="2477"/>
      <c r="BHG1688" s="2477"/>
      <c r="BHH1688" s="2477"/>
      <c r="BHI1688" s="2477"/>
      <c r="BHJ1688" s="2477"/>
      <c r="BHK1688" s="2477"/>
      <c r="BHL1688" s="2477"/>
      <c r="BHM1688" s="2477"/>
      <c r="BHN1688" s="2477"/>
      <c r="BHO1688" s="2477"/>
      <c r="BHP1688" s="2477"/>
      <c r="BHQ1688" s="2477"/>
      <c r="BHR1688" s="2477"/>
      <c r="BHS1688" s="2477"/>
      <c r="BHT1688" s="2477"/>
      <c r="BHU1688" s="2477"/>
      <c r="BHV1688" s="2477"/>
      <c r="BHW1688" s="2477"/>
      <c r="BHX1688" s="2477"/>
      <c r="BHY1688" s="2477"/>
      <c r="BHZ1688" s="2477"/>
      <c r="BIA1688" s="2477"/>
      <c r="BIB1688" s="2477"/>
      <c r="BIC1688" s="2477"/>
      <c r="BID1688" s="2477"/>
      <c r="BIE1688" s="2477"/>
      <c r="BIF1688" s="2477"/>
      <c r="BIG1688" s="2477"/>
      <c r="BIH1688" s="2477"/>
      <c r="BII1688" s="2477"/>
      <c r="BIJ1688" s="2477"/>
      <c r="BIK1688" s="2477"/>
      <c r="BIL1688" s="2477"/>
      <c r="BIM1688" s="2477"/>
      <c r="BIN1688" s="2477"/>
      <c r="BIO1688" s="2477"/>
      <c r="BIP1688" s="2477"/>
      <c r="BIQ1688" s="2477"/>
      <c r="BIR1688" s="2477"/>
      <c r="BIS1688" s="2477"/>
      <c r="BIT1688" s="2477"/>
      <c r="BIU1688" s="2477"/>
      <c r="BIV1688" s="2477"/>
      <c r="BIW1688" s="2477"/>
      <c r="BIX1688" s="2477"/>
      <c r="BIY1688" s="2477"/>
      <c r="BIZ1688" s="2477"/>
      <c r="BJA1688" s="2477"/>
      <c r="BJB1688" s="2477"/>
      <c r="BJC1688" s="2477"/>
      <c r="BJD1688" s="2477"/>
      <c r="BJE1688" s="2477"/>
      <c r="BJF1688" s="2477"/>
      <c r="BJG1688" s="2477"/>
      <c r="BJH1688" s="2477"/>
      <c r="BJI1688" s="2477"/>
      <c r="BJJ1688" s="2477"/>
      <c r="BJK1688" s="2477"/>
      <c r="BJL1688" s="2477"/>
      <c r="BJM1688" s="2477"/>
      <c r="BJN1688" s="2477"/>
      <c r="BJO1688" s="2477"/>
      <c r="BJP1688" s="2477"/>
      <c r="BJQ1688" s="2477"/>
      <c r="BJR1688" s="2477"/>
      <c r="BJS1688" s="2477"/>
      <c r="BJT1688" s="2477"/>
      <c r="BJU1688" s="2477"/>
      <c r="BJV1688" s="2477"/>
      <c r="BJW1688" s="2477"/>
      <c r="BJX1688" s="2477"/>
      <c r="BJY1688" s="2477"/>
      <c r="BJZ1688" s="2477"/>
      <c r="BKA1688" s="2477"/>
      <c r="BKB1688" s="2477"/>
      <c r="BKC1688" s="2477"/>
      <c r="BKD1688" s="2477"/>
      <c r="BKE1688" s="2477"/>
      <c r="BKF1688" s="2477"/>
      <c r="BKG1688" s="2477"/>
      <c r="BKH1688" s="2477"/>
      <c r="BKI1688" s="2477"/>
      <c r="BKJ1688" s="2477"/>
      <c r="BKK1688" s="2477"/>
      <c r="BKL1688" s="2477"/>
      <c r="BKM1688" s="2477"/>
      <c r="BKN1688" s="2477"/>
      <c r="BKO1688" s="2477"/>
      <c r="BKP1688" s="2477"/>
      <c r="BKQ1688" s="2477"/>
      <c r="BKR1688" s="2477"/>
      <c r="BKS1688" s="2477"/>
      <c r="BKT1688" s="2477"/>
      <c r="BKU1688" s="2477"/>
      <c r="BKV1688" s="2477"/>
      <c r="BKW1688" s="2477"/>
      <c r="BKX1688" s="2477"/>
      <c r="BKY1688" s="2477"/>
      <c r="BKZ1688" s="2477"/>
      <c r="BLA1688" s="2477"/>
      <c r="BLB1688" s="2477"/>
      <c r="BLC1688" s="2477"/>
      <c r="BLD1688" s="2477"/>
      <c r="BLE1688" s="2477"/>
      <c r="BLF1688" s="2477"/>
      <c r="BLG1688" s="2477"/>
      <c r="BLH1688" s="2477"/>
      <c r="BLI1688" s="2477"/>
      <c r="BLJ1688" s="2477"/>
      <c r="BLK1688" s="2477"/>
      <c r="BLL1688" s="2477"/>
      <c r="BLM1688" s="2477"/>
      <c r="BLN1688" s="2477"/>
      <c r="BLO1688" s="2477"/>
      <c r="BLP1688" s="2477"/>
      <c r="BLQ1688" s="2477"/>
      <c r="BLR1688" s="2477"/>
      <c r="BLS1688" s="2477"/>
      <c r="BLT1688" s="2477"/>
      <c r="BLU1688" s="2477"/>
      <c r="BLV1688" s="2477"/>
      <c r="BLW1688" s="2477"/>
      <c r="BLX1688" s="2477"/>
      <c r="BLY1688" s="2477"/>
      <c r="BLZ1688" s="2477"/>
      <c r="BMA1688" s="2477"/>
      <c r="BMB1688" s="2477"/>
      <c r="BMC1688" s="2477"/>
      <c r="BMD1688" s="2477"/>
      <c r="BME1688" s="2477"/>
      <c r="BMF1688" s="2477"/>
      <c r="BMG1688" s="2477"/>
      <c r="BMH1688" s="2477"/>
      <c r="BMI1688" s="2477"/>
      <c r="BMJ1688" s="2477"/>
      <c r="BMK1688" s="2477"/>
      <c r="BML1688" s="2477"/>
      <c r="BMM1688" s="2477"/>
      <c r="BMN1688" s="2477"/>
      <c r="BMO1688" s="2477"/>
      <c r="BMP1688" s="2477"/>
      <c r="BMQ1688" s="2477"/>
      <c r="BMR1688" s="2477"/>
      <c r="BMS1688" s="2477"/>
      <c r="BMT1688" s="2477"/>
      <c r="BMU1688" s="2477"/>
      <c r="BMV1688" s="2477"/>
      <c r="BMW1688" s="2477"/>
      <c r="BMX1688" s="2477"/>
      <c r="BMY1688" s="2477"/>
      <c r="BMZ1688" s="2477"/>
      <c r="BNA1688" s="2477"/>
      <c r="BNB1688" s="2477"/>
      <c r="BNC1688" s="2477"/>
      <c r="BND1688" s="2477"/>
      <c r="BNE1688" s="2477"/>
      <c r="BNF1688" s="2477"/>
      <c r="BNG1688" s="2477"/>
      <c r="BNH1688" s="2477"/>
      <c r="BNI1688" s="2477"/>
      <c r="BNJ1688" s="2477"/>
      <c r="BNK1688" s="2477"/>
      <c r="BNL1688" s="2477"/>
      <c r="BNM1688" s="2477"/>
      <c r="BNN1688" s="2477"/>
      <c r="BNO1688" s="2477"/>
      <c r="BNP1688" s="2477"/>
      <c r="BNQ1688" s="2477"/>
      <c r="BNR1688" s="2477"/>
      <c r="BNS1688" s="2477"/>
      <c r="BNT1688" s="2477"/>
      <c r="BNU1688" s="2477"/>
      <c r="BNV1688" s="2477"/>
      <c r="BNW1688" s="2477"/>
      <c r="BNX1688" s="2477"/>
      <c r="BNY1688" s="2477"/>
      <c r="BNZ1688" s="2477"/>
      <c r="BOA1688" s="2477"/>
      <c r="BOB1688" s="2477"/>
      <c r="BOC1688" s="2477"/>
      <c r="BOD1688" s="2477"/>
      <c r="BOE1688" s="2477"/>
      <c r="BOF1688" s="2477"/>
      <c r="BOG1688" s="2477"/>
      <c r="BOH1688" s="2477"/>
      <c r="BOI1688" s="2477"/>
      <c r="BOJ1688" s="2477"/>
      <c r="BOK1688" s="2477"/>
      <c r="BOL1688" s="2477"/>
      <c r="BOM1688" s="2477"/>
      <c r="BON1688" s="2477"/>
      <c r="BOO1688" s="2477"/>
      <c r="BOP1688" s="2477"/>
      <c r="BOQ1688" s="2477"/>
      <c r="BOR1688" s="2477"/>
      <c r="BOS1688" s="2477"/>
      <c r="BOT1688" s="2477"/>
      <c r="BOU1688" s="2477"/>
      <c r="BOV1688" s="2477"/>
      <c r="BOW1688" s="2477"/>
      <c r="BOX1688" s="2477"/>
      <c r="BOY1688" s="2477"/>
      <c r="BOZ1688" s="2477"/>
      <c r="BPA1688" s="2477"/>
      <c r="BPB1688" s="2477"/>
      <c r="BPC1688" s="2477"/>
      <c r="BPD1688" s="2477"/>
      <c r="BPE1688" s="2477"/>
      <c r="BPF1688" s="2477"/>
      <c r="BPG1688" s="2477"/>
      <c r="BPH1688" s="2477"/>
      <c r="BPI1688" s="2477"/>
      <c r="BPJ1688" s="2477"/>
      <c r="BPK1688" s="2477"/>
      <c r="BPL1688" s="2477"/>
      <c r="BPM1688" s="2477"/>
      <c r="BPN1688" s="2477"/>
      <c r="BPO1688" s="2477"/>
      <c r="BPP1688" s="2477"/>
      <c r="BPQ1688" s="2477"/>
      <c r="BPR1688" s="2477"/>
      <c r="BPS1688" s="2477"/>
      <c r="BPT1688" s="2477"/>
      <c r="BPU1688" s="2477"/>
      <c r="BPV1688" s="2477"/>
      <c r="BPW1688" s="2477"/>
      <c r="BPX1688" s="2477"/>
      <c r="BPY1688" s="2477"/>
      <c r="BPZ1688" s="2477"/>
      <c r="BQA1688" s="2477"/>
      <c r="BQB1688" s="2477"/>
      <c r="BQC1688" s="2477"/>
      <c r="BQD1688" s="2477"/>
      <c r="BQE1688" s="2477"/>
      <c r="BQF1688" s="2477"/>
      <c r="BQG1688" s="2477"/>
      <c r="BQH1688" s="2477"/>
      <c r="BQI1688" s="2477"/>
      <c r="BQJ1688" s="2477"/>
      <c r="BQK1688" s="2477"/>
      <c r="BQL1688" s="2477"/>
      <c r="BQM1688" s="2477"/>
      <c r="BQN1688" s="2477"/>
      <c r="BQO1688" s="2477"/>
      <c r="BQP1688" s="2477"/>
      <c r="BQQ1688" s="2477"/>
      <c r="BQR1688" s="2477"/>
      <c r="BQS1688" s="2477"/>
      <c r="BQT1688" s="2477"/>
      <c r="BQU1688" s="2477"/>
      <c r="BQV1688" s="2477"/>
      <c r="BQW1688" s="2477"/>
      <c r="BQX1688" s="2477"/>
      <c r="BQY1688" s="2477"/>
      <c r="BQZ1688" s="2477"/>
      <c r="BRA1688" s="2477"/>
      <c r="BRB1688" s="2477"/>
      <c r="BRC1688" s="2477"/>
      <c r="BRD1688" s="2477"/>
      <c r="BRE1688" s="2477"/>
      <c r="BRF1688" s="2477"/>
      <c r="BRG1688" s="2477"/>
      <c r="BRH1688" s="2477"/>
      <c r="BRI1688" s="2477"/>
      <c r="BRJ1688" s="2477"/>
      <c r="BRK1688" s="2477"/>
      <c r="BRL1688" s="2477"/>
      <c r="BRM1688" s="2477"/>
      <c r="BRN1688" s="2477"/>
      <c r="BRO1688" s="2477"/>
      <c r="BRP1688" s="2477"/>
      <c r="BRQ1688" s="2477"/>
      <c r="BRR1688" s="2477"/>
      <c r="BRS1688" s="2477"/>
      <c r="BRT1688" s="2477"/>
      <c r="BRU1688" s="2477"/>
      <c r="BRV1688" s="2477"/>
      <c r="BRW1688" s="2477"/>
      <c r="BRX1688" s="2477"/>
      <c r="BRY1688" s="2477"/>
      <c r="BRZ1688" s="2477"/>
      <c r="BSA1688" s="2477"/>
      <c r="BSB1688" s="2477"/>
      <c r="BSC1688" s="2477"/>
      <c r="BSD1688" s="2477"/>
      <c r="BSE1688" s="2477"/>
      <c r="BSF1688" s="2477"/>
      <c r="BSG1688" s="2477"/>
      <c r="BSH1688" s="2477"/>
      <c r="BSI1688" s="2477"/>
      <c r="BSJ1688" s="2477"/>
      <c r="BSK1688" s="2477"/>
      <c r="BSL1688" s="2477"/>
      <c r="BSM1688" s="2477"/>
      <c r="BSN1688" s="2477"/>
      <c r="BSO1688" s="2477"/>
      <c r="BSP1688" s="2477"/>
      <c r="BSQ1688" s="2477"/>
      <c r="BSR1688" s="2477"/>
      <c r="BSS1688" s="2477"/>
      <c r="BST1688" s="2477"/>
      <c r="BSU1688" s="2477"/>
      <c r="BSV1688" s="2477"/>
      <c r="BSW1688" s="2477"/>
      <c r="BSX1688" s="2477"/>
      <c r="BSY1688" s="2477"/>
      <c r="BSZ1688" s="2477"/>
      <c r="BTA1688" s="2477"/>
      <c r="BTB1688" s="2477"/>
      <c r="BTC1688" s="2477"/>
      <c r="BTD1688" s="2477"/>
      <c r="BTE1688" s="2477"/>
      <c r="BTF1688" s="2477"/>
      <c r="BTG1688" s="2477"/>
      <c r="BTH1688" s="2477"/>
      <c r="BTI1688" s="2477"/>
      <c r="BTJ1688" s="2477"/>
      <c r="BTK1688" s="2477"/>
      <c r="BTL1688" s="2477"/>
      <c r="BTM1688" s="2477"/>
      <c r="BTN1688" s="2477"/>
      <c r="BTO1688" s="2477"/>
      <c r="BTP1688" s="2477"/>
      <c r="BTQ1688" s="2477"/>
      <c r="BTR1688" s="2477"/>
      <c r="BTS1688" s="2477"/>
      <c r="BTT1688" s="2477"/>
      <c r="BTU1688" s="2477"/>
      <c r="BTV1688" s="2477"/>
      <c r="BTW1688" s="2477"/>
      <c r="BTX1688" s="2477"/>
      <c r="BTY1688" s="2477"/>
      <c r="BTZ1688" s="2477"/>
      <c r="BUA1688" s="2477"/>
      <c r="BUB1688" s="2477"/>
      <c r="BUC1688" s="2477"/>
      <c r="BUD1688" s="2477"/>
      <c r="BUE1688" s="2477"/>
      <c r="BUF1688" s="2477"/>
      <c r="BUG1688" s="2477"/>
      <c r="BUH1688" s="2477"/>
      <c r="BUI1688" s="2477"/>
      <c r="BUJ1688" s="2477"/>
      <c r="BUK1688" s="2477"/>
      <c r="BUL1688" s="2477"/>
      <c r="BUM1688" s="2477"/>
      <c r="BUN1688" s="2477"/>
      <c r="BUO1688" s="2477"/>
      <c r="BUP1688" s="2477"/>
      <c r="BUQ1688" s="2477"/>
      <c r="BUR1688" s="2477"/>
      <c r="BUS1688" s="2477"/>
      <c r="BUT1688" s="2477"/>
      <c r="BUU1688" s="2477"/>
      <c r="BUV1688" s="2477"/>
      <c r="BUW1688" s="2477"/>
      <c r="BUX1688" s="2477"/>
      <c r="BUY1688" s="2477"/>
      <c r="BUZ1688" s="2477"/>
      <c r="BVA1688" s="2477"/>
      <c r="BVB1688" s="2477"/>
      <c r="BVC1688" s="2477"/>
      <c r="BVD1688" s="2477"/>
      <c r="BVE1688" s="2477"/>
      <c r="BVF1688" s="2477"/>
      <c r="BVG1688" s="2477"/>
      <c r="BVH1688" s="2477"/>
      <c r="BVI1688" s="2477"/>
      <c r="BVJ1688" s="2477"/>
      <c r="BVK1688" s="2477"/>
      <c r="BVL1688" s="2477"/>
      <c r="BVM1688" s="2477"/>
      <c r="BVN1688" s="2477"/>
      <c r="BVO1688" s="2477"/>
      <c r="BVP1688" s="2477"/>
      <c r="BVQ1688" s="2477"/>
      <c r="BVR1688" s="2477"/>
      <c r="BVS1688" s="2477"/>
      <c r="BVT1688" s="2477"/>
      <c r="BVU1688" s="2477"/>
      <c r="BVV1688" s="2477"/>
      <c r="BVW1688" s="2477"/>
      <c r="BVX1688" s="2477"/>
      <c r="BVY1688" s="2477"/>
      <c r="BVZ1688" s="2477"/>
      <c r="BWA1688" s="2477"/>
      <c r="BWB1688" s="2477"/>
      <c r="BWC1688" s="2477"/>
      <c r="BWD1688" s="2477"/>
      <c r="BWE1688" s="2477"/>
      <c r="BWF1688" s="2477"/>
      <c r="BWG1688" s="2477"/>
      <c r="BWH1688" s="2477"/>
      <c r="BWI1688" s="2477"/>
      <c r="BWJ1688" s="2477"/>
      <c r="BWK1688" s="2477"/>
      <c r="BWL1688" s="2477"/>
      <c r="BWM1688" s="2477"/>
      <c r="BWN1688" s="2477"/>
      <c r="BWO1688" s="2477"/>
      <c r="BWP1688" s="2477"/>
      <c r="BWQ1688" s="2477"/>
      <c r="BWR1688" s="2477"/>
      <c r="BWS1688" s="2477"/>
      <c r="BWT1688" s="2477"/>
      <c r="BWU1688" s="2477"/>
      <c r="BWV1688" s="2477"/>
      <c r="BWW1688" s="2477"/>
      <c r="BWX1688" s="2477"/>
      <c r="BWY1688" s="2477"/>
      <c r="BWZ1688" s="2477"/>
      <c r="BXA1688" s="2477"/>
      <c r="BXB1688" s="2477"/>
      <c r="BXC1688" s="2477"/>
      <c r="BXD1688" s="2477"/>
      <c r="BXE1688" s="2477"/>
      <c r="BXF1688" s="2477"/>
      <c r="BXG1688" s="2477"/>
      <c r="BXH1688" s="2477"/>
      <c r="BXI1688" s="2477"/>
      <c r="BXJ1688" s="2477"/>
      <c r="BXK1688" s="2477"/>
      <c r="BXL1688" s="2477"/>
      <c r="BXM1688" s="2477"/>
      <c r="BXN1688" s="2477"/>
      <c r="BXO1688" s="2477"/>
      <c r="BXP1688" s="2477"/>
      <c r="BXQ1688" s="2477"/>
      <c r="BXR1688" s="2477"/>
      <c r="BXS1688" s="2477"/>
      <c r="BXT1688" s="2477"/>
      <c r="BXU1688" s="2477"/>
      <c r="BXV1688" s="2477"/>
      <c r="BXW1688" s="2477"/>
      <c r="BXX1688" s="2477"/>
      <c r="BXY1688" s="2477"/>
      <c r="BXZ1688" s="2477"/>
      <c r="BYA1688" s="2477"/>
      <c r="BYB1688" s="2477"/>
      <c r="BYC1688" s="2477"/>
      <c r="BYD1688" s="2477"/>
      <c r="BYE1688" s="2477"/>
      <c r="BYF1688" s="2477"/>
      <c r="BYG1688" s="2477"/>
      <c r="BYH1688" s="2477"/>
      <c r="BYI1688" s="2477"/>
      <c r="BYJ1688" s="2477"/>
      <c r="BYK1688" s="2477"/>
      <c r="BYL1688" s="2477"/>
      <c r="BYM1688" s="2477"/>
      <c r="BYN1688" s="2477"/>
      <c r="BYO1688" s="2477"/>
      <c r="BYP1688" s="2477"/>
      <c r="BYQ1688" s="2477"/>
      <c r="BYR1688" s="2477"/>
      <c r="BYS1688" s="2477"/>
      <c r="BYT1688" s="2477"/>
      <c r="BYU1688" s="2477"/>
      <c r="BYV1688" s="2477"/>
      <c r="BYW1688" s="2477"/>
      <c r="BYX1688" s="2477"/>
      <c r="BYY1688" s="2477"/>
      <c r="BYZ1688" s="2477"/>
      <c r="BZA1688" s="2477"/>
      <c r="BZB1688" s="2477"/>
      <c r="BZC1688" s="2477"/>
      <c r="BZD1688" s="2477"/>
      <c r="BZE1688" s="2477"/>
      <c r="BZF1688" s="2477"/>
      <c r="BZG1688" s="2477"/>
      <c r="BZH1688" s="2477"/>
      <c r="BZI1688" s="2477"/>
      <c r="BZJ1688" s="2477"/>
      <c r="BZK1688" s="2477"/>
      <c r="BZL1688" s="2477"/>
      <c r="BZM1688" s="2477"/>
      <c r="BZN1688" s="2477"/>
      <c r="BZO1688" s="2477"/>
      <c r="BZP1688" s="2477"/>
      <c r="BZQ1688" s="2477"/>
      <c r="BZR1688" s="2477"/>
      <c r="BZS1688" s="2477"/>
      <c r="BZT1688" s="2477"/>
      <c r="BZU1688" s="2477"/>
      <c r="BZV1688" s="2477"/>
      <c r="BZW1688" s="2477"/>
      <c r="BZX1688" s="2477"/>
      <c r="BZY1688" s="2477"/>
      <c r="BZZ1688" s="2477"/>
      <c r="CAA1688" s="2477"/>
      <c r="CAB1688" s="2477"/>
      <c r="CAC1688" s="2477"/>
      <c r="CAD1688" s="2477"/>
      <c r="CAE1688" s="2477"/>
      <c r="CAF1688" s="2477"/>
      <c r="CAG1688" s="2477"/>
      <c r="CAH1688" s="2477"/>
      <c r="CAI1688" s="2477"/>
      <c r="CAJ1688" s="2477"/>
      <c r="CAK1688" s="2477"/>
      <c r="CAL1688" s="2477"/>
      <c r="CAM1688" s="2477"/>
      <c r="CAN1688" s="2477"/>
      <c r="CAO1688" s="2477"/>
      <c r="CAP1688" s="2477"/>
      <c r="CAQ1688" s="2477"/>
      <c r="CAR1688" s="2477"/>
      <c r="CAS1688" s="2477"/>
      <c r="CAT1688" s="2477"/>
      <c r="CAU1688" s="2477"/>
      <c r="CAV1688" s="2477"/>
      <c r="CAW1688" s="2477"/>
      <c r="CAX1688" s="2477"/>
      <c r="CAY1688" s="2477"/>
      <c r="CAZ1688" s="2477"/>
      <c r="CBA1688" s="2477"/>
      <c r="CBB1688" s="2477"/>
      <c r="CBC1688" s="2477"/>
      <c r="CBD1688" s="2477"/>
      <c r="CBE1688" s="2477"/>
      <c r="CBF1688" s="2477"/>
      <c r="CBG1688" s="2477"/>
      <c r="CBH1688" s="2477"/>
      <c r="CBI1688" s="2477"/>
      <c r="CBJ1688" s="2477"/>
      <c r="CBK1688" s="2477"/>
      <c r="CBL1688" s="2477"/>
      <c r="CBM1688" s="2477"/>
      <c r="CBN1688" s="2477"/>
      <c r="CBO1688" s="2477"/>
      <c r="CBP1688" s="2477"/>
      <c r="CBQ1688" s="2477"/>
      <c r="CBR1688" s="2477"/>
      <c r="CBS1688" s="2477"/>
      <c r="CBT1688" s="2477"/>
      <c r="CBU1688" s="2477"/>
      <c r="CBV1688" s="2477"/>
      <c r="CBW1688" s="2477"/>
      <c r="CBX1688" s="2477"/>
      <c r="CBY1688" s="2477"/>
      <c r="CBZ1688" s="2477"/>
      <c r="CCA1688" s="2477"/>
      <c r="CCB1688" s="2477"/>
      <c r="CCC1688" s="2477"/>
      <c r="CCD1688" s="2477"/>
      <c r="CCE1688" s="2477"/>
      <c r="CCF1688" s="2477"/>
      <c r="CCG1688" s="2477"/>
      <c r="CCH1688" s="2477"/>
      <c r="CCI1688" s="2477"/>
      <c r="CCJ1688" s="2477"/>
      <c r="CCK1688" s="2477"/>
      <c r="CCL1688" s="2477"/>
      <c r="CCM1688" s="2477"/>
      <c r="CCN1688" s="2477"/>
      <c r="CCO1688" s="2477"/>
      <c r="CCP1688" s="2477"/>
      <c r="CCQ1688" s="2477"/>
      <c r="CCR1688" s="2477"/>
      <c r="CCS1688" s="2477"/>
      <c r="CCT1688" s="2477"/>
      <c r="CCU1688" s="2477"/>
      <c r="CCV1688" s="2477"/>
      <c r="CCW1688" s="2477"/>
      <c r="CCX1688" s="2477"/>
      <c r="CCY1688" s="2477"/>
      <c r="CCZ1688" s="2477"/>
      <c r="CDA1688" s="2477"/>
      <c r="CDB1688" s="2477"/>
      <c r="CDC1688" s="2477"/>
      <c r="CDD1688" s="2477"/>
      <c r="CDE1688" s="2477"/>
      <c r="CDF1688" s="2477"/>
      <c r="CDG1688" s="2477"/>
      <c r="CDH1688" s="2477"/>
      <c r="CDI1688" s="2477"/>
      <c r="CDJ1688" s="2477"/>
      <c r="CDK1688" s="2477"/>
      <c r="CDL1688" s="2477"/>
      <c r="CDM1688" s="2477"/>
      <c r="CDN1688" s="2477"/>
      <c r="CDO1688" s="2477"/>
      <c r="CDP1688" s="2477"/>
      <c r="CDQ1688" s="2477"/>
      <c r="CDR1688" s="2477"/>
      <c r="CDS1688" s="2477"/>
      <c r="CDT1688" s="2477"/>
      <c r="CDU1688" s="2477"/>
      <c r="CDV1688" s="2477"/>
      <c r="CDW1688" s="2477"/>
      <c r="CDX1688" s="2477"/>
      <c r="CDY1688" s="2477"/>
      <c r="CDZ1688" s="2477"/>
      <c r="CEA1688" s="2477"/>
      <c r="CEB1688" s="2477"/>
      <c r="CEC1688" s="2477"/>
      <c r="CED1688" s="2477"/>
      <c r="CEE1688" s="2477"/>
      <c r="CEF1688" s="2477"/>
      <c r="CEG1688" s="2477"/>
      <c r="CEH1688" s="2477"/>
      <c r="CEI1688" s="2477"/>
      <c r="CEJ1688" s="2477"/>
      <c r="CEK1688" s="2477"/>
      <c r="CEL1688" s="2477"/>
      <c r="CEM1688" s="2477"/>
      <c r="CEN1688" s="2477"/>
      <c r="CEO1688" s="2477"/>
      <c r="CEP1688" s="2477"/>
      <c r="CEQ1688" s="2477"/>
      <c r="CER1688" s="2477"/>
      <c r="CES1688" s="2477"/>
      <c r="CET1688" s="2477"/>
      <c r="CEU1688" s="2477"/>
      <c r="CEV1688" s="2477"/>
      <c r="CEW1688" s="2477"/>
      <c r="CEX1688" s="2477"/>
      <c r="CEY1688" s="2477"/>
      <c r="CEZ1688" s="2477"/>
      <c r="CFA1688" s="2477"/>
      <c r="CFB1688" s="2477"/>
      <c r="CFC1688" s="2477"/>
      <c r="CFD1688" s="2477"/>
      <c r="CFE1688" s="2477"/>
      <c r="CFF1688" s="2477"/>
      <c r="CFG1688" s="2477"/>
      <c r="CFH1688" s="2477"/>
      <c r="CFI1688" s="2477"/>
      <c r="CFJ1688" s="2477"/>
      <c r="CFK1688" s="2477"/>
      <c r="CFL1688" s="2477"/>
      <c r="CFM1688" s="2477"/>
      <c r="CFN1688" s="2477"/>
      <c r="CFO1688" s="2477"/>
      <c r="CFP1688" s="2477"/>
      <c r="CFQ1688" s="2477"/>
      <c r="CFR1688" s="2477"/>
      <c r="CFS1688" s="2477"/>
      <c r="CFT1688" s="2477"/>
      <c r="CFU1688" s="2477"/>
      <c r="CFV1688" s="2477"/>
      <c r="CFW1688" s="2477"/>
      <c r="CFX1688" s="2477"/>
      <c r="CFY1688" s="2477"/>
      <c r="CFZ1688" s="2477"/>
      <c r="CGA1688" s="2477"/>
      <c r="CGB1688" s="2477"/>
      <c r="CGC1688" s="2477"/>
      <c r="CGD1688" s="2477"/>
      <c r="CGE1688" s="2477"/>
      <c r="CGF1688" s="2477"/>
      <c r="CGG1688" s="2477"/>
      <c r="CGH1688" s="2477"/>
      <c r="CGI1688" s="2477"/>
      <c r="CGJ1688" s="2477"/>
      <c r="CGK1688" s="2477"/>
      <c r="CGL1688" s="2477"/>
      <c r="CGM1688" s="2477"/>
      <c r="CGN1688" s="2477"/>
      <c r="CGO1688" s="2477"/>
      <c r="CGP1688" s="2477"/>
      <c r="CGQ1688" s="2477"/>
      <c r="CGR1688" s="2477"/>
      <c r="CGS1688" s="2477"/>
      <c r="CGT1688" s="2477"/>
      <c r="CGU1688" s="2477"/>
      <c r="CGV1688" s="2477"/>
      <c r="CGW1688" s="2477"/>
      <c r="CGX1688" s="2477"/>
      <c r="CGY1688" s="2477"/>
      <c r="CGZ1688" s="2477"/>
      <c r="CHA1688" s="2477"/>
      <c r="CHB1688" s="2477"/>
      <c r="CHC1688" s="2477"/>
      <c r="CHD1688" s="2477"/>
      <c r="CHE1688" s="2477"/>
      <c r="CHF1688" s="2477"/>
      <c r="CHG1688" s="2477"/>
      <c r="CHH1688" s="2477"/>
      <c r="CHI1688" s="2477"/>
      <c r="CHJ1688" s="2477"/>
      <c r="CHK1688" s="2477"/>
      <c r="CHL1688" s="2477"/>
      <c r="CHM1688" s="2477"/>
      <c r="CHN1688" s="2477"/>
      <c r="CHO1688" s="2477"/>
      <c r="CHP1688" s="2477"/>
      <c r="CHQ1688" s="2477"/>
      <c r="CHR1688" s="2477"/>
      <c r="CHS1688" s="2477"/>
      <c r="CHT1688" s="2477"/>
      <c r="CHU1688" s="2477"/>
      <c r="CHV1688" s="2477"/>
      <c r="CHW1688" s="2477"/>
      <c r="CHX1688" s="2477"/>
      <c r="CHY1688" s="2477"/>
      <c r="CHZ1688" s="2477"/>
      <c r="CIA1688" s="2477"/>
      <c r="CIB1688" s="2477"/>
      <c r="CIC1688" s="2477"/>
      <c r="CID1688" s="2477"/>
      <c r="CIE1688" s="2477"/>
      <c r="CIF1688" s="2477"/>
      <c r="CIG1688" s="2477"/>
      <c r="CIH1688" s="2477"/>
      <c r="CII1688" s="2477"/>
      <c r="CIJ1688" s="2477"/>
      <c r="CIK1688" s="2477"/>
      <c r="CIL1688" s="2477"/>
      <c r="CIM1688" s="2477"/>
      <c r="CIN1688" s="2477"/>
      <c r="CIO1688" s="2477"/>
      <c r="CIP1688" s="2477"/>
      <c r="CIQ1688" s="2477"/>
      <c r="CIR1688" s="2477"/>
      <c r="CIS1688" s="2477"/>
      <c r="CIT1688" s="2477"/>
      <c r="CIU1688" s="2477"/>
      <c r="CIV1688" s="2477"/>
      <c r="CIW1688" s="2477"/>
      <c r="CIX1688" s="2477"/>
      <c r="CIY1688" s="2477"/>
      <c r="CIZ1688" s="2477"/>
      <c r="CJA1688" s="2477"/>
      <c r="CJB1688" s="2477"/>
      <c r="CJC1688" s="2477"/>
      <c r="CJD1688" s="2477"/>
      <c r="CJE1688" s="2477"/>
      <c r="CJF1688" s="2477"/>
      <c r="CJG1688" s="2477"/>
      <c r="CJH1688" s="2477"/>
      <c r="CJI1688" s="2477"/>
      <c r="CJJ1688" s="2477"/>
      <c r="CJK1688" s="2477"/>
      <c r="CJL1688" s="2477"/>
      <c r="CJM1688" s="2477"/>
      <c r="CJN1688" s="2477"/>
      <c r="CJO1688" s="2477"/>
      <c r="CJP1688" s="2477"/>
      <c r="CJQ1688" s="2477"/>
      <c r="CJR1688" s="2477"/>
      <c r="CJS1688" s="2477"/>
      <c r="CJT1688" s="2477"/>
      <c r="CJU1688" s="2477"/>
      <c r="CJV1688" s="2477"/>
      <c r="CJW1688" s="2477"/>
      <c r="CJX1688" s="2477"/>
      <c r="CJY1688" s="2477"/>
      <c r="CJZ1688" s="2477"/>
      <c r="CKA1688" s="2477"/>
      <c r="CKB1688" s="2477"/>
      <c r="CKC1688" s="2477"/>
      <c r="CKD1688" s="2477"/>
      <c r="CKE1688" s="2477"/>
      <c r="CKF1688" s="2477"/>
      <c r="CKG1688" s="2477"/>
      <c r="CKH1688" s="2477"/>
      <c r="CKI1688" s="2477"/>
      <c r="CKJ1688" s="2477"/>
      <c r="CKK1688" s="2477"/>
      <c r="CKL1688" s="2477"/>
      <c r="CKM1688" s="2477"/>
      <c r="CKN1688" s="2477"/>
      <c r="CKO1688" s="2477"/>
      <c r="CKP1688" s="2477"/>
      <c r="CKQ1688" s="2477"/>
      <c r="CKR1688" s="2477"/>
      <c r="CKS1688" s="2477"/>
      <c r="CKT1688" s="2477"/>
      <c r="CKU1688" s="2477"/>
      <c r="CKV1688" s="2477"/>
      <c r="CKW1688" s="2477"/>
      <c r="CKX1688" s="2477"/>
      <c r="CKY1688" s="2477"/>
      <c r="CKZ1688" s="2477"/>
      <c r="CLA1688" s="2477"/>
      <c r="CLB1688" s="2477"/>
      <c r="CLC1688" s="2477"/>
      <c r="CLD1688" s="2477"/>
      <c r="CLE1688" s="2477"/>
      <c r="CLF1688" s="2477"/>
      <c r="CLG1688" s="2477"/>
      <c r="CLH1688" s="2477"/>
      <c r="CLI1688" s="2477"/>
      <c r="CLJ1688" s="2477"/>
      <c r="CLK1688" s="2477"/>
      <c r="CLL1688" s="2477"/>
      <c r="CLM1688" s="2477"/>
      <c r="CLN1688" s="2477"/>
      <c r="CLO1688" s="2477"/>
      <c r="CLP1688" s="2477"/>
      <c r="CLQ1688" s="2477"/>
      <c r="CLR1688" s="2477"/>
      <c r="CLS1688" s="2477"/>
      <c r="CLT1688" s="2477"/>
      <c r="CLU1688" s="2477"/>
      <c r="CLV1688" s="2477"/>
      <c r="CLW1688" s="2477"/>
      <c r="CLX1688" s="2477"/>
      <c r="CLY1688" s="2477"/>
      <c r="CLZ1688" s="2477"/>
      <c r="CMA1688" s="2477"/>
      <c r="CMB1688" s="2477"/>
      <c r="CMC1688" s="2477"/>
      <c r="CMD1688" s="2477"/>
      <c r="CME1688" s="2477"/>
      <c r="CMF1688" s="2477"/>
      <c r="CMG1688" s="2477"/>
      <c r="CMH1688" s="2477"/>
      <c r="CMI1688" s="2477"/>
      <c r="CMJ1688" s="2477"/>
      <c r="CMK1688" s="2477"/>
      <c r="CML1688" s="2477"/>
      <c r="CMM1688" s="2477"/>
      <c r="CMN1688" s="2477"/>
      <c r="CMO1688" s="2477"/>
      <c r="CMP1688" s="2477"/>
      <c r="CMQ1688" s="2477"/>
      <c r="CMR1688" s="2477"/>
      <c r="CMS1688" s="2477"/>
      <c r="CMT1688" s="2477"/>
      <c r="CMU1688" s="2477"/>
      <c r="CMV1688" s="2477"/>
      <c r="CMW1688" s="2477"/>
      <c r="CMX1688" s="2477"/>
      <c r="CMY1688" s="2477"/>
      <c r="CMZ1688" s="2477"/>
      <c r="CNA1688" s="2477"/>
      <c r="CNB1688" s="2477"/>
      <c r="CNC1688" s="2477"/>
      <c r="CND1688" s="2477"/>
      <c r="CNE1688" s="2477"/>
      <c r="CNF1688" s="2477"/>
      <c r="CNG1688" s="2477"/>
      <c r="CNH1688" s="2477"/>
      <c r="CNI1688" s="2477"/>
      <c r="CNJ1688" s="2477"/>
      <c r="CNK1688" s="2477"/>
      <c r="CNL1688" s="2477"/>
      <c r="CNM1688" s="2477"/>
      <c r="CNN1688" s="2477"/>
      <c r="CNO1688" s="2477"/>
      <c r="CNP1688" s="2477"/>
      <c r="CNQ1688" s="2477"/>
      <c r="CNR1688" s="2477"/>
      <c r="CNS1688" s="2477"/>
      <c r="CNT1688" s="2477"/>
      <c r="CNU1688" s="2477"/>
      <c r="CNV1688" s="2477"/>
      <c r="CNW1688" s="2477"/>
      <c r="CNX1688" s="2477"/>
      <c r="CNY1688" s="2477"/>
      <c r="CNZ1688" s="2477"/>
      <c r="COA1688" s="2477"/>
      <c r="COB1688" s="2477"/>
      <c r="COC1688" s="2477"/>
      <c r="COD1688" s="2477"/>
      <c r="COE1688" s="2477"/>
      <c r="COF1688" s="2477"/>
      <c r="COG1688" s="2477"/>
      <c r="COH1688" s="2477"/>
      <c r="COI1688" s="2477"/>
      <c r="COJ1688" s="2477"/>
      <c r="COK1688" s="2477"/>
      <c r="COL1688" s="2477"/>
      <c r="COM1688" s="2477"/>
      <c r="CON1688" s="2477"/>
      <c r="COO1688" s="2477"/>
      <c r="COP1688" s="2477"/>
      <c r="COQ1688" s="2477"/>
      <c r="COR1688" s="2477"/>
      <c r="COS1688" s="2477"/>
      <c r="COT1688" s="2477"/>
      <c r="COU1688" s="2477"/>
      <c r="COV1688" s="2477"/>
      <c r="COW1688" s="2477"/>
      <c r="COX1688" s="2477"/>
      <c r="COY1688" s="2477"/>
      <c r="COZ1688" s="2477"/>
      <c r="CPA1688" s="2477"/>
      <c r="CPB1688" s="2477"/>
      <c r="CPC1688" s="2477"/>
      <c r="CPD1688" s="2477"/>
      <c r="CPE1688" s="2477"/>
      <c r="CPF1688" s="2477"/>
      <c r="CPG1688" s="2477"/>
      <c r="CPH1688" s="2477"/>
      <c r="CPI1688" s="2477"/>
      <c r="CPJ1688" s="2477"/>
      <c r="CPK1688" s="2477"/>
      <c r="CPL1688" s="2477"/>
      <c r="CPM1688" s="2477"/>
      <c r="CPN1688" s="2477"/>
      <c r="CPO1688" s="2477"/>
      <c r="CPP1688" s="2477"/>
      <c r="CPQ1688" s="2477"/>
      <c r="CPR1688" s="2477"/>
      <c r="CPS1688" s="2477"/>
      <c r="CPT1688" s="2477"/>
      <c r="CPU1688" s="2477"/>
      <c r="CPV1688" s="2477"/>
      <c r="CPW1688" s="2477"/>
      <c r="CPX1688" s="2477"/>
      <c r="CPY1688" s="2477"/>
      <c r="CPZ1688" s="2477"/>
      <c r="CQA1688" s="2477"/>
      <c r="CQB1688" s="2477"/>
      <c r="CQC1688" s="2477"/>
      <c r="CQD1688" s="2477"/>
      <c r="CQE1688" s="2477"/>
      <c r="CQF1688" s="2477"/>
      <c r="CQG1688" s="2477"/>
      <c r="CQH1688" s="2477"/>
      <c r="CQI1688" s="2477"/>
      <c r="CQJ1688" s="2477"/>
      <c r="CQK1688" s="2477"/>
      <c r="CQL1688" s="2477"/>
      <c r="CQM1688" s="2477"/>
      <c r="CQN1688" s="2477"/>
      <c r="CQO1688" s="2477"/>
      <c r="CQP1688" s="2477"/>
      <c r="CQQ1688" s="2477"/>
      <c r="CQR1688" s="2477"/>
      <c r="CQS1688" s="2477"/>
      <c r="CQT1688" s="2477"/>
      <c r="CQU1688" s="2477"/>
      <c r="CQV1688" s="2477"/>
      <c r="CQW1688" s="2477"/>
      <c r="CQX1688" s="2477"/>
      <c r="CQY1688" s="2477"/>
      <c r="CQZ1688" s="2477"/>
      <c r="CRA1688" s="2477"/>
      <c r="CRB1688" s="2477"/>
      <c r="CRC1688" s="2477"/>
      <c r="CRD1688" s="2477"/>
      <c r="CRE1688" s="2477"/>
      <c r="CRF1688" s="2477"/>
      <c r="CRG1688" s="2477"/>
      <c r="CRH1688" s="2477"/>
      <c r="CRI1688" s="2477"/>
      <c r="CRJ1688" s="2477"/>
      <c r="CRK1688" s="2477"/>
      <c r="CRL1688" s="2477"/>
      <c r="CRM1688" s="2477"/>
      <c r="CRN1688" s="2477"/>
      <c r="CRO1688" s="2477"/>
      <c r="CRP1688" s="2477"/>
      <c r="CRQ1688" s="2477"/>
      <c r="CRR1688" s="2477"/>
      <c r="CRS1688" s="2477"/>
      <c r="CRT1688" s="2477"/>
      <c r="CRU1688" s="2477"/>
      <c r="CRV1688" s="2477"/>
      <c r="CRW1688" s="2477"/>
      <c r="CRX1688" s="2477"/>
      <c r="CRY1688" s="2477"/>
      <c r="CRZ1688" s="2477"/>
      <c r="CSA1688" s="2477"/>
      <c r="CSB1688" s="2477"/>
      <c r="CSC1688" s="2477"/>
      <c r="CSD1688" s="2477"/>
      <c r="CSE1688" s="2477"/>
      <c r="CSF1688" s="2477"/>
      <c r="CSG1688" s="2477"/>
      <c r="CSH1688" s="2477"/>
      <c r="CSI1688" s="2477"/>
      <c r="CSJ1688" s="2477"/>
      <c r="CSK1688" s="2477"/>
      <c r="CSL1688" s="2477"/>
      <c r="CSM1688" s="2477"/>
      <c r="CSN1688" s="2477"/>
      <c r="CSO1688" s="2477"/>
      <c r="CSP1688" s="2477"/>
      <c r="CSQ1688" s="2477"/>
      <c r="CSR1688" s="2477"/>
      <c r="CSS1688" s="2477"/>
      <c r="CST1688" s="2477"/>
      <c r="CSU1688" s="2477"/>
      <c r="CSV1688" s="2477"/>
      <c r="CSW1688" s="2477"/>
      <c r="CSX1688" s="2477"/>
      <c r="CSY1688" s="2477"/>
      <c r="CSZ1688" s="2477"/>
      <c r="CTA1688" s="2477"/>
      <c r="CTB1688" s="2477"/>
      <c r="CTC1688" s="2477"/>
      <c r="CTD1688" s="2477"/>
      <c r="CTE1688" s="2477"/>
      <c r="CTF1688" s="2477"/>
      <c r="CTG1688" s="2477"/>
      <c r="CTH1688" s="2477"/>
      <c r="CTI1688" s="2477"/>
      <c r="CTJ1688" s="2477"/>
      <c r="CTK1688" s="2477"/>
      <c r="CTL1688" s="2477"/>
      <c r="CTM1688" s="2477"/>
      <c r="CTN1688" s="2477"/>
      <c r="CTO1688" s="2477"/>
      <c r="CTP1688" s="2477"/>
      <c r="CTQ1688" s="2477"/>
      <c r="CTR1688" s="2477"/>
      <c r="CTS1688" s="2477"/>
      <c r="CTT1688" s="2477"/>
      <c r="CTU1688" s="2477"/>
      <c r="CTV1688" s="2477"/>
      <c r="CTW1688" s="2477"/>
      <c r="CTX1688" s="2477"/>
      <c r="CTY1688" s="2477"/>
      <c r="CTZ1688" s="2477"/>
      <c r="CUA1688" s="2477"/>
      <c r="CUB1688" s="2477"/>
      <c r="CUC1688" s="2477"/>
      <c r="CUD1688" s="2477"/>
      <c r="CUE1688" s="2477"/>
      <c r="CUF1688" s="2477"/>
      <c r="CUG1688" s="2477"/>
      <c r="CUH1688" s="2477"/>
      <c r="CUI1688" s="2477"/>
      <c r="CUJ1688" s="2477"/>
      <c r="CUK1688" s="2477"/>
      <c r="CUL1688" s="2477"/>
      <c r="CUM1688" s="2477"/>
      <c r="CUN1688" s="2477"/>
      <c r="CUO1688" s="2477"/>
      <c r="CUP1688" s="2477"/>
      <c r="CUQ1688" s="2477"/>
      <c r="CUR1688" s="2477"/>
      <c r="CUS1688" s="2477"/>
      <c r="CUT1688" s="2477"/>
      <c r="CUU1688" s="2477"/>
      <c r="CUV1688" s="2477"/>
      <c r="CUW1688" s="2477"/>
      <c r="CUX1688" s="2477"/>
      <c r="CUY1688" s="2477"/>
      <c r="CUZ1688" s="2477"/>
      <c r="CVA1688" s="2477"/>
      <c r="CVB1688" s="2477"/>
      <c r="CVC1688" s="2477"/>
      <c r="CVD1688" s="2477"/>
      <c r="CVE1688" s="2477"/>
      <c r="CVF1688" s="2477"/>
      <c r="CVG1688" s="2477"/>
      <c r="CVH1688" s="2477"/>
      <c r="CVI1688" s="2477"/>
      <c r="CVJ1688" s="2477"/>
      <c r="CVK1688" s="2477"/>
      <c r="CVL1688" s="2477"/>
      <c r="CVM1688" s="2477"/>
      <c r="CVN1688" s="2477"/>
      <c r="CVO1688" s="2477"/>
      <c r="CVP1688" s="2477"/>
      <c r="CVQ1688" s="2477"/>
      <c r="CVR1688" s="2477"/>
      <c r="CVS1688" s="2477"/>
      <c r="CVT1688" s="2477"/>
      <c r="CVU1688" s="2477"/>
      <c r="CVV1688" s="2477"/>
      <c r="CVW1688" s="2477"/>
      <c r="CVX1688" s="2477"/>
      <c r="CVY1688" s="2477"/>
      <c r="CVZ1688" s="2477"/>
      <c r="CWA1688" s="2477"/>
      <c r="CWB1688" s="2477"/>
      <c r="CWC1688" s="2477"/>
      <c r="CWD1688" s="2477"/>
      <c r="CWE1688" s="2477"/>
      <c r="CWF1688" s="2477"/>
      <c r="CWG1688" s="2477"/>
      <c r="CWH1688" s="2477"/>
      <c r="CWI1688" s="2477"/>
      <c r="CWJ1688" s="2477"/>
      <c r="CWK1688" s="2477"/>
      <c r="CWL1688" s="2477"/>
      <c r="CWM1688" s="2477"/>
      <c r="CWN1688" s="2477"/>
      <c r="CWO1688" s="2477"/>
      <c r="CWP1688" s="2477"/>
      <c r="CWQ1688" s="2477"/>
      <c r="CWR1688" s="2477"/>
      <c r="CWS1688" s="2477"/>
      <c r="CWT1688" s="2477"/>
      <c r="CWU1688" s="2477"/>
      <c r="CWV1688" s="2477"/>
      <c r="CWW1688" s="2477"/>
      <c r="CWX1688" s="2477"/>
      <c r="CWY1688" s="2477"/>
      <c r="CWZ1688" s="2477"/>
      <c r="CXA1688" s="2477"/>
      <c r="CXB1688" s="2477"/>
      <c r="CXC1688" s="2477"/>
      <c r="CXD1688" s="2477"/>
      <c r="CXE1688" s="2477"/>
      <c r="CXF1688" s="2477"/>
      <c r="CXG1688" s="2477"/>
      <c r="CXH1688" s="2477"/>
      <c r="CXI1688" s="2477"/>
      <c r="CXJ1688" s="2477"/>
      <c r="CXK1688" s="2477"/>
      <c r="CXL1688" s="2477"/>
      <c r="CXM1688" s="2477"/>
      <c r="CXN1688" s="2477"/>
      <c r="CXO1688" s="2477"/>
      <c r="CXP1688" s="2477"/>
      <c r="CXQ1688" s="2477"/>
      <c r="CXR1688" s="2477"/>
      <c r="CXS1688" s="2477"/>
      <c r="CXT1688" s="2477"/>
      <c r="CXU1688" s="2477"/>
      <c r="CXV1688" s="2477"/>
      <c r="CXW1688" s="2477"/>
      <c r="CXX1688" s="2477"/>
      <c r="CXY1688" s="2477"/>
      <c r="CXZ1688" s="2477"/>
      <c r="CYA1688" s="2477"/>
      <c r="CYB1688" s="2477"/>
      <c r="CYC1688" s="2477"/>
      <c r="CYD1688" s="2477"/>
      <c r="CYE1688" s="2477"/>
      <c r="CYF1688" s="2477"/>
      <c r="CYG1688" s="2477"/>
      <c r="CYH1688" s="2477"/>
      <c r="CYI1688" s="2477"/>
      <c r="CYJ1688" s="2477"/>
      <c r="CYK1688" s="2477"/>
      <c r="CYL1688" s="2477"/>
      <c r="CYM1688" s="2477"/>
      <c r="CYN1688" s="2477"/>
      <c r="CYO1688" s="2477"/>
      <c r="CYP1688" s="2477"/>
      <c r="CYQ1688" s="2477"/>
      <c r="CYR1688" s="2477"/>
      <c r="CYS1688" s="2477"/>
      <c r="CYT1688" s="2477"/>
      <c r="CYU1688" s="2477"/>
      <c r="CYV1688" s="2477"/>
      <c r="CYW1688" s="2477"/>
      <c r="CYX1688" s="2477"/>
      <c r="CYY1688" s="2477"/>
      <c r="CYZ1688" s="2477"/>
      <c r="CZA1688" s="2477"/>
      <c r="CZB1688" s="2477"/>
      <c r="CZC1688" s="2477"/>
      <c r="CZD1688" s="2477"/>
      <c r="CZE1688" s="2477"/>
      <c r="CZF1688" s="2477"/>
      <c r="CZG1688" s="2477"/>
      <c r="CZH1688" s="2477"/>
      <c r="CZI1688" s="2477"/>
      <c r="CZJ1688" s="2477"/>
      <c r="CZK1688" s="2477"/>
      <c r="CZL1688" s="2477"/>
      <c r="CZM1688" s="2477"/>
      <c r="CZN1688" s="2477"/>
      <c r="CZO1688" s="2477"/>
      <c r="CZP1688" s="2477"/>
      <c r="CZQ1688" s="2477"/>
      <c r="CZR1688" s="2477"/>
      <c r="CZS1688" s="2477"/>
      <c r="CZT1688" s="2477"/>
      <c r="CZU1688" s="2477"/>
      <c r="CZV1688" s="2477"/>
      <c r="CZW1688" s="2477"/>
      <c r="CZX1688" s="2477"/>
      <c r="CZY1688" s="2477"/>
      <c r="CZZ1688" s="2477"/>
      <c r="DAA1688" s="2477"/>
      <c r="DAB1688" s="2477"/>
      <c r="DAC1688" s="2477"/>
      <c r="DAD1688" s="2477"/>
      <c r="DAE1688" s="2477"/>
      <c r="DAF1688" s="2477"/>
      <c r="DAG1688" s="2477"/>
      <c r="DAH1688" s="2477"/>
      <c r="DAI1688" s="2477"/>
      <c r="DAJ1688" s="2477"/>
      <c r="DAK1688" s="2477"/>
      <c r="DAL1688" s="2477"/>
      <c r="DAM1688" s="2477"/>
      <c r="DAN1688" s="2477"/>
      <c r="DAO1688" s="2477"/>
      <c r="DAP1688" s="2477"/>
      <c r="DAQ1688" s="2477"/>
      <c r="DAR1688" s="2477"/>
      <c r="DAS1688" s="2477"/>
      <c r="DAT1688" s="2477"/>
      <c r="DAU1688" s="2477"/>
      <c r="DAV1688" s="2477"/>
      <c r="DAW1688" s="2477"/>
      <c r="DAX1688" s="2477"/>
      <c r="DAY1688" s="2477"/>
      <c r="DAZ1688" s="2477"/>
      <c r="DBA1688" s="2477"/>
      <c r="DBB1688" s="2477"/>
      <c r="DBC1688" s="2477"/>
      <c r="DBD1688" s="2477"/>
      <c r="DBE1688" s="2477"/>
      <c r="DBF1688" s="2477"/>
      <c r="DBG1688" s="2477"/>
      <c r="DBH1688" s="2477"/>
      <c r="DBI1688" s="2477"/>
      <c r="DBJ1688" s="2477"/>
      <c r="DBK1688" s="2477"/>
      <c r="DBL1688" s="2477"/>
      <c r="DBM1688" s="2477"/>
      <c r="DBN1688" s="2477"/>
      <c r="DBO1688" s="2477"/>
      <c r="DBP1688" s="2477"/>
      <c r="DBQ1688" s="2477"/>
      <c r="DBR1688" s="2477"/>
      <c r="DBS1688" s="2477"/>
      <c r="DBT1688" s="2477"/>
      <c r="DBU1688" s="2477"/>
      <c r="DBV1688" s="2477"/>
      <c r="DBW1688" s="2477"/>
      <c r="DBX1688" s="2477"/>
      <c r="DBY1688" s="2477"/>
      <c r="DBZ1688" s="2477"/>
      <c r="DCA1688" s="2477"/>
      <c r="DCB1688" s="2477"/>
      <c r="DCC1688" s="2477"/>
      <c r="DCD1688" s="2477"/>
      <c r="DCE1688" s="2477"/>
      <c r="DCF1688" s="2477"/>
      <c r="DCG1688" s="2477"/>
      <c r="DCH1688" s="2477"/>
      <c r="DCI1688" s="2477"/>
      <c r="DCJ1688" s="2477"/>
      <c r="DCK1688" s="2477"/>
      <c r="DCL1688" s="2477"/>
      <c r="DCM1688" s="2477"/>
      <c r="DCN1688" s="2477"/>
      <c r="DCO1688" s="2477"/>
      <c r="DCP1688" s="2477"/>
      <c r="DCQ1688" s="2477"/>
      <c r="DCR1688" s="2477"/>
      <c r="DCS1688" s="2477"/>
      <c r="DCT1688" s="2477"/>
      <c r="DCU1688" s="2477"/>
      <c r="DCV1688" s="2477"/>
      <c r="DCW1688" s="2477"/>
      <c r="DCX1688" s="2477"/>
      <c r="DCY1688" s="2477"/>
      <c r="DCZ1688" s="2477"/>
      <c r="DDA1688" s="2477"/>
      <c r="DDB1688" s="2477"/>
      <c r="DDC1688" s="2477"/>
      <c r="DDD1688" s="2477"/>
      <c r="DDE1688" s="2477"/>
      <c r="DDF1688" s="2477"/>
      <c r="DDG1688" s="2477"/>
      <c r="DDH1688" s="2477"/>
      <c r="DDI1688" s="2477"/>
      <c r="DDJ1688" s="2477"/>
      <c r="DDK1688" s="2477"/>
      <c r="DDL1688" s="2477"/>
      <c r="DDM1688" s="2477"/>
      <c r="DDN1688" s="2477"/>
      <c r="DDO1688" s="2477"/>
      <c r="DDP1688" s="2477"/>
      <c r="DDQ1688" s="2477"/>
      <c r="DDR1688" s="2477"/>
      <c r="DDS1688" s="2477"/>
      <c r="DDT1688" s="2477"/>
      <c r="DDU1688" s="2477"/>
      <c r="DDV1688" s="2477"/>
      <c r="DDW1688" s="2477"/>
      <c r="DDX1688" s="2477"/>
      <c r="DDY1688" s="2477"/>
      <c r="DDZ1688" s="2477"/>
      <c r="DEA1688" s="2477"/>
      <c r="DEB1688" s="2477"/>
      <c r="DEC1688" s="2477"/>
      <c r="DED1688" s="2477"/>
      <c r="DEE1688" s="2477"/>
      <c r="DEF1688" s="2477"/>
      <c r="DEG1688" s="2477"/>
      <c r="DEH1688" s="2477"/>
      <c r="DEI1688" s="2477"/>
      <c r="DEJ1688" s="2477"/>
      <c r="DEK1688" s="2477"/>
      <c r="DEL1688" s="2477"/>
      <c r="DEM1688" s="2477"/>
      <c r="DEN1688" s="2477"/>
      <c r="DEO1688" s="2477"/>
      <c r="DEP1688" s="2477"/>
      <c r="DEQ1688" s="2477"/>
      <c r="DER1688" s="2477"/>
      <c r="DES1688" s="2477"/>
      <c r="DET1688" s="2477"/>
      <c r="DEU1688" s="2477"/>
      <c r="DEV1688" s="2477"/>
      <c r="DEW1688" s="2477"/>
      <c r="DEX1688" s="2477"/>
      <c r="DEY1688" s="2477"/>
      <c r="DEZ1688" s="2477"/>
      <c r="DFA1688" s="2477"/>
      <c r="DFB1688" s="2477"/>
      <c r="DFC1688" s="2477"/>
      <c r="DFD1688" s="2477"/>
      <c r="DFE1688" s="2477"/>
      <c r="DFF1688" s="2477"/>
      <c r="DFG1688" s="2477"/>
      <c r="DFH1688" s="2477"/>
      <c r="DFI1688" s="2477"/>
      <c r="DFJ1688" s="2477"/>
      <c r="DFK1688" s="2477"/>
      <c r="DFL1688" s="2477"/>
      <c r="DFM1688" s="2477"/>
      <c r="DFN1688" s="2477"/>
      <c r="DFO1688" s="2477"/>
      <c r="DFP1688" s="2477"/>
      <c r="DFQ1688" s="2477"/>
      <c r="DFR1688" s="2477"/>
      <c r="DFS1688" s="2477"/>
      <c r="DFT1688" s="2477"/>
      <c r="DFU1688" s="2477"/>
      <c r="DFV1688" s="2477"/>
      <c r="DFW1688" s="2477"/>
      <c r="DFX1688" s="2477"/>
      <c r="DFY1688" s="2477"/>
      <c r="DFZ1688" s="2477"/>
      <c r="DGA1688" s="2477"/>
      <c r="DGB1688" s="2477"/>
      <c r="DGC1688" s="2477"/>
      <c r="DGD1688" s="2477"/>
      <c r="DGE1688" s="2477"/>
      <c r="DGF1688" s="2477"/>
      <c r="DGG1688" s="2477"/>
      <c r="DGH1688" s="2477"/>
      <c r="DGI1688" s="2477"/>
      <c r="DGJ1688" s="2477"/>
      <c r="DGK1688" s="2477"/>
      <c r="DGL1688" s="2477"/>
      <c r="DGM1688" s="2477"/>
      <c r="DGN1688" s="2477"/>
      <c r="DGO1688" s="2477"/>
      <c r="DGP1688" s="2477"/>
      <c r="DGQ1688" s="2477"/>
      <c r="DGR1688" s="2477"/>
      <c r="DGS1688" s="2477"/>
      <c r="DGT1688" s="2477"/>
      <c r="DGU1688" s="2477"/>
      <c r="DGV1688" s="2477"/>
      <c r="DGW1688" s="2477"/>
      <c r="DGX1688" s="2477"/>
      <c r="DGY1688" s="2477"/>
      <c r="DGZ1688" s="2477"/>
      <c r="DHA1688" s="2477"/>
      <c r="DHB1688" s="2477"/>
      <c r="DHC1688" s="2477"/>
      <c r="DHD1688" s="2477"/>
      <c r="DHE1688" s="2477"/>
      <c r="DHF1688" s="2477"/>
      <c r="DHG1688" s="2477"/>
      <c r="DHH1688" s="2477"/>
      <c r="DHI1688" s="2477"/>
      <c r="DHJ1688" s="2477"/>
      <c r="DHK1688" s="2477"/>
      <c r="DHL1688" s="2477"/>
      <c r="DHM1688" s="2477"/>
      <c r="DHN1688" s="2477"/>
      <c r="DHO1688" s="2477"/>
      <c r="DHP1688" s="2477"/>
      <c r="DHQ1688" s="2477"/>
      <c r="DHR1688" s="2477"/>
      <c r="DHS1688" s="2477"/>
      <c r="DHT1688" s="2477"/>
      <c r="DHU1688" s="2477"/>
      <c r="DHV1688" s="2477"/>
      <c r="DHW1688" s="2477"/>
      <c r="DHX1688" s="2477"/>
      <c r="DHY1688" s="2477"/>
      <c r="DHZ1688" s="2477"/>
      <c r="DIA1688" s="2477"/>
      <c r="DIB1688" s="2477"/>
      <c r="DIC1688" s="2477"/>
      <c r="DID1688" s="2477"/>
      <c r="DIE1688" s="2477"/>
      <c r="DIF1688" s="2477"/>
      <c r="DIG1688" s="2477"/>
      <c r="DIH1688" s="2477"/>
      <c r="DII1688" s="2477"/>
      <c r="DIJ1688" s="2477"/>
      <c r="DIK1688" s="2477"/>
      <c r="DIL1688" s="2477"/>
      <c r="DIM1688" s="2477"/>
      <c r="DIN1688" s="2477"/>
      <c r="DIO1688" s="2477"/>
      <c r="DIP1688" s="2477"/>
      <c r="DIQ1688" s="2477"/>
      <c r="DIR1688" s="2477"/>
      <c r="DIS1688" s="2477"/>
      <c r="DIT1688" s="2477"/>
      <c r="DIU1688" s="2477"/>
      <c r="DIV1688" s="2477"/>
      <c r="DIW1688" s="2477"/>
      <c r="DIX1688" s="2477"/>
      <c r="DIY1688" s="2477"/>
      <c r="DIZ1688" s="2477"/>
      <c r="DJA1688" s="2477"/>
      <c r="DJB1688" s="2477"/>
      <c r="DJC1688" s="2477"/>
      <c r="DJD1688" s="2477"/>
      <c r="DJE1688" s="2477"/>
      <c r="DJF1688" s="2477"/>
      <c r="DJG1688" s="2477"/>
      <c r="DJH1688" s="2477"/>
      <c r="DJI1688" s="2477"/>
      <c r="DJJ1688" s="2477"/>
      <c r="DJK1688" s="2477"/>
      <c r="DJL1688" s="2477"/>
      <c r="DJM1688" s="2477"/>
      <c r="DJN1688" s="2477"/>
      <c r="DJO1688" s="2477"/>
      <c r="DJP1688" s="2477"/>
      <c r="DJQ1688" s="2477"/>
      <c r="DJR1688" s="2477"/>
      <c r="DJS1688" s="2477"/>
      <c r="DJT1688" s="2477"/>
      <c r="DJU1688" s="2477"/>
      <c r="DJV1688" s="2477"/>
      <c r="DJW1688" s="2477"/>
      <c r="DJX1688" s="2477"/>
      <c r="DJY1688" s="2477"/>
      <c r="DJZ1688" s="2477"/>
      <c r="DKA1688" s="2477"/>
      <c r="DKB1688" s="2477"/>
      <c r="DKC1688" s="2477"/>
      <c r="DKD1688" s="2477"/>
      <c r="DKE1688" s="2477"/>
      <c r="DKF1688" s="2477"/>
      <c r="DKG1688" s="2477"/>
      <c r="DKH1688" s="2477"/>
      <c r="DKI1688" s="2477"/>
      <c r="DKJ1688" s="2477"/>
      <c r="DKK1688" s="2477"/>
      <c r="DKL1688" s="2477"/>
      <c r="DKM1688" s="2477"/>
      <c r="DKN1688" s="2477"/>
      <c r="DKO1688" s="2477"/>
      <c r="DKP1688" s="2477"/>
      <c r="DKQ1688" s="2477"/>
      <c r="DKR1688" s="2477"/>
      <c r="DKS1688" s="2477"/>
      <c r="DKT1688" s="2477"/>
      <c r="DKU1688" s="2477"/>
      <c r="DKV1688" s="2477"/>
      <c r="DKW1688" s="2477"/>
      <c r="DKX1688" s="2477"/>
      <c r="DKY1688" s="2477"/>
      <c r="DKZ1688" s="2477"/>
      <c r="DLA1688" s="2477"/>
      <c r="DLB1688" s="2477"/>
      <c r="DLC1688" s="2477"/>
      <c r="DLD1688" s="2477"/>
      <c r="DLE1688" s="2477"/>
      <c r="DLF1688" s="2477"/>
      <c r="DLG1688" s="2477"/>
      <c r="DLH1688" s="2477"/>
      <c r="DLI1688" s="2477"/>
      <c r="DLJ1688" s="2477"/>
      <c r="DLK1688" s="2477"/>
      <c r="DLL1688" s="2477"/>
      <c r="DLM1688" s="2477"/>
      <c r="DLN1688" s="2477"/>
      <c r="DLO1688" s="2477"/>
      <c r="DLP1688" s="2477"/>
      <c r="DLQ1688" s="2477"/>
      <c r="DLR1688" s="2477"/>
      <c r="DLS1688" s="2477"/>
      <c r="DLT1688" s="2477"/>
      <c r="DLU1688" s="2477"/>
      <c r="DLV1688" s="2477"/>
      <c r="DLW1688" s="2477"/>
      <c r="DLX1688" s="2477"/>
      <c r="DLY1688" s="2477"/>
      <c r="DLZ1688" s="2477"/>
      <c r="DMA1688" s="2477"/>
      <c r="DMB1688" s="2477"/>
      <c r="DMC1688" s="2477"/>
      <c r="DMD1688" s="2477"/>
      <c r="DME1688" s="2477"/>
      <c r="DMF1688" s="2477"/>
      <c r="DMG1688" s="2477"/>
      <c r="DMH1688" s="2477"/>
      <c r="DMI1688" s="2477"/>
      <c r="DMJ1688" s="2477"/>
      <c r="DMK1688" s="2477"/>
      <c r="DML1688" s="2477"/>
      <c r="DMM1688" s="2477"/>
      <c r="DMN1688" s="2477"/>
      <c r="DMO1688" s="2477"/>
      <c r="DMP1688" s="2477"/>
      <c r="DMQ1688" s="2477"/>
      <c r="DMR1688" s="2477"/>
      <c r="DMS1688" s="2477"/>
      <c r="DMT1688" s="2477"/>
      <c r="DMU1688" s="2477"/>
      <c r="DMV1688" s="2477"/>
      <c r="DMW1688" s="2477"/>
      <c r="DMX1688" s="2477"/>
      <c r="DMY1688" s="2477"/>
      <c r="DMZ1688" s="2477"/>
      <c r="DNA1688" s="2477"/>
      <c r="DNB1688" s="2477"/>
      <c r="DNC1688" s="2477"/>
      <c r="DND1688" s="2477"/>
      <c r="DNE1688" s="2477"/>
      <c r="DNF1688" s="2477"/>
      <c r="DNG1688" s="2477"/>
      <c r="DNH1688" s="2477"/>
      <c r="DNI1688" s="2477"/>
      <c r="DNJ1688" s="2477"/>
      <c r="DNK1688" s="2477"/>
      <c r="DNL1688" s="2477"/>
      <c r="DNM1688" s="2477"/>
      <c r="DNN1688" s="2477"/>
      <c r="DNO1688" s="2477"/>
      <c r="DNP1688" s="2477"/>
      <c r="DNQ1688" s="2477"/>
      <c r="DNR1688" s="2477"/>
      <c r="DNS1688" s="2477"/>
      <c r="DNT1688" s="2477"/>
      <c r="DNU1688" s="2477"/>
      <c r="DNV1688" s="2477"/>
      <c r="DNW1688" s="2477"/>
      <c r="DNX1688" s="2477"/>
      <c r="DNY1688" s="2477"/>
      <c r="DNZ1688" s="2477"/>
      <c r="DOA1688" s="2477"/>
      <c r="DOB1688" s="2477"/>
      <c r="DOC1688" s="2477"/>
      <c r="DOD1688" s="2477"/>
      <c r="DOE1688" s="2477"/>
      <c r="DOF1688" s="2477"/>
      <c r="DOG1688" s="2477"/>
      <c r="DOH1688" s="2477"/>
      <c r="DOI1688" s="2477"/>
      <c r="DOJ1688" s="2477"/>
      <c r="DOK1688" s="2477"/>
      <c r="DOL1688" s="2477"/>
      <c r="DOM1688" s="2477"/>
      <c r="DON1688" s="2477"/>
      <c r="DOO1688" s="2477"/>
      <c r="DOP1688" s="2477"/>
      <c r="DOQ1688" s="2477"/>
      <c r="DOR1688" s="2477"/>
      <c r="DOS1688" s="2477"/>
      <c r="DOT1688" s="2477"/>
      <c r="DOU1688" s="2477"/>
      <c r="DOV1688" s="2477"/>
      <c r="DOW1688" s="2477"/>
      <c r="DOX1688" s="2477"/>
      <c r="DOY1688" s="2477"/>
      <c r="DOZ1688" s="2477"/>
      <c r="DPA1688" s="2477"/>
      <c r="DPB1688" s="2477"/>
      <c r="DPC1688" s="2477"/>
      <c r="DPD1688" s="2477"/>
      <c r="DPE1688" s="2477"/>
      <c r="DPF1688" s="2477"/>
      <c r="DPG1688" s="2477"/>
      <c r="DPH1688" s="2477"/>
      <c r="DPI1688" s="2477"/>
      <c r="DPJ1688" s="2477"/>
      <c r="DPK1688" s="2477"/>
      <c r="DPL1688" s="2477"/>
      <c r="DPM1688" s="2477"/>
      <c r="DPN1688" s="2477"/>
      <c r="DPO1688" s="2477"/>
      <c r="DPP1688" s="2477"/>
      <c r="DPQ1688" s="2477"/>
      <c r="DPR1688" s="2477"/>
      <c r="DPS1688" s="2477"/>
      <c r="DPT1688" s="2477"/>
      <c r="DPU1688" s="2477"/>
      <c r="DPV1688" s="2477"/>
      <c r="DPW1688" s="2477"/>
      <c r="DPX1688" s="2477"/>
      <c r="DPY1688" s="2477"/>
      <c r="DPZ1688" s="2477"/>
      <c r="DQA1688" s="2477"/>
      <c r="DQB1688" s="2477"/>
      <c r="DQC1688" s="2477"/>
      <c r="DQD1688" s="2477"/>
      <c r="DQE1688" s="2477"/>
      <c r="DQF1688" s="2477"/>
      <c r="DQG1688" s="2477"/>
      <c r="DQH1688" s="2477"/>
      <c r="DQI1688" s="2477"/>
      <c r="DQJ1688" s="2477"/>
      <c r="DQK1688" s="2477"/>
      <c r="DQL1688" s="2477"/>
      <c r="DQM1688" s="2477"/>
      <c r="DQN1688" s="2477"/>
      <c r="DQO1688" s="2477"/>
      <c r="DQP1688" s="2477"/>
      <c r="DQQ1688" s="2477"/>
      <c r="DQR1688" s="2477"/>
      <c r="DQS1688" s="2477"/>
      <c r="DQT1688" s="2477"/>
      <c r="DQU1688" s="2477"/>
      <c r="DQV1688" s="2477"/>
      <c r="DQW1688" s="2477"/>
      <c r="DQX1688" s="2477"/>
      <c r="DQY1688" s="2477"/>
      <c r="DQZ1688" s="2477"/>
      <c r="DRA1688" s="2477"/>
      <c r="DRB1688" s="2477"/>
      <c r="DRC1688" s="2477"/>
      <c r="DRD1688" s="2477"/>
      <c r="DRE1688" s="2477"/>
      <c r="DRF1688" s="2477"/>
      <c r="DRG1688" s="2477"/>
      <c r="DRH1688" s="2477"/>
      <c r="DRI1688" s="2477"/>
      <c r="DRJ1688" s="2477"/>
      <c r="DRK1688" s="2477"/>
      <c r="DRL1688" s="2477"/>
      <c r="DRM1688" s="2477"/>
      <c r="DRN1688" s="2477"/>
      <c r="DRO1688" s="2477"/>
      <c r="DRP1688" s="2477"/>
      <c r="DRQ1688" s="2477"/>
      <c r="DRR1688" s="2477"/>
      <c r="DRS1688" s="2477"/>
      <c r="DRT1688" s="2477"/>
      <c r="DRU1688" s="2477"/>
      <c r="DRV1688" s="2477"/>
      <c r="DRW1688" s="2477"/>
      <c r="DRX1688" s="2477"/>
      <c r="DRY1688" s="2477"/>
      <c r="DRZ1688" s="2477"/>
      <c r="DSA1688" s="2477"/>
      <c r="DSB1688" s="2477"/>
      <c r="DSC1688" s="2477"/>
      <c r="DSD1688" s="2477"/>
      <c r="DSE1688" s="2477"/>
      <c r="DSF1688" s="2477"/>
      <c r="DSG1688" s="2477"/>
      <c r="DSH1688" s="2477"/>
      <c r="DSI1688" s="2477"/>
      <c r="DSJ1688" s="2477"/>
      <c r="DSK1688" s="2477"/>
      <c r="DSL1688" s="2477"/>
      <c r="DSM1688" s="2477"/>
      <c r="DSN1688" s="2477"/>
      <c r="DSO1688" s="2477"/>
      <c r="DSP1688" s="2477"/>
      <c r="DSQ1688" s="2477"/>
      <c r="DSR1688" s="2477"/>
      <c r="DSS1688" s="2477"/>
      <c r="DST1688" s="2477"/>
      <c r="DSU1688" s="2477"/>
      <c r="DSV1688" s="2477"/>
      <c r="DSW1688" s="2477"/>
      <c r="DSX1688" s="2477"/>
      <c r="DSY1688" s="2477"/>
      <c r="DSZ1688" s="2477"/>
      <c r="DTA1688" s="2477"/>
      <c r="DTB1688" s="2477"/>
      <c r="DTC1688" s="2477"/>
      <c r="DTD1688" s="2477"/>
      <c r="DTE1688" s="2477"/>
      <c r="DTF1688" s="2477"/>
      <c r="DTG1688" s="2477"/>
      <c r="DTH1688" s="2477"/>
      <c r="DTI1688" s="2477"/>
      <c r="DTJ1688" s="2477"/>
      <c r="DTK1688" s="2477"/>
      <c r="DTL1688" s="2477"/>
      <c r="DTM1688" s="2477"/>
      <c r="DTN1688" s="2477"/>
      <c r="DTO1688" s="2477"/>
      <c r="DTP1688" s="2477"/>
      <c r="DTQ1688" s="2477"/>
      <c r="DTR1688" s="2477"/>
      <c r="DTS1688" s="2477"/>
      <c r="DTT1688" s="2477"/>
      <c r="DTU1688" s="2477"/>
      <c r="DTV1688" s="2477"/>
      <c r="DTW1688" s="2477"/>
      <c r="DTX1688" s="2477"/>
      <c r="DTY1688" s="2477"/>
      <c r="DTZ1688" s="2477"/>
      <c r="DUA1688" s="2477"/>
      <c r="DUB1688" s="2477"/>
      <c r="DUC1688" s="2477"/>
      <c r="DUD1688" s="2477"/>
      <c r="DUE1688" s="2477"/>
      <c r="DUF1688" s="2477"/>
      <c r="DUG1688" s="2477"/>
      <c r="DUH1688" s="2477"/>
      <c r="DUI1688" s="2477"/>
      <c r="DUJ1688" s="2477"/>
      <c r="DUK1688" s="2477"/>
      <c r="DUL1688" s="2477"/>
      <c r="DUM1688" s="2477"/>
      <c r="DUN1688" s="2477"/>
      <c r="DUO1688" s="2477"/>
      <c r="DUP1688" s="2477"/>
      <c r="DUQ1688" s="2477"/>
      <c r="DUR1688" s="2477"/>
      <c r="DUS1688" s="2477"/>
      <c r="DUT1688" s="2477"/>
      <c r="DUU1688" s="2477"/>
      <c r="DUV1688" s="2477"/>
      <c r="DUW1688" s="2477"/>
      <c r="DUX1688" s="2477"/>
      <c r="DUY1688" s="2477"/>
      <c r="DUZ1688" s="2477"/>
      <c r="DVA1688" s="2477"/>
      <c r="DVB1688" s="2477"/>
      <c r="DVC1688" s="2477"/>
      <c r="DVD1688" s="2477"/>
      <c r="DVE1688" s="2477"/>
      <c r="DVF1688" s="2477"/>
      <c r="DVG1688" s="2477"/>
      <c r="DVH1688" s="2477"/>
      <c r="DVI1688" s="2477"/>
      <c r="DVJ1688" s="2477"/>
      <c r="DVK1688" s="2477"/>
      <c r="DVL1688" s="2477"/>
      <c r="DVM1688" s="2477"/>
      <c r="DVN1688" s="2477"/>
      <c r="DVO1688" s="2477"/>
      <c r="DVP1688" s="2477"/>
      <c r="DVQ1688" s="2477"/>
      <c r="DVR1688" s="2477"/>
      <c r="DVS1688" s="2477"/>
      <c r="DVT1688" s="2477"/>
      <c r="DVU1688" s="2477"/>
      <c r="DVV1688" s="2477"/>
      <c r="DVW1688" s="2477"/>
      <c r="DVX1688" s="2477"/>
      <c r="DVY1688" s="2477"/>
      <c r="DVZ1688" s="2477"/>
      <c r="DWA1688" s="2477"/>
      <c r="DWB1688" s="2477"/>
      <c r="DWC1688" s="2477"/>
      <c r="DWD1688" s="2477"/>
      <c r="DWE1688" s="2477"/>
      <c r="DWF1688" s="2477"/>
      <c r="DWG1688" s="2477"/>
      <c r="DWH1688" s="2477"/>
      <c r="DWI1688" s="2477"/>
      <c r="DWJ1688" s="2477"/>
      <c r="DWK1688" s="2477"/>
      <c r="DWL1688" s="2477"/>
      <c r="DWM1688" s="2477"/>
      <c r="DWN1688" s="2477"/>
      <c r="DWO1688" s="2477"/>
      <c r="DWP1688" s="2477"/>
      <c r="DWQ1688" s="2477"/>
      <c r="DWR1688" s="2477"/>
      <c r="DWS1688" s="2477"/>
      <c r="DWT1688" s="2477"/>
      <c r="DWU1688" s="2477"/>
      <c r="DWV1688" s="2477"/>
      <c r="DWW1688" s="2477"/>
      <c r="DWX1688" s="2477"/>
      <c r="DWY1688" s="2477"/>
      <c r="DWZ1688" s="2477"/>
      <c r="DXA1688" s="2477"/>
      <c r="DXB1688" s="2477"/>
      <c r="DXC1688" s="2477"/>
      <c r="DXD1688" s="2477"/>
      <c r="DXE1688" s="2477"/>
      <c r="DXF1688" s="2477"/>
      <c r="DXG1688" s="2477"/>
      <c r="DXH1688" s="2477"/>
      <c r="DXI1688" s="2477"/>
      <c r="DXJ1688" s="2477"/>
      <c r="DXK1688" s="2477"/>
      <c r="DXL1688" s="2477"/>
      <c r="DXM1688" s="2477"/>
      <c r="DXN1688" s="2477"/>
      <c r="DXO1688" s="2477"/>
      <c r="DXP1688" s="2477"/>
      <c r="DXQ1688" s="2477"/>
      <c r="DXR1688" s="2477"/>
      <c r="DXS1688" s="2477"/>
      <c r="DXT1688" s="2477"/>
      <c r="DXU1688" s="2477"/>
      <c r="DXV1688" s="2477"/>
      <c r="DXW1688" s="2477"/>
      <c r="DXX1688" s="2477"/>
      <c r="DXY1688" s="2477"/>
      <c r="DXZ1688" s="2477"/>
      <c r="DYA1688" s="2477"/>
      <c r="DYB1688" s="2477"/>
      <c r="DYC1688" s="2477"/>
      <c r="DYD1688" s="2477"/>
      <c r="DYE1688" s="2477"/>
      <c r="DYF1688" s="2477"/>
      <c r="DYG1688" s="2477"/>
      <c r="DYH1688" s="2477"/>
      <c r="DYI1688" s="2477"/>
      <c r="DYJ1688" s="2477"/>
      <c r="DYK1688" s="2477"/>
      <c r="DYL1688" s="2477"/>
      <c r="DYM1688" s="2477"/>
      <c r="DYN1688" s="2477"/>
      <c r="DYO1688" s="2477"/>
      <c r="DYP1688" s="2477"/>
      <c r="DYQ1688" s="2477"/>
      <c r="DYR1688" s="2477"/>
      <c r="DYS1688" s="2477"/>
      <c r="DYT1688" s="2477"/>
      <c r="DYU1688" s="2477"/>
      <c r="DYV1688" s="2477"/>
      <c r="DYW1688" s="2477"/>
      <c r="DYX1688" s="2477"/>
      <c r="DYY1688" s="2477"/>
      <c r="DYZ1688" s="2477"/>
      <c r="DZA1688" s="2477"/>
      <c r="DZB1688" s="2477"/>
      <c r="DZC1688" s="2477"/>
      <c r="DZD1688" s="2477"/>
      <c r="DZE1688" s="2477"/>
      <c r="DZF1688" s="2477"/>
      <c r="DZG1688" s="2477"/>
      <c r="DZH1688" s="2477"/>
      <c r="DZI1688" s="2477"/>
      <c r="DZJ1688" s="2477"/>
      <c r="DZK1688" s="2477"/>
      <c r="DZL1688" s="2477"/>
      <c r="DZM1688" s="2477"/>
      <c r="DZN1688" s="2477"/>
      <c r="DZO1688" s="2477"/>
      <c r="DZP1688" s="2477"/>
      <c r="DZQ1688" s="2477"/>
      <c r="DZR1688" s="2477"/>
      <c r="DZS1688" s="2477"/>
      <c r="DZT1688" s="2477"/>
      <c r="DZU1688" s="2477"/>
      <c r="DZV1688" s="2477"/>
      <c r="DZW1688" s="2477"/>
      <c r="DZX1688" s="2477"/>
      <c r="DZY1688" s="2477"/>
      <c r="DZZ1688" s="2477"/>
      <c r="EAA1688" s="2477"/>
      <c r="EAB1688" s="2477"/>
      <c r="EAC1688" s="2477"/>
      <c r="EAD1688" s="2477"/>
      <c r="EAE1688" s="2477"/>
      <c r="EAF1688" s="2477"/>
      <c r="EAG1688" s="2477"/>
      <c r="EAH1688" s="2477"/>
      <c r="EAI1688" s="2477"/>
      <c r="EAJ1688" s="2477"/>
      <c r="EAK1688" s="2477"/>
      <c r="EAL1688" s="2477"/>
      <c r="EAM1688" s="2477"/>
      <c r="EAN1688" s="2477"/>
      <c r="EAO1688" s="2477"/>
      <c r="EAP1688" s="2477"/>
      <c r="EAQ1688" s="2477"/>
      <c r="EAR1688" s="2477"/>
      <c r="EAS1688" s="2477"/>
      <c r="EAT1688" s="2477"/>
      <c r="EAU1688" s="2477"/>
      <c r="EAV1688" s="2477"/>
      <c r="EAW1688" s="2477"/>
      <c r="EAX1688" s="2477"/>
      <c r="EAY1688" s="2477"/>
      <c r="EAZ1688" s="2477"/>
      <c r="EBA1688" s="2477"/>
      <c r="EBB1688" s="2477"/>
      <c r="EBC1688" s="2477"/>
      <c r="EBD1688" s="2477"/>
      <c r="EBE1688" s="2477"/>
      <c r="EBF1688" s="2477"/>
      <c r="EBG1688" s="2477"/>
      <c r="EBH1688" s="2477"/>
      <c r="EBI1688" s="2477"/>
      <c r="EBJ1688" s="2477"/>
      <c r="EBK1688" s="2477"/>
      <c r="EBL1688" s="2477"/>
      <c r="EBM1688" s="2477"/>
      <c r="EBN1688" s="2477"/>
      <c r="EBO1688" s="2477"/>
      <c r="EBP1688" s="2477"/>
      <c r="EBQ1688" s="2477"/>
      <c r="EBR1688" s="2477"/>
      <c r="EBS1688" s="2477"/>
      <c r="EBT1688" s="2477"/>
      <c r="EBU1688" s="2477"/>
      <c r="EBV1688" s="2477"/>
      <c r="EBW1688" s="2477"/>
      <c r="EBX1688" s="2477"/>
      <c r="EBY1688" s="2477"/>
      <c r="EBZ1688" s="2477"/>
      <c r="ECA1688" s="2477"/>
      <c r="ECB1688" s="2477"/>
      <c r="ECC1688" s="2477"/>
      <c r="ECD1688" s="2477"/>
      <c r="ECE1688" s="2477"/>
      <c r="ECF1688" s="2477"/>
      <c r="ECG1688" s="2477"/>
      <c r="ECH1688" s="2477"/>
      <c r="ECI1688" s="2477"/>
      <c r="ECJ1688" s="2477"/>
      <c r="ECK1688" s="2477"/>
      <c r="ECL1688" s="2477"/>
      <c r="ECM1688" s="2477"/>
      <c r="ECN1688" s="2477"/>
      <c r="ECO1688" s="2477"/>
      <c r="ECP1688" s="2477"/>
      <c r="ECQ1688" s="2477"/>
      <c r="ECR1688" s="2477"/>
      <c r="ECS1688" s="2477"/>
      <c r="ECT1688" s="2477"/>
      <c r="ECU1688" s="2477"/>
      <c r="ECV1688" s="2477"/>
      <c r="ECW1688" s="2477"/>
      <c r="ECX1688" s="2477"/>
      <c r="ECY1688" s="2477"/>
      <c r="ECZ1688" s="2477"/>
      <c r="EDA1688" s="2477"/>
      <c r="EDB1688" s="2477"/>
      <c r="EDC1688" s="2477"/>
      <c r="EDD1688" s="2477"/>
      <c r="EDE1688" s="2477"/>
      <c r="EDF1688" s="2477"/>
      <c r="EDG1688" s="2477"/>
      <c r="EDH1688" s="2477"/>
      <c r="EDI1688" s="2477"/>
      <c r="EDJ1688" s="2477"/>
      <c r="EDK1688" s="2477"/>
      <c r="EDL1688" s="2477"/>
      <c r="EDM1688" s="2477"/>
      <c r="EDN1688" s="2477"/>
      <c r="EDO1688" s="2477"/>
      <c r="EDP1688" s="2477"/>
      <c r="EDQ1688" s="2477"/>
      <c r="EDR1688" s="2477"/>
      <c r="EDS1688" s="2477"/>
      <c r="EDT1688" s="2477"/>
      <c r="EDU1688" s="2477"/>
      <c r="EDV1688" s="2477"/>
      <c r="EDW1688" s="2477"/>
      <c r="EDX1688" s="2477"/>
      <c r="EDY1688" s="2477"/>
      <c r="EDZ1688" s="2477"/>
      <c r="EEA1688" s="2477"/>
      <c r="EEB1688" s="2477"/>
      <c r="EEC1688" s="2477"/>
      <c r="EED1688" s="2477"/>
      <c r="EEE1688" s="2477"/>
      <c r="EEF1688" s="2477"/>
      <c r="EEG1688" s="2477"/>
      <c r="EEH1688" s="2477"/>
      <c r="EEI1688" s="2477"/>
      <c r="EEJ1688" s="2477"/>
      <c r="EEK1688" s="2477"/>
      <c r="EEL1688" s="2477"/>
      <c r="EEM1688" s="2477"/>
      <c r="EEN1688" s="2477"/>
      <c r="EEO1688" s="2477"/>
      <c r="EEP1688" s="2477"/>
      <c r="EEQ1688" s="2477"/>
      <c r="EER1688" s="2477"/>
      <c r="EES1688" s="2477"/>
      <c r="EET1688" s="2477"/>
      <c r="EEU1688" s="2477"/>
      <c r="EEV1688" s="2477"/>
      <c r="EEW1688" s="2477"/>
      <c r="EEX1688" s="2477"/>
      <c r="EEY1688" s="2477"/>
      <c r="EEZ1688" s="2477"/>
      <c r="EFA1688" s="2477"/>
      <c r="EFB1688" s="2477"/>
      <c r="EFC1688" s="2477"/>
      <c r="EFD1688" s="2477"/>
      <c r="EFE1688" s="2477"/>
      <c r="EFF1688" s="2477"/>
      <c r="EFG1688" s="2477"/>
      <c r="EFH1688" s="2477"/>
      <c r="EFI1688" s="2477"/>
      <c r="EFJ1688" s="2477"/>
      <c r="EFK1688" s="2477"/>
      <c r="EFL1688" s="2477"/>
      <c r="EFM1688" s="2477"/>
      <c r="EFN1688" s="2477"/>
      <c r="EFO1688" s="2477"/>
      <c r="EFP1688" s="2477"/>
      <c r="EFQ1688" s="2477"/>
      <c r="EFR1688" s="2477"/>
      <c r="EFS1688" s="2477"/>
      <c r="EFT1688" s="2477"/>
      <c r="EFU1688" s="2477"/>
      <c r="EFV1688" s="2477"/>
      <c r="EFW1688" s="2477"/>
      <c r="EFX1688" s="2477"/>
      <c r="EFY1688" s="2477"/>
      <c r="EFZ1688" s="2477"/>
      <c r="EGA1688" s="2477"/>
      <c r="EGB1688" s="2477"/>
      <c r="EGC1688" s="2477"/>
      <c r="EGD1688" s="2477"/>
      <c r="EGE1688" s="2477"/>
      <c r="EGF1688" s="2477"/>
      <c r="EGG1688" s="2477"/>
      <c r="EGH1688" s="2477"/>
      <c r="EGI1688" s="2477"/>
      <c r="EGJ1688" s="2477"/>
      <c r="EGK1688" s="2477"/>
      <c r="EGL1688" s="2477"/>
      <c r="EGM1688" s="2477"/>
      <c r="EGN1688" s="2477"/>
      <c r="EGO1688" s="2477"/>
      <c r="EGP1688" s="2477"/>
      <c r="EGQ1688" s="2477"/>
      <c r="EGR1688" s="2477"/>
      <c r="EGS1688" s="2477"/>
      <c r="EGT1688" s="2477"/>
      <c r="EGU1688" s="2477"/>
      <c r="EGV1688" s="2477"/>
      <c r="EGW1688" s="2477"/>
      <c r="EGX1688" s="2477"/>
      <c r="EGY1688" s="2477"/>
      <c r="EGZ1688" s="2477"/>
      <c r="EHA1688" s="2477"/>
      <c r="EHB1688" s="2477"/>
      <c r="EHC1688" s="2477"/>
      <c r="EHD1688" s="2477"/>
      <c r="EHE1688" s="2477"/>
      <c r="EHF1688" s="2477"/>
      <c r="EHG1688" s="2477"/>
      <c r="EHH1688" s="2477"/>
      <c r="EHI1688" s="2477"/>
      <c r="EHJ1688" s="2477"/>
      <c r="EHK1688" s="2477"/>
      <c r="EHL1688" s="2477"/>
      <c r="EHM1688" s="2477"/>
      <c r="EHN1688" s="2477"/>
      <c r="EHO1688" s="2477"/>
      <c r="EHP1688" s="2477"/>
      <c r="EHQ1688" s="2477"/>
      <c r="EHR1688" s="2477"/>
      <c r="EHS1688" s="2477"/>
      <c r="EHT1688" s="2477"/>
      <c r="EHU1688" s="2477"/>
      <c r="EHV1688" s="2477"/>
      <c r="EHW1688" s="2477"/>
      <c r="EHX1688" s="2477"/>
      <c r="EHY1688" s="2477"/>
      <c r="EHZ1688" s="2477"/>
      <c r="EIA1688" s="2477"/>
      <c r="EIB1688" s="2477"/>
      <c r="EIC1688" s="2477"/>
      <c r="EID1688" s="2477"/>
      <c r="EIE1688" s="2477"/>
      <c r="EIF1688" s="2477"/>
      <c r="EIG1688" s="2477"/>
      <c r="EIH1688" s="2477"/>
      <c r="EII1688" s="2477"/>
      <c r="EIJ1688" s="2477"/>
      <c r="EIK1688" s="2477"/>
      <c r="EIL1688" s="2477"/>
      <c r="EIM1688" s="2477"/>
      <c r="EIN1688" s="2477"/>
      <c r="EIO1688" s="2477"/>
      <c r="EIP1688" s="2477"/>
      <c r="EIQ1688" s="2477"/>
      <c r="EIR1688" s="2477"/>
      <c r="EIS1688" s="2477"/>
      <c r="EIT1688" s="2477"/>
      <c r="EIU1688" s="2477"/>
      <c r="EIV1688" s="2477"/>
      <c r="EIW1688" s="2477"/>
      <c r="EIX1688" s="2477"/>
      <c r="EIY1688" s="2477"/>
      <c r="EIZ1688" s="2477"/>
      <c r="EJA1688" s="2477"/>
      <c r="EJB1688" s="2477"/>
      <c r="EJC1688" s="2477"/>
      <c r="EJD1688" s="2477"/>
      <c r="EJE1688" s="2477"/>
      <c r="EJF1688" s="2477"/>
      <c r="EJG1688" s="2477"/>
      <c r="EJH1688" s="2477"/>
      <c r="EJI1688" s="2477"/>
      <c r="EJJ1688" s="2477"/>
      <c r="EJK1688" s="2477"/>
      <c r="EJL1688" s="2477"/>
      <c r="EJM1688" s="2477"/>
      <c r="EJN1688" s="2477"/>
      <c r="EJO1688" s="2477"/>
      <c r="EJP1688" s="2477"/>
      <c r="EJQ1688" s="2477"/>
      <c r="EJR1688" s="2477"/>
      <c r="EJS1688" s="2477"/>
      <c r="EJT1688" s="2477"/>
      <c r="EJU1688" s="2477"/>
      <c r="EJV1688" s="2477"/>
      <c r="EJW1688" s="2477"/>
      <c r="EJX1688" s="2477"/>
      <c r="EJY1688" s="2477"/>
      <c r="EJZ1688" s="2477"/>
      <c r="EKA1688" s="2477"/>
      <c r="EKB1688" s="2477"/>
      <c r="EKC1688" s="2477"/>
      <c r="EKD1688" s="2477"/>
      <c r="EKE1688" s="2477"/>
      <c r="EKF1688" s="2477"/>
      <c r="EKG1688" s="2477"/>
      <c r="EKH1688" s="2477"/>
      <c r="EKI1688" s="2477"/>
      <c r="EKJ1688" s="2477"/>
      <c r="EKK1688" s="2477"/>
      <c r="EKL1688" s="2477"/>
      <c r="EKM1688" s="2477"/>
      <c r="EKN1688" s="2477"/>
      <c r="EKO1688" s="2477"/>
      <c r="EKP1688" s="2477"/>
      <c r="EKQ1688" s="2477"/>
      <c r="EKR1688" s="2477"/>
      <c r="EKS1688" s="2477"/>
      <c r="EKT1688" s="2477"/>
      <c r="EKU1688" s="2477"/>
      <c r="EKV1688" s="2477"/>
      <c r="EKW1688" s="2477"/>
      <c r="EKX1688" s="2477"/>
      <c r="EKY1688" s="2477"/>
      <c r="EKZ1688" s="2477"/>
      <c r="ELA1688" s="2477"/>
      <c r="ELB1688" s="2477"/>
      <c r="ELC1688" s="2477"/>
      <c r="ELD1688" s="2477"/>
      <c r="ELE1688" s="2477"/>
      <c r="ELF1688" s="2477"/>
      <c r="ELG1688" s="2477"/>
      <c r="ELH1688" s="2477"/>
      <c r="ELI1688" s="2477"/>
      <c r="ELJ1688" s="2477"/>
      <c r="ELK1688" s="2477"/>
      <c r="ELL1688" s="2477"/>
      <c r="ELM1688" s="2477"/>
      <c r="ELN1688" s="2477"/>
      <c r="ELO1688" s="2477"/>
      <c r="ELP1688" s="2477"/>
      <c r="ELQ1688" s="2477"/>
      <c r="ELR1688" s="2477"/>
      <c r="ELS1688" s="2477"/>
      <c r="ELT1688" s="2477"/>
      <c r="ELU1688" s="2477"/>
      <c r="ELV1688" s="2477"/>
      <c r="ELW1688" s="2477"/>
      <c r="ELX1688" s="2477"/>
      <c r="ELY1688" s="2477"/>
      <c r="ELZ1688" s="2477"/>
      <c r="EMA1688" s="2477"/>
      <c r="EMB1688" s="2477"/>
      <c r="EMC1688" s="2477"/>
      <c r="EMD1688" s="2477"/>
      <c r="EME1688" s="2477"/>
      <c r="EMF1688" s="2477"/>
      <c r="EMG1688" s="2477"/>
      <c r="EMH1688" s="2477"/>
      <c r="EMI1688" s="2477"/>
      <c r="EMJ1688" s="2477"/>
      <c r="EMK1688" s="2477"/>
      <c r="EML1688" s="2477"/>
      <c r="EMM1688" s="2477"/>
      <c r="EMN1688" s="2477"/>
      <c r="EMO1688" s="2477"/>
      <c r="EMP1688" s="2477"/>
      <c r="EMQ1688" s="2477"/>
      <c r="EMR1688" s="2477"/>
      <c r="EMS1688" s="2477"/>
      <c r="EMT1688" s="2477"/>
      <c r="EMU1688" s="2477"/>
      <c r="EMV1688" s="2477"/>
      <c r="EMW1688" s="2477"/>
      <c r="EMX1688" s="2477"/>
      <c r="EMY1688" s="2477"/>
      <c r="EMZ1688" s="2477"/>
      <c r="ENA1688" s="2477"/>
      <c r="ENB1688" s="2477"/>
      <c r="ENC1688" s="2477"/>
      <c r="END1688" s="2477"/>
      <c r="ENE1688" s="2477"/>
      <c r="ENF1688" s="2477"/>
      <c r="ENG1688" s="2477"/>
      <c r="ENH1688" s="2477"/>
      <c r="ENI1688" s="2477"/>
      <c r="ENJ1688" s="2477"/>
      <c r="ENK1688" s="2477"/>
      <c r="ENL1688" s="2477"/>
      <c r="ENM1688" s="2477"/>
      <c r="ENN1688" s="2477"/>
      <c r="ENO1688" s="2477"/>
      <c r="ENP1688" s="2477"/>
      <c r="ENQ1688" s="2477"/>
      <c r="ENR1688" s="2477"/>
      <c r="ENS1688" s="2477"/>
      <c r="ENT1688" s="2477"/>
      <c r="ENU1688" s="2477"/>
      <c r="ENV1688" s="2477"/>
      <c r="ENW1688" s="2477"/>
      <c r="ENX1688" s="2477"/>
      <c r="ENY1688" s="2477"/>
      <c r="ENZ1688" s="2477"/>
      <c r="EOA1688" s="2477"/>
      <c r="EOB1688" s="2477"/>
      <c r="EOC1688" s="2477"/>
      <c r="EOD1688" s="2477"/>
      <c r="EOE1688" s="2477"/>
      <c r="EOF1688" s="2477"/>
      <c r="EOG1688" s="2477"/>
      <c r="EOH1688" s="2477"/>
      <c r="EOI1688" s="2477"/>
      <c r="EOJ1688" s="2477"/>
      <c r="EOK1688" s="2477"/>
      <c r="EOL1688" s="2477"/>
      <c r="EOM1688" s="2477"/>
      <c r="EON1688" s="2477"/>
      <c r="EOO1688" s="2477"/>
      <c r="EOP1688" s="2477"/>
      <c r="EOQ1688" s="2477"/>
      <c r="EOR1688" s="2477"/>
      <c r="EOS1688" s="2477"/>
      <c r="EOT1688" s="2477"/>
      <c r="EOU1688" s="2477"/>
      <c r="EOV1688" s="2477"/>
      <c r="EOW1688" s="2477"/>
      <c r="EOX1688" s="2477"/>
      <c r="EOY1688" s="2477"/>
      <c r="EOZ1688" s="2477"/>
      <c r="EPA1688" s="2477"/>
      <c r="EPB1688" s="2477"/>
      <c r="EPC1688" s="2477"/>
      <c r="EPD1688" s="2477"/>
      <c r="EPE1688" s="2477"/>
      <c r="EPF1688" s="2477"/>
      <c r="EPG1688" s="2477"/>
      <c r="EPH1688" s="2477"/>
      <c r="EPI1688" s="2477"/>
      <c r="EPJ1688" s="2477"/>
      <c r="EPK1688" s="2477"/>
      <c r="EPL1688" s="2477"/>
      <c r="EPM1688" s="2477"/>
      <c r="EPN1688" s="2477"/>
      <c r="EPO1688" s="2477"/>
      <c r="EPP1688" s="2477"/>
      <c r="EPQ1688" s="2477"/>
      <c r="EPR1688" s="2477"/>
      <c r="EPS1688" s="2477"/>
      <c r="EPT1688" s="2477"/>
      <c r="EPU1688" s="2477"/>
      <c r="EPV1688" s="2477"/>
      <c r="EPW1688" s="2477"/>
      <c r="EPX1688" s="2477"/>
      <c r="EPY1688" s="2477"/>
      <c r="EPZ1688" s="2477"/>
      <c r="EQA1688" s="2477"/>
      <c r="EQB1688" s="2477"/>
      <c r="EQC1688" s="2477"/>
      <c r="EQD1688" s="2477"/>
      <c r="EQE1688" s="2477"/>
      <c r="EQF1688" s="2477"/>
      <c r="EQG1688" s="2477"/>
      <c r="EQH1688" s="2477"/>
      <c r="EQI1688" s="2477"/>
      <c r="EQJ1688" s="2477"/>
      <c r="EQK1688" s="2477"/>
      <c r="EQL1688" s="2477"/>
      <c r="EQM1688" s="2477"/>
      <c r="EQN1688" s="2477"/>
      <c r="EQO1688" s="2477"/>
      <c r="EQP1688" s="2477"/>
      <c r="EQQ1688" s="2477"/>
      <c r="EQR1688" s="2477"/>
      <c r="EQS1688" s="2477"/>
      <c r="EQT1688" s="2477"/>
      <c r="EQU1688" s="2477"/>
      <c r="EQV1688" s="2477"/>
      <c r="EQW1688" s="2477"/>
      <c r="EQX1688" s="2477"/>
      <c r="EQY1688" s="2477"/>
      <c r="EQZ1688" s="2477"/>
      <c r="ERA1688" s="2477"/>
      <c r="ERB1688" s="2477"/>
      <c r="ERC1688" s="2477"/>
      <c r="ERD1688" s="2477"/>
      <c r="ERE1688" s="2477"/>
      <c r="ERF1688" s="2477"/>
      <c r="ERG1688" s="2477"/>
      <c r="ERH1688" s="2477"/>
      <c r="ERI1688" s="2477"/>
      <c r="ERJ1688" s="2477"/>
      <c r="ERK1688" s="2477"/>
      <c r="ERL1688" s="2477"/>
      <c r="ERM1688" s="2477"/>
      <c r="ERN1688" s="2477"/>
      <c r="ERO1688" s="2477"/>
      <c r="ERP1688" s="2477"/>
      <c r="ERQ1688" s="2477"/>
      <c r="ERR1688" s="2477"/>
      <c r="ERS1688" s="2477"/>
      <c r="ERT1688" s="2477"/>
      <c r="ERU1688" s="2477"/>
      <c r="ERV1688" s="2477"/>
      <c r="ERW1688" s="2477"/>
      <c r="ERX1688" s="2477"/>
      <c r="ERY1688" s="2477"/>
      <c r="ERZ1688" s="2477"/>
      <c r="ESA1688" s="2477"/>
      <c r="ESB1688" s="2477"/>
      <c r="ESC1688" s="2477"/>
      <c r="ESD1688" s="2477"/>
      <c r="ESE1688" s="2477"/>
      <c r="ESF1688" s="2477"/>
      <c r="ESG1688" s="2477"/>
      <c r="ESH1688" s="2477"/>
      <c r="ESI1688" s="2477"/>
      <c r="ESJ1688" s="2477"/>
      <c r="ESK1688" s="2477"/>
      <c r="ESL1688" s="2477"/>
      <c r="ESM1688" s="2477"/>
      <c r="ESN1688" s="2477"/>
      <c r="ESO1688" s="2477"/>
      <c r="ESP1688" s="2477"/>
      <c r="ESQ1688" s="2477"/>
      <c r="ESR1688" s="2477"/>
      <c r="ESS1688" s="2477"/>
      <c r="EST1688" s="2477"/>
      <c r="ESU1688" s="2477"/>
      <c r="ESV1688" s="2477"/>
      <c r="ESW1688" s="2477"/>
      <c r="ESX1688" s="2477"/>
      <c r="ESY1688" s="2477"/>
      <c r="ESZ1688" s="2477"/>
      <c r="ETA1688" s="2477"/>
      <c r="ETB1688" s="2477"/>
      <c r="ETC1688" s="2477"/>
      <c r="ETD1688" s="2477"/>
      <c r="ETE1688" s="2477"/>
      <c r="ETF1688" s="2477"/>
      <c r="ETG1688" s="2477"/>
      <c r="ETH1688" s="2477"/>
      <c r="ETI1688" s="2477"/>
      <c r="ETJ1688" s="2477"/>
      <c r="ETK1688" s="2477"/>
      <c r="ETL1688" s="2477"/>
      <c r="ETM1688" s="2477"/>
      <c r="ETN1688" s="2477"/>
      <c r="ETO1688" s="2477"/>
      <c r="ETP1688" s="2477"/>
      <c r="ETQ1688" s="2477"/>
      <c r="ETR1688" s="2477"/>
      <c r="ETS1688" s="2477"/>
      <c r="ETT1688" s="2477"/>
      <c r="ETU1688" s="2477"/>
      <c r="ETV1688" s="2477"/>
      <c r="ETW1688" s="2477"/>
      <c r="ETX1688" s="2477"/>
      <c r="ETY1688" s="2477"/>
      <c r="ETZ1688" s="2477"/>
      <c r="EUA1688" s="2477"/>
      <c r="EUB1688" s="2477"/>
      <c r="EUC1688" s="2477"/>
      <c r="EUD1688" s="2477"/>
      <c r="EUE1688" s="2477"/>
      <c r="EUF1688" s="2477"/>
      <c r="EUG1688" s="2477"/>
      <c r="EUH1688" s="2477"/>
      <c r="EUI1688" s="2477"/>
      <c r="EUJ1688" s="2477"/>
      <c r="EUK1688" s="2477"/>
      <c r="EUL1688" s="2477"/>
      <c r="EUM1688" s="2477"/>
      <c r="EUN1688" s="2477"/>
      <c r="EUO1688" s="2477"/>
      <c r="EUP1688" s="2477"/>
      <c r="EUQ1688" s="2477"/>
      <c r="EUR1688" s="2477"/>
      <c r="EUS1688" s="2477"/>
      <c r="EUT1688" s="2477"/>
      <c r="EUU1688" s="2477"/>
      <c r="EUV1688" s="2477"/>
      <c r="EUW1688" s="2477"/>
      <c r="EUX1688" s="2477"/>
      <c r="EUY1688" s="2477"/>
      <c r="EUZ1688" s="2477"/>
      <c r="EVA1688" s="2477"/>
      <c r="EVB1688" s="2477"/>
      <c r="EVC1688" s="2477"/>
      <c r="EVD1688" s="2477"/>
      <c r="EVE1688" s="2477"/>
      <c r="EVF1688" s="2477"/>
      <c r="EVG1688" s="2477"/>
      <c r="EVH1688" s="2477"/>
      <c r="EVI1688" s="2477"/>
      <c r="EVJ1688" s="2477"/>
      <c r="EVK1688" s="2477"/>
      <c r="EVL1688" s="2477"/>
      <c r="EVM1688" s="2477"/>
      <c r="EVN1688" s="2477"/>
      <c r="EVO1688" s="2477"/>
      <c r="EVP1688" s="2477"/>
      <c r="EVQ1688" s="2477"/>
      <c r="EVR1688" s="2477"/>
      <c r="EVS1688" s="2477"/>
      <c r="EVT1688" s="2477"/>
      <c r="EVU1688" s="2477"/>
      <c r="EVV1688" s="2477"/>
      <c r="EVW1688" s="2477"/>
      <c r="EVX1688" s="2477"/>
      <c r="EVY1688" s="2477"/>
      <c r="EVZ1688" s="2477"/>
      <c r="EWA1688" s="2477"/>
      <c r="EWB1688" s="2477"/>
      <c r="EWC1688" s="2477"/>
      <c r="EWD1688" s="2477"/>
      <c r="EWE1688" s="2477"/>
      <c r="EWF1688" s="2477"/>
      <c r="EWG1688" s="2477"/>
      <c r="EWH1688" s="2477"/>
      <c r="EWI1688" s="2477"/>
      <c r="EWJ1688" s="2477"/>
      <c r="EWK1688" s="2477"/>
      <c r="EWL1688" s="2477"/>
      <c r="EWM1688" s="2477"/>
      <c r="EWN1688" s="2477"/>
      <c r="EWO1688" s="2477"/>
      <c r="EWP1688" s="2477"/>
      <c r="EWQ1688" s="2477"/>
      <c r="EWR1688" s="2477"/>
      <c r="EWS1688" s="2477"/>
      <c r="EWT1688" s="2477"/>
      <c r="EWU1688" s="2477"/>
      <c r="EWV1688" s="2477"/>
      <c r="EWW1688" s="2477"/>
      <c r="EWX1688" s="2477"/>
      <c r="EWY1688" s="2477"/>
      <c r="EWZ1688" s="2477"/>
      <c r="EXA1688" s="2477"/>
      <c r="EXB1688" s="2477"/>
      <c r="EXC1688" s="2477"/>
      <c r="EXD1688" s="2477"/>
      <c r="EXE1688" s="2477"/>
      <c r="EXF1688" s="2477"/>
      <c r="EXG1688" s="2477"/>
      <c r="EXH1688" s="2477"/>
      <c r="EXI1688" s="2477"/>
      <c r="EXJ1688" s="2477"/>
      <c r="EXK1688" s="2477"/>
      <c r="EXL1688" s="2477"/>
      <c r="EXM1688" s="2477"/>
      <c r="EXN1688" s="2477"/>
      <c r="EXO1688" s="2477"/>
      <c r="EXP1688" s="2477"/>
      <c r="EXQ1688" s="2477"/>
      <c r="EXR1688" s="2477"/>
      <c r="EXS1688" s="2477"/>
      <c r="EXT1688" s="2477"/>
      <c r="EXU1688" s="2477"/>
      <c r="EXV1688" s="2477"/>
      <c r="EXW1688" s="2477"/>
      <c r="EXX1688" s="2477"/>
      <c r="EXY1688" s="2477"/>
      <c r="EXZ1688" s="2477"/>
      <c r="EYA1688" s="2477"/>
      <c r="EYB1688" s="2477"/>
      <c r="EYC1688" s="2477"/>
      <c r="EYD1688" s="2477"/>
      <c r="EYE1688" s="2477"/>
      <c r="EYF1688" s="2477"/>
      <c r="EYG1688" s="2477"/>
      <c r="EYH1688" s="2477"/>
      <c r="EYI1688" s="2477"/>
      <c r="EYJ1688" s="2477"/>
      <c r="EYK1688" s="2477"/>
      <c r="EYL1688" s="2477"/>
      <c r="EYM1688" s="2477"/>
      <c r="EYN1688" s="2477"/>
      <c r="EYO1688" s="2477"/>
      <c r="EYP1688" s="2477"/>
      <c r="EYQ1688" s="2477"/>
      <c r="EYR1688" s="2477"/>
      <c r="EYS1688" s="2477"/>
      <c r="EYT1688" s="2477"/>
      <c r="EYU1688" s="2477"/>
      <c r="EYV1688" s="2477"/>
      <c r="EYW1688" s="2477"/>
      <c r="EYX1688" s="2477"/>
      <c r="EYY1688" s="2477"/>
      <c r="EYZ1688" s="2477"/>
      <c r="EZA1688" s="2477"/>
      <c r="EZB1688" s="2477"/>
      <c r="EZC1688" s="2477"/>
      <c r="EZD1688" s="2477"/>
      <c r="EZE1688" s="2477"/>
      <c r="EZF1688" s="2477"/>
      <c r="EZG1688" s="2477"/>
      <c r="EZH1688" s="2477"/>
      <c r="EZI1688" s="2477"/>
      <c r="EZJ1688" s="2477"/>
      <c r="EZK1688" s="2477"/>
      <c r="EZL1688" s="2477"/>
      <c r="EZM1688" s="2477"/>
      <c r="EZN1688" s="2477"/>
      <c r="EZO1688" s="2477"/>
      <c r="EZP1688" s="2477"/>
      <c r="EZQ1688" s="2477"/>
      <c r="EZR1688" s="2477"/>
      <c r="EZS1688" s="2477"/>
      <c r="EZT1688" s="2477"/>
      <c r="EZU1688" s="2477"/>
      <c r="EZV1688" s="2477"/>
      <c r="EZW1688" s="2477"/>
      <c r="EZX1688" s="2477"/>
      <c r="EZY1688" s="2477"/>
      <c r="EZZ1688" s="2477"/>
      <c r="FAA1688" s="2477"/>
      <c r="FAB1688" s="2477"/>
      <c r="FAC1688" s="2477"/>
      <c r="FAD1688" s="2477"/>
      <c r="FAE1688" s="2477"/>
      <c r="FAF1688" s="2477"/>
      <c r="FAG1688" s="2477"/>
      <c r="FAH1688" s="2477"/>
      <c r="FAI1688" s="2477"/>
      <c r="FAJ1688" s="2477"/>
      <c r="FAK1688" s="2477"/>
      <c r="FAL1688" s="2477"/>
      <c r="FAM1688" s="2477"/>
      <c r="FAN1688" s="2477"/>
      <c r="FAO1688" s="2477"/>
      <c r="FAP1688" s="2477"/>
      <c r="FAQ1688" s="2477"/>
      <c r="FAR1688" s="2477"/>
      <c r="FAS1688" s="2477"/>
      <c r="FAT1688" s="2477"/>
      <c r="FAU1688" s="2477"/>
      <c r="FAV1688" s="2477"/>
      <c r="FAW1688" s="2477"/>
      <c r="FAX1688" s="2477"/>
      <c r="FAY1688" s="2477"/>
      <c r="FAZ1688" s="2477"/>
      <c r="FBA1688" s="2477"/>
      <c r="FBB1688" s="2477"/>
      <c r="FBC1688" s="2477"/>
      <c r="FBD1688" s="2477"/>
      <c r="FBE1688" s="2477"/>
      <c r="FBF1688" s="2477"/>
      <c r="FBG1688" s="2477"/>
      <c r="FBH1688" s="2477"/>
      <c r="FBI1688" s="2477"/>
      <c r="FBJ1688" s="2477"/>
      <c r="FBK1688" s="2477"/>
      <c r="FBL1688" s="2477"/>
      <c r="FBM1688" s="2477"/>
      <c r="FBN1688" s="2477"/>
      <c r="FBO1688" s="2477"/>
      <c r="FBP1688" s="2477"/>
      <c r="FBQ1688" s="2477"/>
      <c r="FBR1688" s="2477"/>
      <c r="FBS1688" s="2477"/>
      <c r="FBT1688" s="2477"/>
      <c r="FBU1688" s="2477"/>
      <c r="FBV1688" s="2477"/>
      <c r="FBW1688" s="2477"/>
      <c r="FBX1688" s="2477"/>
      <c r="FBY1688" s="2477"/>
      <c r="FBZ1688" s="2477"/>
      <c r="FCA1688" s="2477"/>
      <c r="FCB1688" s="2477"/>
      <c r="FCC1688" s="2477"/>
      <c r="FCD1688" s="2477"/>
      <c r="FCE1688" s="2477"/>
      <c r="FCF1688" s="2477"/>
      <c r="FCG1688" s="2477"/>
      <c r="FCH1688" s="2477"/>
      <c r="FCI1688" s="2477"/>
      <c r="FCJ1688" s="2477"/>
      <c r="FCK1688" s="2477"/>
      <c r="FCL1688" s="2477"/>
      <c r="FCM1688" s="2477"/>
      <c r="FCN1688" s="2477"/>
      <c r="FCO1688" s="2477"/>
      <c r="FCP1688" s="2477"/>
      <c r="FCQ1688" s="2477"/>
      <c r="FCR1688" s="2477"/>
      <c r="FCS1688" s="2477"/>
      <c r="FCT1688" s="2477"/>
      <c r="FCU1688" s="2477"/>
      <c r="FCV1688" s="2477"/>
      <c r="FCW1688" s="2477"/>
      <c r="FCX1688" s="2477"/>
      <c r="FCY1688" s="2477"/>
      <c r="FCZ1688" s="2477"/>
      <c r="FDA1688" s="2477"/>
      <c r="FDB1688" s="2477"/>
      <c r="FDC1688" s="2477"/>
      <c r="FDD1688" s="2477"/>
      <c r="FDE1688" s="2477"/>
      <c r="FDF1688" s="2477"/>
      <c r="FDG1688" s="2477"/>
      <c r="FDH1688" s="2477"/>
      <c r="FDI1688" s="2477"/>
      <c r="FDJ1688" s="2477"/>
      <c r="FDK1688" s="2477"/>
      <c r="FDL1688" s="2477"/>
      <c r="FDM1688" s="2477"/>
      <c r="FDN1688" s="2477"/>
      <c r="FDO1688" s="2477"/>
      <c r="FDP1688" s="2477"/>
      <c r="FDQ1688" s="2477"/>
      <c r="FDR1688" s="2477"/>
      <c r="FDS1688" s="2477"/>
      <c r="FDT1688" s="2477"/>
      <c r="FDU1688" s="2477"/>
      <c r="FDV1688" s="2477"/>
      <c r="FDW1688" s="2477"/>
      <c r="FDX1688" s="2477"/>
      <c r="FDY1688" s="2477"/>
      <c r="FDZ1688" s="2477"/>
      <c r="FEA1688" s="2477"/>
      <c r="FEB1688" s="2477"/>
      <c r="FEC1688" s="2477"/>
      <c r="FED1688" s="2477"/>
      <c r="FEE1688" s="2477"/>
      <c r="FEF1688" s="2477"/>
      <c r="FEG1688" s="2477"/>
      <c r="FEH1688" s="2477"/>
      <c r="FEI1688" s="2477"/>
      <c r="FEJ1688" s="2477"/>
      <c r="FEK1688" s="2477"/>
      <c r="FEL1688" s="2477"/>
      <c r="FEM1688" s="2477"/>
      <c r="FEN1688" s="2477"/>
      <c r="FEO1688" s="2477"/>
      <c r="FEP1688" s="2477"/>
      <c r="FEQ1688" s="2477"/>
      <c r="FER1688" s="2477"/>
      <c r="FES1688" s="2477"/>
      <c r="FET1688" s="2477"/>
      <c r="FEU1688" s="2477"/>
      <c r="FEV1688" s="2477"/>
      <c r="FEW1688" s="2477"/>
      <c r="FEX1688" s="2477"/>
      <c r="FEY1688" s="2477"/>
      <c r="FEZ1688" s="2477"/>
      <c r="FFA1688" s="2477"/>
      <c r="FFB1688" s="2477"/>
      <c r="FFC1688" s="2477"/>
      <c r="FFD1688" s="2477"/>
      <c r="FFE1688" s="2477"/>
      <c r="FFF1688" s="2477"/>
      <c r="FFG1688" s="2477"/>
      <c r="FFH1688" s="2477"/>
      <c r="FFI1688" s="2477"/>
      <c r="FFJ1688" s="2477"/>
      <c r="FFK1688" s="2477"/>
      <c r="FFL1688" s="2477"/>
      <c r="FFM1688" s="2477"/>
      <c r="FFN1688" s="2477"/>
      <c r="FFO1688" s="2477"/>
      <c r="FFP1688" s="2477"/>
      <c r="FFQ1688" s="2477"/>
      <c r="FFR1688" s="2477"/>
      <c r="FFS1688" s="2477"/>
      <c r="FFT1688" s="2477"/>
      <c r="FFU1688" s="2477"/>
      <c r="FFV1688" s="2477"/>
      <c r="FFW1688" s="2477"/>
      <c r="FFX1688" s="2477"/>
      <c r="FFY1688" s="2477"/>
      <c r="FFZ1688" s="2477"/>
      <c r="FGA1688" s="2477"/>
      <c r="FGB1688" s="2477"/>
      <c r="FGC1688" s="2477"/>
      <c r="FGD1688" s="2477"/>
      <c r="FGE1688" s="2477"/>
      <c r="FGF1688" s="2477"/>
      <c r="FGG1688" s="2477"/>
      <c r="FGH1688" s="2477"/>
      <c r="FGI1688" s="2477"/>
      <c r="FGJ1688" s="2477"/>
      <c r="FGK1688" s="2477"/>
      <c r="FGL1688" s="2477"/>
      <c r="FGM1688" s="2477"/>
      <c r="FGN1688" s="2477"/>
      <c r="FGO1688" s="2477"/>
      <c r="FGP1688" s="2477"/>
      <c r="FGQ1688" s="2477"/>
      <c r="FGR1688" s="2477"/>
      <c r="FGS1688" s="2477"/>
      <c r="FGT1688" s="2477"/>
      <c r="FGU1688" s="2477"/>
      <c r="FGV1688" s="2477"/>
      <c r="FGW1688" s="2477"/>
      <c r="FGX1688" s="2477"/>
      <c r="FGY1688" s="2477"/>
      <c r="FGZ1688" s="2477"/>
      <c r="FHA1688" s="2477"/>
      <c r="FHB1688" s="2477"/>
      <c r="FHC1688" s="2477"/>
      <c r="FHD1688" s="2477"/>
      <c r="FHE1688" s="2477"/>
      <c r="FHF1688" s="2477"/>
      <c r="FHG1688" s="2477"/>
      <c r="FHH1688" s="2477"/>
      <c r="FHI1688" s="2477"/>
      <c r="FHJ1688" s="2477"/>
      <c r="FHK1688" s="2477"/>
      <c r="FHL1688" s="2477"/>
      <c r="FHM1688" s="2477"/>
      <c r="FHN1688" s="2477"/>
      <c r="FHO1688" s="2477"/>
      <c r="FHP1688" s="2477"/>
      <c r="FHQ1688" s="2477"/>
      <c r="FHR1688" s="2477"/>
      <c r="FHS1688" s="2477"/>
      <c r="FHT1688" s="2477"/>
      <c r="FHU1688" s="2477"/>
      <c r="FHV1688" s="2477"/>
      <c r="FHW1688" s="2477"/>
      <c r="FHX1688" s="2477"/>
      <c r="FHY1688" s="2477"/>
      <c r="FHZ1688" s="2477"/>
      <c r="FIA1688" s="2477"/>
      <c r="FIB1688" s="2477"/>
      <c r="FIC1688" s="2477"/>
      <c r="FID1688" s="2477"/>
      <c r="FIE1688" s="2477"/>
      <c r="FIF1688" s="2477"/>
      <c r="FIG1688" s="2477"/>
      <c r="FIH1688" s="2477"/>
      <c r="FII1688" s="2477"/>
      <c r="FIJ1688" s="2477"/>
      <c r="FIK1688" s="2477"/>
      <c r="FIL1688" s="2477"/>
      <c r="FIM1688" s="2477"/>
      <c r="FIN1688" s="2477"/>
      <c r="FIO1688" s="2477"/>
      <c r="FIP1688" s="2477"/>
      <c r="FIQ1688" s="2477"/>
      <c r="FIR1688" s="2477"/>
      <c r="FIS1688" s="2477"/>
      <c r="FIT1688" s="2477"/>
      <c r="FIU1688" s="2477"/>
      <c r="FIV1688" s="2477"/>
      <c r="FIW1688" s="2477"/>
      <c r="FIX1688" s="2477"/>
      <c r="FIY1688" s="2477"/>
      <c r="FIZ1688" s="2477"/>
      <c r="FJA1688" s="2477"/>
      <c r="FJB1688" s="2477"/>
      <c r="FJC1688" s="2477"/>
      <c r="FJD1688" s="2477"/>
      <c r="FJE1688" s="2477"/>
      <c r="FJF1688" s="2477"/>
      <c r="FJG1688" s="2477"/>
      <c r="FJH1688" s="2477"/>
      <c r="FJI1688" s="2477"/>
      <c r="FJJ1688" s="2477"/>
      <c r="FJK1688" s="2477"/>
      <c r="FJL1688" s="2477"/>
      <c r="FJM1688" s="2477"/>
      <c r="FJN1688" s="2477"/>
      <c r="FJO1688" s="2477"/>
      <c r="FJP1688" s="2477"/>
      <c r="FJQ1688" s="2477"/>
      <c r="FJR1688" s="2477"/>
      <c r="FJS1688" s="2477"/>
      <c r="FJT1688" s="2477"/>
      <c r="FJU1688" s="2477"/>
      <c r="FJV1688" s="2477"/>
      <c r="FJW1688" s="2477"/>
      <c r="FJX1688" s="2477"/>
      <c r="FJY1688" s="2477"/>
      <c r="FJZ1688" s="2477"/>
      <c r="FKA1688" s="2477"/>
      <c r="FKB1688" s="2477"/>
      <c r="FKC1688" s="2477"/>
      <c r="FKD1688" s="2477"/>
      <c r="FKE1688" s="2477"/>
      <c r="FKF1688" s="2477"/>
      <c r="FKG1688" s="2477"/>
      <c r="FKH1688" s="2477"/>
      <c r="FKI1688" s="2477"/>
      <c r="FKJ1688" s="2477"/>
      <c r="FKK1688" s="2477"/>
      <c r="FKL1688" s="2477"/>
      <c r="FKM1688" s="2477"/>
      <c r="FKN1688" s="2477"/>
      <c r="FKO1688" s="2477"/>
      <c r="FKP1688" s="2477"/>
      <c r="FKQ1688" s="2477"/>
      <c r="FKR1688" s="2477"/>
      <c r="FKS1688" s="2477"/>
      <c r="FKT1688" s="2477"/>
      <c r="FKU1688" s="2477"/>
      <c r="FKV1688" s="2477"/>
      <c r="FKW1688" s="2477"/>
      <c r="FKX1688" s="2477"/>
      <c r="FKY1688" s="2477"/>
      <c r="FKZ1688" s="2477"/>
      <c r="FLA1688" s="2477"/>
      <c r="FLB1688" s="2477"/>
      <c r="FLC1688" s="2477"/>
      <c r="FLD1688" s="2477"/>
      <c r="FLE1688" s="2477"/>
      <c r="FLF1688" s="2477"/>
      <c r="FLG1688" s="2477"/>
      <c r="FLH1688" s="2477"/>
      <c r="FLI1688" s="2477"/>
      <c r="FLJ1688" s="2477"/>
      <c r="FLK1688" s="2477"/>
      <c r="FLL1688" s="2477"/>
      <c r="FLM1688" s="2477"/>
      <c r="FLN1688" s="2477"/>
      <c r="FLO1688" s="2477"/>
      <c r="FLP1688" s="2477"/>
      <c r="FLQ1688" s="2477"/>
      <c r="FLR1688" s="2477"/>
      <c r="FLS1688" s="2477"/>
      <c r="FLT1688" s="2477"/>
      <c r="FLU1688" s="2477"/>
      <c r="FLV1688" s="2477"/>
      <c r="FLW1688" s="2477"/>
      <c r="FLX1688" s="2477"/>
      <c r="FLY1688" s="2477"/>
      <c r="FLZ1688" s="2477"/>
      <c r="FMA1688" s="2477"/>
      <c r="FMB1688" s="2477"/>
      <c r="FMC1688" s="2477"/>
      <c r="FMD1688" s="2477"/>
      <c r="FME1688" s="2477"/>
      <c r="FMF1688" s="2477"/>
      <c r="FMG1688" s="2477"/>
      <c r="FMH1688" s="2477"/>
      <c r="FMI1688" s="2477"/>
      <c r="FMJ1688" s="2477"/>
      <c r="FMK1688" s="2477"/>
      <c r="FML1688" s="2477"/>
      <c r="FMM1688" s="2477"/>
      <c r="FMN1688" s="2477"/>
      <c r="FMO1688" s="2477"/>
      <c r="FMP1688" s="2477"/>
      <c r="FMQ1688" s="2477"/>
      <c r="FMR1688" s="2477"/>
      <c r="FMS1688" s="2477"/>
      <c r="FMT1688" s="2477"/>
      <c r="FMU1688" s="2477"/>
      <c r="FMV1688" s="2477"/>
      <c r="FMW1688" s="2477"/>
      <c r="FMX1688" s="2477"/>
      <c r="FMY1688" s="2477"/>
      <c r="FMZ1688" s="2477"/>
      <c r="FNA1688" s="2477"/>
      <c r="FNB1688" s="2477"/>
      <c r="FNC1688" s="2477"/>
      <c r="FND1688" s="2477"/>
      <c r="FNE1688" s="2477"/>
      <c r="FNF1688" s="2477"/>
      <c r="FNG1688" s="2477"/>
      <c r="FNH1688" s="2477"/>
      <c r="FNI1688" s="2477"/>
      <c r="FNJ1688" s="2477"/>
      <c r="FNK1688" s="2477"/>
      <c r="FNL1688" s="2477"/>
      <c r="FNM1688" s="2477"/>
      <c r="FNN1688" s="2477"/>
      <c r="FNO1688" s="2477"/>
      <c r="FNP1688" s="2477"/>
      <c r="FNQ1688" s="2477"/>
      <c r="FNR1688" s="2477"/>
      <c r="FNS1688" s="2477"/>
      <c r="FNT1688" s="2477"/>
      <c r="FNU1688" s="2477"/>
      <c r="FNV1688" s="2477"/>
      <c r="FNW1688" s="2477"/>
      <c r="FNX1688" s="2477"/>
      <c r="FNY1688" s="2477"/>
      <c r="FNZ1688" s="2477"/>
      <c r="FOA1688" s="2477"/>
      <c r="FOB1688" s="2477"/>
      <c r="FOC1688" s="2477"/>
      <c r="FOD1688" s="2477"/>
      <c r="FOE1688" s="2477"/>
      <c r="FOF1688" s="2477"/>
      <c r="FOG1688" s="2477"/>
      <c r="FOH1688" s="2477"/>
      <c r="FOI1688" s="2477"/>
      <c r="FOJ1688" s="2477"/>
      <c r="FOK1688" s="2477"/>
      <c r="FOL1688" s="2477"/>
      <c r="FOM1688" s="2477"/>
      <c r="FON1688" s="2477"/>
      <c r="FOO1688" s="2477"/>
      <c r="FOP1688" s="2477"/>
      <c r="FOQ1688" s="2477"/>
      <c r="FOR1688" s="2477"/>
      <c r="FOS1688" s="2477"/>
      <c r="FOT1688" s="2477"/>
      <c r="FOU1688" s="2477"/>
      <c r="FOV1688" s="2477"/>
      <c r="FOW1688" s="2477"/>
      <c r="FOX1688" s="2477"/>
      <c r="FOY1688" s="2477"/>
      <c r="FOZ1688" s="2477"/>
      <c r="FPA1688" s="2477"/>
      <c r="FPB1688" s="2477"/>
      <c r="FPC1688" s="2477"/>
      <c r="FPD1688" s="2477"/>
      <c r="FPE1688" s="2477"/>
      <c r="FPF1688" s="2477"/>
      <c r="FPG1688" s="2477"/>
      <c r="FPH1688" s="2477"/>
      <c r="FPI1688" s="2477"/>
      <c r="FPJ1688" s="2477"/>
      <c r="FPK1688" s="2477"/>
      <c r="FPL1688" s="2477"/>
      <c r="FPM1688" s="2477"/>
      <c r="FPN1688" s="2477"/>
      <c r="FPO1688" s="2477"/>
      <c r="FPP1688" s="2477"/>
      <c r="FPQ1688" s="2477"/>
      <c r="FPR1688" s="2477"/>
      <c r="FPS1688" s="2477"/>
      <c r="FPT1688" s="2477"/>
      <c r="FPU1688" s="2477"/>
      <c r="FPV1688" s="2477"/>
      <c r="FPW1688" s="2477"/>
      <c r="FPX1688" s="2477"/>
      <c r="FPY1688" s="2477"/>
      <c r="FPZ1688" s="2477"/>
      <c r="FQA1688" s="2477"/>
      <c r="FQB1688" s="2477"/>
      <c r="FQC1688" s="2477"/>
      <c r="FQD1688" s="2477"/>
      <c r="FQE1688" s="2477"/>
      <c r="FQF1688" s="2477"/>
      <c r="FQG1688" s="2477"/>
      <c r="FQH1688" s="2477"/>
      <c r="FQI1688" s="2477"/>
      <c r="FQJ1688" s="2477"/>
      <c r="FQK1688" s="2477"/>
      <c r="FQL1688" s="2477"/>
      <c r="FQM1688" s="2477"/>
      <c r="FQN1688" s="2477"/>
      <c r="FQO1688" s="2477"/>
      <c r="FQP1688" s="2477"/>
      <c r="FQQ1688" s="2477"/>
      <c r="FQR1688" s="2477"/>
      <c r="FQS1688" s="2477"/>
      <c r="FQT1688" s="2477"/>
      <c r="FQU1688" s="2477"/>
      <c r="FQV1688" s="2477"/>
      <c r="FQW1688" s="2477"/>
      <c r="FQX1688" s="2477"/>
      <c r="FQY1688" s="2477"/>
      <c r="FQZ1688" s="2477"/>
      <c r="FRA1688" s="2477"/>
      <c r="FRB1688" s="2477"/>
      <c r="FRC1688" s="2477"/>
      <c r="FRD1688" s="2477"/>
      <c r="FRE1688" s="2477"/>
      <c r="FRF1688" s="2477"/>
      <c r="FRG1688" s="2477"/>
      <c r="FRH1688" s="2477"/>
      <c r="FRI1688" s="2477"/>
      <c r="FRJ1688" s="2477"/>
      <c r="FRK1688" s="2477"/>
      <c r="FRL1688" s="2477"/>
      <c r="FRM1688" s="2477"/>
      <c r="FRN1688" s="2477"/>
      <c r="FRO1688" s="2477"/>
      <c r="FRP1688" s="2477"/>
      <c r="FRQ1688" s="2477"/>
      <c r="FRR1688" s="2477"/>
      <c r="FRS1688" s="2477"/>
      <c r="FRT1688" s="2477"/>
      <c r="FRU1688" s="2477"/>
      <c r="FRV1688" s="2477"/>
      <c r="FRW1688" s="2477"/>
      <c r="FRX1688" s="2477"/>
      <c r="FRY1688" s="2477"/>
      <c r="FRZ1688" s="2477"/>
      <c r="FSA1688" s="2477"/>
      <c r="FSB1688" s="2477"/>
      <c r="FSC1688" s="2477"/>
      <c r="FSD1688" s="2477"/>
      <c r="FSE1688" s="2477"/>
      <c r="FSF1688" s="2477"/>
      <c r="FSG1688" s="2477"/>
      <c r="FSH1688" s="2477"/>
      <c r="FSI1688" s="2477"/>
      <c r="FSJ1688" s="2477"/>
      <c r="FSK1688" s="2477"/>
      <c r="FSL1688" s="2477"/>
      <c r="FSM1688" s="2477"/>
      <c r="FSN1688" s="2477"/>
      <c r="FSO1688" s="2477"/>
      <c r="FSP1688" s="2477"/>
      <c r="FSQ1688" s="2477"/>
      <c r="FSR1688" s="2477"/>
      <c r="FSS1688" s="2477"/>
      <c r="FST1688" s="2477"/>
      <c r="FSU1688" s="2477"/>
      <c r="FSV1688" s="2477"/>
      <c r="FSW1688" s="2477"/>
      <c r="FSX1688" s="2477"/>
      <c r="FSY1688" s="2477"/>
      <c r="FSZ1688" s="2477"/>
      <c r="FTA1688" s="2477"/>
      <c r="FTB1688" s="2477"/>
      <c r="FTC1688" s="2477"/>
      <c r="FTD1688" s="2477"/>
      <c r="FTE1688" s="2477"/>
      <c r="FTF1688" s="2477"/>
      <c r="FTG1688" s="2477"/>
      <c r="FTH1688" s="2477"/>
      <c r="FTI1688" s="2477"/>
      <c r="FTJ1688" s="2477"/>
      <c r="FTK1688" s="2477"/>
      <c r="FTL1688" s="2477"/>
      <c r="FTM1688" s="2477"/>
      <c r="FTN1688" s="2477"/>
      <c r="FTO1688" s="2477"/>
      <c r="FTP1688" s="2477"/>
      <c r="FTQ1688" s="2477"/>
      <c r="FTR1688" s="2477"/>
      <c r="FTS1688" s="2477"/>
      <c r="FTT1688" s="2477"/>
      <c r="FTU1688" s="2477"/>
      <c r="FTV1688" s="2477"/>
      <c r="FTW1688" s="2477"/>
      <c r="FTX1688" s="2477"/>
      <c r="FTY1688" s="2477"/>
      <c r="FTZ1688" s="2477"/>
      <c r="FUA1688" s="2477"/>
      <c r="FUB1688" s="2477"/>
      <c r="FUC1688" s="2477"/>
      <c r="FUD1688" s="2477"/>
      <c r="FUE1688" s="2477"/>
      <c r="FUF1688" s="2477"/>
      <c r="FUG1688" s="2477"/>
      <c r="FUH1688" s="2477"/>
      <c r="FUI1688" s="2477"/>
      <c r="FUJ1688" s="2477"/>
      <c r="FUK1688" s="2477"/>
      <c r="FUL1688" s="2477"/>
      <c r="FUM1688" s="2477"/>
      <c r="FUN1688" s="2477"/>
      <c r="FUO1688" s="2477"/>
      <c r="FUP1688" s="2477"/>
      <c r="FUQ1688" s="2477"/>
      <c r="FUR1688" s="2477"/>
      <c r="FUS1688" s="2477"/>
      <c r="FUT1688" s="2477"/>
      <c r="FUU1688" s="2477"/>
      <c r="FUV1688" s="2477"/>
      <c r="FUW1688" s="2477"/>
      <c r="FUX1688" s="2477"/>
      <c r="FUY1688" s="2477"/>
      <c r="FUZ1688" s="2477"/>
      <c r="FVA1688" s="2477"/>
      <c r="FVB1688" s="2477"/>
      <c r="FVC1688" s="2477"/>
      <c r="FVD1688" s="2477"/>
      <c r="FVE1688" s="2477"/>
      <c r="FVF1688" s="2477"/>
      <c r="FVG1688" s="2477"/>
      <c r="FVH1688" s="2477"/>
      <c r="FVI1688" s="2477"/>
      <c r="FVJ1688" s="2477"/>
      <c r="FVK1688" s="2477"/>
      <c r="FVL1688" s="2477"/>
      <c r="FVM1688" s="2477"/>
      <c r="FVN1688" s="2477"/>
      <c r="FVO1688" s="2477"/>
      <c r="FVP1688" s="2477"/>
      <c r="FVQ1688" s="2477"/>
      <c r="FVR1688" s="2477"/>
      <c r="FVS1688" s="2477"/>
      <c r="FVT1688" s="2477"/>
      <c r="FVU1688" s="2477"/>
      <c r="FVV1688" s="2477"/>
      <c r="FVW1688" s="2477"/>
      <c r="FVX1688" s="2477"/>
      <c r="FVY1688" s="2477"/>
      <c r="FVZ1688" s="2477"/>
      <c r="FWA1688" s="2477"/>
      <c r="FWB1688" s="2477"/>
      <c r="FWC1688" s="2477"/>
      <c r="FWD1688" s="2477"/>
      <c r="FWE1688" s="2477"/>
      <c r="FWF1688" s="2477"/>
      <c r="FWG1688" s="2477"/>
      <c r="FWH1688" s="2477"/>
      <c r="FWI1688" s="2477"/>
      <c r="FWJ1688" s="2477"/>
      <c r="FWK1688" s="2477"/>
      <c r="FWL1688" s="2477"/>
      <c r="FWM1688" s="2477"/>
      <c r="FWN1688" s="2477"/>
      <c r="FWO1688" s="2477"/>
      <c r="FWP1688" s="2477"/>
      <c r="FWQ1688" s="2477"/>
      <c r="FWR1688" s="2477"/>
      <c r="FWS1688" s="2477"/>
      <c r="FWT1688" s="2477"/>
      <c r="FWU1688" s="2477"/>
      <c r="FWV1688" s="2477"/>
      <c r="FWW1688" s="2477"/>
      <c r="FWX1688" s="2477"/>
      <c r="FWY1688" s="2477"/>
      <c r="FWZ1688" s="2477"/>
      <c r="FXA1688" s="2477"/>
      <c r="FXB1688" s="2477"/>
      <c r="FXC1688" s="2477"/>
      <c r="FXD1688" s="2477"/>
      <c r="FXE1688" s="2477"/>
      <c r="FXF1688" s="2477"/>
      <c r="FXG1688" s="2477"/>
      <c r="FXH1688" s="2477"/>
      <c r="FXI1688" s="2477"/>
      <c r="FXJ1688" s="2477"/>
      <c r="FXK1688" s="2477"/>
      <c r="FXL1688" s="2477"/>
      <c r="FXM1688" s="2477"/>
      <c r="FXN1688" s="2477"/>
      <c r="FXO1688" s="2477"/>
      <c r="FXP1688" s="2477"/>
      <c r="FXQ1688" s="2477"/>
      <c r="FXR1688" s="2477"/>
      <c r="FXS1688" s="2477"/>
      <c r="FXT1688" s="2477"/>
      <c r="FXU1688" s="2477"/>
      <c r="FXV1688" s="2477"/>
      <c r="FXW1688" s="2477"/>
      <c r="FXX1688" s="2477"/>
      <c r="FXY1688" s="2477"/>
      <c r="FXZ1688" s="2477"/>
      <c r="FYA1688" s="2477"/>
      <c r="FYB1688" s="2477"/>
      <c r="FYC1688" s="2477"/>
      <c r="FYD1688" s="2477"/>
      <c r="FYE1688" s="2477"/>
      <c r="FYF1688" s="2477"/>
      <c r="FYG1688" s="2477"/>
      <c r="FYH1688" s="2477"/>
      <c r="FYI1688" s="2477"/>
      <c r="FYJ1688" s="2477"/>
      <c r="FYK1688" s="2477"/>
      <c r="FYL1688" s="2477"/>
      <c r="FYM1688" s="2477"/>
      <c r="FYN1688" s="2477"/>
      <c r="FYO1688" s="2477"/>
      <c r="FYP1688" s="2477"/>
      <c r="FYQ1688" s="2477"/>
      <c r="FYR1688" s="2477"/>
      <c r="FYS1688" s="2477"/>
      <c r="FYT1688" s="2477"/>
      <c r="FYU1688" s="2477"/>
      <c r="FYV1688" s="2477"/>
      <c r="FYW1688" s="2477"/>
      <c r="FYX1688" s="2477"/>
      <c r="FYY1688" s="2477"/>
      <c r="FYZ1688" s="2477"/>
      <c r="FZA1688" s="2477"/>
      <c r="FZB1688" s="2477"/>
      <c r="FZC1688" s="2477"/>
      <c r="FZD1688" s="2477"/>
      <c r="FZE1688" s="2477"/>
      <c r="FZF1688" s="2477"/>
      <c r="FZG1688" s="2477"/>
      <c r="FZH1688" s="2477"/>
      <c r="FZI1688" s="2477"/>
      <c r="FZJ1688" s="2477"/>
      <c r="FZK1688" s="2477"/>
      <c r="FZL1688" s="2477"/>
      <c r="FZM1688" s="2477"/>
      <c r="FZN1688" s="2477"/>
      <c r="FZO1688" s="2477"/>
      <c r="FZP1688" s="2477"/>
      <c r="FZQ1688" s="2477"/>
      <c r="FZR1688" s="2477"/>
      <c r="FZS1688" s="2477"/>
      <c r="FZT1688" s="2477"/>
      <c r="FZU1688" s="2477"/>
      <c r="FZV1688" s="2477"/>
      <c r="FZW1688" s="2477"/>
      <c r="FZX1688" s="2477"/>
      <c r="FZY1688" s="2477"/>
      <c r="FZZ1688" s="2477"/>
      <c r="GAA1688" s="2477"/>
      <c r="GAB1688" s="2477"/>
      <c r="GAC1688" s="2477"/>
      <c r="GAD1688" s="2477"/>
      <c r="GAE1688" s="2477"/>
      <c r="GAF1688" s="2477"/>
      <c r="GAG1688" s="2477"/>
      <c r="GAH1688" s="2477"/>
      <c r="GAI1688" s="2477"/>
      <c r="GAJ1688" s="2477"/>
      <c r="GAK1688" s="2477"/>
      <c r="GAL1688" s="2477"/>
      <c r="GAM1688" s="2477"/>
      <c r="GAN1688" s="2477"/>
      <c r="GAO1688" s="2477"/>
      <c r="GAP1688" s="2477"/>
      <c r="GAQ1688" s="2477"/>
      <c r="GAR1688" s="2477"/>
      <c r="GAS1688" s="2477"/>
      <c r="GAT1688" s="2477"/>
      <c r="GAU1688" s="2477"/>
      <c r="GAV1688" s="2477"/>
      <c r="GAW1688" s="2477"/>
      <c r="GAX1688" s="2477"/>
      <c r="GAY1688" s="2477"/>
      <c r="GAZ1688" s="2477"/>
      <c r="GBA1688" s="2477"/>
      <c r="GBB1688" s="2477"/>
      <c r="GBC1688" s="2477"/>
      <c r="GBD1688" s="2477"/>
      <c r="GBE1688" s="2477"/>
      <c r="GBF1688" s="2477"/>
      <c r="GBG1688" s="2477"/>
      <c r="GBH1688" s="2477"/>
      <c r="GBI1688" s="2477"/>
      <c r="GBJ1688" s="2477"/>
      <c r="GBK1688" s="2477"/>
      <c r="GBL1688" s="2477"/>
      <c r="GBM1688" s="2477"/>
      <c r="GBN1688" s="2477"/>
      <c r="GBO1688" s="2477"/>
      <c r="GBP1688" s="2477"/>
      <c r="GBQ1688" s="2477"/>
      <c r="GBR1688" s="2477"/>
      <c r="GBS1688" s="2477"/>
      <c r="GBT1688" s="2477"/>
      <c r="GBU1688" s="2477"/>
      <c r="GBV1688" s="2477"/>
      <c r="GBW1688" s="2477"/>
      <c r="GBX1688" s="2477"/>
      <c r="GBY1688" s="2477"/>
      <c r="GBZ1688" s="2477"/>
      <c r="GCA1688" s="2477"/>
      <c r="GCB1688" s="2477"/>
      <c r="GCC1688" s="2477"/>
      <c r="GCD1688" s="2477"/>
      <c r="GCE1688" s="2477"/>
      <c r="GCF1688" s="2477"/>
      <c r="GCG1688" s="2477"/>
      <c r="GCH1688" s="2477"/>
      <c r="GCI1688" s="2477"/>
      <c r="GCJ1688" s="2477"/>
      <c r="GCK1688" s="2477"/>
      <c r="GCL1688" s="2477"/>
      <c r="GCM1688" s="2477"/>
      <c r="GCN1688" s="2477"/>
      <c r="GCO1688" s="2477"/>
      <c r="GCP1688" s="2477"/>
      <c r="GCQ1688" s="2477"/>
      <c r="GCR1688" s="2477"/>
      <c r="GCS1688" s="2477"/>
      <c r="GCT1688" s="2477"/>
      <c r="GCU1688" s="2477"/>
      <c r="GCV1688" s="2477"/>
      <c r="GCW1688" s="2477"/>
      <c r="GCX1688" s="2477"/>
      <c r="GCY1688" s="2477"/>
      <c r="GCZ1688" s="2477"/>
      <c r="GDA1688" s="2477"/>
      <c r="GDB1688" s="2477"/>
      <c r="GDC1688" s="2477"/>
      <c r="GDD1688" s="2477"/>
      <c r="GDE1688" s="2477"/>
      <c r="GDF1688" s="2477"/>
      <c r="GDG1688" s="2477"/>
      <c r="GDH1688" s="2477"/>
      <c r="GDI1688" s="2477"/>
      <c r="GDJ1688" s="2477"/>
      <c r="GDK1688" s="2477"/>
      <c r="GDL1688" s="2477"/>
      <c r="GDM1688" s="2477"/>
      <c r="GDN1688" s="2477"/>
      <c r="GDO1688" s="2477"/>
      <c r="GDP1688" s="2477"/>
      <c r="GDQ1688" s="2477"/>
      <c r="GDR1688" s="2477"/>
      <c r="GDS1688" s="2477"/>
      <c r="GDT1688" s="2477"/>
      <c r="GDU1688" s="2477"/>
      <c r="GDV1688" s="2477"/>
      <c r="GDW1688" s="2477"/>
      <c r="GDX1688" s="2477"/>
      <c r="GDY1688" s="2477"/>
      <c r="GDZ1688" s="2477"/>
      <c r="GEA1688" s="2477"/>
      <c r="GEB1688" s="2477"/>
      <c r="GEC1688" s="2477"/>
      <c r="GED1688" s="2477"/>
      <c r="GEE1688" s="2477"/>
      <c r="GEF1688" s="2477"/>
      <c r="GEG1688" s="2477"/>
      <c r="GEH1688" s="2477"/>
      <c r="GEI1688" s="2477"/>
      <c r="GEJ1688" s="2477"/>
      <c r="GEK1688" s="2477"/>
      <c r="GEL1688" s="2477"/>
      <c r="GEM1688" s="2477"/>
      <c r="GEN1688" s="2477"/>
      <c r="GEO1688" s="2477"/>
      <c r="GEP1688" s="2477"/>
      <c r="GEQ1688" s="2477"/>
      <c r="GER1688" s="2477"/>
      <c r="GES1688" s="2477"/>
      <c r="GET1688" s="2477"/>
      <c r="GEU1688" s="2477"/>
      <c r="GEV1688" s="2477"/>
      <c r="GEW1688" s="2477"/>
      <c r="GEX1688" s="2477"/>
      <c r="GEY1688" s="2477"/>
      <c r="GEZ1688" s="2477"/>
      <c r="GFA1688" s="2477"/>
      <c r="GFB1688" s="2477"/>
      <c r="GFC1688" s="2477"/>
      <c r="GFD1688" s="2477"/>
      <c r="GFE1688" s="2477"/>
      <c r="GFF1688" s="2477"/>
      <c r="GFG1688" s="2477"/>
      <c r="GFH1688" s="2477"/>
      <c r="GFI1688" s="2477"/>
      <c r="GFJ1688" s="2477"/>
      <c r="GFK1688" s="2477"/>
      <c r="GFL1688" s="2477"/>
      <c r="GFM1688" s="2477"/>
      <c r="GFN1688" s="2477"/>
      <c r="GFO1688" s="2477"/>
      <c r="GFP1688" s="2477"/>
      <c r="GFQ1688" s="2477"/>
      <c r="GFR1688" s="2477"/>
      <c r="GFS1688" s="2477"/>
      <c r="GFT1688" s="2477"/>
      <c r="GFU1688" s="2477"/>
      <c r="GFV1688" s="2477"/>
      <c r="GFW1688" s="2477"/>
      <c r="GFX1688" s="2477"/>
      <c r="GFY1688" s="2477"/>
      <c r="GFZ1688" s="2477"/>
      <c r="GGA1688" s="2477"/>
      <c r="GGB1688" s="2477"/>
      <c r="GGC1688" s="2477"/>
      <c r="GGD1688" s="2477"/>
      <c r="GGE1688" s="2477"/>
      <c r="GGF1688" s="2477"/>
      <c r="GGG1688" s="2477"/>
      <c r="GGH1688" s="2477"/>
      <c r="GGI1688" s="2477"/>
      <c r="GGJ1688" s="2477"/>
      <c r="GGK1688" s="2477"/>
      <c r="GGL1688" s="2477"/>
      <c r="GGM1688" s="2477"/>
      <c r="GGN1688" s="2477"/>
      <c r="GGO1688" s="2477"/>
      <c r="GGP1688" s="2477"/>
      <c r="GGQ1688" s="2477"/>
      <c r="GGR1688" s="2477"/>
      <c r="GGS1688" s="2477"/>
      <c r="GGT1688" s="2477"/>
      <c r="GGU1688" s="2477"/>
      <c r="GGV1688" s="2477"/>
      <c r="GGW1688" s="2477"/>
      <c r="GGX1688" s="2477"/>
      <c r="GGY1688" s="2477"/>
      <c r="GGZ1688" s="2477"/>
      <c r="GHA1688" s="2477"/>
      <c r="GHB1688" s="2477"/>
      <c r="GHC1688" s="2477"/>
      <c r="GHD1688" s="2477"/>
      <c r="GHE1688" s="2477"/>
      <c r="GHF1688" s="2477"/>
      <c r="GHG1688" s="2477"/>
      <c r="GHH1688" s="2477"/>
      <c r="GHI1688" s="2477"/>
      <c r="GHJ1688" s="2477"/>
      <c r="GHK1688" s="2477"/>
      <c r="GHL1688" s="2477"/>
      <c r="GHM1688" s="2477"/>
      <c r="GHN1688" s="2477"/>
      <c r="GHO1688" s="2477"/>
      <c r="GHP1688" s="2477"/>
      <c r="GHQ1688" s="2477"/>
      <c r="GHR1688" s="2477"/>
      <c r="GHS1688" s="2477"/>
      <c r="GHT1688" s="2477"/>
      <c r="GHU1688" s="2477"/>
      <c r="GHV1688" s="2477"/>
      <c r="GHW1688" s="2477"/>
      <c r="GHX1688" s="2477"/>
      <c r="GHY1688" s="2477"/>
      <c r="GHZ1688" s="2477"/>
      <c r="GIA1688" s="2477"/>
      <c r="GIB1688" s="2477"/>
      <c r="GIC1688" s="2477"/>
      <c r="GID1688" s="2477"/>
      <c r="GIE1688" s="2477"/>
      <c r="GIF1688" s="2477"/>
      <c r="GIG1688" s="2477"/>
      <c r="GIH1688" s="2477"/>
      <c r="GII1688" s="2477"/>
      <c r="GIJ1688" s="2477"/>
      <c r="GIK1688" s="2477"/>
      <c r="GIL1688" s="2477"/>
      <c r="GIM1688" s="2477"/>
      <c r="GIN1688" s="2477"/>
      <c r="GIO1688" s="2477"/>
      <c r="GIP1688" s="2477"/>
      <c r="GIQ1688" s="2477"/>
      <c r="GIR1688" s="2477"/>
      <c r="GIS1688" s="2477"/>
      <c r="GIT1688" s="2477"/>
      <c r="GIU1688" s="2477"/>
      <c r="GIV1688" s="2477"/>
      <c r="GIW1688" s="2477"/>
      <c r="GIX1688" s="2477"/>
      <c r="GIY1688" s="2477"/>
      <c r="GIZ1688" s="2477"/>
      <c r="GJA1688" s="2477"/>
      <c r="GJB1688" s="2477"/>
      <c r="GJC1688" s="2477"/>
      <c r="GJD1688" s="2477"/>
      <c r="GJE1688" s="2477"/>
      <c r="GJF1688" s="2477"/>
      <c r="GJG1688" s="2477"/>
      <c r="GJH1688" s="2477"/>
      <c r="GJI1688" s="2477"/>
      <c r="GJJ1688" s="2477"/>
      <c r="GJK1688" s="2477"/>
      <c r="GJL1688" s="2477"/>
      <c r="GJM1688" s="2477"/>
      <c r="GJN1688" s="2477"/>
      <c r="GJO1688" s="2477"/>
      <c r="GJP1688" s="2477"/>
      <c r="GJQ1688" s="2477"/>
      <c r="GJR1688" s="2477"/>
      <c r="GJS1688" s="2477"/>
      <c r="GJT1688" s="2477"/>
      <c r="GJU1688" s="2477"/>
      <c r="GJV1688" s="2477"/>
      <c r="GJW1688" s="2477"/>
      <c r="GJX1688" s="2477"/>
      <c r="GJY1688" s="2477"/>
      <c r="GJZ1688" s="2477"/>
      <c r="GKA1688" s="2477"/>
      <c r="GKB1688" s="2477"/>
      <c r="GKC1688" s="2477"/>
      <c r="GKD1688" s="2477"/>
      <c r="GKE1688" s="2477"/>
      <c r="GKF1688" s="2477"/>
      <c r="GKG1688" s="2477"/>
      <c r="GKH1688" s="2477"/>
      <c r="GKI1688" s="2477"/>
      <c r="GKJ1688" s="2477"/>
      <c r="GKK1688" s="2477"/>
      <c r="GKL1688" s="2477"/>
      <c r="GKM1688" s="2477"/>
      <c r="GKN1688" s="2477"/>
      <c r="GKO1688" s="2477"/>
      <c r="GKP1688" s="2477"/>
      <c r="GKQ1688" s="2477"/>
      <c r="GKR1688" s="2477"/>
      <c r="GKS1688" s="2477"/>
      <c r="GKT1688" s="2477"/>
      <c r="GKU1688" s="2477"/>
      <c r="GKV1688" s="2477"/>
      <c r="GKW1688" s="2477"/>
      <c r="GKX1688" s="2477"/>
      <c r="GKY1688" s="2477"/>
      <c r="GKZ1688" s="2477"/>
      <c r="GLA1688" s="2477"/>
      <c r="GLB1688" s="2477"/>
      <c r="GLC1688" s="2477"/>
      <c r="GLD1688" s="2477"/>
      <c r="GLE1688" s="2477"/>
      <c r="GLF1688" s="2477"/>
      <c r="GLG1688" s="2477"/>
      <c r="GLH1688" s="2477"/>
      <c r="GLI1688" s="2477"/>
      <c r="GLJ1688" s="2477"/>
      <c r="GLK1688" s="2477"/>
      <c r="GLL1688" s="2477"/>
      <c r="GLM1688" s="2477"/>
      <c r="GLN1688" s="2477"/>
      <c r="GLO1688" s="2477"/>
      <c r="GLP1688" s="2477"/>
      <c r="GLQ1688" s="2477"/>
      <c r="GLR1688" s="2477"/>
      <c r="GLS1688" s="2477"/>
      <c r="GLT1688" s="2477"/>
      <c r="GLU1688" s="2477"/>
      <c r="GLV1688" s="2477"/>
      <c r="GLW1688" s="2477"/>
      <c r="GLX1688" s="2477"/>
      <c r="GLY1688" s="2477"/>
      <c r="GLZ1688" s="2477"/>
      <c r="GMA1688" s="2477"/>
      <c r="GMB1688" s="2477"/>
      <c r="GMC1688" s="2477"/>
      <c r="GMD1688" s="2477"/>
      <c r="GME1688" s="2477"/>
      <c r="GMF1688" s="2477"/>
      <c r="GMG1688" s="2477"/>
      <c r="GMH1688" s="2477"/>
      <c r="GMI1688" s="2477"/>
      <c r="GMJ1688" s="2477"/>
      <c r="GMK1688" s="2477"/>
      <c r="GML1688" s="2477"/>
      <c r="GMM1688" s="2477"/>
      <c r="GMN1688" s="2477"/>
      <c r="GMO1688" s="2477"/>
      <c r="GMP1688" s="2477"/>
      <c r="GMQ1688" s="2477"/>
      <c r="GMR1688" s="2477"/>
      <c r="GMS1688" s="2477"/>
      <c r="GMT1688" s="2477"/>
      <c r="GMU1688" s="2477"/>
      <c r="GMV1688" s="2477"/>
      <c r="GMW1688" s="2477"/>
      <c r="GMX1688" s="2477"/>
      <c r="GMY1688" s="2477"/>
      <c r="GMZ1688" s="2477"/>
      <c r="GNA1688" s="2477"/>
      <c r="GNB1688" s="2477"/>
      <c r="GNC1688" s="2477"/>
      <c r="GND1688" s="2477"/>
      <c r="GNE1688" s="2477"/>
      <c r="GNF1688" s="2477"/>
      <c r="GNG1688" s="2477"/>
      <c r="GNH1688" s="2477"/>
      <c r="GNI1688" s="2477"/>
      <c r="GNJ1688" s="2477"/>
      <c r="GNK1688" s="2477"/>
      <c r="GNL1688" s="2477"/>
      <c r="GNM1688" s="2477"/>
      <c r="GNN1688" s="2477"/>
      <c r="GNO1688" s="2477"/>
      <c r="GNP1688" s="2477"/>
      <c r="GNQ1688" s="2477"/>
      <c r="GNR1688" s="2477"/>
      <c r="GNS1688" s="2477"/>
      <c r="GNT1688" s="2477"/>
      <c r="GNU1688" s="2477"/>
      <c r="GNV1688" s="2477"/>
      <c r="GNW1688" s="2477"/>
      <c r="GNX1688" s="2477"/>
      <c r="GNY1688" s="2477"/>
      <c r="GNZ1688" s="2477"/>
      <c r="GOA1688" s="2477"/>
      <c r="GOB1688" s="2477"/>
      <c r="GOC1688" s="2477"/>
      <c r="GOD1688" s="2477"/>
      <c r="GOE1688" s="2477"/>
      <c r="GOF1688" s="2477"/>
      <c r="GOG1688" s="2477"/>
      <c r="GOH1688" s="2477"/>
      <c r="GOI1688" s="2477"/>
      <c r="GOJ1688" s="2477"/>
      <c r="GOK1688" s="2477"/>
      <c r="GOL1688" s="2477"/>
      <c r="GOM1688" s="2477"/>
      <c r="GON1688" s="2477"/>
      <c r="GOO1688" s="2477"/>
      <c r="GOP1688" s="2477"/>
      <c r="GOQ1688" s="2477"/>
      <c r="GOR1688" s="2477"/>
      <c r="GOS1688" s="2477"/>
      <c r="GOT1688" s="2477"/>
      <c r="GOU1688" s="2477"/>
      <c r="GOV1688" s="2477"/>
      <c r="GOW1688" s="2477"/>
      <c r="GOX1688" s="2477"/>
      <c r="GOY1688" s="2477"/>
      <c r="GOZ1688" s="2477"/>
      <c r="GPA1688" s="2477"/>
      <c r="GPB1688" s="2477"/>
      <c r="GPC1688" s="2477"/>
      <c r="GPD1688" s="2477"/>
      <c r="GPE1688" s="2477"/>
      <c r="GPF1688" s="2477"/>
      <c r="GPG1688" s="2477"/>
      <c r="GPH1688" s="2477"/>
      <c r="GPI1688" s="2477"/>
      <c r="GPJ1688" s="2477"/>
      <c r="GPK1688" s="2477"/>
      <c r="GPL1688" s="2477"/>
      <c r="GPM1688" s="2477"/>
      <c r="GPN1688" s="2477"/>
      <c r="GPO1688" s="2477"/>
      <c r="GPP1688" s="2477"/>
      <c r="GPQ1688" s="2477"/>
      <c r="GPR1688" s="2477"/>
      <c r="GPS1688" s="2477"/>
      <c r="GPT1688" s="2477"/>
      <c r="GPU1688" s="2477"/>
      <c r="GPV1688" s="2477"/>
      <c r="GPW1688" s="2477"/>
      <c r="GPX1688" s="2477"/>
      <c r="GPY1688" s="2477"/>
      <c r="GPZ1688" s="2477"/>
      <c r="GQA1688" s="2477"/>
      <c r="GQB1688" s="2477"/>
      <c r="GQC1688" s="2477"/>
      <c r="GQD1688" s="2477"/>
      <c r="GQE1688" s="2477"/>
      <c r="GQF1688" s="2477"/>
      <c r="GQG1688" s="2477"/>
      <c r="GQH1688" s="2477"/>
      <c r="GQI1688" s="2477"/>
      <c r="GQJ1688" s="2477"/>
      <c r="GQK1688" s="2477"/>
      <c r="GQL1688" s="2477"/>
      <c r="GQM1688" s="2477"/>
      <c r="GQN1688" s="2477"/>
      <c r="GQO1688" s="2477"/>
      <c r="GQP1688" s="2477"/>
      <c r="GQQ1688" s="2477"/>
      <c r="GQR1688" s="2477"/>
      <c r="GQS1688" s="2477"/>
      <c r="GQT1688" s="2477"/>
      <c r="GQU1688" s="2477"/>
      <c r="GQV1688" s="2477"/>
      <c r="GQW1688" s="2477"/>
      <c r="GQX1688" s="2477"/>
      <c r="GQY1688" s="2477"/>
      <c r="GQZ1688" s="2477"/>
      <c r="GRA1688" s="2477"/>
      <c r="GRB1688" s="2477"/>
      <c r="GRC1688" s="2477"/>
      <c r="GRD1688" s="2477"/>
      <c r="GRE1688" s="2477"/>
      <c r="GRF1688" s="2477"/>
      <c r="GRG1688" s="2477"/>
      <c r="GRH1688" s="2477"/>
      <c r="GRI1688" s="2477"/>
      <c r="GRJ1688" s="2477"/>
      <c r="GRK1688" s="2477"/>
      <c r="GRL1688" s="2477"/>
      <c r="GRM1688" s="2477"/>
      <c r="GRN1688" s="2477"/>
      <c r="GRO1688" s="2477"/>
      <c r="GRP1688" s="2477"/>
      <c r="GRQ1688" s="2477"/>
      <c r="GRR1688" s="2477"/>
      <c r="GRS1688" s="2477"/>
      <c r="GRT1688" s="2477"/>
      <c r="GRU1688" s="2477"/>
      <c r="GRV1688" s="2477"/>
      <c r="GRW1688" s="2477"/>
      <c r="GRX1688" s="2477"/>
      <c r="GRY1688" s="2477"/>
      <c r="GRZ1688" s="2477"/>
      <c r="GSA1688" s="2477"/>
      <c r="GSB1688" s="2477"/>
      <c r="GSC1688" s="2477"/>
      <c r="GSD1688" s="2477"/>
      <c r="GSE1688" s="2477"/>
      <c r="GSF1688" s="2477"/>
      <c r="GSG1688" s="2477"/>
      <c r="GSH1688" s="2477"/>
      <c r="GSI1688" s="2477"/>
      <c r="GSJ1688" s="2477"/>
      <c r="GSK1688" s="2477"/>
      <c r="GSL1688" s="2477"/>
      <c r="GSM1688" s="2477"/>
      <c r="GSN1688" s="2477"/>
      <c r="GSO1688" s="2477"/>
      <c r="GSP1688" s="2477"/>
      <c r="GSQ1688" s="2477"/>
      <c r="GSR1688" s="2477"/>
      <c r="GSS1688" s="2477"/>
      <c r="GST1688" s="2477"/>
      <c r="GSU1688" s="2477"/>
      <c r="GSV1688" s="2477"/>
      <c r="GSW1688" s="2477"/>
      <c r="GSX1688" s="2477"/>
      <c r="GSY1688" s="2477"/>
      <c r="GSZ1688" s="2477"/>
      <c r="GTA1688" s="2477"/>
      <c r="GTB1688" s="2477"/>
      <c r="GTC1688" s="2477"/>
      <c r="GTD1688" s="2477"/>
      <c r="GTE1688" s="2477"/>
      <c r="GTF1688" s="2477"/>
      <c r="GTG1688" s="2477"/>
      <c r="GTH1688" s="2477"/>
      <c r="GTI1688" s="2477"/>
      <c r="GTJ1688" s="2477"/>
      <c r="GTK1688" s="2477"/>
      <c r="GTL1688" s="2477"/>
      <c r="GTM1688" s="2477"/>
      <c r="GTN1688" s="2477"/>
      <c r="GTO1688" s="2477"/>
      <c r="GTP1688" s="2477"/>
      <c r="GTQ1688" s="2477"/>
      <c r="GTR1688" s="2477"/>
      <c r="GTS1688" s="2477"/>
      <c r="GTT1688" s="2477"/>
      <c r="GTU1688" s="2477"/>
      <c r="GTV1688" s="2477"/>
      <c r="GTW1688" s="2477"/>
      <c r="GTX1688" s="2477"/>
      <c r="GTY1688" s="2477"/>
      <c r="GTZ1688" s="2477"/>
      <c r="GUA1688" s="2477"/>
      <c r="GUB1688" s="2477"/>
      <c r="GUC1688" s="2477"/>
      <c r="GUD1688" s="2477"/>
      <c r="GUE1688" s="2477"/>
      <c r="GUF1688" s="2477"/>
      <c r="GUG1688" s="2477"/>
      <c r="GUH1688" s="2477"/>
      <c r="GUI1688" s="2477"/>
      <c r="GUJ1688" s="2477"/>
      <c r="GUK1688" s="2477"/>
      <c r="GUL1688" s="2477"/>
      <c r="GUM1688" s="2477"/>
      <c r="GUN1688" s="2477"/>
      <c r="GUO1688" s="2477"/>
      <c r="GUP1688" s="2477"/>
      <c r="GUQ1688" s="2477"/>
      <c r="GUR1688" s="2477"/>
      <c r="GUS1688" s="2477"/>
      <c r="GUT1688" s="2477"/>
      <c r="GUU1688" s="2477"/>
      <c r="GUV1688" s="2477"/>
      <c r="GUW1688" s="2477"/>
      <c r="GUX1688" s="2477"/>
      <c r="GUY1688" s="2477"/>
      <c r="GUZ1688" s="2477"/>
      <c r="GVA1688" s="2477"/>
      <c r="GVB1688" s="2477"/>
      <c r="GVC1688" s="2477"/>
      <c r="GVD1688" s="2477"/>
      <c r="GVE1688" s="2477"/>
      <c r="GVF1688" s="2477"/>
      <c r="GVG1688" s="2477"/>
      <c r="GVH1688" s="2477"/>
      <c r="GVI1688" s="2477"/>
      <c r="GVJ1688" s="2477"/>
      <c r="GVK1688" s="2477"/>
      <c r="GVL1688" s="2477"/>
      <c r="GVM1688" s="2477"/>
      <c r="GVN1688" s="2477"/>
      <c r="GVO1688" s="2477"/>
      <c r="GVP1688" s="2477"/>
      <c r="GVQ1688" s="2477"/>
      <c r="GVR1688" s="2477"/>
      <c r="GVS1688" s="2477"/>
      <c r="GVT1688" s="2477"/>
      <c r="GVU1688" s="2477"/>
      <c r="GVV1688" s="2477"/>
      <c r="GVW1688" s="2477"/>
      <c r="GVX1688" s="2477"/>
      <c r="GVY1688" s="2477"/>
      <c r="GVZ1688" s="2477"/>
      <c r="GWA1688" s="2477"/>
      <c r="GWB1688" s="2477"/>
      <c r="GWC1688" s="2477"/>
      <c r="GWD1688" s="2477"/>
      <c r="GWE1688" s="2477"/>
      <c r="GWF1688" s="2477"/>
      <c r="GWG1688" s="2477"/>
      <c r="GWH1688" s="2477"/>
      <c r="GWI1688" s="2477"/>
      <c r="GWJ1688" s="2477"/>
      <c r="GWK1688" s="2477"/>
      <c r="GWL1688" s="2477"/>
      <c r="GWM1688" s="2477"/>
      <c r="GWN1688" s="2477"/>
      <c r="GWO1688" s="2477"/>
      <c r="GWP1688" s="2477"/>
      <c r="GWQ1688" s="2477"/>
      <c r="GWR1688" s="2477"/>
      <c r="GWS1688" s="2477"/>
      <c r="GWT1688" s="2477"/>
      <c r="GWU1688" s="2477"/>
      <c r="GWV1688" s="2477"/>
      <c r="GWW1688" s="2477"/>
      <c r="GWX1688" s="2477"/>
      <c r="GWY1688" s="2477"/>
      <c r="GWZ1688" s="2477"/>
      <c r="GXA1688" s="2477"/>
      <c r="GXB1688" s="2477"/>
      <c r="GXC1688" s="2477"/>
      <c r="GXD1688" s="2477"/>
      <c r="GXE1688" s="2477"/>
      <c r="GXF1688" s="2477"/>
      <c r="GXG1688" s="2477"/>
      <c r="GXH1688" s="2477"/>
      <c r="GXI1688" s="2477"/>
      <c r="GXJ1688" s="2477"/>
      <c r="GXK1688" s="2477"/>
      <c r="GXL1688" s="2477"/>
      <c r="GXM1688" s="2477"/>
      <c r="GXN1688" s="2477"/>
      <c r="GXO1688" s="2477"/>
      <c r="GXP1688" s="2477"/>
      <c r="GXQ1688" s="2477"/>
      <c r="GXR1688" s="2477"/>
      <c r="GXS1688" s="2477"/>
      <c r="GXT1688" s="2477"/>
      <c r="GXU1688" s="2477"/>
      <c r="GXV1688" s="2477"/>
      <c r="GXW1688" s="2477"/>
      <c r="GXX1688" s="2477"/>
      <c r="GXY1688" s="2477"/>
      <c r="GXZ1688" s="2477"/>
      <c r="GYA1688" s="2477"/>
      <c r="GYB1688" s="2477"/>
      <c r="GYC1688" s="2477"/>
      <c r="GYD1688" s="2477"/>
      <c r="GYE1688" s="2477"/>
      <c r="GYF1688" s="2477"/>
      <c r="GYG1688" s="2477"/>
      <c r="GYH1688" s="2477"/>
      <c r="GYI1688" s="2477"/>
      <c r="GYJ1688" s="2477"/>
      <c r="GYK1688" s="2477"/>
      <c r="GYL1688" s="2477"/>
      <c r="GYM1688" s="2477"/>
      <c r="GYN1688" s="2477"/>
      <c r="GYO1688" s="2477"/>
      <c r="GYP1688" s="2477"/>
      <c r="GYQ1688" s="2477"/>
      <c r="GYR1688" s="2477"/>
      <c r="GYS1688" s="2477"/>
      <c r="GYT1688" s="2477"/>
      <c r="GYU1688" s="2477"/>
      <c r="GYV1688" s="2477"/>
      <c r="GYW1688" s="2477"/>
      <c r="GYX1688" s="2477"/>
      <c r="GYY1688" s="2477"/>
      <c r="GYZ1688" s="2477"/>
      <c r="GZA1688" s="2477"/>
      <c r="GZB1688" s="2477"/>
      <c r="GZC1688" s="2477"/>
      <c r="GZD1688" s="2477"/>
      <c r="GZE1688" s="2477"/>
      <c r="GZF1688" s="2477"/>
      <c r="GZG1688" s="2477"/>
      <c r="GZH1688" s="2477"/>
      <c r="GZI1688" s="2477"/>
      <c r="GZJ1688" s="2477"/>
      <c r="GZK1688" s="2477"/>
      <c r="GZL1688" s="2477"/>
      <c r="GZM1688" s="2477"/>
      <c r="GZN1688" s="2477"/>
      <c r="GZO1688" s="2477"/>
      <c r="GZP1688" s="2477"/>
      <c r="GZQ1688" s="2477"/>
      <c r="GZR1688" s="2477"/>
      <c r="GZS1688" s="2477"/>
      <c r="GZT1688" s="2477"/>
      <c r="GZU1688" s="2477"/>
      <c r="GZV1688" s="2477"/>
      <c r="GZW1688" s="2477"/>
      <c r="GZX1688" s="2477"/>
      <c r="GZY1688" s="2477"/>
      <c r="GZZ1688" s="2477"/>
      <c r="HAA1688" s="2477"/>
      <c r="HAB1688" s="2477"/>
      <c r="HAC1688" s="2477"/>
      <c r="HAD1688" s="2477"/>
      <c r="HAE1688" s="2477"/>
      <c r="HAF1688" s="2477"/>
      <c r="HAG1688" s="2477"/>
      <c r="HAH1688" s="2477"/>
      <c r="HAI1688" s="2477"/>
      <c r="HAJ1688" s="2477"/>
      <c r="HAK1688" s="2477"/>
      <c r="HAL1688" s="2477"/>
      <c r="HAM1688" s="2477"/>
      <c r="HAN1688" s="2477"/>
      <c r="HAO1688" s="2477"/>
      <c r="HAP1688" s="2477"/>
      <c r="HAQ1688" s="2477"/>
      <c r="HAR1688" s="2477"/>
      <c r="HAS1688" s="2477"/>
      <c r="HAT1688" s="2477"/>
      <c r="HAU1688" s="2477"/>
      <c r="HAV1688" s="2477"/>
      <c r="HAW1688" s="2477"/>
      <c r="HAX1688" s="2477"/>
      <c r="HAY1688" s="2477"/>
      <c r="HAZ1688" s="2477"/>
      <c r="HBA1688" s="2477"/>
      <c r="HBB1688" s="2477"/>
      <c r="HBC1688" s="2477"/>
      <c r="HBD1688" s="2477"/>
      <c r="HBE1688" s="2477"/>
      <c r="HBF1688" s="2477"/>
      <c r="HBG1688" s="2477"/>
      <c r="HBH1688" s="2477"/>
      <c r="HBI1688" s="2477"/>
      <c r="HBJ1688" s="2477"/>
      <c r="HBK1688" s="2477"/>
      <c r="HBL1688" s="2477"/>
      <c r="HBM1688" s="2477"/>
      <c r="HBN1688" s="2477"/>
      <c r="HBO1688" s="2477"/>
      <c r="HBP1688" s="2477"/>
      <c r="HBQ1688" s="2477"/>
      <c r="HBR1688" s="2477"/>
      <c r="HBS1688" s="2477"/>
      <c r="HBT1688" s="2477"/>
      <c r="HBU1688" s="2477"/>
      <c r="HBV1688" s="2477"/>
      <c r="HBW1688" s="2477"/>
      <c r="HBX1688" s="2477"/>
      <c r="HBY1688" s="2477"/>
      <c r="HBZ1688" s="2477"/>
      <c r="HCA1688" s="2477"/>
      <c r="HCB1688" s="2477"/>
      <c r="HCC1688" s="2477"/>
      <c r="HCD1688" s="2477"/>
      <c r="HCE1688" s="2477"/>
      <c r="HCF1688" s="2477"/>
      <c r="HCG1688" s="2477"/>
      <c r="HCH1688" s="2477"/>
      <c r="HCI1688" s="2477"/>
      <c r="HCJ1688" s="2477"/>
      <c r="HCK1688" s="2477"/>
      <c r="HCL1688" s="2477"/>
      <c r="HCM1688" s="2477"/>
      <c r="HCN1688" s="2477"/>
      <c r="HCO1688" s="2477"/>
      <c r="HCP1688" s="2477"/>
      <c r="HCQ1688" s="2477"/>
      <c r="HCR1688" s="2477"/>
      <c r="HCS1688" s="2477"/>
      <c r="HCT1688" s="2477"/>
      <c r="HCU1688" s="2477"/>
      <c r="HCV1688" s="2477"/>
      <c r="HCW1688" s="2477"/>
      <c r="HCX1688" s="2477"/>
      <c r="HCY1688" s="2477"/>
      <c r="HCZ1688" s="2477"/>
      <c r="HDA1688" s="2477"/>
      <c r="HDB1688" s="2477"/>
      <c r="HDC1688" s="2477"/>
      <c r="HDD1688" s="2477"/>
      <c r="HDE1688" s="2477"/>
      <c r="HDF1688" s="2477"/>
      <c r="HDG1688" s="2477"/>
      <c r="HDH1688" s="2477"/>
      <c r="HDI1688" s="2477"/>
      <c r="HDJ1688" s="2477"/>
      <c r="HDK1688" s="2477"/>
      <c r="HDL1688" s="2477"/>
      <c r="HDM1688" s="2477"/>
      <c r="HDN1688" s="2477"/>
      <c r="HDO1688" s="2477"/>
      <c r="HDP1688" s="2477"/>
      <c r="HDQ1688" s="2477"/>
      <c r="HDR1688" s="2477"/>
      <c r="HDS1688" s="2477"/>
      <c r="HDT1688" s="2477"/>
      <c r="HDU1688" s="2477"/>
      <c r="HDV1688" s="2477"/>
      <c r="HDW1688" s="2477"/>
      <c r="HDX1688" s="2477"/>
      <c r="HDY1688" s="2477"/>
      <c r="HDZ1688" s="2477"/>
      <c r="HEA1688" s="2477"/>
      <c r="HEB1688" s="2477"/>
      <c r="HEC1688" s="2477"/>
      <c r="HED1688" s="2477"/>
      <c r="HEE1688" s="2477"/>
      <c r="HEF1688" s="2477"/>
      <c r="HEG1688" s="2477"/>
      <c r="HEH1688" s="2477"/>
      <c r="HEI1688" s="2477"/>
      <c r="HEJ1688" s="2477"/>
      <c r="HEK1688" s="2477"/>
      <c r="HEL1688" s="2477"/>
      <c r="HEM1688" s="2477"/>
      <c r="HEN1688" s="2477"/>
      <c r="HEO1688" s="2477"/>
      <c r="HEP1688" s="2477"/>
      <c r="HEQ1688" s="2477"/>
      <c r="HER1688" s="2477"/>
      <c r="HES1688" s="2477"/>
      <c r="HET1688" s="2477"/>
      <c r="HEU1688" s="2477"/>
      <c r="HEV1688" s="2477"/>
      <c r="HEW1688" s="2477"/>
      <c r="HEX1688" s="2477"/>
      <c r="HEY1688" s="2477"/>
      <c r="HEZ1688" s="2477"/>
      <c r="HFA1688" s="2477"/>
      <c r="HFB1688" s="2477"/>
      <c r="HFC1688" s="2477"/>
      <c r="HFD1688" s="2477"/>
      <c r="HFE1688" s="2477"/>
      <c r="HFF1688" s="2477"/>
      <c r="HFG1688" s="2477"/>
      <c r="HFH1688" s="2477"/>
      <c r="HFI1688" s="2477"/>
      <c r="HFJ1688" s="2477"/>
      <c r="HFK1688" s="2477"/>
      <c r="HFL1688" s="2477"/>
      <c r="HFM1688" s="2477"/>
      <c r="HFN1688" s="2477"/>
      <c r="HFO1688" s="2477"/>
      <c r="HFP1688" s="2477"/>
      <c r="HFQ1688" s="2477"/>
      <c r="HFR1688" s="2477"/>
      <c r="HFS1688" s="2477"/>
      <c r="HFT1688" s="2477"/>
      <c r="HFU1688" s="2477"/>
      <c r="HFV1688" s="2477"/>
      <c r="HFW1688" s="2477"/>
      <c r="HFX1688" s="2477"/>
      <c r="HFY1688" s="2477"/>
      <c r="HFZ1688" s="2477"/>
      <c r="HGA1688" s="2477"/>
      <c r="HGB1688" s="2477"/>
      <c r="HGC1688" s="2477"/>
      <c r="HGD1688" s="2477"/>
      <c r="HGE1688" s="2477"/>
      <c r="HGF1688" s="2477"/>
      <c r="HGG1688" s="2477"/>
      <c r="HGH1688" s="2477"/>
      <c r="HGI1688" s="2477"/>
      <c r="HGJ1688" s="2477"/>
      <c r="HGK1688" s="2477"/>
      <c r="HGL1688" s="2477"/>
      <c r="HGM1688" s="2477"/>
      <c r="HGN1688" s="2477"/>
      <c r="HGO1688" s="2477"/>
      <c r="HGP1688" s="2477"/>
      <c r="HGQ1688" s="2477"/>
      <c r="HGR1688" s="2477"/>
      <c r="HGS1688" s="2477"/>
      <c r="HGT1688" s="2477"/>
      <c r="HGU1688" s="2477"/>
      <c r="HGV1688" s="2477"/>
      <c r="HGW1688" s="2477"/>
      <c r="HGX1688" s="2477"/>
      <c r="HGY1688" s="2477"/>
      <c r="HGZ1688" s="2477"/>
      <c r="HHA1688" s="2477"/>
      <c r="HHB1688" s="2477"/>
      <c r="HHC1688" s="2477"/>
      <c r="HHD1688" s="2477"/>
      <c r="HHE1688" s="2477"/>
      <c r="HHF1688" s="2477"/>
      <c r="HHG1688" s="2477"/>
      <c r="HHH1688" s="2477"/>
      <c r="HHI1688" s="2477"/>
      <c r="HHJ1688" s="2477"/>
      <c r="HHK1688" s="2477"/>
      <c r="HHL1688" s="2477"/>
      <c r="HHM1688" s="2477"/>
      <c r="HHN1688" s="2477"/>
      <c r="HHO1688" s="2477"/>
      <c r="HHP1688" s="2477"/>
      <c r="HHQ1688" s="2477"/>
      <c r="HHR1688" s="2477"/>
      <c r="HHS1688" s="2477"/>
      <c r="HHT1688" s="2477"/>
      <c r="HHU1688" s="2477"/>
      <c r="HHV1688" s="2477"/>
      <c r="HHW1688" s="2477"/>
      <c r="HHX1688" s="2477"/>
      <c r="HHY1688" s="2477"/>
      <c r="HHZ1688" s="2477"/>
      <c r="HIA1688" s="2477"/>
      <c r="HIB1688" s="2477"/>
      <c r="HIC1688" s="2477"/>
      <c r="HID1688" s="2477"/>
      <c r="HIE1688" s="2477"/>
      <c r="HIF1688" s="2477"/>
      <c r="HIG1688" s="2477"/>
      <c r="HIH1688" s="2477"/>
      <c r="HII1688" s="2477"/>
      <c r="HIJ1688" s="2477"/>
      <c r="HIK1688" s="2477"/>
      <c r="HIL1688" s="2477"/>
      <c r="HIM1688" s="2477"/>
      <c r="HIN1688" s="2477"/>
      <c r="HIO1688" s="2477"/>
      <c r="HIP1688" s="2477"/>
      <c r="HIQ1688" s="2477"/>
      <c r="HIR1688" s="2477"/>
      <c r="HIS1688" s="2477"/>
      <c r="HIT1688" s="2477"/>
      <c r="HIU1688" s="2477"/>
      <c r="HIV1688" s="2477"/>
      <c r="HIW1688" s="2477"/>
      <c r="HIX1688" s="2477"/>
      <c r="HIY1688" s="2477"/>
      <c r="HIZ1688" s="2477"/>
      <c r="HJA1688" s="2477"/>
      <c r="HJB1688" s="2477"/>
      <c r="HJC1688" s="2477"/>
      <c r="HJD1688" s="2477"/>
      <c r="HJE1688" s="2477"/>
      <c r="HJF1688" s="2477"/>
      <c r="HJG1688" s="2477"/>
      <c r="HJH1688" s="2477"/>
      <c r="HJI1688" s="2477"/>
      <c r="HJJ1688" s="2477"/>
      <c r="HJK1688" s="2477"/>
      <c r="HJL1688" s="2477"/>
      <c r="HJM1688" s="2477"/>
      <c r="HJN1688" s="2477"/>
      <c r="HJO1688" s="2477"/>
      <c r="HJP1688" s="2477"/>
      <c r="HJQ1688" s="2477"/>
      <c r="HJR1688" s="2477"/>
      <c r="HJS1688" s="2477"/>
      <c r="HJT1688" s="2477"/>
      <c r="HJU1688" s="2477"/>
      <c r="HJV1688" s="2477"/>
      <c r="HJW1688" s="2477"/>
      <c r="HJX1688" s="2477"/>
      <c r="HJY1688" s="2477"/>
      <c r="HJZ1688" s="2477"/>
      <c r="HKA1688" s="2477"/>
      <c r="HKB1688" s="2477"/>
      <c r="HKC1688" s="2477"/>
      <c r="HKD1688" s="2477"/>
      <c r="HKE1688" s="2477"/>
      <c r="HKF1688" s="2477"/>
      <c r="HKG1688" s="2477"/>
      <c r="HKH1688" s="2477"/>
      <c r="HKI1688" s="2477"/>
      <c r="HKJ1688" s="2477"/>
      <c r="HKK1688" s="2477"/>
      <c r="HKL1688" s="2477"/>
      <c r="HKM1688" s="2477"/>
      <c r="HKN1688" s="2477"/>
      <c r="HKO1688" s="2477"/>
      <c r="HKP1688" s="2477"/>
      <c r="HKQ1688" s="2477"/>
      <c r="HKR1688" s="2477"/>
      <c r="HKS1688" s="2477"/>
      <c r="HKT1688" s="2477"/>
      <c r="HKU1688" s="2477"/>
      <c r="HKV1688" s="2477"/>
      <c r="HKW1688" s="2477"/>
      <c r="HKX1688" s="2477"/>
      <c r="HKY1688" s="2477"/>
      <c r="HKZ1688" s="2477"/>
      <c r="HLA1688" s="2477"/>
      <c r="HLB1688" s="2477"/>
      <c r="HLC1688" s="2477"/>
      <c r="HLD1688" s="2477"/>
      <c r="HLE1688" s="2477"/>
      <c r="HLF1688" s="2477"/>
      <c r="HLG1688" s="2477"/>
      <c r="HLH1688" s="2477"/>
      <c r="HLI1688" s="2477"/>
      <c r="HLJ1688" s="2477"/>
      <c r="HLK1688" s="2477"/>
      <c r="HLL1688" s="2477"/>
      <c r="HLM1688" s="2477"/>
      <c r="HLN1688" s="2477"/>
      <c r="HLO1688" s="2477"/>
      <c r="HLP1688" s="2477"/>
      <c r="HLQ1688" s="2477"/>
      <c r="HLR1688" s="2477"/>
      <c r="HLS1688" s="2477"/>
      <c r="HLT1688" s="2477"/>
      <c r="HLU1688" s="2477"/>
      <c r="HLV1688" s="2477"/>
      <c r="HLW1688" s="2477"/>
      <c r="HLX1688" s="2477"/>
      <c r="HLY1688" s="2477"/>
      <c r="HLZ1688" s="2477"/>
      <c r="HMA1688" s="2477"/>
      <c r="HMB1688" s="2477"/>
      <c r="HMC1688" s="2477"/>
      <c r="HMD1688" s="2477"/>
      <c r="HME1688" s="2477"/>
      <c r="HMF1688" s="2477"/>
      <c r="HMG1688" s="2477"/>
      <c r="HMH1688" s="2477"/>
      <c r="HMI1688" s="2477"/>
      <c r="HMJ1688" s="2477"/>
      <c r="HMK1688" s="2477"/>
      <c r="HML1688" s="2477"/>
      <c r="HMM1688" s="2477"/>
      <c r="HMN1688" s="2477"/>
      <c r="HMO1688" s="2477"/>
      <c r="HMP1688" s="2477"/>
      <c r="HMQ1688" s="2477"/>
      <c r="HMR1688" s="2477"/>
      <c r="HMS1688" s="2477"/>
      <c r="HMT1688" s="2477"/>
      <c r="HMU1688" s="2477"/>
      <c r="HMV1688" s="2477"/>
      <c r="HMW1688" s="2477"/>
      <c r="HMX1688" s="2477"/>
      <c r="HMY1688" s="2477"/>
      <c r="HMZ1688" s="2477"/>
      <c r="HNA1688" s="2477"/>
      <c r="HNB1688" s="2477"/>
      <c r="HNC1688" s="2477"/>
      <c r="HND1688" s="2477"/>
      <c r="HNE1688" s="2477"/>
      <c r="HNF1688" s="2477"/>
      <c r="HNG1688" s="2477"/>
      <c r="HNH1688" s="2477"/>
      <c r="HNI1688" s="2477"/>
      <c r="HNJ1688" s="2477"/>
      <c r="HNK1688" s="2477"/>
      <c r="HNL1688" s="2477"/>
      <c r="HNM1688" s="2477"/>
      <c r="HNN1688" s="2477"/>
      <c r="HNO1688" s="2477"/>
      <c r="HNP1688" s="2477"/>
      <c r="HNQ1688" s="2477"/>
      <c r="HNR1688" s="2477"/>
      <c r="HNS1688" s="2477"/>
      <c r="HNT1688" s="2477"/>
      <c r="HNU1688" s="2477"/>
      <c r="HNV1688" s="2477"/>
      <c r="HNW1688" s="2477"/>
      <c r="HNX1688" s="2477"/>
      <c r="HNY1688" s="2477"/>
      <c r="HNZ1688" s="2477"/>
      <c r="HOA1688" s="2477"/>
      <c r="HOB1688" s="2477"/>
      <c r="HOC1688" s="2477"/>
      <c r="HOD1688" s="2477"/>
      <c r="HOE1688" s="2477"/>
      <c r="HOF1688" s="2477"/>
      <c r="HOG1688" s="2477"/>
      <c r="HOH1688" s="2477"/>
      <c r="HOI1688" s="2477"/>
      <c r="HOJ1688" s="2477"/>
      <c r="HOK1688" s="2477"/>
      <c r="HOL1688" s="2477"/>
      <c r="HOM1688" s="2477"/>
      <c r="HON1688" s="2477"/>
      <c r="HOO1688" s="2477"/>
      <c r="HOP1688" s="2477"/>
      <c r="HOQ1688" s="2477"/>
      <c r="HOR1688" s="2477"/>
      <c r="HOS1688" s="2477"/>
      <c r="HOT1688" s="2477"/>
      <c r="HOU1688" s="2477"/>
      <c r="HOV1688" s="2477"/>
      <c r="HOW1688" s="2477"/>
      <c r="HOX1688" s="2477"/>
      <c r="HOY1688" s="2477"/>
      <c r="HOZ1688" s="2477"/>
      <c r="HPA1688" s="2477"/>
      <c r="HPB1688" s="2477"/>
      <c r="HPC1688" s="2477"/>
      <c r="HPD1688" s="2477"/>
      <c r="HPE1688" s="2477"/>
      <c r="HPF1688" s="2477"/>
      <c r="HPG1688" s="2477"/>
      <c r="HPH1688" s="2477"/>
      <c r="HPI1688" s="2477"/>
      <c r="HPJ1688" s="2477"/>
      <c r="HPK1688" s="2477"/>
      <c r="HPL1688" s="2477"/>
      <c r="HPM1688" s="2477"/>
      <c r="HPN1688" s="2477"/>
      <c r="HPO1688" s="2477"/>
      <c r="HPP1688" s="2477"/>
      <c r="HPQ1688" s="2477"/>
      <c r="HPR1688" s="2477"/>
      <c r="HPS1688" s="2477"/>
      <c r="HPT1688" s="2477"/>
      <c r="HPU1688" s="2477"/>
      <c r="HPV1688" s="2477"/>
      <c r="HPW1688" s="2477"/>
      <c r="HPX1688" s="2477"/>
      <c r="HPY1688" s="2477"/>
      <c r="HPZ1688" s="2477"/>
      <c r="HQA1688" s="2477"/>
      <c r="HQB1688" s="2477"/>
      <c r="HQC1688" s="2477"/>
      <c r="HQD1688" s="2477"/>
      <c r="HQE1688" s="2477"/>
      <c r="HQF1688" s="2477"/>
      <c r="HQG1688" s="2477"/>
      <c r="HQH1688" s="2477"/>
      <c r="HQI1688" s="2477"/>
      <c r="HQJ1688" s="2477"/>
      <c r="HQK1688" s="2477"/>
      <c r="HQL1688" s="2477"/>
      <c r="HQM1688" s="2477"/>
      <c r="HQN1688" s="2477"/>
      <c r="HQO1688" s="2477"/>
      <c r="HQP1688" s="2477"/>
      <c r="HQQ1688" s="2477"/>
      <c r="HQR1688" s="2477"/>
      <c r="HQS1688" s="2477"/>
      <c r="HQT1688" s="2477"/>
      <c r="HQU1688" s="2477"/>
      <c r="HQV1688" s="2477"/>
      <c r="HQW1688" s="2477"/>
      <c r="HQX1688" s="2477"/>
      <c r="HQY1688" s="2477"/>
      <c r="HQZ1688" s="2477"/>
      <c r="HRA1688" s="2477"/>
      <c r="HRB1688" s="2477"/>
      <c r="HRC1688" s="2477"/>
      <c r="HRD1688" s="2477"/>
      <c r="HRE1688" s="2477"/>
      <c r="HRF1688" s="2477"/>
      <c r="HRG1688" s="2477"/>
      <c r="HRH1688" s="2477"/>
      <c r="HRI1688" s="2477"/>
      <c r="HRJ1688" s="2477"/>
      <c r="HRK1688" s="2477"/>
      <c r="HRL1688" s="2477"/>
      <c r="HRM1688" s="2477"/>
      <c r="HRN1688" s="2477"/>
      <c r="HRO1688" s="2477"/>
      <c r="HRP1688" s="2477"/>
      <c r="HRQ1688" s="2477"/>
      <c r="HRR1688" s="2477"/>
      <c r="HRS1688" s="2477"/>
      <c r="HRT1688" s="2477"/>
      <c r="HRU1688" s="2477"/>
      <c r="HRV1688" s="2477"/>
      <c r="HRW1688" s="2477"/>
      <c r="HRX1688" s="2477"/>
      <c r="HRY1688" s="2477"/>
      <c r="HRZ1688" s="2477"/>
      <c r="HSA1688" s="2477"/>
      <c r="HSB1688" s="2477"/>
      <c r="HSC1688" s="2477"/>
      <c r="HSD1688" s="2477"/>
      <c r="HSE1688" s="2477"/>
      <c r="HSF1688" s="2477"/>
      <c r="HSG1688" s="2477"/>
      <c r="HSH1688" s="2477"/>
      <c r="HSI1688" s="2477"/>
      <c r="HSJ1688" s="2477"/>
      <c r="HSK1688" s="2477"/>
      <c r="HSL1688" s="2477"/>
      <c r="HSM1688" s="2477"/>
      <c r="HSN1688" s="2477"/>
      <c r="HSO1688" s="2477"/>
      <c r="HSP1688" s="2477"/>
      <c r="HSQ1688" s="2477"/>
      <c r="HSR1688" s="2477"/>
      <c r="HSS1688" s="2477"/>
      <c r="HST1688" s="2477"/>
      <c r="HSU1688" s="2477"/>
      <c r="HSV1688" s="2477"/>
      <c r="HSW1688" s="2477"/>
      <c r="HSX1688" s="2477"/>
      <c r="HSY1688" s="2477"/>
      <c r="HSZ1688" s="2477"/>
      <c r="HTA1688" s="2477"/>
      <c r="HTB1688" s="2477"/>
      <c r="HTC1688" s="2477"/>
      <c r="HTD1688" s="2477"/>
      <c r="HTE1688" s="2477"/>
      <c r="HTF1688" s="2477"/>
      <c r="HTG1688" s="2477"/>
      <c r="HTH1688" s="2477"/>
      <c r="HTI1688" s="2477"/>
      <c r="HTJ1688" s="2477"/>
      <c r="HTK1688" s="2477"/>
      <c r="HTL1688" s="2477"/>
      <c r="HTM1688" s="2477"/>
      <c r="HTN1688" s="2477"/>
      <c r="HTO1688" s="2477"/>
      <c r="HTP1688" s="2477"/>
      <c r="HTQ1688" s="2477"/>
      <c r="HTR1688" s="2477"/>
      <c r="HTS1688" s="2477"/>
      <c r="HTT1688" s="2477"/>
      <c r="HTU1688" s="2477"/>
      <c r="HTV1688" s="2477"/>
      <c r="HTW1688" s="2477"/>
      <c r="HTX1688" s="2477"/>
      <c r="HTY1688" s="2477"/>
      <c r="HTZ1688" s="2477"/>
      <c r="HUA1688" s="2477"/>
      <c r="HUB1688" s="2477"/>
      <c r="HUC1688" s="2477"/>
      <c r="HUD1688" s="2477"/>
      <c r="HUE1688" s="2477"/>
      <c r="HUF1688" s="2477"/>
      <c r="HUG1688" s="2477"/>
      <c r="HUH1688" s="2477"/>
      <c r="HUI1688" s="2477"/>
      <c r="HUJ1688" s="2477"/>
      <c r="HUK1688" s="2477"/>
      <c r="HUL1688" s="2477"/>
      <c r="HUM1688" s="2477"/>
      <c r="HUN1688" s="2477"/>
      <c r="HUO1688" s="2477"/>
      <c r="HUP1688" s="2477"/>
      <c r="HUQ1688" s="2477"/>
      <c r="HUR1688" s="2477"/>
      <c r="HUS1688" s="2477"/>
      <c r="HUT1688" s="2477"/>
      <c r="HUU1688" s="2477"/>
      <c r="HUV1688" s="2477"/>
      <c r="HUW1688" s="2477"/>
      <c r="HUX1688" s="2477"/>
      <c r="HUY1688" s="2477"/>
      <c r="HUZ1688" s="2477"/>
      <c r="HVA1688" s="2477"/>
      <c r="HVB1688" s="2477"/>
      <c r="HVC1688" s="2477"/>
      <c r="HVD1688" s="2477"/>
      <c r="HVE1688" s="2477"/>
      <c r="HVF1688" s="2477"/>
      <c r="HVG1688" s="2477"/>
      <c r="HVH1688" s="2477"/>
      <c r="HVI1688" s="2477"/>
      <c r="HVJ1688" s="2477"/>
      <c r="HVK1688" s="2477"/>
      <c r="HVL1688" s="2477"/>
      <c r="HVM1688" s="2477"/>
      <c r="HVN1688" s="2477"/>
      <c r="HVO1688" s="2477"/>
      <c r="HVP1688" s="2477"/>
      <c r="HVQ1688" s="2477"/>
      <c r="HVR1688" s="2477"/>
      <c r="HVS1688" s="2477"/>
      <c r="HVT1688" s="2477"/>
      <c r="HVU1688" s="2477"/>
      <c r="HVV1688" s="2477"/>
      <c r="HVW1688" s="2477"/>
      <c r="HVX1688" s="2477"/>
      <c r="HVY1688" s="2477"/>
      <c r="HVZ1688" s="2477"/>
      <c r="HWA1688" s="2477"/>
      <c r="HWB1688" s="2477"/>
      <c r="HWC1688" s="2477"/>
      <c r="HWD1688" s="2477"/>
      <c r="HWE1688" s="2477"/>
      <c r="HWF1688" s="2477"/>
      <c r="HWG1688" s="2477"/>
      <c r="HWH1688" s="2477"/>
      <c r="HWI1688" s="2477"/>
      <c r="HWJ1688" s="2477"/>
      <c r="HWK1688" s="2477"/>
      <c r="HWL1688" s="2477"/>
      <c r="HWM1688" s="2477"/>
      <c r="HWN1688" s="2477"/>
      <c r="HWO1688" s="2477"/>
      <c r="HWP1688" s="2477"/>
      <c r="HWQ1688" s="2477"/>
      <c r="HWR1688" s="2477"/>
      <c r="HWS1688" s="2477"/>
      <c r="HWT1688" s="2477"/>
      <c r="HWU1688" s="2477"/>
      <c r="HWV1688" s="2477"/>
      <c r="HWW1688" s="2477"/>
      <c r="HWX1688" s="2477"/>
      <c r="HWY1688" s="2477"/>
      <c r="HWZ1688" s="2477"/>
      <c r="HXA1688" s="2477"/>
      <c r="HXB1688" s="2477"/>
      <c r="HXC1688" s="2477"/>
      <c r="HXD1688" s="2477"/>
      <c r="HXE1688" s="2477"/>
      <c r="HXF1688" s="2477"/>
      <c r="HXG1688" s="2477"/>
      <c r="HXH1688" s="2477"/>
      <c r="HXI1688" s="2477"/>
      <c r="HXJ1688" s="2477"/>
      <c r="HXK1688" s="2477"/>
      <c r="HXL1688" s="2477"/>
      <c r="HXM1688" s="2477"/>
      <c r="HXN1688" s="2477"/>
      <c r="HXO1688" s="2477"/>
      <c r="HXP1688" s="2477"/>
      <c r="HXQ1688" s="2477"/>
      <c r="HXR1688" s="2477"/>
      <c r="HXS1688" s="2477"/>
      <c r="HXT1688" s="2477"/>
      <c r="HXU1688" s="2477"/>
      <c r="HXV1688" s="2477"/>
      <c r="HXW1688" s="2477"/>
      <c r="HXX1688" s="2477"/>
      <c r="HXY1688" s="2477"/>
      <c r="HXZ1688" s="2477"/>
      <c r="HYA1688" s="2477"/>
      <c r="HYB1688" s="2477"/>
      <c r="HYC1688" s="2477"/>
      <c r="HYD1688" s="2477"/>
      <c r="HYE1688" s="2477"/>
      <c r="HYF1688" s="2477"/>
      <c r="HYG1688" s="2477"/>
      <c r="HYH1688" s="2477"/>
      <c r="HYI1688" s="2477"/>
      <c r="HYJ1688" s="2477"/>
      <c r="HYK1688" s="2477"/>
      <c r="HYL1688" s="2477"/>
      <c r="HYM1688" s="2477"/>
      <c r="HYN1688" s="2477"/>
      <c r="HYO1688" s="2477"/>
      <c r="HYP1688" s="2477"/>
      <c r="HYQ1688" s="2477"/>
      <c r="HYR1688" s="2477"/>
      <c r="HYS1688" s="2477"/>
      <c r="HYT1688" s="2477"/>
      <c r="HYU1688" s="2477"/>
      <c r="HYV1688" s="2477"/>
      <c r="HYW1688" s="2477"/>
      <c r="HYX1688" s="2477"/>
      <c r="HYY1688" s="2477"/>
      <c r="HYZ1688" s="2477"/>
      <c r="HZA1688" s="2477"/>
      <c r="HZB1688" s="2477"/>
      <c r="HZC1688" s="2477"/>
      <c r="HZD1688" s="2477"/>
      <c r="HZE1688" s="2477"/>
      <c r="HZF1688" s="2477"/>
      <c r="HZG1688" s="2477"/>
      <c r="HZH1688" s="2477"/>
      <c r="HZI1688" s="2477"/>
      <c r="HZJ1688" s="2477"/>
      <c r="HZK1688" s="2477"/>
      <c r="HZL1688" s="2477"/>
      <c r="HZM1688" s="2477"/>
      <c r="HZN1688" s="2477"/>
      <c r="HZO1688" s="2477"/>
      <c r="HZP1688" s="2477"/>
      <c r="HZQ1688" s="2477"/>
      <c r="HZR1688" s="2477"/>
      <c r="HZS1688" s="2477"/>
      <c r="HZT1688" s="2477"/>
      <c r="HZU1688" s="2477"/>
      <c r="HZV1688" s="2477"/>
      <c r="HZW1688" s="2477"/>
      <c r="HZX1688" s="2477"/>
      <c r="HZY1688" s="2477"/>
      <c r="HZZ1688" s="2477"/>
      <c r="IAA1688" s="2477"/>
      <c r="IAB1688" s="2477"/>
      <c r="IAC1688" s="2477"/>
      <c r="IAD1688" s="2477"/>
      <c r="IAE1688" s="2477"/>
      <c r="IAF1688" s="2477"/>
      <c r="IAG1688" s="2477"/>
      <c r="IAH1688" s="2477"/>
      <c r="IAI1688" s="2477"/>
      <c r="IAJ1688" s="2477"/>
      <c r="IAK1688" s="2477"/>
      <c r="IAL1688" s="2477"/>
      <c r="IAM1688" s="2477"/>
      <c r="IAN1688" s="2477"/>
      <c r="IAO1688" s="2477"/>
      <c r="IAP1688" s="2477"/>
      <c r="IAQ1688" s="2477"/>
      <c r="IAR1688" s="2477"/>
      <c r="IAS1688" s="2477"/>
      <c r="IAT1688" s="2477"/>
      <c r="IAU1688" s="2477"/>
      <c r="IAV1688" s="2477"/>
      <c r="IAW1688" s="2477"/>
      <c r="IAX1688" s="2477"/>
      <c r="IAY1688" s="2477"/>
      <c r="IAZ1688" s="2477"/>
      <c r="IBA1688" s="2477"/>
      <c r="IBB1688" s="2477"/>
      <c r="IBC1688" s="2477"/>
      <c r="IBD1688" s="2477"/>
      <c r="IBE1688" s="2477"/>
      <c r="IBF1688" s="2477"/>
      <c r="IBG1688" s="2477"/>
      <c r="IBH1688" s="2477"/>
      <c r="IBI1688" s="2477"/>
      <c r="IBJ1688" s="2477"/>
      <c r="IBK1688" s="2477"/>
      <c r="IBL1688" s="2477"/>
      <c r="IBM1688" s="2477"/>
      <c r="IBN1688" s="2477"/>
      <c r="IBO1688" s="2477"/>
      <c r="IBP1688" s="2477"/>
      <c r="IBQ1688" s="2477"/>
      <c r="IBR1688" s="2477"/>
      <c r="IBS1688" s="2477"/>
      <c r="IBT1688" s="2477"/>
      <c r="IBU1688" s="2477"/>
      <c r="IBV1688" s="2477"/>
      <c r="IBW1688" s="2477"/>
      <c r="IBX1688" s="2477"/>
      <c r="IBY1688" s="2477"/>
      <c r="IBZ1688" s="2477"/>
      <c r="ICA1688" s="2477"/>
      <c r="ICB1688" s="2477"/>
      <c r="ICC1688" s="2477"/>
      <c r="ICD1688" s="2477"/>
      <c r="ICE1688" s="2477"/>
      <c r="ICF1688" s="2477"/>
      <c r="ICG1688" s="2477"/>
      <c r="ICH1688" s="2477"/>
      <c r="ICI1688" s="2477"/>
      <c r="ICJ1688" s="2477"/>
      <c r="ICK1688" s="2477"/>
      <c r="ICL1688" s="2477"/>
      <c r="ICM1688" s="2477"/>
      <c r="ICN1688" s="2477"/>
      <c r="ICO1688" s="2477"/>
      <c r="ICP1688" s="2477"/>
      <c r="ICQ1688" s="2477"/>
      <c r="ICR1688" s="2477"/>
      <c r="ICS1688" s="2477"/>
      <c r="ICT1688" s="2477"/>
      <c r="ICU1688" s="2477"/>
      <c r="ICV1688" s="2477"/>
      <c r="ICW1688" s="2477"/>
      <c r="ICX1688" s="2477"/>
      <c r="ICY1688" s="2477"/>
      <c r="ICZ1688" s="2477"/>
      <c r="IDA1688" s="2477"/>
      <c r="IDB1688" s="2477"/>
      <c r="IDC1688" s="2477"/>
      <c r="IDD1688" s="2477"/>
      <c r="IDE1688" s="2477"/>
      <c r="IDF1688" s="2477"/>
      <c r="IDG1688" s="2477"/>
      <c r="IDH1688" s="2477"/>
      <c r="IDI1688" s="2477"/>
      <c r="IDJ1688" s="2477"/>
      <c r="IDK1688" s="2477"/>
      <c r="IDL1688" s="2477"/>
      <c r="IDM1688" s="2477"/>
      <c r="IDN1688" s="2477"/>
      <c r="IDO1688" s="2477"/>
      <c r="IDP1688" s="2477"/>
      <c r="IDQ1688" s="2477"/>
      <c r="IDR1688" s="2477"/>
      <c r="IDS1688" s="2477"/>
      <c r="IDT1688" s="2477"/>
      <c r="IDU1688" s="2477"/>
      <c r="IDV1688" s="2477"/>
      <c r="IDW1688" s="2477"/>
      <c r="IDX1688" s="2477"/>
      <c r="IDY1688" s="2477"/>
      <c r="IDZ1688" s="2477"/>
      <c r="IEA1688" s="2477"/>
      <c r="IEB1688" s="2477"/>
      <c r="IEC1688" s="2477"/>
      <c r="IED1688" s="2477"/>
      <c r="IEE1688" s="2477"/>
      <c r="IEF1688" s="2477"/>
      <c r="IEG1688" s="2477"/>
      <c r="IEH1688" s="2477"/>
      <c r="IEI1688" s="2477"/>
      <c r="IEJ1688" s="2477"/>
      <c r="IEK1688" s="2477"/>
      <c r="IEL1688" s="2477"/>
      <c r="IEM1688" s="2477"/>
      <c r="IEN1688" s="2477"/>
      <c r="IEO1688" s="2477"/>
      <c r="IEP1688" s="2477"/>
      <c r="IEQ1688" s="2477"/>
      <c r="IER1688" s="2477"/>
      <c r="IES1688" s="2477"/>
      <c r="IET1688" s="2477"/>
      <c r="IEU1688" s="2477"/>
      <c r="IEV1688" s="2477"/>
      <c r="IEW1688" s="2477"/>
      <c r="IEX1688" s="2477"/>
      <c r="IEY1688" s="2477"/>
      <c r="IEZ1688" s="2477"/>
      <c r="IFA1688" s="2477"/>
      <c r="IFB1688" s="2477"/>
      <c r="IFC1688" s="2477"/>
      <c r="IFD1688" s="2477"/>
      <c r="IFE1688" s="2477"/>
      <c r="IFF1688" s="2477"/>
      <c r="IFG1688" s="2477"/>
      <c r="IFH1688" s="2477"/>
      <c r="IFI1688" s="2477"/>
      <c r="IFJ1688" s="2477"/>
      <c r="IFK1688" s="2477"/>
      <c r="IFL1688" s="2477"/>
      <c r="IFM1688" s="2477"/>
      <c r="IFN1688" s="2477"/>
      <c r="IFO1688" s="2477"/>
      <c r="IFP1688" s="2477"/>
      <c r="IFQ1688" s="2477"/>
      <c r="IFR1688" s="2477"/>
      <c r="IFS1688" s="2477"/>
      <c r="IFT1688" s="2477"/>
      <c r="IFU1688" s="2477"/>
      <c r="IFV1688" s="2477"/>
      <c r="IFW1688" s="2477"/>
      <c r="IFX1688" s="2477"/>
      <c r="IFY1688" s="2477"/>
      <c r="IFZ1688" s="2477"/>
      <c r="IGA1688" s="2477"/>
      <c r="IGB1688" s="2477"/>
      <c r="IGC1688" s="2477"/>
      <c r="IGD1688" s="2477"/>
      <c r="IGE1688" s="2477"/>
      <c r="IGF1688" s="2477"/>
      <c r="IGG1688" s="2477"/>
      <c r="IGH1688" s="2477"/>
      <c r="IGI1688" s="2477"/>
      <c r="IGJ1688" s="2477"/>
      <c r="IGK1688" s="2477"/>
      <c r="IGL1688" s="2477"/>
      <c r="IGM1688" s="2477"/>
      <c r="IGN1688" s="2477"/>
      <c r="IGO1688" s="2477"/>
      <c r="IGP1688" s="2477"/>
      <c r="IGQ1688" s="2477"/>
      <c r="IGR1688" s="2477"/>
      <c r="IGS1688" s="2477"/>
      <c r="IGT1688" s="2477"/>
      <c r="IGU1688" s="2477"/>
      <c r="IGV1688" s="2477"/>
      <c r="IGW1688" s="2477"/>
      <c r="IGX1688" s="2477"/>
      <c r="IGY1688" s="2477"/>
      <c r="IGZ1688" s="2477"/>
      <c r="IHA1688" s="2477"/>
      <c r="IHB1688" s="2477"/>
      <c r="IHC1688" s="2477"/>
      <c r="IHD1688" s="2477"/>
      <c r="IHE1688" s="2477"/>
      <c r="IHF1688" s="2477"/>
      <c r="IHG1688" s="2477"/>
      <c r="IHH1688" s="2477"/>
      <c r="IHI1688" s="2477"/>
      <c r="IHJ1688" s="2477"/>
      <c r="IHK1688" s="2477"/>
      <c r="IHL1688" s="2477"/>
      <c r="IHM1688" s="2477"/>
      <c r="IHN1688" s="2477"/>
      <c r="IHO1688" s="2477"/>
      <c r="IHP1688" s="2477"/>
      <c r="IHQ1688" s="2477"/>
      <c r="IHR1688" s="2477"/>
      <c r="IHS1688" s="2477"/>
      <c r="IHT1688" s="2477"/>
      <c r="IHU1688" s="2477"/>
      <c r="IHV1688" s="2477"/>
      <c r="IHW1688" s="2477"/>
      <c r="IHX1688" s="2477"/>
      <c r="IHY1688" s="2477"/>
      <c r="IHZ1688" s="2477"/>
      <c r="IIA1688" s="2477"/>
      <c r="IIB1688" s="2477"/>
      <c r="IIC1688" s="2477"/>
      <c r="IID1688" s="2477"/>
      <c r="IIE1688" s="2477"/>
      <c r="IIF1688" s="2477"/>
      <c r="IIG1688" s="2477"/>
      <c r="IIH1688" s="2477"/>
      <c r="III1688" s="2477"/>
      <c r="IIJ1688" s="2477"/>
      <c r="IIK1688" s="2477"/>
      <c r="IIL1688" s="2477"/>
      <c r="IIM1688" s="2477"/>
      <c r="IIN1688" s="2477"/>
      <c r="IIO1688" s="2477"/>
      <c r="IIP1688" s="2477"/>
      <c r="IIQ1688" s="2477"/>
      <c r="IIR1688" s="2477"/>
      <c r="IIS1688" s="2477"/>
      <c r="IIT1688" s="2477"/>
      <c r="IIU1688" s="2477"/>
      <c r="IIV1688" s="2477"/>
      <c r="IIW1688" s="2477"/>
      <c r="IIX1688" s="2477"/>
      <c r="IIY1688" s="2477"/>
      <c r="IIZ1688" s="2477"/>
      <c r="IJA1688" s="2477"/>
      <c r="IJB1688" s="2477"/>
      <c r="IJC1688" s="2477"/>
      <c r="IJD1688" s="2477"/>
      <c r="IJE1688" s="2477"/>
      <c r="IJF1688" s="2477"/>
      <c r="IJG1688" s="2477"/>
      <c r="IJH1688" s="2477"/>
      <c r="IJI1688" s="2477"/>
      <c r="IJJ1688" s="2477"/>
      <c r="IJK1688" s="2477"/>
      <c r="IJL1688" s="2477"/>
      <c r="IJM1688" s="2477"/>
      <c r="IJN1688" s="2477"/>
      <c r="IJO1688" s="2477"/>
      <c r="IJP1688" s="2477"/>
      <c r="IJQ1688" s="2477"/>
      <c r="IJR1688" s="2477"/>
      <c r="IJS1688" s="2477"/>
      <c r="IJT1688" s="2477"/>
      <c r="IJU1688" s="2477"/>
      <c r="IJV1688" s="2477"/>
      <c r="IJW1688" s="2477"/>
      <c r="IJX1688" s="2477"/>
      <c r="IJY1688" s="2477"/>
      <c r="IJZ1688" s="2477"/>
      <c r="IKA1688" s="2477"/>
      <c r="IKB1688" s="2477"/>
      <c r="IKC1688" s="2477"/>
      <c r="IKD1688" s="2477"/>
      <c r="IKE1688" s="2477"/>
      <c r="IKF1688" s="2477"/>
      <c r="IKG1688" s="2477"/>
      <c r="IKH1688" s="2477"/>
      <c r="IKI1688" s="2477"/>
      <c r="IKJ1688" s="2477"/>
      <c r="IKK1688" s="2477"/>
      <c r="IKL1688" s="2477"/>
      <c r="IKM1688" s="2477"/>
      <c r="IKN1688" s="2477"/>
      <c r="IKO1688" s="2477"/>
      <c r="IKP1688" s="2477"/>
      <c r="IKQ1688" s="2477"/>
      <c r="IKR1688" s="2477"/>
      <c r="IKS1688" s="2477"/>
      <c r="IKT1688" s="2477"/>
      <c r="IKU1688" s="2477"/>
      <c r="IKV1688" s="2477"/>
      <c r="IKW1688" s="2477"/>
      <c r="IKX1688" s="2477"/>
      <c r="IKY1688" s="2477"/>
      <c r="IKZ1688" s="2477"/>
      <c r="ILA1688" s="2477"/>
      <c r="ILB1688" s="2477"/>
      <c r="ILC1688" s="2477"/>
      <c r="ILD1688" s="2477"/>
      <c r="ILE1688" s="2477"/>
      <c r="ILF1688" s="2477"/>
      <c r="ILG1688" s="2477"/>
      <c r="ILH1688" s="2477"/>
      <c r="ILI1688" s="2477"/>
      <c r="ILJ1688" s="2477"/>
      <c r="ILK1688" s="2477"/>
      <c r="ILL1688" s="2477"/>
      <c r="ILM1688" s="2477"/>
      <c r="ILN1688" s="2477"/>
      <c r="ILO1688" s="2477"/>
      <c r="ILP1688" s="2477"/>
      <c r="ILQ1688" s="2477"/>
      <c r="ILR1688" s="2477"/>
      <c r="ILS1688" s="2477"/>
      <c r="ILT1688" s="2477"/>
      <c r="ILU1688" s="2477"/>
      <c r="ILV1688" s="2477"/>
      <c r="ILW1688" s="2477"/>
      <c r="ILX1688" s="2477"/>
      <c r="ILY1688" s="2477"/>
      <c r="ILZ1688" s="2477"/>
      <c r="IMA1688" s="2477"/>
      <c r="IMB1688" s="2477"/>
      <c r="IMC1688" s="2477"/>
      <c r="IMD1688" s="2477"/>
      <c r="IME1688" s="2477"/>
      <c r="IMF1688" s="2477"/>
      <c r="IMG1688" s="2477"/>
      <c r="IMH1688" s="2477"/>
      <c r="IMI1688" s="2477"/>
      <c r="IMJ1688" s="2477"/>
      <c r="IMK1688" s="2477"/>
      <c r="IML1688" s="2477"/>
      <c r="IMM1688" s="2477"/>
      <c r="IMN1688" s="2477"/>
      <c r="IMO1688" s="2477"/>
      <c r="IMP1688" s="2477"/>
      <c r="IMQ1688" s="2477"/>
      <c r="IMR1688" s="2477"/>
      <c r="IMS1688" s="2477"/>
      <c r="IMT1688" s="2477"/>
      <c r="IMU1688" s="2477"/>
      <c r="IMV1688" s="2477"/>
      <c r="IMW1688" s="2477"/>
      <c r="IMX1688" s="2477"/>
      <c r="IMY1688" s="2477"/>
      <c r="IMZ1688" s="2477"/>
      <c r="INA1688" s="2477"/>
      <c r="INB1688" s="2477"/>
      <c r="INC1688" s="2477"/>
      <c r="IND1688" s="2477"/>
      <c r="INE1688" s="2477"/>
      <c r="INF1688" s="2477"/>
      <c r="ING1688" s="2477"/>
      <c r="INH1688" s="2477"/>
      <c r="INI1688" s="2477"/>
      <c r="INJ1688" s="2477"/>
      <c r="INK1688" s="2477"/>
      <c r="INL1688" s="2477"/>
      <c r="INM1688" s="2477"/>
      <c r="INN1688" s="2477"/>
      <c r="INO1688" s="2477"/>
      <c r="INP1688" s="2477"/>
      <c r="INQ1688" s="2477"/>
      <c r="INR1688" s="2477"/>
      <c r="INS1688" s="2477"/>
      <c r="INT1688" s="2477"/>
      <c r="INU1688" s="2477"/>
      <c r="INV1688" s="2477"/>
      <c r="INW1688" s="2477"/>
      <c r="INX1688" s="2477"/>
      <c r="INY1688" s="2477"/>
      <c r="INZ1688" s="2477"/>
      <c r="IOA1688" s="2477"/>
      <c r="IOB1688" s="2477"/>
      <c r="IOC1688" s="2477"/>
      <c r="IOD1688" s="2477"/>
      <c r="IOE1688" s="2477"/>
      <c r="IOF1688" s="2477"/>
      <c r="IOG1688" s="2477"/>
      <c r="IOH1688" s="2477"/>
      <c r="IOI1688" s="2477"/>
      <c r="IOJ1688" s="2477"/>
      <c r="IOK1688" s="2477"/>
      <c r="IOL1688" s="2477"/>
      <c r="IOM1688" s="2477"/>
      <c r="ION1688" s="2477"/>
      <c r="IOO1688" s="2477"/>
      <c r="IOP1688" s="2477"/>
      <c r="IOQ1688" s="2477"/>
      <c r="IOR1688" s="2477"/>
      <c r="IOS1688" s="2477"/>
      <c r="IOT1688" s="2477"/>
      <c r="IOU1688" s="2477"/>
      <c r="IOV1688" s="2477"/>
      <c r="IOW1688" s="2477"/>
      <c r="IOX1688" s="2477"/>
      <c r="IOY1688" s="2477"/>
      <c r="IOZ1688" s="2477"/>
      <c r="IPA1688" s="2477"/>
      <c r="IPB1688" s="2477"/>
      <c r="IPC1688" s="2477"/>
      <c r="IPD1688" s="2477"/>
      <c r="IPE1688" s="2477"/>
      <c r="IPF1688" s="2477"/>
      <c r="IPG1688" s="2477"/>
      <c r="IPH1688" s="2477"/>
      <c r="IPI1688" s="2477"/>
      <c r="IPJ1688" s="2477"/>
      <c r="IPK1688" s="2477"/>
      <c r="IPL1688" s="2477"/>
      <c r="IPM1688" s="2477"/>
      <c r="IPN1688" s="2477"/>
      <c r="IPO1688" s="2477"/>
      <c r="IPP1688" s="2477"/>
      <c r="IPQ1688" s="2477"/>
      <c r="IPR1688" s="2477"/>
      <c r="IPS1688" s="2477"/>
      <c r="IPT1688" s="2477"/>
      <c r="IPU1688" s="2477"/>
      <c r="IPV1688" s="2477"/>
      <c r="IPW1688" s="2477"/>
      <c r="IPX1688" s="2477"/>
      <c r="IPY1688" s="2477"/>
      <c r="IPZ1688" s="2477"/>
      <c r="IQA1688" s="2477"/>
      <c r="IQB1688" s="2477"/>
      <c r="IQC1688" s="2477"/>
      <c r="IQD1688" s="2477"/>
      <c r="IQE1688" s="2477"/>
      <c r="IQF1688" s="2477"/>
      <c r="IQG1688" s="2477"/>
      <c r="IQH1688" s="2477"/>
      <c r="IQI1688" s="2477"/>
      <c r="IQJ1688" s="2477"/>
      <c r="IQK1688" s="2477"/>
      <c r="IQL1688" s="2477"/>
      <c r="IQM1688" s="2477"/>
      <c r="IQN1688" s="2477"/>
      <c r="IQO1688" s="2477"/>
      <c r="IQP1688" s="2477"/>
      <c r="IQQ1688" s="2477"/>
      <c r="IQR1688" s="2477"/>
      <c r="IQS1688" s="2477"/>
      <c r="IQT1688" s="2477"/>
      <c r="IQU1688" s="2477"/>
      <c r="IQV1688" s="2477"/>
      <c r="IQW1688" s="2477"/>
      <c r="IQX1688" s="2477"/>
      <c r="IQY1688" s="2477"/>
      <c r="IQZ1688" s="2477"/>
      <c r="IRA1688" s="2477"/>
      <c r="IRB1688" s="2477"/>
      <c r="IRC1688" s="2477"/>
      <c r="IRD1688" s="2477"/>
      <c r="IRE1688" s="2477"/>
      <c r="IRF1688" s="2477"/>
      <c r="IRG1688" s="2477"/>
      <c r="IRH1688" s="2477"/>
      <c r="IRI1688" s="2477"/>
      <c r="IRJ1688" s="2477"/>
      <c r="IRK1688" s="2477"/>
      <c r="IRL1688" s="2477"/>
      <c r="IRM1688" s="2477"/>
      <c r="IRN1688" s="2477"/>
      <c r="IRO1688" s="2477"/>
      <c r="IRP1688" s="2477"/>
      <c r="IRQ1688" s="2477"/>
      <c r="IRR1688" s="2477"/>
      <c r="IRS1688" s="2477"/>
      <c r="IRT1688" s="2477"/>
      <c r="IRU1688" s="2477"/>
      <c r="IRV1688" s="2477"/>
      <c r="IRW1688" s="2477"/>
      <c r="IRX1688" s="2477"/>
      <c r="IRY1688" s="2477"/>
      <c r="IRZ1688" s="2477"/>
      <c r="ISA1688" s="2477"/>
      <c r="ISB1688" s="2477"/>
      <c r="ISC1688" s="2477"/>
      <c r="ISD1688" s="2477"/>
      <c r="ISE1688" s="2477"/>
      <c r="ISF1688" s="2477"/>
      <c r="ISG1688" s="2477"/>
      <c r="ISH1688" s="2477"/>
      <c r="ISI1688" s="2477"/>
      <c r="ISJ1688" s="2477"/>
      <c r="ISK1688" s="2477"/>
      <c r="ISL1688" s="2477"/>
      <c r="ISM1688" s="2477"/>
      <c r="ISN1688" s="2477"/>
      <c r="ISO1688" s="2477"/>
      <c r="ISP1688" s="2477"/>
      <c r="ISQ1688" s="2477"/>
      <c r="ISR1688" s="2477"/>
      <c r="ISS1688" s="2477"/>
      <c r="IST1688" s="2477"/>
      <c r="ISU1688" s="2477"/>
      <c r="ISV1688" s="2477"/>
      <c r="ISW1688" s="2477"/>
      <c r="ISX1688" s="2477"/>
      <c r="ISY1688" s="2477"/>
      <c r="ISZ1688" s="2477"/>
      <c r="ITA1688" s="2477"/>
      <c r="ITB1688" s="2477"/>
      <c r="ITC1688" s="2477"/>
      <c r="ITD1688" s="2477"/>
      <c r="ITE1688" s="2477"/>
      <c r="ITF1688" s="2477"/>
      <c r="ITG1688" s="2477"/>
      <c r="ITH1688" s="2477"/>
      <c r="ITI1688" s="2477"/>
      <c r="ITJ1688" s="2477"/>
      <c r="ITK1688" s="2477"/>
      <c r="ITL1688" s="2477"/>
      <c r="ITM1688" s="2477"/>
      <c r="ITN1688" s="2477"/>
      <c r="ITO1688" s="2477"/>
      <c r="ITP1688" s="2477"/>
      <c r="ITQ1688" s="2477"/>
      <c r="ITR1688" s="2477"/>
      <c r="ITS1688" s="2477"/>
      <c r="ITT1688" s="2477"/>
      <c r="ITU1688" s="2477"/>
      <c r="ITV1688" s="2477"/>
      <c r="ITW1688" s="2477"/>
      <c r="ITX1688" s="2477"/>
      <c r="ITY1688" s="2477"/>
      <c r="ITZ1688" s="2477"/>
      <c r="IUA1688" s="2477"/>
      <c r="IUB1688" s="2477"/>
      <c r="IUC1688" s="2477"/>
      <c r="IUD1688" s="2477"/>
      <c r="IUE1688" s="2477"/>
      <c r="IUF1688" s="2477"/>
      <c r="IUG1688" s="2477"/>
      <c r="IUH1688" s="2477"/>
      <c r="IUI1688" s="2477"/>
      <c r="IUJ1688" s="2477"/>
      <c r="IUK1688" s="2477"/>
      <c r="IUL1688" s="2477"/>
      <c r="IUM1688" s="2477"/>
      <c r="IUN1688" s="2477"/>
      <c r="IUO1688" s="2477"/>
      <c r="IUP1688" s="2477"/>
      <c r="IUQ1688" s="2477"/>
      <c r="IUR1688" s="2477"/>
      <c r="IUS1688" s="2477"/>
      <c r="IUT1688" s="2477"/>
      <c r="IUU1688" s="2477"/>
      <c r="IUV1688" s="2477"/>
      <c r="IUW1688" s="2477"/>
      <c r="IUX1688" s="2477"/>
      <c r="IUY1688" s="2477"/>
      <c r="IUZ1688" s="2477"/>
      <c r="IVA1688" s="2477"/>
      <c r="IVB1688" s="2477"/>
      <c r="IVC1688" s="2477"/>
      <c r="IVD1688" s="2477"/>
      <c r="IVE1688" s="2477"/>
      <c r="IVF1688" s="2477"/>
      <c r="IVG1688" s="2477"/>
      <c r="IVH1688" s="2477"/>
      <c r="IVI1688" s="2477"/>
      <c r="IVJ1688" s="2477"/>
      <c r="IVK1688" s="2477"/>
      <c r="IVL1688" s="2477"/>
      <c r="IVM1688" s="2477"/>
      <c r="IVN1688" s="2477"/>
      <c r="IVO1688" s="2477"/>
      <c r="IVP1688" s="2477"/>
      <c r="IVQ1688" s="2477"/>
      <c r="IVR1688" s="2477"/>
      <c r="IVS1688" s="2477"/>
      <c r="IVT1688" s="2477"/>
      <c r="IVU1688" s="2477"/>
      <c r="IVV1688" s="2477"/>
      <c r="IVW1688" s="2477"/>
      <c r="IVX1688" s="2477"/>
      <c r="IVY1688" s="2477"/>
      <c r="IVZ1688" s="2477"/>
      <c r="IWA1688" s="2477"/>
      <c r="IWB1688" s="2477"/>
      <c r="IWC1688" s="2477"/>
      <c r="IWD1688" s="2477"/>
      <c r="IWE1688" s="2477"/>
      <c r="IWF1688" s="2477"/>
      <c r="IWG1688" s="2477"/>
      <c r="IWH1688" s="2477"/>
      <c r="IWI1688" s="2477"/>
      <c r="IWJ1688" s="2477"/>
      <c r="IWK1688" s="2477"/>
      <c r="IWL1688" s="2477"/>
      <c r="IWM1688" s="2477"/>
      <c r="IWN1688" s="2477"/>
      <c r="IWO1688" s="2477"/>
      <c r="IWP1688" s="2477"/>
      <c r="IWQ1688" s="2477"/>
      <c r="IWR1688" s="2477"/>
      <c r="IWS1688" s="2477"/>
      <c r="IWT1688" s="2477"/>
      <c r="IWU1688" s="2477"/>
      <c r="IWV1688" s="2477"/>
      <c r="IWW1688" s="2477"/>
      <c r="IWX1688" s="2477"/>
      <c r="IWY1688" s="2477"/>
      <c r="IWZ1688" s="2477"/>
      <c r="IXA1688" s="2477"/>
      <c r="IXB1688" s="2477"/>
      <c r="IXC1688" s="2477"/>
      <c r="IXD1688" s="2477"/>
      <c r="IXE1688" s="2477"/>
      <c r="IXF1688" s="2477"/>
      <c r="IXG1688" s="2477"/>
      <c r="IXH1688" s="2477"/>
      <c r="IXI1688" s="2477"/>
      <c r="IXJ1688" s="2477"/>
      <c r="IXK1688" s="2477"/>
      <c r="IXL1688" s="2477"/>
      <c r="IXM1688" s="2477"/>
      <c r="IXN1688" s="2477"/>
      <c r="IXO1688" s="2477"/>
      <c r="IXP1688" s="2477"/>
      <c r="IXQ1688" s="2477"/>
      <c r="IXR1688" s="2477"/>
      <c r="IXS1688" s="2477"/>
      <c r="IXT1688" s="2477"/>
      <c r="IXU1688" s="2477"/>
      <c r="IXV1688" s="2477"/>
      <c r="IXW1688" s="2477"/>
      <c r="IXX1688" s="2477"/>
      <c r="IXY1688" s="2477"/>
      <c r="IXZ1688" s="2477"/>
      <c r="IYA1688" s="2477"/>
      <c r="IYB1688" s="2477"/>
      <c r="IYC1688" s="2477"/>
      <c r="IYD1688" s="2477"/>
      <c r="IYE1688" s="2477"/>
      <c r="IYF1688" s="2477"/>
      <c r="IYG1688" s="2477"/>
      <c r="IYH1688" s="2477"/>
      <c r="IYI1688" s="2477"/>
      <c r="IYJ1688" s="2477"/>
      <c r="IYK1688" s="2477"/>
      <c r="IYL1688" s="2477"/>
      <c r="IYM1688" s="2477"/>
      <c r="IYN1688" s="2477"/>
      <c r="IYO1688" s="2477"/>
      <c r="IYP1688" s="2477"/>
      <c r="IYQ1688" s="2477"/>
      <c r="IYR1688" s="2477"/>
      <c r="IYS1688" s="2477"/>
      <c r="IYT1688" s="2477"/>
      <c r="IYU1688" s="2477"/>
      <c r="IYV1688" s="2477"/>
      <c r="IYW1688" s="2477"/>
      <c r="IYX1688" s="2477"/>
      <c r="IYY1688" s="2477"/>
      <c r="IYZ1688" s="2477"/>
      <c r="IZA1688" s="2477"/>
      <c r="IZB1688" s="2477"/>
      <c r="IZC1688" s="2477"/>
      <c r="IZD1688" s="2477"/>
      <c r="IZE1688" s="2477"/>
      <c r="IZF1688" s="2477"/>
      <c r="IZG1688" s="2477"/>
      <c r="IZH1688" s="2477"/>
      <c r="IZI1688" s="2477"/>
      <c r="IZJ1688" s="2477"/>
      <c r="IZK1688" s="2477"/>
      <c r="IZL1688" s="2477"/>
      <c r="IZM1688" s="2477"/>
      <c r="IZN1688" s="2477"/>
      <c r="IZO1688" s="2477"/>
      <c r="IZP1688" s="2477"/>
      <c r="IZQ1688" s="2477"/>
      <c r="IZR1688" s="2477"/>
      <c r="IZS1688" s="2477"/>
      <c r="IZT1688" s="2477"/>
      <c r="IZU1688" s="2477"/>
      <c r="IZV1688" s="2477"/>
      <c r="IZW1688" s="2477"/>
      <c r="IZX1688" s="2477"/>
      <c r="IZY1688" s="2477"/>
      <c r="IZZ1688" s="2477"/>
      <c r="JAA1688" s="2477"/>
      <c r="JAB1688" s="2477"/>
      <c r="JAC1688" s="2477"/>
      <c r="JAD1688" s="2477"/>
      <c r="JAE1688" s="2477"/>
      <c r="JAF1688" s="2477"/>
      <c r="JAG1688" s="2477"/>
      <c r="JAH1688" s="2477"/>
      <c r="JAI1688" s="2477"/>
      <c r="JAJ1688" s="2477"/>
      <c r="JAK1688" s="2477"/>
      <c r="JAL1688" s="2477"/>
      <c r="JAM1688" s="2477"/>
      <c r="JAN1688" s="2477"/>
      <c r="JAO1688" s="2477"/>
      <c r="JAP1688" s="2477"/>
      <c r="JAQ1688" s="2477"/>
      <c r="JAR1688" s="2477"/>
      <c r="JAS1688" s="2477"/>
      <c r="JAT1688" s="2477"/>
      <c r="JAU1688" s="2477"/>
      <c r="JAV1688" s="2477"/>
      <c r="JAW1688" s="2477"/>
      <c r="JAX1688" s="2477"/>
      <c r="JAY1688" s="2477"/>
      <c r="JAZ1688" s="2477"/>
      <c r="JBA1688" s="2477"/>
      <c r="JBB1688" s="2477"/>
      <c r="JBC1688" s="2477"/>
      <c r="JBD1688" s="2477"/>
      <c r="JBE1688" s="2477"/>
      <c r="JBF1688" s="2477"/>
      <c r="JBG1688" s="2477"/>
      <c r="JBH1688" s="2477"/>
      <c r="JBI1688" s="2477"/>
      <c r="JBJ1688" s="2477"/>
      <c r="JBK1688" s="2477"/>
      <c r="JBL1688" s="2477"/>
      <c r="JBM1688" s="2477"/>
      <c r="JBN1688" s="2477"/>
      <c r="JBO1688" s="2477"/>
      <c r="JBP1688" s="2477"/>
      <c r="JBQ1688" s="2477"/>
      <c r="JBR1688" s="2477"/>
      <c r="JBS1688" s="2477"/>
      <c r="JBT1688" s="2477"/>
      <c r="JBU1688" s="2477"/>
      <c r="JBV1688" s="2477"/>
      <c r="JBW1688" s="2477"/>
      <c r="JBX1688" s="2477"/>
      <c r="JBY1688" s="2477"/>
      <c r="JBZ1688" s="2477"/>
      <c r="JCA1688" s="2477"/>
      <c r="JCB1688" s="2477"/>
      <c r="JCC1688" s="2477"/>
      <c r="JCD1688" s="2477"/>
      <c r="JCE1688" s="2477"/>
      <c r="JCF1688" s="2477"/>
      <c r="JCG1688" s="2477"/>
      <c r="JCH1688" s="2477"/>
      <c r="JCI1688" s="2477"/>
      <c r="JCJ1688" s="2477"/>
      <c r="JCK1688" s="2477"/>
      <c r="JCL1688" s="2477"/>
      <c r="JCM1688" s="2477"/>
      <c r="JCN1688" s="2477"/>
      <c r="JCO1688" s="2477"/>
      <c r="JCP1688" s="2477"/>
      <c r="JCQ1688" s="2477"/>
      <c r="JCR1688" s="2477"/>
      <c r="JCS1688" s="2477"/>
      <c r="JCT1688" s="2477"/>
      <c r="JCU1688" s="2477"/>
      <c r="JCV1688" s="2477"/>
      <c r="JCW1688" s="2477"/>
      <c r="JCX1688" s="2477"/>
      <c r="JCY1688" s="2477"/>
      <c r="JCZ1688" s="2477"/>
      <c r="JDA1688" s="2477"/>
      <c r="JDB1688" s="2477"/>
      <c r="JDC1688" s="2477"/>
      <c r="JDD1688" s="2477"/>
      <c r="JDE1688" s="2477"/>
      <c r="JDF1688" s="2477"/>
      <c r="JDG1688" s="2477"/>
      <c r="JDH1688" s="2477"/>
      <c r="JDI1688" s="2477"/>
      <c r="JDJ1688" s="2477"/>
      <c r="JDK1688" s="2477"/>
      <c r="JDL1688" s="2477"/>
      <c r="JDM1688" s="2477"/>
      <c r="JDN1688" s="2477"/>
      <c r="JDO1688" s="2477"/>
      <c r="JDP1688" s="2477"/>
      <c r="JDQ1688" s="2477"/>
      <c r="JDR1688" s="2477"/>
      <c r="JDS1688" s="2477"/>
      <c r="JDT1688" s="2477"/>
      <c r="JDU1688" s="2477"/>
      <c r="JDV1688" s="2477"/>
      <c r="JDW1688" s="2477"/>
      <c r="JDX1688" s="2477"/>
      <c r="JDY1688" s="2477"/>
      <c r="JDZ1688" s="2477"/>
      <c r="JEA1688" s="2477"/>
      <c r="JEB1688" s="2477"/>
      <c r="JEC1688" s="2477"/>
      <c r="JED1688" s="2477"/>
      <c r="JEE1688" s="2477"/>
      <c r="JEF1688" s="2477"/>
      <c r="JEG1688" s="2477"/>
      <c r="JEH1688" s="2477"/>
      <c r="JEI1688" s="2477"/>
      <c r="JEJ1688" s="2477"/>
      <c r="JEK1688" s="2477"/>
      <c r="JEL1688" s="2477"/>
      <c r="JEM1688" s="2477"/>
      <c r="JEN1688" s="2477"/>
      <c r="JEO1688" s="2477"/>
      <c r="JEP1688" s="2477"/>
      <c r="JEQ1688" s="2477"/>
      <c r="JER1688" s="2477"/>
      <c r="JES1688" s="2477"/>
      <c r="JET1688" s="2477"/>
      <c r="JEU1688" s="2477"/>
      <c r="JEV1688" s="2477"/>
      <c r="JEW1688" s="2477"/>
      <c r="JEX1688" s="2477"/>
      <c r="JEY1688" s="2477"/>
      <c r="JEZ1688" s="2477"/>
      <c r="JFA1688" s="2477"/>
      <c r="JFB1688" s="2477"/>
      <c r="JFC1688" s="2477"/>
      <c r="JFD1688" s="2477"/>
      <c r="JFE1688" s="2477"/>
      <c r="JFF1688" s="2477"/>
      <c r="JFG1688" s="2477"/>
      <c r="JFH1688" s="2477"/>
      <c r="JFI1688" s="2477"/>
      <c r="JFJ1688" s="2477"/>
      <c r="JFK1688" s="2477"/>
      <c r="JFL1688" s="2477"/>
      <c r="JFM1688" s="2477"/>
      <c r="JFN1688" s="2477"/>
      <c r="JFO1688" s="2477"/>
      <c r="JFP1688" s="2477"/>
      <c r="JFQ1688" s="2477"/>
      <c r="JFR1688" s="2477"/>
      <c r="JFS1688" s="2477"/>
      <c r="JFT1688" s="2477"/>
      <c r="JFU1688" s="2477"/>
      <c r="JFV1688" s="2477"/>
      <c r="JFW1688" s="2477"/>
      <c r="JFX1688" s="2477"/>
      <c r="JFY1688" s="2477"/>
      <c r="JFZ1688" s="2477"/>
      <c r="JGA1688" s="2477"/>
      <c r="JGB1688" s="2477"/>
      <c r="JGC1688" s="2477"/>
      <c r="JGD1688" s="2477"/>
      <c r="JGE1688" s="2477"/>
      <c r="JGF1688" s="2477"/>
      <c r="JGG1688" s="2477"/>
      <c r="JGH1688" s="2477"/>
      <c r="JGI1688" s="2477"/>
      <c r="JGJ1688" s="2477"/>
      <c r="JGK1688" s="2477"/>
      <c r="JGL1688" s="2477"/>
      <c r="JGM1688" s="2477"/>
      <c r="JGN1688" s="2477"/>
      <c r="JGO1688" s="2477"/>
      <c r="JGP1688" s="2477"/>
      <c r="JGQ1688" s="2477"/>
      <c r="JGR1688" s="2477"/>
      <c r="JGS1688" s="2477"/>
      <c r="JGT1688" s="2477"/>
      <c r="JGU1688" s="2477"/>
      <c r="JGV1688" s="2477"/>
      <c r="JGW1688" s="2477"/>
      <c r="JGX1688" s="2477"/>
      <c r="JGY1688" s="2477"/>
      <c r="JGZ1688" s="2477"/>
      <c r="JHA1688" s="2477"/>
      <c r="JHB1688" s="2477"/>
      <c r="JHC1688" s="2477"/>
      <c r="JHD1688" s="2477"/>
      <c r="JHE1688" s="2477"/>
      <c r="JHF1688" s="2477"/>
      <c r="JHG1688" s="2477"/>
      <c r="JHH1688" s="2477"/>
      <c r="JHI1688" s="2477"/>
      <c r="JHJ1688" s="2477"/>
      <c r="JHK1688" s="2477"/>
      <c r="JHL1688" s="2477"/>
      <c r="JHM1688" s="2477"/>
      <c r="JHN1688" s="2477"/>
      <c r="JHO1688" s="2477"/>
      <c r="JHP1688" s="2477"/>
      <c r="JHQ1688" s="2477"/>
      <c r="JHR1688" s="2477"/>
      <c r="JHS1688" s="2477"/>
      <c r="JHT1688" s="2477"/>
      <c r="JHU1688" s="2477"/>
      <c r="JHV1688" s="2477"/>
      <c r="JHW1688" s="2477"/>
      <c r="JHX1688" s="2477"/>
      <c r="JHY1688" s="2477"/>
      <c r="JHZ1688" s="2477"/>
      <c r="JIA1688" s="2477"/>
      <c r="JIB1688" s="2477"/>
      <c r="JIC1688" s="2477"/>
      <c r="JID1688" s="2477"/>
      <c r="JIE1688" s="2477"/>
      <c r="JIF1688" s="2477"/>
      <c r="JIG1688" s="2477"/>
      <c r="JIH1688" s="2477"/>
      <c r="JII1688" s="2477"/>
      <c r="JIJ1688" s="2477"/>
      <c r="JIK1688" s="2477"/>
      <c r="JIL1688" s="2477"/>
      <c r="JIM1688" s="2477"/>
      <c r="JIN1688" s="2477"/>
      <c r="JIO1688" s="2477"/>
      <c r="JIP1688" s="2477"/>
      <c r="JIQ1688" s="2477"/>
      <c r="JIR1688" s="2477"/>
      <c r="JIS1688" s="2477"/>
      <c r="JIT1688" s="2477"/>
      <c r="JIU1688" s="2477"/>
      <c r="JIV1688" s="2477"/>
      <c r="JIW1688" s="2477"/>
      <c r="JIX1688" s="2477"/>
      <c r="JIY1688" s="2477"/>
      <c r="JIZ1688" s="2477"/>
      <c r="JJA1688" s="2477"/>
      <c r="JJB1688" s="2477"/>
      <c r="JJC1688" s="2477"/>
      <c r="JJD1688" s="2477"/>
      <c r="JJE1688" s="2477"/>
      <c r="JJF1688" s="2477"/>
      <c r="JJG1688" s="2477"/>
      <c r="JJH1688" s="2477"/>
      <c r="JJI1688" s="2477"/>
      <c r="JJJ1688" s="2477"/>
      <c r="JJK1688" s="2477"/>
      <c r="JJL1688" s="2477"/>
      <c r="JJM1688" s="2477"/>
      <c r="JJN1688" s="2477"/>
      <c r="JJO1688" s="2477"/>
      <c r="JJP1688" s="2477"/>
      <c r="JJQ1688" s="2477"/>
      <c r="JJR1688" s="2477"/>
      <c r="JJS1688" s="2477"/>
      <c r="JJT1688" s="2477"/>
      <c r="JJU1688" s="2477"/>
      <c r="JJV1688" s="2477"/>
      <c r="JJW1688" s="2477"/>
      <c r="JJX1688" s="2477"/>
      <c r="JJY1688" s="2477"/>
      <c r="JJZ1688" s="2477"/>
      <c r="JKA1688" s="2477"/>
      <c r="JKB1688" s="2477"/>
      <c r="JKC1688" s="2477"/>
      <c r="JKD1688" s="2477"/>
      <c r="JKE1688" s="2477"/>
      <c r="JKF1688" s="2477"/>
      <c r="JKG1688" s="2477"/>
      <c r="JKH1688" s="2477"/>
      <c r="JKI1688" s="2477"/>
      <c r="JKJ1688" s="2477"/>
      <c r="JKK1688" s="2477"/>
      <c r="JKL1688" s="2477"/>
      <c r="JKM1688" s="2477"/>
      <c r="JKN1688" s="2477"/>
      <c r="JKO1688" s="2477"/>
      <c r="JKP1688" s="2477"/>
      <c r="JKQ1688" s="2477"/>
      <c r="JKR1688" s="2477"/>
      <c r="JKS1688" s="2477"/>
      <c r="JKT1688" s="2477"/>
      <c r="JKU1688" s="2477"/>
      <c r="JKV1688" s="2477"/>
      <c r="JKW1688" s="2477"/>
      <c r="JKX1688" s="2477"/>
      <c r="JKY1688" s="2477"/>
      <c r="JKZ1688" s="2477"/>
      <c r="JLA1688" s="2477"/>
      <c r="JLB1688" s="2477"/>
      <c r="JLC1688" s="2477"/>
      <c r="JLD1688" s="2477"/>
      <c r="JLE1688" s="2477"/>
      <c r="JLF1688" s="2477"/>
      <c r="JLG1688" s="2477"/>
      <c r="JLH1688" s="2477"/>
      <c r="JLI1688" s="2477"/>
      <c r="JLJ1688" s="2477"/>
      <c r="JLK1688" s="2477"/>
      <c r="JLL1688" s="2477"/>
      <c r="JLM1688" s="2477"/>
      <c r="JLN1688" s="2477"/>
      <c r="JLO1688" s="2477"/>
      <c r="JLP1688" s="2477"/>
      <c r="JLQ1688" s="2477"/>
      <c r="JLR1688" s="2477"/>
      <c r="JLS1688" s="2477"/>
      <c r="JLT1688" s="2477"/>
      <c r="JLU1688" s="2477"/>
      <c r="JLV1688" s="2477"/>
      <c r="JLW1688" s="2477"/>
      <c r="JLX1688" s="2477"/>
      <c r="JLY1688" s="2477"/>
      <c r="JLZ1688" s="2477"/>
      <c r="JMA1688" s="2477"/>
      <c r="JMB1688" s="2477"/>
      <c r="JMC1688" s="2477"/>
      <c r="JMD1688" s="2477"/>
      <c r="JME1688" s="2477"/>
      <c r="JMF1688" s="2477"/>
      <c r="JMG1688" s="2477"/>
      <c r="JMH1688" s="2477"/>
      <c r="JMI1688" s="2477"/>
      <c r="JMJ1688" s="2477"/>
      <c r="JMK1688" s="2477"/>
      <c r="JML1688" s="2477"/>
      <c r="JMM1688" s="2477"/>
      <c r="JMN1688" s="2477"/>
      <c r="JMO1688" s="2477"/>
      <c r="JMP1688" s="2477"/>
      <c r="JMQ1688" s="2477"/>
      <c r="JMR1688" s="2477"/>
      <c r="JMS1688" s="2477"/>
      <c r="JMT1688" s="2477"/>
      <c r="JMU1688" s="2477"/>
      <c r="JMV1688" s="2477"/>
      <c r="JMW1688" s="2477"/>
      <c r="JMX1688" s="2477"/>
      <c r="JMY1688" s="2477"/>
      <c r="JMZ1688" s="2477"/>
      <c r="JNA1688" s="2477"/>
      <c r="JNB1688" s="2477"/>
      <c r="JNC1688" s="2477"/>
      <c r="JND1688" s="2477"/>
      <c r="JNE1688" s="2477"/>
      <c r="JNF1688" s="2477"/>
      <c r="JNG1688" s="2477"/>
      <c r="JNH1688" s="2477"/>
      <c r="JNI1688" s="2477"/>
      <c r="JNJ1688" s="2477"/>
      <c r="JNK1688" s="2477"/>
      <c r="JNL1688" s="2477"/>
      <c r="JNM1688" s="2477"/>
      <c r="JNN1688" s="2477"/>
      <c r="JNO1688" s="2477"/>
      <c r="JNP1688" s="2477"/>
      <c r="JNQ1688" s="2477"/>
      <c r="JNR1688" s="2477"/>
      <c r="JNS1688" s="2477"/>
      <c r="JNT1688" s="2477"/>
      <c r="JNU1688" s="2477"/>
      <c r="JNV1688" s="2477"/>
      <c r="JNW1688" s="2477"/>
      <c r="JNX1688" s="2477"/>
      <c r="JNY1688" s="2477"/>
      <c r="JNZ1688" s="2477"/>
      <c r="JOA1688" s="2477"/>
      <c r="JOB1688" s="2477"/>
      <c r="JOC1688" s="2477"/>
      <c r="JOD1688" s="2477"/>
      <c r="JOE1688" s="2477"/>
      <c r="JOF1688" s="2477"/>
      <c r="JOG1688" s="2477"/>
      <c r="JOH1688" s="2477"/>
      <c r="JOI1688" s="2477"/>
      <c r="JOJ1688" s="2477"/>
      <c r="JOK1688" s="2477"/>
      <c r="JOL1688" s="2477"/>
      <c r="JOM1688" s="2477"/>
      <c r="JON1688" s="2477"/>
      <c r="JOO1688" s="2477"/>
      <c r="JOP1688" s="2477"/>
      <c r="JOQ1688" s="2477"/>
      <c r="JOR1688" s="2477"/>
      <c r="JOS1688" s="2477"/>
      <c r="JOT1688" s="2477"/>
      <c r="JOU1688" s="2477"/>
      <c r="JOV1688" s="2477"/>
      <c r="JOW1688" s="2477"/>
      <c r="JOX1688" s="2477"/>
      <c r="JOY1688" s="2477"/>
      <c r="JOZ1688" s="2477"/>
      <c r="JPA1688" s="2477"/>
      <c r="JPB1688" s="2477"/>
      <c r="JPC1688" s="2477"/>
      <c r="JPD1688" s="2477"/>
      <c r="JPE1688" s="2477"/>
      <c r="JPF1688" s="2477"/>
      <c r="JPG1688" s="2477"/>
      <c r="JPH1688" s="2477"/>
      <c r="JPI1688" s="2477"/>
      <c r="JPJ1688" s="2477"/>
      <c r="JPK1688" s="2477"/>
      <c r="JPL1688" s="2477"/>
      <c r="JPM1688" s="2477"/>
      <c r="JPN1688" s="2477"/>
      <c r="JPO1688" s="2477"/>
      <c r="JPP1688" s="2477"/>
      <c r="JPQ1688" s="2477"/>
      <c r="JPR1688" s="2477"/>
      <c r="JPS1688" s="2477"/>
      <c r="JPT1688" s="2477"/>
      <c r="JPU1688" s="2477"/>
      <c r="JPV1688" s="2477"/>
      <c r="JPW1688" s="2477"/>
      <c r="JPX1688" s="2477"/>
      <c r="JPY1688" s="2477"/>
      <c r="JPZ1688" s="2477"/>
      <c r="JQA1688" s="2477"/>
      <c r="JQB1688" s="2477"/>
      <c r="JQC1688" s="2477"/>
      <c r="JQD1688" s="2477"/>
      <c r="JQE1688" s="2477"/>
      <c r="JQF1688" s="2477"/>
      <c r="JQG1688" s="2477"/>
      <c r="JQH1688" s="2477"/>
      <c r="JQI1688" s="2477"/>
      <c r="JQJ1688" s="2477"/>
      <c r="JQK1688" s="2477"/>
      <c r="JQL1688" s="2477"/>
      <c r="JQM1688" s="2477"/>
      <c r="JQN1688" s="2477"/>
      <c r="JQO1688" s="2477"/>
      <c r="JQP1688" s="2477"/>
      <c r="JQQ1688" s="2477"/>
      <c r="JQR1688" s="2477"/>
      <c r="JQS1688" s="2477"/>
      <c r="JQT1688" s="2477"/>
      <c r="JQU1688" s="2477"/>
      <c r="JQV1688" s="2477"/>
      <c r="JQW1688" s="2477"/>
      <c r="JQX1688" s="2477"/>
      <c r="JQY1688" s="2477"/>
      <c r="JQZ1688" s="2477"/>
      <c r="JRA1688" s="2477"/>
      <c r="JRB1688" s="2477"/>
      <c r="JRC1688" s="2477"/>
      <c r="JRD1688" s="2477"/>
      <c r="JRE1688" s="2477"/>
      <c r="JRF1688" s="2477"/>
      <c r="JRG1688" s="2477"/>
      <c r="JRH1688" s="2477"/>
      <c r="JRI1688" s="2477"/>
      <c r="JRJ1688" s="2477"/>
      <c r="JRK1688" s="2477"/>
      <c r="JRL1688" s="2477"/>
      <c r="JRM1688" s="2477"/>
      <c r="JRN1688" s="2477"/>
      <c r="JRO1688" s="2477"/>
      <c r="JRP1688" s="2477"/>
      <c r="JRQ1688" s="2477"/>
      <c r="JRR1688" s="2477"/>
      <c r="JRS1688" s="2477"/>
      <c r="JRT1688" s="2477"/>
      <c r="JRU1688" s="2477"/>
      <c r="JRV1688" s="2477"/>
      <c r="JRW1688" s="2477"/>
      <c r="JRX1688" s="2477"/>
      <c r="JRY1688" s="2477"/>
      <c r="JRZ1688" s="2477"/>
      <c r="JSA1688" s="2477"/>
      <c r="JSB1688" s="2477"/>
      <c r="JSC1688" s="2477"/>
      <c r="JSD1688" s="2477"/>
      <c r="JSE1688" s="2477"/>
      <c r="JSF1688" s="2477"/>
      <c r="JSG1688" s="2477"/>
      <c r="JSH1688" s="2477"/>
      <c r="JSI1688" s="2477"/>
      <c r="JSJ1688" s="2477"/>
      <c r="JSK1688" s="2477"/>
      <c r="JSL1688" s="2477"/>
      <c r="JSM1688" s="2477"/>
      <c r="JSN1688" s="2477"/>
      <c r="JSO1688" s="2477"/>
      <c r="JSP1688" s="2477"/>
      <c r="JSQ1688" s="2477"/>
      <c r="JSR1688" s="2477"/>
      <c r="JSS1688" s="2477"/>
      <c r="JST1688" s="2477"/>
      <c r="JSU1688" s="2477"/>
      <c r="JSV1688" s="2477"/>
      <c r="JSW1688" s="2477"/>
      <c r="JSX1688" s="2477"/>
      <c r="JSY1688" s="2477"/>
      <c r="JSZ1688" s="2477"/>
      <c r="JTA1688" s="2477"/>
      <c r="JTB1688" s="2477"/>
      <c r="JTC1688" s="2477"/>
      <c r="JTD1688" s="2477"/>
      <c r="JTE1688" s="2477"/>
      <c r="JTF1688" s="2477"/>
      <c r="JTG1688" s="2477"/>
      <c r="JTH1688" s="2477"/>
      <c r="JTI1688" s="2477"/>
      <c r="JTJ1688" s="2477"/>
      <c r="JTK1688" s="2477"/>
      <c r="JTL1688" s="2477"/>
      <c r="JTM1688" s="2477"/>
      <c r="JTN1688" s="2477"/>
      <c r="JTO1688" s="2477"/>
      <c r="JTP1688" s="2477"/>
      <c r="JTQ1688" s="2477"/>
      <c r="JTR1688" s="2477"/>
      <c r="JTS1688" s="2477"/>
      <c r="JTT1688" s="2477"/>
      <c r="JTU1688" s="2477"/>
      <c r="JTV1688" s="2477"/>
      <c r="JTW1688" s="2477"/>
      <c r="JTX1688" s="2477"/>
      <c r="JTY1688" s="2477"/>
      <c r="JTZ1688" s="2477"/>
      <c r="JUA1688" s="2477"/>
      <c r="JUB1688" s="2477"/>
      <c r="JUC1688" s="2477"/>
      <c r="JUD1688" s="2477"/>
      <c r="JUE1688" s="2477"/>
      <c r="JUF1688" s="2477"/>
      <c r="JUG1688" s="2477"/>
      <c r="JUH1688" s="2477"/>
      <c r="JUI1688" s="2477"/>
      <c r="JUJ1688" s="2477"/>
      <c r="JUK1688" s="2477"/>
      <c r="JUL1688" s="2477"/>
      <c r="JUM1688" s="2477"/>
      <c r="JUN1688" s="2477"/>
      <c r="JUO1688" s="2477"/>
      <c r="JUP1688" s="2477"/>
      <c r="JUQ1688" s="2477"/>
      <c r="JUR1688" s="2477"/>
      <c r="JUS1688" s="2477"/>
      <c r="JUT1688" s="2477"/>
      <c r="JUU1688" s="2477"/>
      <c r="JUV1688" s="2477"/>
      <c r="JUW1688" s="2477"/>
      <c r="JUX1688" s="2477"/>
      <c r="JUY1688" s="2477"/>
      <c r="JUZ1688" s="2477"/>
      <c r="JVA1688" s="2477"/>
      <c r="JVB1688" s="2477"/>
      <c r="JVC1688" s="2477"/>
      <c r="JVD1688" s="2477"/>
      <c r="JVE1688" s="2477"/>
      <c r="JVF1688" s="2477"/>
      <c r="JVG1688" s="2477"/>
      <c r="JVH1688" s="2477"/>
      <c r="JVI1688" s="2477"/>
      <c r="JVJ1688" s="2477"/>
      <c r="JVK1688" s="2477"/>
      <c r="JVL1688" s="2477"/>
      <c r="JVM1688" s="2477"/>
      <c r="JVN1688" s="2477"/>
      <c r="JVO1688" s="2477"/>
      <c r="JVP1688" s="2477"/>
      <c r="JVQ1688" s="2477"/>
      <c r="JVR1688" s="2477"/>
      <c r="JVS1688" s="2477"/>
      <c r="JVT1688" s="2477"/>
      <c r="JVU1688" s="2477"/>
      <c r="JVV1688" s="2477"/>
      <c r="JVW1688" s="2477"/>
      <c r="JVX1688" s="2477"/>
      <c r="JVY1688" s="2477"/>
      <c r="JVZ1688" s="2477"/>
      <c r="JWA1688" s="2477"/>
      <c r="JWB1688" s="2477"/>
      <c r="JWC1688" s="2477"/>
      <c r="JWD1688" s="2477"/>
      <c r="JWE1688" s="2477"/>
      <c r="JWF1688" s="2477"/>
      <c r="JWG1688" s="2477"/>
      <c r="JWH1688" s="2477"/>
      <c r="JWI1688" s="2477"/>
      <c r="JWJ1688" s="2477"/>
      <c r="JWK1688" s="2477"/>
      <c r="JWL1688" s="2477"/>
      <c r="JWM1688" s="2477"/>
      <c r="JWN1688" s="2477"/>
      <c r="JWO1688" s="2477"/>
      <c r="JWP1688" s="2477"/>
      <c r="JWQ1688" s="2477"/>
      <c r="JWR1688" s="2477"/>
      <c r="JWS1688" s="2477"/>
      <c r="JWT1688" s="2477"/>
      <c r="JWU1688" s="2477"/>
      <c r="JWV1688" s="2477"/>
      <c r="JWW1688" s="2477"/>
      <c r="JWX1688" s="2477"/>
      <c r="JWY1688" s="2477"/>
      <c r="JWZ1688" s="2477"/>
      <c r="JXA1688" s="2477"/>
      <c r="JXB1688" s="2477"/>
      <c r="JXC1688" s="2477"/>
      <c r="JXD1688" s="2477"/>
      <c r="JXE1688" s="2477"/>
      <c r="JXF1688" s="2477"/>
      <c r="JXG1688" s="2477"/>
      <c r="JXH1688" s="2477"/>
      <c r="JXI1688" s="2477"/>
      <c r="JXJ1688" s="2477"/>
      <c r="JXK1688" s="2477"/>
      <c r="JXL1688" s="2477"/>
      <c r="JXM1688" s="2477"/>
      <c r="JXN1688" s="2477"/>
      <c r="JXO1688" s="2477"/>
      <c r="JXP1688" s="2477"/>
      <c r="JXQ1688" s="2477"/>
      <c r="JXR1688" s="2477"/>
      <c r="JXS1688" s="2477"/>
      <c r="JXT1688" s="2477"/>
      <c r="JXU1688" s="2477"/>
      <c r="JXV1688" s="2477"/>
      <c r="JXW1688" s="2477"/>
      <c r="JXX1688" s="2477"/>
      <c r="JXY1688" s="2477"/>
      <c r="JXZ1688" s="2477"/>
      <c r="JYA1688" s="2477"/>
      <c r="JYB1688" s="2477"/>
      <c r="JYC1688" s="2477"/>
      <c r="JYD1688" s="2477"/>
      <c r="JYE1688" s="2477"/>
      <c r="JYF1688" s="2477"/>
      <c r="JYG1688" s="2477"/>
      <c r="JYH1688" s="2477"/>
      <c r="JYI1688" s="2477"/>
      <c r="JYJ1688" s="2477"/>
      <c r="JYK1688" s="2477"/>
      <c r="JYL1688" s="2477"/>
      <c r="JYM1688" s="2477"/>
      <c r="JYN1688" s="2477"/>
      <c r="JYO1688" s="2477"/>
      <c r="JYP1688" s="2477"/>
      <c r="JYQ1688" s="2477"/>
      <c r="JYR1688" s="2477"/>
      <c r="JYS1688" s="2477"/>
      <c r="JYT1688" s="2477"/>
      <c r="JYU1688" s="2477"/>
      <c r="JYV1688" s="2477"/>
      <c r="JYW1688" s="2477"/>
      <c r="JYX1688" s="2477"/>
      <c r="JYY1688" s="2477"/>
      <c r="JYZ1688" s="2477"/>
      <c r="JZA1688" s="2477"/>
      <c r="JZB1688" s="2477"/>
      <c r="JZC1688" s="2477"/>
      <c r="JZD1688" s="2477"/>
      <c r="JZE1688" s="2477"/>
      <c r="JZF1688" s="2477"/>
      <c r="JZG1688" s="2477"/>
      <c r="JZH1688" s="2477"/>
      <c r="JZI1688" s="2477"/>
      <c r="JZJ1688" s="2477"/>
      <c r="JZK1688" s="2477"/>
      <c r="JZL1688" s="2477"/>
      <c r="JZM1688" s="2477"/>
      <c r="JZN1688" s="2477"/>
      <c r="JZO1688" s="2477"/>
      <c r="JZP1688" s="2477"/>
      <c r="JZQ1688" s="2477"/>
      <c r="JZR1688" s="2477"/>
      <c r="JZS1688" s="2477"/>
      <c r="JZT1688" s="2477"/>
      <c r="JZU1688" s="2477"/>
      <c r="JZV1688" s="2477"/>
      <c r="JZW1688" s="2477"/>
      <c r="JZX1688" s="2477"/>
      <c r="JZY1688" s="2477"/>
      <c r="JZZ1688" s="2477"/>
      <c r="KAA1688" s="2477"/>
      <c r="KAB1688" s="2477"/>
      <c r="KAC1688" s="2477"/>
      <c r="KAD1688" s="2477"/>
      <c r="KAE1688" s="2477"/>
      <c r="KAF1688" s="2477"/>
      <c r="KAG1688" s="2477"/>
      <c r="KAH1688" s="2477"/>
      <c r="KAI1688" s="2477"/>
      <c r="KAJ1688" s="2477"/>
      <c r="KAK1688" s="2477"/>
      <c r="KAL1688" s="2477"/>
      <c r="KAM1688" s="2477"/>
      <c r="KAN1688" s="2477"/>
      <c r="KAO1688" s="2477"/>
      <c r="KAP1688" s="2477"/>
      <c r="KAQ1688" s="2477"/>
      <c r="KAR1688" s="2477"/>
      <c r="KAS1688" s="2477"/>
      <c r="KAT1688" s="2477"/>
      <c r="KAU1688" s="2477"/>
      <c r="KAV1688" s="2477"/>
      <c r="KAW1688" s="2477"/>
      <c r="KAX1688" s="2477"/>
      <c r="KAY1688" s="2477"/>
      <c r="KAZ1688" s="2477"/>
      <c r="KBA1688" s="2477"/>
      <c r="KBB1688" s="2477"/>
      <c r="KBC1688" s="2477"/>
      <c r="KBD1688" s="2477"/>
      <c r="KBE1688" s="2477"/>
      <c r="KBF1688" s="2477"/>
      <c r="KBG1688" s="2477"/>
      <c r="KBH1688" s="2477"/>
      <c r="KBI1688" s="2477"/>
      <c r="KBJ1688" s="2477"/>
      <c r="KBK1688" s="2477"/>
      <c r="KBL1688" s="2477"/>
      <c r="KBM1688" s="2477"/>
      <c r="KBN1688" s="2477"/>
      <c r="KBO1688" s="2477"/>
      <c r="KBP1688" s="2477"/>
      <c r="KBQ1688" s="2477"/>
      <c r="KBR1688" s="2477"/>
      <c r="KBS1688" s="2477"/>
      <c r="KBT1688" s="2477"/>
      <c r="KBU1688" s="2477"/>
      <c r="KBV1688" s="2477"/>
      <c r="KBW1688" s="2477"/>
      <c r="KBX1688" s="2477"/>
      <c r="KBY1688" s="2477"/>
      <c r="KBZ1688" s="2477"/>
      <c r="KCA1688" s="2477"/>
      <c r="KCB1688" s="2477"/>
      <c r="KCC1688" s="2477"/>
      <c r="KCD1688" s="2477"/>
      <c r="KCE1688" s="2477"/>
      <c r="KCF1688" s="2477"/>
      <c r="KCG1688" s="2477"/>
      <c r="KCH1688" s="2477"/>
      <c r="KCI1688" s="2477"/>
      <c r="KCJ1688" s="2477"/>
      <c r="KCK1688" s="2477"/>
      <c r="KCL1688" s="2477"/>
      <c r="KCM1688" s="2477"/>
      <c r="KCN1688" s="2477"/>
      <c r="KCO1688" s="2477"/>
      <c r="KCP1688" s="2477"/>
      <c r="KCQ1688" s="2477"/>
      <c r="KCR1688" s="2477"/>
      <c r="KCS1688" s="2477"/>
      <c r="KCT1688" s="2477"/>
      <c r="KCU1688" s="2477"/>
      <c r="KCV1688" s="2477"/>
      <c r="KCW1688" s="2477"/>
      <c r="KCX1688" s="2477"/>
      <c r="KCY1688" s="2477"/>
      <c r="KCZ1688" s="2477"/>
      <c r="KDA1688" s="2477"/>
      <c r="KDB1688" s="2477"/>
      <c r="KDC1688" s="2477"/>
      <c r="KDD1688" s="2477"/>
      <c r="KDE1688" s="2477"/>
      <c r="KDF1688" s="2477"/>
      <c r="KDG1688" s="2477"/>
      <c r="KDH1688" s="2477"/>
      <c r="KDI1688" s="2477"/>
      <c r="KDJ1688" s="2477"/>
      <c r="KDK1688" s="2477"/>
      <c r="KDL1688" s="2477"/>
      <c r="KDM1688" s="2477"/>
      <c r="KDN1688" s="2477"/>
      <c r="KDO1688" s="2477"/>
      <c r="KDP1688" s="2477"/>
      <c r="KDQ1688" s="2477"/>
      <c r="KDR1688" s="2477"/>
      <c r="KDS1688" s="2477"/>
      <c r="KDT1688" s="2477"/>
      <c r="KDU1688" s="2477"/>
      <c r="KDV1688" s="2477"/>
      <c r="KDW1688" s="2477"/>
      <c r="KDX1688" s="2477"/>
      <c r="KDY1688" s="2477"/>
      <c r="KDZ1688" s="2477"/>
      <c r="KEA1688" s="2477"/>
      <c r="KEB1688" s="2477"/>
      <c r="KEC1688" s="2477"/>
      <c r="KED1688" s="2477"/>
      <c r="KEE1688" s="2477"/>
      <c r="KEF1688" s="2477"/>
      <c r="KEG1688" s="2477"/>
      <c r="KEH1688" s="2477"/>
      <c r="KEI1688" s="2477"/>
      <c r="KEJ1688" s="2477"/>
      <c r="KEK1688" s="2477"/>
      <c r="KEL1688" s="2477"/>
      <c r="KEM1688" s="2477"/>
      <c r="KEN1688" s="2477"/>
      <c r="KEO1688" s="2477"/>
      <c r="KEP1688" s="2477"/>
      <c r="KEQ1688" s="2477"/>
      <c r="KER1688" s="2477"/>
      <c r="KES1688" s="2477"/>
      <c r="KET1688" s="2477"/>
      <c r="KEU1688" s="2477"/>
      <c r="KEV1688" s="2477"/>
      <c r="KEW1688" s="2477"/>
      <c r="KEX1688" s="2477"/>
      <c r="KEY1688" s="2477"/>
      <c r="KEZ1688" s="2477"/>
      <c r="KFA1688" s="2477"/>
      <c r="KFB1688" s="2477"/>
      <c r="KFC1688" s="2477"/>
      <c r="KFD1688" s="2477"/>
      <c r="KFE1688" s="2477"/>
      <c r="KFF1688" s="2477"/>
      <c r="KFG1688" s="2477"/>
      <c r="KFH1688" s="2477"/>
      <c r="KFI1688" s="2477"/>
      <c r="KFJ1688" s="2477"/>
      <c r="KFK1688" s="2477"/>
      <c r="KFL1688" s="2477"/>
      <c r="KFM1688" s="2477"/>
      <c r="KFN1688" s="2477"/>
      <c r="KFO1688" s="2477"/>
      <c r="KFP1688" s="2477"/>
      <c r="KFQ1688" s="2477"/>
      <c r="KFR1688" s="2477"/>
      <c r="KFS1688" s="2477"/>
      <c r="KFT1688" s="2477"/>
      <c r="KFU1688" s="2477"/>
      <c r="KFV1688" s="2477"/>
      <c r="KFW1688" s="2477"/>
      <c r="KFX1688" s="2477"/>
      <c r="KFY1688" s="2477"/>
      <c r="KFZ1688" s="2477"/>
      <c r="KGA1688" s="2477"/>
      <c r="KGB1688" s="2477"/>
      <c r="KGC1688" s="2477"/>
      <c r="KGD1688" s="2477"/>
      <c r="KGE1688" s="2477"/>
      <c r="KGF1688" s="2477"/>
      <c r="KGG1688" s="2477"/>
      <c r="KGH1688" s="2477"/>
      <c r="KGI1688" s="2477"/>
      <c r="KGJ1688" s="2477"/>
      <c r="KGK1688" s="2477"/>
      <c r="KGL1688" s="2477"/>
      <c r="KGM1688" s="2477"/>
      <c r="KGN1688" s="2477"/>
      <c r="KGO1688" s="2477"/>
      <c r="KGP1688" s="2477"/>
      <c r="KGQ1688" s="2477"/>
      <c r="KGR1688" s="2477"/>
      <c r="KGS1688" s="2477"/>
      <c r="KGT1688" s="2477"/>
      <c r="KGU1688" s="2477"/>
      <c r="KGV1688" s="2477"/>
      <c r="KGW1688" s="2477"/>
      <c r="KGX1688" s="2477"/>
      <c r="KGY1688" s="2477"/>
      <c r="KGZ1688" s="2477"/>
      <c r="KHA1688" s="2477"/>
      <c r="KHB1688" s="2477"/>
      <c r="KHC1688" s="2477"/>
      <c r="KHD1688" s="2477"/>
      <c r="KHE1688" s="2477"/>
      <c r="KHF1688" s="2477"/>
      <c r="KHG1688" s="2477"/>
      <c r="KHH1688" s="2477"/>
      <c r="KHI1688" s="2477"/>
      <c r="KHJ1688" s="2477"/>
      <c r="KHK1688" s="2477"/>
      <c r="KHL1688" s="2477"/>
      <c r="KHM1688" s="2477"/>
      <c r="KHN1688" s="2477"/>
      <c r="KHO1688" s="2477"/>
      <c r="KHP1688" s="2477"/>
      <c r="KHQ1688" s="2477"/>
      <c r="KHR1688" s="2477"/>
      <c r="KHS1688" s="2477"/>
      <c r="KHT1688" s="2477"/>
      <c r="KHU1688" s="2477"/>
      <c r="KHV1688" s="2477"/>
      <c r="KHW1688" s="2477"/>
      <c r="KHX1688" s="2477"/>
      <c r="KHY1688" s="2477"/>
      <c r="KHZ1688" s="2477"/>
      <c r="KIA1688" s="2477"/>
      <c r="KIB1688" s="2477"/>
      <c r="KIC1688" s="2477"/>
      <c r="KID1688" s="2477"/>
      <c r="KIE1688" s="2477"/>
      <c r="KIF1688" s="2477"/>
      <c r="KIG1688" s="2477"/>
      <c r="KIH1688" s="2477"/>
      <c r="KII1688" s="2477"/>
      <c r="KIJ1688" s="2477"/>
      <c r="KIK1688" s="2477"/>
      <c r="KIL1688" s="2477"/>
      <c r="KIM1688" s="2477"/>
      <c r="KIN1688" s="2477"/>
      <c r="KIO1688" s="2477"/>
      <c r="KIP1688" s="2477"/>
      <c r="KIQ1688" s="2477"/>
      <c r="KIR1688" s="2477"/>
      <c r="KIS1688" s="2477"/>
      <c r="KIT1688" s="2477"/>
      <c r="KIU1688" s="2477"/>
      <c r="KIV1688" s="2477"/>
      <c r="KIW1688" s="2477"/>
      <c r="KIX1688" s="2477"/>
      <c r="KIY1688" s="2477"/>
      <c r="KIZ1688" s="2477"/>
      <c r="KJA1688" s="2477"/>
      <c r="KJB1688" s="2477"/>
      <c r="KJC1688" s="2477"/>
      <c r="KJD1688" s="2477"/>
      <c r="KJE1688" s="2477"/>
      <c r="KJF1688" s="2477"/>
      <c r="KJG1688" s="2477"/>
      <c r="KJH1688" s="2477"/>
      <c r="KJI1688" s="2477"/>
      <c r="KJJ1688" s="2477"/>
      <c r="KJK1688" s="2477"/>
      <c r="KJL1688" s="2477"/>
      <c r="KJM1688" s="2477"/>
      <c r="KJN1688" s="2477"/>
      <c r="KJO1688" s="2477"/>
      <c r="KJP1688" s="2477"/>
      <c r="KJQ1688" s="2477"/>
      <c r="KJR1688" s="2477"/>
      <c r="KJS1688" s="2477"/>
      <c r="KJT1688" s="2477"/>
      <c r="KJU1688" s="2477"/>
      <c r="KJV1688" s="2477"/>
      <c r="KJW1688" s="2477"/>
      <c r="KJX1688" s="2477"/>
      <c r="KJY1688" s="2477"/>
      <c r="KJZ1688" s="2477"/>
      <c r="KKA1688" s="2477"/>
      <c r="KKB1688" s="2477"/>
      <c r="KKC1688" s="2477"/>
      <c r="KKD1688" s="2477"/>
      <c r="KKE1688" s="2477"/>
      <c r="KKF1688" s="2477"/>
      <c r="KKG1688" s="2477"/>
      <c r="KKH1688" s="2477"/>
      <c r="KKI1688" s="2477"/>
      <c r="KKJ1688" s="2477"/>
      <c r="KKK1688" s="2477"/>
      <c r="KKL1688" s="2477"/>
      <c r="KKM1688" s="2477"/>
      <c r="KKN1688" s="2477"/>
      <c r="KKO1688" s="2477"/>
      <c r="KKP1688" s="2477"/>
      <c r="KKQ1688" s="2477"/>
      <c r="KKR1688" s="2477"/>
      <c r="KKS1688" s="2477"/>
      <c r="KKT1688" s="2477"/>
      <c r="KKU1688" s="2477"/>
      <c r="KKV1688" s="2477"/>
      <c r="KKW1688" s="2477"/>
      <c r="KKX1688" s="2477"/>
      <c r="KKY1688" s="2477"/>
      <c r="KKZ1688" s="2477"/>
      <c r="KLA1688" s="2477"/>
      <c r="KLB1688" s="2477"/>
      <c r="KLC1688" s="2477"/>
      <c r="KLD1688" s="2477"/>
      <c r="KLE1688" s="2477"/>
      <c r="KLF1688" s="2477"/>
      <c r="KLG1688" s="2477"/>
      <c r="KLH1688" s="2477"/>
      <c r="KLI1688" s="2477"/>
      <c r="KLJ1688" s="2477"/>
      <c r="KLK1688" s="2477"/>
      <c r="KLL1688" s="2477"/>
      <c r="KLM1688" s="2477"/>
      <c r="KLN1688" s="2477"/>
      <c r="KLO1688" s="2477"/>
      <c r="KLP1688" s="2477"/>
      <c r="KLQ1688" s="2477"/>
      <c r="KLR1688" s="2477"/>
      <c r="KLS1688" s="2477"/>
      <c r="KLT1688" s="2477"/>
      <c r="KLU1688" s="2477"/>
      <c r="KLV1688" s="2477"/>
      <c r="KLW1688" s="2477"/>
      <c r="KLX1688" s="2477"/>
      <c r="KLY1688" s="2477"/>
      <c r="KLZ1688" s="2477"/>
      <c r="KMA1688" s="2477"/>
      <c r="KMB1688" s="2477"/>
      <c r="KMC1688" s="2477"/>
      <c r="KMD1688" s="2477"/>
      <c r="KME1688" s="2477"/>
      <c r="KMF1688" s="2477"/>
      <c r="KMG1688" s="2477"/>
      <c r="KMH1688" s="2477"/>
      <c r="KMI1688" s="2477"/>
      <c r="KMJ1688" s="2477"/>
      <c r="KMK1688" s="2477"/>
      <c r="KML1688" s="2477"/>
      <c r="KMM1688" s="2477"/>
      <c r="KMN1688" s="2477"/>
      <c r="KMO1688" s="2477"/>
      <c r="KMP1688" s="2477"/>
      <c r="KMQ1688" s="2477"/>
      <c r="KMR1688" s="2477"/>
      <c r="KMS1688" s="2477"/>
      <c r="KMT1688" s="2477"/>
      <c r="KMU1688" s="2477"/>
      <c r="KMV1688" s="2477"/>
      <c r="KMW1688" s="2477"/>
      <c r="KMX1688" s="2477"/>
      <c r="KMY1688" s="2477"/>
      <c r="KMZ1688" s="2477"/>
      <c r="KNA1688" s="2477"/>
      <c r="KNB1688" s="2477"/>
      <c r="KNC1688" s="2477"/>
      <c r="KND1688" s="2477"/>
      <c r="KNE1688" s="2477"/>
      <c r="KNF1688" s="2477"/>
      <c r="KNG1688" s="2477"/>
      <c r="KNH1688" s="2477"/>
      <c r="KNI1688" s="2477"/>
      <c r="KNJ1688" s="2477"/>
      <c r="KNK1688" s="2477"/>
      <c r="KNL1688" s="2477"/>
      <c r="KNM1688" s="2477"/>
      <c r="KNN1688" s="2477"/>
      <c r="KNO1688" s="2477"/>
      <c r="KNP1688" s="2477"/>
      <c r="KNQ1688" s="2477"/>
      <c r="KNR1688" s="2477"/>
      <c r="KNS1688" s="2477"/>
      <c r="KNT1688" s="2477"/>
      <c r="KNU1688" s="2477"/>
      <c r="KNV1688" s="2477"/>
      <c r="KNW1688" s="2477"/>
      <c r="KNX1688" s="2477"/>
      <c r="KNY1688" s="2477"/>
      <c r="KNZ1688" s="2477"/>
      <c r="KOA1688" s="2477"/>
      <c r="KOB1688" s="2477"/>
      <c r="KOC1688" s="2477"/>
      <c r="KOD1688" s="2477"/>
      <c r="KOE1688" s="2477"/>
      <c r="KOF1688" s="2477"/>
      <c r="KOG1688" s="2477"/>
      <c r="KOH1688" s="2477"/>
      <c r="KOI1688" s="2477"/>
      <c r="KOJ1688" s="2477"/>
      <c r="KOK1688" s="2477"/>
      <c r="KOL1688" s="2477"/>
      <c r="KOM1688" s="2477"/>
      <c r="KON1688" s="2477"/>
      <c r="KOO1688" s="2477"/>
      <c r="KOP1688" s="2477"/>
      <c r="KOQ1688" s="2477"/>
      <c r="KOR1688" s="2477"/>
      <c r="KOS1688" s="2477"/>
      <c r="KOT1688" s="2477"/>
      <c r="KOU1688" s="2477"/>
      <c r="KOV1688" s="2477"/>
      <c r="KOW1688" s="2477"/>
      <c r="KOX1688" s="2477"/>
      <c r="KOY1688" s="2477"/>
      <c r="KOZ1688" s="2477"/>
      <c r="KPA1688" s="2477"/>
      <c r="KPB1688" s="2477"/>
      <c r="KPC1688" s="2477"/>
      <c r="KPD1688" s="2477"/>
      <c r="KPE1688" s="2477"/>
      <c r="KPF1688" s="2477"/>
      <c r="KPG1688" s="2477"/>
      <c r="KPH1688" s="2477"/>
      <c r="KPI1688" s="2477"/>
      <c r="KPJ1688" s="2477"/>
      <c r="KPK1688" s="2477"/>
      <c r="KPL1688" s="2477"/>
      <c r="KPM1688" s="2477"/>
      <c r="KPN1688" s="2477"/>
      <c r="KPO1688" s="2477"/>
      <c r="KPP1688" s="2477"/>
      <c r="KPQ1688" s="2477"/>
      <c r="KPR1688" s="2477"/>
      <c r="KPS1688" s="2477"/>
      <c r="KPT1688" s="2477"/>
      <c r="KPU1688" s="2477"/>
      <c r="KPV1688" s="2477"/>
      <c r="KPW1688" s="2477"/>
      <c r="KPX1688" s="2477"/>
      <c r="KPY1688" s="2477"/>
      <c r="KPZ1688" s="2477"/>
      <c r="KQA1688" s="2477"/>
      <c r="KQB1688" s="2477"/>
      <c r="KQC1688" s="2477"/>
      <c r="KQD1688" s="2477"/>
      <c r="KQE1688" s="2477"/>
      <c r="KQF1688" s="2477"/>
      <c r="KQG1688" s="2477"/>
      <c r="KQH1688" s="2477"/>
      <c r="KQI1688" s="2477"/>
      <c r="KQJ1688" s="2477"/>
      <c r="KQK1688" s="2477"/>
      <c r="KQL1688" s="2477"/>
      <c r="KQM1688" s="2477"/>
      <c r="KQN1688" s="2477"/>
      <c r="KQO1688" s="2477"/>
      <c r="KQP1688" s="2477"/>
      <c r="KQQ1688" s="2477"/>
      <c r="KQR1688" s="2477"/>
      <c r="KQS1688" s="2477"/>
      <c r="KQT1688" s="2477"/>
      <c r="KQU1688" s="2477"/>
      <c r="KQV1688" s="2477"/>
      <c r="KQW1688" s="2477"/>
      <c r="KQX1688" s="2477"/>
      <c r="KQY1688" s="2477"/>
      <c r="KQZ1688" s="2477"/>
      <c r="KRA1688" s="2477"/>
      <c r="KRB1688" s="2477"/>
      <c r="KRC1688" s="2477"/>
      <c r="KRD1688" s="2477"/>
      <c r="KRE1688" s="2477"/>
      <c r="KRF1688" s="2477"/>
      <c r="KRG1688" s="2477"/>
      <c r="KRH1688" s="2477"/>
      <c r="KRI1688" s="2477"/>
      <c r="KRJ1688" s="2477"/>
      <c r="KRK1688" s="2477"/>
      <c r="KRL1688" s="2477"/>
      <c r="KRM1688" s="2477"/>
      <c r="KRN1688" s="2477"/>
      <c r="KRO1688" s="2477"/>
      <c r="KRP1688" s="2477"/>
      <c r="KRQ1688" s="2477"/>
      <c r="KRR1688" s="2477"/>
      <c r="KRS1688" s="2477"/>
      <c r="KRT1688" s="2477"/>
      <c r="KRU1688" s="2477"/>
      <c r="KRV1688" s="2477"/>
      <c r="KRW1688" s="2477"/>
      <c r="KRX1688" s="2477"/>
      <c r="KRY1688" s="2477"/>
      <c r="KRZ1688" s="2477"/>
      <c r="KSA1688" s="2477"/>
      <c r="KSB1688" s="2477"/>
      <c r="KSC1688" s="2477"/>
      <c r="KSD1688" s="2477"/>
      <c r="KSE1688" s="2477"/>
      <c r="KSF1688" s="2477"/>
      <c r="KSG1688" s="2477"/>
      <c r="KSH1688" s="2477"/>
      <c r="KSI1688" s="2477"/>
      <c r="KSJ1688" s="2477"/>
      <c r="KSK1688" s="2477"/>
      <c r="KSL1688" s="2477"/>
      <c r="KSM1688" s="2477"/>
      <c r="KSN1688" s="2477"/>
      <c r="KSO1688" s="2477"/>
      <c r="KSP1688" s="2477"/>
      <c r="KSQ1688" s="2477"/>
      <c r="KSR1688" s="2477"/>
      <c r="KSS1688" s="2477"/>
      <c r="KST1688" s="2477"/>
      <c r="KSU1688" s="2477"/>
      <c r="KSV1688" s="2477"/>
      <c r="KSW1688" s="2477"/>
      <c r="KSX1688" s="2477"/>
      <c r="KSY1688" s="2477"/>
      <c r="KSZ1688" s="2477"/>
      <c r="KTA1688" s="2477"/>
      <c r="KTB1688" s="2477"/>
      <c r="KTC1688" s="2477"/>
      <c r="KTD1688" s="2477"/>
      <c r="KTE1688" s="2477"/>
      <c r="KTF1688" s="2477"/>
      <c r="KTG1688" s="2477"/>
      <c r="KTH1688" s="2477"/>
      <c r="KTI1688" s="2477"/>
      <c r="KTJ1688" s="2477"/>
      <c r="KTK1688" s="2477"/>
      <c r="KTL1688" s="2477"/>
      <c r="KTM1688" s="2477"/>
      <c r="KTN1688" s="2477"/>
      <c r="KTO1688" s="2477"/>
      <c r="KTP1688" s="2477"/>
      <c r="KTQ1688" s="2477"/>
      <c r="KTR1688" s="2477"/>
      <c r="KTS1688" s="2477"/>
      <c r="KTT1688" s="2477"/>
      <c r="KTU1688" s="2477"/>
      <c r="KTV1688" s="2477"/>
      <c r="KTW1688" s="2477"/>
      <c r="KTX1688" s="2477"/>
      <c r="KTY1688" s="2477"/>
      <c r="KTZ1688" s="2477"/>
      <c r="KUA1688" s="2477"/>
      <c r="KUB1688" s="2477"/>
      <c r="KUC1688" s="2477"/>
      <c r="KUD1688" s="2477"/>
      <c r="KUE1688" s="2477"/>
      <c r="KUF1688" s="2477"/>
      <c r="KUG1688" s="2477"/>
      <c r="KUH1688" s="2477"/>
      <c r="KUI1688" s="2477"/>
      <c r="KUJ1688" s="2477"/>
      <c r="KUK1688" s="2477"/>
      <c r="KUL1688" s="2477"/>
      <c r="KUM1688" s="2477"/>
      <c r="KUN1688" s="2477"/>
      <c r="KUO1688" s="2477"/>
      <c r="KUP1688" s="2477"/>
      <c r="KUQ1688" s="2477"/>
      <c r="KUR1688" s="2477"/>
      <c r="KUS1688" s="2477"/>
      <c r="KUT1688" s="2477"/>
      <c r="KUU1688" s="2477"/>
      <c r="KUV1688" s="2477"/>
      <c r="KUW1688" s="2477"/>
      <c r="KUX1688" s="2477"/>
      <c r="KUY1688" s="2477"/>
      <c r="KUZ1688" s="2477"/>
      <c r="KVA1688" s="2477"/>
      <c r="KVB1688" s="2477"/>
      <c r="KVC1688" s="2477"/>
      <c r="KVD1688" s="2477"/>
      <c r="KVE1688" s="2477"/>
      <c r="KVF1688" s="2477"/>
      <c r="KVG1688" s="2477"/>
      <c r="KVH1688" s="2477"/>
      <c r="KVI1688" s="2477"/>
      <c r="KVJ1688" s="2477"/>
      <c r="KVK1688" s="2477"/>
      <c r="KVL1688" s="2477"/>
      <c r="KVM1688" s="2477"/>
      <c r="KVN1688" s="2477"/>
      <c r="KVO1688" s="2477"/>
      <c r="KVP1688" s="2477"/>
      <c r="KVQ1688" s="2477"/>
      <c r="KVR1688" s="2477"/>
      <c r="KVS1688" s="2477"/>
      <c r="KVT1688" s="2477"/>
      <c r="KVU1688" s="2477"/>
      <c r="KVV1688" s="2477"/>
      <c r="KVW1688" s="2477"/>
      <c r="KVX1688" s="2477"/>
      <c r="KVY1688" s="2477"/>
      <c r="KVZ1688" s="2477"/>
      <c r="KWA1688" s="2477"/>
      <c r="KWB1688" s="2477"/>
      <c r="KWC1688" s="2477"/>
      <c r="KWD1688" s="2477"/>
      <c r="KWE1688" s="2477"/>
      <c r="KWF1688" s="2477"/>
      <c r="KWG1688" s="2477"/>
      <c r="KWH1688" s="2477"/>
      <c r="KWI1688" s="2477"/>
      <c r="KWJ1688" s="2477"/>
      <c r="KWK1688" s="2477"/>
      <c r="KWL1688" s="2477"/>
      <c r="KWM1688" s="2477"/>
      <c r="KWN1688" s="2477"/>
      <c r="KWO1688" s="2477"/>
      <c r="KWP1688" s="2477"/>
      <c r="KWQ1688" s="2477"/>
      <c r="KWR1688" s="2477"/>
      <c r="KWS1688" s="2477"/>
      <c r="KWT1688" s="2477"/>
      <c r="KWU1688" s="2477"/>
      <c r="KWV1688" s="2477"/>
      <c r="KWW1688" s="2477"/>
      <c r="KWX1688" s="2477"/>
      <c r="KWY1688" s="2477"/>
      <c r="KWZ1688" s="2477"/>
      <c r="KXA1688" s="2477"/>
      <c r="KXB1688" s="2477"/>
      <c r="KXC1688" s="2477"/>
      <c r="KXD1688" s="2477"/>
      <c r="KXE1688" s="2477"/>
      <c r="KXF1688" s="2477"/>
      <c r="KXG1688" s="2477"/>
      <c r="KXH1688" s="2477"/>
      <c r="KXI1688" s="2477"/>
      <c r="KXJ1688" s="2477"/>
      <c r="KXK1688" s="2477"/>
      <c r="KXL1688" s="2477"/>
      <c r="KXM1688" s="2477"/>
      <c r="KXN1688" s="2477"/>
      <c r="KXO1688" s="2477"/>
      <c r="KXP1688" s="2477"/>
      <c r="KXQ1688" s="2477"/>
      <c r="KXR1688" s="2477"/>
      <c r="KXS1688" s="2477"/>
      <c r="KXT1688" s="2477"/>
      <c r="KXU1688" s="2477"/>
      <c r="KXV1688" s="2477"/>
      <c r="KXW1688" s="2477"/>
      <c r="KXX1688" s="2477"/>
      <c r="KXY1688" s="2477"/>
      <c r="KXZ1688" s="2477"/>
      <c r="KYA1688" s="2477"/>
      <c r="KYB1688" s="2477"/>
      <c r="KYC1688" s="2477"/>
      <c r="KYD1688" s="2477"/>
      <c r="KYE1688" s="2477"/>
      <c r="KYF1688" s="2477"/>
      <c r="KYG1688" s="2477"/>
      <c r="KYH1688" s="2477"/>
      <c r="KYI1688" s="2477"/>
      <c r="KYJ1688" s="2477"/>
      <c r="KYK1688" s="2477"/>
      <c r="KYL1688" s="2477"/>
      <c r="KYM1688" s="2477"/>
      <c r="KYN1688" s="2477"/>
      <c r="KYO1688" s="2477"/>
      <c r="KYP1688" s="2477"/>
      <c r="KYQ1688" s="2477"/>
      <c r="KYR1688" s="2477"/>
      <c r="KYS1688" s="2477"/>
      <c r="KYT1688" s="2477"/>
      <c r="KYU1688" s="2477"/>
      <c r="KYV1688" s="2477"/>
      <c r="KYW1688" s="2477"/>
      <c r="KYX1688" s="2477"/>
      <c r="KYY1688" s="2477"/>
      <c r="KYZ1688" s="2477"/>
      <c r="KZA1688" s="2477"/>
      <c r="KZB1688" s="2477"/>
      <c r="KZC1688" s="2477"/>
      <c r="KZD1688" s="2477"/>
      <c r="KZE1688" s="2477"/>
      <c r="KZF1688" s="2477"/>
      <c r="KZG1688" s="2477"/>
      <c r="KZH1688" s="2477"/>
      <c r="KZI1688" s="2477"/>
      <c r="KZJ1688" s="2477"/>
      <c r="KZK1688" s="2477"/>
      <c r="KZL1688" s="2477"/>
      <c r="KZM1688" s="2477"/>
      <c r="KZN1688" s="2477"/>
      <c r="KZO1688" s="2477"/>
      <c r="KZP1688" s="2477"/>
      <c r="KZQ1688" s="2477"/>
      <c r="KZR1688" s="2477"/>
      <c r="KZS1688" s="2477"/>
      <c r="KZT1688" s="2477"/>
      <c r="KZU1688" s="2477"/>
      <c r="KZV1688" s="2477"/>
      <c r="KZW1688" s="2477"/>
      <c r="KZX1688" s="2477"/>
      <c r="KZY1688" s="2477"/>
      <c r="KZZ1688" s="2477"/>
      <c r="LAA1688" s="2477"/>
      <c r="LAB1688" s="2477"/>
      <c r="LAC1688" s="2477"/>
      <c r="LAD1688" s="2477"/>
      <c r="LAE1688" s="2477"/>
      <c r="LAF1688" s="2477"/>
      <c r="LAG1688" s="2477"/>
      <c r="LAH1688" s="2477"/>
      <c r="LAI1688" s="2477"/>
      <c r="LAJ1688" s="2477"/>
      <c r="LAK1688" s="2477"/>
      <c r="LAL1688" s="2477"/>
      <c r="LAM1688" s="2477"/>
      <c r="LAN1688" s="2477"/>
      <c r="LAO1688" s="2477"/>
      <c r="LAP1688" s="2477"/>
      <c r="LAQ1688" s="2477"/>
      <c r="LAR1688" s="2477"/>
      <c r="LAS1688" s="2477"/>
      <c r="LAT1688" s="2477"/>
      <c r="LAU1688" s="2477"/>
      <c r="LAV1688" s="2477"/>
      <c r="LAW1688" s="2477"/>
      <c r="LAX1688" s="2477"/>
      <c r="LAY1688" s="2477"/>
      <c r="LAZ1688" s="2477"/>
      <c r="LBA1688" s="2477"/>
      <c r="LBB1688" s="2477"/>
      <c r="LBC1688" s="2477"/>
      <c r="LBD1688" s="2477"/>
      <c r="LBE1688" s="2477"/>
      <c r="LBF1688" s="2477"/>
      <c r="LBG1688" s="2477"/>
      <c r="LBH1688" s="2477"/>
      <c r="LBI1688" s="2477"/>
      <c r="LBJ1688" s="2477"/>
      <c r="LBK1688" s="2477"/>
      <c r="LBL1688" s="2477"/>
      <c r="LBM1688" s="2477"/>
      <c r="LBN1688" s="2477"/>
      <c r="LBO1688" s="2477"/>
      <c r="LBP1688" s="2477"/>
      <c r="LBQ1688" s="2477"/>
      <c r="LBR1688" s="2477"/>
      <c r="LBS1688" s="2477"/>
      <c r="LBT1688" s="2477"/>
      <c r="LBU1688" s="2477"/>
      <c r="LBV1688" s="2477"/>
      <c r="LBW1688" s="2477"/>
      <c r="LBX1688" s="2477"/>
      <c r="LBY1688" s="2477"/>
      <c r="LBZ1688" s="2477"/>
      <c r="LCA1688" s="2477"/>
      <c r="LCB1688" s="2477"/>
      <c r="LCC1688" s="2477"/>
      <c r="LCD1688" s="2477"/>
      <c r="LCE1688" s="2477"/>
      <c r="LCF1688" s="2477"/>
      <c r="LCG1688" s="2477"/>
      <c r="LCH1688" s="2477"/>
      <c r="LCI1688" s="2477"/>
      <c r="LCJ1688" s="2477"/>
      <c r="LCK1688" s="2477"/>
      <c r="LCL1688" s="2477"/>
      <c r="LCM1688" s="2477"/>
      <c r="LCN1688" s="2477"/>
      <c r="LCO1688" s="2477"/>
      <c r="LCP1688" s="2477"/>
      <c r="LCQ1688" s="2477"/>
      <c r="LCR1688" s="2477"/>
      <c r="LCS1688" s="2477"/>
      <c r="LCT1688" s="2477"/>
      <c r="LCU1688" s="2477"/>
      <c r="LCV1688" s="2477"/>
      <c r="LCW1688" s="2477"/>
      <c r="LCX1688" s="2477"/>
      <c r="LCY1688" s="2477"/>
      <c r="LCZ1688" s="2477"/>
      <c r="LDA1688" s="2477"/>
      <c r="LDB1688" s="2477"/>
      <c r="LDC1688" s="2477"/>
      <c r="LDD1688" s="2477"/>
      <c r="LDE1688" s="2477"/>
      <c r="LDF1688" s="2477"/>
      <c r="LDG1688" s="2477"/>
      <c r="LDH1688" s="2477"/>
      <c r="LDI1688" s="2477"/>
      <c r="LDJ1688" s="2477"/>
      <c r="LDK1688" s="2477"/>
      <c r="LDL1688" s="2477"/>
      <c r="LDM1688" s="2477"/>
      <c r="LDN1688" s="2477"/>
      <c r="LDO1688" s="2477"/>
      <c r="LDP1688" s="2477"/>
      <c r="LDQ1688" s="2477"/>
      <c r="LDR1688" s="2477"/>
      <c r="LDS1688" s="2477"/>
      <c r="LDT1688" s="2477"/>
      <c r="LDU1688" s="2477"/>
      <c r="LDV1688" s="2477"/>
      <c r="LDW1688" s="2477"/>
      <c r="LDX1688" s="2477"/>
      <c r="LDY1688" s="2477"/>
      <c r="LDZ1688" s="2477"/>
      <c r="LEA1688" s="2477"/>
      <c r="LEB1688" s="2477"/>
      <c r="LEC1688" s="2477"/>
      <c r="LED1688" s="2477"/>
      <c r="LEE1688" s="2477"/>
      <c r="LEF1688" s="2477"/>
      <c r="LEG1688" s="2477"/>
      <c r="LEH1688" s="2477"/>
      <c r="LEI1688" s="2477"/>
      <c r="LEJ1688" s="2477"/>
      <c r="LEK1688" s="2477"/>
      <c r="LEL1688" s="2477"/>
      <c r="LEM1688" s="2477"/>
      <c r="LEN1688" s="2477"/>
      <c r="LEO1688" s="2477"/>
      <c r="LEP1688" s="2477"/>
      <c r="LEQ1688" s="2477"/>
      <c r="LER1688" s="2477"/>
      <c r="LES1688" s="2477"/>
      <c r="LET1688" s="2477"/>
      <c r="LEU1688" s="2477"/>
      <c r="LEV1688" s="2477"/>
      <c r="LEW1688" s="2477"/>
      <c r="LEX1688" s="2477"/>
      <c r="LEY1688" s="2477"/>
      <c r="LEZ1688" s="2477"/>
      <c r="LFA1688" s="2477"/>
      <c r="LFB1688" s="2477"/>
      <c r="LFC1688" s="2477"/>
      <c r="LFD1688" s="2477"/>
      <c r="LFE1688" s="2477"/>
      <c r="LFF1688" s="2477"/>
      <c r="LFG1688" s="2477"/>
      <c r="LFH1688" s="2477"/>
      <c r="LFI1688" s="2477"/>
      <c r="LFJ1688" s="2477"/>
      <c r="LFK1688" s="2477"/>
      <c r="LFL1688" s="2477"/>
      <c r="LFM1688" s="2477"/>
      <c r="LFN1688" s="2477"/>
      <c r="LFO1688" s="2477"/>
      <c r="LFP1688" s="2477"/>
      <c r="LFQ1688" s="2477"/>
      <c r="LFR1688" s="2477"/>
      <c r="LFS1688" s="2477"/>
      <c r="LFT1688" s="2477"/>
      <c r="LFU1688" s="2477"/>
      <c r="LFV1688" s="2477"/>
      <c r="LFW1688" s="2477"/>
      <c r="LFX1688" s="2477"/>
      <c r="LFY1688" s="2477"/>
      <c r="LFZ1688" s="2477"/>
      <c r="LGA1688" s="2477"/>
      <c r="LGB1688" s="2477"/>
      <c r="LGC1688" s="2477"/>
      <c r="LGD1688" s="2477"/>
      <c r="LGE1688" s="2477"/>
      <c r="LGF1688" s="2477"/>
      <c r="LGG1688" s="2477"/>
      <c r="LGH1688" s="2477"/>
      <c r="LGI1688" s="2477"/>
      <c r="LGJ1688" s="2477"/>
      <c r="LGK1688" s="2477"/>
      <c r="LGL1688" s="2477"/>
      <c r="LGM1688" s="2477"/>
      <c r="LGN1688" s="2477"/>
      <c r="LGO1688" s="2477"/>
      <c r="LGP1688" s="2477"/>
      <c r="LGQ1688" s="2477"/>
      <c r="LGR1688" s="2477"/>
      <c r="LGS1688" s="2477"/>
      <c r="LGT1688" s="2477"/>
      <c r="LGU1688" s="2477"/>
      <c r="LGV1688" s="2477"/>
      <c r="LGW1688" s="2477"/>
      <c r="LGX1688" s="2477"/>
      <c r="LGY1688" s="2477"/>
      <c r="LGZ1688" s="2477"/>
      <c r="LHA1688" s="2477"/>
      <c r="LHB1688" s="2477"/>
      <c r="LHC1688" s="2477"/>
      <c r="LHD1688" s="2477"/>
      <c r="LHE1688" s="2477"/>
      <c r="LHF1688" s="2477"/>
      <c r="LHG1688" s="2477"/>
      <c r="LHH1688" s="2477"/>
      <c r="LHI1688" s="2477"/>
      <c r="LHJ1688" s="2477"/>
      <c r="LHK1688" s="2477"/>
      <c r="LHL1688" s="2477"/>
      <c r="LHM1688" s="2477"/>
      <c r="LHN1688" s="2477"/>
      <c r="LHO1688" s="2477"/>
      <c r="LHP1688" s="2477"/>
      <c r="LHQ1688" s="2477"/>
      <c r="LHR1688" s="2477"/>
      <c r="LHS1688" s="2477"/>
      <c r="LHT1688" s="2477"/>
      <c r="LHU1688" s="2477"/>
      <c r="LHV1688" s="2477"/>
      <c r="LHW1688" s="2477"/>
      <c r="LHX1688" s="2477"/>
      <c r="LHY1688" s="2477"/>
      <c r="LHZ1688" s="2477"/>
      <c r="LIA1688" s="2477"/>
      <c r="LIB1688" s="2477"/>
      <c r="LIC1688" s="2477"/>
      <c r="LID1688" s="2477"/>
      <c r="LIE1688" s="2477"/>
      <c r="LIF1688" s="2477"/>
      <c r="LIG1688" s="2477"/>
      <c r="LIH1688" s="2477"/>
      <c r="LII1688" s="2477"/>
      <c r="LIJ1688" s="2477"/>
      <c r="LIK1688" s="2477"/>
      <c r="LIL1688" s="2477"/>
      <c r="LIM1688" s="2477"/>
      <c r="LIN1688" s="2477"/>
      <c r="LIO1688" s="2477"/>
      <c r="LIP1688" s="2477"/>
      <c r="LIQ1688" s="2477"/>
      <c r="LIR1688" s="2477"/>
      <c r="LIS1688" s="2477"/>
      <c r="LIT1688" s="2477"/>
      <c r="LIU1688" s="2477"/>
      <c r="LIV1688" s="2477"/>
      <c r="LIW1688" s="2477"/>
      <c r="LIX1688" s="2477"/>
      <c r="LIY1688" s="2477"/>
      <c r="LIZ1688" s="2477"/>
      <c r="LJA1688" s="2477"/>
      <c r="LJB1688" s="2477"/>
      <c r="LJC1688" s="2477"/>
      <c r="LJD1688" s="2477"/>
      <c r="LJE1688" s="2477"/>
      <c r="LJF1688" s="2477"/>
      <c r="LJG1688" s="2477"/>
      <c r="LJH1688" s="2477"/>
      <c r="LJI1688" s="2477"/>
      <c r="LJJ1688" s="2477"/>
      <c r="LJK1688" s="2477"/>
      <c r="LJL1688" s="2477"/>
      <c r="LJM1688" s="2477"/>
      <c r="LJN1688" s="2477"/>
      <c r="LJO1688" s="2477"/>
      <c r="LJP1688" s="2477"/>
      <c r="LJQ1688" s="2477"/>
      <c r="LJR1688" s="2477"/>
      <c r="LJS1688" s="2477"/>
      <c r="LJT1688" s="2477"/>
      <c r="LJU1688" s="2477"/>
      <c r="LJV1688" s="2477"/>
      <c r="LJW1688" s="2477"/>
      <c r="LJX1688" s="2477"/>
      <c r="LJY1688" s="2477"/>
      <c r="LJZ1688" s="2477"/>
      <c r="LKA1688" s="2477"/>
      <c r="LKB1688" s="2477"/>
      <c r="LKC1688" s="2477"/>
      <c r="LKD1688" s="2477"/>
      <c r="LKE1688" s="2477"/>
      <c r="LKF1688" s="2477"/>
      <c r="LKG1688" s="2477"/>
      <c r="LKH1688" s="2477"/>
      <c r="LKI1688" s="2477"/>
      <c r="LKJ1688" s="2477"/>
      <c r="LKK1688" s="2477"/>
      <c r="LKL1688" s="2477"/>
      <c r="LKM1688" s="2477"/>
      <c r="LKN1688" s="2477"/>
      <c r="LKO1688" s="2477"/>
      <c r="LKP1688" s="2477"/>
      <c r="LKQ1688" s="2477"/>
      <c r="LKR1688" s="2477"/>
      <c r="LKS1688" s="2477"/>
      <c r="LKT1688" s="2477"/>
      <c r="LKU1688" s="2477"/>
      <c r="LKV1688" s="2477"/>
      <c r="LKW1688" s="2477"/>
      <c r="LKX1688" s="2477"/>
      <c r="LKY1688" s="2477"/>
      <c r="LKZ1688" s="2477"/>
      <c r="LLA1688" s="2477"/>
      <c r="LLB1688" s="2477"/>
      <c r="LLC1688" s="2477"/>
      <c r="LLD1688" s="2477"/>
      <c r="LLE1688" s="2477"/>
      <c r="LLF1688" s="2477"/>
      <c r="LLG1688" s="2477"/>
      <c r="LLH1688" s="2477"/>
      <c r="LLI1688" s="2477"/>
      <c r="LLJ1688" s="2477"/>
      <c r="LLK1688" s="2477"/>
      <c r="LLL1688" s="2477"/>
      <c r="LLM1688" s="2477"/>
      <c r="LLN1688" s="2477"/>
      <c r="LLO1688" s="2477"/>
      <c r="LLP1688" s="2477"/>
      <c r="LLQ1688" s="2477"/>
      <c r="LLR1688" s="2477"/>
      <c r="LLS1688" s="2477"/>
      <c r="LLT1688" s="2477"/>
      <c r="LLU1688" s="2477"/>
      <c r="LLV1688" s="2477"/>
      <c r="LLW1688" s="2477"/>
      <c r="LLX1688" s="2477"/>
      <c r="LLY1688" s="2477"/>
      <c r="LLZ1688" s="2477"/>
      <c r="LMA1688" s="2477"/>
      <c r="LMB1688" s="2477"/>
      <c r="LMC1688" s="2477"/>
      <c r="LMD1688" s="2477"/>
      <c r="LME1688" s="2477"/>
      <c r="LMF1688" s="2477"/>
      <c r="LMG1688" s="2477"/>
      <c r="LMH1688" s="2477"/>
      <c r="LMI1688" s="2477"/>
      <c r="LMJ1688" s="2477"/>
      <c r="LMK1688" s="2477"/>
      <c r="LML1688" s="2477"/>
      <c r="LMM1688" s="2477"/>
      <c r="LMN1688" s="2477"/>
      <c r="LMO1688" s="2477"/>
      <c r="LMP1688" s="2477"/>
      <c r="LMQ1688" s="2477"/>
      <c r="LMR1688" s="2477"/>
      <c r="LMS1688" s="2477"/>
      <c r="LMT1688" s="2477"/>
      <c r="LMU1688" s="2477"/>
      <c r="LMV1688" s="2477"/>
      <c r="LMW1688" s="2477"/>
      <c r="LMX1688" s="2477"/>
      <c r="LMY1688" s="2477"/>
      <c r="LMZ1688" s="2477"/>
      <c r="LNA1688" s="2477"/>
      <c r="LNB1688" s="2477"/>
      <c r="LNC1688" s="2477"/>
      <c r="LND1688" s="2477"/>
      <c r="LNE1688" s="2477"/>
      <c r="LNF1688" s="2477"/>
      <c r="LNG1688" s="2477"/>
      <c r="LNH1688" s="2477"/>
      <c r="LNI1688" s="2477"/>
      <c r="LNJ1688" s="2477"/>
      <c r="LNK1688" s="2477"/>
      <c r="LNL1688" s="2477"/>
      <c r="LNM1688" s="2477"/>
      <c r="LNN1688" s="2477"/>
      <c r="LNO1688" s="2477"/>
      <c r="LNP1688" s="2477"/>
      <c r="LNQ1688" s="2477"/>
      <c r="LNR1688" s="2477"/>
      <c r="LNS1688" s="2477"/>
      <c r="LNT1688" s="2477"/>
      <c r="LNU1688" s="2477"/>
      <c r="LNV1688" s="2477"/>
      <c r="LNW1688" s="2477"/>
      <c r="LNX1688" s="2477"/>
      <c r="LNY1688" s="2477"/>
      <c r="LNZ1688" s="2477"/>
      <c r="LOA1688" s="2477"/>
      <c r="LOB1688" s="2477"/>
      <c r="LOC1688" s="2477"/>
      <c r="LOD1688" s="2477"/>
      <c r="LOE1688" s="2477"/>
      <c r="LOF1688" s="2477"/>
      <c r="LOG1688" s="2477"/>
      <c r="LOH1688" s="2477"/>
      <c r="LOI1688" s="2477"/>
      <c r="LOJ1688" s="2477"/>
      <c r="LOK1688" s="2477"/>
      <c r="LOL1688" s="2477"/>
      <c r="LOM1688" s="2477"/>
      <c r="LON1688" s="2477"/>
      <c r="LOO1688" s="2477"/>
      <c r="LOP1688" s="2477"/>
      <c r="LOQ1688" s="2477"/>
      <c r="LOR1688" s="2477"/>
      <c r="LOS1688" s="2477"/>
      <c r="LOT1688" s="2477"/>
      <c r="LOU1688" s="2477"/>
      <c r="LOV1688" s="2477"/>
      <c r="LOW1688" s="2477"/>
      <c r="LOX1688" s="2477"/>
      <c r="LOY1688" s="2477"/>
      <c r="LOZ1688" s="2477"/>
      <c r="LPA1688" s="2477"/>
      <c r="LPB1688" s="2477"/>
      <c r="LPC1688" s="2477"/>
      <c r="LPD1688" s="2477"/>
      <c r="LPE1688" s="2477"/>
      <c r="LPF1688" s="2477"/>
      <c r="LPG1688" s="2477"/>
      <c r="LPH1688" s="2477"/>
      <c r="LPI1688" s="2477"/>
      <c r="LPJ1688" s="2477"/>
      <c r="LPK1688" s="2477"/>
      <c r="LPL1688" s="2477"/>
      <c r="LPM1688" s="2477"/>
      <c r="LPN1688" s="2477"/>
      <c r="LPO1688" s="2477"/>
      <c r="LPP1688" s="2477"/>
      <c r="LPQ1688" s="2477"/>
      <c r="LPR1688" s="2477"/>
      <c r="LPS1688" s="2477"/>
      <c r="LPT1688" s="2477"/>
      <c r="LPU1688" s="2477"/>
      <c r="LPV1688" s="2477"/>
      <c r="LPW1688" s="2477"/>
      <c r="LPX1688" s="2477"/>
      <c r="LPY1688" s="2477"/>
      <c r="LPZ1688" s="2477"/>
      <c r="LQA1688" s="2477"/>
      <c r="LQB1688" s="2477"/>
      <c r="LQC1688" s="2477"/>
      <c r="LQD1688" s="2477"/>
      <c r="LQE1688" s="2477"/>
      <c r="LQF1688" s="2477"/>
      <c r="LQG1688" s="2477"/>
      <c r="LQH1688" s="2477"/>
      <c r="LQI1688" s="2477"/>
      <c r="LQJ1688" s="2477"/>
      <c r="LQK1688" s="2477"/>
      <c r="LQL1688" s="2477"/>
      <c r="LQM1688" s="2477"/>
      <c r="LQN1688" s="2477"/>
      <c r="LQO1688" s="2477"/>
      <c r="LQP1688" s="2477"/>
      <c r="LQQ1688" s="2477"/>
      <c r="LQR1688" s="2477"/>
      <c r="LQS1688" s="2477"/>
      <c r="LQT1688" s="2477"/>
      <c r="LQU1688" s="2477"/>
      <c r="LQV1688" s="2477"/>
      <c r="LQW1688" s="2477"/>
      <c r="LQX1688" s="2477"/>
      <c r="LQY1688" s="2477"/>
      <c r="LQZ1688" s="2477"/>
      <c r="LRA1688" s="2477"/>
      <c r="LRB1688" s="2477"/>
      <c r="LRC1688" s="2477"/>
      <c r="LRD1688" s="2477"/>
      <c r="LRE1688" s="2477"/>
      <c r="LRF1688" s="2477"/>
      <c r="LRG1688" s="2477"/>
      <c r="LRH1688" s="2477"/>
      <c r="LRI1688" s="2477"/>
      <c r="LRJ1688" s="2477"/>
      <c r="LRK1688" s="2477"/>
      <c r="LRL1688" s="2477"/>
      <c r="LRM1688" s="2477"/>
      <c r="LRN1688" s="2477"/>
      <c r="LRO1688" s="2477"/>
      <c r="LRP1688" s="2477"/>
      <c r="LRQ1688" s="2477"/>
      <c r="LRR1688" s="2477"/>
      <c r="LRS1688" s="2477"/>
      <c r="LRT1688" s="2477"/>
      <c r="LRU1688" s="2477"/>
      <c r="LRV1688" s="2477"/>
      <c r="LRW1688" s="2477"/>
      <c r="LRX1688" s="2477"/>
      <c r="LRY1688" s="2477"/>
      <c r="LRZ1688" s="2477"/>
      <c r="LSA1688" s="2477"/>
      <c r="LSB1688" s="2477"/>
      <c r="LSC1688" s="2477"/>
      <c r="LSD1688" s="2477"/>
      <c r="LSE1688" s="2477"/>
      <c r="LSF1688" s="2477"/>
      <c r="LSG1688" s="2477"/>
      <c r="LSH1688" s="2477"/>
      <c r="LSI1688" s="2477"/>
      <c r="LSJ1688" s="2477"/>
      <c r="LSK1688" s="2477"/>
      <c r="LSL1688" s="2477"/>
      <c r="LSM1688" s="2477"/>
      <c r="LSN1688" s="2477"/>
      <c r="LSO1688" s="2477"/>
      <c r="LSP1688" s="2477"/>
      <c r="LSQ1688" s="2477"/>
      <c r="LSR1688" s="2477"/>
      <c r="LSS1688" s="2477"/>
      <c r="LST1688" s="2477"/>
      <c r="LSU1688" s="2477"/>
      <c r="LSV1688" s="2477"/>
      <c r="LSW1688" s="2477"/>
      <c r="LSX1688" s="2477"/>
      <c r="LSY1688" s="2477"/>
      <c r="LSZ1688" s="2477"/>
      <c r="LTA1688" s="2477"/>
      <c r="LTB1688" s="2477"/>
      <c r="LTC1688" s="2477"/>
      <c r="LTD1688" s="2477"/>
      <c r="LTE1688" s="2477"/>
      <c r="LTF1688" s="2477"/>
      <c r="LTG1688" s="2477"/>
      <c r="LTH1688" s="2477"/>
      <c r="LTI1688" s="2477"/>
      <c r="LTJ1688" s="2477"/>
      <c r="LTK1688" s="2477"/>
      <c r="LTL1688" s="2477"/>
      <c r="LTM1688" s="2477"/>
      <c r="LTN1688" s="2477"/>
      <c r="LTO1688" s="2477"/>
      <c r="LTP1688" s="2477"/>
      <c r="LTQ1688" s="2477"/>
      <c r="LTR1688" s="2477"/>
      <c r="LTS1688" s="2477"/>
      <c r="LTT1688" s="2477"/>
      <c r="LTU1688" s="2477"/>
      <c r="LTV1688" s="2477"/>
      <c r="LTW1688" s="2477"/>
      <c r="LTX1688" s="2477"/>
      <c r="LTY1688" s="2477"/>
      <c r="LTZ1688" s="2477"/>
      <c r="LUA1688" s="2477"/>
      <c r="LUB1688" s="2477"/>
      <c r="LUC1688" s="2477"/>
      <c r="LUD1688" s="2477"/>
      <c r="LUE1688" s="2477"/>
      <c r="LUF1688" s="2477"/>
      <c r="LUG1688" s="2477"/>
      <c r="LUH1688" s="2477"/>
      <c r="LUI1688" s="2477"/>
      <c r="LUJ1688" s="2477"/>
      <c r="LUK1688" s="2477"/>
      <c r="LUL1688" s="2477"/>
      <c r="LUM1688" s="2477"/>
      <c r="LUN1688" s="2477"/>
      <c r="LUO1688" s="2477"/>
      <c r="LUP1688" s="2477"/>
      <c r="LUQ1688" s="2477"/>
      <c r="LUR1688" s="2477"/>
      <c r="LUS1688" s="2477"/>
      <c r="LUT1688" s="2477"/>
      <c r="LUU1688" s="2477"/>
      <c r="LUV1688" s="2477"/>
      <c r="LUW1688" s="2477"/>
      <c r="LUX1688" s="2477"/>
      <c r="LUY1688" s="2477"/>
      <c r="LUZ1688" s="2477"/>
      <c r="LVA1688" s="2477"/>
      <c r="LVB1688" s="2477"/>
      <c r="LVC1688" s="2477"/>
      <c r="LVD1688" s="2477"/>
      <c r="LVE1688" s="2477"/>
      <c r="LVF1688" s="2477"/>
      <c r="LVG1688" s="2477"/>
      <c r="LVH1688" s="2477"/>
      <c r="LVI1688" s="2477"/>
      <c r="LVJ1688" s="2477"/>
      <c r="LVK1688" s="2477"/>
      <c r="LVL1688" s="2477"/>
      <c r="LVM1688" s="2477"/>
      <c r="LVN1688" s="2477"/>
      <c r="LVO1688" s="2477"/>
      <c r="LVP1688" s="2477"/>
      <c r="LVQ1688" s="2477"/>
      <c r="LVR1688" s="2477"/>
      <c r="LVS1688" s="2477"/>
      <c r="LVT1688" s="2477"/>
      <c r="LVU1688" s="2477"/>
      <c r="LVV1688" s="2477"/>
      <c r="LVW1688" s="2477"/>
      <c r="LVX1688" s="2477"/>
      <c r="LVY1688" s="2477"/>
      <c r="LVZ1688" s="2477"/>
      <c r="LWA1688" s="2477"/>
      <c r="LWB1688" s="2477"/>
      <c r="LWC1688" s="2477"/>
      <c r="LWD1688" s="2477"/>
      <c r="LWE1688" s="2477"/>
      <c r="LWF1688" s="2477"/>
      <c r="LWG1688" s="2477"/>
      <c r="LWH1688" s="2477"/>
      <c r="LWI1688" s="2477"/>
      <c r="LWJ1688" s="2477"/>
      <c r="LWK1688" s="2477"/>
      <c r="LWL1688" s="2477"/>
      <c r="LWM1688" s="2477"/>
      <c r="LWN1688" s="2477"/>
      <c r="LWO1688" s="2477"/>
      <c r="LWP1688" s="2477"/>
      <c r="LWQ1688" s="2477"/>
      <c r="LWR1688" s="2477"/>
      <c r="LWS1688" s="2477"/>
      <c r="LWT1688" s="2477"/>
      <c r="LWU1688" s="2477"/>
      <c r="LWV1688" s="2477"/>
      <c r="LWW1688" s="2477"/>
      <c r="LWX1688" s="2477"/>
      <c r="LWY1688" s="2477"/>
      <c r="LWZ1688" s="2477"/>
      <c r="LXA1688" s="2477"/>
      <c r="LXB1688" s="2477"/>
      <c r="LXC1688" s="2477"/>
      <c r="LXD1688" s="2477"/>
      <c r="LXE1688" s="2477"/>
      <c r="LXF1688" s="2477"/>
      <c r="LXG1688" s="2477"/>
      <c r="LXH1688" s="2477"/>
      <c r="LXI1688" s="2477"/>
      <c r="LXJ1688" s="2477"/>
      <c r="LXK1688" s="2477"/>
      <c r="LXL1688" s="2477"/>
      <c r="LXM1688" s="2477"/>
      <c r="LXN1688" s="2477"/>
      <c r="LXO1688" s="2477"/>
      <c r="LXP1688" s="2477"/>
      <c r="LXQ1688" s="2477"/>
      <c r="LXR1688" s="2477"/>
      <c r="LXS1688" s="2477"/>
      <c r="LXT1688" s="2477"/>
      <c r="LXU1688" s="2477"/>
      <c r="LXV1688" s="2477"/>
      <c r="LXW1688" s="2477"/>
      <c r="LXX1688" s="2477"/>
      <c r="LXY1688" s="2477"/>
      <c r="LXZ1688" s="2477"/>
      <c r="LYA1688" s="2477"/>
      <c r="LYB1688" s="2477"/>
      <c r="LYC1688" s="2477"/>
      <c r="LYD1688" s="2477"/>
      <c r="LYE1688" s="2477"/>
      <c r="LYF1688" s="2477"/>
      <c r="LYG1688" s="2477"/>
      <c r="LYH1688" s="2477"/>
      <c r="LYI1688" s="2477"/>
      <c r="LYJ1688" s="2477"/>
      <c r="LYK1688" s="2477"/>
      <c r="LYL1688" s="2477"/>
      <c r="LYM1688" s="2477"/>
      <c r="LYN1688" s="2477"/>
      <c r="LYO1688" s="2477"/>
      <c r="LYP1688" s="2477"/>
      <c r="LYQ1688" s="2477"/>
      <c r="LYR1688" s="2477"/>
      <c r="LYS1688" s="2477"/>
      <c r="LYT1688" s="2477"/>
      <c r="LYU1688" s="2477"/>
      <c r="LYV1688" s="2477"/>
      <c r="LYW1688" s="2477"/>
      <c r="LYX1688" s="2477"/>
      <c r="LYY1688" s="2477"/>
      <c r="LYZ1688" s="2477"/>
      <c r="LZA1688" s="2477"/>
      <c r="LZB1688" s="2477"/>
      <c r="LZC1688" s="2477"/>
      <c r="LZD1688" s="2477"/>
      <c r="LZE1688" s="2477"/>
      <c r="LZF1688" s="2477"/>
      <c r="LZG1688" s="2477"/>
      <c r="LZH1688" s="2477"/>
      <c r="LZI1688" s="2477"/>
      <c r="LZJ1688" s="2477"/>
      <c r="LZK1688" s="2477"/>
      <c r="LZL1688" s="2477"/>
      <c r="LZM1688" s="2477"/>
      <c r="LZN1688" s="2477"/>
      <c r="LZO1688" s="2477"/>
      <c r="LZP1688" s="2477"/>
      <c r="LZQ1688" s="2477"/>
      <c r="LZR1688" s="2477"/>
      <c r="LZS1688" s="2477"/>
      <c r="LZT1688" s="2477"/>
      <c r="LZU1688" s="2477"/>
      <c r="LZV1688" s="2477"/>
      <c r="LZW1688" s="2477"/>
      <c r="LZX1688" s="2477"/>
      <c r="LZY1688" s="2477"/>
      <c r="LZZ1688" s="2477"/>
      <c r="MAA1688" s="2477"/>
      <c r="MAB1688" s="2477"/>
      <c r="MAC1688" s="2477"/>
      <c r="MAD1688" s="2477"/>
      <c r="MAE1688" s="2477"/>
      <c r="MAF1688" s="2477"/>
      <c r="MAG1688" s="2477"/>
      <c r="MAH1688" s="2477"/>
      <c r="MAI1688" s="2477"/>
      <c r="MAJ1688" s="2477"/>
      <c r="MAK1688" s="2477"/>
      <c r="MAL1688" s="2477"/>
      <c r="MAM1688" s="2477"/>
      <c r="MAN1688" s="2477"/>
      <c r="MAO1688" s="2477"/>
      <c r="MAP1688" s="2477"/>
      <c r="MAQ1688" s="2477"/>
      <c r="MAR1688" s="2477"/>
      <c r="MAS1688" s="2477"/>
      <c r="MAT1688" s="2477"/>
      <c r="MAU1688" s="2477"/>
      <c r="MAV1688" s="2477"/>
      <c r="MAW1688" s="2477"/>
      <c r="MAX1688" s="2477"/>
      <c r="MAY1688" s="2477"/>
      <c r="MAZ1688" s="2477"/>
      <c r="MBA1688" s="2477"/>
      <c r="MBB1688" s="2477"/>
      <c r="MBC1688" s="2477"/>
      <c r="MBD1688" s="2477"/>
      <c r="MBE1688" s="2477"/>
      <c r="MBF1688" s="2477"/>
      <c r="MBG1688" s="2477"/>
      <c r="MBH1688" s="2477"/>
      <c r="MBI1688" s="2477"/>
      <c r="MBJ1688" s="2477"/>
      <c r="MBK1688" s="2477"/>
      <c r="MBL1688" s="2477"/>
      <c r="MBM1688" s="2477"/>
      <c r="MBN1688" s="2477"/>
      <c r="MBO1688" s="2477"/>
      <c r="MBP1688" s="2477"/>
      <c r="MBQ1688" s="2477"/>
      <c r="MBR1688" s="2477"/>
      <c r="MBS1688" s="2477"/>
      <c r="MBT1688" s="2477"/>
      <c r="MBU1688" s="2477"/>
      <c r="MBV1688" s="2477"/>
      <c r="MBW1688" s="2477"/>
      <c r="MBX1688" s="2477"/>
      <c r="MBY1688" s="2477"/>
      <c r="MBZ1688" s="2477"/>
      <c r="MCA1688" s="2477"/>
      <c r="MCB1688" s="2477"/>
      <c r="MCC1688" s="2477"/>
      <c r="MCD1688" s="2477"/>
      <c r="MCE1688" s="2477"/>
      <c r="MCF1688" s="2477"/>
      <c r="MCG1688" s="2477"/>
      <c r="MCH1688" s="2477"/>
      <c r="MCI1688" s="2477"/>
      <c r="MCJ1688" s="2477"/>
      <c r="MCK1688" s="2477"/>
      <c r="MCL1688" s="2477"/>
      <c r="MCM1688" s="2477"/>
      <c r="MCN1688" s="2477"/>
      <c r="MCO1688" s="2477"/>
      <c r="MCP1688" s="2477"/>
      <c r="MCQ1688" s="2477"/>
      <c r="MCR1688" s="2477"/>
      <c r="MCS1688" s="2477"/>
      <c r="MCT1688" s="2477"/>
      <c r="MCU1688" s="2477"/>
      <c r="MCV1688" s="2477"/>
      <c r="MCW1688" s="2477"/>
      <c r="MCX1688" s="2477"/>
      <c r="MCY1688" s="2477"/>
      <c r="MCZ1688" s="2477"/>
      <c r="MDA1688" s="2477"/>
      <c r="MDB1688" s="2477"/>
      <c r="MDC1688" s="2477"/>
      <c r="MDD1688" s="2477"/>
      <c r="MDE1688" s="2477"/>
      <c r="MDF1688" s="2477"/>
      <c r="MDG1688" s="2477"/>
      <c r="MDH1688" s="2477"/>
      <c r="MDI1688" s="2477"/>
      <c r="MDJ1688" s="2477"/>
      <c r="MDK1688" s="2477"/>
      <c r="MDL1688" s="2477"/>
      <c r="MDM1688" s="2477"/>
      <c r="MDN1688" s="2477"/>
      <c r="MDO1688" s="2477"/>
      <c r="MDP1688" s="2477"/>
      <c r="MDQ1688" s="2477"/>
      <c r="MDR1688" s="2477"/>
      <c r="MDS1688" s="2477"/>
      <c r="MDT1688" s="2477"/>
      <c r="MDU1688" s="2477"/>
      <c r="MDV1688" s="2477"/>
      <c r="MDW1688" s="2477"/>
      <c r="MDX1688" s="2477"/>
      <c r="MDY1688" s="2477"/>
      <c r="MDZ1688" s="2477"/>
      <c r="MEA1688" s="2477"/>
      <c r="MEB1688" s="2477"/>
      <c r="MEC1688" s="2477"/>
      <c r="MED1688" s="2477"/>
      <c r="MEE1688" s="2477"/>
      <c r="MEF1688" s="2477"/>
      <c r="MEG1688" s="2477"/>
      <c r="MEH1688" s="2477"/>
      <c r="MEI1688" s="2477"/>
      <c r="MEJ1688" s="2477"/>
      <c r="MEK1688" s="2477"/>
      <c r="MEL1688" s="2477"/>
      <c r="MEM1688" s="2477"/>
      <c r="MEN1688" s="2477"/>
      <c r="MEO1688" s="2477"/>
      <c r="MEP1688" s="2477"/>
      <c r="MEQ1688" s="2477"/>
      <c r="MER1688" s="2477"/>
      <c r="MES1688" s="2477"/>
      <c r="MET1688" s="2477"/>
      <c r="MEU1688" s="2477"/>
      <c r="MEV1688" s="2477"/>
      <c r="MEW1688" s="2477"/>
      <c r="MEX1688" s="2477"/>
      <c r="MEY1688" s="2477"/>
      <c r="MEZ1688" s="2477"/>
      <c r="MFA1688" s="2477"/>
      <c r="MFB1688" s="2477"/>
      <c r="MFC1688" s="2477"/>
      <c r="MFD1688" s="2477"/>
      <c r="MFE1688" s="2477"/>
      <c r="MFF1688" s="2477"/>
      <c r="MFG1688" s="2477"/>
      <c r="MFH1688" s="2477"/>
      <c r="MFI1688" s="2477"/>
      <c r="MFJ1688" s="2477"/>
      <c r="MFK1688" s="2477"/>
      <c r="MFL1688" s="2477"/>
      <c r="MFM1688" s="2477"/>
      <c r="MFN1688" s="2477"/>
      <c r="MFO1688" s="2477"/>
      <c r="MFP1688" s="2477"/>
      <c r="MFQ1688" s="2477"/>
      <c r="MFR1688" s="2477"/>
      <c r="MFS1688" s="2477"/>
      <c r="MFT1688" s="2477"/>
      <c r="MFU1688" s="2477"/>
      <c r="MFV1688" s="2477"/>
      <c r="MFW1688" s="2477"/>
      <c r="MFX1688" s="2477"/>
      <c r="MFY1688" s="2477"/>
      <c r="MFZ1688" s="2477"/>
      <c r="MGA1688" s="2477"/>
      <c r="MGB1688" s="2477"/>
      <c r="MGC1688" s="2477"/>
      <c r="MGD1688" s="2477"/>
      <c r="MGE1688" s="2477"/>
      <c r="MGF1688" s="2477"/>
      <c r="MGG1688" s="2477"/>
      <c r="MGH1688" s="2477"/>
      <c r="MGI1688" s="2477"/>
      <c r="MGJ1688" s="2477"/>
      <c r="MGK1688" s="2477"/>
      <c r="MGL1688" s="2477"/>
      <c r="MGM1688" s="2477"/>
      <c r="MGN1688" s="2477"/>
      <c r="MGO1688" s="2477"/>
      <c r="MGP1688" s="2477"/>
      <c r="MGQ1688" s="2477"/>
      <c r="MGR1688" s="2477"/>
      <c r="MGS1688" s="2477"/>
      <c r="MGT1688" s="2477"/>
      <c r="MGU1688" s="2477"/>
      <c r="MGV1688" s="2477"/>
      <c r="MGW1688" s="2477"/>
      <c r="MGX1688" s="2477"/>
      <c r="MGY1688" s="2477"/>
      <c r="MGZ1688" s="2477"/>
      <c r="MHA1688" s="2477"/>
      <c r="MHB1688" s="2477"/>
      <c r="MHC1688" s="2477"/>
      <c r="MHD1688" s="2477"/>
      <c r="MHE1688" s="2477"/>
      <c r="MHF1688" s="2477"/>
      <c r="MHG1688" s="2477"/>
      <c r="MHH1688" s="2477"/>
      <c r="MHI1688" s="2477"/>
      <c r="MHJ1688" s="2477"/>
      <c r="MHK1688" s="2477"/>
      <c r="MHL1688" s="2477"/>
      <c r="MHM1688" s="2477"/>
      <c r="MHN1688" s="2477"/>
      <c r="MHO1688" s="2477"/>
      <c r="MHP1688" s="2477"/>
      <c r="MHQ1688" s="2477"/>
      <c r="MHR1688" s="2477"/>
      <c r="MHS1688" s="2477"/>
      <c r="MHT1688" s="2477"/>
      <c r="MHU1688" s="2477"/>
      <c r="MHV1688" s="2477"/>
      <c r="MHW1688" s="2477"/>
      <c r="MHX1688" s="2477"/>
      <c r="MHY1688" s="2477"/>
      <c r="MHZ1688" s="2477"/>
      <c r="MIA1688" s="2477"/>
      <c r="MIB1688" s="2477"/>
      <c r="MIC1688" s="2477"/>
      <c r="MID1688" s="2477"/>
      <c r="MIE1688" s="2477"/>
      <c r="MIF1688" s="2477"/>
      <c r="MIG1688" s="2477"/>
      <c r="MIH1688" s="2477"/>
      <c r="MII1688" s="2477"/>
      <c r="MIJ1688" s="2477"/>
      <c r="MIK1688" s="2477"/>
      <c r="MIL1688" s="2477"/>
      <c r="MIM1688" s="2477"/>
      <c r="MIN1688" s="2477"/>
      <c r="MIO1688" s="2477"/>
      <c r="MIP1688" s="2477"/>
      <c r="MIQ1688" s="2477"/>
      <c r="MIR1688" s="2477"/>
      <c r="MIS1688" s="2477"/>
      <c r="MIT1688" s="2477"/>
      <c r="MIU1688" s="2477"/>
      <c r="MIV1688" s="2477"/>
      <c r="MIW1688" s="2477"/>
      <c r="MIX1688" s="2477"/>
      <c r="MIY1688" s="2477"/>
      <c r="MIZ1688" s="2477"/>
      <c r="MJA1688" s="2477"/>
      <c r="MJB1688" s="2477"/>
      <c r="MJC1688" s="2477"/>
      <c r="MJD1688" s="2477"/>
      <c r="MJE1688" s="2477"/>
      <c r="MJF1688" s="2477"/>
      <c r="MJG1688" s="2477"/>
      <c r="MJH1688" s="2477"/>
      <c r="MJI1688" s="2477"/>
      <c r="MJJ1688" s="2477"/>
      <c r="MJK1688" s="2477"/>
      <c r="MJL1688" s="2477"/>
      <c r="MJM1688" s="2477"/>
      <c r="MJN1688" s="2477"/>
      <c r="MJO1688" s="2477"/>
      <c r="MJP1688" s="2477"/>
      <c r="MJQ1688" s="2477"/>
      <c r="MJR1688" s="2477"/>
      <c r="MJS1688" s="2477"/>
      <c r="MJT1688" s="2477"/>
      <c r="MJU1688" s="2477"/>
      <c r="MJV1688" s="2477"/>
      <c r="MJW1688" s="2477"/>
      <c r="MJX1688" s="2477"/>
      <c r="MJY1688" s="2477"/>
      <c r="MJZ1688" s="2477"/>
      <c r="MKA1688" s="2477"/>
      <c r="MKB1688" s="2477"/>
      <c r="MKC1688" s="2477"/>
      <c r="MKD1688" s="2477"/>
      <c r="MKE1688" s="2477"/>
      <c r="MKF1688" s="2477"/>
      <c r="MKG1688" s="2477"/>
      <c r="MKH1688" s="2477"/>
      <c r="MKI1688" s="2477"/>
      <c r="MKJ1688" s="2477"/>
      <c r="MKK1688" s="2477"/>
      <c r="MKL1688" s="2477"/>
      <c r="MKM1688" s="2477"/>
      <c r="MKN1688" s="2477"/>
      <c r="MKO1688" s="2477"/>
      <c r="MKP1688" s="2477"/>
      <c r="MKQ1688" s="2477"/>
      <c r="MKR1688" s="2477"/>
      <c r="MKS1688" s="2477"/>
      <c r="MKT1688" s="2477"/>
      <c r="MKU1688" s="2477"/>
      <c r="MKV1688" s="2477"/>
      <c r="MKW1688" s="2477"/>
      <c r="MKX1688" s="2477"/>
      <c r="MKY1688" s="2477"/>
      <c r="MKZ1688" s="2477"/>
      <c r="MLA1688" s="2477"/>
      <c r="MLB1688" s="2477"/>
      <c r="MLC1688" s="2477"/>
      <c r="MLD1688" s="2477"/>
      <c r="MLE1688" s="2477"/>
      <c r="MLF1688" s="2477"/>
      <c r="MLG1688" s="2477"/>
      <c r="MLH1688" s="2477"/>
      <c r="MLI1688" s="2477"/>
      <c r="MLJ1688" s="2477"/>
      <c r="MLK1688" s="2477"/>
      <c r="MLL1688" s="2477"/>
      <c r="MLM1688" s="2477"/>
      <c r="MLN1688" s="2477"/>
      <c r="MLO1688" s="2477"/>
      <c r="MLP1688" s="2477"/>
      <c r="MLQ1688" s="2477"/>
      <c r="MLR1688" s="2477"/>
      <c r="MLS1688" s="2477"/>
      <c r="MLT1688" s="2477"/>
      <c r="MLU1688" s="2477"/>
      <c r="MLV1688" s="2477"/>
      <c r="MLW1688" s="2477"/>
      <c r="MLX1688" s="2477"/>
      <c r="MLY1688" s="2477"/>
      <c r="MLZ1688" s="2477"/>
      <c r="MMA1688" s="2477"/>
      <c r="MMB1688" s="2477"/>
      <c r="MMC1688" s="2477"/>
      <c r="MMD1688" s="2477"/>
      <c r="MME1688" s="2477"/>
      <c r="MMF1688" s="2477"/>
      <c r="MMG1688" s="2477"/>
      <c r="MMH1688" s="2477"/>
      <c r="MMI1688" s="2477"/>
      <c r="MMJ1688" s="2477"/>
      <c r="MMK1688" s="2477"/>
      <c r="MML1688" s="2477"/>
      <c r="MMM1688" s="2477"/>
      <c r="MMN1688" s="2477"/>
      <c r="MMO1688" s="2477"/>
      <c r="MMP1688" s="2477"/>
      <c r="MMQ1688" s="2477"/>
      <c r="MMR1688" s="2477"/>
      <c r="MMS1688" s="2477"/>
      <c r="MMT1688" s="2477"/>
      <c r="MMU1688" s="2477"/>
      <c r="MMV1688" s="2477"/>
      <c r="MMW1688" s="2477"/>
      <c r="MMX1688" s="2477"/>
      <c r="MMY1688" s="2477"/>
      <c r="MMZ1688" s="2477"/>
      <c r="MNA1688" s="2477"/>
      <c r="MNB1688" s="2477"/>
      <c r="MNC1688" s="2477"/>
      <c r="MND1688" s="2477"/>
      <c r="MNE1688" s="2477"/>
      <c r="MNF1688" s="2477"/>
      <c r="MNG1688" s="2477"/>
      <c r="MNH1688" s="2477"/>
      <c r="MNI1688" s="2477"/>
      <c r="MNJ1688" s="2477"/>
      <c r="MNK1688" s="2477"/>
      <c r="MNL1688" s="2477"/>
      <c r="MNM1688" s="2477"/>
      <c r="MNN1688" s="2477"/>
      <c r="MNO1688" s="2477"/>
      <c r="MNP1688" s="2477"/>
      <c r="MNQ1688" s="2477"/>
      <c r="MNR1688" s="2477"/>
      <c r="MNS1688" s="2477"/>
      <c r="MNT1688" s="2477"/>
      <c r="MNU1688" s="2477"/>
      <c r="MNV1688" s="2477"/>
      <c r="MNW1688" s="2477"/>
      <c r="MNX1688" s="2477"/>
      <c r="MNY1688" s="2477"/>
      <c r="MNZ1688" s="2477"/>
      <c r="MOA1688" s="2477"/>
      <c r="MOB1688" s="2477"/>
      <c r="MOC1688" s="2477"/>
      <c r="MOD1688" s="2477"/>
      <c r="MOE1688" s="2477"/>
      <c r="MOF1688" s="2477"/>
      <c r="MOG1688" s="2477"/>
      <c r="MOH1688" s="2477"/>
      <c r="MOI1688" s="2477"/>
      <c r="MOJ1688" s="2477"/>
      <c r="MOK1688" s="2477"/>
      <c r="MOL1688" s="2477"/>
      <c r="MOM1688" s="2477"/>
      <c r="MON1688" s="2477"/>
      <c r="MOO1688" s="2477"/>
      <c r="MOP1688" s="2477"/>
      <c r="MOQ1688" s="2477"/>
      <c r="MOR1688" s="2477"/>
      <c r="MOS1688" s="2477"/>
      <c r="MOT1688" s="2477"/>
      <c r="MOU1688" s="2477"/>
      <c r="MOV1688" s="2477"/>
      <c r="MOW1688" s="2477"/>
      <c r="MOX1688" s="2477"/>
      <c r="MOY1688" s="2477"/>
      <c r="MOZ1688" s="2477"/>
      <c r="MPA1688" s="2477"/>
      <c r="MPB1688" s="2477"/>
      <c r="MPC1688" s="2477"/>
      <c r="MPD1688" s="2477"/>
      <c r="MPE1688" s="2477"/>
      <c r="MPF1688" s="2477"/>
      <c r="MPG1688" s="2477"/>
      <c r="MPH1688" s="2477"/>
      <c r="MPI1688" s="2477"/>
      <c r="MPJ1688" s="2477"/>
      <c r="MPK1688" s="2477"/>
      <c r="MPL1688" s="2477"/>
      <c r="MPM1688" s="2477"/>
      <c r="MPN1688" s="2477"/>
      <c r="MPO1688" s="2477"/>
      <c r="MPP1688" s="2477"/>
      <c r="MPQ1688" s="2477"/>
      <c r="MPR1688" s="2477"/>
      <c r="MPS1688" s="2477"/>
      <c r="MPT1688" s="2477"/>
      <c r="MPU1688" s="2477"/>
      <c r="MPV1688" s="2477"/>
      <c r="MPW1688" s="2477"/>
      <c r="MPX1688" s="2477"/>
      <c r="MPY1688" s="2477"/>
      <c r="MPZ1688" s="2477"/>
      <c r="MQA1688" s="2477"/>
      <c r="MQB1688" s="2477"/>
      <c r="MQC1688" s="2477"/>
      <c r="MQD1688" s="2477"/>
      <c r="MQE1688" s="2477"/>
      <c r="MQF1688" s="2477"/>
      <c r="MQG1688" s="2477"/>
      <c r="MQH1688" s="2477"/>
      <c r="MQI1688" s="2477"/>
      <c r="MQJ1688" s="2477"/>
      <c r="MQK1688" s="2477"/>
      <c r="MQL1688" s="2477"/>
      <c r="MQM1688" s="2477"/>
      <c r="MQN1688" s="2477"/>
      <c r="MQO1688" s="2477"/>
      <c r="MQP1688" s="2477"/>
      <c r="MQQ1688" s="2477"/>
      <c r="MQR1688" s="2477"/>
      <c r="MQS1688" s="2477"/>
      <c r="MQT1688" s="2477"/>
      <c r="MQU1688" s="2477"/>
      <c r="MQV1688" s="2477"/>
      <c r="MQW1688" s="2477"/>
      <c r="MQX1688" s="2477"/>
      <c r="MQY1688" s="2477"/>
      <c r="MQZ1688" s="2477"/>
      <c r="MRA1688" s="2477"/>
      <c r="MRB1688" s="2477"/>
      <c r="MRC1688" s="2477"/>
      <c r="MRD1688" s="2477"/>
      <c r="MRE1688" s="2477"/>
      <c r="MRF1688" s="2477"/>
      <c r="MRG1688" s="2477"/>
      <c r="MRH1688" s="2477"/>
      <c r="MRI1688" s="2477"/>
      <c r="MRJ1688" s="2477"/>
      <c r="MRK1688" s="2477"/>
      <c r="MRL1688" s="2477"/>
      <c r="MRM1688" s="2477"/>
      <c r="MRN1688" s="2477"/>
      <c r="MRO1688" s="2477"/>
      <c r="MRP1688" s="2477"/>
      <c r="MRQ1688" s="2477"/>
      <c r="MRR1688" s="2477"/>
      <c r="MRS1688" s="2477"/>
      <c r="MRT1688" s="2477"/>
      <c r="MRU1688" s="2477"/>
      <c r="MRV1688" s="2477"/>
      <c r="MRW1688" s="2477"/>
      <c r="MRX1688" s="2477"/>
      <c r="MRY1688" s="2477"/>
      <c r="MRZ1688" s="2477"/>
      <c r="MSA1688" s="2477"/>
      <c r="MSB1688" s="2477"/>
      <c r="MSC1688" s="2477"/>
      <c r="MSD1688" s="2477"/>
      <c r="MSE1688" s="2477"/>
      <c r="MSF1688" s="2477"/>
      <c r="MSG1688" s="2477"/>
      <c r="MSH1688" s="2477"/>
      <c r="MSI1688" s="2477"/>
      <c r="MSJ1688" s="2477"/>
      <c r="MSK1688" s="2477"/>
      <c r="MSL1688" s="2477"/>
      <c r="MSM1688" s="2477"/>
      <c r="MSN1688" s="2477"/>
      <c r="MSO1688" s="2477"/>
      <c r="MSP1688" s="2477"/>
      <c r="MSQ1688" s="2477"/>
      <c r="MSR1688" s="2477"/>
      <c r="MSS1688" s="2477"/>
      <c r="MST1688" s="2477"/>
      <c r="MSU1688" s="2477"/>
      <c r="MSV1688" s="2477"/>
      <c r="MSW1688" s="2477"/>
      <c r="MSX1688" s="2477"/>
      <c r="MSY1688" s="2477"/>
      <c r="MSZ1688" s="2477"/>
      <c r="MTA1688" s="2477"/>
      <c r="MTB1688" s="2477"/>
      <c r="MTC1688" s="2477"/>
      <c r="MTD1688" s="2477"/>
      <c r="MTE1688" s="2477"/>
      <c r="MTF1688" s="2477"/>
      <c r="MTG1688" s="2477"/>
      <c r="MTH1688" s="2477"/>
      <c r="MTI1688" s="2477"/>
      <c r="MTJ1688" s="2477"/>
      <c r="MTK1688" s="2477"/>
      <c r="MTL1688" s="2477"/>
      <c r="MTM1688" s="2477"/>
      <c r="MTN1688" s="2477"/>
      <c r="MTO1688" s="2477"/>
      <c r="MTP1688" s="2477"/>
      <c r="MTQ1688" s="2477"/>
      <c r="MTR1688" s="2477"/>
      <c r="MTS1688" s="2477"/>
      <c r="MTT1688" s="2477"/>
      <c r="MTU1688" s="2477"/>
      <c r="MTV1688" s="2477"/>
      <c r="MTW1688" s="2477"/>
      <c r="MTX1688" s="2477"/>
      <c r="MTY1688" s="2477"/>
      <c r="MTZ1688" s="2477"/>
      <c r="MUA1688" s="2477"/>
      <c r="MUB1688" s="2477"/>
      <c r="MUC1688" s="2477"/>
      <c r="MUD1688" s="2477"/>
      <c r="MUE1688" s="2477"/>
      <c r="MUF1688" s="2477"/>
      <c r="MUG1688" s="2477"/>
      <c r="MUH1688" s="2477"/>
      <c r="MUI1688" s="2477"/>
      <c r="MUJ1688" s="2477"/>
      <c r="MUK1688" s="2477"/>
      <c r="MUL1688" s="2477"/>
      <c r="MUM1688" s="2477"/>
      <c r="MUN1688" s="2477"/>
      <c r="MUO1688" s="2477"/>
      <c r="MUP1688" s="2477"/>
      <c r="MUQ1688" s="2477"/>
      <c r="MUR1688" s="2477"/>
      <c r="MUS1688" s="2477"/>
      <c r="MUT1688" s="2477"/>
      <c r="MUU1688" s="2477"/>
      <c r="MUV1688" s="2477"/>
      <c r="MUW1688" s="2477"/>
      <c r="MUX1688" s="2477"/>
      <c r="MUY1688" s="2477"/>
      <c r="MUZ1688" s="2477"/>
      <c r="MVA1688" s="2477"/>
      <c r="MVB1688" s="2477"/>
      <c r="MVC1688" s="2477"/>
      <c r="MVD1688" s="2477"/>
      <c r="MVE1688" s="2477"/>
      <c r="MVF1688" s="2477"/>
      <c r="MVG1688" s="2477"/>
      <c r="MVH1688" s="2477"/>
      <c r="MVI1688" s="2477"/>
      <c r="MVJ1688" s="2477"/>
      <c r="MVK1688" s="2477"/>
      <c r="MVL1688" s="2477"/>
      <c r="MVM1688" s="2477"/>
      <c r="MVN1688" s="2477"/>
      <c r="MVO1688" s="2477"/>
      <c r="MVP1688" s="2477"/>
      <c r="MVQ1688" s="2477"/>
      <c r="MVR1688" s="2477"/>
      <c r="MVS1688" s="2477"/>
      <c r="MVT1688" s="2477"/>
      <c r="MVU1688" s="2477"/>
      <c r="MVV1688" s="2477"/>
      <c r="MVW1688" s="2477"/>
      <c r="MVX1688" s="2477"/>
      <c r="MVY1688" s="2477"/>
      <c r="MVZ1688" s="2477"/>
      <c r="MWA1688" s="2477"/>
      <c r="MWB1688" s="2477"/>
      <c r="MWC1688" s="2477"/>
      <c r="MWD1688" s="2477"/>
      <c r="MWE1688" s="2477"/>
      <c r="MWF1688" s="2477"/>
      <c r="MWG1688" s="2477"/>
      <c r="MWH1688" s="2477"/>
      <c r="MWI1688" s="2477"/>
      <c r="MWJ1688" s="2477"/>
      <c r="MWK1688" s="2477"/>
      <c r="MWL1688" s="2477"/>
      <c r="MWM1688" s="2477"/>
      <c r="MWN1688" s="2477"/>
      <c r="MWO1688" s="2477"/>
      <c r="MWP1688" s="2477"/>
      <c r="MWQ1688" s="2477"/>
      <c r="MWR1688" s="2477"/>
      <c r="MWS1688" s="2477"/>
      <c r="MWT1688" s="2477"/>
      <c r="MWU1688" s="2477"/>
      <c r="MWV1688" s="2477"/>
      <c r="MWW1688" s="2477"/>
      <c r="MWX1688" s="2477"/>
      <c r="MWY1688" s="2477"/>
      <c r="MWZ1688" s="2477"/>
      <c r="MXA1688" s="2477"/>
      <c r="MXB1688" s="2477"/>
      <c r="MXC1688" s="2477"/>
      <c r="MXD1688" s="2477"/>
      <c r="MXE1688" s="2477"/>
      <c r="MXF1688" s="2477"/>
      <c r="MXG1688" s="2477"/>
      <c r="MXH1688" s="2477"/>
      <c r="MXI1688" s="2477"/>
      <c r="MXJ1688" s="2477"/>
      <c r="MXK1688" s="2477"/>
      <c r="MXL1688" s="2477"/>
      <c r="MXM1688" s="2477"/>
      <c r="MXN1688" s="2477"/>
      <c r="MXO1688" s="2477"/>
      <c r="MXP1688" s="2477"/>
      <c r="MXQ1688" s="2477"/>
      <c r="MXR1688" s="2477"/>
      <c r="MXS1688" s="2477"/>
      <c r="MXT1688" s="2477"/>
      <c r="MXU1688" s="2477"/>
      <c r="MXV1688" s="2477"/>
      <c r="MXW1688" s="2477"/>
      <c r="MXX1688" s="2477"/>
      <c r="MXY1688" s="2477"/>
      <c r="MXZ1688" s="2477"/>
      <c r="MYA1688" s="2477"/>
      <c r="MYB1688" s="2477"/>
      <c r="MYC1688" s="2477"/>
      <c r="MYD1688" s="2477"/>
      <c r="MYE1688" s="2477"/>
      <c r="MYF1688" s="2477"/>
      <c r="MYG1688" s="2477"/>
      <c r="MYH1688" s="2477"/>
      <c r="MYI1688" s="2477"/>
      <c r="MYJ1688" s="2477"/>
      <c r="MYK1688" s="2477"/>
      <c r="MYL1688" s="2477"/>
      <c r="MYM1688" s="2477"/>
      <c r="MYN1688" s="2477"/>
      <c r="MYO1688" s="2477"/>
      <c r="MYP1688" s="2477"/>
      <c r="MYQ1688" s="2477"/>
      <c r="MYR1688" s="2477"/>
      <c r="MYS1688" s="2477"/>
      <c r="MYT1688" s="2477"/>
      <c r="MYU1688" s="2477"/>
      <c r="MYV1688" s="2477"/>
      <c r="MYW1688" s="2477"/>
      <c r="MYX1688" s="2477"/>
      <c r="MYY1688" s="2477"/>
      <c r="MYZ1688" s="2477"/>
      <c r="MZA1688" s="2477"/>
      <c r="MZB1688" s="2477"/>
      <c r="MZC1688" s="2477"/>
      <c r="MZD1688" s="2477"/>
      <c r="MZE1688" s="2477"/>
      <c r="MZF1688" s="2477"/>
      <c r="MZG1688" s="2477"/>
      <c r="MZH1688" s="2477"/>
      <c r="MZI1688" s="2477"/>
      <c r="MZJ1688" s="2477"/>
      <c r="MZK1688" s="2477"/>
      <c r="MZL1688" s="2477"/>
      <c r="MZM1688" s="2477"/>
      <c r="MZN1688" s="2477"/>
      <c r="MZO1688" s="2477"/>
      <c r="MZP1688" s="2477"/>
      <c r="MZQ1688" s="2477"/>
      <c r="MZR1688" s="2477"/>
      <c r="MZS1688" s="2477"/>
      <c r="MZT1688" s="2477"/>
      <c r="MZU1688" s="2477"/>
      <c r="MZV1688" s="2477"/>
      <c r="MZW1688" s="2477"/>
      <c r="MZX1688" s="2477"/>
      <c r="MZY1688" s="2477"/>
      <c r="MZZ1688" s="2477"/>
      <c r="NAA1688" s="2477"/>
      <c r="NAB1688" s="2477"/>
      <c r="NAC1688" s="2477"/>
      <c r="NAD1688" s="2477"/>
      <c r="NAE1688" s="2477"/>
      <c r="NAF1688" s="2477"/>
      <c r="NAG1688" s="2477"/>
      <c r="NAH1688" s="2477"/>
      <c r="NAI1688" s="2477"/>
      <c r="NAJ1688" s="2477"/>
      <c r="NAK1688" s="2477"/>
      <c r="NAL1688" s="2477"/>
      <c r="NAM1688" s="2477"/>
      <c r="NAN1688" s="2477"/>
      <c r="NAO1688" s="2477"/>
      <c r="NAP1688" s="2477"/>
      <c r="NAQ1688" s="2477"/>
      <c r="NAR1688" s="2477"/>
      <c r="NAS1688" s="2477"/>
      <c r="NAT1688" s="2477"/>
      <c r="NAU1688" s="2477"/>
      <c r="NAV1688" s="2477"/>
      <c r="NAW1688" s="2477"/>
      <c r="NAX1688" s="2477"/>
      <c r="NAY1688" s="2477"/>
      <c r="NAZ1688" s="2477"/>
      <c r="NBA1688" s="2477"/>
      <c r="NBB1688" s="2477"/>
      <c r="NBC1688" s="2477"/>
      <c r="NBD1688" s="2477"/>
      <c r="NBE1688" s="2477"/>
      <c r="NBF1688" s="2477"/>
      <c r="NBG1688" s="2477"/>
      <c r="NBH1688" s="2477"/>
      <c r="NBI1688" s="2477"/>
      <c r="NBJ1688" s="2477"/>
      <c r="NBK1688" s="2477"/>
      <c r="NBL1688" s="2477"/>
      <c r="NBM1688" s="2477"/>
      <c r="NBN1688" s="2477"/>
      <c r="NBO1688" s="2477"/>
      <c r="NBP1688" s="2477"/>
      <c r="NBQ1688" s="2477"/>
      <c r="NBR1688" s="2477"/>
      <c r="NBS1688" s="2477"/>
      <c r="NBT1688" s="2477"/>
      <c r="NBU1688" s="2477"/>
      <c r="NBV1688" s="2477"/>
      <c r="NBW1688" s="2477"/>
      <c r="NBX1688" s="2477"/>
      <c r="NBY1688" s="2477"/>
      <c r="NBZ1688" s="2477"/>
      <c r="NCA1688" s="2477"/>
      <c r="NCB1688" s="2477"/>
      <c r="NCC1688" s="2477"/>
      <c r="NCD1688" s="2477"/>
      <c r="NCE1688" s="2477"/>
      <c r="NCF1688" s="2477"/>
      <c r="NCG1688" s="2477"/>
      <c r="NCH1688" s="2477"/>
      <c r="NCI1688" s="2477"/>
      <c r="NCJ1688" s="2477"/>
      <c r="NCK1688" s="2477"/>
      <c r="NCL1688" s="2477"/>
      <c r="NCM1688" s="2477"/>
      <c r="NCN1688" s="2477"/>
      <c r="NCO1688" s="2477"/>
      <c r="NCP1688" s="2477"/>
      <c r="NCQ1688" s="2477"/>
      <c r="NCR1688" s="2477"/>
      <c r="NCS1688" s="2477"/>
      <c r="NCT1688" s="2477"/>
      <c r="NCU1688" s="2477"/>
      <c r="NCV1688" s="2477"/>
      <c r="NCW1688" s="2477"/>
      <c r="NCX1688" s="2477"/>
      <c r="NCY1688" s="2477"/>
      <c r="NCZ1688" s="2477"/>
      <c r="NDA1688" s="2477"/>
      <c r="NDB1688" s="2477"/>
      <c r="NDC1688" s="2477"/>
      <c r="NDD1688" s="2477"/>
      <c r="NDE1688" s="2477"/>
      <c r="NDF1688" s="2477"/>
      <c r="NDG1688" s="2477"/>
      <c r="NDH1688" s="2477"/>
      <c r="NDI1688" s="2477"/>
      <c r="NDJ1688" s="2477"/>
      <c r="NDK1688" s="2477"/>
      <c r="NDL1688" s="2477"/>
      <c r="NDM1688" s="2477"/>
      <c r="NDN1688" s="2477"/>
      <c r="NDO1688" s="2477"/>
      <c r="NDP1688" s="2477"/>
      <c r="NDQ1688" s="2477"/>
      <c r="NDR1688" s="2477"/>
      <c r="NDS1688" s="2477"/>
      <c r="NDT1688" s="2477"/>
      <c r="NDU1688" s="2477"/>
      <c r="NDV1688" s="2477"/>
      <c r="NDW1688" s="2477"/>
      <c r="NDX1688" s="2477"/>
      <c r="NDY1688" s="2477"/>
      <c r="NDZ1688" s="2477"/>
      <c r="NEA1688" s="2477"/>
      <c r="NEB1688" s="2477"/>
      <c r="NEC1688" s="2477"/>
      <c r="NED1688" s="2477"/>
      <c r="NEE1688" s="2477"/>
      <c r="NEF1688" s="2477"/>
      <c r="NEG1688" s="2477"/>
      <c r="NEH1688" s="2477"/>
      <c r="NEI1688" s="2477"/>
      <c r="NEJ1688" s="2477"/>
      <c r="NEK1688" s="2477"/>
      <c r="NEL1688" s="2477"/>
      <c r="NEM1688" s="2477"/>
      <c r="NEN1688" s="2477"/>
      <c r="NEO1688" s="2477"/>
      <c r="NEP1688" s="2477"/>
      <c r="NEQ1688" s="2477"/>
      <c r="NER1688" s="2477"/>
      <c r="NES1688" s="2477"/>
      <c r="NET1688" s="2477"/>
      <c r="NEU1688" s="2477"/>
      <c r="NEV1688" s="2477"/>
      <c r="NEW1688" s="2477"/>
      <c r="NEX1688" s="2477"/>
      <c r="NEY1688" s="2477"/>
      <c r="NEZ1688" s="2477"/>
      <c r="NFA1688" s="2477"/>
      <c r="NFB1688" s="2477"/>
      <c r="NFC1688" s="2477"/>
      <c r="NFD1688" s="2477"/>
      <c r="NFE1688" s="2477"/>
      <c r="NFF1688" s="2477"/>
      <c r="NFG1688" s="2477"/>
      <c r="NFH1688" s="2477"/>
      <c r="NFI1688" s="2477"/>
      <c r="NFJ1688" s="2477"/>
      <c r="NFK1688" s="2477"/>
      <c r="NFL1688" s="2477"/>
      <c r="NFM1688" s="2477"/>
      <c r="NFN1688" s="2477"/>
      <c r="NFO1688" s="2477"/>
      <c r="NFP1688" s="2477"/>
      <c r="NFQ1688" s="2477"/>
      <c r="NFR1688" s="2477"/>
      <c r="NFS1688" s="2477"/>
      <c r="NFT1688" s="2477"/>
      <c r="NFU1688" s="2477"/>
      <c r="NFV1688" s="2477"/>
      <c r="NFW1688" s="2477"/>
      <c r="NFX1688" s="2477"/>
      <c r="NFY1688" s="2477"/>
      <c r="NFZ1688" s="2477"/>
      <c r="NGA1688" s="2477"/>
      <c r="NGB1688" s="2477"/>
      <c r="NGC1688" s="2477"/>
      <c r="NGD1688" s="2477"/>
      <c r="NGE1688" s="2477"/>
      <c r="NGF1688" s="2477"/>
      <c r="NGG1688" s="2477"/>
      <c r="NGH1688" s="2477"/>
      <c r="NGI1688" s="2477"/>
      <c r="NGJ1688" s="2477"/>
      <c r="NGK1688" s="2477"/>
      <c r="NGL1688" s="2477"/>
      <c r="NGM1688" s="2477"/>
      <c r="NGN1688" s="2477"/>
      <c r="NGO1688" s="2477"/>
      <c r="NGP1688" s="2477"/>
      <c r="NGQ1688" s="2477"/>
      <c r="NGR1688" s="2477"/>
      <c r="NGS1688" s="2477"/>
      <c r="NGT1688" s="2477"/>
      <c r="NGU1688" s="2477"/>
      <c r="NGV1688" s="2477"/>
      <c r="NGW1688" s="2477"/>
      <c r="NGX1688" s="2477"/>
      <c r="NGY1688" s="2477"/>
      <c r="NGZ1688" s="2477"/>
      <c r="NHA1688" s="2477"/>
      <c r="NHB1688" s="2477"/>
      <c r="NHC1688" s="2477"/>
      <c r="NHD1688" s="2477"/>
      <c r="NHE1688" s="2477"/>
      <c r="NHF1688" s="2477"/>
      <c r="NHG1688" s="2477"/>
      <c r="NHH1688" s="2477"/>
      <c r="NHI1688" s="2477"/>
      <c r="NHJ1688" s="2477"/>
      <c r="NHK1688" s="2477"/>
      <c r="NHL1688" s="2477"/>
      <c r="NHM1688" s="2477"/>
      <c r="NHN1688" s="2477"/>
      <c r="NHO1688" s="2477"/>
      <c r="NHP1688" s="2477"/>
      <c r="NHQ1688" s="2477"/>
      <c r="NHR1688" s="2477"/>
      <c r="NHS1688" s="2477"/>
      <c r="NHT1688" s="2477"/>
      <c r="NHU1688" s="2477"/>
      <c r="NHV1688" s="2477"/>
      <c r="NHW1688" s="2477"/>
      <c r="NHX1688" s="2477"/>
      <c r="NHY1688" s="2477"/>
      <c r="NHZ1688" s="2477"/>
      <c r="NIA1688" s="2477"/>
      <c r="NIB1688" s="2477"/>
      <c r="NIC1688" s="2477"/>
      <c r="NID1688" s="2477"/>
      <c r="NIE1688" s="2477"/>
      <c r="NIF1688" s="2477"/>
      <c r="NIG1688" s="2477"/>
      <c r="NIH1688" s="2477"/>
      <c r="NII1688" s="2477"/>
      <c r="NIJ1688" s="2477"/>
      <c r="NIK1688" s="2477"/>
      <c r="NIL1688" s="2477"/>
      <c r="NIM1688" s="2477"/>
      <c r="NIN1688" s="2477"/>
      <c r="NIO1688" s="2477"/>
      <c r="NIP1688" s="2477"/>
      <c r="NIQ1688" s="2477"/>
      <c r="NIR1688" s="2477"/>
      <c r="NIS1688" s="2477"/>
      <c r="NIT1688" s="2477"/>
      <c r="NIU1688" s="2477"/>
      <c r="NIV1688" s="2477"/>
      <c r="NIW1688" s="2477"/>
      <c r="NIX1688" s="2477"/>
      <c r="NIY1688" s="2477"/>
      <c r="NIZ1688" s="2477"/>
      <c r="NJA1688" s="2477"/>
      <c r="NJB1688" s="2477"/>
      <c r="NJC1688" s="2477"/>
      <c r="NJD1688" s="2477"/>
      <c r="NJE1688" s="2477"/>
      <c r="NJF1688" s="2477"/>
      <c r="NJG1688" s="2477"/>
      <c r="NJH1688" s="2477"/>
      <c r="NJI1688" s="2477"/>
      <c r="NJJ1688" s="2477"/>
      <c r="NJK1688" s="2477"/>
      <c r="NJL1688" s="2477"/>
      <c r="NJM1688" s="2477"/>
      <c r="NJN1688" s="2477"/>
      <c r="NJO1688" s="2477"/>
      <c r="NJP1688" s="2477"/>
      <c r="NJQ1688" s="2477"/>
      <c r="NJR1688" s="2477"/>
      <c r="NJS1688" s="2477"/>
      <c r="NJT1688" s="2477"/>
      <c r="NJU1688" s="2477"/>
      <c r="NJV1688" s="2477"/>
      <c r="NJW1688" s="2477"/>
      <c r="NJX1688" s="2477"/>
      <c r="NJY1688" s="2477"/>
      <c r="NJZ1688" s="2477"/>
      <c r="NKA1688" s="2477"/>
      <c r="NKB1688" s="2477"/>
      <c r="NKC1688" s="2477"/>
      <c r="NKD1688" s="2477"/>
      <c r="NKE1688" s="2477"/>
      <c r="NKF1688" s="2477"/>
      <c r="NKG1688" s="2477"/>
      <c r="NKH1688" s="2477"/>
      <c r="NKI1688" s="2477"/>
      <c r="NKJ1688" s="2477"/>
      <c r="NKK1688" s="2477"/>
      <c r="NKL1688" s="2477"/>
      <c r="NKM1688" s="2477"/>
      <c r="NKN1688" s="2477"/>
      <c r="NKO1688" s="2477"/>
      <c r="NKP1688" s="2477"/>
      <c r="NKQ1688" s="2477"/>
      <c r="NKR1688" s="2477"/>
      <c r="NKS1688" s="2477"/>
      <c r="NKT1688" s="2477"/>
      <c r="NKU1688" s="2477"/>
      <c r="NKV1688" s="2477"/>
      <c r="NKW1688" s="2477"/>
      <c r="NKX1688" s="2477"/>
      <c r="NKY1688" s="2477"/>
      <c r="NKZ1688" s="2477"/>
      <c r="NLA1688" s="2477"/>
      <c r="NLB1688" s="2477"/>
      <c r="NLC1688" s="2477"/>
      <c r="NLD1688" s="2477"/>
      <c r="NLE1688" s="2477"/>
      <c r="NLF1688" s="2477"/>
      <c r="NLG1688" s="2477"/>
      <c r="NLH1688" s="2477"/>
      <c r="NLI1688" s="2477"/>
      <c r="NLJ1688" s="2477"/>
      <c r="NLK1688" s="2477"/>
      <c r="NLL1688" s="2477"/>
      <c r="NLM1688" s="2477"/>
      <c r="NLN1688" s="2477"/>
      <c r="NLO1688" s="2477"/>
      <c r="NLP1688" s="2477"/>
      <c r="NLQ1688" s="2477"/>
      <c r="NLR1688" s="2477"/>
      <c r="NLS1688" s="2477"/>
      <c r="NLT1688" s="2477"/>
      <c r="NLU1688" s="2477"/>
      <c r="NLV1688" s="2477"/>
      <c r="NLW1688" s="2477"/>
      <c r="NLX1688" s="2477"/>
      <c r="NLY1688" s="2477"/>
      <c r="NLZ1688" s="2477"/>
      <c r="NMA1688" s="2477"/>
      <c r="NMB1688" s="2477"/>
      <c r="NMC1688" s="2477"/>
      <c r="NMD1688" s="2477"/>
      <c r="NME1688" s="2477"/>
      <c r="NMF1688" s="2477"/>
      <c r="NMG1688" s="2477"/>
      <c r="NMH1688" s="2477"/>
      <c r="NMI1688" s="2477"/>
      <c r="NMJ1688" s="2477"/>
      <c r="NMK1688" s="2477"/>
      <c r="NML1688" s="2477"/>
      <c r="NMM1688" s="2477"/>
      <c r="NMN1688" s="2477"/>
      <c r="NMO1688" s="2477"/>
      <c r="NMP1688" s="2477"/>
      <c r="NMQ1688" s="2477"/>
      <c r="NMR1688" s="2477"/>
      <c r="NMS1688" s="2477"/>
      <c r="NMT1688" s="2477"/>
      <c r="NMU1688" s="2477"/>
      <c r="NMV1688" s="2477"/>
      <c r="NMW1688" s="2477"/>
      <c r="NMX1688" s="2477"/>
      <c r="NMY1688" s="2477"/>
      <c r="NMZ1688" s="2477"/>
      <c r="NNA1688" s="2477"/>
      <c r="NNB1688" s="2477"/>
      <c r="NNC1688" s="2477"/>
      <c r="NND1688" s="2477"/>
      <c r="NNE1688" s="2477"/>
      <c r="NNF1688" s="2477"/>
      <c r="NNG1688" s="2477"/>
      <c r="NNH1688" s="2477"/>
      <c r="NNI1688" s="2477"/>
      <c r="NNJ1688" s="2477"/>
      <c r="NNK1688" s="2477"/>
      <c r="NNL1688" s="2477"/>
      <c r="NNM1688" s="2477"/>
      <c r="NNN1688" s="2477"/>
      <c r="NNO1688" s="2477"/>
      <c r="NNP1688" s="2477"/>
      <c r="NNQ1688" s="2477"/>
      <c r="NNR1688" s="2477"/>
      <c r="NNS1688" s="2477"/>
      <c r="NNT1688" s="2477"/>
      <c r="NNU1688" s="2477"/>
      <c r="NNV1688" s="2477"/>
      <c r="NNW1688" s="2477"/>
      <c r="NNX1688" s="2477"/>
      <c r="NNY1688" s="2477"/>
      <c r="NNZ1688" s="2477"/>
      <c r="NOA1688" s="2477"/>
      <c r="NOB1688" s="2477"/>
      <c r="NOC1688" s="2477"/>
      <c r="NOD1688" s="2477"/>
      <c r="NOE1688" s="2477"/>
      <c r="NOF1688" s="2477"/>
      <c r="NOG1688" s="2477"/>
      <c r="NOH1688" s="2477"/>
      <c r="NOI1688" s="2477"/>
      <c r="NOJ1688" s="2477"/>
      <c r="NOK1688" s="2477"/>
      <c r="NOL1688" s="2477"/>
      <c r="NOM1688" s="2477"/>
      <c r="NON1688" s="2477"/>
      <c r="NOO1688" s="2477"/>
      <c r="NOP1688" s="2477"/>
      <c r="NOQ1688" s="2477"/>
      <c r="NOR1688" s="2477"/>
      <c r="NOS1688" s="2477"/>
      <c r="NOT1688" s="2477"/>
      <c r="NOU1688" s="2477"/>
      <c r="NOV1688" s="2477"/>
      <c r="NOW1688" s="2477"/>
      <c r="NOX1688" s="2477"/>
      <c r="NOY1688" s="2477"/>
      <c r="NOZ1688" s="2477"/>
      <c r="NPA1688" s="2477"/>
      <c r="NPB1688" s="2477"/>
      <c r="NPC1688" s="2477"/>
      <c r="NPD1688" s="2477"/>
      <c r="NPE1688" s="2477"/>
      <c r="NPF1688" s="2477"/>
      <c r="NPG1688" s="2477"/>
      <c r="NPH1688" s="2477"/>
      <c r="NPI1688" s="2477"/>
      <c r="NPJ1688" s="2477"/>
      <c r="NPK1688" s="2477"/>
      <c r="NPL1688" s="2477"/>
      <c r="NPM1688" s="2477"/>
      <c r="NPN1688" s="2477"/>
      <c r="NPO1688" s="2477"/>
      <c r="NPP1688" s="2477"/>
      <c r="NPQ1688" s="2477"/>
      <c r="NPR1688" s="2477"/>
      <c r="NPS1688" s="2477"/>
      <c r="NPT1688" s="2477"/>
      <c r="NPU1688" s="2477"/>
      <c r="NPV1688" s="2477"/>
      <c r="NPW1688" s="2477"/>
      <c r="NPX1688" s="2477"/>
      <c r="NPY1688" s="2477"/>
      <c r="NPZ1688" s="2477"/>
      <c r="NQA1688" s="2477"/>
      <c r="NQB1688" s="2477"/>
      <c r="NQC1688" s="2477"/>
      <c r="NQD1688" s="2477"/>
      <c r="NQE1688" s="2477"/>
      <c r="NQF1688" s="2477"/>
      <c r="NQG1688" s="2477"/>
      <c r="NQH1688" s="2477"/>
      <c r="NQI1688" s="2477"/>
      <c r="NQJ1688" s="2477"/>
      <c r="NQK1688" s="2477"/>
      <c r="NQL1688" s="2477"/>
      <c r="NQM1688" s="2477"/>
      <c r="NQN1688" s="2477"/>
      <c r="NQO1688" s="2477"/>
      <c r="NQP1688" s="2477"/>
      <c r="NQQ1688" s="2477"/>
      <c r="NQR1688" s="2477"/>
      <c r="NQS1688" s="2477"/>
      <c r="NQT1688" s="2477"/>
      <c r="NQU1688" s="2477"/>
      <c r="NQV1688" s="2477"/>
      <c r="NQW1688" s="2477"/>
      <c r="NQX1688" s="2477"/>
      <c r="NQY1688" s="2477"/>
      <c r="NQZ1688" s="2477"/>
      <c r="NRA1688" s="2477"/>
      <c r="NRB1688" s="2477"/>
      <c r="NRC1688" s="2477"/>
      <c r="NRD1688" s="2477"/>
      <c r="NRE1688" s="2477"/>
      <c r="NRF1688" s="2477"/>
      <c r="NRG1688" s="2477"/>
      <c r="NRH1688" s="2477"/>
      <c r="NRI1688" s="2477"/>
      <c r="NRJ1688" s="2477"/>
      <c r="NRK1688" s="2477"/>
      <c r="NRL1688" s="2477"/>
      <c r="NRM1688" s="2477"/>
      <c r="NRN1688" s="2477"/>
      <c r="NRO1688" s="2477"/>
      <c r="NRP1688" s="2477"/>
      <c r="NRQ1688" s="2477"/>
      <c r="NRR1688" s="2477"/>
      <c r="NRS1688" s="2477"/>
      <c r="NRT1688" s="2477"/>
      <c r="NRU1688" s="2477"/>
      <c r="NRV1688" s="2477"/>
      <c r="NRW1688" s="2477"/>
      <c r="NRX1688" s="2477"/>
      <c r="NRY1688" s="2477"/>
      <c r="NRZ1688" s="2477"/>
      <c r="NSA1688" s="2477"/>
      <c r="NSB1688" s="2477"/>
      <c r="NSC1688" s="2477"/>
      <c r="NSD1688" s="2477"/>
      <c r="NSE1688" s="2477"/>
      <c r="NSF1688" s="2477"/>
      <c r="NSG1688" s="2477"/>
      <c r="NSH1688" s="2477"/>
      <c r="NSI1688" s="2477"/>
      <c r="NSJ1688" s="2477"/>
      <c r="NSK1688" s="2477"/>
      <c r="NSL1688" s="2477"/>
      <c r="NSM1688" s="2477"/>
      <c r="NSN1688" s="2477"/>
      <c r="NSO1688" s="2477"/>
      <c r="NSP1688" s="2477"/>
      <c r="NSQ1688" s="2477"/>
      <c r="NSR1688" s="2477"/>
      <c r="NSS1688" s="2477"/>
      <c r="NST1688" s="2477"/>
      <c r="NSU1688" s="2477"/>
      <c r="NSV1688" s="2477"/>
      <c r="NSW1688" s="2477"/>
      <c r="NSX1688" s="2477"/>
      <c r="NSY1688" s="2477"/>
      <c r="NSZ1688" s="2477"/>
      <c r="NTA1688" s="2477"/>
      <c r="NTB1688" s="2477"/>
      <c r="NTC1688" s="2477"/>
      <c r="NTD1688" s="2477"/>
      <c r="NTE1688" s="2477"/>
      <c r="NTF1688" s="2477"/>
      <c r="NTG1688" s="2477"/>
      <c r="NTH1688" s="2477"/>
      <c r="NTI1688" s="2477"/>
      <c r="NTJ1688" s="2477"/>
      <c r="NTK1688" s="2477"/>
      <c r="NTL1688" s="2477"/>
      <c r="NTM1688" s="2477"/>
      <c r="NTN1688" s="2477"/>
      <c r="NTO1688" s="2477"/>
      <c r="NTP1688" s="2477"/>
      <c r="NTQ1688" s="2477"/>
      <c r="NTR1688" s="2477"/>
      <c r="NTS1688" s="2477"/>
      <c r="NTT1688" s="2477"/>
      <c r="NTU1688" s="2477"/>
      <c r="NTV1688" s="2477"/>
      <c r="NTW1688" s="2477"/>
      <c r="NTX1688" s="2477"/>
      <c r="NTY1688" s="2477"/>
      <c r="NTZ1688" s="2477"/>
      <c r="NUA1688" s="2477"/>
      <c r="NUB1688" s="2477"/>
      <c r="NUC1688" s="2477"/>
      <c r="NUD1688" s="2477"/>
      <c r="NUE1688" s="2477"/>
      <c r="NUF1688" s="2477"/>
      <c r="NUG1688" s="2477"/>
      <c r="NUH1688" s="2477"/>
      <c r="NUI1688" s="2477"/>
      <c r="NUJ1688" s="2477"/>
      <c r="NUK1688" s="2477"/>
      <c r="NUL1688" s="2477"/>
      <c r="NUM1688" s="2477"/>
      <c r="NUN1688" s="2477"/>
      <c r="NUO1688" s="2477"/>
      <c r="NUP1688" s="2477"/>
      <c r="NUQ1688" s="2477"/>
      <c r="NUR1688" s="2477"/>
      <c r="NUS1688" s="2477"/>
      <c r="NUT1688" s="2477"/>
      <c r="NUU1688" s="2477"/>
      <c r="NUV1688" s="2477"/>
      <c r="NUW1688" s="2477"/>
      <c r="NUX1688" s="2477"/>
      <c r="NUY1688" s="2477"/>
      <c r="NUZ1688" s="2477"/>
      <c r="NVA1688" s="2477"/>
      <c r="NVB1688" s="2477"/>
      <c r="NVC1688" s="2477"/>
      <c r="NVD1688" s="2477"/>
      <c r="NVE1688" s="2477"/>
      <c r="NVF1688" s="2477"/>
      <c r="NVG1688" s="2477"/>
      <c r="NVH1688" s="2477"/>
      <c r="NVI1688" s="2477"/>
      <c r="NVJ1688" s="2477"/>
      <c r="NVK1688" s="2477"/>
      <c r="NVL1688" s="2477"/>
      <c r="NVM1688" s="2477"/>
      <c r="NVN1688" s="2477"/>
      <c r="NVO1688" s="2477"/>
      <c r="NVP1688" s="2477"/>
      <c r="NVQ1688" s="2477"/>
      <c r="NVR1688" s="2477"/>
      <c r="NVS1688" s="2477"/>
      <c r="NVT1688" s="2477"/>
      <c r="NVU1688" s="2477"/>
      <c r="NVV1688" s="2477"/>
      <c r="NVW1688" s="2477"/>
      <c r="NVX1688" s="2477"/>
      <c r="NVY1688" s="2477"/>
      <c r="NVZ1688" s="2477"/>
      <c r="NWA1688" s="2477"/>
      <c r="NWB1688" s="2477"/>
      <c r="NWC1688" s="2477"/>
      <c r="NWD1688" s="2477"/>
      <c r="NWE1688" s="2477"/>
      <c r="NWF1688" s="2477"/>
      <c r="NWG1688" s="2477"/>
      <c r="NWH1688" s="2477"/>
      <c r="NWI1688" s="2477"/>
      <c r="NWJ1688" s="2477"/>
      <c r="NWK1688" s="2477"/>
      <c r="NWL1688" s="2477"/>
      <c r="NWM1688" s="2477"/>
      <c r="NWN1688" s="2477"/>
      <c r="NWO1688" s="2477"/>
      <c r="NWP1688" s="2477"/>
      <c r="NWQ1688" s="2477"/>
      <c r="NWR1688" s="2477"/>
      <c r="NWS1688" s="2477"/>
      <c r="NWT1688" s="2477"/>
      <c r="NWU1688" s="2477"/>
      <c r="NWV1688" s="2477"/>
      <c r="NWW1688" s="2477"/>
      <c r="NWX1688" s="2477"/>
      <c r="NWY1688" s="2477"/>
      <c r="NWZ1688" s="2477"/>
      <c r="NXA1688" s="2477"/>
      <c r="NXB1688" s="2477"/>
      <c r="NXC1688" s="2477"/>
      <c r="NXD1688" s="2477"/>
      <c r="NXE1688" s="2477"/>
      <c r="NXF1688" s="2477"/>
      <c r="NXG1688" s="2477"/>
      <c r="NXH1688" s="2477"/>
      <c r="NXI1688" s="2477"/>
      <c r="NXJ1688" s="2477"/>
      <c r="NXK1688" s="2477"/>
      <c r="NXL1688" s="2477"/>
      <c r="NXM1688" s="2477"/>
      <c r="NXN1688" s="2477"/>
      <c r="NXO1688" s="2477"/>
      <c r="NXP1688" s="2477"/>
      <c r="NXQ1688" s="2477"/>
      <c r="NXR1688" s="2477"/>
      <c r="NXS1688" s="2477"/>
      <c r="NXT1688" s="2477"/>
      <c r="NXU1688" s="2477"/>
      <c r="NXV1688" s="2477"/>
      <c r="NXW1688" s="2477"/>
      <c r="NXX1688" s="2477"/>
      <c r="NXY1688" s="2477"/>
      <c r="NXZ1688" s="2477"/>
      <c r="NYA1688" s="2477"/>
      <c r="NYB1688" s="2477"/>
      <c r="NYC1688" s="2477"/>
      <c r="NYD1688" s="2477"/>
      <c r="NYE1688" s="2477"/>
      <c r="NYF1688" s="2477"/>
      <c r="NYG1688" s="2477"/>
      <c r="NYH1688" s="2477"/>
      <c r="NYI1688" s="2477"/>
      <c r="NYJ1688" s="2477"/>
      <c r="NYK1688" s="2477"/>
      <c r="NYL1688" s="2477"/>
      <c r="NYM1688" s="2477"/>
      <c r="NYN1688" s="2477"/>
      <c r="NYO1688" s="2477"/>
      <c r="NYP1688" s="2477"/>
      <c r="NYQ1688" s="2477"/>
      <c r="NYR1688" s="2477"/>
      <c r="NYS1688" s="2477"/>
      <c r="NYT1688" s="2477"/>
      <c r="NYU1688" s="2477"/>
      <c r="NYV1688" s="2477"/>
      <c r="NYW1688" s="2477"/>
      <c r="NYX1688" s="2477"/>
      <c r="NYY1688" s="2477"/>
      <c r="NYZ1688" s="2477"/>
      <c r="NZA1688" s="2477"/>
      <c r="NZB1688" s="2477"/>
      <c r="NZC1688" s="2477"/>
      <c r="NZD1688" s="2477"/>
      <c r="NZE1688" s="2477"/>
      <c r="NZF1688" s="2477"/>
      <c r="NZG1688" s="2477"/>
      <c r="NZH1688" s="2477"/>
      <c r="NZI1688" s="2477"/>
      <c r="NZJ1688" s="2477"/>
      <c r="NZK1688" s="2477"/>
      <c r="NZL1688" s="2477"/>
      <c r="NZM1688" s="2477"/>
      <c r="NZN1688" s="2477"/>
      <c r="NZO1688" s="2477"/>
      <c r="NZP1688" s="2477"/>
      <c r="NZQ1688" s="2477"/>
      <c r="NZR1688" s="2477"/>
      <c r="NZS1688" s="2477"/>
      <c r="NZT1688" s="2477"/>
      <c r="NZU1688" s="2477"/>
      <c r="NZV1688" s="2477"/>
      <c r="NZW1688" s="2477"/>
      <c r="NZX1688" s="2477"/>
      <c r="NZY1688" s="2477"/>
      <c r="NZZ1688" s="2477"/>
      <c r="OAA1688" s="2477"/>
      <c r="OAB1688" s="2477"/>
      <c r="OAC1688" s="2477"/>
      <c r="OAD1688" s="2477"/>
      <c r="OAE1688" s="2477"/>
      <c r="OAF1688" s="2477"/>
      <c r="OAG1688" s="2477"/>
      <c r="OAH1688" s="2477"/>
      <c r="OAI1688" s="2477"/>
      <c r="OAJ1688" s="2477"/>
      <c r="OAK1688" s="2477"/>
      <c r="OAL1688" s="2477"/>
      <c r="OAM1688" s="2477"/>
      <c r="OAN1688" s="2477"/>
      <c r="OAO1688" s="2477"/>
      <c r="OAP1688" s="2477"/>
      <c r="OAQ1688" s="2477"/>
      <c r="OAR1688" s="2477"/>
      <c r="OAS1688" s="2477"/>
      <c r="OAT1688" s="2477"/>
      <c r="OAU1688" s="2477"/>
      <c r="OAV1688" s="2477"/>
      <c r="OAW1688" s="2477"/>
      <c r="OAX1688" s="2477"/>
      <c r="OAY1688" s="2477"/>
      <c r="OAZ1688" s="2477"/>
      <c r="OBA1688" s="2477"/>
      <c r="OBB1688" s="2477"/>
      <c r="OBC1688" s="2477"/>
      <c r="OBD1688" s="2477"/>
      <c r="OBE1688" s="2477"/>
      <c r="OBF1688" s="2477"/>
      <c r="OBG1688" s="2477"/>
      <c r="OBH1688" s="2477"/>
      <c r="OBI1688" s="2477"/>
      <c r="OBJ1688" s="2477"/>
      <c r="OBK1688" s="2477"/>
      <c r="OBL1688" s="2477"/>
      <c r="OBM1688" s="2477"/>
      <c r="OBN1688" s="2477"/>
      <c r="OBO1688" s="2477"/>
      <c r="OBP1688" s="2477"/>
      <c r="OBQ1688" s="2477"/>
      <c r="OBR1688" s="2477"/>
      <c r="OBS1688" s="2477"/>
      <c r="OBT1688" s="2477"/>
      <c r="OBU1688" s="2477"/>
      <c r="OBV1688" s="2477"/>
      <c r="OBW1688" s="2477"/>
      <c r="OBX1688" s="2477"/>
      <c r="OBY1688" s="2477"/>
      <c r="OBZ1688" s="2477"/>
      <c r="OCA1688" s="2477"/>
      <c r="OCB1688" s="2477"/>
      <c r="OCC1688" s="2477"/>
      <c r="OCD1688" s="2477"/>
      <c r="OCE1688" s="2477"/>
      <c r="OCF1688" s="2477"/>
      <c r="OCG1688" s="2477"/>
      <c r="OCH1688" s="2477"/>
      <c r="OCI1688" s="2477"/>
      <c r="OCJ1688" s="2477"/>
      <c r="OCK1688" s="2477"/>
      <c r="OCL1688" s="2477"/>
      <c r="OCM1688" s="2477"/>
      <c r="OCN1688" s="2477"/>
      <c r="OCO1688" s="2477"/>
      <c r="OCP1688" s="2477"/>
      <c r="OCQ1688" s="2477"/>
      <c r="OCR1688" s="2477"/>
      <c r="OCS1688" s="2477"/>
      <c r="OCT1688" s="2477"/>
      <c r="OCU1688" s="2477"/>
      <c r="OCV1688" s="2477"/>
      <c r="OCW1688" s="2477"/>
      <c r="OCX1688" s="2477"/>
      <c r="OCY1688" s="2477"/>
      <c r="OCZ1688" s="2477"/>
      <c r="ODA1688" s="2477"/>
      <c r="ODB1688" s="2477"/>
      <c r="ODC1688" s="2477"/>
      <c r="ODD1688" s="2477"/>
      <c r="ODE1688" s="2477"/>
      <c r="ODF1688" s="2477"/>
      <c r="ODG1688" s="2477"/>
      <c r="ODH1688" s="2477"/>
      <c r="ODI1688" s="2477"/>
      <c r="ODJ1688" s="2477"/>
      <c r="ODK1688" s="2477"/>
      <c r="ODL1688" s="2477"/>
      <c r="ODM1688" s="2477"/>
      <c r="ODN1688" s="2477"/>
      <c r="ODO1688" s="2477"/>
      <c r="ODP1688" s="2477"/>
      <c r="ODQ1688" s="2477"/>
      <c r="ODR1688" s="2477"/>
      <c r="ODS1688" s="2477"/>
      <c r="ODT1688" s="2477"/>
      <c r="ODU1688" s="2477"/>
      <c r="ODV1688" s="2477"/>
      <c r="ODW1688" s="2477"/>
      <c r="ODX1688" s="2477"/>
      <c r="ODY1688" s="2477"/>
      <c r="ODZ1688" s="2477"/>
      <c r="OEA1688" s="2477"/>
      <c r="OEB1688" s="2477"/>
      <c r="OEC1688" s="2477"/>
      <c r="OED1688" s="2477"/>
      <c r="OEE1688" s="2477"/>
      <c r="OEF1688" s="2477"/>
      <c r="OEG1688" s="2477"/>
      <c r="OEH1688" s="2477"/>
      <c r="OEI1688" s="2477"/>
      <c r="OEJ1688" s="2477"/>
      <c r="OEK1688" s="2477"/>
      <c r="OEL1688" s="2477"/>
      <c r="OEM1688" s="2477"/>
      <c r="OEN1688" s="2477"/>
      <c r="OEO1688" s="2477"/>
      <c r="OEP1688" s="2477"/>
      <c r="OEQ1688" s="2477"/>
      <c r="OER1688" s="2477"/>
      <c r="OES1688" s="2477"/>
      <c r="OET1688" s="2477"/>
      <c r="OEU1688" s="2477"/>
      <c r="OEV1688" s="2477"/>
      <c r="OEW1688" s="2477"/>
      <c r="OEX1688" s="2477"/>
      <c r="OEY1688" s="2477"/>
      <c r="OEZ1688" s="2477"/>
      <c r="OFA1688" s="2477"/>
      <c r="OFB1688" s="2477"/>
      <c r="OFC1688" s="2477"/>
      <c r="OFD1688" s="2477"/>
      <c r="OFE1688" s="2477"/>
      <c r="OFF1688" s="2477"/>
      <c r="OFG1688" s="2477"/>
      <c r="OFH1688" s="2477"/>
      <c r="OFI1688" s="2477"/>
      <c r="OFJ1688" s="2477"/>
      <c r="OFK1688" s="2477"/>
      <c r="OFL1688" s="2477"/>
      <c r="OFM1688" s="2477"/>
      <c r="OFN1688" s="2477"/>
      <c r="OFO1688" s="2477"/>
      <c r="OFP1688" s="2477"/>
      <c r="OFQ1688" s="2477"/>
      <c r="OFR1688" s="2477"/>
      <c r="OFS1688" s="2477"/>
      <c r="OFT1688" s="2477"/>
      <c r="OFU1688" s="2477"/>
      <c r="OFV1688" s="2477"/>
      <c r="OFW1688" s="2477"/>
      <c r="OFX1688" s="2477"/>
      <c r="OFY1688" s="2477"/>
      <c r="OFZ1688" s="2477"/>
      <c r="OGA1688" s="2477"/>
      <c r="OGB1688" s="2477"/>
      <c r="OGC1688" s="2477"/>
      <c r="OGD1688" s="2477"/>
      <c r="OGE1688" s="2477"/>
      <c r="OGF1688" s="2477"/>
      <c r="OGG1688" s="2477"/>
      <c r="OGH1688" s="2477"/>
      <c r="OGI1688" s="2477"/>
      <c r="OGJ1688" s="2477"/>
      <c r="OGK1688" s="2477"/>
      <c r="OGL1688" s="2477"/>
      <c r="OGM1688" s="2477"/>
      <c r="OGN1688" s="2477"/>
      <c r="OGO1688" s="2477"/>
      <c r="OGP1688" s="2477"/>
      <c r="OGQ1688" s="2477"/>
      <c r="OGR1688" s="2477"/>
      <c r="OGS1688" s="2477"/>
      <c r="OGT1688" s="2477"/>
      <c r="OGU1688" s="2477"/>
      <c r="OGV1688" s="2477"/>
      <c r="OGW1688" s="2477"/>
      <c r="OGX1688" s="2477"/>
      <c r="OGY1688" s="2477"/>
      <c r="OGZ1688" s="2477"/>
      <c r="OHA1688" s="2477"/>
      <c r="OHB1688" s="2477"/>
      <c r="OHC1688" s="2477"/>
      <c r="OHD1688" s="2477"/>
      <c r="OHE1688" s="2477"/>
      <c r="OHF1688" s="2477"/>
      <c r="OHG1688" s="2477"/>
      <c r="OHH1688" s="2477"/>
      <c r="OHI1688" s="2477"/>
      <c r="OHJ1688" s="2477"/>
      <c r="OHK1688" s="2477"/>
      <c r="OHL1688" s="2477"/>
      <c r="OHM1688" s="2477"/>
      <c r="OHN1688" s="2477"/>
      <c r="OHO1688" s="2477"/>
      <c r="OHP1688" s="2477"/>
      <c r="OHQ1688" s="2477"/>
      <c r="OHR1688" s="2477"/>
      <c r="OHS1688" s="2477"/>
      <c r="OHT1688" s="2477"/>
      <c r="OHU1688" s="2477"/>
      <c r="OHV1688" s="2477"/>
      <c r="OHW1688" s="2477"/>
      <c r="OHX1688" s="2477"/>
      <c r="OHY1688" s="2477"/>
      <c r="OHZ1688" s="2477"/>
      <c r="OIA1688" s="2477"/>
      <c r="OIB1688" s="2477"/>
      <c r="OIC1688" s="2477"/>
      <c r="OID1688" s="2477"/>
      <c r="OIE1688" s="2477"/>
      <c r="OIF1688" s="2477"/>
      <c r="OIG1688" s="2477"/>
      <c r="OIH1688" s="2477"/>
      <c r="OII1688" s="2477"/>
      <c r="OIJ1688" s="2477"/>
      <c r="OIK1688" s="2477"/>
      <c r="OIL1688" s="2477"/>
      <c r="OIM1688" s="2477"/>
      <c r="OIN1688" s="2477"/>
      <c r="OIO1688" s="2477"/>
      <c r="OIP1688" s="2477"/>
      <c r="OIQ1688" s="2477"/>
      <c r="OIR1688" s="2477"/>
      <c r="OIS1688" s="2477"/>
      <c r="OIT1688" s="2477"/>
      <c r="OIU1688" s="2477"/>
      <c r="OIV1688" s="2477"/>
      <c r="OIW1688" s="2477"/>
      <c r="OIX1688" s="2477"/>
      <c r="OIY1688" s="2477"/>
      <c r="OIZ1688" s="2477"/>
      <c r="OJA1688" s="2477"/>
      <c r="OJB1688" s="2477"/>
      <c r="OJC1688" s="2477"/>
      <c r="OJD1688" s="2477"/>
      <c r="OJE1688" s="2477"/>
      <c r="OJF1688" s="2477"/>
      <c r="OJG1688" s="2477"/>
      <c r="OJH1688" s="2477"/>
      <c r="OJI1688" s="2477"/>
      <c r="OJJ1688" s="2477"/>
      <c r="OJK1688" s="2477"/>
      <c r="OJL1688" s="2477"/>
      <c r="OJM1688" s="2477"/>
      <c r="OJN1688" s="2477"/>
      <c r="OJO1688" s="2477"/>
      <c r="OJP1688" s="2477"/>
      <c r="OJQ1688" s="2477"/>
      <c r="OJR1688" s="2477"/>
      <c r="OJS1688" s="2477"/>
      <c r="OJT1688" s="2477"/>
      <c r="OJU1688" s="2477"/>
      <c r="OJV1688" s="2477"/>
      <c r="OJW1688" s="2477"/>
      <c r="OJX1688" s="2477"/>
      <c r="OJY1688" s="2477"/>
      <c r="OJZ1688" s="2477"/>
      <c r="OKA1688" s="2477"/>
      <c r="OKB1688" s="2477"/>
      <c r="OKC1688" s="2477"/>
      <c r="OKD1688" s="2477"/>
      <c r="OKE1688" s="2477"/>
      <c r="OKF1688" s="2477"/>
      <c r="OKG1688" s="2477"/>
      <c r="OKH1688" s="2477"/>
      <c r="OKI1688" s="2477"/>
      <c r="OKJ1688" s="2477"/>
      <c r="OKK1688" s="2477"/>
      <c r="OKL1688" s="2477"/>
      <c r="OKM1688" s="2477"/>
      <c r="OKN1688" s="2477"/>
      <c r="OKO1688" s="2477"/>
      <c r="OKP1688" s="2477"/>
      <c r="OKQ1688" s="2477"/>
      <c r="OKR1688" s="2477"/>
      <c r="OKS1688" s="2477"/>
      <c r="OKT1688" s="2477"/>
      <c r="OKU1688" s="2477"/>
      <c r="OKV1688" s="2477"/>
      <c r="OKW1688" s="2477"/>
      <c r="OKX1688" s="2477"/>
      <c r="OKY1688" s="2477"/>
      <c r="OKZ1688" s="2477"/>
      <c r="OLA1688" s="2477"/>
      <c r="OLB1688" s="2477"/>
      <c r="OLC1688" s="2477"/>
      <c r="OLD1688" s="2477"/>
      <c r="OLE1688" s="2477"/>
      <c r="OLF1688" s="2477"/>
      <c r="OLG1688" s="2477"/>
      <c r="OLH1688" s="2477"/>
      <c r="OLI1688" s="2477"/>
      <c r="OLJ1688" s="2477"/>
      <c r="OLK1688" s="2477"/>
      <c r="OLL1688" s="2477"/>
      <c r="OLM1688" s="2477"/>
      <c r="OLN1688" s="2477"/>
      <c r="OLO1688" s="2477"/>
      <c r="OLP1688" s="2477"/>
      <c r="OLQ1688" s="2477"/>
      <c r="OLR1688" s="2477"/>
      <c r="OLS1688" s="2477"/>
      <c r="OLT1688" s="2477"/>
      <c r="OLU1688" s="2477"/>
      <c r="OLV1688" s="2477"/>
      <c r="OLW1688" s="2477"/>
      <c r="OLX1688" s="2477"/>
      <c r="OLY1688" s="2477"/>
      <c r="OLZ1688" s="2477"/>
      <c r="OMA1688" s="2477"/>
      <c r="OMB1688" s="2477"/>
      <c r="OMC1688" s="2477"/>
      <c r="OMD1688" s="2477"/>
      <c r="OME1688" s="2477"/>
      <c r="OMF1688" s="2477"/>
      <c r="OMG1688" s="2477"/>
      <c r="OMH1688" s="2477"/>
      <c r="OMI1688" s="2477"/>
      <c r="OMJ1688" s="2477"/>
      <c r="OMK1688" s="2477"/>
      <c r="OML1688" s="2477"/>
      <c r="OMM1688" s="2477"/>
      <c r="OMN1688" s="2477"/>
      <c r="OMO1688" s="2477"/>
      <c r="OMP1688" s="2477"/>
      <c r="OMQ1688" s="2477"/>
      <c r="OMR1688" s="2477"/>
      <c r="OMS1688" s="2477"/>
      <c r="OMT1688" s="2477"/>
      <c r="OMU1688" s="2477"/>
      <c r="OMV1688" s="2477"/>
      <c r="OMW1688" s="2477"/>
      <c r="OMX1688" s="2477"/>
      <c r="OMY1688" s="2477"/>
      <c r="OMZ1688" s="2477"/>
      <c r="ONA1688" s="2477"/>
      <c r="ONB1688" s="2477"/>
      <c r="ONC1688" s="2477"/>
      <c r="OND1688" s="2477"/>
      <c r="ONE1688" s="2477"/>
      <c r="ONF1688" s="2477"/>
      <c r="ONG1688" s="2477"/>
      <c r="ONH1688" s="2477"/>
      <c r="ONI1688" s="2477"/>
      <c r="ONJ1688" s="2477"/>
      <c r="ONK1688" s="2477"/>
      <c r="ONL1688" s="2477"/>
      <c r="ONM1688" s="2477"/>
      <c r="ONN1688" s="2477"/>
      <c r="ONO1688" s="2477"/>
      <c r="ONP1688" s="2477"/>
      <c r="ONQ1688" s="2477"/>
      <c r="ONR1688" s="2477"/>
      <c r="ONS1688" s="2477"/>
      <c r="ONT1688" s="2477"/>
      <c r="ONU1688" s="2477"/>
      <c r="ONV1688" s="2477"/>
      <c r="ONW1688" s="2477"/>
      <c r="ONX1688" s="2477"/>
      <c r="ONY1688" s="2477"/>
      <c r="ONZ1688" s="2477"/>
      <c r="OOA1688" s="2477"/>
      <c r="OOB1688" s="2477"/>
      <c r="OOC1688" s="2477"/>
      <c r="OOD1688" s="2477"/>
      <c r="OOE1688" s="2477"/>
      <c r="OOF1688" s="2477"/>
      <c r="OOG1688" s="2477"/>
      <c r="OOH1688" s="2477"/>
      <c r="OOI1688" s="2477"/>
      <c r="OOJ1688" s="2477"/>
      <c r="OOK1688" s="2477"/>
      <c r="OOL1688" s="2477"/>
      <c r="OOM1688" s="2477"/>
      <c r="OON1688" s="2477"/>
      <c r="OOO1688" s="2477"/>
      <c r="OOP1688" s="2477"/>
      <c r="OOQ1688" s="2477"/>
      <c r="OOR1688" s="2477"/>
      <c r="OOS1688" s="2477"/>
      <c r="OOT1688" s="2477"/>
      <c r="OOU1688" s="2477"/>
      <c r="OOV1688" s="2477"/>
      <c r="OOW1688" s="2477"/>
      <c r="OOX1688" s="2477"/>
      <c r="OOY1688" s="2477"/>
      <c r="OOZ1688" s="2477"/>
      <c r="OPA1688" s="2477"/>
      <c r="OPB1688" s="2477"/>
      <c r="OPC1688" s="2477"/>
      <c r="OPD1688" s="2477"/>
      <c r="OPE1688" s="2477"/>
      <c r="OPF1688" s="2477"/>
      <c r="OPG1688" s="2477"/>
      <c r="OPH1688" s="2477"/>
      <c r="OPI1688" s="2477"/>
      <c r="OPJ1688" s="2477"/>
      <c r="OPK1688" s="2477"/>
      <c r="OPL1688" s="2477"/>
      <c r="OPM1688" s="2477"/>
      <c r="OPN1688" s="2477"/>
      <c r="OPO1688" s="2477"/>
      <c r="OPP1688" s="2477"/>
      <c r="OPQ1688" s="2477"/>
      <c r="OPR1688" s="2477"/>
      <c r="OPS1688" s="2477"/>
      <c r="OPT1688" s="2477"/>
      <c r="OPU1688" s="2477"/>
      <c r="OPV1688" s="2477"/>
      <c r="OPW1688" s="2477"/>
      <c r="OPX1688" s="2477"/>
      <c r="OPY1688" s="2477"/>
      <c r="OPZ1688" s="2477"/>
      <c r="OQA1688" s="2477"/>
      <c r="OQB1688" s="2477"/>
      <c r="OQC1688" s="2477"/>
      <c r="OQD1688" s="2477"/>
      <c r="OQE1688" s="2477"/>
      <c r="OQF1688" s="2477"/>
      <c r="OQG1688" s="2477"/>
      <c r="OQH1688" s="2477"/>
      <c r="OQI1688" s="2477"/>
      <c r="OQJ1688" s="2477"/>
      <c r="OQK1688" s="2477"/>
      <c r="OQL1688" s="2477"/>
      <c r="OQM1688" s="2477"/>
      <c r="OQN1688" s="2477"/>
      <c r="OQO1688" s="2477"/>
      <c r="OQP1688" s="2477"/>
      <c r="OQQ1688" s="2477"/>
      <c r="OQR1688" s="2477"/>
      <c r="OQS1688" s="2477"/>
      <c r="OQT1688" s="2477"/>
      <c r="OQU1688" s="2477"/>
      <c r="OQV1688" s="2477"/>
      <c r="OQW1688" s="2477"/>
      <c r="OQX1688" s="2477"/>
      <c r="OQY1688" s="2477"/>
      <c r="OQZ1688" s="2477"/>
      <c r="ORA1688" s="2477"/>
      <c r="ORB1688" s="2477"/>
      <c r="ORC1688" s="2477"/>
      <c r="ORD1688" s="2477"/>
      <c r="ORE1688" s="2477"/>
      <c r="ORF1688" s="2477"/>
      <c r="ORG1688" s="2477"/>
      <c r="ORH1688" s="2477"/>
      <c r="ORI1688" s="2477"/>
      <c r="ORJ1688" s="2477"/>
      <c r="ORK1688" s="2477"/>
      <c r="ORL1688" s="2477"/>
      <c r="ORM1688" s="2477"/>
      <c r="ORN1688" s="2477"/>
      <c r="ORO1688" s="2477"/>
      <c r="ORP1688" s="2477"/>
      <c r="ORQ1688" s="2477"/>
      <c r="ORR1688" s="2477"/>
      <c r="ORS1688" s="2477"/>
      <c r="ORT1688" s="2477"/>
      <c r="ORU1688" s="2477"/>
      <c r="ORV1688" s="2477"/>
      <c r="ORW1688" s="2477"/>
      <c r="ORX1688" s="2477"/>
      <c r="ORY1688" s="2477"/>
      <c r="ORZ1688" s="2477"/>
      <c r="OSA1688" s="2477"/>
      <c r="OSB1688" s="2477"/>
      <c r="OSC1688" s="2477"/>
      <c r="OSD1688" s="2477"/>
      <c r="OSE1688" s="2477"/>
      <c r="OSF1688" s="2477"/>
      <c r="OSG1688" s="2477"/>
      <c r="OSH1688" s="2477"/>
      <c r="OSI1688" s="2477"/>
      <c r="OSJ1688" s="2477"/>
      <c r="OSK1688" s="2477"/>
      <c r="OSL1688" s="2477"/>
      <c r="OSM1688" s="2477"/>
      <c r="OSN1688" s="2477"/>
      <c r="OSO1688" s="2477"/>
      <c r="OSP1688" s="2477"/>
      <c r="OSQ1688" s="2477"/>
      <c r="OSR1688" s="2477"/>
      <c r="OSS1688" s="2477"/>
      <c r="OST1688" s="2477"/>
      <c r="OSU1688" s="2477"/>
      <c r="OSV1688" s="2477"/>
      <c r="OSW1688" s="2477"/>
      <c r="OSX1688" s="2477"/>
      <c r="OSY1688" s="2477"/>
      <c r="OSZ1688" s="2477"/>
      <c r="OTA1688" s="2477"/>
      <c r="OTB1688" s="2477"/>
      <c r="OTC1688" s="2477"/>
      <c r="OTD1688" s="2477"/>
      <c r="OTE1688" s="2477"/>
      <c r="OTF1688" s="2477"/>
      <c r="OTG1688" s="2477"/>
      <c r="OTH1688" s="2477"/>
      <c r="OTI1688" s="2477"/>
      <c r="OTJ1688" s="2477"/>
      <c r="OTK1688" s="2477"/>
      <c r="OTL1688" s="2477"/>
      <c r="OTM1688" s="2477"/>
      <c r="OTN1688" s="2477"/>
      <c r="OTO1688" s="2477"/>
      <c r="OTP1688" s="2477"/>
      <c r="OTQ1688" s="2477"/>
      <c r="OTR1688" s="2477"/>
      <c r="OTS1688" s="2477"/>
      <c r="OTT1688" s="2477"/>
      <c r="OTU1688" s="2477"/>
      <c r="OTV1688" s="2477"/>
      <c r="OTW1688" s="2477"/>
      <c r="OTX1688" s="2477"/>
      <c r="OTY1688" s="2477"/>
      <c r="OTZ1688" s="2477"/>
      <c r="OUA1688" s="2477"/>
      <c r="OUB1688" s="2477"/>
      <c r="OUC1688" s="2477"/>
      <c r="OUD1688" s="2477"/>
      <c r="OUE1688" s="2477"/>
      <c r="OUF1688" s="2477"/>
      <c r="OUG1688" s="2477"/>
      <c r="OUH1688" s="2477"/>
      <c r="OUI1688" s="2477"/>
      <c r="OUJ1688" s="2477"/>
      <c r="OUK1688" s="2477"/>
      <c r="OUL1688" s="2477"/>
      <c r="OUM1688" s="2477"/>
      <c r="OUN1688" s="2477"/>
      <c r="OUO1688" s="2477"/>
      <c r="OUP1688" s="2477"/>
      <c r="OUQ1688" s="2477"/>
      <c r="OUR1688" s="2477"/>
      <c r="OUS1688" s="2477"/>
      <c r="OUT1688" s="2477"/>
      <c r="OUU1688" s="2477"/>
      <c r="OUV1688" s="2477"/>
      <c r="OUW1688" s="2477"/>
      <c r="OUX1688" s="2477"/>
      <c r="OUY1688" s="2477"/>
      <c r="OUZ1688" s="2477"/>
      <c r="OVA1688" s="2477"/>
      <c r="OVB1688" s="2477"/>
      <c r="OVC1688" s="2477"/>
      <c r="OVD1688" s="2477"/>
      <c r="OVE1688" s="2477"/>
      <c r="OVF1688" s="2477"/>
      <c r="OVG1688" s="2477"/>
      <c r="OVH1688" s="2477"/>
      <c r="OVI1688" s="2477"/>
      <c r="OVJ1688" s="2477"/>
      <c r="OVK1688" s="2477"/>
      <c r="OVL1688" s="2477"/>
      <c r="OVM1688" s="2477"/>
      <c r="OVN1688" s="2477"/>
      <c r="OVO1688" s="2477"/>
      <c r="OVP1688" s="2477"/>
      <c r="OVQ1688" s="2477"/>
      <c r="OVR1688" s="2477"/>
      <c r="OVS1688" s="2477"/>
      <c r="OVT1688" s="2477"/>
      <c r="OVU1688" s="2477"/>
      <c r="OVV1688" s="2477"/>
      <c r="OVW1688" s="2477"/>
      <c r="OVX1688" s="2477"/>
      <c r="OVY1688" s="2477"/>
      <c r="OVZ1688" s="2477"/>
      <c r="OWA1688" s="2477"/>
      <c r="OWB1688" s="2477"/>
      <c r="OWC1688" s="2477"/>
      <c r="OWD1688" s="2477"/>
      <c r="OWE1688" s="2477"/>
      <c r="OWF1688" s="2477"/>
      <c r="OWG1688" s="2477"/>
      <c r="OWH1688" s="2477"/>
      <c r="OWI1688" s="2477"/>
      <c r="OWJ1688" s="2477"/>
      <c r="OWK1688" s="2477"/>
      <c r="OWL1688" s="2477"/>
      <c r="OWM1688" s="2477"/>
      <c r="OWN1688" s="2477"/>
      <c r="OWO1688" s="2477"/>
      <c r="OWP1688" s="2477"/>
      <c r="OWQ1688" s="2477"/>
      <c r="OWR1688" s="2477"/>
      <c r="OWS1688" s="2477"/>
      <c r="OWT1688" s="2477"/>
      <c r="OWU1688" s="2477"/>
      <c r="OWV1688" s="2477"/>
      <c r="OWW1688" s="2477"/>
      <c r="OWX1688" s="2477"/>
      <c r="OWY1688" s="2477"/>
      <c r="OWZ1688" s="2477"/>
      <c r="OXA1688" s="2477"/>
      <c r="OXB1688" s="2477"/>
      <c r="OXC1688" s="2477"/>
      <c r="OXD1688" s="2477"/>
      <c r="OXE1688" s="2477"/>
      <c r="OXF1688" s="2477"/>
      <c r="OXG1688" s="2477"/>
      <c r="OXH1688" s="2477"/>
      <c r="OXI1688" s="2477"/>
      <c r="OXJ1688" s="2477"/>
      <c r="OXK1688" s="2477"/>
      <c r="OXL1688" s="2477"/>
      <c r="OXM1688" s="2477"/>
      <c r="OXN1688" s="2477"/>
      <c r="OXO1688" s="2477"/>
      <c r="OXP1688" s="2477"/>
      <c r="OXQ1688" s="2477"/>
      <c r="OXR1688" s="2477"/>
      <c r="OXS1688" s="2477"/>
      <c r="OXT1688" s="2477"/>
      <c r="OXU1688" s="2477"/>
      <c r="OXV1688" s="2477"/>
      <c r="OXW1688" s="2477"/>
      <c r="OXX1688" s="2477"/>
      <c r="OXY1688" s="2477"/>
      <c r="OXZ1688" s="2477"/>
      <c r="OYA1688" s="2477"/>
      <c r="OYB1688" s="2477"/>
      <c r="OYC1688" s="2477"/>
      <c r="OYD1688" s="2477"/>
      <c r="OYE1688" s="2477"/>
      <c r="OYF1688" s="2477"/>
      <c r="OYG1688" s="2477"/>
      <c r="OYH1688" s="2477"/>
      <c r="OYI1688" s="2477"/>
      <c r="OYJ1688" s="2477"/>
      <c r="OYK1688" s="2477"/>
      <c r="OYL1688" s="2477"/>
      <c r="OYM1688" s="2477"/>
      <c r="OYN1688" s="2477"/>
      <c r="OYO1688" s="2477"/>
      <c r="OYP1688" s="2477"/>
      <c r="OYQ1688" s="2477"/>
      <c r="OYR1688" s="2477"/>
      <c r="OYS1688" s="2477"/>
      <c r="OYT1688" s="2477"/>
      <c r="OYU1688" s="2477"/>
      <c r="OYV1688" s="2477"/>
      <c r="OYW1688" s="2477"/>
      <c r="OYX1688" s="2477"/>
      <c r="OYY1688" s="2477"/>
      <c r="OYZ1688" s="2477"/>
      <c r="OZA1688" s="2477"/>
      <c r="OZB1688" s="2477"/>
      <c r="OZC1688" s="2477"/>
      <c r="OZD1688" s="2477"/>
      <c r="OZE1688" s="2477"/>
      <c r="OZF1688" s="2477"/>
      <c r="OZG1688" s="2477"/>
      <c r="OZH1688" s="2477"/>
      <c r="OZI1688" s="2477"/>
      <c r="OZJ1688" s="2477"/>
      <c r="OZK1688" s="2477"/>
      <c r="OZL1688" s="2477"/>
      <c r="OZM1688" s="2477"/>
      <c r="OZN1688" s="2477"/>
      <c r="OZO1688" s="2477"/>
      <c r="OZP1688" s="2477"/>
      <c r="OZQ1688" s="2477"/>
      <c r="OZR1688" s="2477"/>
      <c r="OZS1688" s="2477"/>
      <c r="OZT1688" s="2477"/>
      <c r="OZU1688" s="2477"/>
      <c r="OZV1688" s="2477"/>
      <c r="OZW1688" s="2477"/>
      <c r="OZX1688" s="2477"/>
      <c r="OZY1688" s="2477"/>
      <c r="OZZ1688" s="2477"/>
      <c r="PAA1688" s="2477"/>
      <c r="PAB1688" s="2477"/>
      <c r="PAC1688" s="2477"/>
      <c r="PAD1688" s="2477"/>
      <c r="PAE1688" s="2477"/>
      <c r="PAF1688" s="2477"/>
      <c r="PAG1688" s="2477"/>
      <c r="PAH1688" s="2477"/>
      <c r="PAI1688" s="2477"/>
      <c r="PAJ1688" s="2477"/>
      <c r="PAK1688" s="2477"/>
      <c r="PAL1688" s="2477"/>
      <c r="PAM1688" s="2477"/>
      <c r="PAN1688" s="2477"/>
      <c r="PAO1688" s="2477"/>
      <c r="PAP1688" s="2477"/>
      <c r="PAQ1688" s="2477"/>
      <c r="PAR1688" s="2477"/>
      <c r="PAS1688" s="2477"/>
      <c r="PAT1688" s="2477"/>
      <c r="PAU1688" s="2477"/>
      <c r="PAV1688" s="2477"/>
      <c r="PAW1688" s="2477"/>
      <c r="PAX1688" s="2477"/>
      <c r="PAY1688" s="2477"/>
      <c r="PAZ1688" s="2477"/>
      <c r="PBA1688" s="2477"/>
      <c r="PBB1688" s="2477"/>
      <c r="PBC1688" s="2477"/>
      <c r="PBD1688" s="2477"/>
      <c r="PBE1688" s="2477"/>
      <c r="PBF1688" s="2477"/>
      <c r="PBG1688" s="2477"/>
      <c r="PBH1688" s="2477"/>
      <c r="PBI1688" s="2477"/>
      <c r="PBJ1688" s="2477"/>
      <c r="PBK1688" s="2477"/>
      <c r="PBL1688" s="2477"/>
      <c r="PBM1688" s="2477"/>
      <c r="PBN1688" s="2477"/>
      <c r="PBO1688" s="2477"/>
      <c r="PBP1688" s="2477"/>
      <c r="PBQ1688" s="2477"/>
      <c r="PBR1688" s="2477"/>
      <c r="PBS1688" s="2477"/>
      <c r="PBT1688" s="2477"/>
      <c r="PBU1688" s="2477"/>
      <c r="PBV1688" s="2477"/>
      <c r="PBW1688" s="2477"/>
      <c r="PBX1688" s="2477"/>
      <c r="PBY1688" s="2477"/>
      <c r="PBZ1688" s="2477"/>
      <c r="PCA1688" s="2477"/>
      <c r="PCB1688" s="2477"/>
      <c r="PCC1688" s="2477"/>
      <c r="PCD1688" s="2477"/>
      <c r="PCE1688" s="2477"/>
      <c r="PCF1688" s="2477"/>
      <c r="PCG1688" s="2477"/>
      <c r="PCH1688" s="2477"/>
      <c r="PCI1688" s="2477"/>
      <c r="PCJ1688" s="2477"/>
      <c r="PCK1688" s="2477"/>
      <c r="PCL1688" s="2477"/>
      <c r="PCM1688" s="2477"/>
      <c r="PCN1688" s="2477"/>
      <c r="PCO1688" s="2477"/>
      <c r="PCP1688" s="2477"/>
      <c r="PCQ1688" s="2477"/>
      <c r="PCR1688" s="2477"/>
      <c r="PCS1688" s="2477"/>
      <c r="PCT1688" s="2477"/>
      <c r="PCU1688" s="2477"/>
      <c r="PCV1688" s="2477"/>
      <c r="PCW1688" s="2477"/>
      <c r="PCX1688" s="2477"/>
      <c r="PCY1688" s="2477"/>
      <c r="PCZ1688" s="2477"/>
      <c r="PDA1688" s="2477"/>
      <c r="PDB1688" s="2477"/>
      <c r="PDC1688" s="2477"/>
      <c r="PDD1688" s="2477"/>
      <c r="PDE1688" s="2477"/>
      <c r="PDF1688" s="2477"/>
      <c r="PDG1688" s="2477"/>
      <c r="PDH1688" s="2477"/>
      <c r="PDI1688" s="2477"/>
      <c r="PDJ1688" s="2477"/>
      <c r="PDK1688" s="2477"/>
      <c r="PDL1688" s="2477"/>
      <c r="PDM1688" s="2477"/>
      <c r="PDN1688" s="2477"/>
      <c r="PDO1688" s="2477"/>
      <c r="PDP1688" s="2477"/>
      <c r="PDQ1688" s="2477"/>
      <c r="PDR1688" s="2477"/>
      <c r="PDS1688" s="2477"/>
      <c r="PDT1688" s="2477"/>
      <c r="PDU1688" s="2477"/>
      <c r="PDV1688" s="2477"/>
      <c r="PDW1688" s="2477"/>
      <c r="PDX1688" s="2477"/>
      <c r="PDY1688" s="2477"/>
      <c r="PDZ1688" s="2477"/>
      <c r="PEA1688" s="2477"/>
      <c r="PEB1688" s="2477"/>
      <c r="PEC1688" s="2477"/>
      <c r="PED1688" s="2477"/>
      <c r="PEE1688" s="2477"/>
      <c r="PEF1688" s="2477"/>
      <c r="PEG1688" s="2477"/>
      <c r="PEH1688" s="2477"/>
      <c r="PEI1688" s="2477"/>
      <c r="PEJ1688" s="2477"/>
      <c r="PEK1688" s="2477"/>
      <c r="PEL1688" s="2477"/>
      <c r="PEM1688" s="2477"/>
      <c r="PEN1688" s="2477"/>
      <c r="PEO1688" s="2477"/>
      <c r="PEP1688" s="2477"/>
      <c r="PEQ1688" s="2477"/>
      <c r="PER1688" s="2477"/>
      <c r="PES1688" s="2477"/>
      <c r="PET1688" s="2477"/>
      <c r="PEU1688" s="2477"/>
      <c r="PEV1688" s="2477"/>
      <c r="PEW1688" s="2477"/>
      <c r="PEX1688" s="2477"/>
      <c r="PEY1688" s="2477"/>
      <c r="PEZ1688" s="2477"/>
      <c r="PFA1688" s="2477"/>
      <c r="PFB1688" s="2477"/>
      <c r="PFC1688" s="2477"/>
      <c r="PFD1688" s="2477"/>
      <c r="PFE1688" s="2477"/>
      <c r="PFF1688" s="2477"/>
      <c r="PFG1688" s="2477"/>
      <c r="PFH1688" s="2477"/>
      <c r="PFI1688" s="2477"/>
      <c r="PFJ1688" s="2477"/>
      <c r="PFK1688" s="2477"/>
      <c r="PFL1688" s="2477"/>
      <c r="PFM1688" s="2477"/>
      <c r="PFN1688" s="2477"/>
      <c r="PFO1688" s="2477"/>
      <c r="PFP1688" s="2477"/>
      <c r="PFQ1688" s="2477"/>
      <c r="PFR1688" s="2477"/>
      <c r="PFS1688" s="2477"/>
      <c r="PFT1688" s="2477"/>
      <c r="PFU1688" s="2477"/>
      <c r="PFV1688" s="2477"/>
      <c r="PFW1688" s="2477"/>
      <c r="PFX1688" s="2477"/>
      <c r="PFY1688" s="2477"/>
      <c r="PFZ1688" s="2477"/>
      <c r="PGA1688" s="2477"/>
      <c r="PGB1688" s="2477"/>
      <c r="PGC1688" s="2477"/>
      <c r="PGD1688" s="2477"/>
      <c r="PGE1688" s="2477"/>
      <c r="PGF1688" s="2477"/>
      <c r="PGG1688" s="2477"/>
      <c r="PGH1688" s="2477"/>
      <c r="PGI1688" s="2477"/>
      <c r="PGJ1688" s="2477"/>
      <c r="PGK1688" s="2477"/>
      <c r="PGL1688" s="2477"/>
      <c r="PGM1688" s="2477"/>
      <c r="PGN1688" s="2477"/>
      <c r="PGO1688" s="2477"/>
      <c r="PGP1688" s="2477"/>
      <c r="PGQ1688" s="2477"/>
      <c r="PGR1688" s="2477"/>
      <c r="PGS1688" s="2477"/>
      <c r="PGT1688" s="2477"/>
      <c r="PGU1688" s="2477"/>
      <c r="PGV1688" s="2477"/>
      <c r="PGW1688" s="2477"/>
      <c r="PGX1688" s="2477"/>
      <c r="PGY1688" s="2477"/>
      <c r="PGZ1688" s="2477"/>
      <c r="PHA1688" s="2477"/>
      <c r="PHB1688" s="2477"/>
      <c r="PHC1688" s="2477"/>
      <c r="PHD1688" s="2477"/>
      <c r="PHE1688" s="2477"/>
      <c r="PHF1688" s="2477"/>
      <c r="PHG1688" s="2477"/>
      <c r="PHH1688" s="2477"/>
      <c r="PHI1688" s="2477"/>
      <c r="PHJ1688" s="2477"/>
      <c r="PHK1688" s="2477"/>
      <c r="PHL1688" s="2477"/>
      <c r="PHM1688" s="2477"/>
      <c r="PHN1688" s="2477"/>
      <c r="PHO1688" s="2477"/>
      <c r="PHP1688" s="2477"/>
      <c r="PHQ1688" s="2477"/>
      <c r="PHR1688" s="2477"/>
      <c r="PHS1688" s="2477"/>
      <c r="PHT1688" s="2477"/>
      <c r="PHU1688" s="2477"/>
      <c r="PHV1688" s="2477"/>
      <c r="PHW1688" s="2477"/>
      <c r="PHX1688" s="2477"/>
      <c r="PHY1688" s="2477"/>
      <c r="PHZ1688" s="2477"/>
      <c r="PIA1688" s="2477"/>
      <c r="PIB1688" s="2477"/>
      <c r="PIC1688" s="2477"/>
      <c r="PID1688" s="2477"/>
      <c r="PIE1688" s="2477"/>
      <c r="PIF1688" s="2477"/>
      <c r="PIG1688" s="2477"/>
      <c r="PIH1688" s="2477"/>
      <c r="PII1688" s="2477"/>
      <c r="PIJ1688" s="2477"/>
      <c r="PIK1688" s="2477"/>
      <c r="PIL1688" s="2477"/>
      <c r="PIM1688" s="2477"/>
      <c r="PIN1688" s="2477"/>
      <c r="PIO1688" s="2477"/>
      <c r="PIP1688" s="2477"/>
      <c r="PIQ1688" s="2477"/>
      <c r="PIR1688" s="2477"/>
      <c r="PIS1688" s="2477"/>
      <c r="PIT1688" s="2477"/>
      <c r="PIU1688" s="2477"/>
      <c r="PIV1688" s="2477"/>
      <c r="PIW1688" s="2477"/>
      <c r="PIX1688" s="2477"/>
      <c r="PIY1688" s="2477"/>
      <c r="PIZ1688" s="2477"/>
      <c r="PJA1688" s="2477"/>
      <c r="PJB1688" s="2477"/>
      <c r="PJC1688" s="2477"/>
      <c r="PJD1688" s="2477"/>
      <c r="PJE1688" s="2477"/>
      <c r="PJF1688" s="2477"/>
      <c r="PJG1688" s="2477"/>
      <c r="PJH1688" s="2477"/>
      <c r="PJI1688" s="2477"/>
      <c r="PJJ1688" s="2477"/>
      <c r="PJK1688" s="2477"/>
      <c r="PJL1688" s="2477"/>
      <c r="PJM1688" s="2477"/>
      <c r="PJN1688" s="2477"/>
      <c r="PJO1688" s="2477"/>
      <c r="PJP1688" s="2477"/>
      <c r="PJQ1688" s="2477"/>
      <c r="PJR1688" s="2477"/>
      <c r="PJS1688" s="2477"/>
      <c r="PJT1688" s="2477"/>
      <c r="PJU1688" s="2477"/>
      <c r="PJV1688" s="2477"/>
      <c r="PJW1688" s="2477"/>
      <c r="PJX1688" s="2477"/>
      <c r="PJY1688" s="2477"/>
      <c r="PJZ1688" s="2477"/>
      <c r="PKA1688" s="2477"/>
      <c r="PKB1688" s="2477"/>
      <c r="PKC1688" s="2477"/>
      <c r="PKD1688" s="2477"/>
      <c r="PKE1688" s="2477"/>
      <c r="PKF1688" s="2477"/>
      <c r="PKG1688" s="2477"/>
      <c r="PKH1688" s="2477"/>
      <c r="PKI1688" s="2477"/>
      <c r="PKJ1688" s="2477"/>
      <c r="PKK1688" s="2477"/>
      <c r="PKL1688" s="2477"/>
      <c r="PKM1688" s="2477"/>
      <c r="PKN1688" s="2477"/>
      <c r="PKO1688" s="2477"/>
      <c r="PKP1688" s="2477"/>
      <c r="PKQ1688" s="2477"/>
      <c r="PKR1688" s="2477"/>
      <c r="PKS1688" s="2477"/>
      <c r="PKT1688" s="2477"/>
      <c r="PKU1688" s="2477"/>
      <c r="PKV1688" s="2477"/>
      <c r="PKW1688" s="2477"/>
      <c r="PKX1688" s="2477"/>
      <c r="PKY1688" s="2477"/>
      <c r="PKZ1688" s="2477"/>
      <c r="PLA1688" s="2477"/>
      <c r="PLB1688" s="2477"/>
      <c r="PLC1688" s="2477"/>
      <c r="PLD1688" s="2477"/>
      <c r="PLE1688" s="2477"/>
      <c r="PLF1688" s="2477"/>
      <c r="PLG1688" s="2477"/>
      <c r="PLH1688" s="2477"/>
      <c r="PLI1688" s="2477"/>
      <c r="PLJ1688" s="2477"/>
      <c r="PLK1688" s="2477"/>
      <c r="PLL1688" s="2477"/>
      <c r="PLM1688" s="2477"/>
      <c r="PLN1688" s="2477"/>
      <c r="PLO1688" s="2477"/>
      <c r="PLP1688" s="2477"/>
      <c r="PLQ1688" s="2477"/>
      <c r="PLR1688" s="2477"/>
      <c r="PLS1688" s="2477"/>
      <c r="PLT1688" s="2477"/>
      <c r="PLU1688" s="2477"/>
      <c r="PLV1688" s="2477"/>
      <c r="PLW1688" s="2477"/>
      <c r="PLX1688" s="2477"/>
      <c r="PLY1688" s="2477"/>
      <c r="PLZ1688" s="2477"/>
      <c r="PMA1688" s="2477"/>
      <c r="PMB1688" s="2477"/>
      <c r="PMC1688" s="2477"/>
      <c r="PMD1688" s="2477"/>
      <c r="PME1688" s="2477"/>
      <c r="PMF1688" s="2477"/>
      <c r="PMG1688" s="2477"/>
      <c r="PMH1688" s="2477"/>
      <c r="PMI1688" s="2477"/>
      <c r="PMJ1688" s="2477"/>
      <c r="PMK1688" s="2477"/>
      <c r="PML1688" s="2477"/>
      <c r="PMM1688" s="2477"/>
      <c r="PMN1688" s="2477"/>
      <c r="PMO1688" s="2477"/>
      <c r="PMP1688" s="2477"/>
      <c r="PMQ1688" s="2477"/>
      <c r="PMR1688" s="2477"/>
      <c r="PMS1688" s="2477"/>
      <c r="PMT1688" s="2477"/>
      <c r="PMU1688" s="2477"/>
      <c r="PMV1688" s="2477"/>
      <c r="PMW1688" s="2477"/>
      <c r="PMX1688" s="2477"/>
      <c r="PMY1688" s="2477"/>
      <c r="PMZ1688" s="2477"/>
      <c r="PNA1688" s="2477"/>
      <c r="PNB1688" s="2477"/>
      <c r="PNC1688" s="2477"/>
      <c r="PND1688" s="2477"/>
      <c r="PNE1688" s="2477"/>
      <c r="PNF1688" s="2477"/>
      <c r="PNG1688" s="2477"/>
      <c r="PNH1688" s="2477"/>
      <c r="PNI1688" s="2477"/>
      <c r="PNJ1688" s="2477"/>
      <c r="PNK1688" s="2477"/>
      <c r="PNL1688" s="2477"/>
      <c r="PNM1688" s="2477"/>
      <c r="PNN1688" s="2477"/>
      <c r="PNO1688" s="2477"/>
      <c r="PNP1688" s="2477"/>
      <c r="PNQ1688" s="2477"/>
      <c r="PNR1688" s="2477"/>
      <c r="PNS1688" s="2477"/>
      <c r="PNT1688" s="2477"/>
      <c r="PNU1688" s="2477"/>
      <c r="PNV1688" s="2477"/>
      <c r="PNW1688" s="2477"/>
      <c r="PNX1688" s="2477"/>
      <c r="PNY1688" s="2477"/>
      <c r="PNZ1688" s="2477"/>
      <c r="POA1688" s="2477"/>
      <c r="POB1688" s="2477"/>
      <c r="POC1688" s="2477"/>
      <c r="POD1688" s="2477"/>
      <c r="POE1688" s="2477"/>
      <c r="POF1688" s="2477"/>
      <c r="POG1688" s="2477"/>
      <c r="POH1688" s="2477"/>
      <c r="POI1688" s="2477"/>
      <c r="POJ1688" s="2477"/>
      <c r="POK1688" s="2477"/>
      <c r="POL1688" s="2477"/>
      <c r="POM1688" s="2477"/>
      <c r="PON1688" s="2477"/>
      <c r="POO1688" s="2477"/>
      <c r="POP1688" s="2477"/>
      <c r="POQ1688" s="2477"/>
      <c r="POR1688" s="2477"/>
      <c r="POS1688" s="2477"/>
      <c r="POT1688" s="2477"/>
      <c r="POU1688" s="2477"/>
      <c r="POV1688" s="2477"/>
      <c r="POW1688" s="2477"/>
      <c r="POX1688" s="2477"/>
      <c r="POY1688" s="2477"/>
      <c r="POZ1688" s="2477"/>
      <c r="PPA1688" s="2477"/>
      <c r="PPB1688" s="2477"/>
      <c r="PPC1688" s="2477"/>
      <c r="PPD1688" s="2477"/>
      <c r="PPE1688" s="2477"/>
      <c r="PPF1688" s="2477"/>
      <c r="PPG1688" s="2477"/>
      <c r="PPH1688" s="2477"/>
      <c r="PPI1688" s="2477"/>
      <c r="PPJ1688" s="2477"/>
      <c r="PPK1688" s="2477"/>
      <c r="PPL1688" s="2477"/>
      <c r="PPM1688" s="2477"/>
      <c r="PPN1688" s="2477"/>
      <c r="PPO1688" s="2477"/>
      <c r="PPP1688" s="2477"/>
      <c r="PPQ1688" s="2477"/>
      <c r="PPR1688" s="2477"/>
      <c r="PPS1688" s="2477"/>
      <c r="PPT1688" s="2477"/>
      <c r="PPU1688" s="2477"/>
      <c r="PPV1688" s="2477"/>
      <c r="PPW1688" s="2477"/>
      <c r="PPX1688" s="2477"/>
      <c r="PPY1688" s="2477"/>
      <c r="PPZ1688" s="2477"/>
      <c r="PQA1688" s="2477"/>
      <c r="PQB1688" s="2477"/>
      <c r="PQC1688" s="2477"/>
      <c r="PQD1688" s="2477"/>
      <c r="PQE1688" s="2477"/>
      <c r="PQF1688" s="2477"/>
      <c r="PQG1688" s="2477"/>
      <c r="PQH1688" s="2477"/>
      <c r="PQI1688" s="2477"/>
      <c r="PQJ1688" s="2477"/>
      <c r="PQK1688" s="2477"/>
      <c r="PQL1688" s="2477"/>
      <c r="PQM1688" s="2477"/>
      <c r="PQN1688" s="2477"/>
      <c r="PQO1688" s="2477"/>
      <c r="PQP1688" s="2477"/>
      <c r="PQQ1688" s="2477"/>
      <c r="PQR1688" s="2477"/>
      <c r="PQS1688" s="2477"/>
      <c r="PQT1688" s="2477"/>
      <c r="PQU1688" s="2477"/>
      <c r="PQV1688" s="2477"/>
      <c r="PQW1688" s="2477"/>
      <c r="PQX1688" s="2477"/>
      <c r="PQY1688" s="2477"/>
      <c r="PQZ1688" s="2477"/>
      <c r="PRA1688" s="2477"/>
      <c r="PRB1688" s="2477"/>
      <c r="PRC1688" s="2477"/>
      <c r="PRD1688" s="2477"/>
      <c r="PRE1688" s="2477"/>
      <c r="PRF1688" s="2477"/>
      <c r="PRG1688" s="2477"/>
      <c r="PRH1688" s="2477"/>
      <c r="PRI1688" s="2477"/>
      <c r="PRJ1688" s="2477"/>
      <c r="PRK1688" s="2477"/>
      <c r="PRL1688" s="2477"/>
      <c r="PRM1688" s="2477"/>
      <c r="PRN1688" s="2477"/>
      <c r="PRO1688" s="2477"/>
      <c r="PRP1688" s="2477"/>
      <c r="PRQ1688" s="2477"/>
      <c r="PRR1688" s="2477"/>
      <c r="PRS1688" s="2477"/>
      <c r="PRT1688" s="2477"/>
      <c r="PRU1688" s="2477"/>
      <c r="PRV1688" s="2477"/>
      <c r="PRW1688" s="2477"/>
      <c r="PRX1688" s="2477"/>
      <c r="PRY1688" s="2477"/>
      <c r="PRZ1688" s="2477"/>
      <c r="PSA1688" s="2477"/>
      <c r="PSB1688" s="2477"/>
      <c r="PSC1688" s="2477"/>
      <c r="PSD1688" s="2477"/>
      <c r="PSE1688" s="2477"/>
      <c r="PSF1688" s="2477"/>
      <c r="PSG1688" s="2477"/>
      <c r="PSH1688" s="2477"/>
      <c r="PSI1688" s="2477"/>
      <c r="PSJ1688" s="2477"/>
      <c r="PSK1688" s="2477"/>
      <c r="PSL1688" s="2477"/>
      <c r="PSM1688" s="2477"/>
      <c r="PSN1688" s="2477"/>
      <c r="PSO1688" s="2477"/>
      <c r="PSP1688" s="2477"/>
      <c r="PSQ1688" s="2477"/>
      <c r="PSR1688" s="2477"/>
      <c r="PSS1688" s="2477"/>
      <c r="PST1688" s="2477"/>
      <c r="PSU1688" s="2477"/>
      <c r="PSV1688" s="2477"/>
      <c r="PSW1688" s="2477"/>
      <c r="PSX1688" s="2477"/>
      <c r="PSY1688" s="2477"/>
      <c r="PSZ1688" s="2477"/>
      <c r="PTA1688" s="2477"/>
      <c r="PTB1688" s="2477"/>
      <c r="PTC1688" s="2477"/>
      <c r="PTD1688" s="2477"/>
      <c r="PTE1688" s="2477"/>
      <c r="PTF1688" s="2477"/>
      <c r="PTG1688" s="2477"/>
      <c r="PTH1688" s="2477"/>
      <c r="PTI1688" s="2477"/>
      <c r="PTJ1688" s="2477"/>
      <c r="PTK1688" s="2477"/>
      <c r="PTL1688" s="2477"/>
      <c r="PTM1688" s="2477"/>
      <c r="PTN1688" s="2477"/>
      <c r="PTO1688" s="2477"/>
      <c r="PTP1688" s="2477"/>
      <c r="PTQ1688" s="2477"/>
      <c r="PTR1688" s="2477"/>
      <c r="PTS1688" s="2477"/>
      <c r="PTT1688" s="2477"/>
      <c r="PTU1688" s="2477"/>
      <c r="PTV1688" s="2477"/>
      <c r="PTW1688" s="2477"/>
      <c r="PTX1688" s="2477"/>
      <c r="PTY1688" s="2477"/>
      <c r="PTZ1688" s="2477"/>
      <c r="PUA1688" s="2477"/>
      <c r="PUB1688" s="2477"/>
      <c r="PUC1688" s="2477"/>
      <c r="PUD1688" s="2477"/>
      <c r="PUE1688" s="2477"/>
      <c r="PUF1688" s="2477"/>
      <c r="PUG1688" s="2477"/>
      <c r="PUH1688" s="2477"/>
      <c r="PUI1688" s="2477"/>
      <c r="PUJ1688" s="2477"/>
      <c r="PUK1688" s="2477"/>
      <c r="PUL1688" s="2477"/>
      <c r="PUM1688" s="2477"/>
      <c r="PUN1688" s="2477"/>
      <c r="PUO1688" s="2477"/>
      <c r="PUP1688" s="2477"/>
      <c r="PUQ1688" s="2477"/>
      <c r="PUR1688" s="2477"/>
      <c r="PUS1688" s="2477"/>
      <c r="PUT1688" s="2477"/>
      <c r="PUU1688" s="2477"/>
      <c r="PUV1688" s="2477"/>
      <c r="PUW1688" s="2477"/>
      <c r="PUX1688" s="2477"/>
      <c r="PUY1688" s="2477"/>
      <c r="PUZ1688" s="2477"/>
      <c r="PVA1688" s="2477"/>
      <c r="PVB1688" s="2477"/>
      <c r="PVC1688" s="2477"/>
      <c r="PVD1688" s="2477"/>
      <c r="PVE1688" s="2477"/>
      <c r="PVF1688" s="2477"/>
      <c r="PVG1688" s="2477"/>
      <c r="PVH1688" s="2477"/>
      <c r="PVI1688" s="2477"/>
      <c r="PVJ1688" s="2477"/>
      <c r="PVK1688" s="2477"/>
      <c r="PVL1688" s="2477"/>
      <c r="PVM1688" s="2477"/>
      <c r="PVN1688" s="2477"/>
      <c r="PVO1688" s="2477"/>
      <c r="PVP1688" s="2477"/>
      <c r="PVQ1688" s="2477"/>
      <c r="PVR1688" s="2477"/>
      <c r="PVS1688" s="2477"/>
      <c r="PVT1688" s="2477"/>
      <c r="PVU1688" s="2477"/>
      <c r="PVV1688" s="2477"/>
      <c r="PVW1688" s="2477"/>
      <c r="PVX1688" s="2477"/>
      <c r="PVY1688" s="2477"/>
      <c r="PVZ1688" s="2477"/>
      <c r="PWA1688" s="2477"/>
      <c r="PWB1688" s="2477"/>
      <c r="PWC1688" s="2477"/>
      <c r="PWD1688" s="2477"/>
      <c r="PWE1688" s="2477"/>
      <c r="PWF1688" s="2477"/>
      <c r="PWG1688" s="2477"/>
      <c r="PWH1688" s="2477"/>
      <c r="PWI1688" s="2477"/>
      <c r="PWJ1688" s="2477"/>
      <c r="PWK1688" s="2477"/>
      <c r="PWL1688" s="2477"/>
      <c r="PWM1688" s="2477"/>
      <c r="PWN1688" s="2477"/>
      <c r="PWO1688" s="2477"/>
      <c r="PWP1688" s="2477"/>
      <c r="PWQ1688" s="2477"/>
      <c r="PWR1688" s="2477"/>
      <c r="PWS1688" s="2477"/>
      <c r="PWT1688" s="2477"/>
      <c r="PWU1688" s="2477"/>
      <c r="PWV1688" s="2477"/>
      <c r="PWW1688" s="2477"/>
      <c r="PWX1688" s="2477"/>
      <c r="PWY1688" s="2477"/>
      <c r="PWZ1688" s="2477"/>
      <c r="PXA1688" s="2477"/>
      <c r="PXB1688" s="2477"/>
      <c r="PXC1688" s="2477"/>
      <c r="PXD1688" s="2477"/>
      <c r="PXE1688" s="2477"/>
      <c r="PXF1688" s="2477"/>
      <c r="PXG1688" s="2477"/>
      <c r="PXH1688" s="2477"/>
      <c r="PXI1688" s="2477"/>
      <c r="PXJ1688" s="2477"/>
      <c r="PXK1688" s="2477"/>
      <c r="PXL1688" s="2477"/>
      <c r="PXM1688" s="2477"/>
      <c r="PXN1688" s="2477"/>
      <c r="PXO1688" s="2477"/>
      <c r="PXP1688" s="2477"/>
      <c r="PXQ1688" s="2477"/>
      <c r="PXR1688" s="2477"/>
      <c r="PXS1688" s="2477"/>
      <c r="PXT1688" s="2477"/>
      <c r="PXU1688" s="2477"/>
      <c r="PXV1688" s="2477"/>
      <c r="PXW1688" s="2477"/>
      <c r="PXX1688" s="2477"/>
      <c r="PXY1688" s="2477"/>
      <c r="PXZ1688" s="2477"/>
      <c r="PYA1688" s="2477"/>
      <c r="PYB1688" s="2477"/>
      <c r="PYC1688" s="2477"/>
      <c r="PYD1688" s="2477"/>
      <c r="PYE1688" s="2477"/>
      <c r="PYF1688" s="2477"/>
      <c r="PYG1688" s="2477"/>
      <c r="PYH1688" s="2477"/>
      <c r="PYI1688" s="2477"/>
      <c r="PYJ1688" s="2477"/>
      <c r="PYK1688" s="2477"/>
      <c r="PYL1688" s="2477"/>
      <c r="PYM1688" s="2477"/>
      <c r="PYN1688" s="2477"/>
      <c r="PYO1688" s="2477"/>
      <c r="PYP1688" s="2477"/>
      <c r="PYQ1688" s="2477"/>
      <c r="PYR1688" s="2477"/>
      <c r="PYS1688" s="2477"/>
      <c r="PYT1688" s="2477"/>
      <c r="PYU1688" s="2477"/>
      <c r="PYV1688" s="2477"/>
      <c r="PYW1688" s="2477"/>
      <c r="PYX1688" s="2477"/>
      <c r="PYY1688" s="2477"/>
      <c r="PYZ1688" s="2477"/>
      <c r="PZA1688" s="2477"/>
      <c r="PZB1688" s="2477"/>
      <c r="PZC1688" s="2477"/>
      <c r="PZD1688" s="2477"/>
      <c r="PZE1688" s="2477"/>
      <c r="PZF1688" s="2477"/>
      <c r="PZG1688" s="2477"/>
      <c r="PZH1688" s="2477"/>
      <c r="PZI1688" s="2477"/>
      <c r="PZJ1688" s="2477"/>
      <c r="PZK1688" s="2477"/>
      <c r="PZL1688" s="2477"/>
      <c r="PZM1688" s="2477"/>
      <c r="PZN1688" s="2477"/>
      <c r="PZO1688" s="2477"/>
      <c r="PZP1688" s="2477"/>
      <c r="PZQ1688" s="2477"/>
      <c r="PZR1688" s="2477"/>
      <c r="PZS1688" s="2477"/>
      <c r="PZT1688" s="2477"/>
      <c r="PZU1688" s="2477"/>
      <c r="PZV1688" s="2477"/>
      <c r="PZW1688" s="2477"/>
      <c r="PZX1688" s="2477"/>
      <c r="PZY1688" s="2477"/>
      <c r="PZZ1688" s="2477"/>
      <c r="QAA1688" s="2477"/>
      <c r="QAB1688" s="2477"/>
      <c r="QAC1688" s="2477"/>
      <c r="QAD1688" s="2477"/>
      <c r="QAE1688" s="2477"/>
      <c r="QAF1688" s="2477"/>
      <c r="QAG1688" s="2477"/>
      <c r="QAH1688" s="2477"/>
      <c r="QAI1688" s="2477"/>
      <c r="QAJ1688" s="2477"/>
      <c r="QAK1688" s="2477"/>
      <c r="QAL1688" s="2477"/>
      <c r="QAM1688" s="2477"/>
      <c r="QAN1688" s="2477"/>
      <c r="QAO1688" s="2477"/>
      <c r="QAP1688" s="2477"/>
      <c r="QAQ1688" s="2477"/>
      <c r="QAR1688" s="2477"/>
      <c r="QAS1688" s="2477"/>
      <c r="QAT1688" s="2477"/>
      <c r="QAU1688" s="2477"/>
      <c r="QAV1688" s="2477"/>
      <c r="QAW1688" s="2477"/>
      <c r="QAX1688" s="2477"/>
      <c r="QAY1688" s="2477"/>
      <c r="QAZ1688" s="2477"/>
      <c r="QBA1688" s="2477"/>
      <c r="QBB1688" s="2477"/>
      <c r="QBC1688" s="2477"/>
      <c r="QBD1688" s="2477"/>
      <c r="QBE1688" s="2477"/>
      <c r="QBF1688" s="2477"/>
      <c r="QBG1688" s="2477"/>
      <c r="QBH1688" s="2477"/>
      <c r="QBI1688" s="2477"/>
      <c r="QBJ1688" s="2477"/>
      <c r="QBK1688" s="2477"/>
      <c r="QBL1688" s="2477"/>
      <c r="QBM1688" s="2477"/>
      <c r="QBN1688" s="2477"/>
      <c r="QBO1688" s="2477"/>
      <c r="QBP1688" s="2477"/>
      <c r="QBQ1688" s="2477"/>
      <c r="QBR1688" s="2477"/>
      <c r="QBS1688" s="2477"/>
      <c r="QBT1688" s="2477"/>
      <c r="QBU1688" s="2477"/>
      <c r="QBV1688" s="2477"/>
      <c r="QBW1688" s="2477"/>
      <c r="QBX1688" s="2477"/>
      <c r="QBY1688" s="2477"/>
      <c r="QBZ1688" s="2477"/>
      <c r="QCA1688" s="2477"/>
      <c r="QCB1688" s="2477"/>
      <c r="QCC1688" s="2477"/>
      <c r="QCD1688" s="2477"/>
      <c r="QCE1688" s="2477"/>
      <c r="QCF1688" s="2477"/>
      <c r="QCG1688" s="2477"/>
      <c r="QCH1688" s="2477"/>
      <c r="QCI1688" s="2477"/>
      <c r="QCJ1688" s="2477"/>
      <c r="QCK1688" s="2477"/>
      <c r="QCL1688" s="2477"/>
      <c r="QCM1688" s="2477"/>
      <c r="QCN1688" s="2477"/>
      <c r="QCO1688" s="2477"/>
      <c r="QCP1688" s="2477"/>
      <c r="QCQ1688" s="2477"/>
      <c r="QCR1688" s="2477"/>
      <c r="QCS1688" s="2477"/>
      <c r="QCT1688" s="2477"/>
      <c r="QCU1688" s="2477"/>
      <c r="QCV1688" s="2477"/>
      <c r="QCW1688" s="2477"/>
      <c r="QCX1688" s="2477"/>
      <c r="QCY1688" s="2477"/>
      <c r="QCZ1688" s="2477"/>
      <c r="QDA1688" s="2477"/>
      <c r="QDB1688" s="2477"/>
      <c r="QDC1688" s="2477"/>
      <c r="QDD1688" s="2477"/>
      <c r="QDE1688" s="2477"/>
      <c r="QDF1688" s="2477"/>
      <c r="QDG1688" s="2477"/>
      <c r="QDH1688" s="2477"/>
      <c r="QDI1688" s="2477"/>
      <c r="QDJ1688" s="2477"/>
      <c r="QDK1688" s="2477"/>
      <c r="QDL1688" s="2477"/>
      <c r="QDM1688" s="2477"/>
      <c r="QDN1688" s="2477"/>
      <c r="QDO1688" s="2477"/>
      <c r="QDP1688" s="2477"/>
      <c r="QDQ1688" s="2477"/>
      <c r="QDR1688" s="2477"/>
      <c r="QDS1688" s="2477"/>
      <c r="QDT1688" s="2477"/>
      <c r="QDU1688" s="2477"/>
      <c r="QDV1688" s="2477"/>
      <c r="QDW1688" s="2477"/>
      <c r="QDX1688" s="2477"/>
      <c r="QDY1688" s="2477"/>
      <c r="QDZ1688" s="2477"/>
      <c r="QEA1688" s="2477"/>
      <c r="QEB1688" s="2477"/>
      <c r="QEC1688" s="2477"/>
      <c r="QED1688" s="2477"/>
      <c r="QEE1688" s="2477"/>
      <c r="QEF1688" s="2477"/>
      <c r="QEG1688" s="2477"/>
      <c r="QEH1688" s="2477"/>
      <c r="QEI1688" s="2477"/>
      <c r="QEJ1688" s="2477"/>
      <c r="QEK1688" s="2477"/>
      <c r="QEL1688" s="2477"/>
      <c r="QEM1688" s="2477"/>
      <c r="QEN1688" s="2477"/>
      <c r="QEO1688" s="2477"/>
      <c r="QEP1688" s="2477"/>
      <c r="QEQ1688" s="2477"/>
      <c r="QER1688" s="2477"/>
      <c r="QES1688" s="2477"/>
      <c r="QET1688" s="2477"/>
      <c r="QEU1688" s="2477"/>
      <c r="QEV1688" s="2477"/>
      <c r="QEW1688" s="2477"/>
      <c r="QEX1688" s="2477"/>
      <c r="QEY1688" s="2477"/>
      <c r="QEZ1688" s="2477"/>
      <c r="QFA1688" s="2477"/>
      <c r="QFB1688" s="2477"/>
      <c r="QFC1688" s="2477"/>
      <c r="QFD1688" s="2477"/>
      <c r="QFE1688" s="2477"/>
      <c r="QFF1688" s="2477"/>
      <c r="QFG1688" s="2477"/>
      <c r="QFH1688" s="2477"/>
      <c r="QFI1688" s="2477"/>
      <c r="QFJ1688" s="2477"/>
      <c r="QFK1688" s="2477"/>
      <c r="QFL1688" s="2477"/>
      <c r="QFM1688" s="2477"/>
      <c r="QFN1688" s="2477"/>
      <c r="QFO1688" s="2477"/>
      <c r="QFP1688" s="2477"/>
      <c r="QFQ1688" s="2477"/>
      <c r="QFR1688" s="2477"/>
      <c r="QFS1688" s="2477"/>
      <c r="QFT1688" s="2477"/>
      <c r="QFU1688" s="2477"/>
      <c r="QFV1688" s="2477"/>
      <c r="QFW1688" s="2477"/>
      <c r="QFX1688" s="2477"/>
      <c r="QFY1688" s="2477"/>
      <c r="QFZ1688" s="2477"/>
      <c r="QGA1688" s="2477"/>
      <c r="QGB1688" s="2477"/>
      <c r="QGC1688" s="2477"/>
      <c r="QGD1688" s="2477"/>
      <c r="QGE1688" s="2477"/>
      <c r="QGF1688" s="2477"/>
      <c r="QGG1688" s="2477"/>
      <c r="QGH1688" s="2477"/>
      <c r="QGI1688" s="2477"/>
      <c r="QGJ1688" s="2477"/>
      <c r="QGK1688" s="2477"/>
      <c r="QGL1688" s="2477"/>
      <c r="QGM1688" s="2477"/>
      <c r="QGN1688" s="2477"/>
      <c r="QGO1688" s="2477"/>
      <c r="QGP1688" s="2477"/>
      <c r="QGQ1688" s="2477"/>
      <c r="QGR1688" s="2477"/>
      <c r="QGS1688" s="2477"/>
      <c r="QGT1688" s="2477"/>
      <c r="QGU1688" s="2477"/>
      <c r="QGV1688" s="2477"/>
      <c r="QGW1688" s="2477"/>
      <c r="QGX1688" s="2477"/>
      <c r="QGY1688" s="2477"/>
      <c r="QGZ1688" s="2477"/>
      <c r="QHA1688" s="2477"/>
      <c r="QHB1688" s="2477"/>
      <c r="QHC1688" s="2477"/>
      <c r="QHD1688" s="2477"/>
      <c r="QHE1688" s="2477"/>
      <c r="QHF1688" s="2477"/>
      <c r="QHG1688" s="2477"/>
      <c r="QHH1688" s="2477"/>
      <c r="QHI1688" s="2477"/>
      <c r="QHJ1688" s="2477"/>
      <c r="QHK1688" s="2477"/>
      <c r="QHL1688" s="2477"/>
      <c r="QHM1688" s="2477"/>
      <c r="QHN1688" s="2477"/>
      <c r="QHO1688" s="2477"/>
      <c r="QHP1688" s="2477"/>
      <c r="QHQ1688" s="2477"/>
      <c r="QHR1688" s="2477"/>
      <c r="QHS1688" s="2477"/>
      <c r="QHT1688" s="2477"/>
      <c r="QHU1688" s="2477"/>
      <c r="QHV1688" s="2477"/>
      <c r="QHW1688" s="2477"/>
      <c r="QHX1688" s="2477"/>
      <c r="QHY1688" s="2477"/>
      <c r="QHZ1688" s="2477"/>
      <c r="QIA1688" s="2477"/>
      <c r="QIB1688" s="2477"/>
      <c r="QIC1688" s="2477"/>
      <c r="QID1688" s="2477"/>
      <c r="QIE1688" s="2477"/>
      <c r="QIF1688" s="2477"/>
      <c r="QIG1688" s="2477"/>
      <c r="QIH1688" s="2477"/>
      <c r="QII1688" s="2477"/>
      <c r="QIJ1688" s="2477"/>
      <c r="QIK1688" s="2477"/>
      <c r="QIL1688" s="2477"/>
      <c r="QIM1688" s="2477"/>
      <c r="QIN1688" s="2477"/>
      <c r="QIO1688" s="2477"/>
      <c r="QIP1688" s="2477"/>
      <c r="QIQ1688" s="2477"/>
      <c r="QIR1688" s="2477"/>
      <c r="QIS1688" s="2477"/>
      <c r="QIT1688" s="2477"/>
      <c r="QIU1688" s="2477"/>
      <c r="QIV1688" s="2477"/>
      <c r="QIW1688" s="2477"/>
      <c r="QIX1688" s="2477"/>
      <c r="QIY1688" s="2477"/>
      <c r="QIZ1688" s="2477"/>
      <c r="QJA1688" s="2477"/>
      <c r="QJB1688" s="2477"/>
      <c r="QJC1688" s="2477"/>
      <c r="QJD1688" s="2477"/>
      <c r="QJE1688" s="2477"/>
      <c r="QJF1688" s="2477"/>
      <c r="QJG1688" s="2477"/>
      <c r="QJH1688" s="2477"/>
      <c r="QJI1688" s="2477"/>
      <c r="QJJ1688" s="2477"/>
      <c r="QJK1688" s="2477"/>
      <c r="QJL1688" s="2477"/>
      <c r="QJM1688" s="2477"/>
      <c r="QJN1688" s="2477"/>
      <c r="QJO1688" s="2477"/>
      <c r="QJP1688" s="2477"/>
      <c r="QJQ1688" s="2477"/>
      <c r="QJR1688" s="2477"/>
      <c r="QJS1688" s="2477"/>
      <c r="QJT1688" s="2477"/>
      <c r="QJU1688" s="2477"/>
      <c r="QJV1688" s="2477"/>
      <c r="QJW1688" s="2477"/>
      <c r="QJX1688" s="2477"/>
      <c r="QJY1688" s="2477"/>
      <c r="QJZ1688" s="2477"/>
      <c r="QKA1688" s="2477"/>
      <c r="QKB1688" s="2477"/>
      <c r="QKC1688" s="2477"/>
      <c r="QKD1688" s="2477"/>
      <c r="QKE1688" s="2477"/>
      <c r="QKF1688" s="2477"/>
      <c r="QKG1688" s="2477"/>
      <c r="QKH1688" s="2477"/>
      <c r="QKI1688" s="2477"/>
      <c r="QKJ1688" s="2477"/>
      <c r="QKK1688" s="2477"/>
      <c r="QKL1688" s="2477"/>
      <c r="QKM1688" s="2477"/>
      <c r="QKN1688" s="2477"/>
      <c r="QKO1688" s="2477"/>
      <c r="QKP1688" s="2477"/>
      <c r="QKQ1688" s="2477"/>
      <c r="QKR1688" s="2477"/>
      <c r="QKS1688" s="2477"/>
      <c r="QKT1688" s="2477"/>
      <c r="QKU1688" s="2477"/>
      <c r="QKV1688" s="2477"/>
      <c r="QKW1688" s="2477"/>
      <c r="QKX1688" s="2477"/>
      <c r="QKY1688" s="2477"/>
      <c r="QKZ1688" s="2477"/>
      <c r="QLA1688" s="2477"/>
      <c r="QLB1688" s="2477"/>
      <c r="QLC1688" s="2477"/>
      <c r="QLD1688" s="2477"/>
      <c r="QLE1688" s="2477"/>
      <c r="QLF1688" s="2477"/>
      <c r="QLG1688" s="2477"/>
      <c r="QLH1688" s="2477"/>
      <c r="QLI1688" s="2477"/>
      <c r="QLJ1688" s="2477"/>
      <c r="QLK1688" s="2477"/>
      <c r="QLL1688" s="2477"/>
      <c r="QLM1688" s="2477"/>
      <c r="QLN1688" s="2477"/>
      <c r="QLO1688" s="2477"/>
      <c r="QLP1688" s="2477"/>
      <c r="QLQ1688" s="2477"/>
      <c r="QLR1688" s="2477"/>
      <c r="QLS1688" s="2477"/>
      <c r="QLT1688" s="2477"/>
      <c r="QLU1688" s="2477"/>
      <c r="QLV1688" s="2477"/>
      <c r="QLW1688" s="2477"/>
      <c r="QLX1688" s="2477"/>
      <c r="QLY1688" s="2477"/>
      <c r="QLZ1688" s="2477"/>
      <c r="QMA1688" s="2477"/>
      <c r="QMB1688" s="2477"/>
      <c r="QMC1688" s="2477"/>
      <c r="QMD1688" s="2477"/>
      <c r="QME1688" s="2477"/>
      <c r="QMF1688" s="2477"/>
      <c r="QMG1688" s="2477"/>
      <c r="QMH1688" s="2477"/>
      <c r="QMI1688" s="2477"/>
      <c r="QMJ1688" s="2477"/>
      <c r="QMK1688" s="2477"/>
      <c r="QML1688" s="2477"/>
      <c r="QMM1688" s="2477"/>
      <c r="QMN1688" s="2477"/>
      <c r="QMO1688" s="2477"/>
      <c r="QMP1688" s="2477"/>
      <c r="QMQ1688" s="2477"/>
      <c r="QMR1688" s="2477"/>
      <c r="QMS1688" s="2477"/>
      <c r="QMT1688" s="2477"/>
      <c r="QMU1688" s="2477"/>
      <c r="QMV1688" s="2477"/>
      <c r="QMW1688" s="2477"/>
      <c r="QMX1688" s="2477"/>
      <c r="QMY1688" s="2477"/>
      <c r="QMZ1688" s="2477"/>
      <c r="QNA1688" s="2477"/>
      <c r="QNB1688" s="2477"/>
      <c r="QNC1688" s="2477"/>
      <c r="QND1688" s="2477"/>
      <c r="QNE1688" s="2477"/>
      <c r="QNF1688" s="2477"/>
      <c r="QNG1688" s="2477"/>
      <c r="QNH1688" s="2477"/>
      <c r="QNI1688" s="2477"/>
      <c r="QNJ1688" s="2477"/>
      <c r="QNK1688" s="2477"/>
      <c r="QNL1688" s="2477"/>
      <c r="QNM1688" s="2477"/>
      <c r="QNN1688" s="2477"/>
      <c r="QNO1688" s="2477"/>
      <c r="QNP1688" s="2477"/>
      <c r="QNQ1688" s="2477"/>
      <c r="QNR1688" s="2477"/>
      <c r="QNS1688" s="2477"/>
      <c r="QNT1688" s="2477"/>
      <c r="QNU1688" s="2477"/>
      <c r="QNV1688" s="2477"/>
      <c r="QNW1688" s="2477"/>
      <c r="QNX1688" s="2477"/>
      <c r="QNY1688" s="2477"/>
      <c r="QNZ1688" s="2477"/>
      <c r="QOA1688" s="2477"/>
      <c r="QOB1688" s="2477"/>
      <c r="QOC1688" s="2477"/>
      <c r="QOD1688" s="2477"/>
      <c r="QOE1688" s="2477"/>
      <c r="QOF1688" s="2477"/>
      <c r="QOG1688" s="2477"/>
      <c r="QOH1688" s="2477"/>
      <c r="QOI1688" s="2477"/>
      <c r="QOJ1688" s="2477"/>
      <c r="QOK1688" s="2477"/>
      <c r="QOL1688" s="2477"/>
      <c r="QOM1688" s="2477"/>
      <c r="QON1688" s="2477"/>
      <c r="QOO1688" s="2477"/>
      <c r="QOP1688" s="2477"/>
      <c r="QOQ1688" s="2477"/>
      <c r="QOR1688" s="2477"/>
      <c r="QOS1688" s="2477"/>
      <c r="QOT1688" s="2477"/>
      <c r="QOU1688" s="2477"/>
      <c r="QOV1688" s="2477"/>
      <c r="QOW1688" s="2477"/>
      <c r="QOX1688" s="2477"/>
      <c r="QOY1688" s="2477"/>
      <c r="QOZ1688" s="2477"/>
      <c r="QPA1688" s="2477"/>
      <c r="QPB1688" s="2477"/>
      <c r="QPC1688" s="2477"/>
      <c r="QPD1688" s="2477"/>
      <c r="QPE1688" s="2477"/>
      <c r="QPF1688" s="2477"/>
      <c r="QPG1688" s="2477"/>
      <c r="QPH1688" s="2477"/>
      <c r="QPI1688" s="2477"/>
      <c r="QPJ1688" s="2477"/>
      <c r="QPK1688" s="2477"/>
      <c r="QPL1688" s="2477"/>
      <c r="QPM1688" s="2477"/>
      <c r="QPN1688" s="2477"/>
      <c r="QPO1688" s="2477"/>
      <c r="QPP1688" s="2477"/>
      <c r="QPQ1688" s="2477"/>
      <c r="QPR1688" s="2477"/>
      <c r="QPS1688" s="2477"/>
      <c r="QPT1688" s="2477"/>
      <c r="QPU1688" s="2477"/>
      <c r="QPV1688" s="2477"/>
      <c r="QPW1688" s="2477"/>
      <c r="QPX1688" s="2477"/>
      <c r="QPY1688" s="2477"/>
      <c r="QPZ1688" s="2477"/>
      <c r="QQA1688" s="2477"/>
      <c r="QQB1688" s="2477"/>
      <c r="QQC1688" s="2477"/>
      <c r="QQD1688" s="2477"/>
      <c r="QQE1688" s="2477"/>
      <c r="QQF1688" s="2477"/>
      <c r="QQG1688" s="2477"/>
      <c r="QQH1688" s="2477"/>
      <c r="QQI1688" s="2477"/>
      <c r="QQJ1688" s="2477"/>
      <c r="QQK1688" s="2477"/>
      <c r="QQL1688" s="2477"/>
      <c r="QQM1688" s="2477"/>
      <c r="QQN1688" s="2477"/>
      <c r="QQO1688" s="2477"/>
      <c r="QQP1688" s="2477"/>
      <c r="QQQ1688" s="2477"/>
      <c r="QQR1688" s="2477"/>
      <c r="QQS1688" s="2477"/>
      <c r="QQT1688" s="2477"/>
      <c r="QQU1688" s="2477"/>
      <c r="QQV1688" s="2477"/>
      <c r="QQW1688" s="2477"/>
      <c r="QQX1688" s="2477"/>
      <c r="QQY1688" s="2477"/>
      <c r="QQZ1688" s="2477"/>
      <c r="QRA1688" s="2477"/>
      <c r="QRB1688" s="2477"/>
      <c r="QRC1688" s="2477"/>
      <c r="QRD1688" s="2477"/>
      <c r="QRE1688" s="2477"/>
      <c r="QRF1688" s="2477"/>
      <c r="QRG1688" s="2477"/>
      <c r="QRH1688" s="2477"/>
      <c r="QRI1688" s="2477"/>
      <c r="QRJ1688" s="2477"/>
      <c r="QRK1688" s="2477"/>
      <c r="QRL1688" s="2477"/>
      <c r="QRM1688" s="2477"/>
      <c r="QRN1688" s="2477"/>
      <c r="QRO1688" s="2477"/>
      <c r="QRP1688" s="2477"/>
      <c r="QRQ1688" s="2477"/>
      <c r="QRR1688" s="2477"/>
      <c r="QRS1688" s="2477"/>
      <c r="QRT1688" s="2477"/>
      <c r="QRU1688" s="2477"/>
      <c r="QRV1688" s="2477"/>
      <c r="QRW1688" s="2477"/>
      <c r="QRX1688" s="2477"/>
      <c r="QRY1688" s="2477"/>
      <c r="QRZ1688" s="2477"/>
      <c r="QSA1688" s="2477"/>
      <c r="QSB1688" s="2477"/>
      <c r="QSC1688" s="2477"/>
      <c r="QSD1688" s="2477"/>
      <c r="QSE1688" s="2477"/>
      <c r="QSF1688" s="2477"/>
      <c r="QSG1688" s="2477"/>
      <c r="QSH1688" s="2477"/>
      <c r="QSI1688" s="2477"/>
      <c r="QSJ1688" s="2477"/>
      <c r="QSK1688" s="2477"/>
      <c r="QSL1688" s="2477"/>
      <c r="QSM1688" s="2477"/>
      <c r="QSN1688" s="2477"/>
      <c r="QSO1688" s="2477"/>
      <c r="QSP1688" s="2477"/>
      <c r="QSQ1688" s="2477"/>
      <c r="QSR1688" s="2477"/>
      <c r="QSS1688" s="2477"/>
      <c r="QST1688" s="2477"/>
      <c r="QSU1688" s="2477"/>
      <c r="QSV1688" s="2477"/>
      <c r="QSW1688" s="2477"/>
      <c r="QSX1688" s="2477"/>
      <c r="QSY1688" s="2477"/>
      <c r="QSZ1688" s="2477"/>
      <c r="QTA1688" s="2477"/>
      <c r="QTB1688" s="2477"/>
      <c r="QTC1688" s="2477"/>
      <c r="QTD1688" s="2477"/>
      <c r="QTE1688" s="2477"/>
      <c r="QTF1688" s="2477"/>
      <c r="QTG1688" s="2477"/>
      <c r="QTH1688" s="2477"/>
      <c r="QTI1688" s="2477"/>
      <c r="QTJ1688" s="2477"/>
      <c r="QTK1688" s="2477"/>
      <c r="QTL1688" s="2477"/>
      <c r="QTM1688" s="2477"/>
      <c r="QTN1688" s="2477"/>
      <c r="QTO1688" s="2477"/>
      <c r="QTP1688" s="2477"/>
      <c r="QTQ1688" s="2477"/>
      <c r="QTR1688" s="2477"/>
      <c r="QTS1688" s="2477"/>
      <c r="QTT1688" s="2477"/>
      <c r="QTU1688" s="2477"/>
      <c r="QTV1688" s="2477"/>
      <c r="QTW1688" s="2477"/>
      <c r="QTX1688" s="2477"/>
      <c r="QTY1688" s="2477"/>
      <c r="QTZ1688" s="2477"/>
      <c r="QUA1688" s="2477"/>
      <c r="QUB1688" s="2477"/>
      <c r="QUC1688" s="2477"/>
      <c r="QUD1688" s="2477"/>
      <c r="QUE1688" s="2477"/>
      <c r="QUF1688" s="2477"/>
      <c r="QUG1688" s="2477"/>
      <c r="QUH1688" s="2477"/>
      <c r="QUI1688" s="2477"/>
      <c r="QUJ1688" s="2477"/>
      <c r="QUK1688" s="2477"/>
      <c r="QUL1688" s="2477"/>
      <c r="QUM1688" s="2477"/>
      <c r="QUN1688" s="2477"/>
      <c r="QUO1688" s="2477"/>
      <c r="QUP1688" s="2477"/>
      <c r="QUQ1688" s="2477"/>
      <c r="QUR1688" s="2477"/>
      <c r="QUS1688" s="2477"/>
      <c r="QUT1688" s="2477"/>
      <c r="QUU1688" s="2477"/>
      <c r="QUV1688" s="2477"/>
      <c r="QUW1688" s="2477"/>
      <c r="QUX1688" s="2477"/>
      <c r="QUY1688" s="2477"/>
      <c r="QUZ1688" s="2477"/>
      <c r="QVA1688" s="2477"/>
      <c r="QVB1688" s="2477"/>
      <c r="QVC1688" s="2477"/>
      <c r="QVD1688" s="2477"/>
      <c r="QVE1688" s="2477"/>
      <c r="QVF1688" s="2477"/>
      <c r="QVG1688" s="2477"/>
      <c r="QVH1688" s="2477"/>
      <c r="QVI1688" s="2477"/>
      <c r="QVJ1688" s="2477"/>
      <c r="QVK1688" s="2477"/>
      <c r="QVL1688" s="2477"/>
      <c r="QVM1688" s="2477"/>
      <c r="QVN1688" s="2477"/>
      <c r="QVO1688" s="2477"/>
      <c r="QVP1688" s="2477"/>
      <c r="QVQ1688" s="2477"/>
      <c r="QVR1688" s="2477"/>
      <c r="QVS1688" s="2477"/>
      <c r="QVT1688" s="2477"/>
      <c r="QVU1688" s="2477"/>
      <c r="QVV1688" s="2477"/>
      <c r="QVW1688" s="2477"/>
      <c r="QVX1688" s="2477"/>
      <c r="QVY1688" s="2477"/>
      <c r="QVZ1688" s="2477"/>
      <c r="QWA1688" s="2477"/>
      <c r="QWB1688" s="2477"/>
      <c r="QWC1688" s="2477"/>
      <c r="QWD1688" s="2477"/>
      <c r="QWE1688" s="2477"/>
      <c r="QWF1688" s="2477"/>
      <c r="QWG1688" s="2477"/>
      <c r="QWH1688" s="2477"/>
      <c r="QWI1688" s="2477"/>
      <c r="QWJ1688" s="2477"/>
      <c r="QWK1688" s="2477"/>
      <c r="QWL1688" s="2477"/>
      <c r="QWM1688" s="2477"/>
      <c r="QWN1688" s="2477"/>
      <c r="QWO1688" s="2477"/>
      <c r="QWP1688" s="2477"/>
      <c r="QWQ1688" s="2477"/>
      <c r="QWR1688" s="2477"/>
      <c r="QWS1688" s="2477"/>
      <c r="QWT1688" s="2477"/>
      <c r="QWU1688" s="2477"/>
      <c r="QWV1688" s="2477"/>
      <c r="QWW1688" s="2477"/>
      <c r="QWX1688" s="2477"/>
      <c r="QWY1688" s="2477"/>
      <c r="QWZ1688" s="2477"/>
      <c r="QXA1688" s="2477"/>
      <c r="QXB1688" s="2477"/>
      <c r="QXC1688" s="2477"/>
      <c r="QXD1688" s="2477"/>
      <c r="QXE1688" s="2477"/>
      <c r="QXF1688" s="2477"/>
      <c r="QXG1688" s="2477"/>
      <c r="QXH1688" s="2477"/>
      <c r="QXI1688" s="2477"/>
      <c r="QXJ1688" s="2477"/>
      <c r="QXK1688" s="2477"/>
      <c r="QXL1688" s="2477"/>
      <c r="QXM1688" s="2477"/>
      <c r="QXN1688" s="2477"/>
      <c r="QXO1688" s="2477"/>
      <c r="QXP1688" s="2477"/>
      <c r="QXQ1688" s="2477"/>
      <c r="QXR1688" s="2477"/>
      <c r="QXS1688" s="2477"/>
      <c r="QXT1688" s="2477"/>
      <c r="QXU1688" s="2477"/>
      <c r="QXV1688" s="2477"/>
      <c r="QXW1688" s="2477"/>
      <c r="QXX1688" s="2477"/>
      <c r="QXY1688" s="2477"/>
      <c r="QXZ1688" s="2477"/>
      <c r="QYA1688" s="2477"/>
      <c r="QYB1688" s="2477"/>
      <c r="QYC1688" s="2477"/>
      <c r="QYD1688" s="2477"/>
      <c r="QYE1688" s="2477"/>
      <c r="QYF1688" s="2477"/>
      <c r="QYG1688" s="2477"/>
      <c r="QYH1688" s="2477"/>
      <c r="QYI1688" s="2477"/>
      <c r="QYJ1688" s="2477"/>
      <c r="QYK1688" s="2477"/>
      <c r="QYL1688" s="2477"/>
      <c r="QYM1688" s="2477"/>
      <c r="QYN1688" s="2477"/>
      <c r="QYO1688" s="2477"/>
      <c r="QYP1688" s="2477"/>
      <c r="QYQ1688" s="2477"/>
      <c r="QYR1688" s="2477"/>
      <c r="QYS1688" s="2477"/>
      <c r="QYT1688" s="2477"/>
      <c r="QYU1688" s="2477"/>
      <c r="QYV1688" s="2477"/>
      <c r="QYW1688" s="2477"/>
      <c r="QYX1688" s="2477"/>
      <c r="QYY1688" s="2477"/>
      <c r="QYZ1688" s="2477"/>
      <c r="QZA1688" s="2477"/>
      <c r="QZB1688" s="2477"/>
      <c r="QZC1688" s="2477"/>
      <c r="QZD1688" s="2477"/>
      <c r="QZE1688" s="2477"/>
      <c r="QZF1688" s="2477"/>
      <c r="QZG1688" s="2477"/>
      <c r="QZH1688" s="2477"/>
      <c r="QZI1688" s="2477"/>
      <c r="QZJ1688" s="2477"/>
      <c r="QZK1688" s="2477"/>
      <c r="QZL1688" s="2477"/>
      <c r="QZM1688" s="2477"/>
      <c r="QZN1688" s="2477"/>
      <c r="QZO1688" s="2477"/>
      <c r="QZP1688" s="2477"/>
      <c r="QZQ1688" s="2477"/>
      <c r="QZR1688" s="2477"/>
      <c r="QZS1688" s="2477"/>
      <c r="QZT1688" s="2477"/>
      <c r="QZU1688" s="2477"/>
      <c r="QZV1688" s="2477"/>
      <c r="QZW1688" s="2477"/>
      <c r="QZX1688" s="2477"/>
      <c r="QZY1688" s="2477"/>
      <c r="QZZ1688" s="2477"/>
      <c r="RAA1688" s="2477"/>
      <c r="RAB1688" s="2477"/>
      <c r="RAC1688" s="2477"/>
      <c r="RAD1688" s="2477"/>
      <c r="RAE1688" s="2477"/>
      <c r="RAF1688" s="2477"/>
      <c r="RAG1688" s="2477"/>
      <c r="RAH1688" s="2477"/>
      <c r="RAI1688" s="2477"/>
      <c r="RAJ1688" s="2477"/>
      <c r="RAK1688" s="2477"/>
      <c r="RAL1688" s="2477"/>
      <c r="RAM1688" s="2477"/>
      <c r="RAN1688" s="2477"/>
      <c r="RAO1688" s="2477"/>
      <c r="RAP1688" s="2477"/>
      <c r="RAQ1688" s="2477"/>
      <c r="RAR1688" s="2477"/>
      <c r="RAS1688" s="2477"/>
      <c r="RAT1688" s="2477"/>
      <c r="RAU1688" s="2477"/>
      <c r="RAV1688" s="2477"/>
      <c r="RAW1688" s="2477"/>
      <c r="RAX1688" s="2477"/>
      <c r="RAY1688" s="2477"/>
      <c r="RAZ1688" s="2477"/>
      <c r="RBA1688" s="2477"/>
      <c r="RBB1688" s="2477"/>
      <c r="RBC1688" s="2477"/>
      <c r="RBD1688" s="2477"/>
      <c r="RBE1688" s="2477"/>
      <c r="RBF1688" s="2477"/>
      <c r="RBG1688" s="2477"/>
      <c r="RBH1688" s="2477"/>
      <c r="RBI1688" s="2477"/>
      <c r="RBJ1688" s="2477"/>
      <c r="RBK1688" s="2477"/>
      <c r="RBL1688" s="2477"/>
      <c r="RBM1688" s="2477"/>
      <c r="RBN1688" s="2477"/>
      <c r="RBO1688" s="2477"/>
      <c r="RBP1688" s="2477"/>
      <c r="RBQ1688" s="2477"/>
      <c r="RBR1688" s="2477"/>
      <c r="RBS1688" s="2477"/>
      <c r="RBT1688" s="2477"/>
      <c r="RBU1688" s="2477"/>
      <c r="RBV1688" s="2477"/>
      <c r="RBW1688" s="2477"/>
      <c r="RBX1688" s="2477"/>
      <c r="RBY1688" s="2477"/>
      <c r="RBZ1688" s="2477"/>
      <c r="RCA1688" s="2477"/>
      <c r="RCB1688" s="2477"/>
      <c r="RCC1688" s="2477"/>
      <c r="RCD1688" s="2477"/>
      <c r="RCE1688" s="2477"/>
      <c r="RCF1688" s="2477"/>
      <c r="RCG1688" s="2477"/>
      <c r="RCH1688" s="2477"/>
      <c r="RCI1688" s="2477"/>
      <c r="RCJ1688" s="2477"/>
      <c r="RCK1688" s="2477"/>
      <c r="RCL1688" s="2477"/>
      <c r="RCM1688" s="2477"/>
      <c r="RCN1688" s="2477"/>
      <c r="RCO1688" s="2477"/>
      <c r="RCP1688" s="2477"/>
      <c r="RCQ1688" s="2477"/>
      <c r="RCR1688" s="2477"/>
      <c r="RCS1688" s="2477"/>
      <c r="RCT1688" s="2477"/>
      <c r="RCU1688" s="2477"/>
      <c r="RCV1688" s="2477"/>
      <c r="RCW1688" s="2477"/>
      <c r="RCX1688" s="2477"/>
      <c r="RCY1688" s="2477"/>
      <c r="RCZ1688" s="2477"/>
      <c r="RDA1688" s="2477"/>
      <c r="RDB1688" s="2477"/>
      <c r="RDC1688" s="2477"/>
      <c r="RDD1688" s="2477"/>
      <c r="RDE1688" s="2477"/>
      <c r="RDF1688" s="2477"/>
      <c r="RDG1688" s="2477"/>
      <c r="RDH1688" s="2477"/>
      <c r="RDI1688" s="2477"/>
      <c r="RDJ1688" s="2477"/>
      <c r="RDK1688" s="2477"/>
      <c r="RDL1688" s="2477"/>
      <c r="RDM1688" s="2477"/>
      <c r="RDN1688" s="2477"/>
      <c r="RDO1688" s="2477"/>
      <c r="RDP1688" s="2477"/>
      <c r="RDQ1688" s="2477"/>
      <c r="RDR1688" s="2477"/>
      <c r="RDS1688" s="2477"/>
      <c r="RDT1688" s="2477"/>
      <c r="RDU1688" s="2477"/>
      <c r="RDV1688" s="2477"/>
      <c r="RDW1688" s="2477"/>
      <c r="RDX1688" s="2477"/>
      <c r="RDY1688" s="2477"/>
      <c r="RDZ1688" s="2477"/>
      <c r="REA1688" s="2477"/>
      <c r="REB1688" s="2477"/>
      <c r="REC1688" s="2477"/>
      <c r="RED1688" s="2477"/>
      <c r="REE1688" s="2477"/>
      <c r="REF1688" s="2477"/>
      <c r="REG1688" s="2477"/>
      <c r="REH1688" s="2477"/>
      <c r="REI1688" s="2477"/>
      <c r="REJ1688" s="2477"/>
      <c r="REK1688" s="2477"/>
      <c r="REL1688" s="2477"/>
      <c r="REM1688" s="2477"/>
      <c r="REN1688" s="2477"/>
      <c r="REO1688" s="2477"/>
      <c r="REP1688" s="2477"/>
      <c r="REQ1688" s="2477"/>
      <c r="RER1688" s="2477"/>
      <c r="RES1688" s="2477"/>
      <c r="RET1688" s="2477"/>
      <c r="REU1688" s="2477"/>
      <c r="REV1688" s="2477"/>
      <c r="REW1688" s="2477"/>
      <c r="REX1688" s="2477"/>
      <c r="REY1688" s="2477"/>
      <c r="REZ1688" s="2477"/>
      <c r="RFA1688" s="2477"/>
      <c r="RFB1688" s="2477"/>
      <c r="RFC1688" s="2477"/>
      <c r="RFD1688" s="2477"/>
      <c r="RFE1688" s="2477"/>
      <c r="RFF1688" s="2477"/>
      <c r="RFG1688" s="2477"/>
      <c r="RFH1688" s="2477"/>
      <c r="RFI1688" s="2477"/>
      <c r="RFJ1688" s="2477"/>
      <c r="RFK1688" s="2477"/>
      <c r="RFL1688" s="2477"/>
      <c r="RFM1688" s="2477"/>
      <c r="RFN1688" s="2477"/>
      <c r="RFO1688" s="2477"/>
      <c r="RFP1688" s="2477"/>
      <c r="RFQ1688" s="2477"/>
      <c r="RFR1688" s="2477"/>
      <c r="RFS1688" s="2477"/>
      <c r="RFT1688" s="2477"/>
      <c r="RFU1688" s="2477"/>
      <c r="RFV1688" s="2477"/>
      <c r="RFW1688" s="2477"/>
      <c r="RFX1688" s="2477"/>
      <c r="RFY1688" s="2477"/>
      <c r="RFZ1688" s="2477"/>
      <c r="RGA1688" s="2477"/>
      <c r="RGB1688" s="2477"/>
      <c r="RGC1688" s="2477"/>
      <c r="RGD1688" s="2477"/>
      <c r="RGE1688" s="2477"/>
      <c r="RGF1688" s="2477"/>
      <c r="RGG1688" s="2477"/>
      <c r="RGH1688" s="2477"/>
      <c r="RGI1688" s="2477"/>
      <c r="RGJ1688" s="2477"/>
      <c r="RGK1688" s="2477"/>
      <c r="RGL1688" s="2477"/>
      <c r="RGM1688" s="2477"/>
      <c r="RGN1688" s="2477"/>
      <c r="RGO1688" s="2477"/>
      <c r="RGP1688" s="2477"/>
      <c r="RGQ1688" s="2477"/>
      <c r="RGR1688" s="2477"/>
      <c r="RGS1688" s="2477"/>
      <c r="RGT1688" s="2477"/>
      <c r="RGU1688" s="2477"/>
      <c r="RGV1688" s="2477"/>
      <c r="RGW1688" s="2477"/>
      <c r="RGX1688" s="2477"/>
      <c r="RGY1688" s="2477"/>
      <c r="RGZ1688" s="2477"/>
      <c r="RHA1688" s="2477"/>
      <c r="RHB1688" s="2477"/>
      <c r="RHC1688" s="2477"/>
      <c r="RHD1688" s="2477"/>
      <c r="RHE1688" s="2477"/>
      <c r="RHF1688" s="2477"/>
      <c r="RHG1688" s="2477"/>
      <c r="RHH1688" s="2477"/>
      <c r="RHI1688" s="2477"/>
      <c r="RHJ1688" s="2477"/>
      <c r="RHK1688" s="2477"/>
      <c r="RHL1688" s="2477"/>
      <c r="RHM1688" s="2477"/>
      <c r="RHN1688" s="2477"/>
      <c r="RHO1688" s="2477"/>
      <c r="RHP1688" s="2477"/>
      <c r="RHQ1688" s="2477"/>
      <c r="RHR1688" s="2477"/>
      <c r="RHS1688" s="2477"/>
      <c r="RHT1688" s="2477"/>
      <c r="RHU1688" s="2477"/>
      <c r="RHV1688" s="2477"/>
      <c r="RHW1688" s="2477"/>
      <c r="RHX1688" s="2477"/>
      <c r="RHY1688" s="2477"/>
      <c r="RHZ1688" s="2477"/>
      <c r="RIA1688" s="2477"/>
      <c r="RIB1688" s="2477"/>
      <c r="RIC1688" s="2477"/>
      <c r="RID1688" s="2477"/>
      <c r="RIE1688" s="2477"/>
      <c r="RIF1688" s="2477"/>
      <c r="RIG1688" s="2477"/>
      <c r="RIH1688" s="2477"/>
      <c r="RII1688" s="2477"/>
      <c r="RIJ1688" s="2477"/>
      <c r="RIK1688" s="2477"/>
      <c r="RIL1688" s="2477"/>
      <c r="RIM1688" s="2477"/>
      <c r="RIN1688" s="2477"/>
      <c r="RIO1688" s="2477"/>
      <c r="RIP1688" s="2477"/>
      <c r="RIQ1688" s="2477"/>
      <c r="RIR1688" s="2477"/>
      <c r="RIS1688" s="2477"/>
      <c r="RIT1688" s="2477"/>
      <c r="RIU1688" s="2477"/>
      <c r="RIV1688" s="2477"/>
      <c r="RIW1688" s="2477"/>
      <c r="RIX1688" s="2477"/>
      <c r="RIY1688" s="2477"/>
      <c r="RIZ1688" s="2477"/>
      <c r="RJA1688" s="2477"/>
      <c r="RJB1688" s="2477"/>
      <c r="RJC1688" s="2477"/>
      <c r="RJD1688" s="2477"/>
      <c r="RJE1688" s="2477"/>
      <c r="RJF1688" s="2477"/>
      <c r="RJG1688" s="2477"/>
      <c r="RJH1688" s="2477"/>
      <c r="RJI1688" s="2477"/>
      <c r="RJJ1688" s="2477"/>
      <c r="RJK1688" s="2477"/>
      <c r="RJL1688" s="2477"/>
      <c r="RJM1688" s="2477"/>
      <c r="RJN1688" s="2477"/>
      <c r="RJO1688" s="2477"/>
      <c r="RJP1688" s="2477"/>
      <c r="RJQ1688" s="2477"/>
      <c r="RJR1688" s="2477"/>
      <c r="RJS1688" s="2477"/>
      <c r="RJT1688" s="2477"/>
      <c r="RJU1688" s="2477"/>
      <c r="RJV1688" s="2477"/>
      <c r="RJW1688" s="2477"/>
      <c r="RJX1688" s="2477"/>
      <c r="RJY1688" s="2477"/>
      <c r="RJZ1688" s="2477"/>
      <c r="RKA1688" s="2477"/>
      <c r="RKB1688" s="2477"/>
      <c r="RKC1688" s="2477"/>
      <c r="RKD1688" s="2477"/>
      <c r="RKE1688" s="2477"/>
      <c r="RKF1688" s="2477"/>
      <c r="RKG1688" s="2477"/>
      <c r="RKH1688" s="2477"/>
      <c r="RKI1688" s="2477"/>
      <c r="RKJ1688" s="2477"/>
      <c r="RKK1688" s="2477"/>
      <c r="RKL1688" s="2477"/>
      <c r="RKM1688" s="2477"/>
      <c r="RKN1688" s="2477"/>
      <c r="RKO1688" s="2477"/>
      <c r="RKP1688" s="2477"/>
      <c r="RKQ1688" s="2477"/>
      <c r="RKR1688" s="2477"/>
      <c r="RKS1688" s="2477"/>
      <c r="RKT1688" s="2477"/>
      <c r="RKU1688" s="2477"/>
      <c r="RKV1688" s="2477"/>
      <c r="RKW1688" s="2477"/>
      <c r="RKX1688" s="2477"/>
      <c r="RKY1688" s="2477"/>
      <c r="RKZ1688" s="2477"/>
      <c r="RLA1688" s="2477"/>
      <c r="RLB1688" s="2477"/>
      <c r="RLC1688" s="2477"/>
      <c r="RLD1688" s="2477"/>
      <c r="RLE1688" s="2477"/>
      <c r="RLF1688" s="2477"/>
      <c r="RLG1688" s="2477"/>
      <c r="RLH1688" s="2477"/>
      <c r="RLI1688" s="2477"/>
      <c r="RLJ1688" s="2477"/>
      <c r="RLK1688" s="2477"/>
      <c r="RLL1688" s="2477"/>
      <c r="RLM1688" s="2477"/>
      <c r="RLN1688" s="2477"/>
      <c r="RLO1688" s="2477"/>
      <c r="RLP1688" s="2477"/>
      <c r="RLQ1688" s="2477"/>
      <c r="RLR1688" s="2477"/>
      <c r="RLS1688" s="2477"/>
      <c r="RLT1688" s="2477"/>
      <c r="RLU1688" s="2477"/>
      <c r="RLV1688" s="2477"/>
      <c r="RLW1688" s="2477"/>
      <c r="RLX1688" s="2477"/>
      <c r="RLY1688" s="2477"/>
      <c r="RLZ1688" s="2477"/>
      <c r="RMA1688" s="2477"/>
      <c r="RMB1688" s="2477"/>
      <c r="RMC1688" s="2477"/>
      <c r="RMD1688" s="2477"/>
      <c r="RME1688" s="2477"/>
      <c r="RMF1688" s="2477"/>
      <c r="RMG1688" s="2477"/>
      <c r="RMH1688" s="2477"/>
      <c r="RMI1688" s="2477"/>
      <c r="RMJ1688" s="2477"/>
      <c r="RMK1688" s="2477"/>
      <c r="RML1688" s="2477"/>
      <c r="RMM1688" s="2477"/>
      <c r="RMN1688" s="2477"/>
      <c r="RMO1688" s="2477"/>
      <c r="RMP1688" s="2477"/>
      <c r="RMQ1688" s="2477"/>
      <c r="RMR1688" s="2477"/>
      <c r="RMS1688" s="2477"/>
      <c r="RMT1688" s="2477"/>
      <c r="RMU1688" s="2477"/>
      <c r="RMV1688" s="2477"/>
      <c r="RMW1688" s="2477"/>
      <c r="RMX1688" s="2477"/>
      <c r="RMY1688" s="2477"/>
      <c r="RMZ1688" s="2477"/>
      <c r="RNA1688" s="2477"/>
      <c r="RNB1688" s="2477"/>
      <c r="RNC1688" s="2477"/>
      <c r="RND1688" s="2477"/>
      <c r="RNE1688" s="2477"/>
      <c r="RNF1688" s="2477"/>
      <c r="RNG1688" s="2477"/>
      <c r="RNH1688" s="2477"/>
      <c r="RNI1688" s="2477"/>
      <c r="RNJ1688" s="2477"/>
      <c r="RNK1688" s="2477"/>
      <c r="RNL1688" s="2477"/>
      <c r="RNM1688" s="2477"/>
      <c r="RNN1688" s="2477"/>
      <c r="RNO1688" s="2477"/>
      <c r="RNP1688" s="2477"/>
      <c r="RNQ1688" s="2477"/>
      <c r="RNR1688" s="2477"/>
      <c r="RNS1688" s="2477"/>
      <c r="RNT1688" s="2477"/>
      <c r="RNU1688" s="2477"/>
      <c r="RNV1688" s="2477"/>
      <c r="RNW1688" s="2477"/>
      <c r="RNX1688" s="2477"/>
      <c r="RNY1688" s="2477"/>
      <c r="RNZ1688" s="2477"/>
      <c r="ROA1688" s="2477"/>
      <c r="ROB1688" s="2477"/>
      <c r="ROC1688" s="2477"/>
      <c r="ROD1688" s="2477"/>
      <c r="ROE1688" s="2477"/>
      <c r="ROF1688" s="2477"/>
      <c r="ROG1688" s="2477"/>
      <c r="ROH1688" s="2477"/>
      <c r="ROI1688" s="2477"/>
      <c r="ROJ1688" s="2477"/>
      <c r="ROK1688" s="2477"/>
      <c r="ROL1688" s="2477"/>
      <c r="ROM1688" s="2477"/>
      <c r="RON1688" s="2477"/>
      <c r="ROO1688" s="2477"/>
      <c r="ROP1688" s="2477"/>
      <c r="ROQ1688" s="2477"/>
      <c r="ROR1688" s="2477"/>
      <c r="ROS1688" s="2477"/>
      <c r="ROT1688" s="2477"/>
      <c r="ROU1688" s="2477"/>
      <c r="ROV1688" s="2477"/>
      <c r="ROW1688" s="2477"/>
      <c r="ROX1688" s="2477"/>
      <c r="ROY1688" s="2477"/>
      <c r="ROZ1688" s="2477"/>
      <c r="RPA1688" s="2477"/>
      <c r="RPB1688" s="2477"/>
      <c r="RPC1688" s="2477"/>
      <c r="RPD1688" s="2477"/>
      <c r="RPE1688" s="2477"/>
      <c r="RPF1688" s="2477"/>
      <c r="RPG1688" s="2477"/>
      <c r="RPH1688" s="2477"/>
      <c r="RPI1688" s="2477"/>
      <c r="RPJ1688" s="2477"/>
      <c r="RPK1688" s="2477"/>
      <c r="RPL1688" s="2477"/>
      <c r="RPM1688" s="2477"/>
      <c r="RPN1688" s="2477"/>
      <c r="RPO1688" s="2477"/>
      <c r="RPP1688" s="2477"/>
      <c r="RPQ1688" s="2477"/>
      <c r="RPR1688" s="2477"/>
      <c r="RPS1688" s="2477"/>
      <c r="RPT1688" s="2477"/>
      <c r="RPU1688" s="2477"/>
      <c r="RPV1688" s="2477"/>
      <c r="RPW1688" s="2477"/>
      <c r="RPX1688" s="2477"/>
      <c r="RPY1688" s="2477"/>
      <c r="RPZ1688" s="2477"/>
      <c r="RQA1688" s="2477"/>
      <c r="RQB1688" s="2477"/>
      <c r="RQC1688" s="2477"/>
      <c r="RQD1688" s="2477"/>
      <c r="RQE1688" s="2477"/>
      <c r="RQF1688" s="2477"/>
      <c r="RQG1688" s="2477"/>
      <c r="RQH1688" s="2477"/>
      <c r="RQI1688" s="2477"/>
      <c r="RQJ1688" s="2477"/>
      <c r="RQK1688" s="2477"/>
      <c r="RQL1688" s="2477"/>
      <c r="RQM1688" s="2477"/>
      <c r="RQN1688" s="2477"/>
      <c r="RQO1688" s="2477"/>
      <c r="RQP1688" s="2477"/>
      <c r="RQQ1688" s="2477"/>
      <c r="RQR1688" s="2477"/>
      <c r="RQS1688" s="2477"/>
      <c r="RQT1688" s="2477"/>
      <c r="RQU1688" s="2477"/>
      <c r="RQV1688" s="2477"/>
      <c r="RQW1688" s="2477"/>
      <c r="RQX1688" s="2477"/>
      <c r="RQY1688" s="2477"/>
      <c r="RQZ1688" s="2477"/>
      <c r="RRA1688" s="2477"/>
      <c r="RRB1688" s="2477"/>
      <c r="RRC1688" s="2477"/>
      <c r="RRD1688" s="2477"/>
      <c r="RRE1688" s="2477"/>
      <c r="RRF1688" s="2477"/>
      <c r="RRG1688" s="2477"/>
      <c r="RRH1688" s="2477"/>
      <c r="RRI1688" s="2477"/>
      <c r="RRJ1688" s="2477"/>
      <c r="RRK1688" s="2477"/>
      <c r="RRL1688" s="2477"/>
      <c r="RRM1688" s="2477"/>
      <c r="RRN1688" s="2477"/>
      <c r="RRO1688" s="2477"/>
      <c r="RRP1688" s="2477"/>
      <c r="RRQ1688" s="2477"/>
      <c r="RRR1688" s="2477"/>
      <c r="RRS1688" s="2477"/>
      <c r="RRT1688" s="2477"/>
      <c r="RRU1688" s="2477"/>
      <c r="RRV1688" s="2477"/>
      <c r="RRW1688" s="2477"/>
      <c r="RRX1688" s="2477"/>
      <c r="RRY1688" s="2477"/>
      <c r="RRZ1688" s="2477"/>
      <c r="RSA1688" s="2477"/>
      <c r="RSB1688" s="2477"/>
      <c r="RSC1688" s="2477"/>
      <c r="RSD1688" s="2477"/>
      <c r="RSE1688" s="2477"/>
      <c r="RSF1688" s="2477"/>
      <c r="RSG1688" s="2477"/>
      <c r="RSH1688" s="2477"/>
      <c r="RSI1688" s="2477"/>
      <c r="RSJ1688" s="2477"/>
      <c r="RSK1688" s="2477"/>
      <c r="RSL1688" s="2477"/>
      <c r="RSM1688" s="2477"/>
      <c r="RSN1688" s="2477"/>
      <c r="RSO1688" s="2477"/>
      <c r="RSP1688" s="2477"/>
      <c r="RSQ1688" s="2477"/>
      <c r="RSR1688" s="2477"/>
      <c r="RSS1688" s="2477"/>
      <c r="RST1688" s="2477"/>
      <c r="RSU1688" s="2477"/>
      <c r="RSV1688" s="2477"/>
      <c r="RSW1688" s="2477"/>
      <c r="RSX1688" s="2477"/>
      <c r="RSY1688" s="2477"/>
      <c r="RSZ1688" s="2477"/>
      <c r="RTA1688" s="2477"/>
      <c r="RTB1688" s="2477"/>
      <c r="RTC1688" s="2477"/>
      <c r="RTD1688" s="2477"/>
      <c r="RTE1688" s="2477"/>
      <c r="RTF1688" s="2477"/>
      <c r="RTG1688" s="2477"/>
      <c r="RTH1688" s="2477"/>
      <c r="RTI1688" s="2477"/>
      <c r="RTJ1688" s="2477"/>
      <c r="RTK1688" s="2477"/>
      <c r="RTL1688" s="2477"/>
      <c r="RTM1688" s="2477"/>
      <c r="RTN1688" s="2477"/>
      <c r="RTO1688" s="2477"/>
      <c r="RTP1688" s="2477"/>
      <c r="RTQ1688" s="2477"/>
      <c r="RTR1688" s="2477"/>
      <c r="RTS1688" s="2477"/>
      <c r="RTT1688" s="2477"/>
      <c r="RTU1688" s="2477"/>
      <c r="RTV1688" s="2477"/>
      <c r="RTW1688" s="2477"/>
      <c r="RTX1688" s="2477"/>
      <c r="RTY1688" s="2477"/>
      <c r="RTZ1688" s="2477"/>
      <c r="RUA1688" s="2477"/>
      <c r="RUB1688" s="2477"/>
      <c r="RUC1688" s="2477"/>
      <c r="RUD1688" s="2477"/>
      <c r="RUE1688" s="2477"/>
      <c r="RUF1688" s="2477"/>
      <c r="RUG1688" s="2477"/>
      <c r="RUH1688" s="2477"/>
      <c r="RUI1688" s="2477"/>
      <c r="RUJ1688" s="2477"/>
      <c r="RUK1688" s="2477"/>
      <c r="RUL1688" s="2477"/>
      <c r="RUM1688" s="2477"/>
      <c r="RUN1688" s="2477"/>
      <c r="RUO1688" s="2477"/>
      <c r="RUP1688" s="2477"/>
      <c r="RUQ1688" s="2477"/>
      <c r="RUR1688" s="2477"/>
      <c r="RUS1688" s="2477"/>
      <c r="RUT1688" s="2477"/>
      <c r="RUU1688" s="2477"/>
      <c r="RUV1688" s="2477"/>
      <c r="RUW1688" s="2477"/>
      <c r="RUX1688" s="2477"/>
      <c r="RUY1688" s="2477"/>
      <c r="RUZ1688" s="2477"/>
      <c r="RVA1688" s="2477"/>
      <c r="RVB1688" s="2477"/>
      <c r="RVC1688" s="2477"/>
      <c r="RVD1688" s="2477"/>
      <c r="RVE1688" s="2477"/>
      <c r="RVF1688" s="2477"/>
      <c r="RVG1688" s="2477"/>
      <c r="RVH1688" s="2477"/>
      <c r="RVI1688" s="2477"/>
      <c r="RVJ1688" s="2477"/>
      <c r="RVK1688" s="2477"/>
      <c r="RVL1688" s="2477"/>
      <c r="RVM1688" s="2477"/>
      <c r="RVN1688" s="2477"/>
      <c r="RVO1688" s="2477"/>
      <c r="RVP1688" s="2477"/>
      <c r="RVQ1688" s="2477"/>
      <c r="RVR1688" s="2477"/>
      <c r="RVS1688" s="2477"/>
      <c r="RVT1688" s="2477"/>
      <c r="RVU1688" s="2477"/>
      <c r="RVV1688" s="2477"/>
      <c r="RVW1688" s="2477"/>
      <c r="RVX1688" s="2477"/>
      <c r="RVY1688" s="2477"/>
      <c r="RVZ1688" s="2477"/>
      <c r="RWA1688" s="2477"/>
      <c r="RWB1688" s="2477"/>
      <c r="RWC1688" s="2477"/>
      <c r="RWD1688" s="2477"/>
      <c r="RWE1688" s="2477"/>
      <c r="RWF1688" s="2477"/>
      <c r="RWG1688" s="2477"/>
      <c r="RWH1688" s="2477"/>
      <c r="RWI1688" s="2477"/>
      <c r="RWJ1688" s="2477"/>
      <c r="RWK1688" s="2477"/>
      <c r="RWL1688" s="2477"/>
      <c r="RWM1688" s="2477"/>
      <c r="RWN1688" s="2477"/>
      <c r="RWO1688" s="2477"/>
      <c r="RWP1688" s="2477"/>
      <c r="RWQ1688" s="2477"/>
      <c r="RWR1688" s="2477"/>
      <c r="RWS1688" s="2477"/>
      <c r="RWT1688" s="2477"/>
      <c r="RWU1688" s="2477"/>
      <c r="RWV1688" s="2477"/>
      <c r="RWW1688" s="2477"/>
      <c r="RWX1688" s="2477"/>
      <c r="RWY1688" s="2477"/>
      <c r="RWZ1688" s="2477"/>
      <c r="RXA1688" s="2477"/>
      <c r="RXB1688" s="2477"/>
      <c r="RXC1688" s="2477"/>
      <c r="RXD1688" s="2477"/>
      <c r="RXE1688" s="2477"/>
      <c r="RXF1688" s="2477"/>
      <c r="RXG1688" s="2477"/>
      <c r="RXH1688" s="2477"/>
      <c r="RXI1688" s="2477"/>
      <c r="RXJ1688" s="2477"/>
      <c r="RXK1688" s="2477"/>
      <c r="RXL1688" s="2477"/>
      <c r="RXM1688" s="2477"/>
      <c r="RXN1688" s="2477"/>
      <c r="RXO1688" s="2477"/>
      <c r="RXP1688" s="2477"/>
      <c r="RXQ1688" s="2477"/>
      <c r="RXR1688" s="2477"/>
      <c r="RXS1688" s="2477"/>
      <c r="RXT1688" s="2477"/>
      <c r="RXU1688" s="2477"/>
      <c r="RXV1688" s="2477"/>
      <c r="RXW1688" s="2477"/>
      <c r="RXX1688" s="2477"/>
      <c r="RXY1688" s="2477"/>
      <c r="RXZ1688" s="2477"/>
      <c r="RYA1688" s="2477"/>
      <c r="RYB1688" s="2477"/>
      <c r="RYC1688" s="2477"/>
      <c r="RYD1688" s="2477"/>
      <c r="RYE1688" s="2477"/>
      <c r="RYF1688" s="2477"/>
      <c r="RYG1688" s="2477"/>
      <c r="RYH1688" s="2477"/>
      <c r="RYI1688" s="2477"/>
      <c r="RYJ1688" s="2477"/>
      <c r="RYK1688" s="2477"/>
      <c r="RYL1688" s="2477"/>
      <c r="RYM1688" s="2477"/>
      <c r="RYN1688" s="2477"/>
      <c r="RYO1688" s="2477"/>
      <c r="RYP1688" s="2477"/>
      <c r="RYQ1688" s="2477"/>
      <c r="RYR1688" s="2477"/>
      <c r="RYS1688" s="2477"/>
      <c r="RYT1688" s="2477"/>
      <c r="RYU1688" s="2477"/>
      <c r="RYV1688" s="2477"/>
      <c r="RYW1688" s="2477"/>
      <c r="RYX1688" s="2477"/>
      <c r="RYY1688" s="2477"/>
      <c r="RYZ1688" s="2477"/>
      <c r="RZA1688" s="2477"/>
      <c r="RZB1688" s="2477"/>
      <c r="RZC1688" s="2477"/>
      <c r="RZD1688" s="2477"/>
      <c r="RZE1688" s="2477"/>
      <c r="RZF1688" s="2477"/>
      <c r="RZG1688" s="2477"/>
      <c r="RZH1688" s="2477"/>
      <c r="RZI1688" s="2477"/>
      <c r="RZJ1688" s="2477"/>
      <c r="RZK1688" s="2477"/>
      <c r="RZL1688" s="2477"/>
      <c r="RZM1688" s="2477"/>
      <c r="RZN1688" s="2477"/>
      <c r="RZO1688" s="2477"/>
      <c r="RZP1688" s="2477"/>
      <c r="RZQ1688" s="2477"/>
      <c r="RZR1688" s="2477"/>
      <c r="RZS1688" s="2477"/>
      <c r="RZT1688" s="2477"/>
      <c r="RZU1688" s="2477"/>
      <c r="RZV1688" s="2477"/>
      <c r="RZW1688" s="2477"/>
      <c r="RZX1688" s="2477"/>
      <c r="RZY1688" s="2477"/>
      <c r="RZZ1688" s="2477"/>
      <c r="SAA1688" s="2477"/>
      <c r="SAB1688" s="2477"/>
      <c r="SAC1688" s="2477"/>
      <c r="SAD1688" s="2477"/>
      <c r="SAE1688" s="2477"/>
      <c r="SAF1688" s="2477"/>
      <c r="SAG1688" s="2477"/>
      <c r="SAH1688" s="2477"/>
      <c r="SAI1688" s="2477"/>
      <c r="SAJ1688" s="2477"/>
      <c r="SAK1688" s="2477"/>
      <c r="SAL1688" s="2477"/>
      <c r="SAM1688" s="2477"/>
      <c r="SAN1688" s="2477"/>
      <c r="SAO1688" s="2477"/>
      <c r="SAP1688" s="2477"/>
      <c r="SAQ1688" s="2477"/>
      <c r="SAR1688" s="2477"/>
      <c r="SAS1688" s="2477"/>
      <c r="SAT1688" s="2477"/>
      <c r="SAU1688" s="2477"/>
      <c r="SAV1688" s="2477"/>
      <c r="SAW1688" s="2477"/>
      <c r="SAX1688" s="2477"/>
      <c r="SAY1688" s="2477"/>
      <c r="SAZ1688" s="2477"/>
      <c r="SBA1688" s="2477"/>
      <c r="SBB1688" s="2477"/>
      <c r="SBC1688" s="2477"/>
      <c r="SBD1688" s="2477"/>
      <c r="SBE1688" s="2477"/>
      <c r="SBF1688" s="2477"/>
      <c r="SBG1688" s="2477"/>
      <c r="SBH1688" s="2477"/>
      <c r="SBI1688" s="2477"/>
      <c r="SBJ1688" s="2477"/>
      <c r="SBK1688" s="2477"/>
      <c r="SBL1688" s="2477"/>
      <c r="SBM1688" s="2477"/>
      <c r="SBN1688" s="2477"/>
      <c r="SBO1688" s="2477"/>
      <c r="SBP1688" s="2477"/>
      <c r="SBQ1688" s="2477"/>
      <c r="SBR1688" s="2477"/>
      <c r="SBS1688" s="2477"/>
      <c r="SBT1688" s="2477"/>
      <c r="SBU1688" s="2477"/>
      <c r="SBV1688" s="2477"/>
      <c r="SBW1688" s="2477"/>
      <c r="SBX1688" s="2477"/>
      <c r="SBY1688" s="2477"/>
      <c r="SBZ1688" s="2477"/>
      <c r="SCA1688" s="2477"/>
      <c r="SCB1688" s="2477"/>
      <c r="SCC1688" s="2477"/>
      <c r="SCD1688" s="2477"/>
      <c r="SCE1688" s="2477"/>
      <c r="SCF1688" s="2477"/>
      <c r="SCG1688" s="2477"/>
      <c r="SCH1688" s="2477"/>
      <c r="SCI1688" s="2477"/>
      <c r="SCJ1688" s="2477"/>
      <c r="SCK1688" s="2477"/>
      <c r="SCL1688" s="2477"/>
      <c r="SCM1688" s="2477"/>
      <c r="SCN1688" s="2477"/>
      <c r="SCO1688" s="2477"/>
      <c r="SCP1688" s="2477"/>
      <c r="SCQ1688" s="2477"/>
      <c r="SCR1688" s="2477"/>
      <c r="SCS1688" s="2477"/>
      <c r="SCT1688" s="2477"/>
      <c r="SCU1688" s="2477"/>
      <c r="SCV1688" s="2477"/>
      <c r="SCW1688" s="2477"/>
      <c r="SCX1688" s="2477"/>
      <c r="SCY1688" s="2477"/>
      <c r="SCZ1688" s="2477"/>
      <c r="SDA1688" s="2477"/>
      <c r="SDB1688" s="2477"/>
      <c r="SDC1688" s="2477"/>
      <c r="SDD1688" s="2477"/>
      <c r="SDE1688" s="2477"/>
      <c r="SDF1688" s="2477"/>
      <c r="SDG1688" s="2477"/>
      <c r="SDH1688" s="2477"/>
      <c r="SDI1688" s="2477"/>
      <c r="SDJ1688" s="2477"/>
      <c r="SDK1688" s="2477"/>
      <c r="SDL1688" s="2477"/>
      <c r="SDM1688" s="2477"/>
      <c r="SDN1688" s="2477"/>
      <c r="SDO1688" s="2477"/>
      <c r="SDP1688" s="2477"/>
      <c r="SDQ1688" s="2477"/>
      <c r="SDR1688" s="2477"/>
      <c r="SDS1688" s="2477"/>
      <c r="SDT1688" s="2477"/>
      <c r="SDU1688" s="2477"/>
      <c r="SDV1688" s="2477"/>
      <c r="SDW1688" s="2477"/>
      <c r="SDX1688" s="2477"/>
      <c r="SDY1688" s="2477"/>
      <c r="SDZ1688" s="2477"/>
      <c r="SEA1688" s="2477"/>
      <c r="SEB1688" s="2477"/>
      <c r="SEC1688" s="2477"/>
      <c r="SED1688" s="2477"/>
      <c r="SEE1688" s="2477"/>
      <c r="SEF1688" s="2477"/>
      <c r="SEG1688" s="2477"/>
      <c r="SEH1688" s="2477"/>
      <c r="SEI1688" s="2477"/>
      <c r="SEJ1688" s="2477"/>
      <c r="SEK1688" s="2477"/>
      <c r="SEL1688" s="2477"/>
      <c r="SEM1688" s="2477"/>
      <c r="SEN1688" s="2477"/>
      <c r="SEO1688" s="2477"/>
      <c r="SEP1688" s="2477"/>
      <c r="SEQ1688" s="2477"/>
      <c r="SER1688" s="2477"/>
      <c r="SES1688" s="2477"/>
      <c r="SET1688" s="2477"/>
      <c r="SEU1688" s="2477"/>
      <c r="SEV1688" s="2477"/>
      <c r="SEW1688" s="2477"/>
      <c r="SEX1688" s="2477"/>
      <c r="SEY1688" s="2477"/>
      <c r="SEZ1688" s="2477"/>
      <c r="SFA1688" s="2477"/>
      <c r="SFB1688" s="2477"/>
      <c r="SFC1688" s="2477"/>
      <c r="SFD1688" s="2477"/>
      <c r="SFE1688" s="2477"/>
      <c r="SFF1688" s="2477"/>
      <c r="SFG1688" s="2477"/>
      <c r="SFH1688" s="2477"/>
      <c r="SFI1688" s="2477"/>
      <c r="SFJ1688" s="2477"/>
      <c r="SFK1688" s="2477"/>
      <c r="SFL1688" s="2477"/>
      <c r="SFM1688" s="2477"/>
      <c r="SFN1688" s="2477"/>
      <c r="SFO1688" s="2477"/>
      <c r="SFP1688" s="2477"/>
      <c r="SFQ1688" s="2477"/>
      <c r="SFR1688" s="2477"/>
      <c r="SFS1688" s="2477"/>
      <c r="SFT1688" s="2477"/>
      <c r="SFU1688" s="2477"/>
      <c r="SFV1688" s="2477"/>
      <c r="SFW1688" s="2477"/>
      <c r="SFX1688" s="2477"/>
      <c r="SFY1688" s="2477"/>
      <c r="SFZ1688" s="2477"/>
      <c r="SGA1688" s="2477"/>
      <c r="SGB1688" s="2477"/>
      <c r="SGC1688" s="2477"/>
      <c r="SGD1688" s="2477"/>
      <c r="SGE1688" s="2477"/>
      <c r="SGF1688" s="2477"/>
      <c r="SGG1688" s="2477"/>
      <c r="SGH1688" s="2477"/>
      <c r="SGI1688" s="2477"/>
      <c r="SGJ1688" s="2477"/>
      <c r="SGK1688" s="2477"/>
      <c r="SGL1688" s="2477"/>
      <c r="SGM1688" s="2477"/>
      <c r="SGN1688" s="2477"/>
      <c r="SGO1688" s="2477"/>
      <c r="SGP1688" s="2477"/>
      <c r="SGQ1688" s="2477"/>
      <c r="SGR1688" s="2477"/>
      <c r="SGS1688" s="2477"/>
      <c r="SGT1688" s="2477"/>
      <c r="SGU1688" s="2477"/>
      <c r="SGV1688" s="2477"/>
      <c r="SGW1688" s="2477"/>
      <c r="SGX1688" s="2477"/>
      <c r="SGY1688" s="2477"/>
      <c r="SGZ1688" s="2477"/>
      <c r="SHA1688" s="2477"/>
      <c r="SHB1688" s="2477"/>
      <c r="SHC1688" s="2477"/>
      <c r="SHD1688" s="2477"/>
      <c r="SHE1688" s="2477"/>
      <c r="SHF1688" s="2477"/>
      <c r="SHG1688" s="2477"/>
      <c r="SHH1688" s="2477"/>
      <c r="SHI1688" s="2477"/>
      <c r="SHJ1688" s="2477"/>
      <c r="SHK1688" s="2477"/>
      <c r="SHL1688" s="2477"/>
      <c r="SHM1688" s="2477"/>
      <c r="SHN1688" s="2477"/>
      <c r="SHO1688" s="2477"/>
      <c r="SHP1688" s="2477"/>
      <c r="SHQ1688" s="2477"/>
      <c r="SHR1688" s="2477"/>
      <c r="SHS1688" s="2477"/>
      <c r="SHT1688" s="2477"/>
      <c r="SHU1688" s="2477"/>
      <c r="SHV1688" s="2477"/>
      <c r="SHW1688" s="2477"/>
      <c r="SHX1688" s="2477"/>
      <c r="SHY1688" s="2477"/>
      <c r="SHZ1688" s="2477"/>
      <c r="SIA1688" s="2477"/>
      <c r="SIB1688" s="2477"/>
      <c r="SIC1688" s="2477"/>
      <c r="SID1688" s="2477"/>
      <c r="SIE1688" s="2477"/>
      <c r="SIF1688" s="2477"/>
      <c r="SIG1688" s="2477"/>
      <c r="SIH1688" s="2477"/>
      <c r="SII1688" s="2477"/>
      <c r="SIJ1688" s="2477"/>
      <c r="SIK1688" s="2477"/>
      <c r="SIL1688" s="2477"/>
      <c r="SIM1688" s="2477"/>
      <c r="SIN1688" s="2477"/>
      <c r="SIO1688" s="2477"/>
      <c r="SIP1688" s="2477"/>
      <c r="SIQ1688" s="2477"/>
      <c r="SIR1688" s="2477"/>
      <c r="SIS1688" s="2477"/>
      <c r="SIT1688" s="2477"/>
      <c r="SIU1688" s="2477"/>
      <c r="SIV1688" s="2477"/>
      <c r="SIW1688" s="2477"/>
      <c r="SIX1688" s="2477"/>
      <c r="SIY1688" s="2477"/>
      <c r="SIZ1688" s="2477"/>
      <c r="SJA1688" s="2477"/>
      <c r="SJB1688" s="2477"/>
      <c r="SJC1688" s="2477"/>
      <c r="SJD1688" s="2477"/>
      <c r="SJE1688" s="2477"/>
      <c r="SJF1688" s="2477"/>
      <c r="SJG1688" s="2477"/>
      <c r="SJH1688" s="2477"/>
      <c r="SJI1688" s="2477"/>
      <c r="SJJ1688" s="2477"/>
      <c r="SJK1688" s="2477"/>
      <c r="SJL1688" s="2477"/>
      <c r="SJM1688" s="2477"/>
      <c r="SJN1688" s="2477"/>
      <c r="SJO1688" s="2477"/>
      <c r="SJP1688" s="2477"/>
      <c r="SJQ1688" s="2477"/>
      <c r="SJR1688" s="2477"/>
      <c r="SJS1688" s="2477"/>
      <c r="SJT1688" s="2477"/>
      <c r="SJU1688" s="2477"/>
      <c r="SJV1688" s="2477"/>
      <c r="SJW1688" s="2477"/>
      <c r="SJX1688" s="2477"/>
      <c r="SJY1688" s="2477"/>
      <c r="SJZ1688" s="2477"/>
      <c r="SKA1688" s="2477"/>
      <c r="SKB1688" s="2477"/>
      <c r="SKC1688" s="2477"/>
      <c r="SKD1688" s="2477"/>
      <c r="SKE1688" s="2477"/>
      <c r="SKF1688" s="2477"/>
      <c r="SKG1688" s="2477"/>
      <c r="SKH1688" s="2477"/>
      <c r="SKI1688" s="2477"/>
      <c r="SKJ1688" s="2477"/>
      <c r="SKK1688" s="2477"/>
      <c r="SKL1688" s="2477"/>
      <c r="SKM1688" s="2477"/>
      <c r="SKN1688" s="2477"/>
      <c r="SKO1688" s="2477"/>
      <c r="SKP1688" s="2477"/>
      <c r="SKQ1688" s="2477"/>
      <c r="SKR1688" s="2477"/>
      <c r="SKS1688" s="2477"/>
      <c r="SKT1688" s="2477"/>
      <c r="SKU1688" s="2477"/>
      <c r="SKV1688" s="2477"/>
      <c r="SKW1688" s="2477"/>
      <c r="SKX1688" s="2477"/>
      <c r="SKY1688" s="2477"/>
      <c r="SKZ1688" s="2477"/>
      <c r="SLA1688" s="2477"/>
      <c r="SLB1688" s="2477"/>
      <c r="SLC1688" s="2477"/>
      <c r="SLD1688" s="2477"/>
      <c r="SLE1688" s="2477"/>
      <c r="SLF1688" s="2477"/>
      <c r="SLG1688" s="2477"/>
      <c r="SLH1688" s="2477"/>
      <c r="SLI1688" s="2477"/>
      <c r="SLJ1688" s="2477"/>
      <c r="SLK1688" s="2477"/>
      <c r="SLL1688" s="2477"/>
      <c r="SLM1688" s="2477"/>
      <c r="SLN1688" s="2477"/>
      <c r="SLO1688" s="2477"/>
      <c r="SLP1688" s="2477"/>
      <c r="SLQ1688" s="2477"/>
      <c r="SLR1688" s="2477"/>
      <c r="SLS1688" s="2477"/>
      <c r="SLT1688" s="2477"/>
      <c r="SLU1688" s="2477"/>
      <c r="SLV1688" s="2477"/>
      <c r="SLW1688" s="2477"/>
      <c r="SLX1688" s="2477"/>
      <c r="SLY1688" s="2477"/>
      <c r="SLZ1688" s="2477"/>
      <c r="SMA1688" s="2477"/>
      <c r="SMB1688" s="2477"/>
      <c r="SMC1688" s="2477"/>
      <c r="SMD1688" s="2477"/>
      <c r="SME1688" s="2477"/>
      <c r="SMF1688" s="2477"/>
      <c r="SMG1688" s="2477"/>
      <c r="SMH1688" s="2477"/>
      <c r="SMI1688" s="2477"/>
      <c r="SMJ1688" s="2477"/>
      <c r="SMK1688" s="2477"/>
      <c r="SML1688" s="2477"/>
      <c r="SMM1688" s="2477"/>
      <c r="SMN1688" s="2477"/>
      <c r="SMO1688" s="2477"/>
      <c r="SMP1688" s="2477"/>
      <c r="SMQ1688" s="2477"/>
      <c r="SMR1688" s="2477"/>
      <c r="SMS1688" s="2477"/>
      <c r="SMT1688" s="2477"/>
      <c r="SMU1688" s="2477"/>
      <c r="SMV1688" s="2477"/>
      <c r="SMW1688" s="2477"/>
      <c r="SMX1688" s="2477"/>
      <c r="SMY1688" s="2477"/>
      <c r="SMZ1688" s="2477"/>
      <c r="SNA1688" s="2477"/>
      <c r="SNB1688" s="2477"/>
      <c r="SNC1688" s="2477"/>
      <c r="SND1688" s="2477"/>
      <c r="SNE1688" s="2477"/>
      <c r="SNF1688" s="2477"/>
      <c r="SNG1688" s="2477"/>
      <c r="SNH1688" s="2477"/>
      <c r="SNI1688" s="2477"/>
      <c r="SNJ1688" s="2477"/>
      <c r="SNK1688" s="2477"/>
      <c r="SNL1688" s="2477"/>
      <c r="SNM1688" s="2477"/>
      <c r="SNN1688" s="2477"/>
      <c r="SNO1688" s="2477"/>
      <c r="SNP1688" s="2477"/>
      <c r="SNQ1688" s="2477"/>
      <c r="SNR1688" s="2477"/>
      <c r="SNS1688" s="2477"/>
      <c r="SNT1688" s="2477"/>
      <c r="SNU1688" s="2477"/>
      <c r="SNV1688" s="2477"/>
      <c r="SNW1688" s="2477"/>
      <c r="SNX1688" s="2477"/>
      <c r="SNY1688" s="2477"/>
      <c r="SNZ1688" s="2477"/>
      <c r="SOA1688" s="2477"/>
      <c r="SOB1688" s="2477"/>
      <c r="SOC1688" s="2477"/>
      <c r="SOD1688" s="2477"/>
      <c r="SOE1688" s="2477"/>
      <c r="SOF1688" s="2477"/>
      <c r="SOG1688" s="2477"/>
      <c r="SOH1688" s="2477"/>
      <c r="SOI1688" s="2477"/>
      <c r="SOJ1688" s="2477"/>
      <c r="SOK1688" s="2477"/>
      <c r="SOL1688" s="2477"/>
      <c r="SOM1688" s="2477"/>
      <c r="SON1688" s="2477"/>
      <c r="SOO1688" s="2477"/>
      <c r="SOP1688" s="2477"/>
      <c r="SOQ1688" s="2477"/>
      <c r="SOR1688" s="2477"/>
      <c r="SOS1688" s="2477"/>
      <c r="SOT1688" s="2477"/>
      <c r="SOU1688" s="2477"/>
      <c r="SOV1688" s="2477"/>
      <c r="SOW1688" s="2477"/>
      <c r="SOX1688" s="2477"/>
      <c r="SOY1688" s="2477"/>
      <c r="SOZ1688" s="2477"/>
      <c r="SPA1688" s="2477"/>
      <c r="SPB1688" s="2477"/>
      <c r="SPC1688" s="2477"/>
      <c r="SPD1688" s="2477"/>
      <c r="SPE1688" s="2477"/>
      <c r="SPF1688" s="2477"/>
      <c r="SPG1688" s="2477"/>
      <c r="SPH1688" s="2477"/>
      <c r="SPI1688" s="2477"/>
      <c r="SPJ1688" s="2477"/>
      <c r="SPK1688" s="2477"/>
      <c r="SPL1688" s="2477"/>
      <c r="SPM1688" s="2477"/>
      <c r="SPN1688" s="2477"/>
      <c r="SPO1688" s="2477"/>
      <c r="SPP1688" s="2477"/>
      <c r="SPQ1688" s="2477"/>
      <c r="SPR1688" s="2477"/>
      <c r="SPS1688" s="2477"/>
      <c r="SPT1688" s="2477"/>
      <c r="SPU1688" s="2477"/>
      <c r="SPV1688" s="2477"/>
      <c r="SPW1688" s="2477"/>
      <c r="SPX1688" s="2477"/>
      <c r="SPY1688" s="2477"/>
      <c r="SPZ1688" s="2477"/>
      <c r="SQA1688" s="2477"/>
      <c r="SQB1688" s="2477"/>
      <c r="SQC1688" s="2477"/>
      <c r="SQD1688" s="2477"/>
      <c r="SQE1688" s="2477"/>
      <c r="SQF1688" s="2477"/>
      <c r="SQG1688" s="2477"/>
      <c r="SQH1688" s="2477"/>
      <c r="SQI1688" s="2477"/>
      <c r="SQJ1688" s="2477"/>
      <c r="SQK1688" s="2477"/>
      <c r="SQL1688" s="2477"/>
      <c r="SQM1688" s="2477"/>
      <c r="SQN1688" s="2477"/>
      <c r="SQO1688" s="2477"/>
      <c r="SQP1688" s="2477"/>
      <c r="SQQ1688" s="2477"/>
      <c r="SQR1688" s="2477"/>
      <c r="SQS1688" s="2477"/>
      <c r="SQT1688" s="2477"/>
      <c r="SQU1688" s="2477"/>
      <c r="SQV1688" s="2477"/>
      <c r="SQW1688" s="2477"/>
      <c r="SQX1688" s="2477"/>
      <c r="SQY1688" s="2477"/>
      <c r="SQZ1688" s="2477"/>
      <c r="SRA1688" s="2477"/>
      <c r="SRB1688" s="2477"/>
      <c r="SRC1688" s="2477"/>
      <c r="SRD1688" s="2477"/>
      <c r="SRE1688" s="2477"/>
      <c r="SRF1688" s="2477"/>
      <c r="SRG1688" s="2477"/>
      <c r="SRH1688" s="2477"/>
      <c r="SRI1688" s="2477"/>
      <c r="SRJ1688" s="2477"/>
      <c r="SRK1688" s="2477"/>
      <c r="SRL1688" s="2477"/>
      <c r="SRM1688" s="2477"/>
      <c r="SRN1688" s="2477"/>
      <c r="SRO1688" s="2477"/>
      <c r="SRP1688" s="2477"/>
      <c r="SRQ1688" s="2477"/>
      <c r="SRR1688" s="2477"/>
      <c r="SRS1688" s="2477"/>
      <c r="SRT1688" s="2477"/>
      <c r="SRU1688" s="2477"/>
      <c r="SRV1688" s="2477"/>
      <c r="SRW1688" s="2477"/>
      <c r="SRX1688" s="2477"/>
      <c r="SRY1688" s="2477"/>
      <c r="SRZ1688" s="2477"/>
      <c r="SSA1688" s="2477"/>
      <c r="SSB1688" s="2477"/>
      <c r="SSC1688" s="2477"/>
      <c r="SSD1688" s="2477"/>
      <c r="SSE1688" s="2477"/>
      <c r="SSF1688" s="2477"/>
      <c r="SSG1688" s="2477"/>
      <c r="SSH1688" s="2477"/>
      <c r="SSI1688" s="2477"/>
      <c r="SSJ1688" s="2477"/>
      <c r="SSK1688" s="2477"/>
      <c r="SSL1688" s="2477"/>
      <c r="SSM1688" s="2477"/>
      <c r="SSN1688" s="2477"/>
      <c r="SSO1688" s="2477"/>
      <c r="SSP1688" s="2477"/>
      <c r="SSQ1688" s="2477"/>
      <c r="SSR1688" s="2477"/>
      <c r="SSS1688" s="2477"/>
      <c r="SST1688" s="2477"/>
      <c r="SSU1688" s="2477"/>
      <c r="SSV1688" s="2477"/>
      <c r="SSW1688" s="2477"/>
      <c r="SSX1688" s="2477"/>
      <c r="SSY1688" s="2477"/>
      <c r="SSZ1688" s="2477"/>
      <c r="STA1688" s="2477"/>
      <c r="STB1688" s="2477"/>
      <c r="STC1688" s="2477"/>
      <c r="STD1688" s="2477"/>
      <c r="STE1688" s="2477"/>
      <c r="STF1688" s="2477"/>
      <c r="STG1688" s="2477"/>
      <c r="STH1688" s="2477"/>
      <c r="STI1688" s="2477"/>
      <c r="STJ1688" s="2477"/>
      <c r="STK1688" s="2477"/>
      <c r="STL1688" s="2477"/>
      <c r="STM1688" s="2477"/>
      <c r="STN1688" s="2477"/>
      <c r="STO1688" s="2477"/>
      <c r="STP1688" s="2477"/>
      <c r="STQ1688" s="2477"/>
      <c r="STR1688" s="2477"/>
      <c r="STS1688" s="2477"/>
      <c r="STT1688" s="2477"/>
      <c r="STU1688" s="2477"/>
      <c r="STV1688" s="2477"/>
      <c r="STW1688" s="2477"/>
      <c r="STX1688" s="2477"/>
      <c r="STY1688" s="2477"/>
      <c r="STZ1688" s="2477"/>
      <c r="SUA1688" s="2477"/>
      <c r="SUB1688" s="2477"/>
      <c r="SUC1688" s="2477"/>
      <c r="SUD1688" s="2477"/>
      <c r="SUE1688" s="2477"/>
      <c r="SUF1688" s="2477"/>
      <c r="SUG1688" s="2477"/>
      <c r="SUH1688" s="2477"/>
      <c r="SUI1688" s="2477"/>
      <c r="SUJ1688" s="2477"/>
      <c r="SUK1688" s="2477"/>
      <c r="SUL1688" s="2477"/>
      <c r="SUM1688" s="2477"/>
      <c r="SUN1688" s="2477"/>
      <c r="SUO1688" s="2477"/>
      <c r="SUP1688" s="2477"/>
      <c r="SUQ1688" s="2477"/>
      <c r="SUR1688" s="2477"/>
      <c r="SUS1688" s="2477"/>
      <c r="SUT1688" s="2477"/>
      <c r="SUU1688" s="2477"/>
      <c r="SUV1688" s="2477"/>
      <c r="SUW1688" s="2477"/>
      <c r="SUX1688" s="2477"/>
      <c r="SUY1688" s="2477"/>
      <c r="SUZ1688" s="2477"/>
      <c r="SVA1688" s="2477"/>
      <c r="SVB1688" s="2477"/>
      <c r="SVC1688" s="2477"/>
      <c r="SVD1688" s="2477"/>
      <c r="SVE1688" s="2477"/>
      <c r="SVF1688" s="2477"/>
      <c r="SVG1688" s="2477"/>
      <c r="SVH1688" s="2477"/>
      <c r="SVI1688" s="2477"/>
      <c r="SVJ1688" s="2477"/>
      <c r="SVK1688" s="2477"/>
      <c r="SVL1688" s="2477"/>
      <c r="SVM1688" s="2477"/>
      <c r="SVN1688" s="2477"/>
      <c r="SVO1688" s="2477"/>
      <c r="SVP1688" s="2477"/>
      <c r="SVQ1688" s="2477"/>
      <c r="SVR1688" s="2477"/>
      <c r="SVS1688" s="2477"/>
      <c r="SVT1688" s="2477"/>
      <c r="SVU1688" s="2477"/>
      <c r="SVV1688" s="2477"/>
      <c r="SVW1688" s="2477"/>
      <c r="SVX1688" s="2477"/>
      <c r="SVY1688" s="2477"/>
      <c r="SVZ1688" s="2477"/>
      <c r="SWA1688" s="2477"/>
      <c r="SWB1688" s="2477"/>
      <c r="SWC1688" s="2477"/>
      <c r="SWD1688" s="2477"/>
      <c r="SWE1688" s="2477"/>
      <c r="SWF1688" s="2477"/>
      <c r="SWG1688" s="2477"/>
      <c r="SWH1688" s="2477"/>
      <c r="SWI1688" s="2477"/>
      <c r="SWJ1688" s="2477"/>
      <c r="SWK1688" s="2477"/>
      <c r="SWL1688" s="2477"/>
      <c r="SWM1688" s="2477"/>
      <c r="SWN1688" s="2477"/>
      <c r="SWO1688" s="2477"/>
      <c r="SWP1688" s="2477"/>
      <c r="SWQ1688" s="2477"/>
      <c r="SWR1688" s="2477"/>
      <c r="SWS1688" s="2477"/>
      <c r="SWT1688" s="2477"/>
      <c r="SWU1688" s="2477"/>
      <c r="SWV1688" s="2477"/>
      <c r="SWW1688" s="2477"/>
      <c r="SWX1688" s="2477"/>
      <c r="SWY1688" s="2477"/>
      <c r="SWZ1688" s="2477"/>
      <c r="SXA1688" s="2477"/>
      <c r="SXB1688" s="2477"/>
      <c r="SXC1688" s="2477"/>
      <c r="SXD1688" s="2477"/>
      <c r="SXE1688" s="2477"/>
      <c r="SXF1688" s="2477"/>
      <c r="SXG1688" s="2477"/>
      <c r="SXH1688" s="2477"/>
      <c r="SXI1688" s="2477"/>
      <c r="SXJ1688" s="2477"/>
      <c r="SXK1688" s="2477"/>
      <c r="SXL1688" s="2477"/>
      <c r="SXM1688" s="2477"/>
      <c r="SXN1688" s="2477"/>
      <c r="SXO1688" s="2477"/>
      <c r="SXP1688" s="2477"/>
      <c r="SXQ1688" s="2477"/>
      <c r="SXR1688" s="2477"/>
      <c r="SXS1688" s="2477"/>
      <c r="SXT1688" s="2477"/>
      <c r="SXU1688" s="2477"/>
      <c r="SXV1688" s="2477"/>
      <c r="SXW1688" s="2477"/>
      <c r="SXX1688" s="2477"/>
      <c r="SXY1688" s="2477"/>
      <c r="SXZ1688" s="2477"/>
      <c r="SYA1688" s="2477"/>
      <c r="SYB1688" s="2477"/>
      <c r="SYC1688" s="2477"/>
      <c r="SYD1688" s="2477"/>
      <c r="SYE1688" s="2477"/>
      <c r="SYF1688" s="2477"/>
      <c r="SYG1688" s="2477"/>
      <c r="SYH1688" s="2477"/>
      <c r="SYI1688" s="2477"/>
      <c r="SYJ1688" s="2477"/>
      <c r="SYK1688" s="2477"/>
      <c r="SYL1688" s="2477"/>
      <c r="SYM1688" s="2477"/>
      <c r="SYN1688" s="2477"/>
      <c r="SYO1688" s="2477"/>
      <c r="SYP1688" s="2477"/>
      <c r="SYQ1688" s="2477"/>
      <c r="SYR1688" s="2477"/>
      <c r="SYS1688" s="2477"/>
      <c r="SYT1688" s="2477"/>
      <c r="SYU1688" s="2477"/>
      <c r="SYV1688" s="2477"/>
      <c r="SYW1688" s="2477"/>
      <c r="SYX1688" s="2477"/>
      <c r="SYY1688" s="2477"/>
      <c r="SYZ1688" s="2477"/>
      <c r="SZA1688" s="2477"/>
      <c r="SZB1688" s="2477"/>
      <c r="SZC1688" s="2477"/>
      <c r="SZD1688" s="2477"/>
      <c r="SZE1688" s="2477"/>
      <c r="SZF1688" s="2477"/>
      <c r="SZG1688" s="2477"/>
      <c r="SZH1688" s="2477"/>
      <c r="SZI1688" s="2477"/>
      <c r="SZJ1688" s="2477"/>
      <c r="SZK1688" s="2477"/>
      <c r="SZL1688" s="2477"/>
      <c r="SZM1688" s="2477"/>
      <c r="SZN1688" s="2477"/>
      <c r="SZO1688" s="2477"/>
      <c r="SZP1688" s="2477"/>
      <c r="SZQ1688" s="2477"/>
      <c r="SZR1688" s="2477"/>
      <c r="SZS1688" s="2477"/>
      <c r="SZT1688" s="2477"/>
      <c r="SZU1688" s="2477"/>
      <c r="SZV1688" s="2477"/>
      <c r="SZW1688" s="2477"/>
      <c r="SZX1688" s="2477"/>
      <c r="SZY1688" s="2477"/>
      <c r="SZZ1688" s="2477"/>
      <c r="TAA1688" s="2477"/>
      <c r="TAB1688" s="2477"/>
      <c r="TAC1688" s="2477"/>
      <c r="TAD1688" s="2477"/>
      <c r="TAE1688" s="2477"/>
      <c r="TAF1688" s="2477"/>
      <c r="TAG1688" s="2477"/>
      <c r="TAH1688" s="2477"/>
      <c r="TAI1688" s="2477"/>
      <c r="TAJ1688" s="2477"/>
      <c r="TAK1688" s="2477"/>
      <c r="TAL1688" s="2477"/>
      <c r="TAM1688" s="2477"/>
      <c r="TAN1688" s="2477"/>
      <c r="TAO1688" s="2477"/>
      <c r="TAP1688" s="2477"/>
      <c r="TAQ1688" s="2477"/>
      <c r="TAR1688" s="2477"/>
      <c r="TAS1688" s="2477"/>
      <c r="TAT1688" s="2477"/>
      <c r="TAU1688" s="2477"/>
      <c r="TAV1688" s="2477"/>
      <c r="TAW1688" s="2477"/>
      <c r="TAX1688" s="2477"/>
      <c r="TAY1688" s="2477"/>
      <c r="TAZ1688" s="2477"/>
      <c r="TBA1688" s="2477"/>
      <c r="TBB1688" s="2477"/>
      <c r="TBC1688" s="2477"/>
      <c r="TBD1688" s="2477"/>
      <c r="TBE1688" s="2477"/>
      <c r="TBF1688" s="2477"/>
      <c r="TBG1688" s="2477"/>
      <c r="TBH1688" s="2477"/>
      <c r="TBI1688" s="2477"/>
      <c r="TBJ1688" s="2477"/>
      <c r="TBK1688" s="2477"/>
      <c r="TBL1688" s="2477"/>
      <c r="TBM1688" s="2477"/>
      <c r="TBN1688" s="2477"/>
      <c r="TBO1688" s="2477"/>
      <c r="TBP1688" s="2477"/>
      <c r="TBQ1688" s="2477"/>
      <c r="TBR1688" s="2477"/>
      <c r="TBS1688" s="2477"/>
      <c r="TBT1688" s="2477"/>
      <c r="TBU1688" s="2477"/>
      <c r="TBV1688" s="2477"/>
      <c r="TBW1688" s="2477"/>
      <c r="TBX1688" s="2477"/>
      <c r="TBY1688" s="2477"/>
      <c r="TBZ1688" s="2477"/>
      <c r="TCA1688" s="2477"/>
      <c r="TCB1688" s="2477"/>
      <c r="TCC1688" s="2477"/>
      <c r="TCD1688" s="2477"/>
      <c r="TCE1688" s="2477"/>
      <c r="TCF1688" s="2477"/>
      <c r="TCG1688" s="2477"/>
      <c r="TCH1688" s="2477"/>
      <c r="TCI1688" s="2477"/>
      <c r="TCJ1688" s="2477"/>
      <c r="TCK1688" s="2477"/>
      <c r="TCL1688" s="2477"/>
      <c r="TCM1688" s="2477"/>
      <c r="TCN1688" s="2477"/>
      <c r="TCO1688" s="2477"/>
      <c r="TCP1688" s="2477"/>
      <c r="TCQ1688" s="2477"/>
      <c r="TCR1688" s="2477"/>
      <c r="TCS1688" s="2477"/>
      <c r="TCT1688" s="2477"/>
      <c r="TCU1688" s="2477"/>
      <c r="TCV1688" s="2477"/>
      <c r="TCW1688" s="2477"/>
      <c r="TCX1688" s="2477"/>
      <c r="TCY1688" s="2477"/>
      <c r="TCZ1688" s="2477"/>
      <c r="TDA1688" s="2477"/>
      <c r="TDB1688" s="2477"/>
      <c r="TDC1688" s="2477"/>
      <c r="TDD1688" s="2477"/>
      <c r="TDE1688" s="2477"/>
      <c r="TDF1688" s="2477"/>
      <c r="TDG1688" s="2477"/>
      <c r="TDH1688" s="2477"/>
      <c r="TDI1688" s="2477"/>
      <c r="TDJ1688" s="2477"/>
      <c r="TDK1688" s="2477"/>
      <c r="TDL1688" s="2477"/>
      <c r="TDM1688" s="2477"/>
      <c r="TDN1688" s="2477"/>
      <c r="TDO1688" s="2477"/>
      <c r="TDP1688" s="2477"/>
      <c r="TDQ1688" s="2477"/>
      <c r="TDR1688" s="2477"/>
      <c r="TDS1688" s="2477"/>
      <c r="TDT1688" s="2477"/>
      <c r="TDU1688" s="2477"/>
      <c r="TDV1688" s="2477"/>
      <c r="TDW1688" s="2477"/>
      <c r="TDX1688" s="2477"/>
      <c r="TDY1688" s="2477"/>
      <c r="TDZ1688" s="2477"/>
      <c r="TEA1688" s="2477"/>
      <c r="TEB1688" s="2477"/>
      <c r="TEC1688" s="2477"/>
      <c r="TED1688" s="2477"/>
      <c r="TEE1688" s="2477"/>
      <c r="TEF1688" s="2477"/>
      <c r="TEG1688" s="2477"/>
      <c r="TEH1688" s="2477"/>
      <c r="TEI1688" s="2477"/>
      <c r="TEJ1688" s="2477"/>
      <c r="TEK1688" s="2477"/>
      <c r="TEL1688" s="2477"/>
      <c r="TEM1688" s="2477"/>
      <c r="TEN1688" s="2477"/>
      <c r="TEO1688" s="2477"/>
      <c r="TEP1688" s="2477"/>
      <c r="TEQ1688" s="2477"/>
      <c r="TER1688" s="2477"/>
      <c r="TES1688" s="2477"/>
      <c r="TET1688" s="2477"/>
      <c r="TEU1688" s="2477"/>
      <c r="TEV1688" s="2477"/>
      <c r="TEW1688" s="2477"/>
      <c r="TEX1688" s="2477"/>
      <c r="TEY1688" s="2477"/>
      <c r="TEZ1688" s="2477"/>
      <c r="TFA1688" s="2477"/>
      <c r="TFB1688" s="2477"/>
      <c r="TFC1688" s="2477"/>
      <c r="TFD1688" s="2477"/>
      <c r="TFE1688" s="2477"/>
      <c r="TFF1688" s="2477"/>
      <c r="TFG1688" s="2477"/>
      <c r="TFH1688" s="2477"/>
      <c r="TFI1688" s="2477"/>
      <c r="TFJ1688" s="2477"/>
      <c r="TFK1688" s="2477"/>
      <c r="TFL1688" s="2477"/>
      <c r="TFM1688" s="2477"/>
      <c r="TFN1688" s="2477"/>
      <c r="TFO1688" s="2477"/>
      <c r="TFP1688" s="2477"/>
      <c r="TFQ1688" s="2477"/>
      <c r="TFR1688" s="2477"/>
      <c r="TFS1688" s="2477"/>
      <c r="TFT1688" s="2477"/>
      <c r="TFU1688" s="2477"/>
      <c r="TFV1688" s="2477"/>
      <c r="TFW1688" s="2477"/>
      <c r="TFX1688" s="2477"/>
      <c r="TFY1688" s="2477"/>
      <c r="TFZ1688" s="2477"/>
      <c r="TGA1688" s="2477"/>
      <c r="TGB1688" s="2477"/>
      <c r="TGC1688" s="2477"/>
      <c r="TGD1688" s="2477"/>
      <c r="TGE1688" s="2477"/>
      <c r="TGF1688" s="2477"/>
      <c r="TGG1688" s="2477"/>
      <c r="TGH1688" s="2477"/>
      <c r="TGI1688" s="2477"/>
      <c r="TGJ1688" s="2477"/>
      <c r="TGK1688" s="2477"/>
      <c r="TGL1688" s="2477"/>
      <c r="TGM1688" s="2477"/>
      <c r="TGN1688" s="2477"/>
      <c r="TGO1688" s="2477"/>
      <c r="TGP1688" s="2477"/>
      <c r="TGQ1688" s="2477"/>
      <c r="TGR1688" s="2477"/>
      <c r="TGS1688" s="2477"/>
      <c r="TGT1688" s="2477"/>
      <c r="TGU1688" s="2477"/>
      <c r="TGV1688" s="2477"/>
      <c r="TGW1688" s="2477"/>
      <c r="TGX1688" s="2477"/>
      <c r="TGY1688" s="2477"/>
      <c r="TGZ1688" s="2477"/>
      <c r="THA1688" s="2477"/>
      <c r="THB1688" s="2477"/>
      <c r="THC1688" s="2477"/>
      <c r="THD1688" s="2477"/>
      <c r="THE1688" s="2477"/>
      <c r="THF1688" s="2477"/>
      <c r="THG1688" s="2477"/>
      <c r="THH1688" s="2477"/>
      <c r="THI1688" s="2477"/>
      <c r="THJ1688" s="2477"/>
      <c r="THK1688" s="2477"/>
      <c r="THL1688" s="2477"/>
      <c r="THM1688" s="2477"/>
      <c r="THN1688" s="2477"/>
      <c r="THO1688" s="2477"/>
      <c r="THP1688" s="2477"/>
      <c r="THQ1688" s="2477"/>
      <c r="THR1688" s="2477"/>
      <c r="THS1688" s="2477"/>
      <c r="THT1688" s="2477"/>
      <c r="THU1688" s="2477"/>
      <c r="THV1688" s="2477"/>
      <c r="THW1688" s="2477"/>
      <c r="THX1688" s="2477"/>
      <c r="THY1688" s="2477"/>
      <c r="THZ1688" s="2477"/>
      <c r="TIA1688" s="2477"/>
      <c r="TIB1688" s="2477"/>
      <c r="TIC1688" s="2477"/>
      <c r="TID1688" s="2477"/>
      <c r="TIE1688" s="2477"/>
      <c r="TIF1688" s="2477"/>
      <c r="TIG1688" s="2477"/>
      <c r="TIH1688" s="2477"/>
      <c r="TII1688" s="2477"/>
      <c r="TIJ1688" s="2477"/>
      <c r="TIK1688" s="2477"/>
      <c r="TIL1688" s="2477"/>
      <c r="TIM1688" s="2477"/>
      <c r="TIN1688" s="2477"/>
      <c r="TIO1688" s="2477"/>
      <c r="TIP1688" s="2477"/>
      <c r="TIQ1688" s="2477"/>
      <c r="TIR1688" s="2477"/>
      <c r="TIS1688" s="2477"/>
      <c r="TIT1688" s="2477"/>
      <c r="TIU1688" s="2477"/>
      <c r="TIV1688" s="2477"/>
      <c r="TIW1688" s="2477"/>
      <c r="TIX1688" s="2477"/>
      <c r="TIY1688" s="2477"/>
      <c r="TIZ1688" s="2477"/>
      <c r="TJA1688" s="2477"/>
      <c r="TJB1688" s="2477"/>
      <c r="TJC1688" s="2477"/>
      <c r="TJD1688" s="2477"/>
      <c r="TJE1688" s="2477"/>
      <c r="TJF1688" s="2477"/>
      <c r="TJG1688" s="2477"/>
      <c r="TJH1688" s="2477"/>
      <c r="TJI1688" s="2477"/>
      <c r="TJJ1688" s="2477"/>
      <c r="TJK1688" s="2477"/>
      <c r="TJL1688" s="2477"/>
      <c r="TJM1688" s="2477"/>
      <c r="TJN1688" s="2477"/>
      <c r="TJO1688" s="2477"/>
      <c r="TJP1688" s="2477"/>
      <c r="TJQ1688" s="2477"/>
      <c r="TJR1688" s="2477"/>
      <c r="TJS1688" s="2477"/>
      <c r="TJT1688" s="2477"/>
      <c r="TJU1688" s="2477"/>
      <c r="TJV1688" s="2477"/>
      <c r="TJW1688" s="2477"/>
      <c r="TJX1688" s="2477"/>
      <c r="TJY1688" s="2477"/>
      <c r="TJZ1688" s="2477"/>
      <c r="TKA1688" s="2477"/>
      <c r="TKB1688" s="2477"/>
      <c r="TKC1688" s="2477"/>
      <c r="TKD1688" s="2477"/>
      <c r="TKE1688" s="2477"/>
      <c r="TKF1688" s="2477"/>
      <c r="TKG1688" s="2477"/>
      <c r="TKH1688" s="2477"/>
      <c r="TKI1688" s="2477"/>
      <c r="TKJ1688" s="2477"/>
      <c r="TKK1688" s="2477"/>
      <c r="TKL1688" s="2477"/>
      <c r="TKM1688" s="2477"/>
      <c r="TKN1688" s="2477"/>
      <c r="TKO1688" s="2477"/>
      <c r="TKP1688" s="2477"/>
      <c r="TKQ1688" s="2477"/>
      <c r="TKR1688" s="2477"/>
      <c r="TKS1688" s="2477"/>
      <c r="TKT1688" s="2477"/>
      <c r="TKU1688" s="2477"/>
      <c r="TKV1688" s="2477"/>
      <c r="TKW1688" s="2477"/>
      <c r="TKX1688" s="2477"/>
      <c r="TKY1688" s="2477"/>
      <c r="TKZ1688" s="2477"/>
      <c r="TLA1688" s="2477"/>
      <c r="TLB1688" s="2477"/>
      <c r="TLC1688" s="2477"/>
      <c r="TLD1688" s="2477"/>
      <c r="TLE1688" s="2477"/>
      <c r="TLF1688" s="2477"/>
      <c r="TLG1688" s="2477"/>
      <c r="TLH1688" s="2477"/>
      <c r="TLI1688" s="2477"/>
      <c r="TLJ1688" s="2477"/>
      <c r="TLK1688" s="2477"/>
      <c r="TLL1688" s="2477"/>
      <c r="TLM1688" s="2477"/>
      <c r="TLN1688" s="2477"/>
      <c r="TLO1688" s="2477"/>
      <c r="TLP1688" s="2477"/>
      <c r="TLQ1688" s="2477"/>
      <c r="TLR1688" s="2477"/>
      <c r="TLS1688" s="2477"/>
      <c r="TLT1688" s="2477"/>
      <c r="TLU1688" s="2477"/>
      <c r="TLV1688" s="2477"/>
      <c r="TLW1688" s="2477"/>
      <c r="TLX1688" s="2477"/>
      <c r="TLY1688" s="2477"/>
      <c r="TLZ1688" s="2477"/>
      <c r="TMA1688" s="2477"/>
      <c r="TMB1688" s="2477"/>
      <c r="TMC1688" s="2477"/>
      <c r="TMD1688" s="2477"/>
      <c r="TME1688" s="2477"/>
      <c r="TMF1688" s="2477"/>
      <c r="TMG1688" s="2477"/>
      <c r="TMH1688" s="2477"/>
      <c r="TMI1688" s="2477"/>
      <c r="TMJ1688" s="2477"/>
      <c r="TMK1688" s="2477"/>
      <c r="TML1688" s="2477"/>
      <c r="TMM1688" s="2477"/>
      <c r="TMN1688" s="2477"/>
      <c r="TMO1688" s="2477"/>
      <c r="TMP1688" s="2477"/>
      <c r="TMQ1688" s="2477"/>
      <c r="TMR1688" s="2477"/>
      <c r="TMS1688" s="2477"/>
      <c r="TMT1688" s="2477"/>
      <c r="TMU1688" s="2477"/>
      <c r="TMV1688" s="2477"/>
      <c r="TMW1688" s="2477"/>
      <c r="TMX1688" s="2477"/>
      <c r="TMY1688" s="2477"/>
      <c r="TMZ1688" s="2477"/>
      <c r="TNA1688" s="2477"/>
      <c r="TNB1688" s="2477"/>
      <c r="TNC1688" s="2477"/>
      <c r="TND1688" s="2477"/>
      <c r="TNE1688" s="2477"/>
      <c r="TNF1688" s="2477"/>
      <c r="TNG1688" s="2477"/>
      <c r="TNH1688" s="2477"/>
      <c r="TNI1688" s="2477"/>
      <c r="TNJ1688" s="2477"/>
      <c r="TNK1688" s="2477"/>
      <c r="TNL1688" s="2477"/>
      <c r="TNM1688" s="2477"/>
      <c r="TNN1688" s="2477"/>
      <c r="TNO1688" s="2477"/>
      <c r="TNP1688" s="2477"/>
      <c r="TNQ1688" s="2477"/>
      <c r="TNR1688" s="2477"/>
      <c r="TNS1688" s="2477"/>
      <c r="TNT1688" s="2477"/>
      <c r="TNU1688" s="2477"/>
      <c r="TNV1688" s="2477"/>
      <c r="TNW1688" s="2477"/>
      <c r="TNX1688" s="2477"/>
      <c r="TNY1688" s="2477"/>
      <c r="TNZ1688" s="2477"/>
      <c r="TOA1688" s="2477"/>
      <c r="TOB1688" s="2477"/>
      <c r="TOC1688" s="2477"/>
      <c r="TOD1688" s="2477"/>
      <c r="TOE1688" s="2477"/>
      <c r="TOF1688" s="2477"/>
      <c r="TOG1688" s="2477"/>
      <c r="TOH1688" s="2477"/>
      <c r="TOI1688" s="2477"/>
      <c r="TOJ1688" s="2477"/>
      <c r="TOK1688" s="2477"/>
      <c r="TOL1688" s="2477"/>
      <c r="TOM1688" s="2477"/>
      <c r="TON1688" s="2477"/>
      <c r="TOO1688" s="2477"/>
      <c r="TOP1688" s="2477"/>
      <c r="TOQ1688" s="2477"/>
      <c r="TOR1688" s="2477"/>
      <c r="TOS1688" s="2477"/>
      <c r="TOT1688" s="2477"/>
      <c r="TOU1688" s="2477"/>
      <c r="TOV1688" s="2477"/>
      <c r="TOW1688" s="2477"/>
      <c r="TOX1688" s="2477"/>
      <c r="TOY1688" s="2477"/>
      <c r="TOZ1688" s="2477"/>
      <c r="TPA1688" s="2477"/>
      <c r="TPB1688" s="2477"/>
      <c r="TPC1688" s="2477"/>
      <c r="TPD1688" s="2477"/>
      <c r="TPE1688" s="2477"/>
      <c r="TPF1688" s="2477"/>
      <c r="TPG1688" s="2477"/>
      <c r="TPH1688" s="2477"/>
      <c r="TPI1688" s="2477"/>
      <c r="TPJ1688" s="2477"/>
      <c r="TPK1688" s="2477"/>
      <c r="TPL1688" s="2477"/>
      <c r="TPM1688" s="2477"/>
      <c r="TPN1688" s="2477"/>
      <c r="TPO1688" s="2477"/>
      <c r="TPP1688" s="2477"/>
      <c r="TPQ1688" s="2477"/>
      <c r="TPR1688" s="2477"/>
      <c r="TPS1688" s="2477"/>
      <c r="TPT1688" s="2477"/>
      <c r="TPU1688" s="2477"/>
      <c r="TPV1688" s="2477"/>
      <c r="TPW1688" s="2477"/>
      <c r="TPX1688" s="2477"/>
      <c r="TPY1688" s="2477"/>
      <c r="TPZ1688" s="2477"/>
      <c r="TQA1688" s="2477"/>
      <c r="TQB1688" s="2477"/>
      <c r="TQC1688" s="2477"/>
      <c r="TQD1688" s="2477"/>
      <c r="TQE1688" s="2477"/>
      <c r="TQF1688" s="2477"/>
      <c r="TQG1688" s="2477"/>
      <c r="TQH1688" s="2477"/>
      <c r="TQI1688" s="2477"/>
      <c r="TQJ1688" s="2477"/>
      <c r="TQK1688" s="2477"/>
      <c r="TQL1688" s="2477"/>
      <c r="TQM1688" s="2477"/>
      <c r="TQN1688" s="2477"/>
      <c r="TQO1688" s="2477"/>
      <c r="TQP1688" s="2477"/>
      <c r="TQQ1688" s="2477"/>
      <c r="TQR1688" s="2477"/>
      <c r="TQS1688" s="2477"/>
      <c r="TQT1688" s="2477"/>
      <c r="TQU1688" s="2477"/>
      <c r="TQV1688" s="2477"/>
      <c r="TQW1688" s="2477"/>
      <c r="TQX1688" s="2477"/>
      <c r="TQY1688" s="2477"/>
      <c r="TQZ1688" s="2477"/>
      <c r="TRA1688" s="2477"/>
      <c r="TRB1688" s="2477"/>
      <c r="TRC1688" s="2477"/>
      <c r="TRD1688" s="2477"/>
      <c r="TRE1688" s="2477"/>
      <c r="TRF1688" s="2477"/>
      <c r="TRG1688" s="2477"/>
      <c r="TRH1688" s="2477"/>
      <c r="TRI1688" s="2477"/>
      <c r="TRJ1688" s="2477"/>
      <c r="TRK1688" s="2477"/>
      <c r="TRL1688" s="2477"/>
      <c r="TRM1688" s="2477"/>
      <c r="TRN1688" s="2477"/>
      <c r="TRO1688" s="2477"/>
      <c r="TRP1688" s="2477"/>
      <c r="TRQ1688" s="2477"/>
      <c r="TRR1688" s="2477"/>
      <c r="TRS1688" s="2477"/>
      <c r="TRT1688" s="2477"/>
      <c r="TRU1688" s="2477"/>
      <c r="TRV1688" s="2477"/>
      <c r="TRW1688" s="2477"/>
      <c r="TRX1688" s="2477"/>
      <c r="TRY1688" s="2477"/>
      <c r="TRZ1688" s="2477"/>
      <c r="TSA1688" s="2477"/>
      <c r="TSB1688" s="2477"/>
      <c r="TSC1688" s="2477"/>
      <c r="TSD1688" s="2477"/>
      <c r="TSE1688" s="2477"/>
      <c r="TSF1688" s="2477"/>
      <c r="TSG1688" s="2477"/>
      <c r="TSH1688" s="2477"/>
      <c r="TSI1688" s="2477"/>
      <c r="TSJ1688" s="2477"/>
      <c r="TSK1688" s="2477"/>
      <c r="TSL1688" s="2477"/>
      <c r="TSM1688" s="2477"/>
      <c r="TSN1688" s="2477"/>
      <c r="TSO1688" s="2477"/>
      <c r="TSP1688" s="2477"/>
      <c r="TSQ1688" s="2477"/>
      <c r="TSR1688" s="2477"/>
      <c r="TSS1688" s="2477"/>
      <c r="TST1688" s="2477"/>
      <c r="TSU1688" s="2477"/>
      <c r="TSV1688" s="2477"/>
      <c r="TSW1688" s="2477"/>
      <c r="TSX1688" s="2477"/>
      <c r="TSY1688" s="2477"/>
      <c r="TSZ1688" s="2477"/>
      <c r="TTA1688" s="2477"/>
      <c r="TTB1688" s="2477"/>
      <c r="TTC1688" s="2477"/>
      <c r="TTD1688" s="2477"/>
      <c r="TTE1688" s="2477"/>
      <c r="TTF1688" s="2477"/>
      <c r="TTG1688" s="2477"/>
      <c r="TTH1688" s="2477"/>
      <c r="TTI1688" s="2477"/>
      <c r="TTJ1688" s="2477"/>
      <c r="TTK1688" s="2477"/>
      <c r="TTL1688" s="2477"/>
      <c r="TTM1688" s="2477"/>
      <c r="TTN1688" s="2477"/>
      <c r="TTO1688" s="2477"/>
      <c r="TTP1688" s="2477"/>
      <c r="TTQ1688" s="2477"/>
      <c r="TTR1688" s="2477"/>
      <c r="TTS1688" s="2477"/>
      <c r="TTT1688" s="2477"/>
      <c r="TTU1688" s="2477"/>
      <c r="TTV1688" s="2477"/>
      <c r="TTW1688" s="2477"/>
      <c r="TTX1688" s="2477"/>
      <c r="TTY1688" s="2477"/>
      <c r="TTZ1688" s="2477"/>
      <c r="TUA1688" s="2477"/>
      <c r="TUB1688" s="2477"/>
      <c r="TUC1688" s="2477"/>
      <c r="TUD1688" s="2477"/>
      <c r="TUE1688" s="2477"/>
      <c r="TUF1688" s="2477"/>
      <c r="TUG1688" s="2477"/>
      <c r="TUH1688" s="2477"/>
      <c r="TUI1688" s="2477"/>
      <c r="TUJ1688" s="2477"/>
      <c r="TUK1688" s="2477"/>
      <c r="TUL1688" s="2477"/>
      <c r="TUM1688" s="2477"/>
      <c r="TUN1688" s="2477"/>
      <c r="TUO1688" s="2477"/>
      <c r="TUP1688" s="2477"/>
      <c r="TUQ1688" s="2477"/>
      <c r="TUR1688" s="2477"/>
      <c r="TUS1688" s="2477"/>
      <c r="TUT1688" s="2477"/>
      <c r="TUU1688" s="2477"/>
      <c r="TUV1688" s="2477"/>
      <c r="TUW1688" s="2477"/>
      <c r="TUX1688" s="2477"/>
      <c r="TUY1688" s="2477"/>
      <c r="TUZ1688" s="2477"/>
      <c r="TVA1688" s="2477"/>
      <c r="TVB1688" s="2477"/>
      <c r="TVC1688" s="2477"/>
      <c r="TVD1688" s="2477"/>
      <c r="TVE1688" s="2477"/>
      <c r="TVF1688" s="2477"/>
      <c r="TVG1688" s="2477"/>
      <c r="TVH1688" s="2477"/>
      <c r="TVI1688" s="2477"/>
      <c r="TVJ1688" s="2477"/>
      <c r="TVK1688" s="2477"/>
      <c r="TVL1688" s="2477"/>
      <c r="TVM1688" s="2477"/>
      <c r="TVN1688" s="2477"/>
      <c r="TVO1688" s="2477"/>
      <c r="TVP1688" s="2477"/>
      <c r="TVQ1688" s="2477"/>
      <c r="TVR1688" s="2477"/>
      <c r="TVS1688" s="2477"/>
      <c r="TVT1688" s="2477"/>
      <c r="TVU1688" s="2477"/>
      <c r="TVV1688" s="2477"/>
      <c r="TVW1688" s="2477"/>
      <c r="TVX1688" s="2477"/>
      <c r="TVY1688" s="2477"/>
      <c r="TVZ1688" s="2477"/>
      <c r="TWA1688" s="2477"/>
      <c r="TWB1688" s="2477"/>
      <c r="TWC1688" s="2477"/>
      <c r="TWD1688" s="2477"/>
      <c r="TWE1688" s="2477"/>
      <c r="TWF1688" s="2477"/>
      <c r="TWG1688" s="2477"/>
      <c r="TWH1688" s="2477"/>
      <c r="TWI1688" s="2477"/>
      <c r="TWJ1688" s="2477"/>
      <c r="TWK1688" s="2477"/>
      <c r="TWL1688" s="2477"/>
      <c r="TWM1688" s="2477"/>
      <c r="TWN1688" s="2477"/>
      <c r="TWO1688" s="2477"/>
      <c r="TWP1688" s="2477"/>
      <c r="TWQ1688" s="2477"/>
      <c r="TWR1688" s="2477"/>
      <c r="TWS1688" s="2477"/>
      <c r="TWT1688" s="2477"/>
      <c r="TWU1688" s="2477"/>
      <c r="TWV1688" s="2477"/>
      <c r="TWW1688" s="2477"/>
      <c r="TWX1688" s="2477"/>
      <c r="TWY1688" s="2477"/>
      <c r="TWZ1688" s="2477"/>
      <c r="TXA1688" s="2477"/>
      <c r="TXB1688" s="2477"/>
      <c r="TXC1688" s="2477"/>
      <c r="TXD1688" s="2477"/>
      <c r="TXE1688" s="2477"/>
      <c r="TXF1688" s="2477"/>
      <c r="TXG1688" s="2477"/>
      <c r="TXH1688" s="2477"/>
      <c r="TXI1688" s="2477"/>
      <c r="TXJ1688" s="2477"/>
      <c r="TXK1688" s="2477"/>
      <c r="TXL1688" s="2477"/>
      <c r="TXM1688" s="2477"/>
      <c r="TXN1688" s="2477"/>
      <c r="TXO1688" s="2477"/>
      <c r="TXP1688" s="2477"/>
      <c r="TXQ1688" s="2477"/>
      <c r="TXR1688" s="2477"/>
      <c r="TXS1688" s="2477"/>
      <c r="TXT1688" s="2477"/>
      <c r="TXU1688" s="2477"/>
      <c r="TXV1688" s="2477"/>
      <c r="TXW1688" s="2477"/>
      <c r="TXX1688" s="2477"/>
      <c r="TXY1688" s="2477"/>
      <c r="TXZ1688" s="2477"/>
      <c r="TYA1688" s="2477"/>
      <c r="TYB1688" s="2477"/>
      <c r="TYC1688" s="2477"/>
      <c r="TYD1688" s="2477"/>
      <c r="TYE1688" s="2477"/>
      <c r="TYF1688" s="2477"/>
      <c r="TYG1688" s="2477"/>
      <c r="TYH1688" s="2477"/>
      <c r="TYI1688" s="2477"/>
      <c r="TYJ1688" s="2477"/>
      <c r="TYK1688" s="2477"/>
      <c r="TYL1688" s="2477"/>
      <c r="TYM1688" s="2477"/>
      <c r="TYN1688" s="2477"/>
      <c r="TYO1688" s="2477"/>
      <c r="TYP1688" s="2477"/>
      <c r="TYQ1688" s="2477"/>
      <c r="TYR1688" s="2477"/>
      <c r="TYS1688" s="2477"/>
      <c r="TYT1688" s="2477"/>
      <c r="TYU1688" s="2477"/>
      <c r="TYV1688" s="2477"/>
      <c r="TYW1688" s="2477"/>
      <c r="TYX1688" s="2477"/>
      <c r="TYY1688" s="2477"/>
      <c r="TYZ1688" s="2477"/>
      <c r="TZA1688" s="2477"/>
      <c r="TZB1688" s="2477"/>
      <c r="TZC1688" s="2477"/>
      <c r="TZD1688" s="2477"/>
      <c r="TZE1688" s="2477"/>
      <c r="TZF1688" s="2477"/>
      <c r="TZG1688" s="2477"/>
      <c r="TZH1688" s="2477"/>
      <c r="TZI1688" s="2477"/>
      <c r="TZJ1688" s="2477"/>
      <c r="TZK1688" s="2477"/>
      <c r="TZL1688" s="2477"/>
      <c r="TZM1688" s="2477"/>
      <c r="TZN1688" s="2477"/>
      <c r="TZO1688" s="2477"/>
      <c r="TZP1688" s="2477"/>
      <c r="TZQ1688" s="2477"/>
      <c r="TZR1688" s="2477"/>
      <c r="TZS1688" s="2477"/>
      <c r="TZT1688" s="2477"/>
      <c r="TZU1688" s="2477"/>
      <c r="TZV1688" s="2477"/>
      <c r="TZW1688" s="2477"/>
      <c r="TZX1688" s="2477"/>
      <c r="TZY1688" s="2477"/>
      <c r="TZZ1688" s="2477"/>
      <c r="UAA1688" s="2477"/>
      <c r="UAB1688" s="2477"/>
      <c r="UAC1688" s="2477"/>
      <c r="UAD1688" s="2477"/>
      <c r="UAE1688" s="2477"/>
      <c r="UAF1688" s="2477"/>
      <c r="UAG1688" s="2477"/>
      <c r="UAH1688" s="2477"/>
      <c r="UAI1688" s="2477"/>
      <c r="UAJ1688" s="2477"/>
      <c r="UAK1688" s="2477"/>
      <c r="UAL1688" s="2477"/>
      <c r="UAM1688" s="2477"/>
      <c r="UAN1688" s="2477"/>
      <c r="UAO1688" s="2477"/>
      <c r="UAP1688" s="2477"/>
      <c r="UAQ1688" s="2477"/>
      <c r="UAR1688" s="2477"/>
      <c r="UAS1688" s="2477"/>
      <c r="UAT1688" s="2477"/>
      <c r="UAU1688" s="2477"/>
      <c r="UAV1688" s="2477"/>
      <c r="UAW1688" s="2477"/>
      <c r="UAX1688" s="2477"/>
      <c r="UAY1688" s="2477"/>
      <c r="UAZ1688" s="2477"/>
      <c r="UBA1688" s="2477"/>
      <c r="UBB1688" s="2477"/>
      <c r="UBC1688" s="2477"/>
      <c r="UBD1688" s="2477"/>
      <c r="UBE1688" s="2477"/>
      <c r="UBF1688" s="2477"/>
      <c r="UBG1688" s="2477"/>
      <c r="UBH1688" s="2477"/>
      <c r="UBI1688" s="2477"/>
      <c r="UBJ1688" s="2477"/>
      <c r="UBK1688" s="2477"/>
      <c r="UBL1688" s="2477"/>
      <c r="UBM1688" s="2477"/>
      <c r="UBN1688" s="2477"/>
      <c r="UBO1688" s="2477"/>
      <c r="UBP1688" s="2477"/>
      <c r="UBQ1688" s="2477"/>
      <c r="UBR1688" s="2477"/>
      <c r="UBS1688" s="2477"/>
      <c r="UBT1688" s="2477"/>
      <c r="UBU1688" s="2477"/>
      <c r="UBV1688" s="2477"/>
      <c r="UBW1688" s="2477"/>
      <c r="UBX1688" s="2477"/>
      <c r="UBY1688" s="2477"/>
      <c r="UBZ1688" s="2477"/>
      <c r="UCA1688" s="2477"/>
      <c r="UCB1688" s="2477"/>
      <c r="UCC1688" s="2477"/>
      <c r="UCD1688" s="2477"/>
      <c r="UCE1688" s="2477"/>
      <c r="UCF1688" s="2477"/>
      <c r="UCG1688" s="2477"/>
      <c r="UCH1688" s="2477"/>
      <c r="UCI1688" s="2477"/>
      <c r="UCJ1688" s="2477"/>
      <c r="UCK1688" s="2477"/>
      <c r="UCL1688" s="2477"/>
      <c r="UCM1688" s="2477"/>
      <c r="UCN1688" s="2477"/>
      <c r="UCO1688" s="2477"/>
      <c r="UCP1688" s="2477"/>
      <c r="UCQ1688" s="2477"/>
      <c r="UCR1688" s="2477"/>
      <c r="UCS1688" s="2477"/>
      <c r="UCT1688" s="2477"/>
      <c r="UCU1688" s="2477"/>
      <c r="UCV1688" s="2477"/>
      <c r="UCW1688" s="2477"/>
      <c r="UCX1688" s="2477"/>
      <c r="UCY1688" s="2477"/>
      <c r="UCZ1688" s="2477"/>
      <c r="UDA1688" s="2477"/>
      <c r="UDB1688" s="2477"/>
      <c r="UDC1688" s="2477"/>
      <c r="UDD1688" s="2477"/>
      <c r="UDE1688" s="2477"/>
      <c r="UDF1688" s="2477"/>
      <c r="UDG1688" s="2477"/>
      <c r="UDH1688" s="2477"/>
      <c r="UDI1688" s="2477"/>
      <c r="UDJ1688" s="2477"/>
      <c r="UDK1688" s="2477"/>
      <c r="UDL1688" s="2477"/>
      <c r="UDM1688" s="2477"/>
      <c r="UDN1688" s="2477"/>
      <c r="UDO1688" s="2477"/>
      <c r="UDP1688" s="2477"/>
      <c r="UDQ1688" s="2477"/>
      <c r="UDR1688" s="2477"/>
      <c r="UDS1688" s="2477"/>
      <c r="UDT1688" s="2477"/>
      <c r="UDU1688" s="2477"/>
      <c r="UDV1688" s="2477"/>
      <c r="UDW1688" s="2477"/>
      <c r="UDX1688" s="2477"/>
      <c r="UDY1688" s="2477"/>
      <c r="UDZ1688" s="2477"/>
      <c r="UEA1688" s="2477"/>
      <c r="UEB1688" s="2477"/>
      <c r="UEC1688" s="2477"/>
      <c r="UED1688" s="2477"/>
      <c r="UEE1688" s="2477"/>
      <c r="UEF1688" s="2477"/>
      <c r="UEG1688" s="2477"/>
      <c r="UEH1688" s="2477"/>
      <c r="UEI1688" s="2477"/>
      <c r="UEJ1688" s="2477"/>
      <c r="UEK1688" s="2477"/>
      <c r="UEL1688" s="2477"/>
      <c r="UEM1688" s="2477"/>
      <c r="UEN1688" s="2477"/>
      <c r="UEO1688" s="2477"/>
      <c r="UEP1688" s="2477"/>
      <c r="UEQ1688" s="2477"/>
      <c r="UER1688" s="2477"/>
      <c r="UES1688" s="2477"/>
      <c r="UET1688" s="2477"/>
      <c r="UEU1688" s="2477"/>
      <c r="UEV1688" s="2477"/>
      <c r="UEW1688" s="2477"/>
      <c r="UEX1688" s="2477"/>
      <c r="UEY1688" s="2477"/>
      <c r="UEZ1688" s="2477"/>
      <c r="UFA1688" s="2477"/>
      <c r="UFB1688" s="2477"/>
      <c r="UFC1688" s="2477"/>
      <c r="UFD1688" s="2477"/>
      <c r="UFE1688" s="2477"/>
      <c r="UFF1688" s="2477"/>
      <c r="UFG1688" s="2477"/>
      <c r="UFH1688" s="2477"/>
      <c r="UFI1688" s="2477"/>
      <c r="UFJ1688" s="2477"/>
      <c r="UFK1688" s="2477"/>
      <c r="UFL1688" s="2477"/>
      <c r="UFM1688" s="2477"/>
      <c r="UFN1688" s="2477"/>
      <c r="UFO1688" s="2477"/>
      <c r="UFP1688" s="2477"/>
      <c r="UFQ1688" s="2477"/>
      <c r="UFR1688" s="2477"/>
      <c r="UFS1688" s="2477"/>
      <c r="UFT1688" s="2477"/>
      <c r="UFU1688" s="2477"/>
      <c r="UFV1688" s="2477"/>
      <c r="UFW1688" s="2477"/>
      <c r="UFX1688" s="2477"/>
      <c r="UFY1688" s="2477"/>
      <c r="UFZ1688" s="2477"/>
      <c r="UGA1688" s="2477"/>
      <c r="UGB1688" s="2477"/>
      <c r="UGC1688" s="2477"/>
      <c r="UGD1688" s="2477"/>
      <c r="UGE1688" s="2477"/>
      <c r="UGF1688" s="2477"/>
      <c r="UGG1688" s="2477"/>
      <c r="UGH1688" s="2477"/>
      <c r="UGI1688" s="2477"/>
      <c r="UGJ1688" s="2477"/>
      <c r="UGK1688" s="2477"/>
      <c r="UGL1688" s="2477"/>
      <c r="UGM1688" s="2477"/>
      <c r="UGN1688" s="2477"/>
      <c r="UGO1688" s="2477"/>
      <c r="UGP1688" s="2477"/>
      <c r="UGQ1688" s="2477"/>
      <c r="UGR1688" s="2477"/>
      <c r="UGS1688" s="2477"/>
      <c r="UGT1688" s="2477"/>
      <c r="UGU1688" s="2477"/>
      <c r="UGV1688" s="2477"/>
      <c r="UGW1688" s="2477"/>
      <c r="UGX1688" s="2477"/>
      <c r="UGY1688" s="2477"/>
      <c r="UGZ1688" s="2477"/>
      <c r="UHA1688" s="2477"/>
      <c r="UHB1688" s="2477"/>
      <c r="UHC1688" s="2477"/>
      <c r="UHD1688" s="2477"/>
      <c r="UHE1688" s="2477"/>
      <c r="UHF1688" s="2477"/>
      <c r="UHG1688" s="2477"/>
      <c r="UHH1688" s="2477"/>
      <c r="UHI1688" s="2477"/>
      <c r="UHJ1688" s="2477"/>
      <c r="UHK1688" s="2477"/>
      <c r="UHL1688" s="2477"/>
      <c r="UHM1688" s="2477"/>
      <c r="UHN1688" s="2477"/>
      <c r="UHO1688" s="2477"/>
      <c r="UHP1688" s="2477"/>
      <c r="UHQ1688" s="2477"/>
      <c r="UHR1688" s="2477"/>
      <c r="UHS1688" s="2477"/>
      <c r="UHT1688" s="2477"/>
      <c r="UHU1688" s="2477"/>
      <c r="UHV1688" s="2477"/>
      <c r="UHW1688" s="2477"/>
      <c r="UHX1688" s="2477"/>
      <c r="UHY1688" s="2477"/>
      <c r="UHZ1688" s="2477"/>
      <c r="UIA1688" s="2477"/>
      <c r="UIB1688" s="2477"/>
      <c r="UIC1688" s="2477"/>
      <c r="UID1688" s="2477"/>
      <c r="UIE1688" s="2477"/>
      <c r="UIF1688" s="2477"/>
      <c r="UIG1688" s="2477"/>
      <c r="UIH1688" s="2477"/>
      <c r="UII1688" s="2477"/>
      <c r="UIJ1688" s="2477"/>
      <c r="UIK1688" s="2477"/>
      <c r="UIL1688" s="2477"/>
      <c r="UIM1688" s="2477"/>
      <c r="UIN1688" s="2477"/>
      <c r="UIO1688" s="2477"/>
      <c r="UIP1688" s="2477"/>
      <c r="UIQ1688" s="2477"/>
      <c r="UIR1688" s="2477"/>
      <c r="UIS1688" s="2477"/>
      <c r="UIT1688" s="2477"/>
      <c r="UIU1688" s="2477"/>
      <c r="UIV1688" s="2477"/>
      <c r="UIW1688" s="2477"/>
      <c r="UIX1688" s="2477"/>
      <c r="UIY1688" s="2477"/>
      <c r="UIZ1688" s="2477"/>
      <c r="UJA1688" s="2477"/>
      <c r="UJB1688" s="2477"/>
      <c r="UJC1688" s="2477"/>
      <c r="UJD1688" s="2477"/>
      <c r="UJE1688" s="2477"/>
      <c r="UJF1688" s="2477"/>
      <c r="UJG1688" s="2477"/>
      <c r="UJH1688" s="2477"/>
      <c r="UJI1688" s="2477"/>
      <c r="UJJ1688" s="2477"/>
      <c r="UJK1688" s="2477"/>
      <c r="UJL1688" s="2477"/>
      <c r="UJM1688" s="2477"/>
      <c r="UJN1688" s="2477"/>
      <c r="UJO1688" s="2477"/>
      <c r="UJP1688" s="2477"/>
      <c r="UJQ1688" s="2477"/>
      <c r="UJR1688" s="2477"/>
      <c r="UJS1688" s="2477"/>
      <c r="UJT1688" s="2477"/>
      <c r="UJU1688" s="2477"/>
      <c r="UJV1688" s="2477"/>
      <c r="UJW1688" s="2477"/>
      <c r="UJX1688" s="2477"/>
      <c r="UJY1688" s="2477"/>
      <c r="UJZ1688" s="2477"/>
      <c r="UKA1688" s="2477"/>
      <c r="UKB1688" s="2477"/>
      <c r="UKC1688" s="2477"/>
      <c r="UKD1688" s="2477"/>
      <c r="UKE1688" s="2477"/>
      <c r="UKF1688" s="2477"/>
      <c r="UKG1688" s="2477"/>
      <c r="UKH1688" s="2477"/>
      <c r="UKI1688" s="2477"/>
      <c r="UKJ1688" s="2477"/>
      <c r="UKK1688" s="2477"/>
      <c r="UKL1688" s="2477"/>
      <c r="UKM1688" s="2477"/>
      <c r="UKN1688" s="2477"/>
      <c r="UKO1688" s="2477"/>
      <c r="UKP1688" s="2477"/>
      <c r="UKQ1688" s="2477"/>
      <c r="UKR1688" s="2477"/>
      <c r="UKS1688" s="2477"/>
      <c r="UKT1688" s="2477"/>
      <c r="UKU1688" s="2477"/>
      <c r="UKV1688" s="2477"/>
      <c r="UKW1688" s="2477"/>
      <c r="UKX1688" s="2477"/>
      <c r="UKY1688" s="2477"/>
      <c r="UKZ1688" s="2477"/>
      <c r="ULA1688" s="2477"/>
      <c r="ULB1688" s="2477"/>
      <c r="ULC1688" s="2477"/>
      <c r="ULD1688" s="2477"/>
      <c r="ULE1688" s="2477"/>
      <c r="ULF1688" s="2477"/>
      <c r="ULG1688" s="2477"/>
      <c r="ULH1688" s="2477"/>
      <c r="ULI1688" s="2477"/>
      <c r="ULJ1688" s="2477"/>
      <c r="ULK1688" s="2477"/>
      <c r="ULL1688" s="2477"/>
      <c r="ULM1688" s="2477"/>
      <c r="ULN1688" s="2477"/>
      <c r="ULO1688" s="2477"/>
      <c r="ULP1688" s="2477"/>
      <c r="ULQ1688" s="2477"/>
      <c r="ULR1688" s="2477"/>
      <c r="ULS1688" s="2477"/>
      <c r="ULT1688" s="2477"/>
      <c r="ULU1688" s="2477"/>
      <c r="ULV1688" s="2477"/>
      <c r="ULW1688" s="2477"/>
      <c r="ULX1688" s="2477"/>
      <c r="ULY1688" s="2477"/>
      <c r="ULZ1688" s="2477"/>
      <c r="UMA1688" s="2477"/>
      <c r="UMB1688" s="2477"/>
      <c r="UMC1688" s="2477"/>
      <c r="UMD1688" s="2477"/>
      <c r="UME1688" s="2477"/>
      <c r="UMF1688" s="2477"/>
      <c r="UMG1688" s="2477"/>
      <c r="UMH1688" s="2477"/>
      <c r="UMI1688" s="2477"/>
      <c r="UMJ1688" s="2477"/>
      <c r="UMK1688" s="2477"/>
      <c r="UML1688" s="2477"/>
      <c r="UMM1688" s="2477"/>
      <c r="UMN1688" s="2477"/>
      <c r="UMO1688" s="2477"/>
      <c r="UMP1688" s="2477"/>
      <c r="UMQ1688" s="2477"/>
      <c r="UMR1688" s="2477"/>
      <c r="UMS1688" s="2477"/>
      <c r="UMT1688" s="2477"/>
      <c r="UMU1688" s="2477"/>
      <c r="UMV1688" s="2477"/>
      <c r="UMW1688" s="2477"/>
      <c r="UMX1688" s="2477"/>
      <c r="UMY1688" s="2477"/>
      <c r="UMZ1688" s="2477"/>
      <c r="UNA1688" s="2477"/>
      <c r="UNB1688" s="2477"/>
      <c r="UNC1688" s="2477"/>
      <c r="UND1688" s="2477"/>
      <c r="UNE1688" s="2477"/>
      <c r="UNF1688" s="2477"/>
      <c r="UNG1688" s="2477"/>
      <c r="UNH1688" s="2477"/>
      <c r="UNI1688" s="2477"/>
      <c r="UNJ1688" s="2477"/>
      <c r="UNK1688" s="2477"/>
      <c r="UNL1688" s="2477"/>
      <c r="UNM1688" s="2477"/>
      <c r="UNN1688" s="2477"/>
      <c r="UNO1688" s="2477"/>
      <c r="UNP1688" s="2477"/>
      <c r="UNQ1688" s="2477"/>
      <c r="UNR1688" s="2477"/>
      <c r="UNS1688" s="2477"/>
      <c r="UNT1688" s="2477"/>
      <c r="UNU1688" s="2477"/>
      <c r="UNV1688" s="2477"/>
      <c r="UNW1688" s="2477"/>
      <c r="UNX1688" s="2477"/>
      <c r="UNY1688" s="2477"/>
      <c r="UNZ1688" s="2477"/>
      <c r="UOA1688" s="2477"/>
      <c r="UOB1688" s="2477"/>
      <c r="UOC1688" s="2477"/>
      <c r="UOD1688" s="2477"/>
      <c r="UOE1688" s="2477"/>
      <c r="UOF1688" s="2477"/>
      <c r="UOG1688" s="2477"/>
      <c r="UOH1688" s="2477"/>
      <c r="UOI1688" s="2477"/>
      <c r="UOJ1688" s="2477"/>
      <c r="UOK1688" s="2477"/>
      <c r="UOL1688" s="2477"/>
      <c r="UOM1688" s="2477"/>
      <c r="UON1688" s="2477"/>
      <c r="UOO1688" s="2477"/>
      <c r="UOP1688" s="2477"/>
      <c r="UOQ1688" s="2477"/>
      <c r="UOR1688" s="2477"/>
      <c r="UOS1688" s="2477"/>
      <c r="UOT1688" s="2477"/>
      <c r="UOU1688" s="2477"/>
      <c r="UOV1688" s="2477"/>
      <c r="UOW1688" s="2477"/>
      <c r="UOX1688" s="2477"/>
      <c r="UOY1688" s="2477"/>
      <c r="UOZ1688" s="2477"/>
      <c r="UPA1688" s="2477"/>
      <c r="UPB1688" s="2477"/>
      <c r="UPC1688" s="2477"/>
      <c r="UPD1688" s="2477"/>
      <c r="UPE1688" s="2477"/>
      <c r="UPF1688" s="2477"/>
      <c r="UPG1688" s="2477"/>
      <c r="UPH1688" s="2477"/>
      <c r="UPI1688" s="2477"/>
      <c r="UPJ1688" s="2477"/>
      <c r="UPK1688" s="2477"/>
      <c r="UPL1688" s="2477"/>
      <c r="UPM1688" s="2477"/>
      <c r="UPN1688" s="2477"/>
      <c r="UPO1688" s="2477"/>
      <c r="UPP1688" s="2477"/>
      <c r="UPQ1688" s="2477"/>
      <c r="UPR1688" s="2477"/>
      <c r="UPS1688" s="2477"/>
      <c r="UPT1688" s="2477"/>
      <c r="UPU1688" s="2477"/>
      <c r="UPV1688" s="2477"/>
      <c r="UPW1688" s="2477"/>
      <c r="UPX1688" s="2477"/>
      <c r="UPY1688" s="2477"/>
      <c r="UPZ1688" s="2477"/>
      <c r="UQA1688" s="2477"/>
      <c r="UQB1688" s="2477"/>
      <c r="UQC1688" s="2477"/>
      <c r="UQD1688" s="2477"/>
      <c r="UQE1688" s="2477"/>
      <c r="UQF1688" s="2477"/>
      <c r="UQG1688" s="2477"/>
      <c r="UQH1688" s="2477"/>
      <c r="UQI1688" s="2477"/>
      <c r="UQJ1688" s="2477"/>
      <c r="UQK1688" s="2477"/>
      <c r="UQL1688" s="2477"/>
      <c r="UQM1688" s="2477"/>
      <c r="UQN1688" s="2477"/>
      <c r="UQO1688" s="2477"/>
      <c r="UQP1688" s="2477"/>
      <c r="UQQ1688" s="2477"/>
      <c r="UQR1688" s="2477"/>
      <c r="UQS1688" s="2477"/>
      <c r="UQT1688" s="2477"/>
      <c r="UQU1688" s="2477"/>
      <c r="UQV1688" s="2477"/>
      <c r="UQW1688" s="2477"/>
      <c r="UQX1688" s="2477"/>
      <c r="UQY1688" s="2477"/>
      <c r="UQZ1688" s="2477"/>
      <c r="URA1688" s="2477"/>
      <c r="URB1688" s="2477"/>
      <c r="URC1688" s="2477"/>
      <c r="URD1688" s="2477"/>
      <c r="URE1688" s="2477"/>
      <c r="URF1688" s="2477"/>
      <c r="URG1688" s="2477"/>
      <c r="URH1688" s="2477"/>
      <c r="URI1688" s="2477"/>
      <c r="URJ1688" s="2477"/>
      <c r="URK1688" s="2477"/>
      <c r="URL1688" s="2477"/>
      <c r="URM1688" s="2477"/>
      <c r="URN1688" s="2477"/>
      <c r="URO1688" s="2477"/>
      <c r="URP1688" s="2477"/>
      <c r="URQ1688" s="2477"/>
      <c r="URR1688" s="2477"/>
      <c r="URS1688" s="2477"/>
      <c r="URT1688" s="2477"/>
      <c r="URU1688" s="2477"/>
      <c r="URV1688" s="2477"/>
      <c r="URW1688" s="2477"/>
      <c r="URX1688" s="2477"/>
      <c r="URY1688" s="2477"/>
      <c r="URZ1688" s="2477"/>
      <c r="USA1688" s="2477"/>
      <c r="USB1688" s="2477"/>
      <c r="USC1688" s="2477"/>
      <c r="USD1688" s="2477"/>
      <c r="USE1688" s="2477"/>
      <c r="USF1688" s="2477"/>
      <c r="USG1688" s="2477"/>
      <c r="USH1688" s="2477"/>
      <c r="USI1688" s="2477"/>
      <c r="USJ1688" s="2477"/>
      <c r="USK1688" s="2477"/>
      <c r="USL1688" s="2477"/>
      <c r="USM1688" s="2477"/>
      <c r="USN1688" s="2477"/>
      <c r="USO1688" s="2477"/>
      <c r="USP1688" s="2477"/>
      <c r="USQ1688" s="2477"/>
      <c r="USR1688" s="2477"/>
      <c r="USS1688" s="2477"/>
      <c r="UST1688" s="2477"/>
      <c r="USU1688" s="2477"/>
      <c r="USV1688" s="2477"/>
      <c r="USW1688" s="2477"/>
      <c r="USX1688" s="2477"/>
      <c r="USY1688" s="2477"/>
      <c r="USZ1688" s="2477"/>
      <c r="UTA1688" s="2477"/>
      <c r="UTB1688" s="2477"/>
      <c r="UTC1688" s="2477"/>
      <c r="UTD1688" s="2477"/>
      <c r="UTE1688" s="2477"/>
      <c r="UTF1688" s="2477"/>
      <c r="UTG1688" s="2477"/>
      <c r="UTH1688" s="2477"/>
      <c r="UTI1688" s="2477"/>
      <c r="UTJ1688" s="2477"/>
      <c r="UTK1688" s="2477"/>
      <c r="UTL1688" s="2477"/>
      <c r="UTM1688" s="2477"/>
      <c r="UTN1688" s="2477"/>
      <c r="UTO1688" s="2477"/>
      <c r="UTP1688" s="2477"/>
      <c r="UTQ1688" s="2477"/>
      <c r="UTR1688" s="2477"/>
      <c r="UTS1688" s="2477"/>
      <c r="UTT1688" s="2477"/>
      <c r="UTU1688" s="2477"/>
      <c r="UTV1688" s="2477"/>
      <c r="UTW1688" s="2477"/>
      <c r="UTX1688" s="2477"/>
      <c r="UTY1688" s="2477"/>
      <c r="UTZ1688" s="2477"/>
      <c r="UUA1688" s="2477"/>
      <c r="UUB1688" s="2477"/>
      <c r="UUC1688" s="2477"/>
      <c r="UUD1688" s="2477"/>
      <c r="UUE1688" s="2477"/>
      <c r="UUF1688" s="2477"/>
      <c r="UUG1688" s="2477"/>
      <c r="UUH1688" s="2477"/>
      <c r="UUI1688" s="2477"/>
      <c r="UUJ1688" s="2477"/>
      <c r="UUK1688" s="2477"/>
      <c r="UUL1688" s="2477"/>
      <c r="UUM1688" s="2477"/>
      <c r="UUN1688" s="2477"/>
      <c r="UUO1688" s="2477"/>
      <c r="UUP1688" s="2477"/>
      <c r="UUQ1688" s="2477"/>
      <c r="UUR1688" s="2477"/>
      <c r="UUS1688" s="2477"/>
      <c r="UUT1688" s="2477"/>
      <c r="UUU1688" s="2477"/>
      <c r="UUV1688" s="2477"/>
      <c r="UUW1688" s="2477"/>
      <c r="UUX1688" s="2477"/>
      <c r="UUY1688" s="2477"/>
      <c r="UUZ1688" s="2477"/>
      <c r="UVA1688" s="2477"/>
      <c r="UVB1688" s="2477"/>
      <c r="UVC1688" s="2477"/>
      <c r="UVD1688" s="2477"/>
      <c r="UVE1688" s="2477"/>
      <c r="UVF1688" s="2477"/>
      <c r="UVG1688" s="2477"/>
      <c r="UVH1688" s="2477"/>
      <c r="UVI1688" s="2477"/>
      <c r="UVJ1688" s="2477"/>
      <c r="UVK1688" s="2477"/>
      <c r="UVL1688" s="2477"/>
      <c r="UVM1688" s="2477"/>
      <c r="UVN1688" s="2477"/>
      <c r="UVO1688" s="2477"/>
      <c r="UVP1688" s="2477"/>
      <c r="UVQ1688" s="2477"/>
      <c r="UVR1688" s="2477"/>
      <c r="UVS1688" s="2477"/>
      <c r="UVT1688" s="2477"/>
      <c r="UVU1688" s="2477"/>
      <c r="UVV1688" s="2477"/>
      <c r="UVW1688" s="2477"/>
      <c r="UVX1688" s="2477"/>
      <c r="UVY1688" s="2477"/>
      <c r="UVZ1688" s="2477"/>
      <c r="UWA1688" s="2477"/>
      <c r="UWB1688" s="2477"/>
      <c r="UWC1688" s="2477"/>
      <c r="UWD1688" s="2477"/>
      <c r="UWE1688" s="2477"/>
      <c r="UWF1688" s="2477"/>
      <c r="UWG1688" s="2477"/>
      <c r="UWH1688" s="2477"/>
      <c r="UWI1688" s="2477"/>
      <c r="UWJ1688" s="2477"/>
      <c r="UWK1688" s="2477"/>
      <c r="UWL1688" s="2477"/>
      <c r="UWM1688" s="2477"/>
      <c r="UWN1688" s="2477"/>
      <c r="UWO1688" s="2477"/>
      <c r="UWP1688" s="2477"/>
      <c r="UWQ1688" s="2477"/>
      <c r="UWR1688" s="2477"/>
      <c r="UWS1688" s="2477"/>
      <c r="UWT1688" s="2477"/>
      <c r="UWU1688" s="2477"/>
      <c r="UWV1688" s="2477"/>
      <c r="UWW1688" s="2477"/>
      <c r="UWX1688" s="2477"/>
      <c r="UWY1688" s="2477"/>
      <c r="UWZ1688" s="2477"/>
      <c r="UXA1688" s="2477"/>
      <c r="UXB1688" s="2477"/>
      <c r="UXC1688" s="2477"/>
      <c r="UXD1688" s="2477"/>
      <c r="UXE1688" s="2477"/>
      <c r="UXF1688" s="2477"/>
      <c r="UXG1688" s="2477"/>
      <c r="UXH1688" s="2477"/>
      <c r="UXI1688" s="2477"/>
      <c r="UXJ1688" s="2477"/>
      <c r="UXK1688" s="2477"/>
      <c r="UXL1688" s="2477"/>
      <c r="UXM1688" s="2477"/>
      <c r="UXN1688" s="2477"/>
      <c r="UXO1688" s="2477"/>
      <c r="UXP1688" s="2477"/>
      <c r="UXQ1688" s="2477"/>
      <c r="UXR1688" s="2477"/>
      <c r="UXS1688" s="2477"/>
      <c r="UXT1688" s="2477"/>
      <c r="UXU1688" s="2477"/>
      <c r="UXV1688" s="2477"/>
      <c r="UXW1688" s="2477"/>
      <c r="UXX1688" s="2477"/>
      <c r="UXY1688" s="2477"/>
      <c r="UXZ1688" s="2477"/>
      <c r="UYA1688" s="2477"/>
      <c r="UYB1688" s="2477"/>
      <c r="UYC1688" s="2477"/>
      <c r="UYD1688" s="2477"/>
      <c r="UYE1688" s="2477"/>
      <c r="UYF1688" s="2477"/>
      <c r="UYG1688" s="2477"/>
      <c r="UYH1688" s="2477"/>
      <c r="UYI1688" s="2477"/>
      <c r="UYJ1688" s="2477"/>
      <c r="UYK1688" s="2477"/>
      <c r="UYL1688" s="2477"/>
      <c r="UYM1688" s="2477"/>
      <c r="UYN1688" s="2477"/>
      <c r="UYO1688" s="2477"/>
      <c r="UYP1688" s="2477"/>
      <c r="UYQ1688" s="2477"/>
      <c r="UYR1688" s="2477"/>
      <c r="UYS1688" s="2477"/>
      <c r="UYT1688" s="2477"/>
      <c r="UYU1688" s="2477"/>
      <c r="UYV1688" s="2477"/>
      <c r="UYW1688" s="2477"/>
      <c r="UYX1688" s="2477"/>
      <c r="UYY1688" s="2477"/>
      <c r="UYZ1688" s="2477"/>
      <c r="UZA1688" s="2477"/>
      <c r="UZB1688" s="2477"/>
      <c r="UZC1688" s="2477"/>
      <c r="UZD1688" s="2477"/>
      <c r="UZE1688" s="2477"/>
      <c r="UZF1688" s="2477"/>
      <c r="UZG1688" s="2477"/>
      <c r="UZH1688" s="2477"/>
      <c r="UZI1688" s="2477"/>
      <c r="UZJ1688" s="2477"/>
      <c r="UZK1688" s="2477"/>
      <c r="UZL1688" s="2477"/>
      <c r="UZM1688" s="2477"/>
      <c r="UZN1688" s="2477"/>
      <c r="UZO1688" s="2477"/>
      <c r="UZP1688" s="2477"/>
      <c r="UZQ1688" s="2477"/>
      <c r="UZR1688" s="2477"/>
      <c r="UZS1688" s="2477"/>
      <c r="UZT1688" s="2477"/>
      <c r="UZU1688" s="2477"/>
      <c r="UZV1688" s="2477"/>
      <c r="UZW1688" s="2477"/>
      <c r="UZX1688" s="2477"/>
      <c r="UZY1688" s="2477"/>
      <c r="UZZ1688" s="2477"/>
      <c r="VAA1688" s="2477"/>
      <c r="VAB1688" s="2477"/>
      <c r="VAC1688" s="2477"/>
      <c r="VAD1688" s="2477"/>
      <c r="VAE1688" s="2477"/>
      <c r="VAF1688" s="2477"/>
      <c r="VAG1688" s="2477"/>
      <c r="VAH1688" s="2477"/>
      <c r="VAI1688" s="2477"/>
      <c r="VAJ1688" s="2477"/>
      <c r="VAK1688" s="2477"/>
      <c r="VAL1688" s="2477"/>
      <c r="VAM1688" s="2477"/>
      <c r="VAN1688" s="2477"/>
      <c r="VAO1688" s="2477"/>
      <c r="VAP1688" s="2477"/>
      <c r="VAQ1688" s="2477"/>
      <c r="VAR1688" s="2477"/>
      <c r="VAS1688" s="2477"/>
      <c r="VAT1688" s="2477"/>
      <c r="VAU1688" s="2477"/>
      <c r="VAV1688" s="2477"/>
      <c r="VAW1688" s="2477"/>
      <c r="VAX1688" s="2477"/>
      <c r="VAY1688" s="2477"/>
      <c r="VAZ1688" s="2477"/>
      <c r="VBA1688" s="2477"/>
      <c r="VBB1688" s="2477"/>
      <c r="VBC1688" s="2477"/>
      <c r="VBD1688" s="2477"/>
      <c r="VBE1688" s="2477"/>
      <c r="VBF1688" s="2477"/>
      <c r="VBG1688" s="2477"/>
      <c r="VBH1688" s="2477"/>
      <c r="VBI1688" s="2477"/>
      <c r="VBJ1688" s="2477"/>
      <c r="VBK1688" s="2477"/>
      <c r="VBL1688" s="2477"/>
      <c r="VBM1688" s="2477"/>
      <c r="VBN1688" s="2477"/>
      <c r="VBO1688" s="2477"/>
      <c r="VBP1688" s="2477"/>
      <c r="VBQ1688" s="2477"/>
      <c r="VBR1688" s="2477"/>
      <c r="VBS1688" s="2477"/>
      <c r="VBT1688" s="2477"/>
      <c r="VBU1688" s="2477"/>
      <c r="VBV1688" s="2477"/>
      <c r="VBW1688" s="2477"/>
      <c r="VBX1688" s="2477"/>
      <c r="VBY1688" s="2477"/>
      <c r="VBZ1688" s="2477"/>
      <c r="VCA1688" s="2477"/>
      <c r="VCB1688" s="2477"/>
      <c r="VCC1688" s="2477"/>
      <c r="VCD1688" s="2477"/>
      <c r="VCE1688" s="2477"/>
      <c r="VCF1688" s="2477"/>
      <c r="VCG1688" s="2477"/>
      <c r="VCH1688" s="2477"/>
      <c r="VCI1688" s="2477"/>
      <c r="VCJ1688" s="2477"/>
      <c r="VCK1688" s="2477"/>
      <c r="VCL1688" s="2477"/>
      <c r="VCM1688" s="2477"/>
      <c r="VCN1688" s="2477"/>
      <c r="VCO1688" s="2477"/>
      <c r="VCP1688" s="2477"/>
      <c r="VCQ1688" s="2477"/>
      <c r="VCR1688" s="2477"/>
      <c r="VCS1688" s="2477"/>
      <c r="VCT1688" s="2477"/>
      <c r="VCU1688" s="2477"/>
      <c r="VCV1688" s="2477"/>
      <c r="VCW1688" s="2477"/>
      <c r="VCX1688" s="2477"/>
      <c r="VCY1688" s="2477"/>
      <c r="VCZ1688" s="2477"/>
      <c r="VDA1688" s="2477"/>
      <c r="VDB1688" s="2477"/>
      <c r="VDC1688" s="2477"/>
      <c r="VDD1688" s="2477"/>
      <c r="VDE1688" s="2477"/>
      <c r="VDF1688" s="2477"/>
      <c r="VDG1688" s="2477"/>
      <c r="VDH1688" s="2477"/>
      <c r="VDI1688" s="2477"/>
      <c r="VDJ1688" s="2477"/>
      <c r="VDK1688" s="2477"/>
      <c r="VDL1688" s="2477"/>
      <c r="VDM1688" s="2477"/>
      <c r="VDN1688" s="2477"/>
      <c r="VDO1688" s="2477"/>
      <c r="VDP1688" s="2477"/>
      <c r="VDQ1688" s="2477"/>
      <c r="VDR1688" s="2477"/>
      <c r="VDS1688" s="2477"/>
      <c r="VDT1688" s="2477"/>
      <c r="VDU1688" s="2477"/>
      <c r="VDV1688" s="2477"/>
      <c r="VDW1688" s="2477"/>
      <c r="VDX1688" s="2477"/>
      <c r="VDY1688" s="2477"/>
      <c r="VDZ1688" s="2477"/>
      <c r="VEA1688" s="2477"/>
      <c r="VEB1688" s="2477"/>
      <c r="VEC1688" s="2477"/>
      <c r="VED1688" s="2477"/>
      <c r="VEE1688" s="2477"/>
      <c r="VEF1688" s="2477"/>
      <c r="VEG1688" s="2477"/>
      <c r="VEH1688" s="2477"/>
      <c r="VEI1688" s="2477"/>
      <c r="VEJ1688" s="2477"/>
      <c r="VEK1688" s="2477"/>
      <c r="VEL1688" s="2477"/>
      <c r="VEM1688" s="2477"/>
      <c r="VEN1688" s="2477"/>
      <c r="VEO1688" s="2477"/>
      <c r="VEP1688" s="2477"/>
      <c r="VEQ1688" s="2477"/>
      <c r="VER1688" s="2477"/>
      <c r="VES1688" s="2477"/>
      <c r="VET1688" s="2477"/>
      <c r="VEU1688" s="2477"/>
      <c r="VEV1688" s="2477"/>
      <c r="VEW1688" s="2477"/>
      <c r="VEX1688" s="2477"/>
      <c r="VEY1688" s="2477"/>
      <c r="VEZ1688" s="2477"/>
      <c r="VFA1688" s="2477"/>
      <c r="VFB1688" s="2477"/>
      <c r="VFC1688" s="2477"/>
      <c r="VFD1688" s="2477"/>
      <c r="VFE1688" s="2477"/>
      <c r="VFF1688" s="2477"/>
      <c r="VFG1688" s="2477"/>
      <c r="VFH1688" s="2477"/>
      <c r="VFI1688" s="2477"/>
      <c r="VFJ1688" s="2477"/>
      <c r="VFK1688" s="2477"/>
      <c r="VFL1688" s="2477"/>
      <c r="VFM1688" s="2477"/>
      <c r="VFN1688" s="2477"/>
      <c r="VFO1688" s="2477"/>
      <c r="VFP1688" s="2477"/>
      <c r="VFQ1688" s="2477"/>
      <c r="VFR1688" s="2477"/>
      <c r="VFS1688" s="2477"/>
      <c r="VFT1688" s="2477"/>
      <c r="VFU1688" s="2477"/>
      <c r="VFV1688" s="2477"/>
      <c r="VFW1688" s="2477"/>
      <c r="VFX1688" s="2477"/>
      <c r="VFY1688" s="2477"/>
      <c r="VFZ1688" s="2477"/>
      <c r="VGA1688" s="2477"/>
      <c r="VGB1688" s="2477"/>
      <c r="VGC1688" s="2477"/>
      <c r="VGD1688" s="2477"/>
      <c r="VGE1688" s="2477"/>
      <c r="VGF1688" s="2477"/>
      <c r="VGG1688" s="2477"/>
      <c r="VGH1688" s="2477"/>
      <c r="VGI1688" s="2477"/>
      <c r="VGJ1688" s="2477"/>
      <c r="VGK1688" s="2477"/>
      <c r="VGL1688" s="2477"/>
      <c r="VGM1688" s="2477"/>
      <c r="VGN1688" s="2477"/>
      <c r="VGO1688" s="2477"/>
      <c r="VGP1688" s="2477"/>
      <c r="VGQ1688" s="2477"/>
      <c r="VGR1688" s="2477"/>
      <c r="VGS1688" s="2477"/>
      <c r="VGT1688" s="2477"/>
      <c r="VGU1688" s="2477"/>
      <c r="VGV1688" s="2477"/>
      <c r="VGW1688" s="2477"/>
      <c r="VGX1688" s="2477"/>
      <c r="VGY1688" s="2477"/>
      <c r="VGZ1688" s="2477"/>
      <c r="VHA1688" s="2477"/>
      <c r="VHB1688" s="2477"/>
      <c r="VHC1688" s="2477"/>
      <c r="VHD1688" s="2477"/>
      <c r="VHE1688" s="2477"/>
      <c r="VHF1688" s="2477"/>
      <c r="VHG1688" s="2477"/>
      <c r="VHH1688" s="2477"/>
      <c r="VHI1688" s="2477"/>
      <c r="VHJ1688" s="2477"/>
      <c r="VHK1688" s="2477"/>
      <c r="VHL1688" s="2477"/>
      <c r="VHM1688" s="2477"/>
      <c r="VHN1688" s="2477"/>
      <c r="VHO1688" s="2477"/>
      <c r="VHP1688" s="2477"/>
      <c r="VHQ1688" s="2477"/>
      <c r="VHR1688" s="2477"/>
      <c r="VHS1688" s="2477"/>
      <c r="VHT1688" s="2477"/>
      <c r="VHU1688" s="2477"/>
      <c r="VHV1688" s="2477"/>
      <c r="VHW1688" s="2477"/>
      <c r="VHX1688" s="2477"/>
      <c r="VHY1688" s="2477"/>
      <c r="VHZ1688" s="2477"/>
      <c r="VIA1688" s="2477"/>
      <c r="VIB1688" s="2477"/>
      <c r="VIC1688" s="2477"/>
      <c r="VID1688" s="2477"/>
      <c r="VIE1688" s="2477"/>
      <c r="VIF1688" s="2477"/>
      <c r="VIG1688" s="2477"/>
      <c r="VIH1688" s="2477"/>
      <c r="VII1688" s="2477"/>
      <c r="VIJ1688" s="2477"/>
      <c r="VIK1688" s="2477"/>
      <c r="VIL1688" s="2477"/>
      <c r="VIM1688" s="2477"/>
      <c r="VIN1688" s="2477"/>
      <c r="VIO1688" s="2477"/>
      <c r="VIP1688" s="2477"/>
      <c r="VIQ1688" s="2477"/>
      <c r="VIR1688" s="2477"/>
      <c r="VIS1688" s="2477"/>
      <c r="VIT1688" s="2477"/>
      <c r="VIU1688" s="2477"/>
      <c r="VIV1688" s="2477"/>
      <c r="VIW1688" s="2477"/>
      <c r="VIX1688" s="2477"/>
      <c r="VIY1688" s="2477"/>
      <c r="VIZ1688" s="2477"/>
      <c r="VJA1688" s="2477"/>
      <c r="VJB1688" s="2477"/>
      <c r="VJC1688" s="2477"/>
      <c r="VJD1688" s="2477"/>
      <c r="VJE1688" s="2477"/>
      <c r="VJF1688" s="2477"/>
      <c r="VJG1688" s="2477"/>
      <c r="VJH1688" s="2477"/>
      <c r="VJI1688" s="2477"/>
      <c r="VJJ1688" s="2477"/>
      <c r="VJK1688" s="2477"/>
      <c r="VJL1688" s="2477"/>
      <c r="VJM1688" s="2477"/>
      <c r="VJN1688" s="2477"/>
      <c r="VJO1688" s="2477"/>
      <c r="VJP1688" s="2477"/>
      <c r="VJQ1688" s="2477"/>
      <c r="VJR1688" s="2477"/>
      <c r="VJS1688" s="2477"/>
      <c r="VJT1688" s="2477"/>
      <c r="VJU1688" s="2477"/>
      <c r="VJV1688" s="2477"/>
      <c r="VJW1688" s="2477"/>
      <c r="VJX1688" s="2477"/>
      <c r="VJY1688" s="2477"/>
      <c r="VJZ1688" s="2477"/>
      <c r="VKA1688" s="2477"/>
      <c r="VKB1688" s="2477"/>
      <c r="VKC1688" s="2477"/>
      <c r="VKD1688" s="2477"/>
      <c r="VKE1688" s="2477"/>
      <c r="VKF1688" s="2477"/>
      <c r="VKG1688" s="2477"/>
      <c r="VKH1688" s="2477"/>
      <c r="VKI1688" s="2477"/>
      <c r="VKJ1688" s="2477"/>
      <c r="VKK1688" s="2477"/>
      <c r="VKL1688" s="2477"/>
      <c r="VKM1688" s="2477"/>
      <c r="VKN1688" s="2477"/>
      <c r="VKO1688" s="2477"/>
      <c r="VKP1688" s="2477"/>
      <c r="VKQ1688" s="2477"/>
      <c r="VKR1688" s="2477"/>
      <c r="VKS1688" s="2477"/>
      <c r="VKT1688" s="2477"/>
      <c r="VKU1688" s="2477"/>
      <c r="VKV1688" s="2477"/>
      <c r="VKW1688" s="2477"/>
      <c r="VKX1688" s="2477"/>
      <c r="VKY1688" s="2477"/>
      <c r="VKZ1688" s="2477"/>
      <c r="VLA1688" s="2477"/>
      <c r="VLB1688" s="2477"/>
      <c r="VLC1688" s="2477"/>
      <c r="VLD1688" s="2477"/>
      <c r="VLE1688" s="2477"/>
      <c r="VLF1688" s="2477"/>
      <c r="VLG1688" s="2477"/>
      <c r="VLH1688" s="2477"/>
      <c r="VLI1688" s="2477"/>
      <c r="VLJ1688" s="2477"/>
      <c r="VLK1688" s="2477"/>
      <c r="VLL1688" s="2477"/>
      <c r="VLM1688" s="2477"/>
      <c r="VLN1688" s="2477"/>
      <c r="VLO1688" s="2477"/>
      <c r="VLP1688" s="2477"/>
      <c r="VLQ1688" s="2477"/>
      <c r="VLR1688" s="2477"/>
      <c r="VLS1688" s="2477"/>
      <c r="VLT1688" s="2477"/>
      <c r="VLU1688" s="2477"/>
      <c r="VLV1688" s="2477"/>
      <c r="VLW1688" s="2477"/>
      <c r="VLX1688" s="2477"/>
      <c r="VLY1688" s="2477"/>
      <c r="VLZ1688" s="2477"/>
      <c r="VMA1688" s="2477"/>
      <c r="VMB1688" s="2477"/>
      <c r="VMC1688" s="2477"/>
      <c r="VMD1688" s="2477"/>
      <c r="VME1688" s="2477"/>
      <c r="VMF1688" s="2477"/>
      <c r="VMG1688" s="2477"/>
      <c r="VMH1688" s="2477"/>
      <c r="VMI1688" s="2477"/>
      <c r="VMJ1688" s="2477"/>
      <c r="VMK1688" s="2477"/>
      <c r="VML1688" s="2477"/>
      <c r="VMM1688" s="2477"/>
      <c r="VMN1688" s="2477"/>
      <c r="VMO1688" s="2477"/>
      <c r="VMP1688" s="2477"/>
      <c r="VMQ1688" s="2477"/>
      <c r="VMR1688" s="2477"/>
      <c r="VMS1688" s="2477"/>
      <c r="VMT1688" s="2477"/>
      <c r="VMU1688" s="2477"/>
      <c r="VMV1688" s="2477"/>
      <c r="VMW1688" s="2477"/>
      <c r="VMX1688" s="2477"/>
      <c r="VMY1688" s="2477"/>
      <c r="VMZ1688" s="2477"/>
      <c r="VNA1688" s="2477"/>
      <c r="VNB1688" s="2477"/>
      <c r="VNC1688" s="2477"/>
      <c r="VND1688" s="2477"/>
      <c r="VNE1688" s="2477"/>
      <c r="VNF1688" s="2477"/>
      <c r="VNG1688" s="2477"/>
      <c r="VNH1688" s="2477"/>
      <c r="VNI1688" s="2477"/>
      <c r="VNJ1688" s="2477"/>
      <c r="VNK1688" s="2477"/>
      <c r="VNL1688" s="2477"/>
      <c r="VNM1688" s="2477"/>
      <c r="VNN1688" s="2477"/>
      <c r="VNO1688" s="2477"/>
      <c r="VNP1688" s="2477"/>
      <c r="VNQ1688" s="2477"/>
      <c r="VNR1688" s="2477"/>
      <c r="VNS1688" s="2477"/>
      <c r="VNT1688" s="2477"/>
      <c r="VNU1688" s="2477"/>
      <c r="VNV1688" s="2477"/>
      <c r="VNW1688" s="2477"/>
      <c r="VNX1688" s="2477"/>
      <c r="VNY1688" s="2477"/>
      <c r="VNZ1688" s="2477"/>
      <c r="VOA1688" s="2477"/>
      <c r="VOB1688" s="2477"/>
      <c r="VOC1688" s="2477"/>
      <c r="VOD1688" s="2477"/>
      <c r="VOE1688" s="2477"/>
      <c r="VOF1688" s="2477"/>
      <c r="VOG1688" s="2477"/>
      <c r="VOH1688" s="2477"/>
      <c r="VOI1688" s="2477"/>
      <c r="VOJ1688" s="2477"/>
      <c r="VOK1688" s="2477"/>
      <c r="VOL1688" s="2477"/>
      <c r="VOM1688" s="2477"/>
      <c r="VON1688" s="2477"/>
      <c r="VOO1688" s="2477"/>
      <c r="VOP1688" s="2477"/>
      <c r="VOQ1688" s="2477"/>
      <c r="VOR1688" s="2477"/>
      <c r="VOS1688" s="2477"/>
      <c r="VOT1688" s="2477"/>
      <c r="VOU1688" s="2477"/>
      <c r="VOV1688" s="2477"/>
      <c r="VOW1688" s="2477"/>
      <c r="VOX1688" s="2477"/>
      <c r="VOY1688" s="2477"/>
      <c r="VOZ1688" s="2477"/>
      <c r="VPA1688" s="2477"/>
      <c r="VPB1688" s="2477"/>
      <c r="VPC1688" s="2477"/>
      <c r="VPD1688" s="2477"/>
      <c r="VPE1688" s="2477"/>
      <c r="VPF1688" s="2477"/>
      <c r="VPG1688" s="2477"/>
      <c r="VPH1688" s="2477"/>
      <c r="VPI1688" s="2477"/>
      <c r="VPJ1688" s="2477"/>
      <c r="VPK1688" s="2477"/>
      <c r="VPL1688" s="2477"/>
      <c r="VPM1688" s="2477"/>
      <c r="VPN1688" s="2477"/>
      <c r="VPO1688" s="2477"/>
      <c r="VPP1688" s="2477"/>
      <c r="VPQ1688" s="2477"/>
      <c r="VPR1688" s="2477"/>
      <c r="VPS1688" s="2477"/>
      <c r="VPT1688" s="2477"/>
      <c r="VPU1688" s="2477"/>
      <c r="VPV1688" s="2477"/>
      <c r="VPW1688" s="2477"/>
      <c r="VPX1688" s="2477"/>
      <c r="VPY1688" s="2477"/>
      <c r="VPZ1688" s="2477"/>
      <c r="VQA1688" s="2477"/>
      <c r="VQB1688" s="2477"/>
      <c r="VQC1688" s="2477"/>
      <c r="VQD1688" s="2477"/>
      <c r="VQE1688" s="2477"/>
      <c r="VQF1688" s="2477"/>
      <c r="VQG1688" s="2477"/>
      <c r="VQH1688" s="2477"/>
      <c r="VQI1688" s="2477"/>
      <c r="VQJ1688" s="2477"/>
      <c r="VQK1688" s="2477"/>
      <c r="VQL1688" s="2477"/>
      <c r="VQM1688" s="2477"/>
      <c r="VQN1688" s="2477"/>
      <c r="VQO1688" s="2477"/>
      <c r="VQP1688" s="2477"/>
      <c r="VQQ1688" s="2477"/>
      <c r="VQR1688" s="2477"/>
      <c r="VQS1688" s="2477"/>
      <c r="VQT1688" s="2477"/>
      <c r="VQU1688" s="2477"/>
      <c r="VQV1688" s="2477"/>
      <c r="VQW1688" s="2477"/>
      <c r="VQX1688" s="2477"/>
      <c r="VQY1688" s="2477"/>
      <c r="VQZ1688" s="2477"/>
      <c r="VRA1688" s="2477"/>
      <c r="VRB1688" s="2477"/>
      <c r="VRC1688" s="2477"/>
      <c r="VRD1688" s="2477"/>
      <c r="VRE1688" s="2477"/>
      <c r="VRF1688" s="2477"/>
      <c r="VRG1688" s="2477"/>
      <c r="VRH1688" s="2477"/>
      <c r="VRI1688" s="2477"/>
      <c r="VRJ1688" s="2477"/>
      <c r="VRK1688" s="2477"/>
      <c r="VRL1688" s="2477"/>
      <c r="VRM1688" s="2477"/>
      <c r="VRN1688" s="2477"/>
      <c r="VRO1688" s="2477"/>
      <c r="VRP1688" s="2477"/>
      <c r="VRQ1688" s="2477"/>
      <c r="VRR1688" s="2477"/>
      <c r="VRS1688" s="2477"/>
      <c r="VRT1688" s="2477"/>
      <c r="VRU1688" s="2477"/>
      <c r="VRV1688" s="2477"/>
      <c r="VRW1688" s="2477"/>
      <c r="VRX1688" s="2477"/>
      <c r="VRY1688" s="2477"/>
      <c r="VRZ1688" s="2477"/>
      <c r="VSA1688" s="2477"/>
      <c r="VSB1688" s="2477"/>
      <c r="VSC1688" s="2477"/>
      <c r="VSD1688" s="2477"/>
      <c r="VSE1688" s="2477"/>
      <c r="VSF1688" s="2477"/>
      <c r="VSG1688" s="2477"/>
      <c r="VSH1688" s="2477"/>
      <c r="VSI1688" s="2477"/>
      <c r="VSJ1688" s="2477"/>
      <c r="VSK1688" s="2477"/>
      <c r="VSL1688" s="2477"/>
      <c r="VSM1688" s="2477"/>
      <c r="VSN1688" s="2477"/>
      <c r="VSO1688" s="2477"/>
      <c r="VSP1688" s="2477"/>
      <c r="VSQ1688" s="2477"/>
      <c r="VSR1688" s="2477"/>
      <c r="VSS1688" s="2477"/>
      <c r="VST1688" s="2477"/>
      <c r="VSU1688" s="2477"/>
      <c r="VSV1688" s="2477"/>
      <c r="VSW1688" s="2477"/>
      <c r="VSX1688" s="2477"/>
      <c r="VSY1688" s="2477"/>
      <c r="VSZ1688" s="2477"/>
      <c r="VTA1688" s="2477"/>
      <c r="VTB1688" s="2477"/>
      <c r="VTC1688" s="2477"/>
      <c r="VTD1688" s="2477"/>
      <c r="VTE1688" s="2477"/>
      <c r="VTF1688" s="2477"/>
      <c r="VTG1688" s="2477"/>
      <c r="VTH1688" s="2477"/>
      <c r="VTI1688" s="2477"/>
      <c r="VTJ1688" s="2477"/>
      <c r="VTK1688" s="2477"/>
      <c r="VTL1688" s="2477"/>
      <c r="VTM1688" s="2477"/>
      <c r="VTN1688" s="2477"/>
      <c r="VTO1688" s="2477"/>
      <c r="VTP1688" s="2477"/>
      <c r="VTQ1688" s="2477"/>
      <c r="VTR1688" s="2477"/>
      <c r="VTS1688" s="2477"/>
      <c r="VTT1688" s="2477"/>
      <c r="VTU1688" s="2477"/>
      <c r="VTV1688" s="2477"/>
      <c r="VTW1688" s="2477"/>
      <c r="VTX1688" s="2477"/>
      <c r="VTY1688" s="2477"/>
      <c r="VTZ1688" s="2477"/>
      <c r="VUA1688" s="2477"/>
      <c r="VUB1688" s="2477"/>
      <c r="VUC1688" s="2477"/>
      <c r="VUD1688" s="2477"/>
      <c r="VUE1688" s="2477"/>
      <c r="VUF1688" s="2477"/>
      <c r="VUG1688" s="2477"/>
      <c r="VUH1688" s="2477"/>
      <c r="VUI1688" s="2477"/>
      <c r="VUJ1688" s="2477"/>
      <c r="VUK1688" s="2477"/>
      <c r="VUL1688" s="2477"/>
      <c r="VUM1688" s="2477"/>
      <c r="VUN1688" s="2477"/>
      <c r="VUO1688" s="2477"/>
      <c r="VUP1688" s="2477"/>
      <c r="VUQ1688" s="2477"/>
      <c r="VUR1688" s="2477"/>
      <c r="VUS1688" s="2477"/>
      <c r="VUT1688" s="2477"/>
      <c r="VUU1688" s="2477"/>
      <c r="VUV1688" s="2477"/>
      <c r="VUW1688" s="2477"/>
      <c r="VUX1688" s="2477"/>
      <c r="VUY1688" s="2477"/>
      <c r="VUZ1688" s="2477"/>
      <c r="VVA1688" s="2477"/>
      <c r="VVB1688" s="2477"/>
      <c r="VVC1688" s="2477"/>
      <c r="VVD1688" s="2477"/>
      <c r="VVE1688" s="2477"/>
      <c r="VVF1688" s="2477"/>
      <c r="VVG1688" s="2477"/>
      <c r="VVH1688" s="2477"/>
      <c r="VVI1688" s="2477"/>
      <c r="VVJ1688" s="2477"/>
      <c r="VVK1688" s="2477"/>
      <c r="VVL1688" s="2477"/>
      <c r="VVM1688" s="2477"/>
      <c r="VVN1688" s="2477"/>
      <c r="VVO1688" s="2477"/>
      <c r="VVP1688" s="2477"/>
      <c r="VVQ1688" s="2477"/>
      <c r="VVR1688" s="2477"/>
      <c r="VVS1688" s="2477"/>
      <c r="VVT1688" s="2477"/>
      <c r="VVU1688" s="2477"/>
      <c r="VVV1688" s="2477"/>
      <c r="VVW1688" s="2477"/>
      <c r="VVX1688" s="2477"/>
      <c r="VVY1688" s="2477"/>
      <c r="VVZ1688" s="2477"/>
      <c r="VWA1688" s="2477"/>
      <c r="VWB1688" s="2477"/>
      <c r="VWC1688" s="2477"/>
      <c r="VWD1688" s="2477"/>
      <c r="VWE1688" s="2477"/>
      <c r="VWF1688" s="2477"/>
      <c r="VWG1688" s="2477"/>
      <c r="VWH1688" s="2477"/>
      <c r="VWI1688" s="2477"/>
      <c r="VWJ1688" s="2477"/>
      <c r="VWK1688" s="2477"/>
      <c r="VWL1688" s="2477"/>
      <c r="VWM1688" s="2477"/>
      <c r="VWN1688" s="2477"/>
      <c r="VWO1688" s="2477"/>
      <c r="VWP1688" s="2477"/>
      <c r="VWQ1688" s="2477"/>
      <c r="VWR1688" s="2477"/>
      <c r="VWS1688" s="2477"/>
      <c r="VWT1688" s="2477"/>
      <c r="VWU1688" s="2477"/>
      <c r="VWV1688" s="2477"/>
      <c r="VWW1688" s="2477"/>
      <c r="VWX1688" s="2477"/>
      <c r="VWY1688" s="2477"/>
      <c r="VWZ1688" s="2477"/>
      <c r="VXA1688" s="2477"/>
      <c r="VXB1688" s="2477"/>
      <c r="VXC1688" s="2477"/>
      <c r="VXD1688" s="2477"/>
      <c r="VXE1688" s="2477"/>
      <c r="VXF1688" s="2477"/>
      <c r="VXG1688" s="2477"/>
      <c r="VXH1688" s="2477"/>
      <c r="VXI1688" s="2477"/>
      <c r="VXJ1688" s="2477"/>
      <c r="VXK1688" s="2477"/>
      <c r="VXL1688" s="2477"/>
      <c r="VXM1688" s="2477"/>
      <c r="VXN1688" s="2477"/>
      <c r="VXO1688" s="2477"/>
      <c r="VXP1688" s="2477"/>
      <c r="VXQ1688" s="2477"/>
      <c r="VXR1688" s="2477"/>
      <c r="VXS1688" s="2477"/>
      <c r="VXT1688" s="2477"/>
      <c r="VXU1688" s="2477"/>
      <c r="VXV1688" s="2477"/>
      <c r="VXW1688" s="2477"/>
      <c r="VXX1688" s="2477"/>
      <c r="VXY1688" s="2477"/>
      <c r="VXZ1688" s="2477"/>
      <c r="VYA1688" s="2477"/>
      <c r="VYB1688" s="2477"/>
      <c r="VYC1688" s="2477"/>
      <c r="VYD1688" s="2477"/>
      <c r="VYE1688" s="2477"/>
      <c r="VYF1688" s="2477"/>
      <c r="VYG1688" s="2477"/>
      <c r="VYH1688" s="2477"/>
      <c r="VYI1688" s="2477"/>
      <c r="VYJ1688" s="2477"/>
      <c r="VYK1688" s="2477"/>
      <c r="VYL1688" s="2477"/>
      <c r="VYM1688" s="2477"/>
      <c r="VYN1688" s="2477"/>
      <c r="VYO1688" s="2477"/>
      <c r="VYP1688" s="2477"/>
      <c r="VYQ1688" s="2477"/>
      <c r="VYR1688" s="2477"/>
      <c r="VYS1688" s="2477"/>
      <c r="VYT1688" s="2477"/>
      <c r="VYU1688" s="2477"/>
      <c r="VYV1688" s="2477"/>
      <c r="VYW1688" s="2477"/>
      <c r="VYX1688" s="2477"/>
      <c r="VYY1688" s="2477"/>
      <c r="VYZ1688" s="2477"/>
      <c r="VZA1688" s="2477"/>
      <c r="VZB1688" s="2477"/>
      <c r="VZC1688" s="2477"/>
      <c r="VZD1688" s="2477"/>
      <c r="VZE1688" s="2477"/>
      <c r="VZF1688" s="2477"/>
      <c r="VZG1688" s="2477"/>
      <c r="VZH1688" s="2477"/>
      <c r="VZI1688" s="2477"/>
      <c r="VZJ1688" s="2477"/>
      <c r="VZK1688" s="2477"/>
      <c r="VZL1688" s="2477"/>
      <c r="VZM1688" s="2477"/>
      <c r="VZN1688" s="2477"/>
      <c r="VZO1688" s="2477"/>
      <c r="VZP1688" s="2477"/>
      <c r="VZQ1688" s="2477"/>
      <c r="VZR1688" s="2477"/>
      <c r="VZS1688" s="2477"/>
      <c r="VZT1688" s="2477"/>
      <c r="VZU1688" s="2477"/>
      <c r="VZV1688" s="2477"/>
      <c r="VZW1688" s="2477"/>
      <c r="VZX1688" s="2477"/>
      <c r="VZY1688" s="2477"/>
      <c r="VZZ1688" s="2477"/>
      <c r="WAA1688" s="2477"/>
      <c r="WAB1688" s="2477"/>
      <c r="WAC1688" s="2477"/>
      <c r="WAD1688" s="2477"/>
      <c r="WAE1688" s="2477"/>
      <c r="WAF1688" s="2477"/>
      <c r="WAG1688" s="2477"/>
      <c r="WAH1688" s="2477"/>
      <c r="WAI1688" s="2477"/>
      <c r="WAJ1688" s="2477"/>
      <c r="WAK1688" s="2477"/>
      <c r="WAL1688" s="2477"/>
      <c r="WAM1688" s="2477"/>
      <c r="WAN1688" s="2477"/>
      <c r="WAO1688" s="2477"/>
      <c r="WAP1688" s="2477"/>
      <c r="WAQ1688" s="2477"/>
      <c r="WAR1688" s="2477"/>
      <c r="WAS1688" s="2477"/>
      <c r="WAT1688" s="2477"/>
      <c r="WAU1688" s="2477"/>
      <c r="WAV1688" s="2477"/>
      <c r="WAW1688" s="2477"/>
      <c r="WAX1688" s="2477"/>
      <c r="WAY1688" s="2477"/>
      <c r="WAZ1688" s="2477"/>
      <c r="WBA1688" s="2477"/>
      <c r="WBB1688" s="2477"/>
      <c r="WBC1688" s="2477"/>
      <c r="WBD1688" s="2477"/>
      <c r="WBE1688" s="2477"/>
      <c r="WBF1688" s="2477"/>
      <c r="WBG1688" s="2477"/>
      <c r="WBH1688" s="2477"/>
      <c r="WBI1688" s="2477"/>
      <c r="WBJ1688" s="2477"/>
      <c r="WBK1688" s="2477"/>
      <c r="WBL1688" s="2477"/>
      <c r="WBM1688" s="2477"/>
      <c r="WBN1688" s="2477"/>
      <c r="WBO1688" s="2477"/>
      <c r="WBP1688" s="2477"/>
      <c r="WBQ1688" s="2477"/>
      <c r="WBR1688" s="2477"/>
      <c r="WBS1688" s="2477"/>
      <c r="WBT1688" s="2477"/>
      <c r="WBU1688" s="2477"/>
      <c r="WBV1688" s="2477"/>
      <c r="WBW1688" s="2477"/>
      <c r="WBX1688" s="2477"/>
      <c r="WBY1688" s="2477"/>
      <c r="WBZ1688" s="2477"/>
      <c r="WCA1688" s="2477"/>
      <c r="WCB1688" s="2477"/>
      <c r="WCC1688" s="2477"/>
      <c r="WCD1688" s="2477"/>
      <c r="WCE1688" s="2477"/>
      <c r="WCF1688" s="2477"/>
      <c r="WCG1688" s="2477"/>
      <c r="WCH1688" s="2477"/>
      <c r="WCI1688" s="2477"/>
      <c r="WCJ1688" s="2477"/>
      <c r="WCK1688" s="2477"/>
      <c r="WCL1688" s="2477"/>
      <c r="WCM1688" s="2477"/>
      <c r="WCN1688" s="2477"/>
      <c r="WCO1688" s="2477"/>
      <c r="WCP1688" s="2477"/>
      <c r="WCQ1688" s="2477"/>
      <c r="WCR1688" s="2477"/>
      <c r="WCS1688" s="2477"/>
      <c r="WCT1688" s="2477"/>
      <c r="WCU1688" s="2477"/>
      <c r="WCV1688" s="2477"/>
      <c r="WCW1688" s="2477"/>
      <c r="WCX1688" s="2477"/>
      <c r="WCY1688" s="2477"/>
      <c r="WCZ1688" s="2477"/>
      <c r="WDA1688" s="2477"/>
      <c r="WDB1688" s="2477"/>
      <c r="WDC1688" s="2477"/>
      <c r="WDD1688" s="2477"/>
      <c r="WDE1688" s="2477"/>
      <c r="WDF1688" s="2477"/>
      <c r="WDG1688" s="2477"/>
      <c r="WDH1688" s="2477"/>
      <c r="WDI1688" s="2477"/>
      <c r="WDJ1688" s="2477"/>
      <c r="WDK1688" s="2477"/>
      <c r="WDL1688" s="2477"/>
      <c r="WDM1688" s="2477"/>
      <c r="WDN1688" s="2477"/>
      <c r="WDO1688" s="2477"/>
      <c r="WDP1688" s="2477"/>
      <c r="WDQ1688" s="2477"/>
      <c r="WDR1688" s="2477"/>
      <c r="WDS1688" s="2477"/>
      <c r="WDT1688" s="2477"/>
      <c r="WDU1688" s="2477"/>
      <c r="WDV1688" s="2477"/>
      <c r="WDW1688" s="2477"/>
      <c r="WDX1688" s="2477"/>
      <c r="WDY1688" s="2477"/>
      <c r="WDZ1688" s="2477"/>
      <c r="WEA1688" s="2477"/>
      <c r="WEB1688" s="2477"/>
      <c r="WEC1688" s="2477"/>
      <c r="WED1688" s="2477"/>
      <c r="WEE1688" s="2477"/>
      <c r="WEF1688" s="2477"/>
      <c r="WEG1688" s="2477"/>
      <c r="WEH1688" s="2477"/>
      <c r="WEI1688" s="2477"/>
      <c r="WEJ1688" s="2477"/>
      <c r="WEK1688" s="2477"/>
      <c r="WEL1688" s="2477"/>
      <c r="WEM1688" s="2477"/>
      <c r="WEN1688" s="2477"/>
      <c r="WEO1688" s="2477"/>
      <c r="WEP1688" s="2477"/>
      <c r="WEQ1688" s="2477"/>
      <c r="WER1688" s="2477"/>
      <c r="WES1688" s="2477"/>
      <c r="WET1688" s="2477"/>
      <c r="WEU1688" s="2477"/>
      <c r="WEV1688" s="2477"/>
      <c r="WEW1688" s="2477"/>
      <c r="WEX1688" s="2477"/>
      <c r="WEY1688" s="2477"/>
      <c r="WEZ1688" s="2477"/>
      <c r="WFA1688" s="2477"/>
      <c r="WFB1688" s="2477"/>
      <c r="WFC1688" s="2477"/>
      <c r="WFD1688" s="2477"/>
      <c r="WFE1688" s="2477"/>
      <c r="WFF1688" s="2477"/>
      <c r="WFG1688" s="2477"/>
      <c r="WFH1688" s="2477"/>
      <c r="WFI1688" s="2477"/>
      <c r="WFJ1688" s="2477"/>
      <c r="WFK1688" s="2477"/>
      <c r="WFL1688" s="2477"/>
      <c r="WFM1688" s="2477"/>
      <c r="WFN1688" s="2477"/>
      <c r="WFO1688" s="2477"/>
      <c r="WFP1688" s="2477"/>
      <c r="WFQ1688" s="2477"/>
      <c r="WFR1688" s="2477"/>
      <c r="WFS1688" s="2477"/>
      <c r="WFT1688" s="2477"/>
      <c r="WFU1688" s="2477"/>
      <c r="WFV1688" s="2477"/>
      <c r="WFW1688" s="2477"/>
      <c r="WFX1688" s="2477"/>
      <c r="WFY1688" s="2477"/>
      <c r="WFZ1688" s="2477"/>
      <c r="WGA1688" s="2477"/>
      <c r="WGB1688" s="2477"/>
      <c r="WGC1688" s="2477"/>
      <c r="WGD1688" s="2477"/>
      <c r="WGE1688" s="2477"/>
      <c r="WGF1688" s="2477"/>
      <c r="WGG1688" s="2477"/>
      <c r="WGH1688" s="2477"/>
      <c r="WGI1688" s="2477"/>
      <c r="WGJ1688" s="2477"/>
      <c r="WGK1688" s="2477"/>
      <c r="WGL1688" s="2477"/>
      <c r="WGM1688" s="2477"/>
      <c r="WGN1688" s="2477"/>
      <c r="WGO1688" s="2477"/>
      <c r="WGP1688" s="2477"/>
      <c r="WGQ1688" s="2477"/>
      <c r="WGR1688" s="2477"/>
      <c r="WGS1688" s="2477"/>
      <c r="WGT1688" s="2477"/>
      <c r="WGU1688" s="2477"/>
      <c r="WGV1688" s="2477"/>
      <c r="WGW1688" s="2477"/>
      <c r="WGX1688" s="2477"/>
      <c r="WGY1688" s="2477"/>
      <c r="WGZ1688" s="2477"/>
      <c r="WHA1688" s="2477"/>
      <c r="WHB1688" s="2477"/>
      <c r="WHC1688" s="2477"/>
      <c r="WHD1688" s="2477"/>
      <c r="WHE1688" s="2477"/>
      <c r="WHF1688" s="2477"/>
      <c r="WHG1688" s="2477"/>
      <c r="WHH1688" s="2477"/>
      <c r="WHI1688" s="2477"/>
      <c r="WHJ1688" s="2477"/>
      <c r="WHK1688" s="2477"/>
      <c r="WHL1688" s="2477"/>
      <c r="WHM1688" s="2477"/>
      <c r="WHN1688" s="2477"/>
      <c r="WHO1688" s="2477"/>
      <c r="WHP1688" s="2477"/>
      <c r="WHQ1688" s="2477"/>
      <c r="WHR1688" s="2477"/>
      <c r="WHS1688" s="2477"/>
      <c r="WHT1688" s="2477"/>
      <c r="WHU1688" s="2477"/>
      <c r="WHV1688" s="2477"/>
      <c r="WHW1688" s="2477"/>
      <c r="WHX1688" s="2477"/>
      <c r="WHY1688" s="2477"/>
      <c r="WHZ1688" s="2477"/>
      <c r="WIA1688" s="2477"/>
      <c r="WIB1688" s="2477"/>
      <c r="WIC1688" s="2477"/>
      <c r="WID1688" s="2477"/>
      <c r="WIE1688" s="2477"/>
      <c r="WIF1688" s="2477"/>
      <c r="WIG1688" s="2477"/>
      <c r="WIH1688" s="2477"/>
      <c r="WII1688" s="2477"/>
      <c r="WIJ1688" s="2477"/>
      <c r="WIK1688" s="2477"/>
      <c r="WIL1688" s="2477"/>
      <c r="WIM1688" s="2477"/>
      <c r="WIN1688" s="2477"/>
      <c r="WIO1688" s="2477"/>
      <c r="WIP1688" s="2477"/>
      <c r="WIQ1688" s="2477"/>
      <c r="WIR1688" s="2477"/>
      <c r="WIS1688" s="2477"/>
      <c r="WIT1688" s="2477"/>
      <c r="WIU1688" s="2477"/>
      <c r="WIV1688" s="2477"/>
      <c r="WIW1688" s="2477"/>
      <c r="WIX1688" s="2477"/>
      <c r="WIY1688" s="2477"/>
      <c r="WIZ1688" s="2477"/>
      <c r="WJA1688" s="2477"/>
      <c r="WJB1688" s="2477"/>
      <c r="WJC1688" s="2477"/>
      <c r="WJD1688" s="2477"/>
      <c r="WJE1688" s="2477"/>
      <c r="WJF1688" s="2477"/>
      <c r="WJG1688" s="2477"/>
      <c r="WJH1688" s="2477"/>
      <c r="WJI1688" s="2477"/>
      <c r="WJJ1688" s="2477"/>
      <c r="WJK1688" s="2477"/>
      <c r="WJL1688" s="2477"/>
      <c r="WJM1688" s="2477"/>
      <c r="WJN1688" s="2477"/>
      <c r="WJO1688" s="2477"/>
      <c r="WJP1688" s="2477"/>
      <c r="WJQ1688" s="2477"/>
      <c r="WJR1688" s="2477"/>
      <c r="WJS1688" s="2477"/>
      <c r="WJT1688" s="2477"/>
      <c r="WJU1688" s="2477"/>
      <c r="WJV1688" s="2477"/>
      <c r="WJW1688" s="2477"/>
      <c r="WJX1688" s="2477"/>
      <c r="WJY1688" s="2477"/>
      <c r="WJZ1688" s="2477"/>
      <c r="WKA1688" s="2477"/>
      <c r="WKB1688" s="2477"/>
      <c r="WKC1688" s="2477"/>
      <c r="WKD1688" s="2477"/>
      <c r="WKE1688" s="2477"/>
      <c r="WKF1688" s="2477"/>
      <c r="WKG1688" s="2477"/>
      <c r="WKH1688" s="2477"/>
      <c r="WKI1688" s="2477"/>
      <c r="WKJ1688" s="2477"/>
      <c r="WKK1688" s="2477"/>
      <c r="WKL1688" s="2477"/>
      <c r="WKM1688" s="2477"/>
      <c r="WKN1688" s="2477"/>
      <c r="WKO1688" s="2477"/>
      <c r="WKP1688" s="2477"/>
      <c r="WKQ1688" s="2477"/>
      <c r="WKR1688" s="2477"/>
      <c r="WKS1688" s="2477"/>
      <c r="WKT1688" s="2477"/>
      <c r="WKU1688" s="2477"/>
      <c r="WKV1688" s="2477"/>
      <c r="WKW1688" s="2477"/>
      <c r="WKX1688" s="2477"/>
      <c r="WKY1688" s="2477"/>
      <c r="WKZ1688" s="2477"/>
      <c r="WLA1688" s="2477"/>
      <c r="WLB1688" s="2477"/>
      <c r="WLC1688" s="2477"/>
      <c r="WLD1688" s="2477"/>
      <c r="WLE1688" s="2477"/>
      <c r="WLF1688" s="2477"/>
      <c r="WLG1688" s="2477"/>
      <c r="WLH1688" s="2477"/>
      <c r="WLI1688" s="2477"/>
      <c r="WLJ1688" s="2477"/>
      <c r="WLK1688" s="2477"/>
      <c r="WLL1688" s="2477"/>
      <c r="WLM1688" s="2477"/>
      <c r="WLN1688" s="2477"/>
      <c r="WLO1688" s="2477"/>
      <c r="WLP1688" s="2477"/>
      <c r="WLQ1688" s="2477"/>
      <c r="WLR1688" s="2477"/>
      <c r="WLS1688" s="2477"/>
      <c r="WLT1688" s="2477"/>
      <c r="WLU1688" s="2477"/>
      <c r="WLV1688" s="2477"/>
      <c r="WLW1688" s="2477"/>
      <c r="WLX1688" s="2477"/>
      <c r="WLY1688" s="2477"/>
      <c r="WLZ1688" s="2477"/>
      <c r="WMA1688" s="2477"/>
      <c r="WMB1688" s="2477"/>
      <c r="WMC1688" s="2477"/>
      <c r="WMD1688" s="2477"/>
      <c r="WME1688" s="2477"/>
      <c r="WMF1688" s="2477"/>
      <c r="WMG1688" s="2477"/>
      <c r="WMH1688" s="2477"/>
      <c r="WMI1688" s="2477"/>
      <c r="WMJ1688" s="2477"/>
      <c r="WMK1688" s="2477"/>
      <c r="WML1688" s="2477"/>
      <c r="WMM1688" s="2477"/>
      <c r="WMN1688" s="2477"/>
      <c r="WMO1688" s="2477"/>
      <c r="WMP1688" s="2477"/>
      <c r="WMQ1688" s="2477"/>
      <c r="WMR1688" s="2477"/>
      <c r="WMS1688" s="2477"/>
      <c r="WMT1688" s="2477"/>
      <c r="WMU1688" s="2477"/>
      <c r="WMV1688" s="2477"/>
      <c r="WMW1688" s="2477"/>
      <c r="WMX1688" s="2477"/>
      <c r="WMY1688" s="2477"/>
      <c r="WMZ1688" s="2477"/>
      <c r="WNA1688" s="2477"/>
      <c r="WNB1688" s="2477"/>
      <c r="WNC1688" s="2477"/>
      <c r="WND1688" s="2477"/>
      <c r="WNE1688" s="2477"/>
      <c r="WNF1688" s="2477"/>
      <c r="WNG1688" s="2477"/>
      <c r="WNH1688" s="2477"/>
      <c r="WNI1688" s="2477"/>
      <c r="WNJ1688" s="2477"/>
      <c r="WNK1688" s="2477"/>
      <c r="WNL1688" s="2477"/>
      <c r="WNM1688" s="2477"/>
      <c r="WNN1688" s="2477"/>
      <c r="WNO1688" s="2477"/>
      <c r="WNP1688" s="2477"/>
      <c r="WNQ1688" s="2477"/>
      <c r="WNR1688" s="2477"/>
      <c r="WNS1688" s="2477"/>
      <c r="WNT1688" s="2477"/>
      <c r="WNU1688" s="2477"/>
      <c r="WNV1688" s="2477"/>
      <c r="WNW1688" s="2477"/>
      <c r="WNX1688" s="2477"/>
      <c r="WNY1688" s="2477"/>
      <c r="WNZ1688" s="2477"/>
      <c r="WOA1688" s="2477"/>
      <c r="WOB1688" s="2477"/>
      <c r="WOC1688" s="2477"/>
      <c r="WOD1688" s="2477"/>
      <c r="WOE1688" s="2477"/>
      <c r="WOF1688" s="2477"/>
      <c r="WOG1688" s="2477"/>
      <c r="WOH1688" s="2477"/>
      <c r="WOI1688" s="2477"/>
      <c r="WOJ1688" s="2477"/>
      <c r="WOK1688" s="2477"/>
      <c r="WOL1688" s="2477"/>
      <c r="WOM1688" s="2477"/>
      <c r="WON1688" s="2477"/>
      <c r="WOO1688" s="2477"/>
      <c r="WOP1688" s="2477"/>
      <c r="WOQ1688" s="2477"/>
      <c r="WOR1688" s="2477"/>
      <c r="WOS1688" s="2477"/>
      <c r="WOT1688" s="2477"/>
      <c r="WOU1688" s="2477"/>
      <c r="WOV1688" s="2477"/>
      <c r="WOW1688" s="2477"/>
      <c r="WOX1688" s="2477"/>
      <c r="WOY1688" s="2477"/>
      <c r="WOZ1688" s="2477"/>
      <c r="WPA1688" s="2477"/>
      <c r="WPB1688" s="2477"/>
      <c r="WPC1688" s="2477"/>
      <c r="WPD1688" s="2477"/>
      <c r="WPE1688" s="2477"/>
      <c r="WPF1688" s="2477"/>
      <c r="WPG1688" s="2477"/>
      <c r="WPH1688" s="2477"/>
      <c r="WPI1688" s="2477"/>
      <c r="WPJ1688" s="2477"/>
      <c r="WPK1688" s="2477"/>
      <c r="WPL1688" s="2477"/>
      <c r="WPM1688" s="2477"/>
      <c r="WPN1688" s="2477"/>
      <c r="WPO1688" s="2477"/>
      <c r="WPP1688" s="2477"/>
      <c r="WPQ1688" s="2477"/>
      <c r="WPR1688" s="2477"/>
      <c r="WPS1688" s="2477"/>
      <c r="WPT1688" s="2477"/>
      <c r="WPU1688" s="2477"/>
      <c r="WPV1688" s="2477"/>
      <c r="WPW1688" s="2477"/>
      <c r="WPX1688" s="2477"/>
      <c r="WPY1688" s="2477"/>
      <c r="WPZ1688" s="2477"/>
      <c r="WQA1688" s="2477"/>
      <c r="WQB1688" s="2477"/>
      <c r="WQC1688" s="2477"/>
      <c r="WQD1688" s="2477"/>
      <c r="WQE1688" s="2477"/>
      <c r="WQF1688" s="2477"/>
      <c r="WQG1688" s="2477"/>
      <c r="WQH1688" s="2477"/>
      <c r="WQI1688" s="2477"/>
      <c r="WQJ1688" s="2477"/>
      <c r="WQK1688" s="2477"/>
      <c r="WQL1688" s="2477"/>
      <c r="WQM1688" s="2477"/>
      <c r="WQN1688" s="2477"/>
      <c r="WQO1688" s="2477"/>
      <c r="WQP1688" s="2477"/>
      <c r="WQQ1688" s="2477"/>
      <c r="WQR1688" s="2477"/>
      <c r="WQS1688" s="2477"/>
      <c r="WQT1688" s="2477"/>
      <c r="WQU1688" s="2477"/>
      <c r="WQV1688" s="2477"/>
      <c r="WQW1688" s="2477"/>
      <c r="WQX1688" s="2477"/>
      <c r="WQY1688" s="2477"/>
      <c r="WQZ1688" s="2477"/>
      <c r="WRA1688" s="2477"/>
      <c r="WRB1688" s="2477"/>
      <c r="WRC1688" s="2477"/>
      <c r="WRD1688" s="2477"/>
      <c r="WRE1688" s="2477"/>
      <c r="WRF1688" s="2477"/>
      <c r="WRG1688" s="2477"/>
      <c r="WRH1688" s="2477"/>
      <c r="WRI1688" s="2477"/>
      <c r="WRJ1688" s="2477"/>
      <c r="WRK1688" s="2477"/>
      <c r="WRL1688" s="2477"/>
      <c r="WRM1688" s="2477"/>
      <c r="WRN1688" s="2477"/>
      <c r="WRO1688" s="2477"/>
      <c r="WRP1688" s="2477"/>
      <c r="WRQ1688" s="2477"/>
      <c r="WRR1688" s="2477"/>
      <c r="WRS1688" s="2477"/>
      <c r="WRT1688" s="2477"/>
      <c r="WRU1688" s="2477"/>
      <c r="WRV1688" s="2477"/>
      <c r="WRW1688" s="2477"/>
      <c r="WRX1688" s="2477"/>
      <c r="WRY1688" s="2477"/>
      <c r="WRZ1688" s="2477"/>
      <c r="WSA1688" s="2477"/>
      <c r="WSB1688" s="2477"/>
      <c r="WSC1688" s="2477"/>
      <c r="WSD1688" s="2477"/>
      <c r="WSE1688" s="2477"/>
      <c r="WSF1688" s="2477"/>
      <c r="WSG1688" s="2477"/>
      <c r="WSH1688" s="2477"/>
      <c r="WSI1688" s="2477"/>
      <c r="WSJ1688" s="2477"/>
      <c r="WSK1688" s="2477"/>
      <c r="WSL1688" s="2477"/>
      <c r="WSM1688" s="2477"/>
      <c r="WSN1688" s="2477"/>
      <c r="WSO1688" s="2477"/>
      <c r="WSP1688" s="2477"/>
      <c r="WSQ1688" s="2477"/>
      <c r="WSR1688" s="2477"/>
      <c r="WSS1688" s="2477"/>
      <c r="WST1688" s="2477"/>
      <c r="WSU1688" s="2477"/>
      <c r="WSV1688" s="2477"/>
      <c r="WSW1688" s="2477"/>
      <c r="WSX1688" s="2477"/>
      <c r="WSY1688" s="2477"/>
      <c r="WSZ1688" s="2477"/>
      <c r="WTA1688" s="2477"/>
      <c r="WTB1688" s="2477"/>
      <c r="WTC1688" s="2477"/>
      <c r="WTD1688" s="2477"/>
      <c r="WTE1688" s="2477"/>
      <c r="WTF1688" s="2477"/>
      <c r="WTG1688" s="2477"/>
      <c r="WTH1688" s="2477"/>
      <c r="WTI1688" s="2477"/>
      <c r="WTJ1688" s="2477"/>
      <c r="WTK1688" s="2477"/>
      <c r="WTL1688" s="2477"/>
      <c r="WTM1688" s="2477"/>
      <c r="WTN1688" s="2477"/>
      <c r="WTO1688" s="2477"/>
      <c r="WTP1688" s="2477"/>
      <c r="WTQ1688" s="2477"/>
      <c r="WTR1688" s="2477"/>
      <c r="WTS1688" s="2477"/>
      <c r="WTT1688" s="2477"/>
      <c r="WTU1688" s="2477"/>
      <c r="WTV1688" s="2477"/>
      <c r="WTW1688" s="2477"/>
      <c r="WTX1688" s="2477"/>
      <c r="WTY1688" s="2477"/>
      <c r="WTZ1688" s="2477"/>
      <c r="WUA1688" s="2477"/>
      <c r="WUB1688" s="2477"/>
      <c r="WUC1688" s="2477"/>
      <c r="WUD1688" s="2477"/>
      <c r="WUE1688" s="2477"/>
      <c r="WUF1688" s="2477"/>
      <c r="WUG1688" s="2477"/>
      <c r="WUH1688" s="2477"/>
      <c r="WUI1688" s="2477"/>
      <c r="WUJ1688" s="2477"/>
      <c r="WUK1688" s="2477"/>
      <c r="WUL1688" s="2477"/>
      <c r="WUM1688" s="2477"/>
      <c r="WUN1688" s="2477"/>
      <c r="WUO1688" s="2477"/>
      <c r="WUP1688" s="2477"/>
      <c r="WUQ1688" s="2477"/>
      <c r="WUR1688" s="2477"/>
      <c r="WUS1688" s="2477"/>
      <c r="WUT1688" s="2477"/>
      <c r="WUU1688" s="2477"/>
      <c r="WUV1688" s="2477"/>
      <c r="WUW1688" s="2477"/>
      <c r="WUX1688" s="2477"/>
      <c r="WUY1688" s="2477"/>
      <c r="WUZ1688" s="2477"/>
      <c r="WVA1688" s="2477"/>
      <c r="WVB1688" s="2477"/>
      <c r="WVC1688" s="2477"/>
      <c r="WVD1688" s="2477"/>
      <c r="WVE1688" s="2477"/>
      <c r="WVF1688" s="2477"/>
      <c r="WVG1688" s="2477"/>
      <c r="WVH1688" s="2477"/>
      <c r="WVI1688" s="2477"/>
      <c r="WVJ1688" s="2477"/>
      <c r="WVK1688" s="2477"/>
      <c r="WVL1688" s="2477"/>
      <c r="WVM1688" s="2477"/>
      <c r="WVN1688" s="2477"/>
      <c r="WVO1688" s="2477"/>
      <c r="WVP1688" s="2477"/>
      <c r="WVQ1688" s="2477"/>
      <c r="WVR1688" s="2477"/>
      <c r="WVS1688" s="2477"/>
      <c r="WVT1688" s="2477"/>
      <c r="WVU1688" s="2477"/>
      <c r="WVV1688" s="2477"/>
      <c r="WVW1688" s="2477"/>
      <c r="WVX1688" s="2477"/>
      <c r="WVY1688" s="2477"/>
      <c r="WVZ1688" s="2477"/>
      <c r="WWA1688" s="2477"/>
      <c r="WWB1688" s="2477"/>
      <c r="WWC1688" s="2477"/>
      <c r="WWD1688" s="2477"/>
      <c r="WWE1688" s="2477"/>
      <c r="WWF1688" s="2477"/>
      <c r="WWG1688" s="2477"/>
      <c r="WWH1688" s="2477"/>
      <c r="WWI1688" s="2477"/>
      <c r="WWJ1688" s="2477"/>
      <c r="WWK1688" s="2477"/>
      <c r="WWL1688" s="2477"/>
      <c r="WWM1688" s="2477"/>
      <c r="WWN1688" s="2477"/>
      <c r="WWO1688" s="2477"/>
      <c r="WWP1688" s="2477"/>
      <c r="WWQ1688" s="2477"/>
      <c r="WWR1688" s="2477"/>
      <c r="WWS1688" s="2477"/>
      <c r="WWT1688" s="2477"/>
      <c r="WWU1688" s="2477"/>
      <c r="WWV1688" s="2477"/>
      <c r="WWW1688" s="2477"/>
      <c r="WWX1688" s="2477"/>
      <c r="WWY1688" s="2477"/>
      <c r="WWZ1688" s="2477"/>
      <c r="WXA1688" s="2477"/>
      <c r="WXB1688" s="2477"/>
      <c r="WXC1688" s="2477"/>
      <c r="WXD1688" s="2477"/>
      <c r="WXE1688" s="2477"/>
      <c r="WXF1688" s="2477"/>
      <c r="WXG1688" s="2477"/>
      <c r="WXH1688" s="2477"/>
      <c r="WXI1688" s="2477"/>
      <c r="WXJ1688" s="2477"/>
      <c r="WXK1688" s="2477"/>
      <c r="WXL1688" s="2477"/>
      <c r="WXM1688" s="2477"/>
      <c r="WXN1688" s="2477"/>
      <c r="WXO1688" s="2477"/>
      <c r="WXP1688" s="2477"/>
      <c r="WXQ1688" s="2477"/>
      <c r="WXR1688" s="2477"/>
      <c r="WXS1688" s="2477"/>
      <c r="WXT1688" s="2477"/>
      <c r="WXU1688" s="2477"/>
      <c r="WXV1688" s="2477"/>
      <c r="WXW1688" s="2477"/>
      <c r="WXX1688" s="2477"/>
      <c r="WXY1688" s="2477"/>
      <c r="WXZ1688" s="2477"/>
      <c r="WYA1688" s="2477"/>
      <c r="WYB1688" s="2477"/>
      <c r="WYC1688" s="2477"/>
      <c r="WYD1688" s="2477"/>
      <c r="WYE1688" s="2477"/>
      <c r="WYF1688" s="2477"/>
      <c r="WYG1688" s="2477"/>
      <c r="WYH1688" s="2477"/>
      <c r="WYI1688" s="2477"/>
      <c r="WYJ1688" s="2477"/>
      <c r="WYK1688" s="2477"/>
      <c r="WYL1688" s="2477"/>
      <c r="WYM1688" s="2477"/>
      <c r="WYN1688" s="2477"/>
      <c r="WYO1688" s="2477"/>
      <c r="WYP1688" s="2477"/>
      <c r="WYQ1688" s="2477"/>
      <c r="WYR1688" s="2477"/>
      <c r="WYS1688" s="2477"/>
      <c r="WYT1688" s="2477"/>
      <c r="WYU1688" s="2477"/>
      <c r="WYV1688" s="2477"/>
      <c r="WYW1688" s="2477"/>
      <c r="WYX1688" s="2477"/>
      <c r="WYY1688" s="2477"/>
      <c r="WYZ1688" s="2477"/>
      <c r="WZA1688" s="2477"/>
      <c r="WZB1688" s="2477"/>
      <c r="WZC1688" s="2477"/>
      <c r="WZD1688" s="2477"/>
      <c r="WZE1688" s="2477"/>
      <c r="WZF1688" s="2477"/>
      <c r="WZG1688" s="2477"/>
      <c r="WZH1688" s="2477"/>
      <c r="WZI1688" s="2477"/>
      <c r="WZJ1688" s="2477"/>
      <c r="WZK1688" s="2477"/>
      <c r="WZL1688" s="2477"/>
      <c r="WZM1688" s="2477"/>
      <c r="WZN1688" s="2477"/>
      <c r="WZO1688" s="2477"/>
      <c r="WZP1688" s="2477"/>
      <c r="WZQ1688" s="2477"/>
      <c r="WZR1688" s="2477"/>
      <c r="WZS1688" s="2477"/>
      <c r="WZT1688" s="2477"/>
      <c r="WZU1688" s="2477"/>
      <c r="WZV1688" s="2477"/>
      <c r="WZW1688" s="2477"/>
      <c r="WZX1688" s="2477"/>
      <c r="WZY1688" s="2477"/>
      <c r="WZZ1688" s="2477"/>
      <c r="XAA1688" s="2477"/>
      <c r="XAB1688" s="2477"/>
      <c r="XAC1688" s="2477"/>
      <c r="XAD1688" s="2477"/>
      <c r="XAE1688" s="2477"/>
      <c r="XAF1688" s="2477"/>
      <c r="XAG1688" s="2477"/>
      <c r="XAH1688" s="2477"/>
      <c r="XAI1688" s="2477"/>
      <c r="XAJ1688" s="2477"/>
      <c r="XAK1688" s="2477"/>
      <c r="XAL1688" s="2477"/>
      <c r="XAM1688" s="2477"/>
      <c r="XAN1688" s="2477"/>
      <c r="XAO1688" s="2477"/>
      <c r="XAP1688" s="2477"/>
      <c r="XAQ1688" s="2477"/>
      <c r="XAR1688" s="2477"/>
      <c r="XAS1688" s="2477"/>
      <c r="XAT1688" s="2477"/>
      <c r="XAU1688" s="2477"/>
      <c r="XAV1688" s="2477"/>
      <c r="XAW1688" s="2477"/>
      <c r="XAX1688" s="2477"/>
      <c r="XAY1688" s="2477"/>
      <c r="XAZ1688" s="2477"/>
      <c r="XBA1688" s="2477"/>
      <c r="XBB1688" s="2477"/>
      <c r="XBC1688" s="2477"/>
      <c r="XBD1688" s="2477"/>
      <c r="XBE1688" s="2477"/>
      <c r="XBF1688" s="2477"/>
      <c r="XBG1688" s="2477"/>
      <c r="XBH1688" s="2477"/>
      <c r="XBI1688" s="2477"/>
      <c r="XBJ1688" s="2477"/>
      <c r="XBK1688" s="2477"/>
      <c r="XBL1688" s="2477"/>
      <c r="XBM1688" s="2477"/>
      <c r="XBN1688" s="2477"/>
      <c r="XBO1688" s="2477"/>
      <c r="XBP1688" s="2477"/>
      <c r="XBQ1688" s="2477"/>
      <c r="XBR1688" s="2477"/>
      <c r="XBS1688" s="2477"/>
      <c r="XBT1688" s="2477"/>
      <c r="XBU1688" s="2477"/>
      <c r="XBV1688" s="2477"/>
      <c r="XBW1688" s="2477"/>
      <c r="XBX1688" s="2477"/>
      <c r="XBY1688" s="2477"/>
      <c r="XBZ1688" s="2477"/>
      <c r="XCA1688" s="2477"/>
      <c r="XCB1688" s="2477"/>
      <c r="XCC1688" s="2477"/>
      <c r="XCD1688" s="2477"/>
      <c r="XCE1688" s="2477"/>
      <c r="XCF1688" s="2477"/>
      <c r="XCG1688" s="2477"/>
      <c r="XCH1688" s="2477"/>
      <c r="XCI1688" s="2477"/>
      <c r="XCJ1688" s="2477"/>
      <c r="XCK1688" s="2477"/>
      <c r="XCL1688" s="2477"/>
      <c r="XCM1688" s="2477"/>
      <c r="XCN1688" s="2477"/>
      <c r="XCO1688" s="2477"/>
      <c r="XCP1688" s="2477"/>
      <c r="XCQ1688" s="2477"/>
      <c r="XCR1688" s="2477"/>
      <c r="XCS1688" s="2477"/>
      <c r="XCT1688" s="2477"/>
      <c r="XCU1688" s="2477"/>
      <c r="XCV1688" s="2477"/>
      <c r="XCW1688" s="2477"/>
      <c r="XCX1688" s="2477"/>
      <c r="XCY1688" s="2477"/>
      <c r="XCZ1688" s="2477"/>
      <c r="XDA1688" s="2477"/>
      <c r="XDB1688" s="2477"/>
      <c r="XDC1688" s="2477"/>
      <c r="XDD1688" s="2477"/>
      <c r="XDE1688" s="2477"/>
      <c r="XDF1688" s="2477"/>
      <c r="XDG1688" s="2477"/>
      <c r="XDH1688" s="2477"/>
      <c r="XDI1688" s="2477"/>
      <c r="XDJ1688" s="2477"/>
      <c r="XDK1688" s="2477"/>
      <c r="XDL1688" s="2477"/>
      <c r="XDM1688" s="2477"/>
      <c r="XDN1688" s="2477"/>
      <c r="XDO1688" s="2477"/>
      <c r="XDP1688" s="2477"/>
      <c r="XDQ1688" s="2477"/>
      <c r="XDR1688" s="2477"/>
      <c r="XDS1688" s="2477"/>
      <c r="XDT1688" s="2477"/>
      <c r="XDU1688" s="2477"/>
      <c r="XDV1688" s="2477"/>
      <c r="XDW1688" s="2477"/>
      <c r="XDX1688" s="2477"/>
      <c r="XDY1688" s="2477"/>
      <c r="XDZ1688" s="2477"/>
      <c r="XEA1688" s="2477"/>
      <c r="XEB1688" s="2477"/>
      <c r="XEC1688" s="2477"/>
      <c r="XED1688" s="2477"/>
      <c r="XEE1688" s="2477"/>
      <c r="XEF1688" s="2477"/>
      <c r="XEG1688" s="2477"/>
      <c r="XEH1688" s="2477"/>
      <c r="XEI1688" s="2477"/>
      <c r="XEJ1688" s="2477"/>
      <c r="XEK1688" s="2477"/>
      <c r="XEL1688" s="2477"/>
      <c r="XEM1688" s="2477"/>
      <c r="XEN1688" s="2477"/>
      <c r="XEO1688" s="2477"/>
      <c r="XEP1688" s="2477"/>
      <c r="XEQ1688" s="2477"/>
      <c r="XER1688" s="2477"/>
      <c r="XES1688" s="2477"/>
      <c r="XET1688" s="2477"/>
      <c r="XEU1688" s="2477"/>
      <c r="XEV1688" s="2477"/>
      <c r="XEW1688" s="2477"/>
      <c r="XEX1688" s="2477"/>
      <c r="XEY1688" s="2477"/>
      <c r="XEZ1688" s="2477"/>
      <c r="XFA1688" s="2477"/>
      <c r="XFB1688" s="2477"/>
    </row>
    <row r="1689" spans="1:16382" s="2105" customFormat="1" ht="14.4" outlineLevel="1">
      <c r="A1689" s="2182" t="str">
        <f>A1688</f>
        <v/>
      </c>
      <c r="B1689" s="2261"/>
      <c r="C1689" s="2258"/>
      <c r="D1689" s="2259"/>
      <c r="E1689" s="2267" t="s">
        <v>6133</v>
      </c>
      <c r="F1689" s="2268"/>
      <c r="G1689" s="2269"/>
      <c r="H1689" s="2264"/>
      <c r="I1689" s="2264"/>
      <c r="J1689" s="2359"/>
      <c r="K1689" s="2264"/>
      <c r="L1689" s="2264">
        <f t="shared" si="314"/>
        <v>0</v>
      </c>
      <c r="M1689" s="2264">
        <f>I1689*G1689</f>
        <v>0</v>
      </c>
      <c r="N1689" s="2359">
        <f t="shared" si="321"/>
        <v>0</v>
      </c>
      <c r="O1689" s="2264">
        <f>K1689*G1689</f>
        <v>0</v>
      </c>
      <c r="P1689" s="2389"/>
      <c r="Q1689" s="2266"/>
      <c r="R1689" s="2266"/>
      <c r="S1689" s="2266"/>
    </row>
    <row r="1690" spans="1:16382" s="2105" customFormat="1" outlineLevel="1">
      <c r="A1690" s="2182" t="str">
        <f t="shared" ref="A1690:A1696" si="322">IF(G1690&lt;&gt;0,1,"")</f>
        <v/>
      </c>
      <c r="B1690" s="2261" t="s">
        <v>6238</v>
      </c>
      <c r="C1690" s="2258"/>
      <c r="D1690" s="2152">
        <v>0</v>
      </c>
      <c r="E1690" s="2194" t="s">
        <v>5239</v>
      </c>
      <c r="F1690" s="2152" t="s">
        <v>5174</v>
      </c>
      <c r="G1690" s="2450">
        <f>G1688</f>
        <v>0</v>
      </c>
      <c r="H1690" s="2264">
        <v>680540.50480000011</v>
      </c>
      <c r="I1690" s="2264"/>
      <c r="J1690" s="2359">
        <v>0</v>
      </c>
      <c r="K1690" s="2264"/>
      <c r="L1690" s="2264">
        <f t="shared" si="314"/>
        <v>0</v>
      </c>
      <c r="M1690" s="2264"/>
      <c r="N1690" s="2359">
        <f t="shared" si="321"/>
        <v>0</v>
      </c>
      <c r="O1690" s="2264"/>
      <c r="P1690" s="2389"/>
      <c r="Q1690" s="2266"/>
      <c r="R1690" s="2266"/>
      <c r="S1690" s="2266"/>
    </row>
    <row r="1691" spans="1:16382" s="2105" customFormat="1" outlineLevel="1">
      <c r="A1691" s="2182" t="str">
        <f t="shared" si="322"/>
        <v/>
      </c>
      <c r="B1691" s="2473" t="s">
        <v>5228</v>
      </c>
      <c r="C1691" s="2258"/>
      <c r="D1691" s="2152">
        <v>0</v>
      </c>
      <c r="E1691" s="2194" t="s">
        <v>6359</v>
      </c>
      <c r="F1691" s="2152" t="s">
        <v>5174</v>
      </c>
      <c r="G1691" s="2450">
        <f>G1690</f>
        <v>0</v>
      </c>
      <c r="H1691" s="2264">
        <v>86065.309080000006</v>
      </c>
      <c r="I1691" s="2264"/>
      <c r="J1691" s="2359">
        <v>0</v>
      </c>
      <c r="K1691" s="2264"/>
      <c r="L1691" s="2264">
        <f t="shared" si="314"/>
        <v>0</v>
      </c>
      <c r="M1691" s="2264"/>
      <c r="N1691" s="2359">
        <f t="shared" si="321"/>
        <v>0</v>
      </c>
      <c r="O1691" s="2264"/>
      <c r="P1691" s="2389"/>
      <c r="Q1691" s="2266"/>
      <c r="R1691" s="2266"/>
      <c r="S1691" s="2266"/>
    </row>
    <row r="1692" spans="1:16382" s="2105" customFormat="1" outlineLevel="1">
      <c r="A1692" s="2182" t="str">
        <f t="shared" si="322"/>
        <v/>
      </c>
      <c r="B1692" s="2261" t="s">
        <v>1079</v>
      </c>
      <c r="C1692" s="2258"/>
      <c r="D1692" s="2152">
        <v>0</v>
      </c>
      <c r="E1692" s="2194" t="s">
        <v>2651</v>
      </c>
      <c r="F1692" s="2152" t="s">
        <v>2439</v>
      </c>
      <c r="G1692" s="2450">
        <f>G1688*2</f>
        <v>0</v>
      </c>
      <c r="H1692" s="2264">
        <v>27900</v>
      </c>
      <c r="I1692" s="2264">
        <v>0</v>
      </c>
      <c r="J1692" s="2359">
        <v>0</v>
      </c>
      <c r="K1692" s="2264"/>
      <c r="L1692" s="2264">
        <f t="shared" si="314"/>
        <v>0</v>
      </c>
      <c r="M1692" s="2264"/>
      <c r="N1692" s="2359">
        <f t="shared" si="321"/>
        <v>0</v>
      </c>
      <c r="O1692" s="2264"/>
      <c r="P1692" s="2389"/>
      <c r="Q1692" s="2266"/>
      <c r="R1692" s="2266"/>
      <c r="S1692" s="2266"/>
    </row>
    <row r="1693" spans="1:16382" s="2105" customFormat="1" outlineLevel="1">
      <c r="A1693" s="2182" t="str">
        <f t="shared" si="322"/>
        <v/>
      </c>
      <c r="B1693" s="2261" t="s">
        <v>1786</v>
      </c>
      <c r="C1693" s="2258"/>
      <c r="D1693" s="2152">
        <v>0</v>
      </c>
      <c r="E1693" s="2194" t="s">
        <v>2639</v>
      </c>
      <c r="F1693" s="2152" t="s">
        <v>2439</v>
      </c>
      <c r="G1693" s="2450">
        <f>G1688*2</f>
        <v>0</v>
      </c>
      <c r="H1693" s="2264">
        <v>12400</v>
      </c>
      <c r="I1693" s="2264">
        <v>0</v>
      </c>
      <c r="J1693" s="2359">
        <v>0</v>
      </c>
      <c r="K1693" s="2264"/>
      <c r="L1693" s="2264">
        <f t="shared" si="314"/>
        <v>0</v>
      </c>
      <c r="M1693" s="2264"/>
      <c r="N1693" s="2359">
        <f t="shared" si="321"/>
        <v>0</v>
      </c>
      <c r="O1693" s="2264"/>
      <c r="P1693" s="2389"/>
      <c r="Q1693" s="2266"/>
      <c r="R1693" s="2266"/>
      <c r="S1693" s="2266"/>
    </row>
    <row r="1694" spans="1:16382" s="2105" customFormat="1" outlineLevel="1">
      <c r="A1694" s="2182" t="str">
        <f t="shared" si="322"/>
        <v/>
      </c>
      <c r="B1694" s="2261" t="s">
        <v>1735</v>
      </c>
      <c r="C1694" s="2258"/>
      <c r="D1694" s="2152">
        <v>0</v>
      </c>
      <c r="E1694" s="2194" t="s">
        <v>2691</v>
      </c>
      <c r="F1694" s="2152" t="s">
        <v>2385</v>
      </c>
      <c r="G1694" s="2450"/>
      <c r="H1694" s="2264">
        <v>34000</v>
      </c>
      <c r="I1694" s="2264">
        <v>0</v>
      </c>
      <c r="J1694" s="2359">
        <v>0</v>
      </c>
      <c r="K1694" s="2264"/>
      <c r="L1694" s="2264">
        <f t="shared" si="314"/>
        <v>0</v>
      </c>
      <c r="M1694" s="2264"/>
      <c r="N1694" s="2359">
        <f t="shared" si="321"/>
        <v>0</v>
      </c>
      <c r="O1694" s="2264"/>
      <c r="P1694" s="2389"/>
      <c r="Q1694" s="2266"/>
      <c r="R1694" s="2266"/>
      <c r="S1694" s="2266"/>
    </row>
    <row r="1695" spans="1:16382" s="2105" customFormat="1" outlineLevel="1">
      <c r="A1695" s="2182" t="str">
        <f t="shared" si="322"/>
        <v/>
      </c>
      <c r="B1695" s="2261" t="s">
        <v>988</v>
      </c>
      <c r="C1695" s="2258"/>
      <c r="D1695" s="2152">
        <v>0</v>
      </c>
      <c r="E1695" s="2194" t="s">
        <v>5270</v>
      </c>
      <c r="F1695" s="2152" t="s">
        <v>2439</v>
      </c>
      <c r="G1695" s="2450"/>
      <c r="H1695" s="2264">
        <v>178900</v>
      </c>
      <c r="I1695" s="2264">
        <v>0</v>
      </c>
      <c r="J1695" s="2359">
        <v>0</v>
      </c>
      <c r="K1695" s="2264"/>
      <c r="L1695" s="2264">
        <f t="shared" si="314"/>
        <v>0</v>
      </c>
      <c r="M1695" s="2264"/>
      <c r="N1695" s="2359">
        <f t="shared" si="321"/>
        <v>0</v>
      </c>
      <c r="O1695" s="2264"/>
      <c r="P1695" s="2389"/>
      <c r="Q1695" s="2266"/>
      <c r="R1695" s="2266"/>
      <c r="S1695" s="2266"/>
    </row>
    <row r="1696" spans="1:16382" s="2105" customFormat="1" outlineLevel="1">
      <c r="A1696" s="2182" t="str">
        <f t="shared" si="322"/>
        <v/>
      </c>
      <c r="B1696" s="2261" t="s">
        <v>1440</v>
      </c>
      <c r="C1696" s="2258"/>
      <c r="D1696" s="2152" t="s">
        <v>5421</v>
      </c>
      <c r="E1696" s="2194" t="s">
        <v>5422</v>
      </c>
      <c r="F1696" s="2152" t="s">
        <v>2439</v>
      </c>
      <c r="G1696" s="2450">
        <f>G1688</f>
        <v>0</v>
      </c>
      <c r="H1696" s="2264">
        <v>0</v>
      </c>
      <c r="I1696" s="2264"/>
      <c r="J1696" s="2359">
        <v>296544.75</v>
      </c>
      <c r="K1696" s="2264"/>
      <c r="L1696" s="2264">
        <f t="shared" si="314"/>
        <v>0</v>
      </c>
      <c r="M1696" s="2264"/>
      <c r="N1696" s="2359">
        <f t="shared" si="321"/>
        <v>0</v>
      </c>
      <c r="O1696" s="2264"/>
      <c r="P1696" s="2389"/>
      <c r="Q1696" s="2266"/>
      <c r="R1696" s="2266"/>
      <c r="S1696" s="2266"/>
    </row>
    <row r="1697" spans="1:19" s="2105" customFormat="1" outlineLevel="1">
      <c r="A1697" s="2182" t="str">
        <f>IF(G1697&lt;&gt;0,1,"")</f>
        <v/>
      </c>
      <c r="B1697" s="2261"/>
      <c r="C1697" s="2463">
        <f>IF(G1697&gt;0,C1688+1,C1688)</f>
        <v>0</v>
      </c>
      <c r="D1697" s="2464"/>
      <c r="E1697" s="2465" t="s">
        <v>6240</v>
      </c>
      <c r="F1697" s="2466" t="s">
        <v>2385</v>
      </c>
      <c r="G1697" s="2467"/>
      <c r="H1697" s="2468"/>
      <c r="I1697" s="2469"/>
      <c r="J1697" s="2470"/>
      <c r="K1697" s="2470"/>
      <c r="L1697" s="2471">
        <f t="shared" si="314"/>
        <v>0</v>
      </c>
      <c r="M1697" s="2472">
        <f t="shared" ref="M1697:M1709" si="323">I1697*G1697</f>
        <v>0</v>
      </c>
      <c r="N1697" s="2471">
        <f t="shared" ref="N1697:N1709" si="324">J1697*G1697</f>
        <v>0</v>
      </c>
      <c r="O1697" s="2463">
        <f t="shared" ref="O1697:O1709" si="325">K1697*G1697</f>
        <v>0</v>
      </c>
      <c r="P1697" s="2464"/>
      <c r="Q1697" s="2266"/>
      <c r="R1697" s="2266"/>
      <c r="S1697" s="2266"/>
    </row>
    <row r="1698" spans="1:19" s="2105" customFormat="1" ht="14.4" outlineLevel="1">
      <c r="A1698" s="2182" t="str">
        <f>A1697</f>
        <v/>
      </c>
      <c r="B1698" s="2261"/>
      <c r="C1698" s="2258"/>
      <c r="D1698" s="2259"/>
      <c r="E1698" s="2267" t="s">
        <v>6133</v>
      </c>
      <c r="F1698" s="2268"/>
      <c r="G1698" s="2450"/>
      <c r="H1698" s="2416"/>
      <c r="I1698" s="2416"/>
      <c r="J1698" s="2416"/>
      <c r="K1698" s="2416"/>
      <c r="L1698" s="2360">
        <f t="shared" si="314"/>
        <v>0</v>
      </c>
      <c r="M1698" s="2360">
        <f t="shared" si="323"/>
        <v>0</v>
      </c>
      <c r="N1698" s="2360">
        <f t="shared" si="324"/>
        <v>0</v>
      </c>
      <c r="O1698" s="2360">
        <f t="shared" si="325"/>
        <v>0</v>
      </c>
      <c r="P1698" s="2449"/>
      <c r="Q1698" s="2266"/>
      <c r="R1698" s="2266"/>
      <c r="S1698" s="2266"/>
    </row>
    <row r="1699" spans="1:19" s="2105" customFormat="1" outlineLevel="1">
      <c r="A1699" s="2182" t="str">
        <f t="shared" ref="A1699:A1705" si="326">IF(G1699&lt;&gt;0,1,"")</f>
        <v/>
      </c>
      <c r="B1699" s="2473" t="s">
        <v>5236</v>
      </c>
      <c r="C1699" s="2258"/>
      <c r="D1699" s="2152">
        <v>0</v>
      </c>
      <c r="E1699" s="2194" t="s">
        <v>5237</v>
      </c>
      <c r="F1699" s="2152" t="s">
        <v>5174</v>
      </c>
      <c r="G1699" s="2450">
        <f>G1697</f>
        <v>0</v>
      </c>
      <c r="H1699" s="2264">
        <v>630129.26240000001</v>
      </c>
      <c r="I1699" s="2359"/>
      <c r="J1699" s="2359">
        <v>0</v>
      </c>
      <c r="K1699" s="2359">
        <v>0</v>
      </c>
      <c r="L1699" s="2360">
        <f t="shared" si="314"/>
        <v>0</v>
      </c>
      <c r="M1699" s="2360">
        <f t="shared" si="323"/>
        <v>0</v>
      </c>
      <c r="N1699" s="2360">
        <f t="shared" si="324"/>
        <v>0</v>
      </c>
      <c r="O1699" s="2360">
        <f t="shared" si="325"/>
        <v>0</v>
      </c>
      <c r="P1699" s="2449"/>
      <c r="Q1699" s="2266"/>
      <c r="R1699" s="2266"/>
      <c r="S1699" s="2266"/>
    </row>
    <row r="1700" spans="1:19" s="2105" customFormat="1" outlineLevel="1">
      <c r="A1700" s="2182" t="str">
        <f t="shared" si="326"/>
        <v/>
      </c>
      <c r="B1700" s="2473" t="s">
        <v>5228</v>
      </c>
      <c r="C1700" s="2258"/>
      <c r="D1700" s="2152">
        <v>0</v>
      </c>
      <c r="E1700" s="2194" t="s">
        <v>5229</v>
      </c>
      <c r="F1700" s="2152" t="s">
        <v>5174</v>
      </c>
      <c r="G1700" s="2450">
        <f>G1697*2</f>
        <v>0</v>
      </c>
      <c r="H1700" s="2264">
        <v>86065.309080000006</v>
      </c>
      <c r="I1700" s="2359"/>
      <c r="J1700" s="2359">
        <v>0</v>
      </c>
      <c r="K1700" s="2359">
        <v>0</v>
      </c>
      <c r="L1700" s="2360">
        <f t="shared" si="314"/>
        <v>0</v>
      </c>
      <c r="M1700" s="2360">
        <f t="shared" si="323"/>
        <v>0</v>
      </c>
      <c r="N1700" s="2360">
        <f t="shared" si="324"/>
        <v>0</v>
      </c>
      <c r="O1700" s="2360">
        <f t="shared" si="325"/>
        <v>0</v>
      </c>
      <c r="P1700" s="2449"/>
      <c r="Q1700" s="2266"/>
      <c r="R1700" s="2266"/>
      <c r="S1700" s="2266"/>
    </row>
    <row r="1701" spans="1:19" s="2105" customFormat="1" outlineLevel="1">
      <c r="A1701" s="2182" t="str">
        <f t="shared" si="326"/>
        <v/>
      </c>
      <c r="B1701" s="2473" t="s">
        <v>1610</v>
      </c>
      <c r="C1701" s="2258"/>
      <c r="D1701" s="2152">
        <v>0</v>
      </c>
      <c r="E1701" s="2194" t="s">
        <v>2649</v>
      </c>
      <c r="F1701" s="2152" t="s">
        <v>2439</v>
      </c>
      <c r="G1701" s="2450">
        <f>G1697*2</f>
        <v>0</v>
      </c>
      <c r="H1701" s="2264">
        <v>25400</v>
      </c>
      <c r="I1701" s="2359"/>
      <c r="J1701" s="2359">
        <v>0</v>
      </c>
      <c r="K1701" s="2359">
        <v>0</v>
      </c>
      <c r="L1701" s="2360">
        <f t="shared" si="314"/>
        <v>0</v>
      </c>
      <c r="M1701" s="2360">
        <f t="shared" si="323"/>
        <v>0</v>
      </c>
      <c r="N1701" s="2360">
        <f t="shared" si="324"/>
        <v>0</v>
      </c>
      <c r="O1701" s="2360">
        <f t="shared" si="325"/>
        <v>0</v>
      </c>
      <c r="P1701" s="2449"/>
      <c r="Q1701" s="2266"/>
      <c r="R1701" s="2266"/>
      <c r="S1701" s="2266"/>
    </row>
    <row r="1702" spans="1:19" s="2105" customFormat="1" outlineLevel="1">
      <c r="A1702" s="2182" t="str">
        <f t="shared" si="326"/>
        <v/>
      </c>
      <c r="B1702" s="2473" t="s">
        <v>1292</v>
      </c>
      <c r="C1702" s="2258"/>
      <c r="D1702" s="2152">
        <v>0</v>
      </c>
      <c r="E1702" s="2194" t="s">
        <v>2659</v>
      </c>
      <c r="F1702" s="2152" t="s">
        <v>2439</v>
      </c>
      <c r="G1702" s="2450"/>
      <c r="H1702" s="2264">
        <v>29800</v>
      </c>
      <c r="I1702" s="2359"/>
      <c r="J1702" s="2359">
        <v>0</v>
      </c>
      <c r="K1702" s="2359">
        <v>0</v>
      </c>
      <c r="L1702" s="2360">
        <f t="shared" si="314"/>
        <v>0</v>
      </c>
      <c r="M1702" s="2360">
        <f t="shared" si="323"/>
        <v>0</v>
      </c>
      <c r="N1702" s="2360">
        <f t="shared" si="324"/>
        <v>0</v>
      </c>
      <c r="O1702" s="2360">
        <f t="shared" si="325"/>
        <v>0</v>
      </c>
      <c r="P1702" s="2449"/>
      <c r="Q1702" s="2266"/>
      <c r="R1702" s="2266"/>
      <c r="S1702" s="2266"/>
    </row>
    <row r="1703" spans="1:19" s="2105" customFormat="1" outlineLevel="1">
      <c r="A1703" s="2182" t="str">
        <f t="shared" si="326"/>
        <v/>
      </c>
      <c r="B1703" s="2473" t="s">
        <v>1786</v>
      </c>
      <c r="C1703" s="2258"/>
      <c r="D1703" s="2152">
        <v>0</v>
      </c>
      <c r="E1703" s="2194" t="s">
        <v>2639</v>
      </c>
      <c r="F1703" s="2152" t="s">
        <v>2439</v>
      </c>
      <c r="G1703" s="2450">
        <f>G1697*2</f>
        <v>0</v>
      </c>
      <c r="H1703" s="2264">
        <v>12400</v>
      </c>
      <c r="I1703" s="2359"/>
      <c r="J1703" s="2359">
        <v>0</v>
      </c>
      <c r="K1703" s="2359">
        <v>0</v>
      </c>
      <c r="L1703" s="2360">
        <f t="shared" si="314"/>
        <v>0</v>
      </c>
      <c r="M1703" s="2360">
        <f t="shared" si="323"/>
        <v>0</v>
      </c>
      <c r="N1703" s="2360">
        <f t="shared" si="324"/>
        <v>0</v>
      </c>
      <c r="O1703" s="2360">
        <f t="shared" si="325"/>
        <v>0</v>
      </c>
      <c r="P1703" s="2449"/>
      <c r="Q1703" s="2266"/>
      <c r="R1703" s="2266"/>
      <c r="S1703" s="2266"/>
    </row>
    <row r="1704" spans="1:19" s="2105" customFormat="1" outlineLevel="1">
      <c r="A1704" s="2182" t="str">
        <f t="shared" si="326"/>
        <v/>
      </c>
      <c r="B1704" s="2473" t="s">
        <v>5407</v>
      </c>
      <c r="C1704" s="2258"/>
      <c r="D1704" s="2152" t="s">
        <v>5399</v>
      </c>
      <c r="E1704" s="2194" t="s">
        <v>5408</v>
      </c>
      <c r="F1704" s="2152" t="s">
        <v>2439</v>
      </c>
      <c r="G1704" s="2450">
        <f>G1697</f>
        <v>0</v>
      </c>
      <c r="H1704" s="2264">
        <v>0</v>
      </c>
      <c r="I1704" s="2359"/>
      <c r="J1704" s="2359">
        <v>184878</v>
      </c>
      <c r="K1704" s="2359">
        <v>0</v>
      </c>
      <c r="L1704" s="2360">
        <f t="shared" si="314"/>
        <v>0</v>
      </c>
      <c r="M1704" s="2360">
        <f t="shared" si="323"/>
        <v>0</v>
      </c>
      <c r="N1704" s="2360">
        <f t="shared" si="324"/>
        <v>0</v>
      </c>
      <c r="O1704" s="2360">
        <f t="shared" si="325"/>
        <v>0</v>
      </c>
      <c r="P1704" s="2449"/>
      <c r="Q1704" s="2266"/>
      <c r="R1704" s="2266"/>
      <c r="S1704" s="2266"/>
    </row>
    <row r="1705" spans="1:19" s="2105" customFormat="1" outlineLevel="1">
      <c r="A1705" s="2182" t="str">
        <f t="shared" si="326"/>
        <v/>
      </c>
      <c r="B1705" s="2261"/>
      <c r="C1705" s="2258">
        <f>IF(G1705&gt;0,C1697+1,C1697)</f>
        <v>0</v>
      </c>
      <c r="D1705" s="2259"/>
      <c r="E1705" s="2417" t="s">
        <v>6219</v>
      </c>
      <c r="F1705" s="2258" t="s">
        <v>2385</v>
      </c>
      <c r="G1705" s="2451"/>
      <c r="H1705" s="2416"/>
      <c r="I1705" s="2416"/>
      <c r="J1705" s="2416"/>
      <c r="K1705" s="2416"/>
      <c r="L1705" s="2360">
        <f t="shared" si="314"/>
        <v>0</v>
      </c>
      <c r="M1705" s="2360">
        <f t="shared" si="323"/>
        <v>0</v>
      </c>
      <c r="N1705" s="2360">
        <f t="shared" si="324"/>
        <v>0</v>
      </c>
      <c r="O1705" s="2360">
        <f t="shared" si="325"/>
        <v>0</v>
      </c>
      <c r="P1705" s="2449"/>
      <c r="Q1705" s="2266"/>
      <c r="R1705" s="2266"/>
      <c r="S1705" s="2266"/>
    </row>
    <row r="1706" spans="1:19" s="2105" customFormat="1" ht="14.4" outlineLevel="1">
      <c r="A1706" s="2182" t="str">
        <f>A1705</f>
        <v/>
      </c>
      <c r="B1706" s="2261"/>
      <c r="C1706" s="2258"/>
      <c r="D1706" s="2259"/>
      <c r="E1706" s="2267" t="s">
        <v>6133</v>
      </c>
      <c r="F1706" s="2268"/>
      <c r="G1706" s="2450"/>
      <c r="H1706" s="2416"/>
      <c r="I1706" s="2416"/>
      <c r="J1706" s="2416"/>
      <c r="K1706" s="2416"/>
      <c r="L1706" s="2360">
        <f t="shared" si="314"/>
        <v>0</v>
      </c>
      <c r="M1706" s="2360">
        <f t="shared" si="323"/>
        <v>0</v>
      </c>
      <c r="N1706" s="2360">
        <f t="shared" si="324"/>
        <v>0</v>
      </c>
      <c r="O1706" s="2360">
        <f t="shared" si="325"/>
        <v>0</v>
      </c>
      <c r="P1706" s="2449"/>
      <c r="Q1706" s="2266"/>
      <c r="R1706" s="2266"/>
      <c r="S1706" s="2266"/>
    </row>
    <row r="1707" spans="1:19" s="2105" customFormat="1" outlineLevel="1">
      <c r="A1707" s="2182" t="str">
        <f>IF(G1707&lt;&gt;0,1,"")</f>
        <v/>
      </c>
      <c r="B1707" s="2133" t="s">
        <v>5155</v>
      </c>
      <c r="C1707" s="2258"/>
      <c r="D1707" s="2152">
        <v>0</v>
      </c>
      <c r="E1707" s="2194" t="s">
        <v>5156</v>
      </c>
      <c r="F1707" s="2152" t="s">
        <v>2590</v>
      </c>
      <c r="G1707" s="2450">
        <f>+G1705*1</f>
        <v>0</v>
      </c>
      <c r="H1707" s="2359">
        <v>878000</v>
      </c>
      <c r="I1707" s="2359"/>
      <c r="J1707" s="2359">
        <v>0</v>
      </c>
      <c r="K1707" s="2359">
        <v>0</v>
      </c>
      <c r="L1707" s="2360">
        <f t="shared" si="314"/>
        <v>0</v>
      </c>
      <c r="M1707" s="2360">
        <f t="shared" si="323"/>
        <v>0</v>
      </c>
      <c r="N1707" s="2360">
        <f t="shared" si="324"/>
        <v>0</v>
      </c>
      <c r="O1707" s="2360">
        <f t="shared" si="325"/>
        <v>0</v>
      </c>
      <c r="P1707" s="2449"/>
      <c r="Q1707" s="2266"/>
      <c r="R1707" s="2266"/>
      <c r="S1707" s="2266"/>
    </row>
    <row r="1708" spans="1:19" s="2105" customFormat="1" outlineLevel="1">
      <c r="A1708" s="2182" t="str">
        <f>IF(G1708&lt;&gt;0,1,"")</f>
        <v/>
      </c>
      <c r="B1708" s="2130" t="s">
        <v>488</v>
      </c>
      <c r="C1708" s="2258"/>
      <c r="D1708" s="2152">
        <v>0</v>
      </c>
      <c r="E1708" s="2194" t="s">
        <v>5078</v>
      </c>
      <c r="F1708" s="2152" t="s">
        <v>2439</v>
      </c>
      <c r="G1708" s="2450">
        <f>+G1705*3</f>
        <v>0</v>
      </c>
      <c r="H1708" s="2359">
        <v>65000</v>
      </c>
      <c r="I1708" s="2359">
        <v>0</v>
      </c>
      <c r="J1708" s="2359">
        <v>0</v>
      </c>
      <c r="K1708" s="2359">
        <v>0</v>
      </c>
      <c r="L1708" s="2360">
        <f t="shared" si="314"/>
        <v>0</v>
      </c>
      <c r="M1708" s="2360">
        <f t="shared" si="323"/>
        <v>0</v>
      </c>
      <c r="N1708" s="2360">
        <f t="shared" si="324"/>
        <v>0</v>
      </c>
      <c r="O1708" s="2360">
        <f t="shared" si="325"/>
        <v>0</v>
      </c>
      <c r="P1708" s="2449"/>
      <c r="Q1708" s="2266"/>
      <c r="R1708" s="2266"/>
      <c r="S1708" s="2266"/>
    </row>
    <row r="1709" spans="1:19" s="2105" customFormat="1" outlineLevel="1">
      <c r="A1709" s="2182" t="str">
        <f>IF(G1709&lt;&gt;0,1,"")</f>
        <v/>
      </c>
      <c r="B1709" s="2261" t="s">
        <v>1079</v>
      </c>
      <c r="C1709" s="2258"/>
      <c r="D1709" s="2152">
        <v>0</v>
      </c>
      <c r="E1709" s="2194" t="s">
        <v>2651</v>
      </c>
      <c r="F1709" s="2152" t="s">
        <v>2439</v>
      </c>
      <c r="G1709" s="2450">
        <f>+G1705*2</f>
        <v>0</v>
      </c>
      <c r="H1709" s="2359">
        <v>27900</v>
      </c>
      <c r="I1709" s="2416"/>
      <c r="J1709" s="2359">
        <v>0</v>
      </c>
      <c r="K1709" s="2359">
        <v>0</v>
      </c>
      <c r="L1709" s="2360">
        <f t="shared" si="314"/>
        <v>0</v>
      </c>
      <c r="M1709" s="2360">
        <f t="shared" si="323"/>
        <v>0</v>
      </c>
      <c r="N1709" s="2360">
        <f t="shared" si="324"/>
        <v>0</v>
      </c>
      <c r="O1709" s="2360">
        <f t="shared" si="325"/>
        <v>0</v>
      </c>
      <c r="P1709" s="2449"/>
      <c r="Q1709" s="2266"/>
      <c r="R1709" s="2266"/>
      <c r="S1709" s="2266"/>
    </row>
    <row r="1710" spans="1:19" s="2105" customFormat="1" outlineLevel="1">
      <c r="A1710" s="2182" t="str">
        <f>IF(G1710&lt;&gt;0,1,"")</f>
        <v/>
      </c>
      <c r="B1710" s="2121" t="s">
        <v>6241</v>
      </c>
      <c r="C1710" s="2258"/>
      <c r="D1710" s="2152" t="s">
        <v>5148</v>
      </c>
      <c r="E1710" s="2194" t="s">
        <v>5377</v>
      </c>
      <c r="F1710" s="2152" t="s">
        <v>2439</v>
      </c>
      <c r="G1710" s="2450">
        <f>+G1705</f>
        <v>0</v>
      </c>
      <c r="H1710" s="2264">
        <v>0</v>
      </c>
      <c r="I1710" s="2359"/>
      <c r="J1710" s="2359">
        <v>131511.15</v>
      </c>
      <c r="K1710" s="2359"/>
      <c r="L1710" s="2360">
        <f t="shared" si="314"/>
        <v>0</v>
      </c>
      <c r="M1710" s="2360"/>
      <c r="N1710" s="2359">
        <v>0</v>
      </c>
      <c r="O1710" s="2360"/>
      <c r="P1710" s="2449"/>
      <c r="Q1710" s="2266"/>
      <c r="R1710" s="2266"/>
      <c r="S1710" s="2266"/>
    </row>
    <row r="1711" spans="1:19" s="2105" customFormat="1" outlineLevel="1">
      <c r="A1711" s="2182" t="str">
        <f>IF(G1711&lt;&gt;0,1,"")</f>
        <v/>
      </c>
      <c r="B1711" s="2261"/>
      <c r="C1711" s="2258">
        <f>IF(G1711&gt;0,C1705+1,C1705)</f>
        <v>0</v>
      </c>
      <c r="D1711" s="2259"/>
      <c r="E1711" s="2417" t="s">
        <v>4452</v>
      </c>
      <c r="F1711" s="2258" t="s">
        <v>2385</v>
      </c>
      <c r="G1711" s="2451"/>
      <c r="H1711" s="2416"/>
      <c r="I1711" s="2416"/>
      <c r="J1711" s="2416"/>
      <c r="K1711" s="2416"/>
      <c r="L1711" s="2360">
        <f t="shared" si="314"/>
        <v>0</v>
      </c>
      <c r="M1711" s="2360">
        <f>I1711*G1711</f>
        <v>0</v>
      </c>
      <c r="N1711" s="2360">
        <f>J1711*G1711</f>
        <v>0</v>
      </c>
      <c r="O1711" s="2360">
        <f>K1711*G1711</f>
        <v>0</v>
      </c>
      <c r="P1711" s="2449"/>
      <c r="Q1711" s="2266"/>
      <c r="R1711" s="2266"/>
      <c r="S1711" s="2266"/>
    </row>
    <row r="1712" spans="1:19" s="2105" customFormat="1" ht="14.4" outlineLevel="1">
      <c r="A1712" s="2182" t="str">
        <f>A1711</f>
        <v/>
      </c>
      <c r="B1712" s="2261"/>
      <c r="C1712" s="2258"/>
      <c r="D1712" s="2259"/>
      <c r="E1712" s="2267" t="s">
        <v>6133</v>
      </c>
      <c r="F1712" s="2268"/>
      <c r="G1712" s="2450"/>
      <c r="H1712" s="2416"/>
      <c r="I1712" s="2416"/>
      <c r="J1712" s="2416"/>
      <c r="K1712" s="2416"/>
      <c r="L1712" s="2360">
        <f t="shared" si="314"/>
        <v>0</v>
      </c>
      <c r="M1712" s="2360">
        <f>I1712*G1712</f>
        <v>0</v>
      </c>
      <c r="N1712" s="2360">
        <f>J1712*G1712</f>
        <v>0</v>
      </c>
      <c r="O1712" s="2360">
        <f>K1712*G1712</f>
        <v>0</v>
      </c>
      <c r="P1712" s="2449"/>
      <c r="Q1712" s="2266"/>
      <c r="R1712" s="2266"/>
      <c r="S1712" s="2266"/>
    </row>
    <row r="1713" spans="1:19" s="2105" customFormat="1" outlineLevel="1">
      <c r="A1713" s="2182" t="str">
        <f>IF(G1713&lt;&gt;0,1,"")</f>
        <v/>
      </c>
      <c r="B1713" s="2252" t="s">
        <v>2022</v>
      </c>
      <c r="C1713" s="2258"/>
      <c r="D1713" s="2152">
        <v>0</v>
      </c>
      <c r="E1713" s="2194" t="s">
        <v>2437</v>
      </c>
      <c r="F1713" s="2152" t="s">
        <v>2248</v>
      </c>
      <c r="G1713" s="2450">
        <f>G1711*9.02*(2.6+3*0.07)</f>
        <v>0</v>
      </c>
      <c r="H1713" s="2264">
        <v>31625</v>
      </c>
      <c r="I1713" s="2359"/>
      <c r="J1713" s="2359">
        <v>0</v>
      </c>
      <c r="K1713" s="2359">
        <v>0</v>
      </c>
      <c r="L1713" s="2360">
        <f t="shared" si="314"/>
        <v>0</v>
      </c>
      <c r="M1713" s="2360">
        <f>I1713*G1713</f>
        <v>0</v>
      </c>
      <c r="N1713" s="2360">
        <f>J1713*G1713</f>
        <v>0</v>
      </c>
      <c r="O1713" s="2360">
        <f>K1713*G1713</f>
        <v>0</v>
      </c>
      <c r="P1713" s="2449"/>
      <c r="Q1713" s="2266"/>
      <c r="R1713" s="2266"/>
      <c r="S1713" s="2266"/>
    </row>
    <row r="1714" spans="1:19" s="2105" customFormat="1" outlineLevel="1">
      <c r="A1714" s="2182" t="str">
        <f>IF(G1714&lt;&gt;0,1,"")</f>
        <v/>
      </c>
      <c r="B1714" s="2261" t="s">
        <v>1610</v>
      </c>
      <c r="C1714" s="2258"/>
      <c r="D1714" s="2152">
        <v>0</v>
      </c>
      <c r="E1714" s="2194" t="s">
        <v>2649</v>
      </c>
      <c r="F1714" s="2152" t="s">
        <v>2439</v>
      </c>
      <c r="G1714" s="2450">
        <f>G1711*2</f>
        <v>0</v>
      </c>
      <c r="H1714" s="2264">
        <v>25400</v>
      </c>
      <c r="I1714" s="2359">
        <v>0</v>
      </c>
      <c r="J1714" s="2359">
        <v>0</v>
      </c>
      <c r="K1714" s="2359">
        <v>0</v>
      </c>
      <c r="L1714" s="2360">
        <f t="shared" si="314"/>
        <v>0</v>
      </c>
      <c r="M1714" s="2360">
        <f>I1714*G1714</f>
        <v>0</v>
      </c>
      <c r="N1714" s="2360">
        <f>J1714*G1714</f>
        <v>0</v>
      </c>
      <c r="O1714" s="2360">
        <f>K1714*G1714</f>
        <v>0</v>
      </c>
      <c r="P1714" s="2449"/>
      <c r="Q1714" s="2266"/>
      <c r="R1714" s="2266"/>
      <c r="S1714" s="2266"/>
    </row>
    <row r="1715" spans="1:19" s="2105" customFormat="1" outlineLevel="1">
      <c r="A1715" s="2182" t="str">
        <f>IF(G1715&lt;&gt;0,1,"")</f>
        <v/>
      </c>
      <c r="B1715" s="2121" t="s">
        <v>5425</v>
      </c>
      <c r="C1715" s="2258"/>
      <c r="D1715" s="2152" t="s">
        <v>5426</v>
      </c>
      <c r="E1715" s="2194" t="s">
        <v>5427</v>
      </c>
      <c r="F1715" s="2152" t="s">
        <v>2248</v>
      </c>
      <c r="G1715" s="2450">
        <f>SUM(G1713)</f>
        <v>0</v>
      </c>
      <c r="H1715" s="2264">
        <v>0</v>
      </c>
      <c r="I1715" s="2359"/>
      <c r="J1715" s="2359">
        <v>2025</v>
      </c>
      <c r="K1715" s="2359"/>
      <c r="L1715" s="2360">
        <f t="shared" si="314"/>
        <v>0</v>
      </c>
      <c r="M1715" s="2360"/>
      <c r="N1715" s="2359">
        <v>0</v>
      </c>
      <c r="O1715" s="2360"/>
      <c r="P1715" s="2449"/>
      <c r="Q1715" s="2266"/>
      <c r="R1715" s="2266"/>
      <c r="S1715" s="2266"/>
    </row>
    <row r="1716" spans="1:19" s="2105" customFormat="1" outlineLevel="1">
      <c r="A1716" s="2182" t="str">
        <f>IF(G1716&lt;&gt;0,1,"")</f>
        <v/>
      </c>
      <c r="B1716" s="2261"/>
      <c r="C1716" s="2258">
        <f>IF(G1716&gt;0,C1711+1,C1711)</f>
        <v>0</v>
      </c>
      <c r="D1716" s="2259"/>
      <c r="E1716" s="2417" t="s">
        <v>6221</v>
      </c>
      <c r="F1716" s="2258" t="s">
        <v>2385</v>
      </c>
      <c r="G1716" s="2451">
        <f>G1632*2*0</f>
        <v>0</v>
      </c>
      <c r="H1716" s="2416"/>
      <c r="I1716" s="2416"/>
      <c r="J1716" s="2416"/>
      <c r="K1716" s="2416"/>
      <c r="L1716" s="2360">
        <f t="shared" si="314"/>
        <v>0</v>
      </c>
      <c r="M1716" s="2360">
        <f>I1716*G1716</f>
        <v>0</v>
      </c>
      <c r="N1716" s="2360">
        <f>J1716*G1716</f>
        <v>0</v>
      </c>
      <c r="O1716" s="2360">
        <f>K1716*G1716</f>
        <v>0</v>
      </c>
      <c r="P1716" s="2265"/>
      <c r="Q1716" s="2266"/>
      <c r="R1716" s="2266"/>
      <c r="S1716" s="2266"/>
    </row>
    <row r="1717" spans="1:19" s="2105" customFormat="1" ht="14.4" outlineLevel="1">
      <c r="A1717" s="2182" t="str">
        <f>A1716</f>
        <v/>
      </c>
      <c r="B1717" s="2261"/>
      <c r="C1717" s="2258"/>
      <c r="D1717" s="2259"/>
      <c r="E1717" s="2267" t="s">
        <v>6133</v>
      </c>
      <c r="F1717" s="2268"/>
      <c r="G1717" s="2450"/>
      <c r="H1717" s="2416"/>
      <c r="I1717" s="2416"/>
      <c r="J1717" s="2416"/>
      <c r="K1717" s="2416"/>
      <c r="L1717" s="2360">
        <f t="shared" si="314"/>
        <v>0</v>
      </c>
      <c r="M1717" s="2360">
        <f>I1717*G1717</f>
        <v>0</v>
      </c>
      <c r="N1717" s="2360">
        <f>J1717*G1717</f>
        <v>0</v>
      </c>
      <c r="O1717" s="2360">
        <f>K1717*G1717</f>
        <v>0</v>
      </c>
      <c r="P1717" s="2265"/>
      <c r="Q1717" s="2266"/>
      <c r="R1717" s="2266"/>
      <c r="S1717" s="2266"/>
    </row>
    <row r="1718" spans="1:19" s="2105" customFormat="1" outlineLevel="1">
      <c r="A1718" s="2182" t="str">
        <f>IF(G1718&lt;&gt;0,1,"")</f>
        <v/>
      </c>
      <c r="B1718" s="2261" t="s">
        <v>2022</v>
      </c>
      <c r="C1718" s="2258"/>
      <c r="D1718" s="2152">
        <v>0</v>
      </c>
      <c r="E1718" s="2194" t="s">
        <v>2437</v>
      </c>
      <c r="F1718" s="2152" t="s">
        <v>2248</v>
      </c>
      <c r="G1718" s="2450">
        <f>G1716*9.02*2.6</f>
        <v>0</v>
      </c>
      <c r="H1718" s="2264">
        <v>31625</v>
      </c>
      <c r="I1718" s="2359"/>
      <c r="J1718" s="2359">
        <v>0</v>
      </c>
      <c r="K1718" s="2359"/>
      <c r="L1718" s="2360">
        <f t="shared" si="314"/>
        <v>0</v>
      </c>
      <c r="M1718" s="2360"/>
      <c r="N1718" s="2360"/>
      <c r="O1718" s="2360"/>
      <c r="P1718" s="2265"/>
      <c r="Q1718" s="2266"/>
      <c r="R1718" s="2266"/>
      <c r="S1718" s="2266"/>
    </row>
    <row r="1719" spans="1:19" s="2105" customFormat="1" outlineLevel="1">
      <c r="A1719" s="2182" t="str">
        <f>IF(G1719&lt;&gt;0,1,"")</f>
        <v/>
      </c>
      <c r="B1719" s="2261" t="s">
        <v>1083</v>
      </c>
      <c r="C1719" s="2258"/>
      <c r="D1719" s="2152">
        <v>0</v>
      </c>
      <c r="E1719" s="2194" t="s">
        <v>2652</v>
      </c>
      <c r="F1719" s="2152" t="s">
        <v>2439</v>
      </c>
      <c r="G1719" s="2450">
        <f>G1716*2</f>
        <v>0</v>
      </c>
      <c r="H1719" s="2264">
        <v>29900</v>
      </c>
      <c r="I1719" s="2359">
        <v>0</v>
      </c>
      <c r="J1719" s="2359">
        <v>0</v>
      </c>
      <c r="K1719" s="2359"/>
      <c r="L1719" s="2360">
        <f t="shared" si="314"/>
        <v>0</v>
      </c>
      <c r="M1719" s="2360"/>
      <c r="N1719" s="2360"/>
      <c r="O1719" s="2360"/>
      <c r="P1719" s="2265"/>
      <c r="Q1719" s="2266"/>
      <c r="R1719" s="2266"/>
      <c r="S1719" s="2266"/>
    </row>
    <row r="1720" spans="1:19" s="2105" customFormat="1" outlineLevel="1">
      <c r="A1720" s="2182" t="str">
        <f>IF(G1720&lt;&gt;0,1,"")</f>
        <v/>
      </c>
      <c r="B1720" s="2261" t="s">
        <v>138</v>
      </c>
      <c r="C1720" s="2258"/>
      <c r="D1720" s="2152">
        <v>0</v>
      </c>
      <c r="E1720" s="2194" t="s">
        <v>2627</v>
      </c>
      <c r="F1720" s="2152" t="s">
        <v>2439</v>
      </c>
      <c r="G1720" s="2450">
        <f>G1716*2</f>
        <v>0</v>
      </c>
      <c r="H1720" s="2264">
        <v>8500</v>
      </c>
      <c r="I1720" s="2359">
        <v>0</v>
      </c>
      <c r="J1720" s="2359">
        <v>0</v>
      </c>
      <c r="K1720" s="2359"/>
      <c r="L1720" s="2360">
        <f t="shared" si="314"/>
        <v>0</v>
      </c>
      <c r="M1720" s="2360"/>
      <c r="N1720" s="2360"/>
      <c r="O1720" s="2360"/>
      <c r="P1720" s="2265"/>
      <c r="Q1720" s="2266"/>
      <c r="R1720" s="2266"/>
      <c r="S1720" s="2266"/>
    </row>
    <row r="1721" spans="1:19" s="2105" customFormat="1" outlineLevel="1">
      <c r="A1721" s="2182" t="str">
        <f>IF(G1721&lt;&gt;0,1,"")</f>
        <v/>
      </c>
      <c r="B1721" s="2121" t="s">
        <v>5425</v>
      </c>
      <c r="C1721" s="2258"/>
      <c r="D1721" s="2152" t="s">
        <v>5426</v>
      </c>
      <c r="E1721" s="2194" t="s">
        <v>5427</v>
      </c>
      <c r="F1721" s="2152" t="s">
        <v>2248</v>
      </c>
      <c r="G1721" s="2450">
        <f>SUM(G1718)</f>
        <v>0</v>
      </c>
      <c r="H1721" s="2264">
        <v>0</v>
      </c>
      <c r="I1721" s="2359"/>
      <c r="J1721" s="2359">
        <v>2025</v>
      </c>
      <c r="K1721" s="2359"/>
      <c r="L1721" s="2360">
        <f t="shared" si="314"/>
        <v>0</v>
      </c>
      <c r="M1721" s="2360"/>
      <c r="N1721" s="2359">
        <v>0</v>
      </c>
      <c r="O1721" s="2360"/>
      <c r="P1721" s="2265"/>
      <c r="Q1721" s="2266"/>
      <c r="R1721" s="2266"/>
      <c r="S1721" s="2266"/>
    </row>
    <row r="1722" spans="1:19" s="2477" customFormat="1" ht="13.95" customHeight="1">
      <c r="A1722" s="2474" t="str">
        <f>IF(G1722&lt;&gt;0,1,"")</f>
        <v/>
      </c>
      <c r="B1722" s="2475"/>
      <c r="C1722" s="2463">
        <f>IF(G1722&gt;0,C1716+1,C1716)</f>
        <v>0</v>
      </c>
      <c r="D1722" s="2464"/>
      <c r="E1722" s="2465" t="s">
        <v>3720</v>
      </c>
      <c r="F1722" s="2466" t="s">
        <v>2385</v>
      </c>
      <c r="G1722" s="2467">
        <f>G1632</f>
        <v>0</v>
      </c>
      <c r="H1722" s="2468"/>
      <c r="I1722" s="2469"/>
      <c r="J1722" s="2470"/>
      <c r="K1722" s="2470"/>
      <c r="L1722" s="2471">
        <f t="shared" si="314"/>
        <v>0</v>
      </c>
      <c r="M1722" s="2472">
        <f>I1722*G1722</f>
        <v>0</v>
      </c>
      <c r="N1722" s="2471">
        <f t="shared" ref="N1722:N1739" si="327">J1722*G1722</f>
        <v>0</v>
      </c>
      <c r="O1722" s="2471">
        <f>K1722*G1722</f>
        <v>0</v>
      </c>
      <c r="P1722" s="2476"/>
      <c r="R1722" s="2478"/>
    </row>
    <row r="1723" spans="1:19" s="2105" customFormat="1" ht="14.4" outlineLevel="1">
      <c r="A1723" s="2182" t="str">
        <f>+A1722</f>
        <v/>
      </c>
      <c r="B1723" s="2418"/>
      <c r="C1723" s="2258"/>
      <c r="D1723" s="2259"/>
      <c r="E1723" s="2267" t="s">
        <v>6133</v>
      </c>
      <c r="F1723" s="2268"/>
      <c r="G1723" s="2450"/>
      <c r="H1723" s="2264"/>
      <c r="I1723" s="2264"/>
      <c r="J1723" s="2264"/>
      <c r="K1723" s="2264"/>
      <c r="L1723" s="2264">
        <f t="shared" si="314"/>
        <v>0</v>
      </c>
      <c r="M1723" s="2264">
        <f>I1723*G1723</f>
        <v>0</v>
      </c>
      <c r="N1723" s="2264">
        <f t="shared" si="327"/>
        <v>0</v>
      </c>
      <c r="O1723" s="2264">
        <f>K1723*G1723</f>
        <v>0</v>
      </c>
      <c r="P1723" s="2441"/>
      <c r="Q1723" s="2266"/>
      <c r="R1723" s="2266"/>
      <c r="S1723" s="2266"/>
    </row>
    <row r="1724" spans="1:19" s="2105" customFormat="1" outlineLevel="1">
      <c r="A1724" s="2182" t="str">
        <f t="shared" ref="A1724:A1740" si="328">IF(G1724&lt;&gt;0,1,"")</f>
        <v/>
      </c>
      <c r="B1724" s="2261" t="s">
        <v>1033</v>
      </c>
      <c r="C1724" s="2258"/>
      <c r="D1724" s="2152">
        <v>0</v>
      </c>
      <c r="E1724" s="2194" t="s">
        <v>2700</v>
      </c>
      <c r="F1724" s="2152" t="s">
        <v>2248</v>
      </c>
      <c r="G1724" s="2450">
        <f>($H$3+20)*0.224*G1722</f>
        <v>0</v>
      </c>
      <c r="H1724" s="2264">
        <v>255500</v>
      </c>
      <c r="I1724" s="2264"/>
      <c r="J1724" s="2264">
        <v>0</v>
      </c>
      <c r="K1724" s="2264">
        <v>0</v>
      </c>
      <c r="L1724" s="2264">
        <f t="shared" si="314"/>
        <v>0</v>
      </c>
      <c r="M1724" s="2264">
        <f>I1724*G1724</f>
        <v>0</v>
      </c>
      <c r="N1724" s="2264">
        <f t="shared" si="327"/>
        <v>0</v>
      </c>
      <c r="O1724" s="2264">
        <f>K1724*G1724</f>
        <v>0</v>
      </c>
      <c r="P1724" s="2441"/>
      <c r="Q1724" s="2266"/>
      <c r="R1724" s="2266"/>
      <c r="S1724" s="2266"/>
    </row>
    <row r="1725" spans="1:19" s="2105" customFormat="1" outlineLevel="1">
      <c r="A1725" s="2182" t="str">
        <f t="shared" si="328"/>
        <v/>
      </c>
      <c r="B1725" s="2252" t="s">
        <v>1508</v>
      </c>
      <c r="C1725" s="2258"/>
      <c r="D1725" s="2152">
        <v>0</v>
      </c>
      <c r="E1725" s="2194" t="s">
        <v>5163</v>
      </c>
      <c r="F1725" s="2152" t="s">
        <v>2439</v>
      </c>
      <c r="G1725" s="2450">
        <f>$H$2*G1722</f>
        <v>0</v>
      </c>
      <c r="H1725" s="2264">
        <v>160000</v>
      </c>
      <c r="I1725" s="2264"/>
      <c r="J1725" s="2264">
        <v>0</v>
      </c>
      <c r="K1725" s="2264">
        <v>0</v>
      </c>
      <c r="L1725" s="2264">
        <f t="shared" si="314"/>
        <v>0</v>
      </c>
      <c r="M1725" s="2264">
        <f>I1725*G1725</f>
        <v>0</v>
      </c>
      <c r="N1725" s="2264">
        <f t="shared" si="327"/>
        <v>0</v>
      </c>
      <c r="O1725" s="2264">
        <f>K1725*G1725</f>
        <v>0</v>
      </c>
      <c r="P1725" s="2441"/>
      <c r="Q1725" s="2266"/>
      <c r="R1725" s="2266"/>
      <c r="S1725" s="2266"/>
    </row>
    <row r="1726" spans="1:19" s="2105" customFormat="1" outlineLevel="1">
      <c r="A1726" s="2182" t="str">
        <f t="shared" si="328"/>
        <v/>
      </c>
      <c r="B1726" s="2252" t="s">
        <v>1490</v>
      </c>
      <c r="C1726" s="2258"/>
      <c r="D1726" s="2152">
        <v>0</v>
      </c>
      <c r="E1726" s="2194" t="s">
        <v>3536</v>
      </c>
      <c r="F1726" s="2152" t="s">
        <v>1823</v>
      </c>
      <c r="G1726" s="2450">
        <f>G1722*8*0</f>
        <v>0</v>
      </c>
      <c r="H1726" s="2264">
        <v>6200</v>
      </c>
      <c r="I1726" s="2264"/>
      <c r="J1726" s="2264">
        <v>0</v>
      </c>
      <c r="K1726" s="2264">
        <v>0</v>
      </c>
      <c r="L1726" s="2264">
        <f t="shared" si="314"/>
        <v>0</v>
      </c>
      <c r="M1726" s="2264">
        <f>I1726*G1726</f>
        <v>0</v>
      </c>
      <c r="N1726" s="2264">
        <f t="shared" si="327"/>
        <v>0</v>
      </c>
      <c r="O1726" s="2264">
        <f>K1726*G1726</f>
        <v>0</v>
      </c>
      <c r="P1726" s="2449"/>
      <c r="Q1726" s="2266"/>
      <c r="R1726" s="2266"/>
      <c r="S1726" s="2266"/>
    </row>
    <row r="1727" spans="1:19" s="2105" customFormat="1" outlineLevel="1">
      <c r="A1727" s="2182" t="str">
        <f t="shared" si="328"/>
        <v/>
      </c>
      <c r="B1727" s="2261" t="s">
        <v>1579</v>
      </c>
      <c r="C1727" s="2258"/>
      <c r="D1727" s="2152">
        <v>0</v>
      </c>
      <c r="E1727" s="2194" t="s">
        <v>2873</v>
      </c>
      <c r="F1727" s="2152" t="s">
        <v>2555</v>
      </c>
      <c r="G1727" s="2450">
        <f>2*G1722*0</f>
        <v>0</v>
      </c>
      <c r="H1727" s="2264">
        <v>8000</v>
      </c>
      <c r="I1727" s="2264"/>
      <c r="J1727" s="2264">
        <v>0</v>
      </c>
      <c r="K1727" s="2264"/>
      <c r="L1727" s="2264">
        <f t="shared" si="314"/>
        <v>0</v>
      </c>
      <c r="M1727" s="2264"/>
      <c r="N1727" s="2264">
        <f t="shared" si="327"/>
        <v>0</v>
      </c>
      <c r="O1727" s="2264"/>
      <c r="P1727" s="2441"/>
      <c r="Q1727" s="2266"/>
      <c r="R1727" s="2266"/>
      <c r="S1727" s="2266"/>
    </row>
    <row r="1728" spans="1:19" s="2105" customFormat="1" outlineLevel="1">
      <c r="A1728" s="2182" t="str">
        <f t="shared" si="328"/>
        <v/>
      </c>
      <c r="B1728" s="2261" t="s">
        <v>6208</v>
      </c>
      <c r="C1728" s="2258"/>
      <c r="D1728" s="2152" t="s">
        <v>5725</v>
      </c>
      <c r="E1728" s="2194" t="s">
        <v>3479</v>
      </c>
      <c r="F1728" s="2152" t="s">
        <v>2555</v>
      </c>
      <c r="G1728" s="2450">
        <f>G1722*14</f>
        <v>0</v>
      </c>
      <c r="H1728" s="2264">
        <v>9100</v>
      </c>
      <c r="I1728" s="2264"/>
      <c r="J1728" s="2264">
        <v>10608.955000000002</v>
      </c>
      <c r="K1728" s="2264"/>
      <c r="L1728" s="2264">
        <f>H1728*G1728</f>
        <v>0</v>
      </c>
      <c r="M1728" s="2264"/>
      <c r="N1728" s="2264">
        <f>J1728*G1728</f>
        <v>0</v>
      </c>
      <c r="O1728" s="2264"/>
      <c r="P1728" s="2441"/>
      <c r="Q1728" s="2266"/>
      <c r="R1728" s="2266"/>
      <c r="S1728" s="2266"/>
    </row>
    <row r="1729" spans="1:19" s="2105" customFormat="1" outlineLevel="1">
      <c r="A1729" s="2182" t="str">
        <f t="shared" si="328"/>
        <v/>
      </c>
      <c r="B1729" s="2261" t="s">
        <v>816</v>
      </c>
      <c r="C1729" s="2419"/>
      <c r="D1729" s="2152">
        <v>0</v>
      </c>
      <c r="E1729" s="2194" t="s">
        <v>3581</v>
      </c>
      <c r="F1729" s="2152" t="s">
        <v>2555</v>
      </c>
      <c r="G1729" s="2450">
        <f>IF(G1726&lt;=12,15,21)*G1722</f>
        <v>0</v>
      </c>
      <c r="H1729" s="2264">
        <v>17600</v>
      </c>
      <c r="I1729" s="2264"/>
      <c r="J1729" s="2264">
        <v>0</v>
      </c>
      <c r="K1729" s="2264"/>
      <c r="L1729" s="2264">
        <f t="shared" si="314"/>
        <v>0</v>
      </c>
      <c r="M1729" s="2264">
        <f>I1729*G1729</f>
        <v>0</v>
      </c>
      <c r="N1729" s="2264">
        <f t="shared" si="327"/>
        <v>0</v>
      </c>
      <c r="O1729" s="2264">
        <f>K1729*G1729</f>
        <v>0</v>
      </c>
      <c r="P1729" s="2441"/>
      <c r="Q1729" s="2266"/>
      <c r="R1729" s="2266"/>
      <c r="S1729" s="2266"/>
    </row>
    <row r="1730" spans="1:19" s="2105" customFormat="1" outlineLevel="1">
      <c r="A1730" s="2182" t="str">
        <f t="shared" si="328"/>
        <v/>
      </c>
      <c r="B1730" s="2252" t="s">
        <v>525</v>
      </c>
      <c r="C1730" s="2419"/>
      <c r="D1730" s="2152">
        <v>0</v>
      </c>
      <c r="E1730" s="2194" t="s">
        <v>5252</v>
      </c>
      <c r="F1730" s="2152" t="s">
        <v>2439</v>
      </c>
      <c r="G1730" s="2450">
        <f>+G1722*4*0</f>
        <v>0</v>
      </c>
      <c r="H1730" s="2264">
        <v>43000</v>
      </c>
      <c r="I1730" s="2264"/>
      <c r="J1730" s="2264">
        <v>0</v>
      </c>
      <c r="K1730" s="2264"/>
      <c r="L1730" s="2264">
        <f t="shared" ref="L1730:L1740" si="329">H1730*G1730</f>
        <v>0</v>
      </c>
      <c r="M1730" s="2264">
        <f t="shared" ref="M1730:M1740" si="330">I1730*G1730</f>
        <v>0</v>
      </c>
      <c r="N1730" s="2264">
        <f t="shared" si="327"/>
        <v>0</v>
      </c>
      <c r="O1730" s="2264">
        <f t="shared" ref="O1730:O1740" si="331">K1730*G1730</f>
        <v>0</v>
      </c>
      <c r="P1730" s="2441"/>
      <c r="Q1730" s="2266"/>
      <c r="R1730" s="2266"/>
      <c r="S1730" s="2266"/>
    </row>
    <row r="1731" spans="1:19" s="2105" customFormat="1" outlineLevel="1">
      <c r="A1731" s="2182" t="str">
        <f t="shared" si="328"/>
        <v/>
      </c>
      <c r="B1731" s="2252" t="s">
        <v>1585</v>
      </c>
      <c r="C1731" s="2419"/>
      <c r="D1731" s="2152">
        <v>0</v>
      </c>
      <c r="E1731" s="2194" t="s">
        <v>5713</v>
      </c>
      <c r="F1731" s="2152" t="s">
        <v>3445</v>
      </c>
      <c r="G1731" s="2450">
        <f>G1722*2*0</f>
        <v>0</v>
      </c>
      <c r="H1731" s="2264">
        <v>0</v>
      </c>
      <c r="I1731" s="2264"/>
      <c r="J1731" s="2264">
        <v>1500000</v>
      </c>
      <c r="K1731" s="2264"/>
      <c r="L1731" s="2264">
        <f t="shared" si="329"/>
        <v>0</v>
      </c>
      <c r="M1731" s="2264">
        <f t="shared" si="330"/>
        <v>0</v>
      </c>
      <c r="N1731" s="2264">
        <f t="shared" si="327"/>
        <v>0</v>
      </c>
      <c r="O1731" s="2264">
        <f t="shared" si="331"/>
        <v>0</v>
      </c>
      <c r="P1731" s="2441"/>
      <c r="Q1731" s="2266"/>
      <c r="R1731" s="2266"/>
      <c r="S1731" s="2266"/>
    </row>
    <row r="1732" spans="1:19" s="2105" customFormat="1" outlineLevel="1">
      <c r="A1732" s="2182" t="str">
        <f t="shared" si="328"/>
        <v/>
      </c>
      <c r="B1732" s="2252" t="s">
        <v>5164</v>
      </c>
      <c r="C1732" s="2419"/>
      <c r="D1732" s="2152">
        <v>0</v>
      </c>
      <c r="E1732" s="2194" t="s">
        <v>5165</v>
      </c>
      <c r="F1732" s="2152" t="s">
        <v>2248</v>
      </c>
      <c r="G1732" s="2450">
        <f>5*16*G1731</f>
        <v>0</v>
      </c>
      <c r="H1732" s="2264">
        <v>31625</v>
      </c>
      <c r="I1732" s="2264"/>
      <c r="J1732" s="2264">
        <v>0</v>
      </c>
      <c r="K1732" s="2264"/>
      <c r="L1732" s="2264">
        <f t="shared" si="329"/>
        <v>0</v>
      </c>
      <c r="M1732" s="2264">
        <f t="shared" si="330"/>
        <v>0</v>
      </c>
      <c r="N1732" s="2264">
        <f t="shared" si="327"/>
        <v>0</v>
      </c>
      <c r="O1732" s="2264">
        <f t="shared" si="331"/>
        <v>0</v>
      </c>
      <c r="P1732" s="2441"/>
      <c r="Q1732" s="2266"/>
      <c r="R1732" s="2266"/>
      <c r="S1732" s="2266"/>
    </row>
    <row r="1733" spans="1:19" s="2105" customFormat="1" outlineLevel="1">
      <c r="A1733" s="2182" t="str">
        <f t="shared" si="328"/>
        <v/>
      </c>
      <c r="B1733" s="2252" t="s">
        <v>5168</v>
      </c>
      <c r="C1733" s="2419"/>
      <c r="D1733" s="2152" t="s">
        <v>5169</v>
      </c>
      <c r="E1733" s="2194" t="s">
        <v>5170</v>
      </c>
      <c r="F1733" s="2152" t="s">
        <v>5171</v>
      </c>
      <c r="G1733" s="2450">
        <f>G1722*4*G1731</f>
        <v>0</v>
      </c>
      <c r="H1733" s="2264">
        <v>0</v>
      </c>
      <c r="I1733" s="2264"/>
      <c r="J1733" s="2264">
        <v>55638</v>
      </c>
      <c r="K1733" s="2264"/>
      <c r="L1733" s="2264">
        <f t="shared" si="329"/>
        <v>0</v>
      </c>
      <c r="M1733" s="2264">
        <f t="shared" si="330"/>
        <v>0</v>
      </c>
      <c r="N1733" s="2264">
        <f t="shared" si="327"/>
        <v>0</v>
      </c>
      <c r="O1733" s="2264">
        <f t="shared" si="331"/>
        <v>0</v>
      </c>
      <c r="P1733" s="2441"/>
      <c r="Q1733" s="2266"/>
      <c r="R1733" s="2266"/>
      <c r="S1733" s="2266"/>
    </row>
    <row r="1734" spans="1:19" s="2105" customFormat="1" outlineLevel="1">
      <c r="A1734" s="2182" t="str">
        <f t="shared" si="328"/>
        <v/>
      </c>
      <c r="B1734" s="2252" t="s">
        <v>5175</v>
      </c>
      <c r="C1734" s="2419"/>
      <c r="D1734" s="2152">
        <v>0</v>
      </c>
      <c r="E1734" s="2194" t="s">
        <v>5176</v>
      </c>
      <c r="F1734" s="2152" t="s">
        <v>5174</v>
      </c>
      <c r="G1734" s="2450">
        <f>G1722*6*0</f>
        <v>0</v>
      </c>
      <c r="H1734" s="2264">
        <v>38105</v>
      </c>
      <c r="I1734" s="2264"/>
      <c r="J1734" s="2264">
        <v>0</v>
      </c>
      <c r="K1734" s="2264"/>
      <c r="L1734" s="2264">
        <f t="shared" si="329"/>
        <v>0</v>
      </c>
      <c r="M1734" s="2264">
        <f t="shared" si="330"/>
        <v>0</v>
      </c>
      <c r="N1734" s="2264">
        <f t="shared" si="327"/>
        <v>0</v>
      </c>
      <c r="O1734" s="2264">
        <f t="shared" si="331"/>
        <v>0</v>
      </c>
      <c r="P1734" s="2441"/>
      <c r="Q1734" s="2266"/>
      <c r="R1734" s="2266"/>
      <c r="S1734" s="2266"/>
    </row>
    <row r="1735" spans="1:19" s="2105" customFormat="1" outlineLevel="1">
      <c r="A1735" s="2182" t="str">
        <f t="shared" si="328"/>
        <v/>
      </c>
      <c r="B1735" s="2252" t="s">
        <v>5179</v>
      </c>
      <c r="C1735" s="2419"/>
      <c r="D1735" s="2152">
        <v>0</v>
      </c>
      <c r="E1735" s="2194" t="s">
        <v>5180</v>
      </c>
      <c r="F1735" s="2152" t="s">
        <v>5174</v>
      </c>
      <c r="G1735" s="2450">
        <f>G1722*2*0</f>
        <v>0</v>
      </c>
      <c r="H1735" s="2264">
        <v>53008</v>
      </c>
      <c r="I1735" s="2264"/>
      <c r="J1735" s="2264">
        <v>0</v>
      </c>
      <c r="K1735" s="2264"/>
      <c r="L1735" s="2264">
        <f t="shared" si="329"/>
        <v>0</v>
      </c>
      <c r="M1735" s="2264">
        <f t="shared" si="330"/>
        <v>0</v>
      </c>
      <c r="N1735" s="2264">
        <f t="shared" si="327"/>
        <v>0</v>
      </c>
      <c r="O1735" s="2264">
        <f t="shared" si="331"/>
        <v>0</v>
      </c>
      <c r="P1735" s="2441"/>
      <c r="Q1735" s="2266"/>
      <c r="R1735" s="2266"/>
      <c r="S1735" s="2266"/>
    </row>
    <row r="1736" spans="1:19" s="2105" customFormat="1" outlineLevel="1">
      <c r="A1736" s="2182" t="str">
        <f t="shared" si="328"/>
        <v/>
      </c>
      <c r="B1736" s="2252" t="s">
        <v>6234</v>
      </c>
      <c r="C1736" s="2419"/>
      <c r="D1736" s="2152">
        <v>0</v>
      </c>
      <c r="E1736" s="2194" t="s">
        <v>5051</v>
      </c>
      <c r="F1736" s="2152" t="s">
        <v>2439</v>
      </c>
      <c r="G1736" s="2450">
        <f>G1722*20</f>
        <v>0</v>
      </c>
      <c r="H1736" s="2264">
        <v>8400</v>
      </c>
      <c r="I1736" s="2264"/>
      <c r="J1736" s="2264">
        <v>0</v>
      </c>
      <c r="K1736" s="2264"/>
      <c r="L1736" s="2264">
        <f>H1736*G1736</f>
        <v>0</v>
      </c>
      <c r="M1736" s="2264">
        <f>I1736*G1736</f>
        <v>0</v>
      </c>
      <c r="N1736" s="2264">
        <f>J1736*G1736</f>
        <v>0</v>
      </c>
      <c r="O1736" s="2264">
        <f>K1736*G1736</f>
        <v>0</v>
      </c>
      <c r="P1736" s="2441"/>
      <c r="Q1736" s="2266"/>
      <c r="R1736" s="2266"/>
      <c r="S1736" s="2266"/>
    </row>
    <row r="1737" spans="1:19" s="2105" customFormat="1" outlineLevel="1">
      <c r="A1737" s="2182" t="str">
        <f t="shared" si="328"/>
        <v/>
      </c>
      <c r="B1737" s="2252" t="s">
        <v>5181</v>
      </c>
      <c r="C1737" s="2419"/>
      <c r="D1737" s="2152">
        <v>0</v>
      </c>
      <c r="E1737" s="2194" t="s">
        <v>5182</v>
      </c>
      <c r="F1737" s="2152" t="s">
        <v>2532</v>
      </c>
      <c r="G1737" s="2450">
        <f>G1734+G1735</f>
        <v>0</v>
      </c>
      <c r="H1737" s="2264">
        <v>11000</v>
      </c>
      <c r="I1737" s="2264"/>
      <c r="J1737" s="2264">
        <v>0</v>
      </c>
      <c r="K1737" s="2264"/>
      <c r="L1737" s="2264">
        <f t="shared" si="329"/>
        <v>0</v>
      </c>
      <c r="M1737" s="2264">
        <f t="shared" si="330"/>
        <v>0</v>
      </c>
      <c r="N1737" s="2264">
        <f t="shared" si="327"/>
        <v>0</v>
      </c>
      <c r="O1737" s="2264">
        <f t="shared" si="331"/>
        <v>0</v>
      </c>
      <c r="P1737" s="2441"/>
      <c r="Q1737" s="2266"/>
      <c r="R1737" s="2266"/>
      <c r="S1737" s="2266"/>
    </row>
    <row r="1738" spans="1:19" s="2105" customFormat="1" outlineLevel="1">
      <c r="A1738" s="2182" t="str">
        <f t="shared" si="328"/>
        <v/>
      </c>
      <c r="B1738" s="2252" t="s">
        <v>5183</v>
      </c>
      <c r="C1738" s="2419"/>
      <c r="D1738" s="2152">
        <v>0</v>
      </c>
      <c r="E1738" s="2194" t="s">
        <v>5184</v>
      </c>
      <c r="F1738" s="2152" t="s">
        <v>2555</v>
      </c>
      <c r="G1738" s="2450">
        <f>G1737</f>
        <v>0</v>
      </c>
      <c r="H1738" s="2264">
        <v>4000</v>
      </c>
      <c r="I1738" s="2264"/>
      <c r="J1738" s="2264">
        <v>0</v>
      </c>
      <c r="K1738" s="2264"/>
      <c r="L1738" s="2264">
        <f t="shared" si="329"/>
        <v>0</v>
      </c>
      <c r="M1738" s="2264">
        <f t="shared" si="330"/>
        <v>0</v>
      </c>
      <c r="N1738" s="2264">
        <f t="shared" si="327"/>
        <v>0</v>
      </c>
      <c r="O1738" s="2264">
        <f t="shared" si="331"/>
        <v>0</v>
      </c>
      <c r="P1738" s="2441"/>
      <c r="Q1738" s="2266"/>
      <c r="R1738" s="2266"/>
      <c r="S1738" s="2266"/>
    </row>
    <row r="1739" spans="1:19" s="2105" customFormat="1" outlineLevel="1">
      <c r="A1739" s="2182" t="str">
        <f t="shared" si="328"/>
        <v/>
      </c>
      <c r="B1739" s="2252" t="s">
        <v>794</v>
      </c>
      <c r="C1739" s="2419"/>
      <c r="D1739" s="2152" t="s">
        <v>5336</v>
      </c>
      <c r="E1739" s="2194" t="s">
        <v>3068</v>
      </c>
      <c r="F1739" s="2152" t="s">
        <v>856</v>
      </c>
      <c r="G1739" s="2450">
        <f>G1722*(52+20)*0.3*0.5</f>
        <v>0</v>
      </c>
      <c r="H1739" s="2264">
        <v>0</v>
      </c>
      <c r="I1739" s="2264"/>
      <c r="J1739" s="2264">
        <v>283749.75</v>
      </c>
      <c r="K1739" s="2264"/>
      <c r="L1739" s="2264">
        <f t="shared" si="329"/>
        <v>0</v>
      </c>
      <c r="M1739" s="2264">
        <f t="shared" si="330"/>
        <v>0</v>
      </c>
      <c r="N1739" s="2264">
        <f t="shared" si="327"/>
        <v>0</v>
      </c>
      <c r="O1739" s="2264">
        <f t="shared" si="331"/>
        <v>0</v>
      </c>
      <c r="P1739" s="2441"/>
      <c r="Q1739" s="2266"/>
      <c r="R1739" s="2266"/>
      <c r="S1739" s="2266"/>
    </row>
    <row r="1740" spans="1:19" s="2105" customFormat="1" outlineLevel="1">
      <c r="A1740" s="2182" t="str">
        <f t="shared" si="328"/>
        <v/>
      </c>
      <c r="B1740" s="2252" t="s">
        <v>798</v>
      </c>
      <c r="C1740" s="2419"/>
      <c r="D1740" s="2152" t="s">
        <v>5325</v>
      </c>
      <c r="E1740" s="2194" t="s">
        <v>5337</v>
      </c>
      <c r="F1740" s="2152" t="s">
        <v>856</v>
      </c>
      <c r="G1740" s="2450">
        <f>G1739</f>
        <v>0</v>
      </c>
      <c r="H1740" s="2264">
        <v>0</v>
      </c>
      <c r="I1740" s="2264"/>
      <c r="J1740" s="2264">
        <v>117703.6</v>
      </c>
      <c r="K1740" s="2264"/>
      <c r="L1740" s="2264">
        <f t="shared" si="329"/>
        <v>0</v>
      </c>
      <c r="M1740" s="2264">
        <f t="shared" si="330"/>
        <v>0</v>
      </c>
      <c r="N1740" s="2264">
        <f>J1740*G1740</f>
        <v>0</v>
      </c>
      <c r="O1740" s="2264">
        <f t="shared" si="331"/>
        <v>0</v>
      </c>
      <c r="P1740" s="2441"/>
      <c r="Q1740" s="2266"/>
      <c r="R1740" s="2266"/>
      <c r="S1740" s="2266"/>
    </row>
    <row r="1741" spans="1:19" s="2105" customFormat="1" outlineLevel="1">
      <c r="A1741" s="2182" t="str">
        <f>IF(G1741&lt;&gt;0,1,"")</f>
        <v/>
      </c>
      <c r="B1741" s="2252" t="s">
        <v>902</v>
      </c>
      <c r="C1741" s="2258"/>
      <c r="D1741" s="2152" t="s">
        <v>5351</v>
      </c>
      <c r="E1741" s="2194" t="s">
        <v>5352</v>
      </c>
      <c r="F1741" s="2152" t="s">
        <v>2385</v>
      </c>
      <c r="G1741" s="2454">
        <f>G1725</f>
        <v>0</v>
      </c>
      <c r="H1741" s="2264">
        <v>0</v>
      </c>
      <c r="I1741" s="2264"/>
      <c r="J1741" s="2264">
        <v>90355.896000000008</v>
      </c>
      <c r="K1741" s="2264">
        <v>1573.075</v>
      </c>
      <c r="L1741" s="2264">
        <f>H1741*G1741</f>
        <v>0</v>
      </c>
      <c r="M1741" s="2264">
        <f>I1741*G1741</f>
        <v>0</v>
      </c>
      <c r="N1741" s="2264">
        <f>J1741*G1741</f>
        <v>0</v>
      </c>
      <c r="O1741" s="2264">
        <f>K1741*G1741</f>
        <v>0</v>
      </c>
      <c r="P1741" s="2449"/>
      <c r="Q1741" s="2266"/>
      <c r="R1741" s="2266"/>
      <c r="S1741" s="2266"/>
    </row>
    <row r="1742" spans="1:19" s="2105" customFormat="1" outlineLevel="1">
      <c r="A1742" s="2182" t="str">
        <f>IF(G1742&lt;&gt;0,1,"")</f>
        <v/>
      </c>
      <c r="B1742" s="2252" t="s">
        <v>1437</v>
      </c>
      <c r="C1742" s="2258"/>
      <c r="D1742" s="2152" t="s">
        <v>5346</v>
      </c>
      <c r="E1742" s="2194" t="s">
        <v>5347</v>
      </c>
      <c r="F1742" s="2152" t="s">
        <v>2532</v>
      </c>
      <c r="G1742" s="2454">
        <f>G1724/0.224</f>
        <v>0</v>
      </c>
      <c r="H1742" s="2264">
        <v>0</v>
      </c>
      <c r="I1742" s="2264"/>
      <c r="J1742" s="2264">
        <v>8070.7000000000007</v>
      </c>
      <c r="K1742" s="2264">
        <v>2044.9974999999999</v>
      </c>
      <c r="L1742" s="2264">
        <f>H1742*G1742</f>
        <v>0</v>
      </c>
      <c r="M1742" s="2264">
        <f>I1742*G1742</f>
        <v>0</v>
      </c>
      <c r="N1742" s="2264">
        <f>J1742*G1742</f>
        <v>0</v>
      </c>
      <c r="O1742" s="2264">
        <f>K1742*G1742</f>
        <v>0</v>
      </c>
      <c r="P1742" s="2441"/>
      <c r="Q1742" s="2266"/>
      <c r="R1742" s="2266"/>
      <c r="S1742" s="2266"/>
    </row>
    <row r="1743" spans="1:19" s="2478" customFormat="1" ht="13.95" customHeight="1">
      <c r="A1743" s="2479" t="str">
        <f>IF(G1743&lt;&gt;0,1,"")</f>
        <v/>
      </c>
      <c r="B1743" s="2480"/>
      <c r="C1743" s="2463">
        <f>IF(G1743&gt;0,C1722+1,C1722)</f>
        <v>0</v>
      </c>
      <c r="D1743" s="2481"/>
      <c r="E1743" s="2465" t="s">
        <v>6222</v>
      </c>
      <c r="F1743" s="2466" t="s">
        <v>2385</v>
      </c>
      <c r="G1743" s="2467">
        <f>G1722</f>
        <v>0</v>
      </c>
      <c r="H1743" s="2469"/>
      <c r="I1743" s="2469"/>
      <c r="J1743" s="2482"/>
      <c r="K1743" s="2482"/>
      <c r="L1743" s="2472">
        <f t="shared" ref="L1743:L1801" si="332">H1743*G1743</f>
        <v>0</v>
      </c>
      <c r="M1743" s="2472">
        <f t="shared" ref="M1743:M1801" si="333">I1743*G1743</f>
        <v>0</v>
      </c>
      <c r="N1743" s="2472">
        <f t="shared" ref="N1743:N1801" si="334">J1743*G1743</f>
        <v>0</v>
      </c>
      <c r="O1743" s="2472">
        <f t="shared" ref="O1743:O1801" si="335">K1743*G1743</f>
        <v>0</v>
      </c>
      <c r="P1743" s="2483"/>
    </row>
    <row r="1744" spans="1:19" s="2105" customFormat="1" ht="14.4" outlineLevel="1">
      <c r="A1744" s="2182" t="str">
        <f>A1743</f>
        <v/>
      </c>
      <c r="B1744" s="2261"/>
      <c r="C1744" s="2258"/>
      <c r="D1744" s="2259"/>
      <c r="E1744" s="2267" t="s">
        <v>6133</v>
      </c>
      <c r="F1744" s="2268"/>
      <c r="G1744" s="2270"/>
      <c r="H1744" s="2264"/>
      <c r="I1744" s="2264"/>
      <c r="J1744" s="2264"/>
      <c r="K1744" s="2264"/>
      <c r="L1744" s="2264">
        <f t="shared" si="332"/>
        <v>0</v>
      </c>
      <c r="M1744" s="2264">
        <f t="shared" si="333"/>
        <v>0</v>
      </c>
      <c r="N1744" s="2264">
        <f t="shared" si="334"/>
        <v>0</v>
      </c>
      <c r="O1744" s="2264">
        <f t="shared" si="335"/>
        <v>0</v>
      </c>
      <c r="P1744" s="2265"/>
      <c r="Q1744" s="2266"/>
      <c r="R1744" s="2266"/>
      <c r="S1744" s="2266"/>
    </row>
    <row r="1745" spans="1:20" s="2105" customFormat="1" outlineLevel="1">
      <c r="A1745" s="2182" t="str">
        <f>IF(G1745&lt;&gt;0,1,"")</f>
        <v/>
      </c>
      <c r="B1745" s="2261" t="s">
        <v>653</v>
      </c>
      <c r="C1745" s="2268"/>
      <c r="D1745" s="2152">
        <v>0</v>
      </c>
      <c r="E1745" s="2194" t="s">
        <v>5289</v>
      </c>
      <c r="F1745" s="2152" t="s">
        <v>2248</v>
      </c>
      <c r="G1745" s="2450">
        <f>+G1748*296</f>
        <v>0</v>
      </c>
      <c r="H1745" s="2264">
        <v>1740</v>
      </c>
      <c r="I1745" s="2264"/>
      <c r="J1745" s="2264">
        <v>0</v>
      </c>
      <c r="K1745" s="2264">
        <v>0</v>
      </c>
      <c r="L1745" s="2264">
        <f t="shared" si="332"/>
        <v>0</v>
      </c>
      <c r="M1745" s="2264">
        <f t="shared" si="333"/>
        <v>0</v>
      </c>
      <c r="N1745" s="2264">
        <f t="shared" si="334"/>
        <v>0</v>
      </c>
      <c r="O1745" s="2264">
        <f t="shared" si="335"/>
        <v>0</v>
      </c>
      <c r="P1745" s="2265"/>
      <c r="Q1745" s="2266"/>
      <c r="R1745" s="2266"/>
      <c r="S1745" s="2266"/>
    </row>
    <row r="1746" spans="1:20" s="2105" customFormat="1" outlineLevel="1">
      <c r="A1746" s="2182" t="str">
        <f>IF(G1746&lt;&gt;0,1,"")</f>
        <v/>
      </c>
      <c r="B1746" s="2261" t="s">
        <v>752</v>
      </c>
      <c r="C1746" s="2258"/>
      <c r="D1746" s="2152">
        <v>0</v>
      </c>
      <c r="E1746" s="2194" t="s">
        <v>3004</v>
      </c>
      <c r="F1746" s="2152" t="s">
        <v>856</v>
      </c>
      <c r="G1746" s="2450">
        <f>G1748*0.475</f>
        <v>0</v>
      </c>
      <c r="H1746" s="2264">
        <v>512000</v>
      </c>
      <c r="I1746" s="2264"/>
      <c r="J1746" s="2264">
        <v>0</v>
      </c>
      <c r="K1746" s="2264">
        <v>0</v>
      </c>
      <c r="L1746" s="2264">
        <f t="shared" si="332"/>
        <v>0</v>
      </c>
      <c r="M1746" s="2264">
        <f t="shared" si="333"/>
        <v>0</v>
      </c>
      <c r="N1746" s="2264">
        <f t="shared" si="334"/>
        <v>0</v>
      </c>
      <c r="O1746" s="2264">
        <f t="shared" si="335"/>
        <v>0</v>
      </c>
      <c r="P1746" s="2265"/>
      <c r="Q1746" s="2266"/>
      <c r="R1746" s="2266"/>
      <c r="S1746" s="2266"/>
    </row>
    <row r="1747" spans="1:20" s="2105" customFormat="1" outlineLevel="1">
      <c r="A1747" s="2182" t="str">
        <f>IF(G1747&lt;&gt;0,1,"")</f>
        <v/>
      </c>
      <c r="B1747" s="2261" t="s">
        <v>216</v>
      </c>
      <c r="C1747" s="2258"/>
      <c r="D1747" s="2152">
        <v>0</v>
      </c>
      <c r="E1747" s="2194" t="s">
        <v>3000</v>
      </c>
      <c r="F1747" s="2152" t="s">
        <v>856</v>
      </c>
      <c r="G1747" s="2450">
        <f>G1748*0.881</f>
        <v>0</v>
      </c>
      <c r="H1747" s="2264">
        <v>335000</v>
      </c>
      <c r="I1747" s="2264"/>
      <c r="J1747" s="2264">
        <v>0</v>
      </c>
      <c r="K1747" s="2264">
        <v>0</v>
      </c>
      <c r="L1747" s="2264">
        <f t="shared" si="332"/>
        <v>0</v>
      </c>
      <c r="M1747" s="2264">
        <f t="shared" si="333"/>
        <v>0</v>
      </c>
      <c r="N1747" s="2264">
        <f t="shared" si="334"/>
        <v>0</v>
      </c>
      <c r="O1747" s="2264">
        <f t="shared" si="335"/>
        <v>0</v>
      </c>
      <c r="P1747" s="2265"/>
      <c r="Q1747" s="2266"/>
      <c r="R1747" s="2266"/>
      <c r="S1747" s="2266"/>
    </row>
    <row r="1748" spans="1:20" s="2105" customFormat="1" outlineLevel="1">
      <c r="A1748" s="2182" t="str">
        <f>IF(G1748&lt;&gt;0,1,"")</f>
        <v/>
      </c>
      <c r="B1748" s="2261" t="s">
        <v>654</v>
      </c>
      <c r="C1748" s="2268"/>
      <c r="D1748" s="2152" t="s">
        <v>5471</v>
      </c>
      <c r="E1748" s="2194" t="s">
        <v>5474</v>
      </c>
      <c r="F1748" s="2152" t="s">
        <v>856</v>
      </c>
      <c r="G1748" s="2450">
        <f>G1743*(0.4*3*1-2*3.14*0.15^2*0.4)</f>
        <v>0</v>
      </c>
      <c r="H1748" s="2264"/>
      <c r="I1748" s="2264"/>
      <c r="J1748" s="2264">
        <v>466397.5</v>
      </c>
      <c r="K1748" s="2264">
        <v>0</v>
      </c>
      <c r="L1748" s="2264">
        <f t="shared" si="332"/>
        <v>0</v>
      </c>
      <c r="M1748" s="2264">
        <f t="shared" si="333"/>
        <v>0</v>
      </c>
      <c r="N1748" s="2264">
        <f t="shared" si="334"/>
        <v>0</v>
      </c>
      <c r="O1748" s="2264">
        <f t="shared" si="335"/>
        <v>0</v>
      </c>
      <c r="P1748" s="2265"/>
      <c r="Q1748" s="2272">
        <f>1.025*361</f>
        <v>370.02499999999998</v>
      </c>
      <c r="R1748" s="2272">
        <f>1.025*0.45</f>
        <v>0.46124999999999999</v>
      </c>
      <c r="S1748" s="2272">
        <f>1.025*0.866</f>
        <v>0.88764999999999994</v>
      </c>
      <c r="T1748" s="2273"/>
    </row>
    <row r="1749" spans="1:20" s="2477" customFormat="1" ht="13.95" customHeight="1">
      <c r="A1749" s="2474" t="str">
        <f>IF(G1749&lt;&gt;0,1,"")</f>
        <v/>
      </c>
      <c r="B1749" s="2475"/>
      <c r="C1749" s="2463">
        <f>IF(G1749&gt;0,C1743+1,C1743)</f>
        <v>0</v>
      </c>
      <c r="D1749" s="2464"/>
      <c r="E1749" s="2465" t="s">
        <v>6242</v>
      </c>
      <c r="F1749" s="2466" t="s">
        <v>2385</v>
      </c>
      <c r="G1749" s="2467">
        <f>+G1632</f>
        <v>0</v>
      </c>
      <c r="H1749" s="2468"/>
      <c r="I1749" s="2468"/>
      <c r="J1749" s="2470"/>
      <c r="K1749" s="2470"/>
      <c r="L1749" s="2471">
        <f t="shared" si="332"/>
        <v>0</v>
      </c>
      <c r="M1749" s="2471">
        <f t="shared" si="333"/>
        <v>0</v>
      </c>
      <c r="N1749" s="2471">
        <f t="shared" si="334"/>
        <v>0</v>
      </c>
      <c r="O1749" s="2471">
        <f t="shared" si="335"/>
        <v>0</v>
      </c>
      <c r="P1749" s="2476"/>
    </row>
    <row r="1750" spans="1:20" s="2105" customFormat="1" ht="14.4" outlineLevel="1">
      <c r="A1750" s="2182" t="str">
        <f>A1749</f>
        <v/>
      </c>
      <c r="B1750" s="2261"/>
      <c r="C1750" s="2258"/>
      <c r="D1750" s="2259"/>
      <c r="E1750" s="2267" t="s">
        <v>6133</v>
      </c>
      <c r="F1750" s="2268"/>
      <c r="G1750" s="2270"/>
      <c r="H1750" s="2264"/>
      <c r="I1750" s="2264"/>
      <c r="J1750" s="2264"/>
      <c r="K1750" s="2264"/>
      <c r="L1750" s="2264">
        <f t="shared" si="332"/>
        <v>0</v>
      </c>
      <c r="M1750" s="2264">
        <f t="shared" si="333"/>
        <v>0</v>
      </c>
      <c r="N1750" s="2264">
        <f t="shared" si="334"/>
        <v>0</v>
      </c>
      <c r="O1750" s="2264">
        <f t="shared" si="335"/>
        <v>0</v>
      </c>
      <c r="P1750" s="2265"/>
      <c r="Q1750" s="2266"/>
      <c r="R1750" s="2266"/>
      <c r="S1750" s="2266"/>
    </row>
    <row r="1751" spans="1:20" s="2105" customFormat="1" outlineLevel="1">
      <c r="A1751" s="2182" t="str">
        <f t="shared" ref="A1751:A1759" si="336">IF(G1751&lt;&gt;0,1,"")</f>
        <v/>
      </c>
      <c r="B1751" s="2484" t="s">
        <v>1424</v>
      </c>
      <c r="C1751" s="2268"/>
      <c r="D1751" s="2152">
        <v>0</v>
      </c>
      <c r="E1751" s="2194" t="s">
        <v>5246</v>
      </c>
      <c r="F1751" s="2152" t="s">
        <v>2248</v>
      </c>
      <c r="G1751" s="2450"/>
      <c r="H1751" s="2264">
        <v>13200</v>
      </c>
      <c r="I1751" s="2264"/>
      <c r="J1751" s="2264">
        <v>0</v>
      </c>
      <c r="K1751" s="2264">
        <v>0</v>
      </c>
      <c r="L1751" s="2264">
        <f>H1751*G1751</f>
        <v>0</v>
      </c>
      <c r="M1751" s="2264">
        <f>I1751*G1751</f>
        <v>0</v>
      </c>
      <c r="N1751" s="2264">
        <f>J1751*G1751</f>
        <v>0</v>
      </c>
      <c r="O1751" s="2264">
        <f>K1751*G1751</f>
        <v>0</v>
      </c>
      <c r="P1751" s="2265"/>
      <c r="Q1751" s="2266"/>
      <c r="R1751" s="2266"/>
      <c r="S1751" s="2266"/>
    </row>
    <row r="1752" spans="1:20" s="2105" customFormat="1" outlineLevel="1">
      <c r="A1752" s="2182" t="str">
        <f t="shared" si="336"/>
        <v/>
      </c>
      <c r="B1752" s="2484" t="s">
        <v>2008</v>
      </c>
      <c r="C1752" s="2268"/>
      <c r="D1752" s="2152">
        <v>0</v>
      </c>
      <c r="E1752" s="2194" t="s">
        <v>5247</v>
      </c>
      <c r="F1752" s="2152" t="s">
        <v>2248</v>
      </c>
      <c r="G1752" s="2450">
        <f>G1749*0.617*30.6</f>
        <v>0</v>
      </c>
      <c r="H1752" s="2264">
        <v>13300</v>
      </c>
      <c r="I1752" s="2264"/>
      <c r="J1752" s="2264">
        <v>0</v>
      </c>
      <c r="K1752" s="2264">
        <v>0</v>
      </c>
      <c r="L1752" s="2264">
        <f>H1752*G1752</f>
        <v>0</v>
      </c>
      <c r="M1752" s="2264">
        <f>I1752*G1752</f>
        <v>0</v>
      </c>
      <c r="N1752" s="2264">
        <f>J1752*G1752</f>
        <v>0</v>
      </c>
      <c r="O1752" s="2264">
        <f>K1752*G1752</f>
        <v>0</v>
      </c>
      <c r="P1752" s="2265"/>
      <c r="Q1752" s="2266"/>
      <c r="R1752" s="2266"/>
      <c r="S1752" s="2266"/>
    </row>
    <row r="1753" spans="1:20" s="2105" customFormat="1" outlineLevel="1">
      <c r="A1753" s="2182" t="str">
        <f t="shared" si="336"/>
        <v/>
      </c>
      <c r="B1753" s="2485" t="s">
        <v>6243</v>
      </c>
      <c r="C1753" s="2268"/>
      <c r="D1753" s="2152">
        <v>0</v>
      </c>
      <c r="E1753" s="2194" t="s">
        <v>5484</v>
      </c>
      <c r="F1753" s="2152" t="s">
        <v>856</v>
      </c>
      <c r="G1753" s="2450">
        <f>G1749*1.08</f>
        <v>0</v>
      </c>
      <c r="H1753" s="2264">
        <v>920580</v>
      </c>
      <c r="I1753" s="2264"/>
      <c r="J1753" s="2264">
        <v>0</v>
      </c>
      <c r="K1753" s="2264">
        <v>0</v>
      </c>
      <c r="L1753" s="2264">
        <f t="shared" si="332"/>
        <v>0</v>
      </c>
      <c r="M1753" s="2264">
        <f t="shared" si="333"/>
        <v>0</v>
      </c>
      <c r="N1753" s="2264">
        <f t="shared" si="334"/>
        <v>0</v>
      </c>
      <c r="O1753" s="2264">
        <f t="shared" si="335"/>
        <v>0</v>
      </c>
      <c r="P1753" s="2265"/>
      <c r="Q1753" s="2486">
        <f>0.9*1*1.2</f>
        <v>1.08</v>
      </c>
      <c r="R1753" s="2266"/>
      <c r="S1753" s="2266"/>
    </row>
    <row r="1754" spans="1:20" s="2105" customFormat="1" outlineLevel="1">
      <c r="A1754" s="2182" t="str">
        <f t="shared" si="336"/>
        <v/>
      </c>
      <c r="B1754" s="2487" t="s">
        <v>5485</v>
      </c>
      <c r="C1754" s="2258"/>
      <c r="D1754" s="2152">
        <v>0</v>
      </c>
      <c r="E1754" s="2194" t="s">
        <v>5486</v>
      </c>
      <c r="F1754" s="2152" t="s">
        <v>856</v>
      </c>
      <c r="G1754" s="2450">
        <f>G1749*0.1*1.4*1.2</f>
        <v>0</v>
      </c>
      <c r="H1754" s="2264">
        <v>371262</v>
      </c>
      <c r="I1754" s="2264"/>
      <c r="J1754" s="2264">
        <v>0</v>
      </c>
      <c r="K1754" s="2264">
        <v>0</v>
      </c>
      <c r="L1754" s="2264">
        <f t="shared" si="332"/>
        <v>0</v>
      </c>
      <c r="M1754" s="2264">
        <f t="shared" si="333"/>
        <v>0</v>
      </c>
      <c r="N1754" s="2264">
        <f t="shared" si="334"/>
        <v>0</v>
      </c>
      <c r="O1754" s="2264">
        <f t="shared" si="335"/>
        <v>0</v>
      </c>
      <c r="P1754" s="2265"/>
      <c r="Q1754" s="2266"/>
      <c r="R1754" s="2266"/>
      <c r="S1754" s="2266"/>
    </row>
    <row r="1755" spans="1:20" s="2105" customFormat="1" outlineLevel="1">
      <c r="A1755" s="2182" t="str">
        <f t="shared" si="336"/>
        <v/>
      </c>
      <c r="B1755" s="2488" t="s">
        <v>9</v>
      </c>
      <c r="C1755" s="2258"/>
      <c r="D1755" s="2152" t="s">
        <v>5478</v>
      </c>
      <c r="E1755" s="2194" t="s">
        <v>3199</v>
      </c>
      <c r="F1755" s="2152" t="s">
        <v>2248</v>
      </c>
      <c r="G1755" s="2450">
        <f>G1751</f>
        <v>0</v>
      </c>
      <c r="H1755" s="2264">
        <v>9814</v>
      </c>
      <c r="I1755" s="2264"/>
      <c r="J1755" s="2264">
        <v>2965.3303999999998</v>
      </c>
      <c r="K1755" s="2264">
        <v>0</v>
      </c>
      <c r="L1755" s="2264">
        <f t="shared" si="332"/>
        <v>0</v>
      </c>
      <c r="M1755" s="2264">
        <f t="shared" si="333"/>
        <v>0</v>
      </c>
      <c r="N1755" s="2264">
        <f t="shared" si="334"/>
        <v>0</v>
      </c>
      <c r="O1755" s="2264">
        <f t="shared" si="335"/>
        <v>0</v>
      </c>
      <c r="P1755" s="2265"/>
      <c r="Q1755" s="2266"/>
      <c r="R1755" s="2266"/>
      <c r="S1755" s="2266"/>
    </row>
    <row r="1756" spans="1:20" s="2105" customFormat="1" outlineLevel="1">
      <c r="A1756" s="2182" t="str">
        <f t="shared" si="336"/>
        <v/>
      </c>
      <c r="B1756" s="2488" t="s">
        <v>585</v>
      </c>
      <c r="C1756" s="2258"/>
      <c r="D1756" s="2152" t="s">
        <v>5479</v>
      </c>
      <c r="E1756" s="2194" t="s">
        <v>3200</v>
      </c>
      <c r="F1756" s="2152" t="s">
        <v>2248</v>
      </c>
      <c r="G1756" s="2450">
        <f>G1752</f>
        <v>0</v>
      </c>
      <c r="H1756" s="2264">
        <v>9970</v>
      </c>
      <c r="I1756" s="2264"/>
      <c r="J1756" s="2264">
        <v>2309.9327999999996</v>
      </c>
      <c r="K1756" s="2264">
        <v>0</v>
      </c>
      <c r="L1756" s="2264">
        <f>H1756*G1756</f>
        <v>0</v>
      </c>
      <c r="M1756" s="2264">
        <f>I1756*G1756</f>
        <v>0</v>
      </c>
      <c r="N1756" s="2264">
        <f>J1756*G1756</f>
        <v>0</v>
      </c>
      <c r="O1756" s="2264">
        <f>K1756*G1756</f>
        <v>0</v>
      </c>
      <c r="P1756" s="2265"/>
      <c r="Q1756" s="2266"/>
      <c r="R1756" s="2266"/>
      <c r="S1756" s="2266"/>
    </row>
    <row r="1757" spans="1:20" s="2105" customFormat="1" outlineLevel="1">
      <c r="A1757" s="2182" t="str">
        <f t="shared" si="336"/>
        <v/>
      </c>
      <c r="B1757" s="2261" t="s">
        <v>654</v>
      </c>
      <c r="C1757" s="2268"/>
      <c r="D1757" s="2152" t="s">
        <v>5471</v>
      </c>
      <c r="E1757" s="2194" t="s">
        <v>5474</v>
      </c>
      <c r="F1757" s="2152" t="s">
        <v>856</v>
      </c>
      <c r="G1757" s="2450">
        <f>G1753</f>
        <v>0</v>
      </c>
      <c r="H1757" s="2264"/>
      <c r="I1757" s="2264"/>
      <c r="J1757" s="2264">
        <v>466397.5</v>
      </c>
      <c r="K1757" s="2264">
        <v>0</v>
      </c>
      <c r="L1757" s="2264">
        <f t="shared" si="332"/>
        <v>0</v>
      </c>
      <c r="M1757" s="2264">
        <f t="shared" si="333"/>
        <v>0</v>
      </c>
      <c r="N1757" s="2264">
        <f t="shared" si="334"/>
        <v>0</v>
      </c>
      <c r="O1757" s="2264">
        <f t="shared" si="335"/>
        <v>0</v>
      </c>
      <c r="P1757" s="2265"/>
      <c r="Q1757" s="2272">
        <f>1.025*361</f>
        <v>370.02499999999998</v>
      </c>
      <c r="R1757" s="2272">
        <f>1.025*0.45</f>
        <v>0.46124999999999999</v>
      </c>
      <c r="S1757" s="2272">
        <f>1.025*0.866</f>
        <v>0.88764999999999994</v>
      </c>
      <c r="T1757" s="2273"/>
    </row>
    <row r="1758" spans="1:20" s="2105" customFormat="1" outlineLevel="1">
      <c r="A1758" s="2182" t="str">
        <f t="shared" si="336"/>
        <v/>
      </c>
      <c r="B1758" s="2489" t="s">
        <v>1955</v>
      </c>
      <c r="C1758" s="2268"/>
      <c r="D1758" s="2152" t="s">
        <v>5471</v>
      </c>
      <c r="E1758" s="2194" t="s">
        <v>5472</v>
      </c>
      <c r="F1758" s="2152" t="s">
        <v>856</v>
      </c>
      <c r="G1758" s="2450">
        <f>G1754</f>
        <v>0</v>
      </c>
      <c r="H1758" s="2264"/>
      <c r="I1758" s="2264"/>
      <c r="J1758" s="2264">
        <v>414064.45</v>
      </c>
      <c r="K1758" s="2264">
        <v>0</v>
      </c>
      <c r="L1758" s="2264">
        <f t="shared" si="332"/>
        <v>0</v>
      </c>
      <c r="M1758" s="2264">
        <f t="shared" si="333"/>
        <v>0</v>
      </c>
      <c r="N1758" s="2264">
        <f t="shared" si="334"/>
        <v>0</v>
      </c>
      <c r="O1758" s="2264">
        <f t="shared" si="335"/>
        <v>0</v>
      </c>
      <c r="P1758" s="2265"/>
      <c r="Q1758" s="2272">
        <f>1.025*361</f>
        <v>370.02499999999998</v>
      </c>
      <c r="R1758" s="2272">
        <f>1.025*0.45</f>
        <v>0.46124999999999999</v>
      </c>
      <c r="S1758" s="2272">
        <f>1.025*0.866</f>
        <v>0.88764999999999994</v>
      </c>
      <c r="T1758" s="2273"/>
    </row>
    <row r="1759" spans="1:20" s="2477" customFormat="1" ht="13.95" customHeight="1">
      <c r="A1759" s="2474" t="str">
        <f t="shared" si="336"/>
        <v/>
      </c>
      <c r="B1759" s="2475"/>
      <c r="C1759" s="2463">
        <f>IF(G1759&gt;0,C1749+1,C1749)</f>
        <v>0</v>
      </c>
      <c r="D1759" s="2464"/>
      <c r="E1759" s="2465" t="s">
        <v>6244</v>
      </c>
      <c r="F1759" s="2466" t="s">
        <v>2385</v>
      </c>
      <c r="G1759" s="2467">
        <f>+G1640</f>
        <v>0</v>
      </c>
      <c r="H1759" s="2468"/>
      <c r="I1759" s="2468"/>
      <c r="J1759" s="2470"/>
      <c r="K1759" s="2470"/>
      <c r="L1759" s="2471">
        <f t="shared" si="332"/>
        <v>0</v>
      </c>
      <c r="M1759" s="2471">
        <f t="shared" si="333"/>
        <v>0</v>
      </c>
      <c r="N1759" s="2471">
        <f t="shared" si="334"/>
        <v>0</v>
      </c>
      <c r="O1759" s="2471">
        <f t="shared" si="335"/>
        <v>0</v>
      </c>
      <c r="P1759" s="2476"/>
    </row>
    <row r="1760" spans="1:20" s="2105" customFormat="1" ht="14.4" outlineLevel="1">
      <c r="A1760" s="2182" t="str">
        <f>A1759</f>
        <v/>
      </c>
      <c r="B1760" s="2261"/>
      <c r="C1760" s="2258"/>
      <c r="D1760" s="2259"/>
      <c r="E1760" s="2267" t="s">
        <v>6133</v>
      </c>
      <c r="F1760" s="2268"/>
      <c r="G1760" s="2270"/>
      <c r="H1760" s="2264"/>
      <c r="I1760" s="2264"/>
      <c r="J1760" s="2264"/>
      <c r="K1760" s="2264"/>
      <c r="L1760" s="2264">
        <f t="shared" si="332"/>
        <v>0</v>
      </c>
      <c r="M1760" s="2264">
        <f t="shared" si="333"/>
        <v>0</v>
      </c>
      <c r="N1760" s="2264">
        <f t="shared" si="334"/>
        <v>0</v>
      </c>
      <c r="O1760" s="2264">
        <f t="shared" si="335"/>
        <v>0</v>
      </c>
      <c r="P1760" s="2265"/>
      <c r="Q1760" s="2266"/>
      <c r="R1760" s="2266"/>
      <c r="S1760" s="2266"/>
    </row>
    <row r="1761" spans="1:21" s="2105" customFormat="1" outlineLevel="1">
      <c r="A1761" s="2182" t="str">
        <f>IF(G1761&lt;&gt;0,1,"")</f>
        <v/>
      </c>
      <c r="B1761" s="2261" t="s">
        <v>5302</v>
      </c>
      <c r="C1761" s="2268"/>
      <c r="D1761" s="2152" t="s">
        <v>5303</v>
      </c>
      <c r="E1761" s="2194" t="s">
        <v>5304</v>
      </c>
      <c r="F1761" s="2152" t="s">
        <v>2532</v>
      </c>
      <c r="G1761" s="2450">
        <f>G1759*10*2</f>
        <v>0</v>
      </c>
      <c r="H1761" s="2264">
        <v>250000</v>
      </c>
      <c r="I1761" s="2264"/>
      <c r="J1761" s="2264">
        <v>109566.8385</v>
      </c>
      <c r="K1761" s="2264">
        <v>0</v>
      </c>
      <c r="L1761" s="2264">
        <f t="shared" si="332"/>
        <v>0</v>
      </c>
      <c r="M1761" s="2264">
        <f t="shared" si="333"/>
        <v>0</v>
      </c>
      <c r="N1761" s="2264">
        <f t="shared" si="334"/>
        <v>0</v>
      </c>
      <c r="O1761" s="2264">
        <f t="shared" si="335"/>
        <v>0</v>
      </c>
      <c r="P1761" s="2265"/>
      <c r="Q1761" s="2266">
        <f>3*4+(4-1.6)</f>
        <v>14.4</v>
      </c>
      <c r="R1761" s="2266"/>
      <c r="S1761" s="2266"/>
    </row>
    <row r="1762" spans="1:21" s="2105" customFormat="1" outlineLevel="1">
      <c r="A1762" s="2182" t="str">
        <f>IF(G1762&lt;&gt;0,1,"")</f>
        <v/>
      </c>
      <c r="B1762" s="2261" t="s">
        <v>5364</v>
      </c>
      <c r="C1762" s="2268"/>
      <c r="D1762" s="2152" t="s">
        <v>5365</v>
      </c>
      <c r="E1762" s="2194" t="s">
        <v>5366</v>
      </c>
      <c r="F1762" s="2152" t="s">
        <v>5367</v>
      </c>
      <c r="G1762" s="2450">
        <f>G1759*G1761</f>
        <v>0</v>
      </c>
      <c r="H1762" s="2264">
        <v>40000</v>
      </c>
      <c r="I1762" s="2264"/>
      <c r="J1762" s="2264">
        <v>13525.75</v>
      </c>
      <c r="K1762" s="2264">
        <v>0</v>
      </c>
      <c r="L1762" s="2264">
        <f t="shared" si="332"/>
        <v>0</v>
      </c>
      <c r="M1762" s="2264">
        <f t="shared" si="333"/>
        <v>0</v>
      </c>
      <c r="N1762" s="2264">
        <f t="shared" si="334"/>
        <v>0</v>
      </c>
      <c r="O1762" s="2264">
        <f t="shared" si="335"/>
        <v>0</v>
      </c>
      <c r="P1762" s="2265"/>
      <c r="Q1762" s="2266"/>
      <c r="R1762" s="2266"/>
      <c r="S1762" s="2266"/>
      <c r="U1762" s="2105">
        <v>0.61699999999999999</v>
      </c>
    </row>
    <row r="1763" spans="1:21" s="2105" customFormat="1" outlineLevel="1">
      <c r="A1763" s="2182" t="str">
        <f>IF(G1763&lt;&gt;0,1,"")</f>
        <v/>
      </c>
      <c r="B1763" s="2261" t="s">
        <v>5164</v>
      </c>
      <c r="C1763" s="2258"/>
      <c r="D1763" s="2152">
        <v>0</v>
      </c>
      <c r="E1763" s="2194" t="s">
        <v>5165</v>
      </c>
      <c r="F1763" s="2152" t="s">
        <v>2248</v>
      </c>
      <c r="G1763" s="2450">
        <f>G1759*Q1763*16/4</f>
        <v>0</v>
      </c>
      <c r="H1763" s="2264">
        <v>31625</v>
      </c>
      <c r="I1763" s="2264"/>
      <c r="J1763" s="2264">
        <v>0</v>
      </c>
      <c r="K1763" s="2264">
        <v>0</v>
      </c>
      <c r="L1763" s="2264">
        <f t="shared" si="332"/>
        <v>0</v>
      </c>
      <c r="M1763" s="2264">
        <f t="shared" si="333"/>
        <v>0</v>
      </c>
      <c r="N1763" s="2264">
        <f t="shared" si="334"/>
        <v>0</v>
      </c>
      <c r="O1763" s="2264">
        <f t="shared" si="335"/>
        <v>0</v>
      </c>
      <c r="P1763" s="2265"/>
      <c r="Q1763" s="2266">
        <f>14*2+16*2</f>
        <v>60</v>
      </c>
      <c r="R1763" s="2266"/>
      <c r="S1763" s="2266"/>
    </row>
    <row r="1764" spans="1:21" s="2105" customFormat="1" outlineLevel="1">
      <c r="A1764" s="2182" t="str">
        <f>IF(G1764&lt;&gt;0,1,"")</f>
        <v/>
      </c>
      <c r="B1764" s="2261" t="s">
        <v>5166</v>
      </c>
      <c r="C1764" s="2258"/>
      <c r="D1764" s="2152">
        <v>0</v>
      </c>
      <c r="E1764" s="2194" t="s">
        <v>5167</v>
      </c>
      <c r="F1764" s="2152" t="s">
        <v>2248</v>
      </c>
      <c r="G1764" s="2450">
        <f>G1759*17.7*14/6</f>
        <v>0</v>
      </c>
      <c r="H1764" s="2264">
        <v>31625</v>
      </c>
      <c r="I1764" s="2264"/>
      <c r="J1764" s="2264">
        <v>0</v>
      </c>
      <c r="K1764" s="2264">
        <v>0</v>
      </c>
      <c r="L1764" s="2264">
        <f t="shared" si="332"/>
        <v>0</v>
      </c>
      <c r="M1764" s="2264">
        <f t="shared" si="333"/>
        <v>0</v>
      </c>
      <c r="N1764" s="2264">
        <f t="shared" si="334"/>
        <v>0</v>
      </c>
      <c r="O1764" s="2264">
        <f t="shared" si="335"/>
        <v>0</v>
      </c>
      <c r="P1764" s="2265"/>
      <c r="Q1764" s="2266"/>
      <c r="R1764" s="2266"/>
      <c r="S1764" s="2266"/>
    </row>
    <row r="1765" spans="1:21" s="2105" customFormat="1" outlineLevel="1">
      <c r="A1765" s="2182" t="str">
        <f t="shared" ref="A1765:A1775" si="337">IF(G1765&lt;&gt;0,1,"")</f>
        <v/>
      </c>
      <c r="B1765" s="2261" t="s">
        <v>279</v>
      </c>
      <c r="C1765" s="2258"/>
      <c r="D1765" s="2152">
        <v>0</v>
      </c>
      <c r="E1765" s="2194" t="s">
        <v>6360</v>
      </c>
      <c r="F1765" s="2152" t="s">
        <v>2248</v>
      </c>
      <c r="G1765" s="2450">
        <f>G1762*0.2*0.467</f>
        <v>0</v>
      </c>
      <c r="H1765" s="2264">
        <v>31625</v>
      </c>
      <c r="I1765" s="2264"/>
      <c r="J1765" s="2264">
        <v>0</v>
      </c>
      <c r="K1765" s="2264">
        <v>0</v>
      </c>
      <c r="L1765" s="2264">
        <f t="shared" si="332"/>
        <v>0</v>
      </c>
      <c r="M1765" s="2264">
        <f t="shared" si="333"/>
        <v>0</v>
      </c>
      <c r="N1765" s="2264">
        <f t="shared" si="334"/>
        <v>0</v>
      </c>
      <c r="O1765" s="2264">
        <f t="shared" si="335"/>
        <v>0</v>
      </c>
      <c r="P1765" s="2265"/>
      <c r="Q1765" s="2266"/>
      <c r="R1765" s="2266"/>
      <c r="S1765" s="2266"/>
    </row>
    <row r="1766" spans="1:21" s="2105" customFormat="1" outlineLevel="1">
      <c r="A1766" s="2182" t="str">
        <f t="shared" si="337"/>
        <v/>
      </c>
      <c r="B1766" s="2261" t="s">
        <v>6245</v>
      </c>
      <c r="C1766" s="2258"/>
      <c r="D1766" s="2152">
        <v>0</v>
      </c>
      <c r="E1766" s="2194" t="s">
        <v>6361</v>
      </c>
      <c r="F1766" s="2152" t="s">
        <v>2532</v>
      </c>
      <c r="G1766" s="2450"/>
      <c r="H1766" s="2264">
        <v>70000</v>
      </c>
      <c r="I1766" s="2264"/>
      <c r="J1766" s="2264">
        <v>0</v>
      </c>
      <c r="K1766" s="2264">
        <v>0</v>
      </c>
      <c r="L1766" s="2264">
        <f t="shared" si="332"/>
        <v>0</v>
      </c>
      <c r="M1766" s="2264">
        <f t="shared" si="333"/>
        <v>0</v>
      </c>
      <c r="N1766" s="2264">
        <f t="shared" si="334"/>
        <v>0</v>
      </c>
      <c r="O1766" s="2264">
        <f t="shared" si="335"/>
        <v>0</v>
      </c>
      <c r="P1766" s="2265"/>
      <c r="Q1766" s="2266"/>
      <c r="R1766" s="2266"/>
      <c r="S1766" s="2266"/>
    </row>
    <row r="1767" spans="1:21" s="2105" customFormat="1" outlineLevel="1">
      <c r="A1767" s="2182" t="str">
        <f t="shared" si="337"/>
        <v/>
      </c>
      <c r="B1767" s="2261" t="s">
        <v>745</v>
      </c>
      <c r="C1767" s="2258"/>
      <c r="D1767" s="2152">
        <v>0</v>
      </c>
      <c r="E1767" s="2194" t="s">
        <v>6362</v>
      </c>
      <c r="F1767" s="2152" t="s">
        <v>2248</v>
      </c>
      <c r="G1767" s="2450">
        <f>G1759*36*0.395</f>
        <v>0</v>
      </c>
      <c r="H1767" s="2264">
        <v>13200</v>
      </c>
      <c r="I1767" s="2264"/>
      <c r="J1767" s="2264">
        <v>0</v>
      </c>
      <c r="K1767" s="2264">
        <v>0</v>
      </c>
      <c r="L1767" s="2264">
        <f t="shared" si="332"/>
        <v>0</v>
      </c>
      <c r="M1767" s="2264">
        <f t="shared" si="333"/>
        <v>0</v>
      </c>
      <c r="N1767" s="2264">
        <f t="shared" si="334"/>
        <v>0</v>
      </c>
      <c r="O1767" s="2264">
        <f t="shared" si="335"/>
        <v>0</v>
      </c>
      <c r="P1767" s="2265"/>
      <c r="Q1767" s="2266"/>
      <c r="R1767" s="2266"/>
      <c r="S1767" s="2266"/>
    </row>
    <row r="1768" spans="1:21" s="2105" customFormat="1" ht="27.6" outlineLevel="1">
      <c r="A1768" s="2182" t="str">
        <f t="shared" si="337"/>
        <v/>
      </c>
      <c r="B1768" s="2261" t="s">
        <v>5058</v>
      </c>
      <c r="C1768" s="2258"/>
      <c r="D1768" s="2152">
        <v>0</v>
      </c>
      <c r="E1768" s="2278" t="s">
        <v>6363</v>
      </c>
      <c r="F1768" s="2152" t="s">
        <v>2439</v>
      </c>
      <c r="G1768" s="2450">
        <f>G1762*4</f>
        <v>0</v>
      </c>
      <c r="H1768" s="2264">
        <v>35600</v>
      </c>
      <c r="I1768" s="2264"/>
      <c r="J1768" s="2264">
        <v>0</v>
      </c>
      <c r="K1768" s="2264">
        <v>0</v>
      </c>
      <c r="L1768" s="2264">
        <f t="shared" si="332"/>
        <v>0</v>
      </c>
      <c r="M1768" s="2264">
        <f t="shared" si="333"/>
        <v>0</v>
      </c>
      <c r="N1768" s="2264">
        <f t="shared" si="334"/>
        <v>0</v>
      </c>
      <c r="O1768" s="2264">
        <f t="shared" si="335"/>
        <v>0</v>
      </c>
      <c r="P1768" s="2265"/>
      <c r="Q1768" s="2266"/>
      <c r="R1768" s="2266"/>
      <c r="S1768" s="2266"/>
    </row>
    <row r="1769" spans="1:21" s="2105" customFormat="1" outlineLevel="1">
      <c r="A1769" s="2182" t="str">
        <f t="shared" si="337"/>
        <v/>
      </c>
      <c r="B1769" s="2261" t="s">
        <v>6243</v>
      </c>
      <c r="C1769" s="2258"/>
      <c r="D1769" s="2152">
        <v>0</v>
      </c>
      <c r="E1769" s="2194" t="s">
        <v>6364</v>
      </c>
      <c r="F1769" s="2152" t="s">
        <v>856</v>
      </c>
      <c r="G1769" s="2450">
        <f>G1759*0.12</f>
        <v>0</v>
      </c>
      <c r="H1769" s="2264">
        <v>920580</v>
      </c>
      <c r="I1769" s="2264"/>
      <c r="J1769" s="2264">
        <v>0</v>
      </c>
      <c r="K1769" s="2264">
        <v>0</v>
      </c>
      <c r="L1769" s="2264">
        <f t="shared" si="332"/>
        <v>0</v>
      </c>
      <c r="M1769" s="2264">
        <f t="shared" si="333"/>
        <v>0</v>
      </c>
      <c r="N1769" s="2264">
        <f t="shared" si="334"/>
        <v>0</v>
      </c>
      <c r="O1769" s="2264">
        <f t="shared" si="335"/>
        <v>0</v>
      </c>
      <c r="P1769" s="2265"/>
      <c r="Q1769" s="2266"/>
      <c r="R1769" s="2266"/>
      <c r="S1769" s="2266"/>
    </row>
    <row r="1770" spans="1:21" s="2105" customFormat="1" outlineLevel="1">
      <c r="A1770" s="2182" t="str">
        <f t="shared" si="337"/>
        <v/>
      </c>
      <c r="B1770" s="2261" t="s">
        <v>934</v>
      </c>
      <c r="C1770" s="2258"/>
      <c r="D1770" s="2152">
        <v>0</v>
      </c>
      <c r="E1770" s="2194" t="s">
        <v>3005</v>
      </c>
      <c r="F1770" s="2152" t="s">
        <v>3006</v>
      </c>
      <c r="G1770" s="2450">
        <f>G1759*140*3</f>
        <v>0</v>
      </c>
      <c r="H1770" s="2264">
        <v>1900</v>
      </c>
      <c r="I1770" s="2264"/>
      <c r="J1770" s="2264">
        <v>0</v>
      </c>
      <c r="K1770" s="2264">
        <v>0</v>
      </c>
      <c r="L1770" s="2264">
        <f t="shared" si="332"/>
        <v>0</v>
      </c>
      <c r="M1770" s="2264"/>
      <c r="N1770" s="2264">
        <f t="shared" si="334"/>
        <v>0</v>
      </c>
      <c r="O1770" s="2264">
        <f t="shared" si="335"/>
        <v>0</v>
      </c>
      <c r="P1770" s="2265"/>
      <c r="Q1770" s="2266"/>
      <c r="R1770" s="2266"/>
      <c r="S1770" s="2266"/>
    </row>
    <row r="1771" spans="1:21" s="2105" customFormat="1" outlineLevel="1">
      <c r="A1771" s="2182" t="str">
        <f t="shared" si="337"/>
        <v/>
      </c>
      <c r="B1771" s="2261" t="s">
        <v>5487</v>
      </c>
      <c r="C1771" s="2258"/>
      <c r="D1771" s="2152" t="s">
        <v>5488</v>
      </c>
      <c r="E1771" s="2194" t="s">
        <v>5489</v>
      </c>
      <c r="F1771" s="2152" t="s">
        <v>856</v>
      </c>
      <c r="G1771" s="2450">
        <f>G1759*14*0.2*0.5</f>
        <v>0</v>
      </c>
      <c r="H1771" s="2264">
        <v>0</v>
      </c>
      <c r="I1771" s="2264"/>
      <c r="J1771" s="2264">
        <v>316240.8</v>
      </c>
      <c r="K1771" s="2264">
        <v>0</v>
      </c>
      <c r="L1771" s="2264">
        <f t="shared" si="332"/>
        <v>0</v>
      </c>
      <c r="M1771" s="2264"/>
      <c r="N1771" s="2264">
        <f t="shared" si="334"/>
        <v>0</v>
      </c>
      <c r="O1771" s="2264">
        <f t="shared" si="335"/>
        <v>0</v>
      </c>
      <c r="P1771" s="2265"/>
      <c r="Q1771" s="2266"/>
      <c r="R1771" s="2266"/>
      <c r="S1771" s="2266"/>
    </row>
    <row r="1772" spans="1:21" s="2105" customFormat="1" outlineLevel="1">
      <c r="A1772" s="2182" t="str">
        <f t="shared" si="337"/>
        <v/>
      </c>
      <c r="B1772" s="2261" t="s">
        <v>9</v>
      </c>
      <c r="C1772" s="2258"/>
      <c r="D1772" s="2152" t="s">
        <v>5478</v>
      </c>
      <c r="E1772" s="2194" t="s">
        <v>3199</v>
      </c>
      <c r="F1772" s="2152" t="s">
        <v>2248</v>
      </c>
      <c r="G1772" s="2450">
        <f>G1767</f>
        <v>0</v>
      </c>
      <c r="H1772" s="2264">
        <v>9814</v>
      </c>
      <c r="I1772" s="2264"/>
      <c r="J1772" s="2264">
        <v>2965.3303999999998</v>
      </c>
      <c r="K1772" s="2264">
        <v>0</v>
      </c>
      <c r="L1772" s="2264">
        <f t="shared" si="332"/>
        <v>0</v>
      </c>
      <c r="M1772" s="2264">
        <f t="shared" si="333"/>
        <v>0</v>
      </c>
      <c r="N1772" s="2264">
        <f t="shared" si="334"/>
        <v>0</v>
      </c>
      <c r="O1772" s="2264">
        <f t="shared" si="335"/>
        <v>0</v>
      </c>
      <c r="P1772" s="2265"/>
      <c r="Q1772" s="2266"/>
      <c r="R1772" s="2266"/>
      <c r="S1772" s="2266"/>
    </row>
    <row r="1773" spans="1:21" s="2105" customFormat="1" outlineLevel="1">
      <c r="A1773" s="2182" t="str">
        <f t="shared" si="337"/>
        <v/>
      </c>
      <c r="B1773" s="2261" t="s">
        <v>654</v>
      </c>
      <c r="C1773" s="2268"/>
      <c r="D1773" s="2152" t="s">
        <v>5471</v>
      </c>
      <c r="E1773" s="2194" t="s">
        <v>5474</v>
      </c>
      <c r="F1773" s="2152" t="s">
        <v>856</v>
      </c>
      <c r="G1773" s="2450">
        <f>G1769</f>
        <v>0</v>
      </c>
      <c r="H1773" s="2264"/>
      <c r="I1773" s="2264"/>
      <c r="J1773" s="2264">
        <v>466397.5</v>
      </c>
      <c r="K1773" s="2264">
        <v>0</v>
      </c>
      <c r="L1773" s="2264">
        <f t="shared" si="332"/>
        <v>0</v>
      </c>
      <c r="M1773" s="2264">
        <f t="shared" si="333"/>
        <v>0</v>
      </c>
      <c r="N1773" s="2264">
        <f t="shared" si="334"/>
        <v>0</v>
      </c>
      <c r="O1773" s="2264">
        <f t="shared" si="335"/>
        <v>0</v>
      </c>
      <c r="P1773" s="2265"/>
      <c r="Q1773" s="2272">
        <f>1.025*361</f>
        <v>370.02499999999998</v>
      </c>
      <c r="R1773" s="2272">
        <f>1.025*0.45</f>
        <v>0.46124999999999999</v>
      </c>
      <c r="S1773" s="2272">
        <f>1.025*0.866</f>
        <v>0.88764999999999994</v>
      </c>
      <c r="T1773" s="2273"/>
    </row>
    <row r="1774" spans="1:21" s="2105" customFormat="1" outlineLevel="1">
      <c r="A1774" s="2182" t="str">
        <f t="shared" si="337"/>
        <v/>
      </c>
      <c r="B1774" s="2261" t="s">
        <v>1955</v>
      </c>
      <c r="C1774" s="2268"/>
      <c r="D1774" s="2152" t="s">
        <v>5471</v>
      </c>
      <c r="E1774" s="2194" t="s">
        <v>5472</v>
      </c>
      <c r="F1774" s="2152" t="s">
        <v>856</v>
      </c>
      <c r="G1774" s="2450"/>
      <c r="H1774" s="2264"/>
      <c r="I1774" s="2264"/>
      <c r="J1774" s="2264">
        <v>414064.45</v>
      </c>
      <c r="K1774" s="2264">
        <v>0</v>
      </c>
      <c r="L1774" s="2264">
        <f t="shared" si="332"/>
        <v>0</v>
      </c>
      <c r="M1774" s="2264">
        <f t="shared" si="333"/>
        <v>0</v>
      </c>
      <c r="N1774" s="2264">
        <f t="shared" si="334"/>
        <v>0</v>
      </c>
      <c r="O1774" s="2264">
        <f t="shared" si="335"/>
        <v>0</v>
      </c>
      <c r="P1774" s="2265"/>
      <c r="Q1774" s="2272">
        <f>1.025*361</f>
        <v>370.02499999999998</v>
      </c>
      <c r="R1774" s="2272">
        <f>1.025*0.45</f>
        <v>0.46124999999999999</v>
      </c>
      <c r="S1774" s="2272">
        <f>1.025*0.866</f>
        <v>0.88764999999999994</v>
      </c>
      <c r="T1774" s="2273"/>
    </row>
    <row r="1775" spans="1:21" s="2105" customFormat="1" outlineLevel="1">
      <c r="A1775" s="2182" t="str">
        <f t="shared" si="337"/>
        <v/>
      </c>
      <c r="B1775" s="2261" t="s">
        <v>5480</v>
      </c>
      <c r="C1775" s="2268"/>
      <c r="D1775" s="2152" t="s">
        <v>5481</v>
      </c>
      <c r="E1775" s="2194" t="s">
        <v>5482</v>
      </c>
      <c r="F1775" s="2152" t="s">
        <v>1960</v>
      </c>
      <c r="G1775" s="2450">
        <f>G1759*(2*5.5+0.2*2.8)</f>
        <v>0</v>
      </c>
      <c r="H1775" s="2264"/>
      <c r="I1775" s="2264"/>
      <c r="J1775" s="2264">
        <v>74440.5</v>
      </c>
      <c r="K1775" s="2264">
        <v>0</v>
      </c>
      <c r="L1775" s="2264">
        <f t="shared" si="332"/>
        <v>0</v>
      </c>
      <c r="M1775" s="2264">
        <f t="shared" si="333"/>
        <v>0</v>
      </c>
      <c r="N1775" s="2264">
        <f t="shared" si="334"/>
        <v>0</v>
      </c>
      <c r="O1775" s="2264">
        <f t="shared" si="335"/>
        <v>0</v>
      </c>
      <c r="P1775" s="2265"/>
      <c r="Q1775" s="2272"/>
      <c r="R1775" s="2272"/>
      <c r="S1775" s="2272"/>
      <c r="T1775" s="2273"/>
    </row>
    <row r="1776" spans="1:21" s="2477" customFormat="1" ht="13.95" customHeight="1">
      <c r="A1776" s="2474" t="str">
        <f>IF(G1776&lt;&gt;0,1,"")</f>
        <v/>
      </c>
      <c r="B1776" s="2261"/>
      <c r="C1776" s="2463">
        <f>IF(G1776&gt;0,C1759+1,C1759)</f>
        <v>0</v>
      </c>
      <c r="D1776" s="2464"/>
      <c r="E1776" s="2465" t="s">
        <v>6209</v>
      </c>
      <c r="F1776" s="2466" t="s">
        <v>2385</v>
      </c>
      <c r="G1776" s="2467">
        <f>G1722</f>
        <v>0</v>
      </c>
      <c r="H1776" s="2468"/>
      <c r="I1776" s="2468"/>
      <c r="J1776" s="2470"/>
      <c r="K1776" s="2470"/>
      <c r="L1776" s="2471">
        <f t="shared" si="332"/>
        <v>0</v>
      </c>
      <c r="M1776" s="2471">
        <f t="shared" si="333"/>
        <v>0</v>
      </c>
      <c r="N1776" s="2471">
        <f t="shared" si="334"/>
        <v>0</v>
      </c>
      <c r="O1776" s="2471">
        <f t="shared" si="335"/>
        <v>0</v>
      </c>
      <c r="P1776" s="2476"/>
    </row>
    <row r="1777" spans="1:19" s="2105" customFormat="1" ht="14.4" outlineLevel="1">
      <c r="A1777" s="2182" t="str">
        <f>A1776</f>
        <v/>
      </c>
      <c r="B1777" s="2261"/>
      <c r="C1777" s="2258"/>
      <c r="D1777" s="2259"/>
      <c r="E1777" s="2267" t="s">
        <v>6133</v>
      </c>
      <c r="F1777" s="2268"/>
      <c r="G1777" s="2450"/>
      <c r="H1777" s="2264"/>
      <c r="I1777" s="2264"/>
      <c r="J1777" s="2264"/>
      <c r="K1777" s="2264"/>
      <c r="L1777" s="2264">
        <f t="shared" si="332"/>
        <v>0</v>
      </c>
      <c r="M1777" s="2264">
        <f t="shared" si="333"/>
        <v>0</v>
      </c>
      <c r="N1777" s="2264">
        <f t="shared" si="334"/>
        <v>0</v>
      </c>
      <c r="O1777" s="2264">
        <f t="shared" si="335"/>
        <v>0</v>
      </c>
      <c r="P1777" s="2441"/>
      <c r="Q1777" s="2266"/>
      <c r="R1777" s="2266"/>
      <c r="S1777" s="2266"/>
    </row>
    <row r="1778" spans="1:19" s="2105" customFormat="1" outlineLevel="1">
      <c r="A1778" s="2182" t="str">
        <f>IF(G1778&lt;&gt;0,1,"")</f>
        <v/>
      </c>
      <c r="B1778" s="2261" t="s">
        <v>5641</v>
      </c>
      <c r="C1778" s="2268"/>
      <c r="D1778" s="2152" t="s">
        <v>5633</v>
      </c>
      <c r="E1778" s="2194" t="s">
        <v>5642</v>
      </c>
      <c r="F1778" s="2152" t="s">
        <v>2555</v>
      </c>
      <c r="G1778" s="2450">
        <f>G1776</f>
        <v>0</v>
      </c>
      <c r="H1778" s="2264">
        <v>90000000</v>
      </c>
      <c r="I1778" s="2264"/>
      <c r="J1778" s="2264">
        <v>872965.44</v>
      </c>
      <c r="K1778" s="2264">
        <v>55839</v>
      </c>
      <c r="L1778" s="2264">
        <f t="shared" si="332"/>
        <v>0</v>
      </c>
      <c r="M1778" s="2264">
        <f t="shared" si="333"/>
        <v>0</v>
      </c>
      <c r="N1778" s="2264">
        <f t="shared" si="334"/>
        <v>0</v>
      </c>
      <c r="O1778" s="2264">
        <f t="shared" si="335"/>
        <v>0</v>
      </c>
      <c r="P1778" s="2441"/>
      <c r="Q1778" s="2266"/>
      <c r="R1778" s="2266"/>
      <c r="S1778" s="2266"/>
    </row>
    <row r="1779" spans="1:19" s="2105" customFormat="1" outlineLevel="1">
      <c r="A1779" s="2182" t="str">
        <f>IF(G1779&lt;&gt;0,1,"")</f>
        <v/>
      </c>
      <c r="B1779" s="2261" t="s">
        <v>880</v>
      </c>
      <c r="C1779" s="2258"/>
      <c r="D1779" s="2152">
        <v>0</v>
      </c>
      <c r="E1779" s="2194" t="s">
        <v>5799</v>
      </c>
      <c r="F1779" s="2152" t="s">
        <v>2555</v>
      </c>
      <c r="G1779" s="2450">
        <f>G1776</f>
        <v>0</v>
      </c>
      <c r="H1779" s="2264">
        <v>284000</v>
      </c>
      <c r="I1779" s="2264"/>
      <c r="J1779" s="2264"/>
      <c r="K1779" s="2264">
        <v>0</v>
      </c>
      <c r="L1779" s="2264">
        <f t="shared" si="332"/>
        <v>0</v>
      </c>
      <c r="M1779" s="2264">
        <f t="shared" si="333"/>
        <v>0</v>
      </c>
      <c r="N1779" s="2264">
        <f t="shared" si="334"/>
        <v>0</v>
      </c>
      <c r="O1779" s="2264">
        <f t="shared" si="335"/>
        <v>0</v>
      </c>
      <c r="P1779" s="2441"/>
      <c r="Q1779" s="2266"/>
      <c r="R1779" s="2266"/>
      <c r="S1779" s="2266"/>
    </row>
    <row r="1780" spans="1:19" s="2105" customFormat="1" outlineLevel="1">
      <c r="A1780" s="2182" t="str">
        <f>IF(G1780&lt;&gt;0,1,"")</f>
        <v/>
      </c>
      <c r="B1780" s="2261" t="s">
        <v>289</v>
      </c>
      <c r="C1780" s="2268"/>
      <c r="D1780" s="2152">
        <v>0</v>
      </c>
      <c r="E1780" s="2194" t="s">
        <v>5712</v>
      </c>
      <c r="F1780" s="2152" t="s">
        <v>2555</v>
      </c>
      <c r="G1780" s="2450">
        <f>G1776</f>
        <v>0</v>
      </c>
      <c r="H1780" s="2264">
        <v>300000</v>
      </c>
      <c r="I1780" s="2264"/>
      <c r="J1780" s="2264">
        <v>0</v>
      </c>
      <c r="K1780" s="2264">
        <v>0</v>
      </c>
      <c r="L1780" s="2264">
        <f t="shared" si="332"/>
        <v>0</v>
      </c>
      <c r="M1780" s="2264">
        <f t="shared" si="333"/>
        <v>0</v>
      </c>
      <c r="N1780" s="2264">
        <f t="shared" si="334"/>
        <v>0</v>
      </c>
      <c r="O1780" s="2264">
        <f t="shared" si="335"/>
        <v>0</v>
      </c>
      <c r="P1780" s="2389"/>
      <c r="Q1780" s="2266"/>
      <c r="R1780" s="2266"/>
      <c r="S1780" s="2266"/>
    </row>
    <row r="1781" spans="1:19" s="2105" customFormat="1" outlineLevel="1">
      <c r="A1781" s="2182" t="str">
        <f t="shared" ref="A1781:A1801" si="338">IF(G1781&lt;&gt;0,1,"")</f>
        <v/>
      </c>
      <c r="B1781" s="2261" t="s">
        <v>588</v>
      </c>
      <c r="C1781" s="2268"/>
      <c r="D1781" s="2152">
        <v>0</v>
      </c>
      <c r="E1781" s="2194" t="s">
        <v>2982</v>
      </c>
      <c r="F1781" s="2152" t="s">
        <v>2439</v>
      </c>
      <c r="G1781" s="2450"/>
      <c r="H1781" s="2264">
        <v>168000</v>
      </c>
      <c r="I1781" s="2264"/>
      <c r="J1781" s="2264">
        <v>0</v>
      </c>
      <c r="K1781" s="2264">
        <v>0</v>
      </c>
      <c r="L1781" s="2264">
        <f t="shared" si="332"/>
        <v>0</v>
      </c>
      <c r="M1781" s="2264">
        <f t="shared" si="333"/>
        <v>0</v>
      </c>
      <c r="N1781" s="2264">
        <f t="shared" si="334"/>
        <v>0</v>
      </c>
      <c r="O1781" s="2264">
        <f t="shared" si="335"/>
        <v>0</v>
      </c>
      <c r="P1781" s="2441"/>
      <c r="Q1781" s="2266"/>
      <c r="R1781" s="2266"/>
      <c r="S1781" s="2266"/>
    </row>
    <row r="1782" spans="1:19" s="2105" customFormat="1" outlineLevel="1">
      <c r="A1782" s="2182" t="str">
        <f t="shared" si="338"/>
        <v/>
      </c>
      <c r="B1782" s="2261" t="s">
        <v>2276</v>
      </c>
      <c r="C1782" s="2268"/>
      <c r="D1782" s="2152">
        <v>0</v>
      </c>
      <c r="E1782" s="2194" t="s">
        <v>2786</v>
      </c>
      <c r="F1782" s="2152" t="s">
        <v>2532</v>
      </c>
      <c r="G1782" s="2450">
        <f>G1776*6*0</f>
        <v>0</v>
      </c>
      <c r="H1782" s="2264">
        <v>63200</v>
      </c>
      <c r="I1782" s="2264"/>
      <c r="J1782" s="2264">
        <v>0</v>
      </c>
      <c r="K1782" s="2264">
        <v>0</v>
      </c>
      <c r="L1782" s="2264">
        <f t="shared" si="332"/>
        <v>0</v>
      </c>
      <c r="M1782" s="2264">
        <f t="shared" si="333"/>
        <v>0</v>
      </c>
      <c r="N1782" s="2264">
        <f t="shared" si="334"/>
        <v>0</v>
      </c>
      <c r="O1782" s="2264">
        <f t="shared" si="335"/>
        <v>0</v>
      </c>
      <c r="P1782" s="2441"/>
      <c r="Q1782" s="2266"/>
      <c r="R1782" s="2266"/>
      <c r="S1782" s="2266"/>
    </row>
    <row r="1783" spans="1:19" s="2105" customFormat="1" outlineLevel="1">
      <c r="A1783" s="2182" t="str">
        <f t="shared" si="338"/>
        <v/>
      </c>
      <c r="B1783" s="2261" t="s">
        <v>5734</v>
      </c>
      <c r="C1783" s="2268"/>
      <c r="D1783" s="2152" t="s">
        <v>5724</v>
      </c>
      <c r="E1783" s="2194" t="s">
        <v>5735</v>
      </c>
      <c r="F1783" s="2152" t="s">
        <v>2555</v>
      </c>
      <c r="G1783" s="2450">
        <f>G1776*4*2*0</f>
        <v>0</v>
      </c>
      <c r="H1783" s="2264">
        <v>1700</v>
      </c>
      <c r="I1783" s="2264"/>
      <c r="J1783" s="2264">
        <v>3637.3560000000002</v>
      </c>
      <c r="K1783" s="2264">
        <v>1666.2139485</v>
      </c>
      <c r="L1783" s="2264">
        <f t="shared" si="332"/>
        <v>0</v>
      </c>
      <c r="M1783" s="2264">
        <f t="shared" si="333"/>
        <v>0</v>
      </c>
      <c r="N1783" s="2264">
        <f t="shared" si="334"/>
        <v>0</v>
      </c>
      <c r="O1783" s="2264">
        <f t="shared" si="335"/>
        <v>0</v>
      </c>
      <c r="P1783" s="2441"/>
      <c r="Q1783" s="2266"/>
      <c r="R1783" s="2266"/>
      <c r="S1783" s="2266"/>
    </row>
    <row r="1784" spans="1:19" s="2478" customFormat="1" ht="13.95" customHeight="1">
      <c r="A1784" s="2479" t="str">
        <f>IF(G1784&lt;&gt;0,1,"")</f>
        <v/>
      </c>
      <c r="B1784" s="2261"/>
      <c r="C1784" s="2463">
        <f>IF(G1784&gt;0,C1776+1,C1776)</f>
        <v>0</v>
      </c>
      <c r="D1784" s="2481"/>
      <c r="E1784" s="2465" t="s">
        <v>6246</v>
      </c>
      <c r="F1784" s="2466" t="s">
        <v>2385</v>
      </c>
      <c r="G1784" s="2490"/>
      <c r="H1784" s="2469"/>
      <c r="I1784" s="2469"/>
      <c r="J1784" s="2482"/>
      <c r="K1784" s="2482"/>
      <c r="L1784" s="2472"/>
      <c r="M1784" s="2472"/>
      <c r="N1784" s="2472"/>
      <c r="O1784" s="2472"/>
      <c r="P1784" s="2483"/>
    </row>
    <row r="1785" spans="1:19" s="2499" customFormat="1" ht="14.4" outlineLevel="1">
      <c r="A1785" s="2491" t="str">
        <f>A1784</f>
        <v/>
      </c>
      <c r="B1785" s="2261"/>
      <c r="C1785" s="2492"/>
      <c r="D1785" s="2493"/>
      <c r="E1785" s="2494" t="s">
        <v>6133</v>
      </c>
      <c r="F1785" s="2493"/>
      <c r="G1785" s="2495"/>
      <c r="H1785" s="2496"/>
      <c r="I1785" s="2496"/>
      <c r="J1785" s="2496"/>
      <c r="K1785" s="2496"/>
      <c r="L1785" s="2496"/>
      <c r="M1785" s="2496"/>
      <c r="N1785" s="2496"/>
      <c r="O1785" s="2496"/>
      <c r="P1785" s="2497"/>
      <c r="Q1785" s="2498"/>
      <c r="R1785" s="2266"/>
      <c r="S1785" s="2498"/>
    </row>
    <row r="1786" spans="1:19" s="2105" customFormat="1" outlineLevel="1">
      <c r="A1786" s="2182" t="str">
        <f t="shared" si="338"/>
        <v/>
      </c>
      <c r="B1786" s="2261" t="s">
        <v>6247</v>
      </c>
      <c r="C1786" s="2268"/>
      <c r="D1786" s="2152" t="s">
        <v>5655</v>
      </c>
      <c r="E1786" s="2194" t="s">
        <v>5659</v>
      </c>
      <c r="F1786" s="2152" t="s">
        <v>2555</v>
      </c>
      <c r="G1786" s="2450">
        <f>G1784</f>
        <v>0</v>
      </c>
      <c r="H1786" s="2264">
        <v>783952</v>
      </c>
      <c r="I1786" s="2264"/>
      <c r="J1786" s="2264">
        <v>599038</v>
      </c>
      <c r="K1786" s="2264">
        <v>97369</v>
      </c>
      <c r="L1786" s="2264">
        <f t="shared" si="332"/>
        <v>0</v>
      </c>
      <c r="M1786" s="2264">
        <f t="shared" si="333"/>
        <v>0</v>
      </c>
      <c r="N1786" s="2264">
        <f t="shared" si="334"/>
        <v>0</v>
      </c>
      <c r="O1786" s="2264">
        <f t="shared" si="335"/>
        <v>0</v>
      </c>
      <c r="P1786" s="2441"/>
      <c r="Q1786" s="2266"/>
      <c r="R1786" s="2266"/>
      <c r="S1786" s="2266"/>
    </row>
    <row r="1787" spans="1:19" s="2105" customFormat="1" outlineLevel="1">
      <c r="A1787" s="2182" t="str">
        <f t="shared" si="338"/>
        <v/>
      </c>
      <c r="B1787" s="2261" t="s">
        <v>880</v>
      </c>
      <c r="C1787" s="2268"/>
      <c r="D1787" s="2152">
        <v>0</v>
      </c>
      <c r="E1787" s="2194" t="s">
        <v>5799</v>
      </c>
      <c r="F1787" s="2152" t="s">
        <v>2555</v>
      </c>
      <c r="G1787" s="2450">
        <f>G1786</f>
        <v>0</v>
      </c>
      <c r="H1787" s="2264">
        <v>284000</v>
      </c>
      <c r="I1787" s="2264"/>
      <c r="J1787" s="2264">
        <v>5404</v>
      </c>
      <c r="K1787" s="2264">
        <v>0</v>
      </c>
      <c r="L1787" s="2264">
        <f t="shared" si="332"/>
        <v>0</v>
      </c>
      <c r="M1787" s="2264">
        <f t="shared" si="333"/>
        <v>0</v>
      </c>
      <c r="N1787" s="2264">
        <f t="shared" si="334"/>
        <v>0</v>
      </c>
      <c r="O1787" s="2264">
        <f t="shared" si="335"/>
        <v>0</v>
      </c>
      <c r="P1787" s="2441"/>
      <c r="Q1787" s="2266"/>
      <c r="R1787" s="2266"/>
      <c r="S1787" s="2266"/>
    </row>
    <row r="1788" spans="1:19" s="2105" customFormat="1" outlineLevel="1">
      <c r="A1788" s="2182" t="str">
        <f>IF(G1788&lt;&gt;0,1,"")</f>
        <v/>
      </c>
      <c r="B1788" s="2261" t="s">
        <v>289</v>
      </c>
      <c r="C1788" s="2268"/>
      <c r="D1788" s="2152">
        <v>0</v>
      </c>
      <c r="E1788" s="2194" t="s">
        <v>5712</v>
      </c>
      <c r="F1788" s="2152" t="s">
        <v>2555</v>
      </c>
      <c r="G1788" s="2450">
        <f>G1784</f>
        <v>0</v>
      </c>
      <c r="H1788" s="2264">
        <v>300000</v>
      </c>
      <c r="I1788" s="2264"/>
      <c r="J1788" s="2264">
        <v>0</v>
      </c>
      <c r="K1788" s="2264">
        <v>0</v>
      </c>
      <c r="L1788" s="2264">
        <f>H1788*G1788</f>
        <v>0</v>
      </c>
      <c r="M1788" s="2264">
        <f>I1788*G1788</f>
        <v>0</v>
      </c>
      <c r="N1788" s="2264">
        <f>J1788*G1788</f>
        <v>0</v>
      </c>
      <c r="O1788" s="2264">
        <f>K1788*G1788</f>
        <v>0</v>
      </c>
      <c r="P1788" s="2441"/>
      <c r="Q1788" s="2266"/>
      <c r="R1788" s="2266"/>
      <c r="S1788" s="2266"/>
    </row>
    <row r="1789" spans="1:19" s="2105" customFormat="1" outlineLevel="1">
      <c r="A1789" s="2182" t="str">
        <f t="shared" si="338"/>
        <v/>
      </c>
      <c r="B1789" s="2261" t="s">
        <v>588</v>
      </c>
      <c r="C1789" s="2268"/>
      <c r="D1789" s="2152">
        <v>0</v>
      </c>
      <c r="E1789" s="2194" t="s">
        <v>2982</v>
      </c>
      <c r="F1789" s="2152" t="s">
        <v>2439</v>
      </c>
      <c r="G1789" s="2450">
        <f>G1786*2</f>
        <v>0</v>
      </c>
      <c r="H1789" s="2264">
        <v>168000</v>
      </c>
      <c r="I1789" s="2264"/>
      <c r="J1789" s="2264">
        <v>0</v>
      </c>
      <c r="K1789" s="2264">
        <v>0</v>
      </c>
      <c r="L1789" s="2264">
        <f t="shared" si="332"/>
        <v>0</v>
      </c>
      <c r="M1789" s="2264">
        <f t="shared" si="333"/>
        <v>0</v>
      </c>
      <c r="N1789" s="2264">
        <f t="shared" si="334"/>
        <v>0</v>
      </c>
      <c r="O1789" s="2264">
        <f t="shared" si="335"/>
        <v>0</v>
      </c>
      <c r="P1789" s="2441"/>
      <c r="Q1789" s="2266"/>
      <c r="R1789" s="2266"/>
      <c r="S1789" s="2266"/>
    </row>
    <row r="1790" spans="1:19" s="2105" customFormat="1" outlineLevel="1">
      <c r="A1790" s="2182" t="str">
        <f t="shared" si="338"/>
        <v/>
      </c>
      <c r="B1790" s="2261" t="s">
        <v>1822</v>
      </c>
      <c r="C1790" s="2268"/>
      <c r="D1790" s="2152" t="s">
        <v>1527</v>
      </c>
      <c r="E1790" s="2194" t="s">
        <v>2784</v>
      </c>
      <c r="F1790" s="2152" t="s">
        <v>2532</v>
      </c>
      <c r="G1790" s="2450">
        <f>G1784*6</f>
        <v>0</v>
      </c>
      <c r="H1790" s="2264">
        <v>28200</v>
      </c>
      <c r="I1790" s="2264"/>
      <c r="J1790" s="2264">
        <v>0</v>
      </c>
      <c r="K1790" s="2264">
        <v>0</v>
      </c>
      <c r="L1790" s="2264">
        <f t="shared" si="332"/>
        <v>0</v>
      </c>
      <c r="M1790" s="2264">
        <f t="shared" si="333"/>
        <v>0</v>
      </c>
      <c r="N1790" s="2264">
        <f t="shared" si="334"/>
        <v>0</v>
      </c>
      <c r="O1790" s="2264">
        <f t="shared" si="335"/>
        <v>0</v>
      </c>
      <c r="P1790" s="2441"/>
      <c r="Q1790" s="2266"/>
      <c r="R1790" s="2266"/>
      <c r="S1790" s="2266"/>
    </row>
    <row r="1791" spans="1:19" s="2105" customFormat="1" outlineLevel="1">
      <c r="A1791" s="2182" t="str">
        <f t="shared" si="338"/>
        <v/>
      </c>
      <c r="B1791" s="2261" t="s">
        <v>1865</v>
      </c>
      <c r="C1791" s="2268"/>
      <c r="D1791" s="2152">
        <v>0</v>
      </c>
      <c r="E1791" s="2194" t="s">
        <v>3471</v>
      </c>
      <c r="F1791" s="2152" t="s">
        <v>2555</v>
      </c>
      <c r="G1791" s="2450">
        <f>G1784*4*2</f>
        <v>0</v>
      </c>
      <c r="H1791" s="2264">
        <v>1700</v>
      </c>
      <c r="I1791" s="2264"/>
      <c r="J1791" s="2264">
        <v>0</v>
      </c>
      <c r="K1791" s="2264">
        <v>0</v>
      </c>
      <c r="L1791" s="2264">
        <f t="shared" si="332"/>
        <v>0</v>
      </c>
      <c r="M1791" s="2264">
        <f t="shared" si="333"/>
        <v>0</v>
      </c>
      <c r="N1791" s="2264">
        <f t="shared" si="334"/>
        <v>0</v>
      </c>
      <c r="O1791" s="2264">
        <f t="shared" si="335"/>
        <v>0</v>
      </c>
      <c r="P1791" s="2441"/>
      <c r="Q1791" s="2266"/>
      <c r="R1791" s="2266"/>
      <c r="S1791" s="2266"/>
    </row>
    <row r="1792" spans="1:19" s="2105" customFormat="1" outlineLevel="1">
      <c r="A1792" s="2182" t="str">
        <f t="shared" si="338"/>
        <v/>
      </c>
      <c r="B1792" s="2261" t="s">
        <v>2141</v>
      </c>
      <c r="C1792" s="2268"/>
      <c r="D1792" s="2152">
        <v>0</v>
      </c>
      <c r="E1792" s="2194" t="s">
        <v>3535</v>
      </c>
      <c r="F1792" s="2152" t="s">
        <v>1823</v>
      </c>
      <c r="G1792" s="2450">
        <f>G1787*4</f>
        <v>0</v>
      </c>
      <c r="H1792" s="2264">
        <v>16100</v>
      </c>
      <c r="I1792" s="2264"/>
      <c r="J1792" s="2264">
        <v>0</v>
      </c>
      <c r="K1792" s="2264">
        <v>0</v>
      </c>
      <c r="L1792" s="2264">
        <f t="shared" si="332"/>
        <v>0</v>
      </c>
      <c r="M1792" s="2264">
        <f t="shared" si="333"/>
        <v>0</v>
      </c>
      <c r="N1792" s="2264">
        <f t="shared" si="334"/>
        <v>0</v>
      </c>
      <c r="O1792" s="2264">
        <f t="shared" si="335"/>
        <v>0</v>
      </c>
      <c r="P1792" s="2441"/>
      <c r="Q1792" s="2266"/>
      <c r="R1792" s="2266"/>
      <c r="S1792" s="2266"/>
    </row>
    <row r="1793" spans="1:19" s="2105" customFormat="1" outlineLevel="1">
      <c r="A1793" s="2182" t="str">
        <f t="shared" si="338"/>
        <v/>
      </c>
      <c r="B1793" s="2261" t="s">
        <v>6248</v>
      </c>
      <c r="C1793" s="2268"/>
      <c r="D1793" s="2152">
        <v>0</v>
      </c>
      <c r="E1793" s="2194" t="s">
        <v>3542</v>
      </c>
      <c r="F1793" s="2152" t="s">
        <v>2555</v>
      </c>
      <c r="G1793" s="2450">
        <f>G1784</f>
        <v>0</v>
      </c>
      <c r="H1793" s="2264">
        <v>11400</v>
      </c>
      <c r="I1793" s="2264"/>
      <c r="J1793" s="2264">
        <v>0</v>
      </c>
      <c r="K1793" s="2264">
        <v>0</v>
      </c>
      <c r="L1793" s="2264">
        <f t="shared" si="332"/>
        <v>0</v>
      </c>
      <c r="M1793" s="2264">
        <f t="shared" si="333"/>
        <v>0</v>
      </c>
      <c r="N1793" s="2264">
        <f t="shared" si="334"/>
        <v>0</v>
      </c>
      <c r="O1793" s="2264">
        <f t="shared" si="335"/>
        <v>0</v>
      </c>
      <c r="P1793" s="2441"/>
      <c r="Q1793" s="2266"/>
      <c r="R1793" s="2266"/>
      <c r="S1793" s="2266"/>
    </row>
    <row r="1794" spans="1:19" s="2105" customFormat="1" outlineLevel="1">
      <c r="A1794" s="2182" t="str">
        <f>IF(G1794&lt;&gt;0,1,"")</f>
        <v/>
      </c>
      <c r="B1794" s="2261" t="s">
        <v>203</v>
      </c>
      <c r="C1794" s="2268"/>
      <c r="D1794" s="2152">
        <v>0</v>
      </c>
      <c r="E1794" s="2194" t="s">
        <v>2979</v>
      </c>
      <c r="F1794" s="2152" t="s">
        <v>2439</v>
      </c>
      <c r="G1794" s="2450">
        <f>G1784*2</f>
        <v>0</v>
      </c>
      <c r="H1794" s="2264">
        <v>34000</v>
      </c>
      <c r="I1794" s="2264"/>
      <c r="J1794" s="2264">
        <v>0</v>
      </c>
      <c r="K1794" s="2264">
        <v>0</v>
      </c>
      <c r="L1794" s="2264">
        <f>H1794*G1794</f>
        <v>0</v>
      </c>
      <c r="M1794" s="2264">
        <f>I1794*G1794</f>
        <v>0</v>
      </c>
      <c r="N1794" s="2264">
        <f>J1794*G1794</f>
        <v>0</v>
      </c>
      <c r="O1794" s="2264">
        <f>K1794*G1794</f>
        <v>0</v>
      </c>
      <c r="P1794" s="2441"/>
      <c r="Q1794" s="2266"/>
      <c r="R1794" s="2266"/>
      <c r="S1794" s="2266"/>
    </row>
    <row r="1795" spans="1:19" s="2105" customFormat="1" outlineLevel="1">
      <c r="A1795" s="2182" t="str">
        <f>IF(G1795&lt;&gt;0,1,"")</f>
        <v/>
      </c>
      <c r="B1795" s="2261" t="s">
        <v>6249</v>
      </c>
      <c r="C1795" s="2268"/>
      <c r="D1795" s="2152">
        <v>0</v>
      </c>
      <c r="E1795" s="2194" t="s">
        <v>3573</v>
      </c>
      <c r="F1795" s="2152" t="s">
        <v>2555</v>
      </c>
      <c r="G1795" s="2450">
        <f>G1784*2</f>
        <v>0</v>
      </c>
      <c r="H1795" s="2264">
        <v>5000</v>
      </c>
      <c r="I1795" s="2264"/>
      <c r="J1795" s="2264">
        <v>0</v>
      </c>
      <c r="K1795" s="2264">
        <v>0</v>
      </c>
      <c r="L1795" s="2264">
        <f>H1795*G1795</f>
        <v>0</v>
      </c>
      <c r="M1795" s="2264">
        <f>I1795*G1795</f>
        <v>0</v>
      </c>
      <c r="N1795" s="2264">
        <f>J1795*G1795</f>
        <v>0</v>
      </c>
      <c r="O1795" s="2264">
        <f>K1795*G1795</f>
        <v>0</v>
      </c>
      <c r="P1795" s="2441"/>
      <c r="Q1795" s="2266"/>
      <c r="R1795" s="2266"/>
      <c r="S1795" s="2266"/>
    </row>
    <row r="1796" spans="1:19" s="2105" customFormat="1" outlineLevel="1">
      <c r="A1796" s="2182" t="str">
        <f>IF(G1796&lt;&gt;0,1,"")</f>
        <v/>
      </c>
      <c r="B1796" s="2261" t="s">
        <v>6250</v>
      </c>
      <c r="C1796" s="2268"/>
      <c r="D1796" s="2152">
        <v>0</v>
      </c>
      <c r="E1796" s="2194" t="s">
        <v>3577</v>
      </c>
      <c r="F1796" s="2152" t="s">
        <v>2555</v>
      </c>
      <c r="G1796" s="2450">
        <f>G1795</f>
        <v>0</v>
      </c>
      <c r="H1796" s="2264">
        <v>5200</v>
      </c>
      <c r="I1796" s="2264"/>
      <c r="J1796" s="2264">
        <v>0</v>
      </c>
      <c r="K1796" s="2264">
        <v>0</v>
      </c>
      <c r="L1796" s="2264">
        <f>H1796*G1796</f>
        <v>0</v>
      </c>
      <c r="M1796" s="2264">
        <f>I1796*G1796</f>
        <v>0</v>
      </c>
      <c r="N1796" s="2264">
        <f>J1796*G1796</f>
        <v>0</v>
      </c>
      <c r="O1796" s="2264">
        <f>K1796*G1796</f>
        <v>0</v>
      </c>
      <c r="P1796" s="2441"/>
      <c r="Q1796" s="2266"/>
      <c r="R1796" s="2266"/>
      <c r="S1796" s="2266"/>
    </row>
    <row r="1797" spans="1:19" s="2105" customFormat="1" outlineLevel="1">
      <c r="A1797" s="2182" t="str">
        <f>IF(G1797&lt;&gt;0,1,"")</f>
        <v/>
      </c>
      <c r="B1797" s="2261" t="s">
        <v>2274</v>
      </c>
      <c r="C1797" s="2268"/>
      <c r="D1797" s="2152">
        <v>0</v>
      </c>
      <c r="E1797" s="2194" t="s">
        <v>3539</v>
      </c>
      <c r="F1797" s="2152" t="s">
        <v>1823</v>
      </c>
      <c r="G1797" s="2450">
        <f>G1784*1.5</f>
        <v>0</v>
      </c>
      <c r="H1797" s="2264">
        <v>3100</v>
      </c>
      <c r="I1797" s="2264"/>
      <c r="J1797" s="2264">
        <v>0</v>
      </c>
      <c r="K1797" s="2264">
        <v>0</v>
      </c>
      <c r="L1797" s="2264">
        <f>H1797*G1797</f>
        <v>0</v>
      </c>
      <c r="M1797" s="2264">
        <f>I1797*G1797</f>
        <v>0</v>
      </c>
      <c r="N1797" s="2264">
        <f>J1797*G1797</f>
        <v>0</v>
      </c>
      <c r="O1797" s="2264">
        <f>K1797*G1797</f>
        <v>0</v>
      </c>
      <c r="P1797" s="2441"/>
      <c r="Q1797" s="2266"/>
      <c r="R1797" s="2266"/>
      <c r="S1797" s="2266"/>
    </row>
    <row r="1798" spans="1:19" s="2105" customFormat="1" outlineLevel="1">
      <c r="A1798" s="2182" t="str">
        <f>IF(G1798&lt;&gt;0,1,"")</f>
        <v/>
      </c>
      <c r="B1798" s="2261" t="s">
        <v>2074</v>
      </c>
      <c r="C1798" s="2268"/>
      <c r="D1798" s="2152">
        <v>0</v>
      </c>
      <c r="E1798" s="2194" t="s">
        <v>3570</v>
      </c>
      <c r="F1798" s="2152" t="s">
        <v>3571</v>
      </c>
      <c r="G1798" s="2450">
        <f>G1784*1</f>
        <v>0</v>
      </c>
      <c r="H1798" s="2264">
        <v>11500</v>
      </c>
      <c r="I1798" s="2264"/>
      <c r="J1798" s="2264">
        <v>0</v>
      </c>
      <c r="K1798" s="2264">
        <v>0</v>
      </c>
      <c r="L1798" s="2264">
        <f>H1798*G1798</f>
        <v>0</v>
      </c>
      <c r="M1798" s="2264">
        <f>I1798*G1798</f>
        <v>0</v>
      </c>
      <c r="N1798" s="2264">
        <f>J1798*G1798</f>
        <v>0</v>
      </c>
      <c r="O1798" s="2264">
        <f>K1798*G1798</f>
        <v>0</v>
      </c>
      <c r="P1798" s="2441"/>
      <c r="Q1798" s="2266"/>
      <c r="R1798" s="2266"/>
      <c r="S1798" s="2266"/>
    </row>
    <row r="1799" spans="1:19" s="2105" customFormat="1" outlineLevel="1">
      <c r="A1799" s="2182" t="str">
        <f t="shared" si="338"/>
        <v/>
      </c>
      <c r="B1799" s="2261" t="s">
        <v>6</v>
      </c>
      <c r="C1799" s="2268"/>
      <c r="D1799" s="2152">
        <v>0</v>
      </c>
      <c r="E1799" s="2194" t="s">
        <v>3567</v>
      </c>
      <c r="F1799" s="2152" t="s">
        <v>5806</v>
      </c>
      <c r="G1799" s="2450">
        <f>G1784*1</f>
        <v>0</v>
      </c>
      <c r="H1799" s="2264">
        <v>45000</v>
      </c>
      <c r="I1799" s="2264"/>
      <c r="J1799" s="2264">
        <v>0</v>
      </c>
      <c r="K1799" s="2264">
        <v>0</v>
      </c>
      <c r="L1799" s="2264">
        <f t="shared" si="332"/>
        <v>0</v>
      </c>
      <c r="M1799" s="2264">
        <f t="shared" si="333"/>
        <v>0</v>
      </c>
      <c r="N1799" s="2264">
        <f t="shared" si="334"/>
        <v>0</v>
      </c>
      <c r="O1799" s="2264">
        <f t="shared" si="335"/>
        <v>0</v>
      </c>
      <c r="P1799" s="2441"/>
      <c r="Q1799" s="2266"/>
      <c r="R1799" s="2266"/>
      <c r="S1799" s="2266"/>
    </row>
    <row r="1800" spans="1:19" s="2105" customFormat="1" outlineLevel="1">
      <c r="A1800" s="2182" t="str">
        <f t="shared" si="338"/>
        <v/>
      </c>
      <c r="B1800" s="2261" t="s">
        <v>672</v>
      </c>
      <c r="C1800" s="2268"/>
      <c r="D1800" s="2152">
        <v>0</v>
      </c>
      <c r="E1800" s="2194" t="s">
        <v>5801</v>
      </c>
      <c r="F1800" s="2152" t="s">
        <v>3566</v>
      </c>
      <c r="G1800" s="2450">
        <f>G1784*2</f>
        <v>0</v>
      </c>
      <c r="H1800" s="2264">
        <v>6500</v>
      </c>
      <c r="I1800" s="2264"/>
      <c r="J1800" s="2264">
        <v>0</v>
      </c>
      <c r="K1800" s="2264">
        <v>0</v>
      </c>
      <c r="L1800" s="2264">
        <f t="shared" si="332"/>
        <v>0</v>
      </c>
      <c r="M1800" s="2264">
        <f t="shared" si="333"/>
        <v>0</v>
      </c>
      <c r="N1800" s="2264">
        <f t="shared" si="334"/>
        <v>0</v>
      </c>
      <c r="O1800" s="2264">
        <f t="shared" si="335"/>
        <v>0</v>
      </c>
      <c r="P1800" s="2441"/>
      <c r="Q1800" s="2266"/>
      <c r="R1800" s="2266"/>
      <c r="S1800" s="2266"/>
    </row>
    <row r="1801" spans="1:19" s="2105" customFormat="1" outlineLevel="1">
      <c r="A1801" s="2182" t="str">
        <f t="shared" si="338"/>
        <v/>
      </c>
      <c r="B1801" s="2261" t="s">
        <v>1525</v>
      </c>
      <c r="C1801" s="2268"/>
      <c r="D1801" s="2152" t="s">
        <v>5571</v>
      </c>
      <c r="E1801" s="2194" t="s">
        <v>3292</v>
      </c>
      <c r="F1801" s="2152" t="s">
        <v>1823</v>
      </c>
      <c r="G1801" s="2450">
        <f>G1792*2</f>
        <v>0</v>
      </c>
      <c r="H1801" s="2264">
        <v>0</v>
      </c>
      <c r="I1801" s="2264"/>
      <c r="J1801" s="2264">
        <v>13915</v>
      </c>
      <c r="K1801" s="2264">
        <v>0</v>
      </c>
      <c r="L1801" s="2264">
        <f t="shared" si="332"/>
        <v>0</v>
      </c>
      <c r="M1801" s="2264">
        <f t="shared" si="333"/>
        <v>0</v>
      </c>
      <c r="N1801" s="2264">
        <f t="shared" si="334"/>
        <v>0</v>
      </c>
      <c r="O1801" s="2264">
        <f t="shared" si="335"/>
        <v>0</v>
      </c>
      <c r="P1801" s="2441"/>
      <c r="Q1801" s="2266"/>
      <c r="R1801" s="2266"/>
      <c r="S1801" s="2266"/>
    </row>
    <row r="1802" spans="1:19" s="2477" customFormat="1" ht="13.95" customHeight="1">
      <c r="A1802" s="2474" t="str">
        <f>IF(G1802&lt;&gt;0,1,"")</f>
        <v/>
      </c>
      <c r="B1802" s="2261"/>
      <c r="C1802" s="2463">
        <f>IF(G1802&gt;0,C1784+1,C1784)</f>
        <v>0</v>
      </c>
      <c r="D1802" s="2464"/>
      <c r="E1802" s="2465" t="s">
        <v>6251</v>
      </c>
      <c r="F1802" s="2466" t="s">
        <v>2385</v>
      </c>
      <c r="G1802" s="2467">
        <f>G1632</f>
        <v>0</v>
      </c>
      <c r="H1802" s="2468"/>
      <c r="I1802" s="2468"/>
      <c r="J1802" s="2470"/>
      <c r="K1802" s="2470"/>
      <c r="L1802" s="2471"/>
      <c r="M1802" s="2471"/>
      <c r="N1802" s="2471"/>
      <c r="O1802" s="2471"/>
      <c r="P1802" s="2476"/>
    </row>
    <row r="1803" spans="1:19" s="2105" customFormat="1" ht="14.4" outlineLevel="1">
      <c r="A1803" s="2182" t="str">
        <f>A1802</f>
        <v/>
      </c>
      <c r="B1803" s="2261"/>
      <c r="C1803" s="2258"/>
      <c r="D1803" s="2259"/>
      <c r="E1803" s="2274" t="s">
        <v>6133</v>
      </c>
      <c r="F1803" s="2258"/>
      <c r="G1803" s="2451"/>
      <c r="H1803" s="2264"/>
      <c r="I1803" s="2264"/>
      <c r="J1803" s="2264"/>
      <c r="K1803" s="2264"/>
      <c r="L1803" s="2264"/>
      <c r="M1803" s="2264"/>
      <c r="N1803" s="2264"/>
      <c r="O1803" s="2264"/>
      <c r="P1803" s="2441"/>
      <c r="Q1803" s="2266"/>
      <c r="R1803" s="2266"/>
      <c r="S1803" s="2266"/>
    </row>
    <row r="1804" spans="1:19" s="2105" customFormat="1" outlineLevel="1">
      <c r="A1804" s="2182" t="str">
        <f t="shared" ref="A1804:A1816" si="339">IF(G1804&lt;&gt;0,1,"")</f>
        <v/>
      </c>
      <c r="B1804" s="2261" t="s">
        <v>5081</v>
      </c>
      <c r="C1804" s="2268"/>
      <c r="D1804" s="2152">
        <v>0</v>
      </c>
      <c r="E1804" s="2194" t="s">
        <v>5082</v>
      </c>
      <c r="F1804" s="2152" t="s">
        <v>2532</v>
      </c>
      <c r="G1804" s="2450"/>
      <c r="H1804" s="2264">
        <v>99600</v>
      </c>
      <c r="I1804" s="2264"/>
      <c r="J1804" s="2264">
        <v>0</v>
      </c>
      <c r="K1804" s="2264">
        <v>0</v>
      </c>
      <c r="L1804" s="2264">
        <f t="shared" ref="L1804:L1818" si="340">H1804*G1804</f>
        <v>0</v>
      </c>
      <c r="M1804" s="2264">
        <f t="shared" ref="M1804:M1818" si="341">I1804*G1804</f>
        <v>0</v>
      </c>
      <c r="N1804" s="2264">
        <f t="shared" ref="N1804:N1818" si="342">J1804*G1804</f>
        <v>0</v>
      </c>
      <c r="O1804" s="2264">
        <f t="shared" ref="O1804:O1818" si="343">K1804*G1804</f>
        <v>0</v>
      </c>
      <c r="P1804" s="2441"/>
      <c r="Q1804" s="2266"/>
      <c r="R1804" s="2266"/>
      <c r="S1804" s="2266"/>
    </row>
    <row r="1805" spans="1:19" s="2105" customFormat="1" outlineLevel="1">
      <c r="A1805" s="2182" t="str">
        <f t="shared" si="339"/>
        <v/>
      </c>
      <c r="B1805" s="2261" t="s">
        <v>4560</v>
      </c>
      <c r="C1805" s="2268"/>
      <c r="D1805" s="2152">
        <v>0</v>
      </c>
      <c r="E1805" s="2194" t="s">
        <v>2936</v>
      </c>
      <c r="F1805" s="2152" t="s">
        <v>2555</v>
      </c>
      <c r="G1805" s="2450"/>
      <c r="H1805" s="2264">
        <v>205000</v>
      </c>
      <c r="I1805" s="2264"/>
      <c r="J1805" s="2264">
        <v>0</v>
      </c>
      <c r="K1805" s="2264">
        <v>0</v>
      </c>
      <c r="L1805" s="2264">
        <f t="shared" si="340"/>
        <v>0</v>
      </c>
      <c r="M1805" s="2264">
        <f t="shared" si="341"/>
        <v>0</v>
      </c>
      <c r="N1805" s="2264">
        <f t="shared" si="342"/>
        <v>0</v>
      </c>
      <c r="O1805" s="2264">
        <f t="shared" si="343"/>
        <v>0</v>
      </c>
      <c r="P1805" s="2441"/>
      <c r="Q1805" s="2266"/>
      <c r="R1805" s="2266"/>
      <c r="S1805" s="2266"/>
    </row>
    <row r="1806" spans="1:19" s="2105" customFormat="1" outlineLevel="1">
      <c r="A1806" s="2182" t="str">
        <f t="shared" si="339"/>
        <v/>
      </c>
      <c r="B1806" s="2261" t="s">
        <v>4561</v>
      </c>
      <c r="C1806" s="2268"/>
      <c r="D1806" s="2152">
        <v>0</v>
      </c>
      <c r="E1806" s="2194" t="s">
        <v>2823</v>
      </c>
      <c r="F1806" s="2152" t="s">
        <v>2555</v>
      </c>
      <c r="G1806" s="2450"/>
      <c r="H1806" s="2264">
        <v>65000</v>
      </c>
      <c r="I1806" s="2264"/>
      <c r="J1806" s="2264">
        <v>0</v>
      </c>
      <c r="K1806" s="2264">
        <v>0</v>
      </c>
      <c r="L1806" s="2264">
        <f>H1806*G1806</f>
        <v>0</v>
      </c>
      <c r="M1806" s="2264">
        <f>I1806*G1806</f>
        <v>0</v>
      </c>
      <c r="N1806" s="2264">
        <f>J1806*G1806</f>
        <v>0</v>
      </c>
      <c r="O1806" s="2264">
        <f>K1806*G1806</f>
        <v>0</v>
      </c>
      <c r="P1806" s="2441"/>
      <c r="Q1806" s="2266"/>
      <c r="R1806" s="2266"/>
      <c r="S1806" s="2266"/>
    </row>
    <row r="1807" spans="1:19" s="2105" customFormat="1" outlineLevel="1">
      <c r="A1807" s="2182" t="str">
        <f t="shared" si="339"/>
        <v/>
      </c>
      <c r="B1807" s="2261" t="s">
        <v>550</v>
      </c>
      <c r="C1807" s="2268"/>
      <c r="D1807" s="2152">
        <v>0</v>
      </c>
      <c r="E1807" s="2194" t="s">
        <v>2691</v>
      </c>
      <c r="F1807" s="2152" t="s">
        <v>2385</v>
      </c>
      <c r="G1807" s="2450"/>
      <c r="H1807" s="2264">
        <v>34000</v>
      </c>
      <c r="I1807" s="2264"/>
      <c r="J1807" s="2264">
        <v>0</v>
      </c>
      <c r="K1807" s="2264">
        <v>0</v>
      </c>
      <c r="L1807" s="2264">
        <f t="shared" si="340"/>
        <v>0</v>
      </c>
      <c r="M1807" s="2264">
        <f t="shared" si="341"/>
        <v>0</v>
      </c>
      <c r="N1807" s="2264">
        <f t="shared" si="342"/>
        <v>0</v>
      </c>
      <c r="O1807" s="2264">
        <f t="shared" si="343"/>
        <v>0</v>
      </c>
      <c r="P1807" s="2441"/>
      <c r="Q1807" s="2266"/>
      <c r="R1807" s="2266"/>
      <c r="S1807" s="2266"/>
    </row>
    <row r="1808" spans="1:19" s="2105" customFormat="1" outlineLevel="1">
      <c r="A1808" s="2182" t="str">
        <f t="shared" si="339"/>
        <v/>
      </c>
      <c r="B1808" s="2357" t="s">
        <v>5699</v>
      </c>
      <c r="C1808" s="2268"/>
      <c r="D1808" s="2152">
        <v>0</v>
      </c>
      <c r="E1808" s="2194" t="s">
        <v>5700</v>
      </c>
      <c r="F1808" s="2152" t="s">
        <v>2555</v>
      </c>
      <c r="G1808" s="2450"/>
      <c r="H1808" s="2264">
        <v>218200</v>
      </c>
      <c r="I1808" s="2264"/>
      <c r="J1808" s="2264">
        <v>0</v>
      </c>
      <c r="K1808" s="2264">
        <v>0</v>
      </c>
      <c r="L1808" s="2264">
        <f t="shared" si="340"/>
        <v>0</v>
      </c>
      <c r="M1808" s="2264">
        <f t="shared" si="341"/>
        <v>0</v>
      </c>
      <c r="N1808" s="2264">
        <f t="shared" si="342"/>
        <v>0</v>
      </c>
      <c r="O1808" s="2264">
        <f t="shared" si="343"/>
        <v>0</v>
      </c>
      <c r="P1808" s="2441"/>
      <c r="Q1808" s="2266"/>
      <c r="R1808" s="2266"/>
      <c r="S1808" s="2266"/>
    </row>
    <row r="1809" spans="1:19" s="2105" customFormat="1" outlineLevel="1">
      <c r="A1809" s="2182" t="str">
        <f t="shared" si="339"/>
        <v/>
      </c>
      <c r="B1809" s="2357" t="s">
        <v>5705</v>
      </c>
      <c r="C1809" s="2268"/>
      <c r="D1809" s="2152">
        <v>0</v>
      </c>
      <c r="E1809" s="2194" t="s">
        <v>5706</v>
      </c>
      <c r="F1809" s="2152" t="s">
        <v>2555</v>
      </c>
      <c r="G1809" s="2450"/>
      <c r="H1809" s="2264">
        <v>39100</v>
      </c>
      <c r="I1809" s="2264"/>
      <c r="J1809" s="2264">
        <v>0</v>
      </c>
      <c r="K1809" s="2264">
        <v>0</v>
      </c>
      <c r="L1809" s="2264">
        <f t="shared" si="340"/>
        <v>0</v>
      </c>
      <c r="M1809" s="2264">
        <f t="shared" si="341"/>
        <v>0</v>
      </c>
      <c r="N1809" s="2264">
        <f t="shared" si="342"/>
        <v>0</v>
      </c>
      <c r="O1809" s="2264">
        <f t="shared" si="343"/>
        <v>0</v>
      </c>
      <c r="P1809" s="2441"/>
      <c r="Q1809" s="2266"/>
      <c r="R1809" s="2266"/>
      <c r="S1809" s="2266"/>
    </row>
    <row r="1810" spans="1:19" s="2105" customFormat="1" outlineLevel="1">
      <c r="A1810" s="2182" t="str">
        <f t="shared" si="339"/>
        <v/>
      </c>
      <c r="B1810" s="2357" t="s">
        <v>5707</v>
      </c>
      <c r="C1810" s="2268"/>
      <c r="D1810" s="2152">
        <v>0</v>
      </c>
      <c r="E1810" s="2194" t="s">
        <v>5708</v>
      </c>
      <c r="F1810" s="2152" t="s">
        <v>2555</v>
      </c>
      <c r="G1810" s="2450">
        <f>G1802*3</f>
        <v>0</v>
      </c>
      <c r="H1810" s="2264">
        <v>56700</v>
      </c>
      <c r="I1810" s="2264"/>
      <c r="J1810" s="2264">
        <v>0</v>
      </c>
      <c r="K1810" s="2264">
        <v>0</v>
      </c>
      <c r="L1810" s="2264">
        <f t="shared" si="340"/>
        <v>0</v>
      </c>
      <c r="M1810" s="2264">
        <f t="shared" si="341"/>
        <v>0</v>
      </c>
      <c r="N1810" s="2264">
        <f t="shared" si="342"/>
        <v>0</v>
      </c>
      <c r="O1810" s="2264">
        <f t="shared" si="343"/>
        <v>0</v>
      </c>
      <c r="P1810" s="2441"/>
      <c r="Q1810" s="2266"/>
      <c r="R1810" s="2266"/>
      <c r="S1810" s="2266"/>
    </row>
    <row r="1811" spans="1:19" s="2105" customFormat="1" outlineLevel="1">
      <c r="A1811" s="2182" t="str">
        <f t="shared" si="339"/>
        <v/>
      </c>
      <c r="B1811" s="2357" t="s">
        <v>5707</v>
      </c>
      <c r="C1811" s="2268"/>
      <c r="D1811" s="2152">
        <v>0</v>
      </c>
      <c r="E1811" s="2194" t="s">
        <v>5708</v>
      </c>
      <c r="F1811" s="2152" t="s">
        <v>2555</v>
      </c>
      <c r="G1811" s="2450">
        <f>G1803*3</f>
        <v>0</v>
      </c>
      <c r="H1811" s="2264">
        <v>56700</v>
      </c>
      <c r="I1811" s="2264"/>
      <c r="J1811" s="2264">
        <v>0</v>
      </c>
      <c r="K1811" s="2264">
        <v>0</v>
      </c>
      <c r="L1811" s="2264">
        <f t="shared" si="340"/>
        <v>0</v>
      </c>
      <c r="M1811" s="2264">
        <f t="shared" si="341"/>
        <v>0</v>
      </c>
      <c r="N1811" s="2264">
        <f t="shared" si="342"/>
        <v>0</v>
      </c>
      <c r="O1811" s="2264">
        <f t="shared" si="343"/>
        <v>0</v>
      </c>
      <c r="P1811" s="2441"/>
      <c r="Q1811" s="2266"/>
      <c r="R1811" s="2266"/>
      <c r="S1811" s="2266"/>
    </row>
    <row r="1812" spans="1:19" s="2105" customFormat="1" outlineLevel="1">
      <c r="A1812" s="2182" t="str">
        <f t="shared" si="339"/>
        <v/>
      </c>
      <c r="B1812" s="2357" t="s">
        <v>1525</v>
      </c>
      <c r="C1812" s="2268"/>
      <c r="D1812" s="2152" t="s">
        <v>5571</v>
      </c>
      <c r="E1812" s="2194" t="s">
        <v>3292</v>
      </c>
      <c r="F1812" s="2152" t="s">
        <v>1823</v>
      </c>
      <c r="G1812" s="2450">
        <f>G1804</f>
        <v>0</v>
      </c>
      <c r="H1812" s="2264">
        <v>0</v>
      </c>
      <c r="I1812" s="2264"/>
      <c r="J1812" s="2264">
        <v>13915</v>
      </c>
      <c r="K1812" s="2264">
        <v>0</v>
      </c>
      <c r="L1812" s="2264">
        <f t="shared" si="340"/>
        <v>0</v>
      </c>
      <c r="M1812" s="2264">
        <f t="shared" si="341"/>
        <v>0</v>
      </c>
      <c r="N1812" s="2264">
        <f t="shared" si="342"/>
        <v>0</v>
      </c>
      <c r="O1812" s="2264">
        <f t="shared" si="343"/>
        <v>0</v>
      </c>
      <c r="P1812" s="2441"/>
      <c r="Q1812" s="2266"/>
      <c r="R1812" s="2266"/>
      <c r="S1812" s="2266"/>
    </row>
    <row r="1813" spans="1:19" s="2105" customFormat="1" outlineLevel="1">
      <c r="A1813" s="2182" t="str">
        <f t="shared" si="339"/>
        <v/>
      </c>
      <c r="B1813" s="2357" t="s">
        <v>347</v>
      </c>
      <c r="C1813" s="2268"/>
      <c r="D1813" s="2152" t="s">
        <v>5560</v>
      </c>
      <c r="E1813" s="2194" t="s">
        <v>3271</v>
      </c>
      <c r="F1813" s="2152" t="s">
        <v>2439</v>
      </c>
      <c r="G1813" s="2450">
        <f>G1805</f>
        <v>0</v>
      </c>
      <c r="H1813" s="2264">
        <v>510</v>
      </c>
      <c r="I1813" s="2264"/>
      <c r="J1813" s="2264">
        <v>58277.49</v>
      </c>
      <c r="K1813" s="2264">
        <v>0</v>
      </c>
      <c r="L1813" s="2264">
        <f t="shared" si="340"/>
        <v>0</v>
      </c>
      <c r="M1813" s="2264">
        <f t="shared" si="341"/>
        <v>0</v>
      </c>
      <c r="N1813" s="2264">
        <f t="shared" si="342"/>
        <v>0</v>
      </c>
      <c r="O1813" s="2264">
        <f t="shared" si="343"/>
        <v>0</v>
      </c>
      <c r="P1813" s="2441"/>
      <c r="Q1813" s="2266"/>
      <c r="R1813" s="2266"/>
      <c r="S1813" s="2266"/>
    </row>
    <row r="1814" spans="1:19" s="2105" customFormat="1" outlineLevel="1">
      <c r="A1814" s="2182" t="str">
        <f t="shared" si="339"/>
        <v/>
      </c>
      <c r="B1814" s="2357" t="s">
        <v>470</v>
      </c>
      <c r="C1814" s="2268"/>
      <c r="D1814" s="2152">
        <v>0</v>
      </c>
      <c r="E1814" s="2194" t="s">
        <v>2739</v>
      </c>
      <c r="F1814" s="2152" t="s">
        <v>2532</v>
      </c>
      <c r="G1814" s="2450">
        <f>G1802*5</f>
        <v>0</v>
      </c>
      <c r="H1814" s="2264">
        <v>763500</v>
      </c>
      <c r="I1814" s="2264"/>
      <c r="J1814" s="2264">
        <v>0</v>
      </c>
      <c r="K1814" s="2264">
        <v>0</v>
      </c>
      <c r="L1814" s="2264">
        <f t="shared" si="340"/>
        <v>0</v>
      </c>
      <c r="M1814" s="2264">
        <f t="shared" si="341"/>
        <v>0</v>
      </c>
      <c r="N1814" s="2264">
        <f t="shared" si="342"/>
        <v>0</v>
      </c>
      <c r="O1814" s="2264">
        <f t="shared" si="343"/>
        <v>0</v>
      </c>
      <c r="P1814" s="2441"/>
      <c r="Q1814" s="2266"/>
      <c r="R1814" s="2266"/>
      <c r="S1814" s="2266"/>
    </row>
    <row r="1815" spans="1:19" s="2105" customFormat="1" outlineLevel="1">
      <c r="A1815" s="2182" t="str">
        <f t="shared" si="339"/>
        <v/>
      </c>
      <c r="B1815" s="2357" t="s">
        <v>6252</v>
      </c>
      <c r="C1815" s="2268"/>
      <c r="D1815" s="2152">
        <v>0</v>
      </c>
      <c r="E1815" s="2194" t="s">
        <v>5456</v>
      </c>
      <c r="F1815" s="2152" t="s">
        <v>2555</v>
      </c>
      <c r="G1815" s="2450">
        <f>G1802*3*0</f>
        <v>0</v>
      </c>
      <c r="H1815" s="2264">
        <v>10510000</v>
      </c>
      <c r="I1815" s="2264"/>
      <c r="J1815" s="2264">
        <v>0</v>
      </c>
      <c r="K1815" s="2264">
        <v>0</v>
      </c>
      <c r="L1815" s="2264">
        <f t="shared" si="340"/>
        <v>0</v>
      </c>
      <c r="M1815" s="2264">
        <f t="shared" si="341"/>
        <v>0</v>
      </c>
      <c r="N1815" s="2264">
        <f t="shared" si="342"/>
        <v>0</v>
      </c>
      <c r="O1815" s="2264">
        <f t="shared" si="343"/>
        <v>0</v>
      </c>
      <c r="P1815" s="2441"/>
      <c r="Q1815" s="2266"/>
      <c r="R1815" s="2266"/>
      <c r="S1815" s="2266"/>
    </row>
    <row r="1816" spans="1:19" s="2105" customFormat="1" outlineLevel="1">
      <c r="A1816" s="2182" t="str">
        <f t="shared" si="339"/>
        <v/>
      </c>
      <c r="B1816" s="2357" t="s">
        <v>5457</v>
      </c>
      <c r="C1816" s="2268"/>
      <c r="D1816" s="2152">
        <v>0</v>
      </c>
      <c r="E1816" s="2194" t="s">
        <v>6365</v>
      </c>
      <c r="F1816" s="2152" t="s">
        <v>2555</v>
      </c>
      <c r="G1816" s="2450">
        <f>G1802</f>
        <v>0</v>
      </c>
      <c r="H1816" s="2264">
        <v>10304000</v>
      </c>
      <c r="I1816" s="2264"/>
      <c r="J1816" s="2264">
        <v>0</v>
      </c>
      <c r="K1816" s="2264">
        <v>0</v>
      </c>
      <c r="L1816" s="2264">
        <f t="shared" si="340"/>
        <v>0</v>
      </c>
      <c r="M1816" s="2264">
        <f t="shared" si="341"/>
        <v>0</v>
      </c>
      <c r="N1816" s="2264">
        <f t="shared" si="342"/>
        <v>0</v>
      </c>
      <c r="O1816" s="2264">
        <f t="shared" si="343"/>
        <v>0</v>
      </c>
      <c r="P1816" s="2441"/>
      <c r="Q1816" s="2266"/>
      <c r="R1816" s="2266"/>
      <c r="S1816" s="2266"/>
    </row>
    <row r="1817" spans="1:19" s="2105" customFormat="1" outlineLevel="1">
      <c r="A1817" s="2182" t="str">
        <f>IF(G1817&lt;&gt;0,1,"")</f>
        <v/>
      </c>
      <c r="B1817" s="2357" t="s">
        <v>1182</v>
      </c>
      <c r="C1817" s="2268"/>
      <c r="D1817" s="2152" t="s">
        <v>5552</v>
      </c>
      <c r="E1817" s="2194" t="s">
        <v>3259</v>
      </c>
      <c r="F1817" s="2152" t="s">
        <v>2532</v>
      </c>
      <c r="G1817" s="2450">
        <f>G1814</f>
        <v>0</v>
      </c>
      <c r="H1817" s="2264">
        <v>546.91999999999996</v>
      </c>
      <c r="I1817" s="2264"/>
      <c r="J1817" s="2264">
        <v>21459.713</v>
      </c>
      <c r="K1817" s="2264">
        <v>0</v>
      </c>
      <c r="L1817" s="2264">
        <f t="shared" si="340"/>
        <v>0</v>
      </c>
      <c r="M1817" s="2264">
        <f t="shared" si="341"/>
        <v>0</v>
      </c>
      <c r="N1817" s="2264">
        <f t="shared" si="342"/>
        <v>0</v>
      </c>
      <c r="O1817" s="2264">
        <f t="shared" si="343"/>
        <v>0</v>
      </c>
      <c r="P1817" s="2449"/>
      <c r="Q1817" s="2266"/>
      <c r="R1817" s="2266"/>
      <c r="S1817" s="2266"/>
    </row>
    <row r="1818" spans="1:19" s="2105" customFormat="1" outlineLevel="1">
      <c r="A1818" s="2182" t="str">
        <f>IF(G1818&lt;&gt;0,1,"")</f>
        <v/>
      </c>
      <c r="B1818" s="2357" t="s">
        <v>1589</v>
      </c>
      <c r="C1818" s="2268"/>
      <c r="D1818" s="2152" t="s">
        <v>5459</v>
      </c>
      <c r="E1818" s="2194" t="s">
        <v>3178</v>
      </c>
      <c r="F1818" s="2152" t="s">
        <v>2555</v>
      </c>
      <c r="G1818" s="2450">
        <f>G1816</f>
        <v>0</v>
      </c>
      <c r="H1818" s="2264">
        <v>11340</v>
      </c>
      <c r="I1818" s="2264"/>
      <c r="J1818" s="2264">
        <v>621381.64999999991</v>
      </c>
      <c r="K1818" s="2264">
        <v>0</v>
      </c>
      <c r="L1818" s="2264">
        <f t="shared" si="340"/>
        <v>0</v>
      </c>
      <c r="M1818" s="2264">
        <f t="shared" si="341"/>
        <v>0</v>
      </c>
      <c r="N1818" s="2264">
        <f t="shared" si="342"/>
        <v>0</v>
      </c>
      <c r="O1818" s="2264">
        <f t="shared" si="343"/>
        <v>0</v>
      </c>
      <c r="P1818" s="2449"/>
      <c r="Q1818" s="2266"/>
      <c r="R1818" s="2266"/>
      <c r="S1818" s="2266"/>
    </row>
    <row r="1819" spans="1:19" s="2477" customFormat="1" ht="13.95" customHeight="1">
      <c r="A1819" s="2474" t="str">
        <f>IF(G1819&lt;&gt;0,1,"")</f>
        <v/>
      </c>
      <c r="B1819" s="2475"/>
      <c r="C1819" s="2463">
        <f>IF(G1819&gt;0,C1802+1,C1802)</f>
        <v>0</v>
      </c>
      <c r="D1819" s="2464"/>
      <c r="E1819" s="2465" t="s">
        <v>6253</v>
      </c>
      <c r="F1819" s="2466" t="s">
        <v>2385</v>
      </c>
      <c r="G1819" s="2467"/>
      <c r="H1819" s="2468"/>
      <c r="I1819" s="2468"/>
      <c r="J1819" s="2470"/>
      <c r="K1819" s="2470"/>
      <c r="L1819" s="2471"/>
      <c r="M1819" s="2471"/>
      <c r="N1819" s="2471"/>
      <c r="O1819" s="2471"/>
      <c r="P1819" s="2476"/>
    </row>
    <row r="1820" spans="1:19" s="2288" customFormat="1" ht="14.4" outlineLevel="1">
      <c r="A1820" s="2182" t="str">
        <f>A1819</f>
        <v/>
      </c>
      <c r="B1820" s="2500"/>
      <c r="C1820" s="2258"/>
      <c r="D1820" s="2259"/>
      <c r="E1820" s="2274" t="s">
        <v>6133</v>
      </c>
      <c r="F1820" s="2258" t="s">
        <v>2385</v>
      </c>
      <c r="G1820" s="2263"/>
      <c r="H1820" s="2264"/>
      <c r="I1820" s="2264"/>
      <c r="J1820" s="2264"/>
      <c r="K1820" s="2264"/>
      <c r="L1820" s="2264">
        <f>SUBTOTAL(9,L1821:L1842)*0</f>
        <v>0</v>
      </c>
      <c r="M1820" s="2264">
        <f>SUBTOTAL(9,M1821:M1842)</f>
        <v>0</v>
      </c>
      <c r="N1820" s="2264">
        <f>SUBTOTAL(9,N1821:N1842)*0</f>
        <v>0</v>
      </c>
      <c r="O1820" s="2264">
        <f>SUBTOTAL(9,O1821:O1842)*0</f>
        <v>0</v>
      </c>
      <c r="P1820" s="2265"/>
      <c r="Q1820" s="2433"/>
      <c r="R1820" s="2433"/>
      <c r="S1820" s="2433"/>
    </row>
    <row r="1821" spans="1:19" s="2105" customFormat="1" outlineLevel="1">
      <c r="A1821" s="2182">
        <f>IF(G1821=0,0,1)</f>
        <v>0</v>
      </c>
      <c r="B1821" s="2261" t="s">
        <v>2276</v>
      </c>
      <c r="C1821" s="2389"/>
      <c r="D1821" s="2152">
        <v>0</v>
      </c>
      <c r="E1821" s="2359" t="s">
        <v>2786</v>
      </c>
      <c r="F1821" s="2501" t="s">
        <v>2532</v>
      </c>
      <c r="G1821" s="2450">
        <f>G1819*26</f>
        <v>0</v>
      </c>
      <c r="H1821" s="2264">
        <v>63200</v>
      </c>
      <c r="I1821" s="2264"/>
      <c r="J1821" s="2264">
        <v>0</v>
      </c>
      <c r="K1821" s="2264">
        <v>0</v>
      </c>
      <c r="L1821" s="2264">
        <f t="shared" ref="L1821:O1842" si="344">H1821*$G1821</f>
        <v>0</v>
      </c>
      <c r="M1821" s="2264">
        <f t="shared" si="344"/>
        <v>0</v>
      </c>
      <c r="N1821" s="2264">
        <f t="shared" si="344"/>
        <v>0</v>
      </c>
      <c r="O1821" s="2264">
        <f t="shared" si="344"/>
        <v>0</v>
      </c>
      <c r="P1821" s="2265"/>
      <c r="Q1821" s="2266"/>
      <c r="R1821" s="2266"/>
      <c r="S1821" s="2266"/>
    </row>
    <row r="1822" spans="1:19" s="2105" customFormat="1" outlineLevel="1">
      <c r="A1822" s="2182">
        <f>IF(G1822=0,0,1)</f>
        <v>0</v>
      </c>
      <c r="B1822" s="2252" t="s">
        <v>6254</v>
      </c>
      <c r="C1822" s="2268"/>
      <c r="D1822" s="2152">
        <v>0</v>
      </c>
      <c r="E1822" s="2359" t="s">
        <v>5053</v>
      </c>
      <c r="F1822" s="2501" t="s">
        <v>2439</v>
      </c>
      <c r="G1822" s="2450">
        <f>G1819*24*0</f>
        <v>0</v>
      </c>
      <c r="H1822" s="2264">
        <v>7900</v>
      </c>
      <c r="I1822" s="2264"/>
      <c r="J1822" s="2264">
        <v>0</v>
      </c>
      <c r="K1822" s="2264">
        <v>0</v>
      </c>
      <c r="L1822" s="2264">
        <f t="shared" si="344"/>
        <v>0</v>
      </c>
      <c r="M1822" s="2264">
        <f t="shared" si="344"/>
        <v>0</v>
      </c>
      <c r="N1822" s="2264">
        <f t="shared" si="344"/>
        <v>0</v>
      </c>
      <c r="O1822" s="2264">
        <f t="shared" si="344"/>
        <v>0</v>
      </c>
      <c r="P1822" s="2265"/>
      <c r="Q1822" s="2266"/>
      <c r="R1822" s="2266"/>
      <c r="S1822" s="2266"/>
    </row>
    <row r="1823" spans="1:19" s="2105" customFormat="1" outlineLevel="1">
      <c r="A1823" s="2182">
        <f>IF(G1823=0,0,1)</f>
        <v>0</v>
      </c>
      <c r="B1823" s="2252" t="s">
        <v>6255</v>
      </c>
      <c r="C1823" s="2268"/>
      <c r="D1823" s="2152">
        <v>0</v>
      </c>
      <c r="E1823" s="2359" t="s">
        <v>2624</v>
      </c>
      <c r="F1823" s="2501" t="s">
        <v>2439</v>
      </c>
      <c r="G1823" s="2450">
        <f>G1822</f>
        <v>0</v>
      </c>
      <c r="H1823" s="2264">
        <v>1500</v>
      </c>
      <c r="I1823" s="2264"/>
      <c r="J1823" s="2264">
        <v>0</v>
      </c>
      <c r="K1823" s="2264">
        <v>0</v>
      </c>
      <c r="L1823" s="2264">
        <f t="shared" si="344"/>
        <v>0</v>
      </c>
      <c r="M1823" s="2264">
        <f t="shared" si="344"/>
        <v>0</v>
      </c>
      <c r="N1823" s="2264">
        <f t="shared" si="344"/>
        <v>0</v>
      </c>
      <c r="O1823" s="2264">
        <f t="shared" si="344"/>
        <v>0</v>
      </c>
      <c r="P1823" s="2265"/>
      <c r="Q1823" s="2266"/>
      <c r="R1823" s="2266"/>
      <c r="S1823" s="2266"/>
    </row>
    <row r="1824" spans="1:19" s="2105" customFormat="1" outlineLevel="1">
      <c r="A1824" s="2182">
        <f t="shared" ref="A1824:A1842" si="345">IF(G1824=0,0,1)</f>
        <v>0</v>
      </c>
      <c r="B1824" s="2261" t="s">
        <v>246</v>
      </c>
      <c r="C1824" s="2389"/>
      <c r="D1824" s="2152">
        <v>0</v>
      </c>
      <c r="E1824" s="2359" t="s">
        <v>5869</v>
      </c>
      <c r="F1824" s="2501" t="s">
        <v>2555</v>
      </c>
      <c r="G1824" s="2450"/>
      <c r="H1824" s="2264">
        <v>40500</v>
      </c>
      <c r="I1824" s="2264"/>
      <c r="J1824" s="2264">
        <v>39758</v>
      </c>
      <c r="K1824" s="2264">
        <v>0</v>
      </c>
      <c r="L1824" s="2264">
        <f t="shared" si="344"/>
        <v>0</v>
      </c>
      <c r="M1824" s="2264">
        <f t="shared" si="344"/>
        <v>0</v>
      </c>
      <c r="N1824" s="2264">
        <f t="shared" si="344"/>
        <v>0</v>
      </c>
      <c r="O1824" s="2264">
        <f t="shared" si="344"/>
        <v>0</v>
      </c>
      <c r="P1824" s="2265"/>
      <c r="Q1824" s="2266"/>
      <c r="R1824" s="2266"/>
      <c r="S1824" s="2266"/>
    </row>
    <row r="1825" spans="1:19" s="2105" customFormat="1" outlineLevel="1">
      <c r="A1825" s="2182">
        <f t="shared" si="345"/>
        <v>0</v>
      </c>
      <c r="B1825" s="2261" t="s">
        <v>5734</v>
      </c>
      <c r="C1825" s="2268"/>
      <c r="D1825" s="2152" t="s">
        <v>5724</v>
      </c>
      <c r="E1825" s="2359" t="s">
        <v>5735</v>
      </c>
      <c r="F1825" s="2501" t="s">
        <v>2555</v>
      </c>
      <c r="G1825" s="2450">
        <f>G1819*16</f>
        <v>0</v>
      </c>
      <c r="H1825" s="2264">
        <v>1700</v>
      </c>
      <c r="I1825" s="2264"/>
      <c r="J1825" s="2264">
        <v>3637.3560000000002</v>
      </c>
      <c r="K1825" s="2264">
        <v>1666.2139485</v>
      </c>
      <c r="L1825" s="2264">
        <f t="shared" si="344"/>
        <v>0</v>
      </c>
      <c r="M1825" s="2264">
        <f t="shared" si="344"/>
        <v>0</v>
      </c>
      <c r="N1825" s="2264">
        <f t="shared" si="344"/>
        <v>0</v>
      </c>
      <c r="O1825" s="2264">
        <f t="shared" si="344"/>
        <v>0</v>
      </c>
      <c r="P1825" s="2265"/>
      <c r="Q1825" s="2266"/>
      <c r="R1825" s="2266"/>
      <c r="S1825" s="2266"/>
    </row>
    <row r="1826" spans="1:19" s="2105" customFormat="1" outlineLevel="1">
      <c r="A1826" s="2182">
        <f t="shared" si="345"/>
        <v>0</v>
      </c>
      <c r="B1826" s="2261" t="s">
        <v>1510</v>
      </c>
      <c r="C1826" s="2268"/>
      <c r="D1826" s="2152">
        <v>0</v>
      </c>
      <c r="E1826" s="2359" t="s">
        <v>3515</v>
      </c>
      <c r="F1826" s="2501" t="s">
        <v>2532</v>
      </c>
      <c r="G1826" s="2450"/>
      <c r="H1826" s="2264">
        <v>860</v>
      </c>
      <c r="I1826" s="2264"/>
      <c r="J1826" s="2264">
        <v>0</v>
      </c>
      <c r="K1826" s="2264">
        <v>0</v>
      </c>
      <c r="L1826" s="2264">
        <f t="shared" si="344"/>
        <v>0</v>
      </c>
      <c r="M1826" s="2264">
        <f t="shared" si="344"/>
        <v>0</v>
      </c>
      <c r="N1826" s="2264">
        <f t="shared" si="344"/>
        <v>0</v>
      </c>
      <c r="O1826" s="2264">
        <f t="shared" si="344"/>
        <v>0</v>
      </c>
      <c r="P1826" s="2265"/>
      <c r="Q1826" s="2266"/>
      <c r="R1826" s="2266"/>
      <c r="S1826" s="2266"/>
    </row>
    <row r="1827" spans="1:19" s="2105" customFormat="1" outlineLevel="1">
      <c r="A1827" s="2182">
        <f t="shared" si="345"/>
        <v>0</v>
      </c>
      <c r="B1827" s="2261" t="s">
        <v>816</v>
      </c>
      <c r="C1827" s="2268"/>
      <c r="D1827" s="2152">
        <v>0</v>
      </c>
      <c r="E1827" s="2359" t="s">
        <v>3581</v>
      </c>
      <c r="F1827" s="2501" t="s">
        <v>2555</v>
      </c>
      <c r="G1827" s="2450">
        <f>+G1819*3</f>
        <v>0</v>
      </c>
      <c r="H1827" s="2264">
        <v>17600</v>
      </c>
      <c r="I1827" s="2264"/>
      <c r="J1827" s="2264">
        <v>0</v>
      </c>
      <c r="K1827" s="2264">
        <v>0</v>
      </c>
      <c r="L1827" s="2264">
        <f t="shared" si="344"/>
        <v>0</v>
      </c>
      <c r="M1827" s="2264">
        <f t="shared" si="344"/>
        <v>0</v>
      </c>
      <c r="N1827" s="2264">
        <f t="shared" si="344"/>
        <v>0</v>
      </c>
      <c r="O1827" s="2264">
        <f t="shared" si="344"/>
        <v>0</v>
      </c>
      <c r="P1827" s="2265"/>
      <c r="Q1827" s="2266"/>
      <c r="R1827" s="2266"/>
      <c r="S1827" s="2266"/>
    </row>
    <row r="1828" spans="1:19" s="2105" customFormat="1" outlineLevel="1">
      <c r="A1828" s="2182">
        <f t="shared" si="345"/>
        <v>0</v>
      </c>
      <c r="B1828" s="2261" t="s">
        <v>2141</v>
      </c>
      <c r="C1828" s="2268"/>
      <c r="D1828" s="2152">
        <v>0</v>
      </c>
      <c r="E1828" s="2359" t="s">
        <v>3535</v>
      </c>
      <c r="F1828" s="2501" t="s">
        <v>1823</v>
      </c>
      <c r="G1828" s="2450">
        <f>G1838*12</f>
        <v>0</v>
      </c>
      <c r="H1828" s="2264">
        <v>16100</v>
      </c>
      <c r="I1828" s="2264"/>
      <c r="J1828" s="2264">
        <v>0</v>
      </c>
      <c r="K1828" s="2264">
        <v>0</v>
      </c>
      <c r="L1828" s="2264">
        <f t="shared" si="344"/>
        <v>0</v>
      </c>
      <c r="M1828" s="2264">
        <f t="shared" si="344"/>
        <v>0</v>
      </c>
      <c r="N1828" s="2264">
        <f t="shared" si="344"/>
        <v>0</v>
      </c>
      <c r="O1828" s="2264">
        <f t="shared" si="344"/>
        <v>0</v>
      </c>
      <c r="P1828" s="2265"/>
      <c r="Q1828" s="2266"/>
      <c r="R1828" s="2266"/>
      <c r="S1828" s="2266"/>
    </row>
    <row r="1829" spans="1:19" s="2105" customFormat="1" outlineLevel="1">
      <c r="A1829" s="2182">
        <f t="shared" si="345"/>
        <v>0</v>
      </c>
      <c r="B1829" s="2502" t="s">
        <v>2010</v>
      </c>
      <c r="C1829" s="2268"/>
      <c r="D1829" s="2152" t="s">
        <v>5546</v>
      </c>
      <c r="E1829" s="2359" t="s">
        <v>3250</v>
      </c>
      <c r="F1829" s="2501" t="s">
        <v>2532</v>
      </c>
      <c r="G1829" s="2450">
        <f>G1828</f>
        <v>0</v>
      </c>
      <c r="H1829" s="2264">
        <v>0</v>
      </c>
      <c r="I1829" s="2264"/>
      <c r="J1829" s="2264">
        <v>38962</v>
      </c>
      <c r="K1829" s="2264">
        <v>0</v>
      </c>
      <c r="L1829" s="2264">
        <f>H1829*$G1829</f>
        <v>0</v>
      </c>
      <c r="M1829" s="2264">
        <f>I1829*$G1829</f>
        <v>0</v>
      </c>
      <c r="N1829" s="2264">
        <f>J1829*$G1829</f>
        <v>0</v>
      </c>
      <c r="O1829" s="2264">
        <f>K1829*$G1829</f>
        <v>0</v>
      </c>
      <c r="P1829" s="2265"/>
      <c r="Q1829" s="2266"/>
      <c r="R1829" s="2266"/>
      <c r="S1829" s="2266"/>
    </row>
    <row r="1830" spans="1:19" s="2105" customFormat="1" outlineLevel="1">
      <c r="A1830" s="2182">
        <f t="shared" si="345"/>
        <v>0</v>
      </c>
      <c r="B1830" s="2252" t="s">
        <v>204</v>
      </c>
      <c r="C1830" s="2268"/>
      <c r="D1830" s="2152">
        <v>0</v>
      </c>
      <c r="E1830" s="2359" t="s">
        <v>2979</v>
      </c>
      <c r="F1830" s="2501" t="s">
        <v>2439</v>
      </c>
      <c r="G1830" s="2450">
        <f>G1819*4</f>
        <v>0</v>
      </c>
      <c r="H1830" s="2264">
        <v>34000</v>
      </c>
      <c r="I1830" s="2264"/>
      <c r="J1830" s="2264">
        <v>0</v>
      </c>
      <c r="K1830" s="2264">
        <v>0</v>
      </c>
      <c r="L1830" s="2264">
        <f t="shared" si="344"/>
        <v>0</v>
      </c>
      <c r="M1830" s="2264">
        <f t="shared" si="344"/>
        <v>0</v>
      </c>
      <c r="N1830" s="2264">
        <f t="shared" si="344"/>
        <v>0</v>
      </c>
      <c r="O1830" s="2264">
        <f t="shared" si="344"/>
        <v>0</v>
      </c>
      <c r="P1830" s="2265"/>
      <c r="Q1830" s="2266"/>
      <c r="R1830" s="2266"/>
      <c r="S1830" s="2266"/>
    </row>
    <row r="1831" spans="1:19" s="2105" customFormat="1" outlineLevel="1">
      <c r="A1831" s="2182">
        <f t="shared" si="345"/>
        <v>0</v>
      </c>
      <c r="B1831" s="2261" t="s">
        <v>1616</v>
      </c>
      <c r="C1831" s="2268"/>
      <c r="D1831" s="2152">
        <v>0</v>
      </c>
      <c r="E1831" s="2359" t="s">
        <v>3542</v>
      </c>
      <c r="F1831" s="2501" t="s">
        <v>2555</v>
      </c>
      <c r="G1831" s="2450">
        <f>G1819*6</f>
        <v>0</v>
      </c>
      <c r="H1831" s="2264">
        <v>11400</v>
      </c>
      <c r="I1831" s="2264"/>
      <c r="J1831" s="2264">
        <v>0</v>
      </c>
      <c r="K1831" s="2264">
        <v>0</v>
      </c>
      <c r="L1831" s="2264">
        <f t="shared" si="344"/>
        <v>0</v>
      </c>
      <c r="M1831" s="2264">
        <f t="shared" si="344"/>
        <v>0</v>
      </c>
      <c r="N1831" s="2264">
        <f t="shared" si="344"/>
        <v>0</v>
      </c>
      <c r="O1831" s="2264">
        <f t="shared" si="344"/>
        <v>0</v>
      </c>
      <c r="P1831" s="2265"/>
      <c r="Q1831" s="2266"/>
      <c r="R1831" s="2266"/>
      <c r="S1831" s="2266"/>
    </row>
    <row r="1832" spans="1:19" s="2105" customFormat="1" outlineLevel="1">
      <c r="A1832" s="2182">
        <f t="shared" si="345"/>
        <v>0</v>
      </c>
      <c r="B1832" s="2261" t="s">
        <v>1050</v>
      </c>
      <c r="C1832" s="2268"/>
      <c r="D1832" s="2152">
        <v>0</v>
      </c>
      <c r="E1832" s="2359" t="s">
        <v>3543</v>
      </c>
      <c r="F1832" s="2501" t="s">
        <v>2555</v>
      </c>
      <c r="G1832" s="2450">
        <f>G1819*5</f>
        <v>0</v>
      </c>
      <c r="H1832" s="2264">
        <v>21000</v>
      </c>
      <c r="I1832" s="2264"/>
      <c r="J1832" s="2264">
        <v>0</v>
      </c>
      <c r="K1832" s="2264">
        <v>0</v>
      </c>
      <c r="L1832" s="2264">
        <f t="shared" si="344"/>
        <v>0</v>
      </c>
      <c r="M1832" s="2264">
        <f t="shared" si="344"/>
        <v>0</v>
      </c>
      <c r="N1832" s="2264">
        <f t="shared" si="344"/>
        <v>0</v>
      </c>
      <c r="O1832" s="2264">
        <f t="shared" si="344"/>
        <v>0</v>
      </c>
      <c r="P1832" s="2265"/>
      <c r="Q1832" s="2266"/>
      <c r="R1832" s="2266"/>
      <c r="S1832" s="2266"/>
    </row>
    <row r="1833" spans="1:19" s="2105" customFormat="1" outlineLevel="1">
      <c r="A1833" s="2182">
        <f t="shared" si="345"/>
        <v>0</v>
      </c>
      <c r="B1833" s="2261" t="s">
        <v>726</v>
      </c>
      <c r="C1833" s="2268"/>
      <c r="D1833" s="2152">
        <v>0</v>
      </c>
      <c r="E1833" s="2359" t="s">
        <v>3572</v>
      </c>
      <c r="F1833" s="2501" t="s">
        <v>388</v>
      </c>
      <c r="G1833" s="2450">
        <f>G1819</f>
        <v>0</v>
      </c>
      <c r="H1833" s="2264">
        <v>54100</v>
      </c>
      <c r="I1833" s="2264"/>
      <c r="J1833" s="2264">
        <v>0</v>
      </c>
      <c r="K1833" s="2264">
        <v>0</v>
      </c>
      <c r="L1833" s="2264">
        <f t="shared" si="344"/>
        <v>0</v>
      </c>
      <c r="M1833" s="2264">
        <f t="shared" si="344"/>
        <v>0</v>
      </c>
      <c r="N1833" s="2264">
        <f t="shared" si="344"/>
        <v>0</v>
      </c>
      <c r="O1833" s="2264">
        <f t="shared" si="344"/>
        <v>0</v>
      </c>
      <c r="P1833" s="2265"/>
      <c r="Q1833" s="2266"/>
      <c r="R1833" s="2266"/>
      <c r="S1833" s="2266"/>
    </row>
    <row r="1834" spans="1:19" s="2105" customFormat="1" outlineLevel="1">
      <c r="A1834" s="2182">
        <f t="shared" si="345"/>
        <v>0</v>
      </c>
      <c r="B1834" s="2252" t="s">
        <v>672</v>
      </c>
      <c r="C1834" s="2268"/>
      <c r="D1834" s="2152">
        <v>0</v>
      </c>
      <c r="E1834" s="2359" t="s">
        <v>5801</v>
      </c>
      <c r="F1834" s="2501" t="s">
        <v>3566</v>
      </c>
      <c r="G1834" s="2450">
        <f>G1819</f>
        <v>0</v>
      </c>
      <c r="H1834" s="2264">
        <v>6500</v>
      </c>
      <c r="I1834" s="2264"/>
      <c r="J1834" s="2264">
        <v>0</v>
      </c>
      <c r="K1834" s="2264">
        <v>0</v>
      </c>
      <c r="L1834" s="2264">
        <f t="shared" si="344"/>
        <v>0</v>
      </c>
      <c r="M1834" s="2264">
        <f t="shared" si="344"/>
        <v>0</v>
      </c>
      <c r="N1834" s="2264">
        <f t="shared" si="344"/>
        <v>0</v>
      </c>
      <c r="O1834" s="2264">
        <f t="shared" si="344"/>
        <v>0</v>
      </c>
      <c r="P1834" s="2265"/>
      <c r="Q1834" s="2266"/>
      <c r="R1834" s="2266"/>
      <c r="S1834" s="2266"/>
    </row>
    <row r="1835" spans="1:19" s="2105" customFormat="1" outlineLevel="1">
      <c r="A1835" s="2182">
        <f t="shared" si="345"/>
        <v>0</v>
      </c>
      <c r="B1835" s="2261" t="s">
        <v>2120</v>
      </c>
      <c r="C1835" s="2268"/>
      <c r="D1835" s="2152">
        <v>0</v>
      </c>
      <c r="E1835" s="2359" t="s">
        <v>3573</v>
      </c>
      <c r="F1835" s="2501" t="s">
        <v>2555</v>
      </c>
      <c r="G1835" s="2450">
        <f>G1819</f>
        <v>0</v>
      </c>
      <c r="H1835" s="2264">
        <v>5000</v>
      </c>
      <c r="I1835" s="2264"/>
      <c r="J1835" s="2264">
        <v>0</v>
      </c>
      <c r="K1835" s="2264">
        <v>0</v>
      </c>
      <c r="L1835" s="2264">
        <f t="shared" si="344"/>
        <v>0</v>
      </c>
      <c r="M1835" s="2264">
        <f t="shared" si="344"/>
        <v>0</v>
      </c>
      <c r="N1835" s="2264">
        <f t="shared" si="344"/>
        <v>0</v>
      </c>
      <c r="O1835" s="2264">
        <f t="shared" si="344"/>
        <v>0</v>
      </c>
      <c r="P1835" s="2265"/>
      <c r="Q1835" s="2266"/>
      <c r="R1835" s="2266"/>
      <c r="S1835" s="2266"/>
    </row>
    <row r="1836" spans="1:19" s="2105" customFormat="1" outlineLevel="1">
      <c r="A1836" s="2182">
        <f t="shared" si="345"/>
        <v>0</v>
      </c>
      <c r="B1836" s="2252" t="s">
        <v>959</v>
      </c>
      <c r="C1836" s="2268"/>
      <c r="D1836" s="2152">
        <v>0</v>
      </c>
      <c r="E1836" s="2359" t="s">
        <v>3577</v>
      </c>
      <c r="F1836" s="2501" t="s">
        <v>2555</v>
      </c>
      <c r="G1836" s="2450">
        <f>G1819</f>
        <v>0</v>
      </c>
      <c r="H1836" s="2264">
        <v>5200</v>
      </c>
      <c r="I1836" s="2264"/>
      <c r="J1836" s="2264">
        <v>0</v>
      </c>
      <c r="K1836" s="2264">
        <v>0</v>
      </c>
      <c r="L1836" s="2264">
        <f t="shared" si="344"/>
        <v>0</v>
      </c>
      <c r="M1836" s="2264">
        <f t="shared" si="344"/>
        <v>0</v>
      </c>
      <c r="N1836" s="2264">
        <f t="shared" si="344"/>
        <v>0</v>
      </c>
      <c r="O1836" s="2264">
        <f t="shared" si="344"/>
        <v>0</v>
      </c>
      <c r="P1836" s="2265"/>
      <c r="Q1836" s="2266"/>
      <c r="R1836" s="2266"/>
      <c r="S1836" s="2266"/>
    </row>
    <row r="1837" spans="1:19" s="2105" customFormat="1" outlineLevel="1">
      <c r="A1837" s="2182">
        <f t="shared" si="345"/>
        <v>0</v>
      </c>
      <c r="B1837" s="2252" t="s">
        <v>319</v>
      </c>
      <c r="C1837" s="2268"/>
      <c r="D1837" s="2152">
        <v>0</v>
      </c>
      <c r="E1837" s="2359" t="s">
        <v>5269</v>
      </c>
      <c r="F1837" s="2501" t="s">
        <v>2439</v>
      </c>
      <c r="G1837" s="2450">
        <f>G1819*2</f>
        <v>0</v>
      </c>
      <c r="H1837" s="2264">
        <v>168000</v>
      </c>
      <c r="I1837" s="2264"/>
      <c r="J1837" s="2264">
        <v>0</v>
      </c>
      <c r="K1837" s="2264">
        <v>0</v>
      </c>
      <c r="L1837" s="2264">
        <f t="shared" si="344"/>
        <v>0</v>
      </c>
      <c r="M1837" s="2264">
        <f t="shared" si="344"/>
        <v>0</v>
      </c>
      <c r="N1837" s="2264">
        <f t="shared" si="344"/>
        <v>0</v>
      </c>
      <c r="O1837" s="2264">
        <f t="shared" si="344"/>
        <v>0</v>
      </c>
      <c r="P1837" s="2265"/>
      <c r="Q1837" s="2266"/>
      <c r="R1837" s="2266"/>
      <c r="S1837" s="2266"/>
    </row>
    <row r="1838" spans="1:19" s="2105" customFormat="1" outlineLevel="1">
      <c r="A1838" s="2182">
        <f t="shared" si="345"/>
        <v>0</v>
      </c>
      <c r="B1838" s="2252" t="s">
        <v>1915</v>
      </c>
      <c r="C1838" s="2268"/>
      <c r="D1838" s="2152" t="s">
        <v>5655</v>
      </c>
      <c r="E1838" s="2359" t="s">
        <v>3394</v>
      </c>
      <c r="F1838" s="2501" t="s">
        <v>2555</v>
      </c>
      <c r="G1838" s="2450">
        <f>G1819</f>
        <v>0</v>
      </c>
      <c r="H1838" s="2264">
        <v>845331</v>
      </c>
      <c r="I1838" s="2264"/>
      <c r="J1838" s="2264">
        <v>599038</v>
      </c>
      <c r="K1838" s="2264">
        <v>97369</v>
      </c>
      <c r="L1838" s="2264">
        <f t="shared" si="344"/>
        <v>0</v>
      </c>
      <c r="M1838" s="2264">
        <f t="shared" si="344"/>
        <v>0</v>
      </c>
      <c r="N1838" s="2264">
        <f t="shared" si="344"/>
        <v>0</v>
      </c>
      <c r="O1838" s="2264">
        <f t="shared" si="344"/>
        <v>0</v>
      </c>
      <c r="P1838" s="2265"/>
      <c r="Q1838" s="2266"/>
      <c r="R1838" s="2266"/>
      <c r="S1838" s="2266"/>
    </row>
    <row r="1839" spans="1:19" s="2105" customFormat="1" outlineLevel="1">
      <c r="A1839" s="2182">
        <f t="shared" si="345"/>
        <v>0</v>
      </c>
      <c r="B1839" s="2252" t="s">
        <v>6</v>
      </c>
      <c r="C1839" s="2268"/>
      <c r="D1839" s="2152">
        <v>0</v>
      </c>
      <c r="E1839" s="2359" t="s">
        <v>3567</v>
      </c>
      <c r="F1839" s="2501" t="s">
        <v>5806</v>
      </c>
      <c r="G1839" s="2450">
        <f>G1819*2</f>
        <v>0</v>
      </c>
      <c r="H1839" s="2264">
        <v>45000</v>
      </c>
      <c r="I1839" s="2264"/>
      <c r="J1839" s="2264">
        <v>0</v>
      </c>
      <c r="K1839" s="2264">
        <v>0</v>
      </c>
      <c r="L1839" s="2264">
        <f t="shared" si="344"/>
        <v>0</v>
      </c>
      <c r="M1839" s="2264">
        <f t="shared" si="344"/>
        <v>0</v>
      </c>
      <c r="N1839" s="2264">
        <f t="shared" si="344"/>
        <v>0</v>
      </c>
      <c r="O1839" s="2264">
        <f t="shared" si="344"/>
        <v>0</v>
      </c>
      <c r="P1839" s="2265"/>
      <c r="Q1839" s="2266"/>
      <c r="R1839" s="2266"/>
      <c r="S1839" s="2266"/>
    </row>
    <row r="1840" spans="1:19" s="2105" customFormat="1" outlineLevel="1">
      <c r="A1840" s="2182">
        <f t="shared" si="345"/>
        <v>0</v>
      </c>
      <c r="B1840" s="2252" t="s">
        <v>2139</v>
      </c>
      <c r="C1840" s="2268"/>
      <c r="D1840" s="2152">
        <v>0</v>
      </c>
      <c r="E1840" s="2359" t="s">
        <v>2785</v>
      </c>
      <c r="F1840" s="2501" t="s">
        <v>2532</v>
      </c>
      <c r="G1840" s="2450"/>
      <c r="H1840" s="2264">
        <v>5000</v>
      </c>
      <c r="I1840" s="2264"/>
      <c r="J1840" s="2264">
        <v>0</v>
      </c>
      <c r="K1840" s="2264">
        <v>0</v>
      </c>
      <c r="L1840" s="2264">
        <f t="shared" si="344"/>
        <v>0</v>
      </c>
      <c r="M1840" s="2264">
        <f t="shared" si="344"/>
        <v>0</v>
      </c>
      <c r="N1840" s="2264">
        <f t="shared" si="344"/>
        <v>0</v>
      </c>
      <c r="O1840" s="2264">
        <f t="shared" si="344"/>
        <v>0</v>
      </c>
      <c r="P1840" s="2265"/>
      <c r="Q1840" s="2266"/>
      <c r="R1840" s="2266"/>
      <c r="S1840" s="2266"/>
    </row>
    <row r="1841" spans="1:19" s="2105" customFormat="1" outlineLevel="1">
      <c r="A1841" s="2182">
        <f t="shared" si="345"/>
        <v>0</v>
      </c>
      <c r="B1841" s="2252" t="s">
        <v>1035</v>
      </c>
      <c r="C1841" s="2268"/>
      <c r="D1841" s="2152">
        <v>0</v>
      </c>
      <c r="E1841" s="2359" t="s">
        <v>2956</v>
      </c>
      <c r="F1841" s="2501" t="s">
        <v>2248</v>
      </c>
      <c r="G1841" s="2450"/>
      <c r="H1841" s="2264">
        <v>31625</v>
      </c>
      <c r="I1841" s="2264"/>
      <c r="J1841" s="2264">
        <v>0</v>
      </c>
      <c r="K1841" s="2264">
        <v>0</v>
      </c>
      <c r="L1841" s="2264">
        <f t="shared" si="344"/>
        <v>0</v>
      </c>
      <c r="M1841" s="2264">
        <f t="shared" si="344"/>
        <v>0</v>
      </c>
      <c r="N1841" s="2264">
        <f t="shared" si="344"/>
        <v>0</v>
      </c>
      <c r="O1841" s="2264">
        <f t="shared" si="344"/>
        <v>0</v>
      </c>
      <c r="P1841" s="2265"/>
      <c r="Q1841" s="2266"/>
      <c r="R1841" s="2266"/>
      <c r="S1841" s="2266"/>
    </row>
    <row r="1842" spans="1:19" s="2105" customFormat="1" outlineLevel="1">
      <c r="A1842" s="2182">
        <f t="shared" si="345"/>
        <v>0</v>
      </c>
      <c r="B1842" s="2252" t="s">
        <v>6255</v>
      </c>
      <c r="C1842" s="2268"/>
      <c r="D1842" s="2152">
        <v>0</v>
      </c>
      <c r="E1842" s="2359" t="s">
        <v>2624</v>
      </c>
      <c r="F1842" s="2501" t="s">
        <v>2439</v>
      </c>
      <c r="G1842" s="2450"/>
      <c r="H1842" s="2264">
        <v>1500</v>
      </c>
      <c r="I1842" s="2264"/>
      <c r="J1842" s="2264">
        <v>0</v>
      </c>
      <c r="K1842" s="2264">
        <v>0</v>
      </c>
      <c r="L1842" s="2264">
        <f t="shared" si="344"/>
        <v>0</v>
      </c>
      <c r="M1842" s="2264">
        <f t="shared" si="344"/>
        <v>0</v>
      </c>
      <c r="N1842" s="2264">
        <f t="shared" si="344"/>
        <v>0</v>
      </c>
      <c r="O1842" s="2264">
        <f t="shared" si="344"/>
        <v>0</v>
      </c>
      <c r="P1842" s="2265"/>
      <c r="Q1842" s="2266"/>
      <c r="R1842" s="2266"/>
      <c r="S1842" s="2266"/>
    </row>
    <row r="1843" spans="1:19" s="2477" customFormat="1" ht="13.95" customHeight="1">
      <c r="A1843" s="2474" t="str">
        <f>IF(G1843=0,"",1)</f>
        <v/>
      </c>
      <c r="B1843" s="2475"/>
      <c r="C1843" s="2463">
        <f>IF(G1843&gt;0,C1819+1,C1819)</f>
        <v>0</v>
      </c>
      <c r="D1843" s="2464"/>
      <c r="E1843" s="2465" t="s">
        <v>6256</v>
      </c>
      <c r="F1843" s="2466" t="s">
        <v>2532</v>
      </c>
      <c r="G1843" s="2467"/>
      <c r="H1843" s="2468"/>
      <c r="I1843" s="2503"/>
      <c r="J1843" s="2470"/>
      <c r="K1843" s="2470"/>
      <c r="L1843" s="2471">
        <f>H1843*$G1843</f>
        <v>0</v>
      </c>
      <c r="M1843" s="2504">
        <f>I1843*$G1843</f>
        <v>0</v>
      </c>
      <c r="N1843" s="2471">
        <f>J1843*$G1843</f>
        <v>0</v>
      </c>
      <c r="O1843" s="2471">
        <f>K1843*$G1843</f>
        <v>0</v>
      </c>
      <c r="P1843" s="2476"/>
    </row>
    <row r="1844" spans="1:19" s="2514" customFormat="1" ht="14.4" customHeight="1">
      <c r="A1844" s="2505" t="str">
        <f>A1843</f>
        <v/>
      </c>
      <c r="B1844" s="2506"/>
      <c r="C1844" s="2507"/>
      <c r="D1844" s="765"/>
      <c r="E1844" s="2508" t="s">
        <v>2279</v>
      </c>
      <c r="F1844" s="2509"/>
      <c r="G1844" s="2510"/>
      <c r="H1844" s="2507"/>
      <c r="I1844" s="2643"/>
      <c r="J1844" s="2513"/>
      <c r="K1844" s="2507"/>
      <c r="L1844" s="2511"/>
      <c r="M1844" s="2512"/>
      <c r="N1844" s="2511"/>
      <c r="O1844" s="2511"/>
      <c r="P1844" s="2513"/>
    </row>
    <row r="1845" spans="1:19" s="2514" customFormat="1" ht="13.95" customHeight="1">
      <c r="A1845" s="2505" t="str">
        <f t="shared" ref="A1845:A1856" si="346">IF(G1845=0,"",1)</f>
        <v/>
      </c>
      <c r="B1845" s="2515" t="s">
        <v>4995</v>
      </c>
      <c r="C1845" s="100"/>
      <c r="D1845" s="765"/>
      <c r="E1845" s="2516" t="s">
        <v>6366</v>
      </c>
      <c r="F1845" s="765" t="s">
        <v>856</v>
      </c>
      <c r="G1845" s="2517">
        <f>G1843*0.31</f>
        <v>0</v>
      </c>
      <c r="H1845" s="102">
        <v>512000</v>
      </c>
      <c r="I1845" s="2518"/>
      <c r="J1845" s="102">
        <v>0</v>
      </c>
      <c r="K1845" s="102">
        <v>0</v>
      </c>
      <c r="L1845" s="2511">
        <f t="shared" ref="L1845:O1856" si="347">H1845*$G1845</f>
        <v>0</v>
      </c>
      <c r="M1845" s="2512">
        <f t="shared" si="347"/>
        <v>0</v>
      </c>
      <c r="N1845" s="2511">
        <f t="shared" si="347"/>
        <v>0</v>
      </c>
      <c r="O1845" s="2511">
        <f t="shared" si="347"/>
        <v>0</v>
      </c>
      <c r="P1845" s="2519"/>
    </row>
    <row r="1846" spans="1:19" s="2514" customFormat="1" ht="13.95" customHeight="1">
      <c r="A1846" s="2505" t="str">
        <f t="shared" si="346"/>
        <v/>
      </c>
      <c r="B1846" s="2485" t="s">
        <v>867</v>
      </c>
      <c r="C1846" s="100"/>
      <c r="D1846" s="765"/>
      <c r="E1846" s="2516" t="s">
        <v>6367</v>
      </c>
      <c r="F1846" s="765" t="s">
        <v>856</v>
      </c>
      <c r="G1846" s="2517"/>
      <c r="H1846" s="102">
        <v>335000</v>
      </c>
      <c r="I1846" s="2518"/>
      <c r="J1846" s="102">
        <v>0</v>
      </c>
      <c r="K1846" s="102">
        <v>0</v>
      </c>
      <c r="L1846" s="2511">
        <f t="shared" si="347"/>
        <v>0</v>
      </c>
      <c r="M1846" s="2512">
        <f t="shared" si="347"/>
        <v>0</v>
      </c>
      <c r="N1846" s="2511">
        <f t="shared" si="347"/>
        <v>0</v>
      </c>
      <c r="O1846" s="2511">
        <f t="shared" si="347"/>
        <v>0</v>
      </c>
      <c r="P1846" s="2519"/>
    </row>
    <row r="1847" spans="1:19" s="2514" customFormat="1" ht="13.95" customHeight="1">
      <c r="A1847" s="2505" t="str">
        <f>IF(G1847=0,"",1)</f>
        <v/>
      </c>
      <c r="B1847" s="2485" t="s">
        <v>520</v>
      </c>
      <c r="C1847" s="100"/>
      <c r="D1847" s="765"/>
      <c r="E1847" s="2516" t="s">
        <v>6368</v>
      </c>
      <c r="F1847" s="765" t="s">
        <v>856</v>
      </c>
      <c r="G1847" s="2517">
        <f>G1843*0.1</f>
        <v>0</v>
      </c>
      <c r="H1847" s="102">
        <v>295000</v>
      </c>
      <c r="I1847" s="2518"/>
      <c r="J1847" s="102">
        <v>0</v>
      </c>
      <c r="K1847" s="102">
        <v>0</v>
      </c>
      <c r="L1847" s="2511">
        <f>H1847*$G1847</f>
        <v>0</v>
      </c>
      <c r="M1847" s="2512">
        <f>I1847*$G1847</f>
        <v>0</v>
      </c>
      <c r="N1847" s="2511">
        <f>J1847*$G1847</f>
        <v>0</v>
      </c>
      <c r="O1847" s="2511">
        <f>K1847*$G1847</f>
        <v>0</v>
      </c>
      <c r="P1847" s="2519"/>
    </row>
    <row r="1848" spans="1:19" s="2514" customFormat="1" ht="13.95" customHeight="1">
      <c r="A1848" s="2505" t="str">
        <f t="shared" si="346"/>
        <v/>
      </c>
      <c r="B1848" s="2485" t="s">
        <v>6243</v>
      </c>
      <c r="C1848" s="100"/>
      <c r="D1848" s="765"/>
      <c r="E1848" s="2516" t="s">
        <v>6369</v>
      </c>
      <c r="F1848" s="765" t="s">
        <v>856</v>
      </c>
      <c r="G1848" s="2517">
        <f>G1843*0.05</f>
        <v>0</v>
      </c>
      <c r="H1848" s="102">
        <v>920580</v>
      </c>
      <c r="I1848" s="2518"/>
      <c r="J1848" s="102">
        <v>0</v>
      </c>
      <c r="K1848" s="102">
        <v>0</v>
      </c>
      <c r="L1848" s="2511">
        <f t="shared" si="347"/>
        <v>0</v>
      </c>
      <c r="M1848" s="2512">
        <f t="shared" si="347"/>
        <v>0</v>
      </c>
      <c r="N1848" s="2511">
        <f t="shared" si="347"/>
        <v>0</v>
      </c>
      <c r="O1848" s="2511">
        <f t="shared" si="347"/>
        <v>0</v>
      </c>
      <c r="P1848" s="2519"/>
    </row>
    <row r="1849" spans="1:19" s="2514" customFormat="1" ht="13.95" customHeight="1">
      <c r="A1849" s="2505" t="str">
        <f t="shared" si="346"/>
        <v/>
      </c>
      <c r="B1849" s="2485" t="s">
        <v>1675</v>
      </c>
      <c r="C1849" s="100"/>
      <c r="D1849" s="765"/>
      <c r="E1849" s="2516" t="s">
        <v>3007</v>
      </c>
      <c r="F1849" s="765" t="s">
        <v>3006</v>
      </c>
      <c r="G1849" s="2517">
        <f>3.3*G1843</f>
        <v>0</v>
      </c>
      <c r="H1849" s="102">
        <v>7000</v>
      </c>
      <c r="I1849" s="2518"/>
      <c r="J1849" s="102">
        <v>0</v>
      </c>
      <c r="K1849" s="102">
        <v>0</v>
      </c>
      <c r="L1849" s="2511">
        <f t="shared" si="347"/>
        <v>0</v>
      </c>
      <c r="M1849" s="2512">
        <f t="shared" si="347"/>
        <v>0</v>
      </c>
      <c r="N1849" s="2511">
        <f t="shared" si="347"/>
        <v>0</v>
      </c>
      <c r="O1849" s="2511">
        <f t="shared" si="347"/>
        <v>0</v>
      </c>
      <c r="P1849" s="2519"/>
    </row>
    <row r="1850" spans="1:19" s="2514" customFormat="1" ht="13.95" customHeight="1">
      <c r="A1850" s="2505" t="str">
        <f t="shared" si="346"/>
        <v/>
      </c>
      <c r="B1850" s="2485" t="s">
        <v>1676</v>
      </c>
      <c r="C1850" s="100"/>
      <c r="D1850" s="765"/>
      <c r="E1850" s="2516" t="s">
        <v>3011</v>
      </c>
      <c r="F1850" s="765" t="s">
        <v>1960</v>
      </c>
      <c r="G1850" s="2517">
        <f>0.3*G1843</f>
        <v>0</v>
      </c>
      <c r="H1850" s="102">
        <v>10000</v>
      </c>
      <c r="I1850" s="2518"/>
      <c r="J1850" s="102">
        <v>1187.155</v>
      </c>
      <c r="K1850" s="102">
        <v>0</v>
      </c>
      <c r="L1850" s="2511">
        <f t="shared" si="347"/>
        <v>0</v>
      </c>
      <c r="M1850" s="2512">
        <f t="shared" si="347"/>
        <v>0</v>
      </c>
      <c r="N1850" s="2511">
        <f t="shared" si="347"/>
        <v>0</v>
      </c>
      <c r="O1850" s="2511">
        <f t="shared" si="347"/>
        <v>0</v>
      </c>
      <c r="P1850" s="2519"/>
    </row>
    <row r="1851" spans="1:19" s="2514" customFormat="1" ht="13.95" customHeight="1">
      <c r="A1851" s="2505" t="str">
        <f t="shared" si="346"/>
        <v/>
      </c>
      <c r="B1851" s="2249" t="s">
        <v>1042</v>
      </c>
      <c r="C1851" s="100"/>
      <c r="D1851" s="765">
        <v>0</v>
      </c>
      <c r="E1851" s="2516" t="s">
        <v>3531</v>
      </c>
      <c r="F1851" s="765" t="s">
        <v>1823</v>
      </c>
      <c r="G1851" s="2517">
        <f>1*G1843</f>
        <v>0</v>
      </c>
      <c r="H1851" s="102">
        <v>103700</v>
      </c>
      <c r="I1851" s="2518"/>
      <c r="J1851" s="102">
        <v>0</v>
      </c>
      <c r="K1851" s="102">
        <v>0</v>
      </c>
      <c r="L1851" s="2511">
        <f t="shared" si="347"/>
        <v>0</v>
      </c>
      <c r="M1851" s="2512">
        <f t="shared" si="347"/>
        <v>0</v>
      </c>
      <c r="N1851" s="2511">
        <f t="shared" si="347"/>
        <v>0</v>
      </c>
      <c r="O1851" s="2511">
        <f t="shared" si="347"/>
        <v>0</v>
      </c>
      <c r="P1851" s="2519"/>
    </row>
    <row r="1852" spans="1:19" s="2514" customFormat="1" ht="13.95" customHeight="1">
      <c r="A1852" s="2505" t="str">
        <f t="shared" si="346"/>
        <v/>
      </c>
      <c r="B1852" s="2485" t="s">
        <v>6257</v>
      </c>
      <c r="C1852" s="100"/>
      <c r="D1852" s="765" t="s">
        <v>5343</v>
      </c>
      <c r="E1852" s="2516" t="s">
        <v>3073</v>
      </c>
      <c r="F1852" s="765" t="s">
        <v>3006</v>
      </c>
      <c r="G1852" s="2517">
        <f>G1849</f>
        <v>0</v>
      </c>
      <c r="H1852" s="102">
        <v>0</v>
      </c>
      <c r="I1852" s="2518"/>
      <c r="J1852" s="102">
        <v>916.64</v>
      </c>
      <c r="K1852" s="102">
        <v>0</v>
      </c>
      <c r="L1852" s="2511">
        <f t="shared" si="347"/>
        <v>0</v>
      </c>
      <c r="M1852" s="2512">
        <f t="shared" si="347"/>
        <v>0</v>
      </c>
      <c r="N1852" s="2511">
        <f t="shared" si="347"/>
        <v>0</v>
      </c>
      <c r="O1852" s="2511">
        <f t="shared" si="347"/>
        <v>0</v>
      </c>
      <c r="P1852" s="2519"/>
    </row>
    <row r="1853" spans="1:19" s="2514" customFormat="1" ht="13.95" customHeight="1">
      <c r="A1853" s="2505" t="str">
        <f t="shared" si="346"/>
        <v/>
      </c>
      <c r="B1853" s="2485" t="s">
        <v>1678</v>
      </c>
      <c r="C1853" s="100"/>
      <c r="D1853" s="765" t="s">
        <v>5333</v>
      </c>
      <c r="E1853" s="2516" t="s">
        <v>5334</v>
      </c>
      <c r="F1853" s="765" t="s">
        <v>856</v>
      </c>
      <c r="G1853" s="2517">
        <f>G1845+G1846+G1847</f>
        <v>0</v>
      </c>
      <c r="H1853" s="102"/>
      <c r="I1853" s="2518"/>
      <c r="J1853" s="102">
        <v>315277.5</v>
      </c>
      <c r="K1853" s="102">
        <v>0</v>
      </c>
      <c r="L1853" s="2511">
        <f t="shared" si="347"/>
        <v>0</v>
      </c>
      <c r="M1853" s="2512">
        <f t="shared" si="347"/>
        <v>0</v>
      </c>
      <c r="N1853" s="2511">
        <f t="shared" si="347"/>
        <v>0</v>
      </c>
      <c r="O1853" s="2511">
        <f t="shared" si="347"/>
        <v>0</v>
      </c>
      <c r="P1853" s="2519"/>
    </row>
    <row r="1854" spans="1:19" s="2514" customFormat="1" ht="13.95" customHeight="1">
      <c r="A1854" s="2505" t="str">
        <f t="shared" si="346"/>
        <v/>
      </c>
      <c r="B1854" s="2485" t="s">
        <v>144</v>
      </c>
      <c r="C1854" s="100"/>
      <c r="D1854" s="765" t="s">
        <v>5327</v>
      </c>
      <c r="E1854" s="2516" t="s">
        <v>5328</v>
      </c>
      <c r="F1854" s="765" t="s">
        <v>856</v>
      </c>
      <c r="G1854" s="2517">
        <f>0.34*G1843</f>
        <v>0</v>
      </c>
      <c r="H1854" s="102"/>
      <c r="I1854" s="2518"/>
      <c r="J1854" s="102">
        <v>640731.36</v>
      </c>
      <c r="K1854" s="102">
        <v>0</v>
      </c>
      <c r="L1854" s="2511">
        <f t="shared" si="347"/>
        <v>0</v>
      </c>
      <c r="M1854" s="2512">
        <f t="shared" si="347"/>
        <v>0</v>
      </c>
      <c r="N1854" s="2511">
        <f t="shared" si="347"/>
        <v>0</v>
      </c>
      <c r="O1854" s="2511">
        <f t="shared" si="347"/>
        <v>0</v>
      </c>
      <c r="P1854" s="2519"/>
    </row>
    <row r="1855" spans="1:19" s="2514" customFormat="1" ht="13.95" customHeight="1">
      <c r="A1855" s="2505" t="str">
        <f t="shared" si="346"/>
        <v/>
      </c>
      <c r="B1855" s="2485" t="s">
        <v>1836</v>
      </c>
      <c r="C1855" s="100"/>
      <c r="D1855" s="765" t="s">
        <v>5471</v>
      </c>
      <c r="E1855" s="2516" t="s">
        <v>6370</v>
      </c>
      <c r="F1855" s="765" t="s">
        <v>856</v>
      </c>
      <c r="G1855" s="2517">
        <f>G1848</f>
        <v>0</v>
      </c>
      <c r="H1855" s="102"/>
      <c r="I1855" s="2520"/>
      <c r="J1855" s="102">
        <v>466397.5</v>
      </c>
      <c r="K1855" s="102">
        <v>0</v>
      </c>
      <c r="L1855" s="2511">
        <f t="shared" si="347"/>
        <v>0</v>
      </c>
      <c r="M1855" s="2511">
        <f t="shared" si="347"/>
        <v>0</v>
      </c>
      <c r="N1855" s="2511">
        <f t="shared" si="347"/>
        <v>0</v>
      </c>
      <c r="O1855" s="2511">
        <f t="shared" si="347"/>
        <v>0</v>
      </c>
      <c r="P1855" s="2519"/>
    </row>
    <row r="1856" spans="1:19" s="2478" customFormat="1" ht="13.95" customHeight="1">
      <c r="A1856" s="2479" t="str">
        <f t="shared" si="346"/>
        <v/>
      </c>
      <c r="B1856" s="2480"/>
      <c r="C1856" s="2463">
        <f>IF(G1856&gt;0,C1843+1,C1843)</f>
        <v>0</v>
      </c>
      <c r="D1856" s="2481"/>
      <c r="E1856" s="2465" t="s">
        <v>6258</v>
      </c>
      <c r="F1856" s="2466" t="s">
        <v>2532</v>
      </c>
      <c r="G1856" s="2490"/>
      <c r="H1856" s="2469"/>
      <c r="I1856" s="2469"/>
      <c r="J1856" s="2482"/>
      <c r="K1856" s="2482"/>
      <c r="L1856" s="2472">
        <f t="shared" si="347"/>
        <v>0</v>
      </c>
      <c r="M1856" s="2472">
        <f t="shared" si="347"/>
        <v>0</v>
      </c>
      <c r="N1856" s="2472">
        <f t="shared" si="347"/>
        <v>0</v>
      </c>
      <c r="O1856" s="2472">
        <f t="shared" si="347"/>
        <v>0</v>
      </c>
      <c r="P1856" s="2483"/>
    </row>
    <row r="1857" spans="1:19" s="2514" customFormat="1" ht="14.4" customHeight="1">
      <c r="A1857" s="2505" t="str">
        <f>A1856</f>
        <v/>
      </c>
      <c r="B1857" s="2506"/>
      <c r="C1857" s="2521"/>
      <c r="D1857" s="765"/>
      <c r="E1857" s="2508" t="s">
        <v>2279</v>
      </c>
      <c r="F1857" s="2522"/>
      <c r="G1857" s="2523"/>
      <c r="H1857" s="2521"/>
      <c r="I1857" s="2521"/>
      <c r="J1857" s="2525"/>
      <c r="K1857" s="2521"/>
      <c r="L1857" s="2524"/>
      <c r="M1857" s="2524"/>
      <c r="N1857" s="2524"/>
      <c r="O1857" s="2524"/>
      <c r="P1857" s="2525"/>
    </row>
    <row r="1858" spans="1:19" s="2514" customFormat="1" ht="13.95" customHeight="1">
      <c r="A1858" s="2505" t="str">
        <f t="shared" ref="A1858:A1869" si="348">IF(G1858=0,"",1)</f>
        <v/>
      </c>
      <c r="B1858" s="2515" t="s">
        <v>5287</v>
      </c>
      <c r="C1858" s="100"/>
      <c r="D1858" s="765"/>
      <c r="E1858" s="2516" t="s">
        <v>5288</v>
      </c>
      <c r="F1858" s="765" t="s">
        <v>856</v>
      </c>
      <c r="G1858" s="2517">
        <f>0.275*G1856</f>
        <v>0</v>
      </c>
      <c r="H1858" s="102">
        <v>100000</v>
      </c>
      <c r="I1858" s="2520"/>
      <c r="J1858" s="102">
        <v>0</v>
      </c>
      <c r="K1858" s="102">
        <v>0</v>
      </c>
      <c r="L1858" s="2511">
        <f t="shared" ref="L1858:O1869" si="349">H1858*$G1858</f>
        <v>0</v>
      </c>
      <c r="M1858" s="2511">
        <f t="shared" si="349"/>
        <v>0</v>
      </c>
      <c r="N1858" s="2511">
        <f t="shared" si="349"/>
        <v>0</v>
      </c>
      <c r="O1858" s="2511">
        <f t="shared" si="349"/>
        <v>0</v>
      </c>
      <c r="P1858" s="2519"/>
    </row>
    <row r="1859" spans="1:19" s="2514" customFormat="1" ht="13.95" customHeight="1">
      <c r="A1859" s="2505" t="str">
        <f t="shared" si="348"/>
        <v/>
      </c>
      <c r="B1859" s="2485" t="s">
        <v>520</v>
      </c>
      <c r="C1859" s="100"/>
      <c r="D1859" s="765"/>
      <c r="E1859" s="2516" t="s">
        <v>3002</v>
      </c>
      <c r="F1859" s="765" t="s">
        <v>856</v>
      </c>
      <c r="G1859" s="2517"/>
      <c r="H1859" s="102">
        <v>295000</v>
      </c>
      <c r="I1859" s="2520"/>
      <c r="J1859" s="102">
        <v>0</v>
      </c>
      <c r="K1859" s="102">
        <v>0</v>
      </c>
      <c r="L1859" s="2511">
        <f t="shared" si="349"/>
        <v>0</v>
      </c>
      <c r="M1859" s="2511">
        <f t="shared" si="349"/>
        <v>0</v>
      </c>
      <c r="N1859" s="2511">
        <f t="shared" si="349"/>
        <v>0</v>
      </c>
      <c r="O1859" s="2511">
        <f t="shared" si="349"/>
        <v>0</v>
      </c>
      <c r="P1859" s="2519"/>
    </row>
    <row r="1860" spans="1:19" s="2514" customFormat="1" ht="13.95" customHeight="1">
      <c r="A1860" s="2505" t="str">
        <f>IF(G1860=0,"",1)</f>
        <v/>
      </c>
      <c r="B1860" s="2485" t="s">
        <v>754</v>
      </c>
      <c r="C1860" s="100"/>
      <c r="D1860" s="765"/>
      <c r="E1860" s="2516" t="s">
        <v>3003</v>
      </c>
      <c r="F1860" s="765" t="s">
        <v>856</v>
      </c>
      <c r="G1860" s="2517"/>
      <c r="H1860" s="102">
        <v>265000</v>
      </c>
      <c r="I1860" s="2520"/>
      <c r="J1860" s="102">
        <v>0</v>
      </c>
      <c r="K1860" s="102">
        <v>0</v>
      </c>
      <c r="L1860" s="2511">
        <f>H1860*$G1860</f>
        <v>0</v>
      </c>
      <c r="M1860" s="2511">
        <f>I1860*$G1860</f>
        <v>0</v>
      </c>
      <c r="N1860" s="2511">
        <f>J1860*$G1860</f>
        <v>0</v>
      </c>
      <c r="O1860" s="2511">
        <f>K1860*$G1860</f>
        <v>0</v>
      </c>
      <c r="P1860" s="2519"/>
    </row>
    <row r="1861" spans="1:19" s="2514" customFormat="1" ht="13.95" customHeight="1">
      <c r="A1861" s="2505" t="str">
        <f t="shared" si="348"/>
        <v/>
      </c>
      <c r="B1861" s="2485" t="s">
        <v>1110</v>
      </c>
      <c r="C1861" s="100"/>
      <c r="D1861" s="765"/>
      <c r="E1861" s="2516" t="s">
        <v>2862</v>
      </c>
      <c r="F1861" s="765" t="s">
        <v>856</v>
      </c>
      <c r="G1861" s="2517"/>
      <c r="H1861" s="102">
        <v>732002</v>
      </c>
      <c r="I1861" s="2520"/>
      <c r="J1861" s="102">
        <v>0</v>
      </c>
      <c r="K1861" s="102">
        <v>0</v>
      </c>
      <c r="L1861" s="2511">
        <f t="shared" si="349"/>
        <v>0</v>
      </c>
      <c r="M1861" s="2511">
        <f t="shared" si="349"/>
        <v>0</v>
      </c>
      <c r="N1861" s="2511">
        <f t="shared" si="349"/>
        <v>0</v>
      </c>
      <c r="O1861" s="2511">
        <f t="shared" si="349"/>
        <v>0</v>
      </c>
      <c r="P1861" s="2519"/>
    </row>
    <row r="1862" spans="1:19" s="2514" customFormat="1" ht="13.95" customHeight="1">
      <c r="A1862" s="2505" t="str">
        <f t="shared" si="348"/>
        <v/>
      </c>
      <c r="B1862" s="2485" t="s">
        <v>1675</v>
      </c>
      <c r="C1862" s="100"/>
      <c r="D1862" s="765"/>
      <c r="E1862" s="2516" t="s">
        <v>3007</v>
      </c>
      <c r="F1862" s="765" t="s">
        <v>3006</v>
      </c>
      <c r="G1862" s="2517">
        <f>3.3*G1856</f>
        <v>0</v>
      </c>
      <c r="H1862" s="102">
        <v>7000</v>
      </c>
      <c r="I1862" s="2520"/>
      <c r="J1862" s="102">
        <v>0</v>
      </c>
      <c r="K1862" s="102">
        <v>0</v>
      </c>
      <c r="L1862" s="2511">
        <f t="shared" si="349"/>
        <v>0</v>
      </c>
      <c r="M1862" s="2511">
        <f t="shared" si="349"/>
        <v>0</v>
      </c>
      <c r="N1862" s="2511">
        <f t="shared" si="349"/>
        <v>0</v>
      </c>
      <c r="O1862" s="2511">
        <f t="shared" si="349"/>
        <v>0</v>
      </c>
      <c r="P1862" s="2519"/>
    </row>
    <row r="1863" spans="1:19" s="2514" customFormat="1" ht="13.95" customHeight="1">
      <c r="A1863" s="2505" t="str">
        <f t="shared" si="348"/>
        <v/>
      </c>
      <c r="B1863" s="2485" t="s">
        <v>1676</v>
      </c>
      <c r="C1863" s="100"/>
      <c r="D1863" s="765"/>
      <c r="E1863" s="2516" t="s">
        <v>3011</v>
      </c>
      <c r="F1863" s="765" t="s">
        <v>1960</v>
      </c>
      <c r="G1863" s="2517">
        <f>0.3*G1856</f>
        <v>0</v>
      </c>
      <c r="H1863" s="102">
        <v>10000</v>
      </c>
      <c r="I1863" s="2520"/>
      <c r="J1863" s="102">
        <v>1187.155</v>
      </c>
      <c r="K1863" s="102">
        <v>0</v>
      </c>
      <c r="L1863" s="2511">
        <f t="shared" si="349"/>
        <v>0</v>
      </c>
      <c r="M1863" s="2511">
        <f t="shared" si="349"/>
        <v>0</v>
      </c>
      <c r="N1863" s="2511">
        <f t="shared" si="349"/>
        <v>0</v>
      </c>
      <c r="O1863" s="2511">
        <f t="shared" si="349"/>
        <v>0</v>
      </c>
      <c r="P1863" s="2519"/>
    </row>
    <row r="1864" spans="1:19" s="2514" customFormat="1" ht="13.95" customHeight="1">
      <c r="A1864" s="2505" t="str">
        <f t="shared" si="348"/>
        <v/>
      </c>
      <c r="B1864" s="2485" t="s">
        <v>1042</v>
      </c>
      <c r="C1864" s="100"/>
      <c r="D1864" s="765">
        <v>0</v>
      </c>
      <c r="E1864" s="2516" t="s">
        <v>3531</v>
      </c>
      <c r="F1864" s="765" t="s">
        <v>1823</v>
      </c>
      <c r="G1864" s="2517">
        <f>1*G1856</f>
        <v>0</v>
      </c>
      <c r="H1864" s="102">
        <v>103700</v>
      </c>
      <c r="I1864" s="2520"/>
      <c r="J1864" s="102">
        <v>0</v>
      </c>
      <c r="K1864" s="102">
        <v>0</v>
      </c>
      <c r="L1864" s="2511">
        <f t="shared" si="349"/>
        <v>0</v>
      </c>
      <c r="M1864" s="2511">
        <f t="shared" si="349"/>
        <v>0</v>
      </c>
      <c r="N1864" s="2511">
        <f t="shared" si="349"/>
        <v>0</v>
      </c>
      <c r="O1864" s="2511">
        <f t="shared" si="349"/>
        <v>0</v>
      </c>
      <c r="P1864" s="2519"/>
    </row>
    <row r="1865" spans="1:19" s="2514" customFormat="1" ht="13.95" customHeight="1">
      <c r="A1865" s="2505" t="str">
        <f t="shared" si="348"/>
        <v/>
      </c>
      <c r="B1865" s="2485" t="s">
        <v>6257</v>
      </c>
      <c r="C1865" s="100"/>
      <c r="D1865" s="765" t="s">
        <v>5343</v>
      </c>
      <c r="E1865" s="2516" t="s">
        <v>3073</v>
      </c>
      <c r="F1865" s="765" t="s">
        <v>3006</v>
      </c>
      <c r="G1865" s="2517">
        <f>G1862</f>
        <v>0</v>
      </c>
      <c r="H1865" s="102">
        <v>0</v>
      </c>
      <c r="I1865" s="2518"/>
      <c r="J1865" s="102">
        <v>916.64</v>
      </c>
      <c r="K1865" s="102">
        <v>0</v>
      </c>
      <c r="L1865" s="2511">
        <f t="shared" si="349"/>
        <v>0</v>
      </c>
      <c r="M1865" s="2512">
        <f t="shared" si="349"/>
        <v>0</v>
      </c>
      <c r="N1865" s="2511">
        <f t="shared" si="349"/>
        <v>0</v>
      </c>
      <c r="O1865" s="2511">
        <f t="shared" si="349"/>
        <v>0</v>
      </c>
      <c r="P1865" s="2519"/>
    </row>
    <row r="1866" spans="1:19" s="2514" customFormat="1" ht="13.95" customHeight="1">
      <c r="A1866" s="2505" t="str">
        <f>IF(G1866=0,"",1)</f>
        <v/>
      </c>
      <c r="B1866" s="2485" t="s">
        <v>6259</v>
      </c>
      <c r="C1866" s="100"/>
      <c r="D1866" s="765" t="s">
        <v>5580</v>
      </c>
      <c r="E1866" s="2516" t="s">
        <v>5581</v>
      </c>
      <c r="F1866" s="765" t="s">
        <v>856</v>
      </c>
      <c r="G1866" s="2517"/>
      <c r="H1866" s="102"/>
      <c r="I1866" s="2520"/>
      <c r="J1866" s="102">
        <v>0</v>
      </c>
      <c r="K1866" s="102">
        <v>0</v>
      </c>
      <c r="L1866" s="2511">
        <f>H1866*$G1866</f>
        <v>0</v>
      </c>
      <c r="M1866" s="2511">
        <f>I1866*$G1866</f>
        <v>0</v>
      </c>
      <c r="N1866" s="2511">
        <f>J1866*$G1866</f>
        <v>0</v>
      </c>
      <c r="O1866" s="2511">
        <f>K1866*$G1866</f>
        <v>0</v>
      </c>
      <c r="P1866" s="2519"/>
    </row>
    <row r="1867" spans="1:19" s="2514" customFormat="1" ht="13.95" customHeight="1">
      <c r="A1867" s="2505" t="str">
        <f t="shared" si="348"/>
        <v/>
      </c>
      <c r="B1867" s="2485" t="s">
        <v>1678</v>
      </c>
      <c r="C1867" s="100"/>
      <c r="D1867" s="765" t="s">
        <v>5333</v>
      </c>
      <c r="E1867" s="2516" t="s">
        <v>6371</v>
      </c>
      <c r="F1867" s="765" t="s">
        <v>856</v>
      </c>
      <c r="G1867" s="2517">
        <f>G1858+G1859+G1860</f>
        <v>0</v>
      </c>
      <c r="H1867" s="102"/>
      <c r="I1867" s="2520"/>
      <c r="J1867" s="102">
        <v>315277.5</v>
      </c>
      <c r="K1867" s="102">
        <v>0</v>
      </c>
      <c r="L1867" s="2511">
        <f t="shared" si="349"/>
        <v>0</v>
      </c>
      <c r="M1867" s="2511">
        <f t="shared" si="349"/>
        <v>0</v>
      </c>
      <c r="N1867" s="2511">
        <f t="shared" si="349"/>
        <v>0</v>
      </c>
      <c r="O1867" s="2511">
        <f t="shared" si="349"/>
        <v>0</v>
      </c>
      <c r="P1867" s="2519"/>
    </row>
    <row r="1868" spans="1:19" s="2514" customFormat="1" ht="13.95" customHeight="1">
      <c r="A1868" s="2505" t="str">
        <f t="shared" si="348"/>
        <v/>
      </c>
      <c r="B1868" s="2485" t="s">
        <v>144</v>
      </c>
      <c r="C1868" s="100"/>
      <c r="D1868" s="765" t="s">
        <v>5327</v>
      </c>
      <c r="E1868" s="2516" t="s">
        <v>5328</v>
      </c>
      <c r="F1868" s="765" t="s">
        <v>856</v>
      </c>
      <c r="G1868" s="2517">
        <f>0.496*G1856</f>
        <v>0</v>
      </c>
      <c r="H1868" s="102"/>
      <c r="I1868" s="2520"/>
      <c r="J1868" s="102">
        <v>640731.36</v>
      </c>
      <c r="K1868" s="102">
        <v>0</v>
      </c>
      <c r="L1868" s="2511">
        <f t="shared" si="349"/>
        <v>0</v>
      </c>
      <c r="M1868" s="2511">
        <f t="shared" si="349"/>
        <v>0</v>
      </c>
      <c r="N1868" s="2511">
        <f t="shared" si="349"/>
        <v>0</v>
      </c>
      <c r="O1868" s="2511">
        <f t="shared" si="349"/>
        <v>0</v>
      </c>
      <c r="P1868" s="2519"/>
    </row>
    <row r="1869" spans="1:19" s="2514" customFormat="1" ht="13.95" customHeight="1">
      <c r="A1869" s="2505" t="str">
        <f t="shared" si="348"/>
        <v/>
      </c>
      <c r="B1869" s="2485" t="s">
        <v>1217</v>
      </c>
      <c r="C1869" s="100"/>
      <c r="D1869" s="765" t="s">
        <v>2033</v>
      </c>
      <c r="E1869" s="2516" t="s">
        <v>2864</v>
      </c>
      <c r="F1869" s="765" t="s">
        <v>1960</v>
      </c>
      <c r="G1869" s="2517"/>
      <c r="H1869" s="102"/>
      <c r="I1869" s="2520"/>
      <c r="J1869" s="102">
        <v>338</v>
      </c>
      <c r="K1869" s="102">
        <v>1269</v>
      </c>
      <c r="L1869" s="2511">
        <f t="shared" si="349"/>
        <v>0</v>
      </c>
      <c r="M1869" s="2511">
        <f t="shared" si="349"/>
        <v>0</v>
      </c>
      <c r="N1869" s="2511">
        <f t="shared" si="349"/>
        <v>0</v>
      </c>
      <c r="O1869" s="2511">
        <f t="shared" si="349"/>
        <v>0</v>
      </c>
      <c r="P1869" s="2519"/>
    </row>
    <row r="1870" spans="1:19" s="2105" customFormat="1" outlineLevel="1">
      <c r="A1870" s="2182" t="str">
        <f>IF(G1870&lt;&gt;0,1,"")</f>
        <v/>
      </c>
      <c r="B1870" s="2261"/>
      <c r="C1870" s="2258">
        <f>IF(G1870&gt;0,C1856+1,C1856)</f>
        <v>0</v>
      </c>
      <c r="D1870" s="2259"/>
      <c r="E1870" s="2260" t="s">
        <v>3708</v>
      </c>
      <c r="F1870" s="2258" t="s">
        <v>2385</v>
      </c>
      <c r="G1870" s="2451">
        <f>G1664*0</f>
        <v>0</v>
      </c>
      <c r="H1870" s="2264"/>
      <c r="I1870" s="2264"/>
      <c r="J1870" s="2264"/>
      <c r="K1870" s="2264"/>
      <c r="L1870" s="2264"/>
      <c r="M1870" s="2264"/>
      <c r="N1870" s="2264"/>
      <c r="O1870" s="2264"/>
      <c r="P1870" s="2265"/>
      <c r="Q1870" s="2266"/>
      <c r="R1870" s="2266"/>
      <c r="S1870" s="2266"/>
    </row>
    <row r="1871" spans="1:19" s="2105" customFormat="1" ht="14.4" outlineLevel="1">
      <c r="A1871" s="2182" t="str">
        <f>A1870</f>
        <v/>
      </c>
      <c r="B1871" s="2261"/>
      <c r="C1871" s="2258"/>
      <c r="D1871" s="2259"/>
      <c r="E1871" s="2274" t="s">
        <v>6133</v>
      </c>
      <c r="F1871" s="2258"/>
      <c r="G1871" s="2451"/>
      <c r="H1871" s="2264"/>
      <c r="I1871" s="2264"/>
      <c r="J1871" s="2264"/>
      <c r="K1871" s="2264"/>
      <c r="L1871" s="2264"/>
      <c r="M1871" s="2264"/>
      <c r="N1871" s="2264"/>
      <c r="O1871" s="2264"/>
      <c r="P1871" s="2265"/>
      <c r="Q1871" s="2266"/>
      <c r="R1871" s="2266"/>
      <c r="S1871" s="2266"/>
    </row>
    <row r="1872" spans="1:19" s="2105" customFormat="1" outlineLevel="1">
      <c r="A1872" s="2182" t="str">
        <f>IF(G1872&lt;&gt;0,1,"")</f>
        <v/>
      </c>
      <c r="B1872" s="2261" t="s">
        <v>1489</v>
      </c>
      <c r="C1872" s="2268"/>
      <c r="D1872" s="2152">
        <v>0</v>
      </c>
      <c r="E1872" s="2194" t="s">
        <v>3532</v>
      </c>
      <c r="F1872" s="2152" t="s">
        <v>1823</v>
      </c>
      <c r="G1872" s="2450">
        <f>G1870*2</f>
        <v>0</v>
      </c>
      <c r="H1872" s="2264">
        <v>63200</v>
      </c>
      <c r="I1872" s="2264"/>
      <c r="J1872" s="2264">
        <v>0</v>
      </c>
      <c r="K1872" s="2264">
        <v>0</v>
      </c>
      <c r="L1872" s="2264">
        <f>H1872*G1872</f>
        <v>0</v>
      </c>
      <c r="M1872" s="2264">
        <f>I1872*G1872</f>
        <v>0</v>
      </c>
      <c r="N1872" s="2264">
        <f>J1872*G1872</f>
        <v>0</v>
      </c>
      <c r="O1872" s="2264">
        <f>K1872*G1872</f>
        <v>0</v>
      </c>
      <c r="P1872" s="2265"/>
      <c r="Q1872" s="2266"/>
      <c r="R1872" s="2266"/>
      <c r="S1872" s="2266"/>
    </row>
    <row r="1873" spans="1:16381" s="2105" customFormat="1" outlineLevel="1">
      <c r="A1873" s="2182" t="str">
        <f>IF(G1873&lt;&gt;0,1,"")</f>
        <v/>
      </c>
      <c r="B1873" s="2261" t="s">
        <v>86</v>
      </c>
      <c r="C1873" s="2268"/>
      <c r="D1873" s="2152">
        <v>0</v>
      </c>
      <c r="E1873" s="2194" t="s">
        <v>5797</v>
      </c>
      <c r="F1873" s="2152" t="s">
        <v>2555</v>
      </c>
      <c r="G1873" s="2450">
        <f>G1870</f>
        <v>0</v>
      </c>
      <c r="H1873" s="2264">
        <v>45400</v>
      </c>
      <c r="I1873" s="2264"/>
      <c r="J1873" s="2264">
        <v>0</v>
      </c>
      <c r="K1873" s="2264">
        <v>0</v>
      </c>
      <c r="L1873" s="2264">
        <f>H1873*G1873</f>
        <v>0</v>
      </c>
      <c r="M1873" s="2264">
        <f>I1873*G1873</f>
        <v>0</v>
      </c>
      <c r="N1873" s="2264">
        <f>J1873*G1873</f>
        <v>0</v>
      </c>
      <c r="O1873" s="2264">
        <f>K1873*G1873</f>
        <v>0</v>
      </c>
      <c r="P1873" s="2265"/>
      <c r="Q1873" s="2266"/>
      <c r="R1873" s="2266"/>
      <c r="S1873" s="2266"/>
    </row>
    <row r="1874" spans="1:16381" s="2105" customFormat="1" outlineLevel="1">
      <c r="A1874" s="2182" t="str">
        <f>IF(G1874&lt;&gt;0,1,"")</f>
        <v/>
      </c>
      <c r="B1874" s="2261" t="s">
        <v>931</v>
      </c>
      <c r="C1874" s="2268"/>
      <c r="D1874" s="2152">
        <v>0</v>
      </c>
      <c r="E1874" s="2194" t="s">
        <v>3574</v>
      </c>
      <c r="F1874" s="2152" t="s">
        <v>2555</v>
      </c>
      <c r="G1874" s="2450">
        <f>G1870*2</f>
        <v>0</v>
      </c>
      <c r="H1874" s="2264">
        <v>25800</v>
      </c>
      <c r="I1874" s="2264"/>
      <c r="J1874" s="2264">
        <v>0</v>
      </c>
      <c r="K1874" s="2264">
        <v>0</v>
      </c>
      <c r="L1874" s="2264">
        <f>H1874*G1874</f>
        <v>0</v>
      </c>
      <c r="M1874" s="2264">
        <f>I1874*G1874</f>
        <v>0</v>
      </c>
      <c r="N1874" s="2264">
        <f>J1874*G1874</f>
        <v>0</v>
      </c>
      <c r="O1874" s="2264">
        <f>K1874*G1874</f>
        <v>0</v>
      </c>
      <c r="P1874" s="2265"/>
      <c r="Q1874" s="2266"/>
      <c r="R1874" s="2266"/>
      <c r="S1874" s="2266"/>
    </row>
    <row r="1875" spans="1:16381" s="2105" customFormat="1" outlineLevel="1">
      <c r="A1875" s="2182" t="str">
        <f>IF(G1875&lt;&gt;0,1,"")</f>
        <v/>
      </c>
      <c r="B1875" s="2261" t="s">
        <v>930</v>
      </c>
      <c r="C1875" s="2268"/>
      <c r="D1875" s="2152">
        <v>0</v>
      </c>
      <c r="E1875" s="2194" t="s">
        <v>3578</v>
      </c>
      <c r="F1875" s="2152" t="s">
        <v>2555</v>
      </c>
      <c r="G1875" s="2450">
        <f>G1874</f>
        <v>0</v>
      </c>
      <c r="H1875" s="2264">
        <v>21500</v>
      </c>
      <c r="I1875" s="2264"/>
      <c r="J1875" s="2264">
        <v>0</v>
      </c>
      <c r="K1875" s="2264">
        <v>0</v>
      </c>
      <c r="L1875" s="2264">
        <f>H1875*G1875</f>
        <v>0</v>
      </c>
      <c r="M1875" s="2264">
        <f>I1875*G1875</f>
        <v>0</v>
      </c>
      <c r="N1875" s="2264">
        <f>J1875*G1875</f>
        <v>0</v>
      </c>
      <c r="O1875" s="2264">
        <f>K1875*G1875</f>
        <v>0</v>
      </c>
      <c r="P1875" s="2265"/>
      <c r="Q1875" s="2266"/>
      <c r="R1875" s="2266"/>
      <c r="S1875" s="2266"/>
    </row>
    <row r="1876" spans="1:16381" s="2105" customFormat="1" outlineLevel="1">
      <c r="A1876" s="2474" t="str">
        <f>IF(G1876&lt;&gt;0,1,"")</f>
        <v/>
      </c>
      <c r="B1876" s="2475"/>
      <c r="C1876" s="2463">
        <f>IF(G1876&gt;0,C1870+1,C1870)</f>
        <v>0</v>
      </c>
      <c r="D1876" s="2464"/>
      <c r="E1876" s="2465" t="s">
        <v>3742</v>
      </c>
      <c r="F1876" s="2466" t="s">
        <v>2385</v>
      </c>
      <c r="G1876" s="2467">
        <f>G1776</f>
        <v>0</v>
      </c>
      <c r="H1876" s="2468"/>
      <c r="I1876" s="2470"/>
      <c r="J1876" s="2470"/>
      <c r="K1876" s="2471"/>
      <c r="L1876" s="2471"/>
      <c r="M1876" s="2471"/>
      <c r="N1876" s="2476"/>
      <c r="O1876" s="2472"/>
      <c r="P1876" s="2483"/>
      <c r="Q1876" s="2477"/>
      <c r="R1876" s="2477"/>
      <c r="S1876" s="2477"/>
      <c r="T1876" s="2477"/>
      <c r="U1876" s="2477"/>
      <c r="V1876" s="2477"/>
      <c r="W1876" s="2477"/>
      <c r="X1876" s="2477"/>
      <c r="Y1876" s="2477"/>
      <c r="Z1876" s="2477"/>
      <c r="AA1876" s="2477"/>
      <c r="AB1876" s="2477"/>
      <c r="AC1876" s="2477"/>
      <c r="AD1876" s="2477"/>
      <c r="AE1876" s="2477"/>
      <c r="AF1876" s="2477"/>
      <c r="AG1876" s="2477"/>
      <c r="AH1876" s="2477"/>
      <c r="AI1876" s="2477"/>
      <c r="AJ1876" s="2477"/>
      <c r="AK1876" s="2477"/>
      <c r="AL1876" s="2477"/>
      <c r="AM1876" s="2477"/>
      <c r="AN1876" s="2477"/>
      <c r="AO1876" s="2477"/>
      <c r="AP1876" s="2477"/>
      <c r="AQ1876" s="2477"/>
      <c r="AR1876" s="2477"/>
      <c r="AS1876" s="2477"/>
      <c r="AT1876" s="2477"/>
      <c r="AU1876" s="2477"/>
      <c r="AV1876" s="2477"/>
      <c r="AW1876" s="2477"/>
      <c r="AX1876" s="2477"/>
      <c r="AY1876" s="2477"/>
      <c r="AZ1876" s="2477"/>
      <c r="BA1876" s="2477"/>
      <c r="BB1876" s="2477"/>
      <c r="BC1876" s="2477"/>
      <c r="BD1876" s="2477"/>
      <c r="BE1876" s="2477"/>
      <c r="BF1876" s="2477"/>
      <c r="BG1876" s="2477"/>
      <c r="BH1876" s="2477"/>
      <c r="BI1876" s="2477"/>
      <c r="BJ1876" s="2477"/>
      <c r="BK1876" s="2477"/>
      <c r="BL1876" s="2477"/>
      <c r="BM1876" s="2477"/>
      <c r="BN1876" s="2477"/>
      <c r="BO1876" s="2477"/>
      <c r="BP1876" s="2477"/>
      <c r="BQ1876" s="2477"/>
      <c r="BR1876" s="2477"/>
      <c r="BS1876" s="2477"/>
      <c r="BT1876" s="2477"/>
      <c r="BU1876" s="2477"/>
      <c r="BV1876" s="2477"/>
      <c r="BW1876" s="2477"/>
      <c r="BX1876" s="2477"/>
      <c r="BY1876" s="2477"/>
      <c r="BZ1876" s="2477"/>
      <c r="CA1876" s="2477"/>
      <c r="CB1876" s="2477"/>
      <c r="CC1876" s="2477"/>
      <c r="CD1876" s="2477"/>
      <c r="CE1876" s="2477"/>
      <c r="CF1876" s="2477"/>
      <c r="CG1876" s="2477"/>
      <c r="CH1876" s="2477"/>
      <c r="CI1876" s="2477"/>
      <c r="CJ1876" s="2477"/>
      <c r="CK1876" s="2477"/>
      <c r="CL1876" s="2477"/>
      <c r="CM1876" s="2477"/>
      <c r="CN1876" s="2477"/>
      <c r="CO1876" s="2477"/>
      <c r="CP1876" s="2477"/>
      <c r="CQ1876" s="2477"/>
      <c r="CR1876" s="2477"/>
      <c r="CS1876" s="2477"/>
      <c r="CT1876" s="2477"/>
      <c r="CU1876" s="2477"/>
      <c r="CV1876" s="2477"/>
      <c r="CW1876" s="2477"/>
      <c r="CX1876" s="2477"/>
      <c r="CY1876" s="2477"/>
      <c r="CZ1876" s="2477"/>
      <c r="DA1876" s="2477"/>
      <c r="DB1876" s="2477"/>
      <c r="DC1876" s="2477"/>
      <c r="DD1876" s="2477"/>
      <c r="DE1876" s="2477"/>
      <c r="DF1876" s="2477"/>
      <c r="DG1876" s="2477"/>
      <c r="DH1876" s="2477"/>
      <c r="DI1876" s="2477"/>
      <c r="DJ1876" s="2477"/>
      <c r="DK1876" s="2477"/>
      <c r="DL1876" s="2477"/>
      <c r="DM1876" s="2477"/>
      <c r="DN1876" s="2477"/>
      <c r="DO1876" s="2477"/>
      <c r="DP1876" s="2477"/>
      <c r="DQ1876" s="2477"/>
      <c r="DR1876" s="2477"/>
      <c r="DS1876" s="2477"/>
      <c r="DT1876" s="2477"/>
      <c r="DU1876" s="2477"/>
      <c r="DV1876" s="2477"/>
      <c r="DW1876" s="2477"/>
      <c r="DX1876" s="2477"/>
      <c r="DY1876" s="2477"/>
      <c r="DZ1876" s="2477"/>
      <c r="EA1876" s="2477"/>
      <c r="EB1876" s="2477"/>
      <c r="EC1876" s="2477"/>
      <c r="ED1876" s="2477"/>
      <c r="EE1876" s="2477"/>
      <c r="EF1876" s="2477"/>
      <c r="EG1876" s="2477"/>
      <c r="EH1876" s="2477"/>
      <c r="EI1876" s="2477"/>
      <c r="EJ1876" s="2477"/>
      <c r="EK1876" s="2477"/>
      <c r="EL1876" s="2477"/>
      <c r="EM1876" s="2477"/>
      <c r="EN1876" s="2477"/>
      <c r="EO1876" s="2477"/>
      <c r="EP1876" s="2477"/>
      <c r="EQ1876" s="2477"/>
      <c r="ER1876" s="2477"/>
      <c r="ES1876" s="2477"/>
      <c r="ET1876" s="2477"/>
      <c r="EU1876" s="2477"/>
      <c r="EV1876" s="2477"/>
      <c r="EW1876" s="2477"/>
      <c r="EX1876" s="2477"/>
      <c r="EY1876" s="2477"/>
      <c r="EZ1876" s="2477"/>
      <c r="FA1876" s="2477"/>
      <c r="FB1876" s="2477"/>
      <c r="FC1876" s="2477"/>
      <c r="FD1876" s="2477"/>
      <c r="FE1876" s="2477"/>
      <c r="FF1876" s="2477"/>
      <c r="FG1876" s="2477"/>
      <c r="FH1876" s="2477"/>
      <c r="FI1876" s="2477"/>
      <c r="FJ1876" s="2477"/>
      <c r="FK1876" s="2477"/>
      <c r="FL1876" s="2477"/>
      <c r="FM1876" s="2477"/>
      <c r="FN1876" s="2477"/>
      <c r="FO1876" s="2477"/>
      <c r="FP1876" s="2477"/>
      <c r="FQ1876" s="2477"/>
      <c r="FR1876" s="2477"/>
      <c r="FS1876" s="2477"/>
      <c r="FT1876" s="2477"/>
      <c r="FU1876" s="2477"/>
      <c r="FV1876" s="2477"/>
      <c r="FW1876" s="2477"/>
      <c r="FX1876" s="2477"/>
      <c r="FY1876" s="2477"/>
      <c r="FZ1876" s="2477"/>
      <c r="GA1876" s="2477"/>
      <c r="GB1876" s="2477"/>
      <c r="GC1876" s="2477"/>
      <c r="GD1876" s="2477"/>
      <c r="GE1876" s="2477"/>
      <c r="GF1876" s="2477"/>
      <c r="GG1876" s="2477"/>
      <c r="GH1876" s="2477"/>
      <c r="GI1876" s="2477"/>
      <c r="GJ1876" s="2477"/>
      <c r="GK1876" s="2477"/>
      <c r="GL1876" s="2477"/>
      <c r="GM1876" s="2477"/>
      <c r="GN1876" s="2477"/>
      <c r="GO1876" s="2477"/>
      <c r="GP1876" s="2477"/>
      <c r="GQ1876" s="2477"/>
      <c r="GR1876" s="2477"/>
      <c r="GS1876" s="2477"/>
      <c r="GT1876" s="2477"/>
      <c r="GU1876" s="2477"/>
      <c r="GV1876" s="2477"/>
      <c r="GW1876" s="2477"/>
      <c r="GX1876" s="2477"/>
      <c r="GY1876" s="2477"/>
      <c r="GZ1876" s="2477"/>
      <c r="HA1876" s="2477"/>
      <c r="HB1876" s="2477"/>
      <c r="HC1876" s="2477"/>
      <c r="HD1876" s="2477"/>
      <c r="HE1876" s="2477"/>
      <c r="HF1876" s="2477"/>
      <c r="HG1876" s="2477"/>
      <c r="HH1876" s="2477"/>
      <c r="HI1876" s="2477"/>
      <c r="HJ1876" s="2477"/>
      <c r="HK1876" s="2477"/>
      <c r="HL1876" s="2477"/>
      <c r="HM1876" s="2477"/>
      <c r="HN1876" s="2477"/>
      <c r="HO1876" s="2477"/>
      <c r="HP1876" s="2477"/>
      <c r="HQ1876" s="2477"/>
      <c r="HR1876" s="2477"/>
      <c r="HS1876" s="2477"/>
      <c r="HT1876" s="2477"/>
      <c r="HU1876" s="2477"/>
      <c r="HV1876" s="2477"/>
      <c r="HW1876" s="2477"/>
      <c r="HX1876" s="2477"/>
      <c r="HY1876" s="2477"/>
      <c r="HZ1876" s="2477"/>
      <c r="IA1876" s="2477"/>
      <c r="IB1876" s="2477"/>
      <c r="IC1876" s="2477"/>
      <c r="ID1876" s="2477"/>
      <c r="IE1876" s="2477"/>
      <c r="IF1876" s="2477"/>
      <c r="IG1876" s="2477"/>
      <c r="IH1876" s="2477"/>
      <c r="II1876" s="2477"/>
      <c r="IJ1876" s="2477"/>
      <c r="IK1876" s="2477"/>
      <c r="IL1876" s="2477"/>
      <c r="IM1876" s="2477"/>
      <c r="IN1876" s="2477"/>
      <c r="IO1876" s="2477"/>
      <c r="IP1876" s="2477"/>
      <c r="IQ1876" s="2477"/>
      <c r="IR1876" s="2477"/>
      <c r="IS1876" s="2477"/>
      <c r="IT1876" s="2477"/>
      <c r="IU1876" s="2477"/>
      <c r="IV1876" s="2477"/>
      <c r="IW1876" s="2477"/>
      <c r="IX1876" s="2477"/>
      <c r="IY1876" s="2477"/>
      <c r="IZ1876" s="2477"/>
      <c r="JA1876" s="2477"/>
      <c r="JB1876" s="2477"/>
      <c r="JC1876" s="2477"/>
      <c r="JD1876" s="2477"/>
      <c r="JE1876" s="2477"/>
      <c r="JF1876" s="2477"/>
      <c r="JG1876" s="2477"/>
      <c r="JH1876" s="2477"/>
      <c r="JI1876" s="2477"/>
      <c r="JJ1876" s="2477"/>
      <c r="JK1876" s="2477"/>
      <c r="JL1876" s="2477"/>
      <c r="JM1876" s="2477"/>
      <c r="JN1876" s="2477"/>
      <c r="JO1876" s="2477"/>
      <c r="JP1876" s="2477"/>
      <c r="JQ1876" s="2477"/>
      <c r="JR1876" s="2477"/>
      <c r="JS1876" s="2477"/>
      <c r="JT1876" s="2477"/>
      <c r="JU1876" s="2477"/>
      <c r="JV1876" s="2477"/>
      <c r="JW1876" s="2477"/>
      <c r="JX1876" s="2477"/>
      <c r="JY1876" s="2477"/>
      <c r="JZ1876" s="2477"/>
      <c r="KA1876" s="2477"/>
      <c r="KB1876" s="2477"/>
      <c r="KC1876" s="2477"/>
      <c r="KD1876" s="2477"/>
      <c r="KE1876" s="2477"/>
      <c r="KF1876" s="2477"/>
      <c r="KG1876" s="2477"/>
      <c r="KH1876" s="2477"/>
      <c r="KI1876" s="2477"/>
      <c r="KJ1876" s="2477"/>
      <c r="KK1876" s="2477"/>
      <c r="KL1876" s="2477"/>
      <c r="KM1876" s="2477"/>
      <c r="KN1876" s="2477"/>
      <c r="KO1876" s="2477"/>
      <c r="KP1876" s="2477"/>
      <c r="KQ1876" s="2477"/>
      <c r="KR1876" s="2477"/>
      <c r="KS1876" s="2477"/>
      <c r="KT1876" s="2477"/>
      <c r="KU1876" s="2477"/>
      <c r="KV1876" s="2477"/>
      <c r="KW1876" s="2477"/>
      <c r="KX1876" s="2477"/>
      <c r="KY1876" s="2477"/>
      <c r="KZ1876" s="2477"/>
      <c r="LA1876" s="2477"/>
      <c r="LB1876" s="2477"/>
      <c r="LC1876" s="2477"/>
      <c r="LD1876" s="2477"/>
      <c r="LE1876" s="2477"/>
      <c r="LF1876" s="2477"/>
      <c r="LG1876" s="2477"/>
      <c r="LH1876" s="2477"/>
      <c r="LI1876" s="2477"/>
      <c r="LJ1876" s="2477"/>
      <c r="LK1876" s="2477"/>
      <c r="LL1876" s="2477"/>
      <c r="LM1876" s="2477"/>
      <c r="LN1876" s="2477"/>
      <c r="LO1876" s="2477"/>
      <c r="LP1876" s="2477"/>
      <c r="LQ1876" s="2477"/>
      <c r="LR1876" s="2477"/>
      <c r="LS1876" s="2477"/>
      <c r="LT1876" s="2477"/>
      <c r="LU1876" s="2477"/>
      <c r="LV1876" s="2477"/>
      <c r="LW1876" s="2477"/>
      <c r="LX1876" s="2477"/>
      <c r="LY1876" s="2477"/>
      <c r="LZ1876" s="2477"/>
      <c r="MA1876" s="2477"/>
      <c r="MB1876" s="2477"/>
      <c r="MC1876" s="2477"/>
      <c r="MD1876" s="2477"/>
      <c r="ME1876" s="2477"/>
      <c r="MF1876" s="2477"/>
      <c r="MG1876" s="2477"/>
      <c r="MH1876" s="2477"/>
      <c r="MI1876" s="2477"/>
      <c r="MJ1876" s="2477"/>
      <c r="MK1876" s="2477"/>
      <c r="ML1876" s="2477"/>
      <c r="MM1876" s="2477"/>
      <c r="MN1876" s="2477"/>
      <c r="MO1876" s="2477"/>
      <c r="MP1876" s="2477"/>
      <c r="MQ1876" s="2477"/>
      <c r="MR1876" s="2477"/>
      <c r="MS1876" s="2477"/>
      <c r="MT1876" s="2477"/>
      <c r="MU1876" s="2477"/>
      <c r="MV1876" s="2477"/>
      <c r="MW1876" s="2477"/>
      <c r="MX1876" s="2477"/>
      <c r="MY1876" s="2477"/>
      <c r="MZ1876" s="2477"/>
      <c r="NA1876" s="2477"/>
      <c r="NB1876" s="2477"/>
      <c r="NC1876" s="2477"/>
      <c r="ND1876" s="2477"/>
      <c r="NE1876" s="2477"/>
      <c r="NF1876" s="2477"/>
      <c r="NG1876" s="2477"/>
      <c r="NH1876" s="2477"/>
      <c r="NI1876" s="2477"/>
      <c r="NJ1876" s="2477"/>
      <c r="NK1876" s="2477"/>
      <c r="NL1876" s="2477"/>
      <c r="NM1876" s="2477"/>
      <c r="NN1876" s="2477"/>
      <c r="NO1876" s="2477"/>
      <c r="NP1876" s="2477"/>
      <c r="NQ1876" s="2477"/>
      <c r="NR1876" s="2477"/>
      <c r="NS1876" s="2477"/>
      <c r="NT1876" s="2477"/>
      <c r="NU1876" s="2477"/>
      <c r="NV1876" s="2477"/>
      <c r="NW1876" s="2477"/>
      <c r="NX1876" s="2477"/>
      <c r="NY1876" s="2477"/>
      <c r="NZ1876" s="2477"/>
      <c r="OA1876" s="2477"/>
      <c r="OB1876" s="2477"/>
      <c r="OC1876" s="2477"/>
      <c r="OD1876" s="2477"/>
      <c r="OE1876" s="2477"/>
      <c r="OF1876" s="2477"/>
      <c r="OG1876" s="2477"/>
      <c r="OH1876" s="2477"/>
      <c r="OI1876" s="2477"/>
      <c r="OJ1876" s="2477"/>
      <c r="OK1876" s="2477"/>
      <c r="OL1876" s="2477"/>
      <c r="OM1876" s="2477"/>
      <c r="ON1876" s="2477"/>
      <c r="OO1876" s="2477"/>
      <c r="OP1876" s="2477"/>
      <c r="OQ1876" s="2477"/>
      <c r="OR1876" s="2477"/>
      <c r="OS1876" s="2477"/>
      <c r="OT1876" s="2477"/>
      <c r="OU1876" s="2477"/>
      <c r="OV1876" s="2477"/>
      <c r="OW1876" s="2477"/>
      <c r="OX1876" s="2477"/>
      <c r="OY1876" s="2477"/>
      <c r="OZ1876" s="2477"/>
      <c r="PA1876" s="2477"/>
      <c r="PB1876" s="2477"/>
      <c r="PC1876" s="2477"/>
      <c r="PD1876" s="2477"/>
      <c r="PE1876" s="2477"/>
      <c r="PF1876" s="2477"/>
      <c r="PG1876" s="2477"/>
      <c r="PH1876" s="2477"/>
      <c r="PI1876" s="2477"/>
      <c r="PJ1876" s="2477"/>
      <c r="PK1876" s="2477"/>
      <c r="PL1876" s="2477"/>
      <c r="PM1876" s="2477"/>
      <c r="PN1876" s="2477"/>
      <c r="PO1876" s="2477"/>
      <c r="PP1876" s="2477"/>
      <c r="PQ1876" s="2477"/>
      <c r="PR1876" s="2477"/>
      <c r="PS1876" s="2477"/>
      <c r="PT1876" s="2477"/>
      <c r="PU1876" s="2477"/>
      <c r="PV1876" s="2477"/>
      <c r="PW1876" s="2477"/>
      <c r="PX1876" s="2477"/>
      <c r="PY1876" s="2477"/>
      <c r="PZ1876" s="2477"/>
      <c r="QA1876" s="2477"/>
      <c r="QB1876" s="2477"/>
      <c r="QC1876" s="2477"/>
      <c r="QD1876" s="2477"/>
      <c r="QE1876" s="2477"/>
      <c r="QF1876" s="2477"/>
      <c r="QG1876" s="2477"/>
      <c r="QH1876" s="2477"/>
      <c r="QI1876" s="2477"/>
      <c r="QJ1876" s="2477"/>
      <c r="QK1876" s="2477"/>
      <c r="QL1876" s="2477"/>
      <c r="QM1876" s="2477"/>
      <c r="QN1876" s="2477"/>
      <c r="QO1876" s="2477"/>
      <c r="QP1876" s="2477"/>
      <c r="QQ1876" s="2477"/>
      <c r="QR1876" s="2477"/>
      <c r="QS1876" s="2477"/>
      <c r="QT1876" s="2477"/>
      <c r="QU1876" s="2477"/>
      <c r="QV1876" s="2477"/>
      <c r="QW1876" s="2477"/>
      <c r="QX1876" s="2477"/>
      <c r="QY1876" s="2477"/>
      <c r="QZ1876" s="2477"/>
      <c r="RA1876" s="2477"/>
      <c r="RB1876" s="2477"/>
      <c r="RC1876" s="2477"/>
      <c r="RD1876" s="2477"/>
      <c r="RE1876" s="2477"/>
      <c r="RF1876" s="2477"/>
      <c r="RG1876" s="2477"/>
      <c r="RH1876" s="2477"/>
      <c r="RI1876" s="2477"/>
      <c r="RJ1876" s="2477"/>
      <c r="RK1876" s="2477"/>
      <c r="RL1876" s="2477"/>
      <c r="RM1876" s="2477"/>
      <c r="RN1876" s="2477"/>
      <c r="RO1876" s="2477"/>
      <c r="RP1876" s="2477"/>
      <c r="RQ1876" s="2477"/>
      <c r="RR1876" s="2477"/>
      <c r="RS1876" s="2477"/>
      <c r="RT1876" s="2477"/>
      <c r="RU1876" s="2477"/>
      <c r="RV1876" s="2477"/>
      <c r="RW1876" s="2477"/>
      <c r="RX1876" s="2477"/>
      <c r="RY1876" s="2477"/>
      <c r="RZ1876" s="2477"/>
      <c r="SA1876" s="2477"/>
      <c r="SB1876" s="2477"/>
      <c r="SC1876" s="2477"/>
      <c r="SD1876" s="2477"/>
      <c r="SE1876" s="2477"/>
      <c r="SF1876" s="2477"/>
      <c r="SG1876" s="2477"/>
      <c r="SH1876" s="2477"/>
      <c r="SI1876" s="2477"/>
      <c r="SJ1876" s="2477"/>
      <c r="SK1876" s="2477"/>
      <c r="SL1876" s="2477"/>
      <c r="SM1876" s="2477"/>
      <c r="SN1876" s="2477"/>
      <c r="SO1876" s="2477"/>
      <c r="SP1876" s="2477"/>
      <c r="SQ1876" s="2477"/>
      <c r="SR1876" s="2477"/>
      <c r="SS1876" s="2477"/>
      <c r="ST1876" s="2477"/>
      <c r="SU1876" s="2477"/>
      <c r="SV1876" s="2477"/>
      <c r="SW1876" s="2477"/>
      <c r="SX1876" s="2477"/>
      <c r="SY1876" s="2477"/>
      <c r="SZ1876" s="2477"/>
      <c r="TA1876" s="2477"/>
      <c r="TB1876" s="2477"/>
      <c r="TC1876" s="2477"/>
      <c r="TD1876" s="2477"/>
      <c r="TE1876" s="2477"/>
      <c r="TF1876" s="2477"/>
      <c r="TG1876" s="2477"/>
      <c r="TH1876" s="2477"/>
      <c r="TI1876" s="2477"/>
      <c r="TJ1876" s="2477"/>
      <c r="TK1876" s="2477"/>
      <c r="TL1876" s="2477"/>
      <c r="TM1876" s="2477"/>
      <c r="TN1876" s="2477"/>
      <c r="TO1876" s="2477"/>
      <c r="TP1876" s="2477"/>
      <c r="TQ1876" s="2477"/>
      <c r="TR1876" s="2477"/>
      <c r="TS1876" s="2477"/>
      <c r="TT1876" s="2477"/>
      <c r="TU1876" s="2477"/>
      <c r="TV1876" s="2477"/>
      <c r="TW1876" s="2477"/>
      <c r="TX1876" s="2477"/>
      <c r="TY1876" s="2477"/>
      <c r="TZ1876" s="2477"/>
      <c r="UA1876" s="2477"/>
      <c r="UB1876" s="2477"/>
      <c r="UC1876" s="2477"/>
      <c r="UD1876" s="2477"/>
      <c r="UE1876" s="2477"/>
      <c r="UF1876" s="2477"/>
      <c r="UG1876" s="2477"/>
      <c r="UH1876" s="2477"/>
      <c r="UI1876" s="2477"/>
      <c r="UJ1876" s="2477"/>
      <c r="UK1876" s="2477"/>
      <c r="UL1876" s="2477"/>
      <c r="UM1876" s="2477"/>
      <c r="UN1876" s="2477"/>
      <c r="UO1876" s="2477"/>
      <c r="UP1876" s="2477"/>
      <c r="UQ1876" s="2477"/>
      <c r="UR1876" s="2477"/>
      <c r="US1876" s="2477"/>
      <c r="UT1876" s="2477"/>
      <c r="UU1876" s="2477"/>
      <c r="UV1876" s="2477"/>
      <c r="UW1876" s="2477"/>
      <c r="UX1876" s="2477"/>
      <c r="UY1876" s="2477"/>
      <c r="UZ1876" s="2477"/>
      <c r="VA1876" s="2477"/>
      <c r="VB1876" s="2477"/>
      <c r="VC1876" s="2477"/>
      <c r="VD1876" s="2477"/>
      <c r="VE1876" s="2477"/>
      <c r="VF1876" s="2477"/>
      <c r="VG1876" s="2477"/>
      <c r="VH1876" s="2477"/>
      <c r="VI1876" s="2477"/>
      <c r="VJ1876" s="2477"/>
      <c r="VK1876" s="2477"/>
      <c r="VL1876" s="2477"/>
      <c r="VM1876" s="2477"/>
      <c r="VN1876" s="2477"/>
      <c r="VO1876" s="2477"/>
      <c r="VP1876" s="2477"/>
      <c r="VQ1876" s="2477"/>
      <c r="VR1876" s="2477"/>
      <c r="VS1876" s="2477"/>
      <c r="VT1876" s="2477"/>
      <c r="VU1876" s="2477"/>
      <c r="VV1876" s="2477"/>
      <c r="VW1876" s="2477"/>
      <c r="VX1876" s="2477"/>
      <c r="VY1876" s="2477"/>
      <c r="VZ1876" s="2477"/>
      <c r="WA1876" s="2477"/>
      <c r="WB1876" s="2477"/>
      <c r="WC1876" s="2477"/>
      <c r="WD1876" s="2477"/>
      <c r="WE1876" s="2477"/>
      <c r="WF1876" s="2477"/>
      <c r="WG1876" s="2477"/>
      <c r="WH1876" s="2477"/>
      <c r="WI1876" s="2477"/>
      <c r="WJ1876" s="2477"/>
      <c r="WK1876" s="2477"/>
      <c r="WL1876" s="2477"/>
      <c r="WM1876" s="2477"/>
      <c r="WN1876" s="2477"/>
      <c r="WO1876" s="2477"/>
      <c r="WP1876" s="2477"/>
      <c r="WQ1876" s="2477"/>
      <c r="WR1876" s="2477"/>
      <c r="WS1876" s="2477"/>
      <c r="WT1876" s="2477"/>
      <c r="WU1876" s="2477"/>
      <c r="WV1876" s="2477"/>
      <c r="WW1876" s="2477"/>
      <c r="WX1876" s="2477"/>
      <c r="WY1876" s="2477"/>
      <c r="WZ1876" s="2477"/>
      <c r="XA1876" s="2477"/>
      <c r="XB1876" s="2477"/>
      <c r="XC1876" s="2477"/>
      <c r="XD1876" s="2477"/>
      <c r="XE1876" s="2477"/>
      <c r="XF1876" s="2477"/>
      <c r="XG1876" s="2477"/>
      <c r="XH1876" s="2477"/>
      <c r="XI1876" s="2477"/>
      <c r="XJ1876" s="2477"/>
      <c r="XK1876" s="2477"/>
      <c r="XL1876" s="2477"/>
      <c r="XM1876" s="2477"/>
      <c r="XN1876" s="2477"/>
      <c r="XO1876" s="2477"/>
      <c r="XP1876" s="2477"/>
      <c r="XQ1876" s="2477"/>
      <c r="XR1876" s="2477"/>
      <c r="XS1876" s="2477"/>
      <c r="XT1876" s="2477"/>
      <c r="XU1876" s="2477"/>
      <c r="XV1876" s="2477"/>
      <c r="XW1876" s="2477"/>
      <c r="XX1876" s="2477"/>
      <c r="XY1876" s="2477"/>
      <c r="XZ1876" s="2477"/>
      <c r="YA1876" s="2477"/>
      <c r="YB1876" s="2477"/>
      <c r="YC1876" s="2477"/>
      <c r="YD1876" s="2477"/>
      <c r="YE1876" s="2477"/>
      <c r="YF1876" s="2477"/>
      <c r="YG1876" s="2477"/>
      <c r="YH1876" s="2477"/>
      <c r="YI1876" s="2477"/>
      <c r="YJ1876" s="2477"/>
      <c r="YK1876" s="2477"/>
      <c r="YL1876" s="2477"/>
      <c r="YM1876" s="2477"/>
      <c r="YN1876" s="2477"/>
      <c r="YO1876" s="2477"/>
      <c r="YP1876" s="2477"/>
      <c r="YQ1876" s="2477"/>
      <c r="YR1876" s="2477"/>
      <c r="YS1876" s="2477"/>
      <c r="YT1876" s="2477"/>
      <c r="YU1876" s="2477"/>
      <c r="YV1876" s="2477"/>
      <c r="YW1876" s="2477"/>
      <c r="YX1876" s="2477"/>
      <c r="YY1876" s="2477"/>
      <c r="YZ1876" s="2477"/>
      <c r="ZA1876" s="2477"/>
      <c r="ZB1876" s="2477"/>
      <c r="ZC1876" s="2477"/>
      <c r="ZD1876" s="2477"/>
      <c r="ZE1876" s="2477"/>
      <c r="ZF1876" s="2477"/>
      <c r="ZG1876" s="2477"/>
      <c r="ZH1876" s="2477"/>
      <c r="ZI1876" s="2477"/>
      <c r="ZJ1876" s="2477"/>
      <c r="ZK1876" s="2477"/>
      <c r="ZL1876" s="2477"/>
      <c r="ZM1876" s="2477"/>
      <c r="ZN1876" s="2477"/>
      <c r="ZO1876" s="2477"/>
      <c r="ZP1876" s="2477"/>
      <c r="ZQ1876" s="2477"/>
      <c r="ZR1876" s="2477"/>
      <c r="ZS1876" s="2477"/>
      <c r="ZT1876" s="2477"/>
      <c r="ZU1876" s="2477"/>
      <c r="ZV1876" s="2477"/>
      <c r="ZW1876" s="2477"/>
      <c r="ZX1876" s="2477"/>
      <c r="ZY1876" s="2477"/>
      <c r="ZZ1876" s="2477"/>
      <c r="AAA1876" s="2477"/>
      <c r="AAB1876" s="2477"/>
      <c r="AAC1876" s="2477"/>
      <c r="AAD1876" s="2477"/>
      <c r="AAE1876" s="2477"/>
      <c r="AAF1876" s="2477"/>
      <c r="AAG1876" s="2477"/>
      <c r="AAH1876" s="2477"/>
      <c r="AAI1876" s="2477"/>
      <c r="AAJ1876" s="2477"/>
      <c r="AAK1876" s="2477"/>
      <c r="AAL1876" s="2477"/>
      <c r="AAM1876" s="2477"/>
      <c r="AAN1876" s="2477"/>
      <c r="AAO1876" s="2477"/>
      <c r="AAP1876" s="2477"/>
      <c r="AAQ1876" s="2477"/>
      <c r="AAR1876" s="2477"/>
      <c r="AAS1876" s="2477"/>
      <c r="AAT1876" s="2477"/>
      <c r="AAU1876" s="2477"/>
      <c r="AAV1876" s="2477"/>
      <c r="AAW1876" s="2477"/>
      <c r="AAX1876" s="2477"/>
      <c r="AAY1876" s="2477"/>
      <c r="AAZ1876" s="2477"/>
      <c r="ABA1876" s="2477"/>
      <c r="ABB1876" s="2477"/>
      <c r="ABC1876" s="2477"/>
      <c r="ABD1876" s="2477"/>
      <c r="ABE1876" s="2477"/>
      <c r="ABF1876" s="2477"/>
      <c r="ABG1876" s="2477"/>
      <c r="ABH1876" s="2477"/>
      <c r="ABI1876" s="2477"/>
      <c r="ABJ1876" s="2477"/>
      <c r="ABK1876" s="2477"/>
      <c r="ABL1876" s="2477"/>
      <c r="ABM1876" s="2477"/>
      <c r="ABN1876" s="2477"/>
      <c r="ABO1876" s="2477"/>
      <c r="ABP1876" s="2477"/>
      <c r="ABQ1876" s="2477"/>
      <c r="ABR1876" s="2477"/>
      <c r="ABS1876" s="2477"/>
      <c r="ABT1876" s="2477"/>
      <c r="ABU1876" s="2477"/>
      <c r="ABV1876" s="2477"/>
      <c r="ABW1876" s="2477"/>
      <c r="ABX1876" s="2477"/>
      <c r="ABY1876" s="2477"/>
      <c r="ABZ1876" s="2477"/>
      <c r="ACA1876" s="2477"/>
      <c r="ACB1876" s="2477"/>
      <c r="ACC1876" s="2477"/>
      <c r="ACD1876" s="2477"/>
      <c r="ACE1876" s="2477"/>
      <c r="ACF1876" s="2477"/>
      <c r="ACG1876" s="2477"/>
      <c r="ACH1876" s="2477"/>
      <c r="ACI1876" s="2477"/>
      <c r="ACJ1876" s="2477"/>
      <c r="ACK1876" s="2477"/>
      <c r="ACL1876" s="2477"/>
      <c r="ACM1876" s="2477"/>
      <c r="ACN1876" s="2477"/>
      <c r="ACO1876" s="2477"/>
      <c r="ACP1876" s="2477"/>
      <c r="ACQ1876" s="2477"/>
      <c r="ACR1876" s="2477"/>
      <c r="ACS1876" s="2477"/>
      <c r="ACT1876" s="2477"/>
      <c r="ACU1876" s="2477"/>
      <c r="ACV1876" s="2477"/>
      <c r="ACW1876" s="2477"/>
      <c r="ACX1876" s="2477"/>
      <c r="ACY1876" s="2477"/>
      <c r="ACZ1876" s="2477"/>
      <c r="ADA1876" s="2477"/>
      <c r="ADB1876" s="2477"/>
      <c r="ADC1876" s="2477"/>
      <c r="ADD1876" s="2477"/>
      <c r="ADE1876" s="2477"/>
      <c r="ADF1876" s="2477"/>
      <c r="ADG1876" s="2477"/>
      <c r="ADH1876" s="2477"/>
      <c r="ADI1876" s="2477"/>
      <c r="ADJ1876" s="2477"/>
      <c r="ADK1876" s="2477"/>
      <c r="ADL1876" s="2477"/>
      <c r="ADM1876" s="2477"/>
      <c r="ADN1876" s="2477"/>
      <c r="ADO1876" s="2477"/>
      <c r="ADP1876" s="2477"/>
      <c r="ADQ1876" s="2477"/>
      <c r="ADR1876" s="2477"/>
      <c r="ADS1876" s="2477"/>
      <c r="ADT1876" s="2477"/>
      <c r="ADU1876" s="2477"/>
      <c r="ADV1876" s="2477"/>
      <c r="ADW1876" s="2477"/>
      <c r="ADX1876" s="2477"/>
      <c r="ADY1876" s="2477"/>
      <c r="ADZ1876" s="2477"/>
      <c r="AEA1876" s="2477"/>
      <c r="AEB1876" s="2477"/>
      <c r="AEC1876" s="2477"/>
      <c r="AED1876" s="2477"/>
      <c r="AEE1876" s="2477"/>
      <c r="AEF1876" s="2477"/>
      <c r="AEG1876" s="2477"/>
      <c r="AEH1876" s="2477"/>
      <c r="AEI1876" s="2477"/>
      <c r="AEJ1876" s="2477"/>
      <c r="AEK1876" s="2477"/>
      <c r="AEL1876" s="2477"/>
      <c r="AEM1876" s="2477"/>
      <c r="AEN1876" s="2477"/>
      <c r="AEO1876" s="2477"/>
      <c r="AEP1876" s="2477"/>
      <c r="AEQ1876" s="2477"/>
      <c r="AER1876" s="2477"/>
      <c r="AES1876" s="2477"/>
      <c r="AET1876" s="2477"/>
      <c r="AEU1876" s="2477"/>
      <c r="AEV1876" s="2477"/>
      <c r="AEW1876" s="2477"/>
      <c r="AEX1876" s="2477"/>
      <c r="AEY1876" s="2477"/>
      <c r="AEZ1876" s="2477"/>
      <c r="AFA1876" s="2477"/>
      <c r="AFB1876" s="2477"/>
      <c r="AFC1876" s="2477"/>
      <c r="AFD1876" s="2477"/>
      <c r="AFE1876" s="2477"/>
      <c r="AFF1876" s="2477"/>
      <c r="AFG1876" s="2477"/>
      <c r="AFH1876" s="2477"/>
      <c r="AFI1876" s="2477"/>
      <c r="AFJ1876" s="2477"/>
      <c r="AFK1876" s="2477"/>
      <c r="AFL1876" s="2477"/>
      <c r="AFM1876" s="2477"/>
      <c r="AFN1876" s="2477"/>
      <c r="AFO1876" s="2477"/>
      <c r="AFP1876" s="2477"/>
      <c r="AFQ1876" s="2477"/>
      <c r="AFR1876" s="2477"/>
      <c r="AFS1876" s="2477"/>
      <c r="AFT1876" s="2477"/>
      <c r="AFU1876" s="2477"/>
      <c r="AFV1876" s="2477"/>
      <c r="AFW1876" s="2477"/>
      <c r="AFX1876" s="2477"/>
      <c r="AFY1876" s="2477"/>
      <c r="AFZ1876" s="2477"/>
      <c r="AGA1876" s="2477"/>
      <c r="AGB1876" s="2477"/>
      <c r="AGC1876" s="2477"/>
      <c r="AGD1876" s="2477"/>
      <c r="AGE1876" s="2477"/>
      <c r="AGF1876" s="2477"/>
      <c r="AGG1876" s="2477"/>
      <c r="AGH1876" s="2477"/>
      <c r="AGI1876" s="2477"/>
      <c r="AGJ1876" s="2477"/>
      <c r="AGK1876" s="2477"/>
      <c r="AGL1876" s="2477"/>
      <c r="AGM1876" s="2477"/>
      <c r="AGN1876" s="2477"/>
      <c r="AGO1876" s="2477"/>
      <c r="AGP1876" s="2477"/>
      <c r="AGQ1876" s="2477"/>
      <c r="AGR1876" s="2477"/>
      <c r="AGS1876" s="2477"/>
      <c r="AGT1876" s="2477"/>
      <c r="AGU1876" s="2477"/>
      <c r="AGV1876" s="2477"/>
      <c r="AGW1876" s="2477"/>
      <c r="AGX1876" s="2477"/>
      <c r="AGY1876" s="2477"/>
      <c r="AGZ1876" s="2477"/>
      <c r="AHA1876" s="2477"/>
      <c r="AHB1876" s="2477"/>
      <c r="AHC1876" s="2477"/>
      <c r="AHD1876" s="2477"/>
      <c r="AHE1876" s="2477"/>
      <c r="AHF1876" s="2477"/>
      <c r="AHG1876" s="2477"/>
      <c r="AHH1876" s="2477"/>
      <c r="AHI1876" s="2477"/>
      <c r="AHJ1876" s="2477"/>
      <c r="AHK1876" s="2477"/>
      <c r="AHL1876" s="2477"/>
      <c r="AHM1876" s="2477"/>
      <c r="AHN1876" s="2477"/>
      <c r="AHO1876" s="2477"/>
      <c r="AHP1876" s="2477"/>
      <c r="AHQ1876" s="2477"/>
      <c r="AHR1876" s="2477"/>
      <c r="AHS1876" s="2477"/>
      <c r="AHT1876" s="2477"/>
      <c r="AHU1876" s="2477"/>
      <c r="AHV1876" s="2477"/>
      <c r="AHW1876" s="2477"/>
      <c r="AHX1876" s="2477"/>
      <c r="AHY1876" s="2477"/>
      <c r="AHZ1876" s="2477"/>
      <c r="AIA1876" s="2477"/>
      <c r="AIB1876" s="2477"/>
      <c r="AIC1876" s="2477"/>
      <c r="AID1876" s="2477"/>
      <c r="AIE1876" s="2477"/>
      <c r="AIF1876" s="2477"/>
      <c r="AIG1876" s="2477"/>
      <c r="AIH1876" s="2477"/>
      <c r="AII1876" s="2477"/>
      <c r="AIJ1876" s="2477"/>
      <c r="AIK1876" s="2477"/>
      <c r="AIL1876" s="2477"/>
      <c r="AIM1876" s="2477"/>
      <c r="AIN1876" s="2477"/>
      <c r="AIO1876" s="2477"/>
      <c r="AIP1876" s="2477"/>
      <c r="AIQ1876" s="2477"/>
      <c r="AIR1876" s="2477"/>
      <c r="AIS1876" s="2477"/>
      <c r="AIT1876" s="2477"/>
      <c r="AIU1876" s="2477"/>
      <c r="AIV1876" s="2477"/>
      <c r="AIW1876" s="2477"/>
      <c r="AIX1876" s="2477"/>
      <c r="AIY1876" s="2477"/>
      <c r="AIZ1876" s="2477"/>
      <c r="AJA1876" s="2477"/>
      <c r="AJB1876" s="2477"/>
      <c r="AJC1876" s="2477"/>
      <c r="AJD1876" s="2477"/>
      <c r="AJE1876" s="2477"/>
      <c r="AJF1876" s="2477"/>
      <c r="AJG1876" s="2477"/>
      <c r="AJH1876" s="2477"/>
      <c r="AJI1876" s="2477"/>
      <c r="AJJ1876" s="2477"/>
      <c r="AJK1876" s="2477"/>
      <c r="AJL1876" s="2477"/>
      <c r="AJM1876" s="2477"/>
      <c r="AJN1876" s="2477"/>
      <c r="AJO1876" s="2477"/>
      <c r="AJP1876" s="2477"/>
      <c r="AJQ1876" s="2477"/>
      <c r="AJR1876" s="2477"/>
      <c r="AJS1876" s="2477"/>
      <c r="AJT1876" s="2477"/>
      <c r="AJU1876" s="2477"/>
      <c r="AJV1876" s="2477"/>
      <c r="AJW1876" s="2477"/>
      <c r="AJX1876" s="2477"/>
      <c r="AJY1876" s="2477"/>
      <c r="AJZ1876" s="2477"/>
      <c r="AKA1876" s="2477"/>
      <c r="AKB1876" s="2477"/>
      <c r="AKC1876" s="2477"/>
      <c r="AKD1876" s="2477"/>
      <c r="AKE1876" s="2477"/>
      <c r="AKF1876" s="2477"/>
      <c r="AKG1876" s="2477"/>
      <c r="AKH1876" s="2477"/>
      <c r="AKI1876" s="2477"/>
      <c r="AKJ1876" s="2477"/>
      <c r="AKK1876" s="2477"/>
      <c r="AKL1876" s="2477"/>
      <c r="AKM1876" s="2477"/>
      <c r="AKN1876" s="2477"/>
      <c r="AKO1876" s="2477"/>
      <c r="AKP1876" s="2477"/>
      <c r="AKQ1876" s="2477"/>
      <c r="AKR1876" s="2477"/>
      <c r="AKS1876" s="2477"/>
      <c r="AKT1876" s="2477"/>
      <c r="AKU1876" s="2477"/>
      <c r="AKV1876" s="2477"/>
      <c r="AKW1876" s="2477"/>
      <c r="AKX1876" s="2477"/>
      <c r="AKY1876" s="2477"/>
      <c r="AKZ1876" s="2477"/>
      <c r="ALA1876" s="2477"/>
      <c r="ALB1876" s="2477"/>
      <c r="ALC1876" s="2477"/>
      <c r="ALD1876" s="2477"/>
      <c r="ALE1876" s="2477"/>
      <c r="ALF1876" s="2477"/>
      <c r="ALG1876" s="2477"/>
      <c r="ALH1876" s="2477"/>
      <c r="ALI1876" s="2477"/>
      <c r="ALJ1876" s="2477"/>
      <c r="ALK1876" s="2477"/>
      <c r="ALL1876" s="2477"/>
      <c r="ALM1876" s="2477"/>
      <c r="ALN1876" s="2477"/>
      <c r="ALO1876" s="2477"/>
      <c r="ALP1876" s="2477"/>
      <c r="ALQ1876" s="2477"/>
      <c r="ALR1876" s="2477"/>
      <c r="ALS1876" s="2477"/>
      <c r="ALT1876" s="2477"/>
      <c r="ALU1876" s="2477"/>
      <c r="ALV1876" s="2477"/>
      <c r="ALW1876" s="2477"/>
      <c r="ALX1876" s="2477"/>
      <c r="ALY1876" s="2477"/>
      <c r="ALZ1876" s="2477"/>
      <c r="AMA1876" s="2477"/>
      <c r="AMB1876" s="2477"/>
      <c r="AMC1876" s="2477"/>
      <c r="AMD1876" s="2477"/>
      <c r="AME1876" s="2477"/>
      <c r="AMF1876" s="2477"/>
      <c r="AMG1876" s="2477"/>
      <c r="AMH1876" s="2477"/>
      <c r="AMI1876" s="2477"/>
      <c r="AMJ1876" s="2477"/>
      <c r="AMK1876" s="2477"/>
      <c r="AML1876" s="2477"/>
      <c r="AMM1876" s="2477"/>
      <c r="AMN1876" s="2477"/>
      <c r="AMO1876" s="2477"/>
      <c r="AMP1876" s="2477"/>
      <c r="AMQ1876" s="2477"/>
      <c r="AMR1876" s="2477"/>
      <c r="AMS1876" s="2477"/>
      <c r="AMT1876" s="2477"/>
      <c r="AMU1876" s="2477"/>
      <c r="AMV1876" s="2477"/>
      <c r="AMW1876" s="2477"/>
      <c r="AMX1876" s="2477"/>
      <c r="AMY1876" s="2477"/>
      <c r="AMZ1876" s="2477"/>
      <c r="ANA1876" s="2477"/>
      <c r="ANB1876" s="2477"/>
      <c r="ANC1876" s="2477"/>
      <c r="AND1876" s="2477"/>
      <c r="ANE1876" s="2477"/>
      <c r="ANF1876" s="2477"/>
      <c r="ANG1876" s="2477"/>
      <c r="ANH1876" s="2477"/>
      <c r="ANI1876" s="2477"/>
      <c r="ANJ1876" s="2477"/>
      <c r="ANK1876" s="2477"/>
      <c r="ANL1876" s="2477"/>
      <c r="ANM1876" s="2477"/>
      <c r="ANN1876" s="2477"/>
      <c r="ANO1876" s="2477"/>
      <c r="ANP1876" s="2477"/>
      <c r="ANQ1876" s="2477"/>
      <c r="ANR1876" s="2477"/>
      <c r="ANS1876" s="2477"/>
      <c r="ANT1876" s="2477"/>
      <c r="ANU1876" s="2477"/>
      <c r="ANV1876" s="2477"/>
      <c r="ANW1876" s="2477"/>
      <c r="ANX1876" s="2477"/>
      <c r="ANY1876" s="2477"/>
      <c r="ANZ1876" s="2477"/>
      <c r="AOA1876" s="2477"/>
      <c r="AOB1876" s="2477"/>
      <c r="AOC1876" s="2477"/>
      <c r="AOD1876" s="2477"/>
      <c r="AOE1876" s="2477"/>
      <c r="AOF1876" s="2477"/>
      <c r="AOG1876" s="2477"/>
      <c r="AOH1876" s="2477"/>
      <c r="AOI1876" s="2477"/>
      <c r="AOJ1876" s="2477"/>
      <c r="AOK1876" s="2477"/>
      <c r="AOL1876" s="2477"/>
      <c r="AOM1876" s="2477"/>
      <c r="AON1876" s="2477"/>
      <c r="AOO1876" s="2477"/>
      <c r="AOP1876" s="2477"/>
      <c r="AOQ1876" s="2477"/>
      <c r="AOR1876" s="2477"/>
      <c r="AOS1876" s="2477"/>
      <c r="AOT1876" s="2477"/>
      <c r="AOU1876" s="2477"/>
      <c r="AOV1876" s="2477"/>
      <c r="AOW1876" s="2477"/>
      <c r="AOX1876" s="2477"/>
      <c r="AOY1876" s="2477"/>
      <c r="AOZ1876" s="2477"/>
      <c r="APA1876" s="2477"/>
      <c r="APB1876" s="2477"/>
      <c r="APC1876" s="2477"/>
      <c r="APD1876" s="2477"/>
      <c r="APE1876" s="2477"/>
      <c r="APF1876" s="2477"/>
      <c r="APG1876" s="2477"/>
      <c r="APH1876" s="2477"/>
      <c r="API1876" s="2477"/>
      <c r="APJ1876" s="2477"/>
      <c r="APK1876" s="2477"/>
      <c r="APL1876" s="2477"/>
      <c r="APM1876" s="2477"/>
      <c r="APN1876" s="2477"/>
      <c r="APO1876" s="2477"/>
      <c r="APP1876" s="2477"/>
      <c r="APQ1876" s="2477"/>
      <c r="APR1876" s="2477"/>
      <c r="APS1876" s="2477"/>
      <c r="APT1876" s="2477"/>
      <c r="APU1876" s="2477"/>
      <c r="APV1876" s="2477"/>
      <c r="APW1876" s="2477"/>
      <c r="APX1876" s="2477"/>
      <c r="APY1876" s="2477"/>
      <c r="APZ1876" s="2477"/>
      <c r="AQA1876" s="2477"/>
      <c r="AQB1876" s="2477"/>
      <c r="AQC1876" s="2477"/>
      <c r="AQD1876" s="2477"/>
      <c r="AQE1876" s="2477"/>
      <c r="AQF1876" s="2477"/>
      <c r="AQG1876" s="2477"/>
      <c r="AQH1876" s="2477"/>
      <c r="AQI1876" s="2477"/>
      <c r="AQJ1876" s="2477"/>
      <c r="AQK1876" s="2477"/>
      <c r="AQL1876" s="2477"/>
      <c r="AQM1876" s="2477"/>
      <c r="AQN1876" s="2477"/>
      <c r="AQO1876" s="2477"/>
      <c r="AQP1876" s="2477"/>
      <c r="AQQ1876" s="2477"/>
      <c r="AQR1876" s="2477"/>
      <c r="AQS1876" s="2477"/>
      <c r="AQT1876" s="2477"/>
      <c r="AQU1876" s="2477"/>
      <c r="AQV1876" s="2477"/>
      <c r="AQW1876" s="2477"/>
      <c r="AQX1876" s="2477"/>
      <c r="AQY1876" s="2477"/>
      <c r="AQZ1876" s="2477"/>
      <c r="ARA1876" s="2477"/>
      <c r="ARB1876" s="2477"/>
      <c r="ARC1876" s="2477"/>
      <c r="ARD1876" s="2477"/>
      <c r="ARE1876" s="2477"/>
      <c r="ARF1876" s="2477"/>
      <c r="ARG1876" s="2477"/>
      <c r="ARH1876" s="2477"/>
      <c r="ARI1876" s="2477"/>
      <c r="ARJ1876" s="2477"/>
      <c r="ARK1876" s="2477"/>
      <c r="ARL1876" s="2477"/>
      <c r="ARM1876" s="2477"/>
      <c r="ARN1876" s="2477"/>
      <c r="ARO1876" s="2477"/>
      <c r="ARP1876" s="2477"/>
      <c r="ARQ1876" s="2477"/>
      <c r="ARR1876" s="2477"/>
      <c r="ARS1876" s="2477"/>
      <c r="ART1876" s="2477"/>
      <c r="ARU1876" s="2477"/>
      <c r="ARV1876" s="2477"/>
      <c r="ARW1876" s="2477"/>
      <c r="ARX1876" s="2477"/>
      <c r="ARY1876" s="2477"/>
      <c r="ARZ1876" s="2477"/>
      <c r="ASA1876" s="2477"/>
      <c r="ASB1876" s="2477"/>
      <c r="ASC1876" s="2477"/>
      <c r="ASD1876" s="2477"/>
      <c r="ASE1876" s="2477"/>
      <c r="ASF1876" s="2477"/>
      <c r="ASG1876" s="2477"/>
      <c r="ASH1876" s="2477"/>
      <c r="ASI1876" s="2477"/>
      <c r="ASJ1876" s="2477"/>
      <c r="ASK1876" s="2477"/>
      <c r="ASL1876" s="2477"/>
      <c r="ASM1876" s="2477"/>
      <c r="ASN1876" s="2477"/>
      <c r="ASO1876" s="2477"/>
      <c r="ASP1876" s="2477"/>
      <c r="ASQ1876" s="2477"/>
      <c r="ASR1876" s="2477"/>
      <c r="ASS1876" s="2477"/>
      <c r="AST1876" s="2477"/>
      <c r="ASU1876" s="2477"/>
      <c r="ASV1876" s="2477"/>
      <c r="ASW1876" s="2477"/>
      <c r="ASX1876" s="2477"/>
      <c r="ASY1876" s="2477"/>
      <c r="ASZ1876" s="2477"/>
      <c r="ATA1876" s="2477"/>
      <c r="ATB1876" s="2477"/>
      <c r="ATC1876" s="2477"/>
      <c r="ATD1876" s="2477"/>
      <c r="ATE1876" s="2477"/>
      <c r="ATF1876" s="2477"/>
      <c r="ATG1876" s="2477"/>
      <c r="ATH1876" s="2477"/>
      <c r="ATI1876" s="2477"/>
      <c r="ATJ1876" s="2477"/>
      <c r="ATK1876" s="2477"/>
      <c r="ATL1876" s="2477"/>
      <c r="ATM1876" s="2477"/>
      <c r="ATN1876" s="2477"/>
      <c r="ATO1876" s="2477"/>
      <c r="ATP1876" s="2477"/>
      <c r="ATQ1876" s="2477"/>
      <c r="ATR1876" s="2477"/>
      <c r="ATS1876" s="2477"/>
      <c r="ATT1876" s="2477"/>
      <c r="ATU1876" s="2477"/>
      <c r="ATV1876" s="2477"/>
      <c r="ATW1876" s="2477"/>
      <c r="ATX1876" s="2477"/>
      <c r="ATY1876" s="2477"/>
      <c r="ATZ1876" s="2477"/>
      <c r="AUA1876" s="2477"/>
      <c r="AUB1876" s="2477"/>
      <c r="AUC1876" s="2477"/>
      <c r="AUD1876" s="2477"/>
      <c r="AUE1876" s="2477"/>
      <c r="AUF1876" s="2477"/>
      <c r="AUG1876" s="2477"/>
      <c r="AUH1876" s="2477"/>
      <c r="AUI1876" s="2477"/>
      <c r="AUJ1876" s="2477"/>
      <c r="AUK1876" s="2477"/>
      <c r="AUL1876" s="2477"/>
      <c r="AUM1876" s="2477"/>
      <c r="AUN1876" s="2477"/>
      <c r="AUO1876" s="2477"/>
      <c r="AUP1876" s="2477"/>
      <c r="AUQ1876" s="2477"/>
      <c r="AUR1876" s="2477"/>
      <c r="AUS1876" s="2477"/>
      <c r="AUT1876" s="2477"/>
      <c r="AUU1876" s="2477"/>
      <c r="AUV1876" s="2477"/>
      <c r="AUW1876" s="2477"/>
      <c r="AUX1876" s="2477"/>
      <c r="AUY1876" s="2477"/>
      <c r="AUZ1876" s="2477"/>
      <c r="AVA1876" s="2477"/>
      <c r="AVB1876" s="2477"/>
      <c r="AVC1876" s="2477"/>
      <c r="AVD1876" s="2477"/>
      <c r="AVE1876" s="2477"/>
      <c r="AVF1876" s="2477"/>
      <c r="AVG1876" s="2477"/>
      <c r="AVH1876" s="2477"/>
      <c r="AVI1876" s="2477"/>
      <c r="AVJ1876" s="2477"/>
      <c r="AVK1876" s="2477"/>
      <c r="AVL1876" s="2477"/>
      <c r="AVM1876" s="2477"/>
      <c r="AVN1876" s="2477"/>
      <c r="AVO1876" s="2477"/>
      <c r="AVP1876" s="2477"/>
      <c r="AVQ1876" s="2477"/>
      <c r="AVR1876" s="2477"/>
      <c r="AVS1876" s="2477"/>
      <c r="AVT1876" s="2477"/>
      <c r="AVU1876" s="2477"/>
      <c r="AVV1876" s="2477"/>
      <c r="AVW1876" s="2477"/>
      <c r="AVX1876" s="2477"/>
      <c r="AVY1876" s="2477"/>
      <c r="AVZ1876" s="2477"/>
      <c r="AWA1876" s="2477"/>
      <c r="AWB1876" s="2477"/>
      <c r="AWC1876" s="2477"/>
      <c r="AWD1876" s="2477"/>
      <c r="AWE1876" s="2477"/>
      <c r="AWF1876" s="2477"/>
      <c r="AWG1876" s="2477"/>
      <c r="AWH1876" s="2477"/>
      <c r="AWI1876" s="2477"/>
      <c r="AWJ1876" s="2477"/>
      <c r="AWK1876" s="2477"/>
      <c r="AWL1876" s="2477"/>
      <c r="AWM1876" s="2477"/>
      <c r="AWN1876" s="2477"/>
      <c r="AWO1876" s="2477"/>
      <c r="AWP1876" s="2477"/>
      <c r="AWQ1876" s="2477"/>
      <c r="AWR1876" s="2477"/>
      <c r="AWS1876" s="2477"/>
      <c r="AWT1876" s="2477"/>
      <c r="AWU1876" s="2477"/>
      <c r="AWV1876" s="2477"/>
      <c r="AWW1876" s="2477"/>
      <c r="AWX1876" s="2477"/>
      <c r="AWY1876" s="2477"/>
      <c r="AWZ1876" s="2477"/>
      <c r="AXA1876" s="2477"/>
      <c r="AXB1876" s="2477"/>
      <c r="AXC1876" s="2477"/>
      <c r="AXD1876" s="2477"/>
      <c r="AXE1876" s="2477"/>
      <c r="AXF1876" s="2477"/>
      <c r="AXG1876" s="2477"/>
      <c r="AXH1876" s="2477"/>
      <c r="AXI1876" s="2477"/>
      <c r="AXJ1876" s="2477"/>
      <c r="AXK1876" s="2477"/>
      <c r="AXL1876" s="2477"/>
      <c r="AXM1876" s="2477"/>
      <c r="AXN1876" s="2477"/>
      <c r="AXO1876" s="2477"/>
      <c r="AXP1876" s="2477"/>
      <c r="AXQ1876" s="2477"/>
      <c r="AXR1876" s="2477"/>
      <c r="AXS1876" s="2477"/>
      <c r="AXT1876" s="2477"/>
      <c r="AXU1876" s="2477"/>
      <c r="AXV1876" s="2477"/>
      <c r="AXW1876" s="2477"/>
      <c r="AXX1876" s="2477"/>
      <c r="AXY1876" s="2477"/>
      <c r="AXZ1876" s="2477"/>
      <c r="AYA1876" s="2477"/>
      <c r="AYB1876" s="2477"/>
      <c r="AYC1876" s="2477"/>
      <c r="AYD1876" s="2477"/>
      <c r="AYE1876" s="2477"/>
      <c r="AYF1876" s="2477"/>
      <c r="AYG1876" s="2477"/>
      <c r="AYH1876" s="2477"/>
      <c r="AYI1876" s="2477"/>
      <c r="AYJ1876" s="2477"/>
      <c r="AYK1876" s="2477"/>
      <c r="AYL1876" s="2477"/>
      <c r="AYM1876" s="2477"/>
      <c r="AYN1876" s="2477"/>
      <c r="AYO1876" s="2477"/>
      <c r="AYP1876" s="2477"/>
      <c r="AYQ1876" s="2477"/>
      <c r="AYR1876" s="2477"/>
      <c r="AYS1876" s="2477"/>
      <c r="AYT1876" s="2477"/>
      <c r="AYU1876" s="2477"/>
      <c r="AYV1876" s="2477"/>
      <c r="AYW1876" s="2477"/>
      <c r="AYX1876" s="2477"/>
      <c r="AYY1876" s="2477"/>
      <c r="AYZ1876" s="2477"/>
      <c r="AZA1876" s="2477"/>
      <c r="AZB1876" s="2477"/>
      <c r="AZC1876" s="2477"/>
      <c r="AZD1876" s="2477"/>
      <c r="AZE1876" s="2477"/>
      <c r="AZF1876" s="2477"/>
      <c r="AZG1876" s="2477"/>
      <c r="AZH1876" s="2477"/>
      <c r="AZI1876" s="2477"/>
      <c r="AZJ1876" s="2477"/>
      <c r="AZK1876" s="2477"/>
      <c r="AZL1876" s="2477"/>
      <c r="AZM1876" s="2477"/>
      <c r="AZN1876" s="2477"/>
      <c r="AZO1876" s="2477"/>
      <c r="AZP1876" s="2477"/>
      <c r="AZQ1876" s="2477"/>
      <c r="AZR1876" s="2477"/>
      <c r="AZS1876" s="2477"/>
      <c r="AZT1876" s="2477"/>
      <c r="AZU1876" s="2477"/>
      <c r="AZV1876" s="2477"/>
      <c r="AZW1876" s="2477"/>
      <c r="AZX1876" s="2477"/>
      <c r="AZY1876" s="2477"/>
      <c r="AZZ1876" s="2477"/>
      <c r="BAA1876" s="2477"/>
      <c r="BAB1876" s="2477"/>
      <c r="BAC1876" s="2477"/>
      <c r="BAD1876" s="2477"/>
      <c r="BAE1876" s="2477"/>
      <c r="BAF1876" s="2477"/>
      <c r="BAG1876" s="2477"/>
      <c r="BAH1876" s="2477"/>
      <c r="BAI1876" s="2477"/>
      <c r="BAJ1876" s="2477"/>
      <c r="BAK1876" s="2477"/>
      <c r="BAL1876" s="2477"/>
      <c r="BAM1876" s="2477"/>
      <c r="BAN1876" s="2477"/>
      <c r="BAO1876" s="2477"/>
      <c r="BAP1876" s="2477"/>
      <c r="BAQ1876" s="2477"/>
      <c r="BAR1876" s="2477"/>
      <c r="BAS1876" s="2477"/>
      <c r="BAT1876" s="2477"/>
      <c r="BAU1876" s="2477"/>
      <c r="BAV1876" s="2477"/>
      <c r="BAW1876" s="2477"/>
      <c r="BAX1876" s="2477"/>
      <c r="BAY1876" s="2477"/>
      <c r="BAZ1876" s="2477"/>
      <c r="BBA1876" s="2477"/>
      <c r="BBB1876" s="2477"/>
      <c r="BBC1876" s="2477"/>
      <c r="BBD1876" s="2477"/>
      <c r="BBE1876" s="2477"/>
      <c r="BBF1876" s="2477"/>
      <c r="BBG1876" s="2477"/>
      <c r="BBH1876" s="2477"/>
      <c r="BBI1876" s="2477"/>
      <c r="BBJ1876" s="2477"/>
      <c r="BBK1876" s="2477"/>
      <c r="BBL1876" s="2477"/>
      <c r="BBM1876" s="2477"/>
      <c r="BBN1876" s="2477"/>
      <c r="BBO1876" s="2477"/>
      <c r="BBP1876" s="2477"/>
      <c r="BBQ1876" s="2477"/>
      <c r="BBR1876" s="2477"/>
      <c r="BBS1876" s="2477"/>
      <c r="BBT1876" s="2477"/>
      <c r="BBU1876" s="2477"/>
      <c r="BBV1876" s="2477"/>
      <c r="BBW1876" s="2477"/>
      <c r="BBX1876" s="2477"/>
      <c r="BBY1876" s="2477"/>
      <c r="BBZ1876" s="2477"/>
      <c r="BCA1876" s="2477"/>
      <c r="BCB1876" s="2477"/>
      <c r="BCC1876" s="2477"/>
      <c r="BCD1876" s="2477"/>
      <c r="BCE1876" s="2477"/>
      <c r="BCF1876" s="2477"/>
      <c r="BCG1876" s="2477"/>
      <c r="BCH1876" s="2477"/>
      <c r="BCI1876" s="2477"/>
      <c r="BCJ1876" s="2477"/>
      <c r="BCK1876" s="2477"/>
      <c r="BCL1876" s="2477"/>
      <c r="BCM1876" s="2477"/>
      <c r="BCN1876" s="2477"/>
      <c r="BCO1876" s="2477"/>
      <c r="BCP1876" s="2477"/>
      <c r="BCQ1876" s="2477"/>
      <c r="BCR1876" s="2477"/>
      <c r="BCS1876" s="2477"/>
      <c r="BCT1876" s="2477"/>
      <c r="BCU1876" s="2477"/>
      <c r="BCV1876" s="2477"/>
      <c r="BCW1876" s="2477"/>
      <c r="BCX1876" s="2477"/>
      <c r="BCY1876" s="2477"/>
      <c r="BCZ1876" s="2477"/>
      <c r="BDA1876" s="2477"/>
      <c r="BDB1876" s="2477"/>
      <c r="BDC1876" s="2477"/>
      <c r="BDD1876" s="2477"/>
      <c r="BDE1876" s="2477"/>
      <c r="BDF1876" s="2477"/>
      <c r="BDG1876" s="2477"/>
      <c r="BDH1876" s="2477"/>
      <c r="BDI1876" s="2477"/>
      <c r="BDJ1876" s="2477"/>
      <c r="BDK1876" s="2477"/>
      <c r="BDL1876" s="2477"/>
      <c r="BDM1876" s="2477"/>
      <c r="BDN1876" s="2477"/>
      <c r="BDO1876" s="2477"/>
      <c r="BDP1876" s="2477"/>
      <c r="BDQ1876" s="2477"/>
      <c r="BDR1876" s="2477"/>
      <c r="BDS1876" s="2477"/>
      <c r="BDT1876" s="2477"/>
      <c r="BDU1876" s="2477"/>
      <c r="BDV1876" s="2477"/>
      <c r="BDW1876" s="2477"/>
      <c r="BDX1876" s="2477"/>
      <c r="BDY1876" s="2477"/>
      <c r="BDZ1876" s="2477"/>
      <c r="BEA1876" s="2477"/>
      <c r="BEB1876" s="2477"/>
      <c r="BEC1876" s="2477"/>
      <c r="BED1876" s="2477"/>
      <c r="BEE1876" s="2477"/>
      <c r="BEF1876" s="2477"/>
      <c r="BEG1876" s="2477"/>
      <c r="BEH1876" s="2477"/>
      <c r="BEI1876" s="2477"/>
      <c r="BEJ1876" s="2477"/>
      <c r="BEK1876" s="2477"/>
      <c r="BEL1876" s="2477"/>
      <c r="BEM1876" s="2477"/>
      <c r="BEN1876" s="2477"/>
      <c r="BEO1876" s="2477"/>
      <c r="BEP1876" s="2477"/>
      <c r="BEQ1876" s="2477"/>
      <c r="BER1876" s="2477"/>
      <c r="BES1876" s="2477"/>
      <c r="BET1876" s="2477"/>
      <c r="BEU1876" s="2477"/>
      <c r="BEV1876" s="2477"/>
      <c r="BEW1876" s="2477"/>
      <c r="BEX1876" s="2477"/>
      <c r="BEY1876" s="2477"/>
      <c r="BEZ1876" s="2477"/>
      <c r="BFA1876" s="2477"/>
      <c r="BFB1876" s="2477"/>
      <c r="BFC1876" s="2477"/>
      <c r="BFD1876" s="2477"/>
      <c r="BFE1876" s="2477"/>
      <c r="BFF1876" s="2477"/>
      <c r="BFG1876" s="2477"/>
      <c r="BFH1876" s="2477"/>
      <c r="BFI1876" s="2477"/>
      <c r="BFJ1876" s="2477"/>
      <c r="BFK1876" s="2477"/>
      <c r="BFL1876" s="2477"/>
      <c r="BFM1876" s="2477"/>
      <c r="BFN1876" s="2477"/>
      <c r="BFO1876" s="2477"/>
      <c r="BFP1876" s="2477"/>
      <c r="BFQ1876" s="2477"/>
      <c r="BFR1876" s="2477"/>
      <c r="BFS1876" s="2477"/>
      <c r="BFT1876" s="2477"/>
      <c r="BFU1876" s="2477"/>
      <c r="BFV1876" s="2477"/>
      <c r="BFW1876" s="2477"/>
      <c r="BFX1876" s="2477"/>
      <c r="BFY1876" s="2477"/>
      <c r="BFZ1876" s="2477"/>
      <c r="BGA1876" s="2477"/>
      <c r="BGB1876" s="2477"/>
      <c r="BGC1876" s="2477"/>
      <c r="BGD1876" s="2477"/>
      <c r="BGE1876" s="2477"/>
      <c r="BGF1876" s="2477"/>
      <c r="BGG1876" s="2477"/>
      <c r="BGH1876" s="2477"/>
      <c r="BGI1876" s="2477"/>
      <c r="BGJ1876" s="2477"/>
      <c r="BGK1876" s="2477"/>
      <c r="BGL1876" s="2477"/>
      <c r="BGM1876" s="2477"/>
      <c r="BGN1876" s="2477"/>
      <c r="BGO1876" s="2477"/>
      <c r="BGP1876" s="2477"/>
      <c r="BGQ1876" s="2477"/>
      <c r="BGR1876" s="2477"/>
      <c r="BGS1876" s="2477"/>
      <c r="BGT1876" s="2477"/>
      <c r="BGU1876" s="2477"/>
      <c r="BGV1876" s="2477"/>
      <c r="BGW1876" s="2477"/>
      <c r="BGX1876" s="2477"/>
      <c r="BGY1876" s="2477"/>
      <c r="BGZ1876" s="2477"/>
      <c r="BHA1876" s="2477"/>
      <c r="BHB1876" s="2477"/>
      <c r="BHC1876" s="2477"/>
      <c r="BHD1876" s="2477"/>
      <c r="BHE1876" s="2477"/>
      <c r="BHF1876" s="2477"/>
      <c r="BHG1876" s="2477"/>
      <c r="BHH1876" s="2477"/>
      <c r="BHI1876" s="2477"/>
      <c r="BHJ1876" s="2477"/>
      <c r="BHK1876" s="2477"/>
      <c r="BHL1876" s="2477"/>
      <c r="BHM1876" s="2477"/>
      <c r="BHN1876" s="2477"/>
      <c r="BHO1876" s="2477"/>
      <c r="BHP1876" s="2477"/>
      <c r="BHQ1876" s="2477"/>
      <c r="BHR1876" s="2477"/>
      <c r="BHS1876" s="2477"/>
      <c r="BHT1876" s="2477"/>
      <c r="BHU1876" s="2477"/>
      <c r="BHV1876" s="2477"/>
      <c r="BHW1876" s="2477"/>
      <c r="BHX1876" s="2477"/>
      <c r="BHY1876" s="2477"/>
      <c r="BHZ1876" s="2477"/>
      <c r="BIA1876" s="2477"/>
      <c r="BIB1876" s="2477"/>
      <c r="BIC1876" s="2477"/>
      <c r="BID1876" s="2477"/>
      <c r="BIE1876" s="2477"/>
      <c r="BIF1876" s="2477"/>
      <c r="BIG1876" s="2477"/>
      <c r="BIH1876" s="2477"/>
      <c r="BII1876" s="2477"/>
      <c r="BIJ1876" s="2477"/>
      <c r="BIK1876" s="2477"/>
      <c r="BIL1876" s="2477"/>
      <c r="BIM1876" s="2477"/>
      <c r="BIN1876" s="2477"/>
      <c r="BIO1876" s="2477"/>
      <c r="BIP1876" s="2477"/>
      <c r="BIQ1876" s="2477"/>
      <c r="BIR1876" s="2477"/>
      <c r="BIS1876" s="2477"/>
      <c r="BIT1876" s="2477"/>
      <c r="BIU1876" s="2477"/>
      <c r="BIV1876" s="2477"/>
      <c r="BIW1876" s="2477"/>
      <c r="BIX1876" s="2477"/>
      <c r="BIY1876" s="2477"/>
      <c r="BIZ1876" s="2477"/>
      <c r="BJA1876" s="2477"/>
      <c r="BJB1876" s="2477"/>
      <c r="BJC1876" s="2477"/>
      <c r="BJD1876" s="2477"/>
      <c r="BJE1876" s="2477"/>
      <c r="BJF1876" s="2477"/>
      <c r="BJG1876" s="2477"/>
      <c r="BJH1876" s="2477"/>
      <c r="BJI1876" s="2477"/>
      <c r="BJJ1876" s="2477"/>
      <c r="BJK1876" s="2477"/>
      <c r="BJL1876" s="2477"/>
      <c r="BJM1876" s="2477"/>
      <c r="BJN1876" s="2477"/>
      <c r="BJO1876" s="2477"/>
      <c r="BJP1876" s="2477"/>
      <c r="BJQ1876" s="2477"/>
      <c r="BJR1876" s="2477"/>
      <c r="BJS1876" s="2477"/>
      <c r="BJT1876" s="2477"/>
      <c r="BJU1876" s="2477"/>
      <c r="BJV1876" s="2477"/>
      <c r="BJW1876" s="2477"/>
      <c r="BJX1876" s="2477"/>
      <c r="BJY1876" s="2477"/>
      <c r="BJZ1876" s="2477"/>
      <c r="BKA1876" s="2477"/>
      <c r="BKB1876" s="2477"/>
      <c r="BKC1876" s="2477"/>
      <c r="BKD1876" s="2477"/>
      <c r="BKE1876" s="2477"/>
      <c r="BKF1876" s="2477"/>
      <c r="BKG1876" s="2477"/>
      <c r="BKH1876" s="2477"/>
      <c r="BKI1876" s="2477"/>
      <c r="BKJ1876" s="2477"/>
      <c r="BKK1876" s="2477"/>
      <c r="BKL1876" s="2477"/>
      <c r="BKM1876" s="2477"/>
      <c r="BKN1876" s="2477"/>
      <c r="BKO1876" s="2477"/>
      <c r="BKP1876" s="2477"/>
      <c r="BKQ1876" s="2477"/>
      <c r="BKR1876" s="2477"/>
      <c r="BKS1876" s="2477"/>
      <c r="BKT1876" s="2477"/>
      <c r="BKU1876" s="2477"/>
      <c r="BKV1876" s="2477"/>
      <c r="BKW1876" s="2477"/>
      <c r="BKX1876" s="2477"/>
      <c r="BKY1876" s="2477"/>
      <c r="BKZ1876" s="2477"/>
      <c r="BLA1876" s="2477"/>
      <c r="BLB1876" s="2477"/>
      <c r="BLC1876" s="2477"/>
      <c r="BLD1876" s="2477"/>
      <c r="BLE1876" s="2477"/>
      <c r="BLF1876" s="2477"/>
      <c r="BLG1876" s="2477"/>
      <c r="BLH1876" s="2477"/>
      <c r="BLI1876" s="2477"/>
      <c r="BLJ1876" s="2477"/>
      <c r="BLK1876" s="2477"/>
      <c r="BLL1876" s="2477"/>
      <c r="BLM1876" s="2477"/>
      <c r="BLN1876" s="2477"/>
      <c r="BLO1876" s="2477"/>
      <c r="BLP1876" s="2477"/>
      <c r="BLQ1876" s="2477"/>
      <c r="BLR1876" s="2477"/>
      <c r="BLS1876" s="2477"/>
      <c r="BLT1876" s="2477"/>
      <c r="BLU1876" s="2477"/>
      <c r="BLV1876" s="2477"/>
      <c r="BLW1876" s="2477"/>
      <c r="BLX1876" s="2477"/>
      <c r="BLY1876" s="2477"/>
      <c r="BLZ1876" s="2477"/>
      <c r="BMA1876" s="2477"/>
      <c r="BMB1876" s="2477"/>
      <c r="BMC1876" s="2477"/>
      <c r="BMD1876" s="2477"/>
      <c r="BME1876" s="2477"/>
      <c r="BMF1876" s="2477"/>
      <c r="BMG1876" s="2477"/>
      <c r="BMH1876" s="2477"/>
      <c r="BMI1876" s="2477"/>
      <c r="BMJ1876" s="2477"/>
      <c r="BMK1876" s="2477"/>
      <c r="BML1876" s="2477"/>
      <c r="BMM1876" s="2477"/>
      <c r="BMN1876" s="2477"/>
      <c r="BMO1876" s="2477"/>
      <c r="BMP1876" s="2477"/>
      <c r="BMQ1876" s="2477"/>
      <c r="BMR1876" s="2477"/>
      <c r="BMS1876" s="2477"/>
      <c r="BMT1876" s="2477"/>
      <c r="BMU1876" s="2477"/>
      <c r="BMV1876" s="2477"/>
      <c r="BMW1876" s="2477"/>
      <c r="BMX1876" s="2477"/>
      <c r="BMY1876" s="2477"/>
      <c r="BMZ1876" s="2477"/>
      <c r="BNA1876" s="2477"/>
      <c r="BNB1876" s="2477"/>
      <c r="BNC1876" s="2477"/>
      <c r="BND1876" s="2477"/>
      <c r="BNE1876" s="2477"/>
      <c r="BNF1876" s="2477"/>
      <c r="BNG1876" s="2477"/>
      <c r="BNH1876" s="2477"/>
      <c r="BNI1876" s="2477"/>
      <c r="BNJ1876" s="2477"/>
      <c r="BNK1876" s="2477"/>
      <c r="BNL1876" s="2477"/>
      <c r="BNM1876" s="2477"/>
      <c r="BNN1876" s="2477"/>
      <c r="BNO1876" s="2477"/>
      <c r="BNP1876" s="2477"/>
      <c r="BNQ1876" s="2477"/>
      <c r="BNR1876" s="2477"/>
      <c r="BNS1876" s="2477"/>
      <c r="BNT1876" s="2477"/>
      <c r="BNU1876" s="2477"/>
      <c r="BNV1876" s="2477"/>
      <c r="BNW1876" s="2477"/>
      <c r="BNX1876" s="2477"/>
      <c r="BNY1876" s="2477"/>
      <c r="BNZ1876" s="2477"/>
      <c r="BOA1876" s="2477"/>
      <c r="BOB1876" s="2477"/>
      <c r="BOC1876" s="2477"/>
      <c r="BOD1876" s="2477"/>
      <c r="BOE1876" s="2477"/>
      <c r="BOF1876" s="2477"/>
      <c r="BOG1876" s="2477"/>
      <c r="BOH1876" s="2477"/>
      <c r="BOI1876" s="2477"/>
      <c r="BOJ1876" s="2477"/>
      <c r="BOK1876" s="2477"/>
      <c r="BOL1876" s="2477"/>
      <c r="BOM1876" s="2477"/>
      <c r="BON1876" s="2477"/>
      <c r="BOO1876" s="2477"/>
      <c r="BOP1876" s="2477"/>
      <c r="BOQ1876" s="2477"/>
      <c r="BOR1876" s="2477"/>
      <c r="BOS1876" s="2477"/>
      <c r="BOT1876" s="2477"/>
      <c r="BOU1876" s="2477"/>
      <c r="BOV1876" s="2477"/>
      <c r="BOW1876" s="2477"/>
      <c r="BOX1876" s="2477"/>
      <c r="BOY1876" s="2477"/>
      <c r="BOZ1876" s="2477"/>
      <c r="BPA1876" s="2477"/>
      <c r="BPB1876" s="2477"/>
      <c r="BPC1876" s="2477"/>
      <c r="BPD1876" s="2477"/>
      <c r="BPE1876" s="2477"/>
      <c r="BPF1876" s="2477"/>
      <c r="BPG1876" s="2477"/>
      <c r="BPH1876" s="2477"/>
      <c r="BPI1876" s="2477"/>
      <c r="BPJ1876" s="2477"/>
      <c r="BPK1876" s="2477"/>
      <c r="BPL1876" s="2477"/>
      <c r="BPM1876" s="2477"/>
      <c r="BPN1876" s="2477"/>
      <c r="BPO1876" s="2477"/>
      <c r="BPP1876" s="2477"/>
      <c r="BPQ1876" s="2477"/>
      <c r="BPR1876" s="2477"/>
      <c r="BPS1876" s="2477"/>
      <c r="BPT1876" s="2477"/>
      <c r="BPU1876" s="2477"/>
      <c r="BPV1876" s="2477"/>
      <c r="BPW1876" s="2477"/>
      <c r="BPX1876" s="2477"/>
      <c r="BPY1876" s="2477"/>
      <c r="BPZ1876" s="2477"/>
      <c r="BQA1876" s="2477"/>
      <c r="BQB1876" s="2477"/>
      <c r="BQC1876" s="2477"/>
      <c r="BQD1876" s="2477"/>
      <c r="BQE1876" s="2477"/>
      <c r="BQF1876" s="2477"/>
      <c r="BQG1876" s="2477"/>
      <c r="BQH1876" s="2477"/>
      <c r="BQI1876" s="2477"/>
      <c r="BQJ1876" s="2477"/>
      <c r="BQK1876" s="2477"/>
      <c r="BQL1876" s="2477"/>
      <c r="BQM1876" s="2477"/>
      <c r="BQN1876" s="2477"/>
      <c r="BQO1876" s="2477"/>
      <c r="BQP1876" s="2477"/>
      <c r="BQQ1876" s="2477"/>
      <c r="BQR1876" s="2477"/>
      <c r="BQS1876" s="2477"/>
      <c r="BQT1876" s="2477"/>
      <c r="BQU1876" s="2477"/>
      <c r="BQV1876" s="2477"/>
      <c r="BQW1876" s="2477"/>
      <c r="BQX1876" s="2477"/>
      <c r="BQY1876" s="2477"/>
      <c r="BQZ1876" s="2477"/>
      <c r="BRA1876" s="2477"/>
      <c r="BRB1876" s="2477"/>
      <c r="BRC1876" s="2477"/>
      <c r="BRD1876" s="2477"/>
      <c r="BRE1876" s="2477"/>
      <c r="BRF1876" s="2477"/>
      <c r="BRG1876" s="2477"/>
      <c r="BRH1876" s="2477"/>
      <c r="BRI1876" s="2477"/>
      <c r="BRJ1876" s="2477"/>
      <c r="BRK1876" s="2477"/>
      <c r="BRL1876" s="2477"/>
      <c r="BRM1876" s="2477"/>
      <c r="BRN1876" s="2477"/>
      <c r="BRO1876" s="2477"/>
      <c r="BRP1876" s="2477"/>
      <c r="BRQ1876" s="2477"/>
      <c r="BRR1876" s="2477"/>
      <c r="BRS1876" s="2477"/>
      <c r="BRT1876" s="2477"/>
      <c r="BRU1876" s="2477"/>
      <c r="BRV1876" s="2477"/>
      <c r="BRW1876" s="2477"/>
      <c r="BRX1876" s="2477"/>
      <c r="BRY1876" s="2477"/>
      <c r="BRZ1876" s="2477"/>
      <c r="BSA1876" s="2477"/>
      <c r="BSB1876" s="2477"/>
      <c r="BSC1876" s="2477"/>
      <c r="BSD1876" s="2477"/>
      <c r="BSE1876" s="2477"/>
      <c r="BSF1876" s="2477"/>
      <c r="BSG1876" s="2477"/>
      <c r="BSH1876" s="2477"/>
      <c r="BSI1876" s="2477"/>
      <c r="BSJ1876" s="2477"/>
      <c r="BSK1876" s="2477"/>
      <c r="BSL1876" s="2477"/>
      <c r="BSM1876" s="2477"/>
      <c r="BSN1876" s="2477"/>
      <c r="BSO1876" s="2477"/>
      <c r="BSP1876" s="2477"/>
      <c r="BSQ1876" s="2477"/>
      <c r="BSR1876" s="2477"/>
      <c r="BSS1876" s="2477"/>
      <c r="BST1876" s="2477"/>
      <c r="BSU1876" s="2477"/>
      <c r="BSV1876" s="2477"/>
      <c r="BSW1876" s="2477"/>
      <c r="BSX1876" s="2477"/>
      <c r="BSY1876" s="2477"/>
      <c r="BSZ1876" s="2477"/>
      <c r="BTA1876" s="2477"/>
      <c r="BTB1876" s="2477"/>
      <c r="BTC1876" s="2477"/>
      <c r="BTD1876" s="2477"/>
      <c r="BTE1876" s="2477"/>
      <c r="BTF1876" s="2477"/>
      <c r="BTG1876" s="2477"/>
      <c r="BTH1876" s="2477"/>
      <c r="BTI1876" s="2477"/>
      <c r="BTJ1876" s="2477"/>
      <c r="BTK1876" s="2477"/>
      <c r="BTL1876" s="2477"/>
      <c r="BTM1876" s="2477"/>
      <c r="BTN1876" s="2477"/>
      <c r="BTO1876" s="2477"/>
      <c r="BTP1876" s="2477"/>
      <c r="BTQ1876" s="2477"/>
      <c r="BTR1876" s="2477"/>
      <c r="BTS1876" s="2477"/>
      <c r="BTT1876" s="2477"/>
      <c r="BTU1876" s="2477"/>
      <c r="BTV1876" s="2477"/>
      <c r="BTW1876" s="2477"/>
      <c r="BTX1876" s="2477"/>
      <c r="BTY1876" s="2477"/>
      <c r="BTZ1876" s="2477"/>
      <c r="BUA1876" s="2477"/>
      <c r="BUB1876" s="2477"/>
      <c r="BUC1876" s="2477"/>
      <c r="BUD1876" s="2477"/>
      <c r="BUE1876" s="2477"/>
      <c r="BUF1876" s="2477"/>
      <c r="BUG1876" s="2477"/>
      <c r="BUH1876" s="2477"/>
      <c r="BUI1876" s="2477"/>
      <c r="BUJ1876" s="2477"/>
      <c r="BUK1876" s="2477"/>
      <c r="BUL1876" s="2477"/>
      <c r="BUM1876" s="2477"/>
      <c r="BUN1876" s="2477"/>
      <c r="BUO1876" s="2477"/>
      <c r="BUP1876" s="2477"/>
      <c r="BUQ1876" s="2477"/>
      <c r="BUR1876" s="2477"/>
      <c r="BUS1876" s="2477"/>
      <c r="BUT1876" s="2477"/>
      <c r="BUU1876" s="2477"/>
      <c r="BUV1876" s="2477"/>
      <c r="BUW1876" s="2477"/>
      <c r="BUX1876" s="2477"/>
      <c r="BUY1876" s="2477"/>
      <c r="BUZ1876" s="2477"/>
      <c r="BVA1876" s="2477"/>
      <c r="BVB1876" s="2477"/>
      <c r="BVC1876" s="2477"/>
      <c r="BVD1876" s="2477"/>
      <c r="BVE1876" s="2477"/>
      <c r="BVF1876" s="2477"/>
      <c r="BVG1876" s="2477"/>
      <c r="BVH1876" s="2477"/>
      <c r="BVI1876" s="2477"/>
      <c r="BVJ1876" s="2477"/>
      <c r="BVK1876" s="2477"/>
      <c r="BVL1876" s="2477"/>
      <c r="BVM1876" s="2477"/>
      <c r="BVN1876" s="2477"/>
      <c r="BVO1876" s="2477"/>
      <c r="BVP1876" s="2477"/>
      <c r="BVQ1876" s="2477"/>
      <c r="BVR1876" s="2477"/>
      <c r="BVS1876" s="2477"/>
      <c r="BVT1876" s="2477"/>
      <c r="BVU1876" s="2477"/>
      <c r="BVV1876" s="2477"/>
      <c r="BVW1876" s="2477"/>
      <c r="BVX1876" s="2477"/>
      <c r="BVY1876" s="2477"/>
      <c r="BVZ1876" s="2477"/>
      <c r="BWA1876" s="2477"/>
      <c r="BWB1876" s="2477"/>
      <c r="BWC1876" s="2477"/>
      <c r="BWD1876" s="2477"/>
      <c r="BWE1876" s="2477"/>
      <c r="BWF1876" s="2477"/>
      <c r="BWG1876" s="2477"/>
      <c r="BWH1876" s="2477"/>
      <c r="BWI1876" s="2477"/>
      <c r="BWJ1876" s="2477"/>
      <c r="BWK1876" s="2477"/>
      <c r="BWL1876" s="2477"/>
      <c r="BWM1876" s="2477"/>
      <c r="BWN1876" s="2477"/>
      <c r="BWO1876" s="2477"/>
      <c r="BWP1876" s="2477"/>
      <c r="BWQ1876" s="2477"/>
      <c r="BWR1876" s="2477"/>
      <c r="BWS1876" s="2477"/>
      <c r="BWT1876" s="2477"/>
      <c r="BWU1876" s="2477"/>
      <c r="BWV1876" s="2477"/>
      <c r="BWW1876" s="2477"/>
      <c r="BWX1876" s="2477"/>
      <c r="BWY1876" s="2477"/>
      <c r="BWZ1876" s="2477"/>
      <c r="BXA1876" s="2477"/>
      <c r="BXB1876" s="2477"/>
      <c r="BXC1876" s="2477"/>
      <c r="BXD1876" s="2477"/>
      <c r="BXE1876" s="2477"/>
      <c r="BXF1876" s="2477"/>
      <c r="BXG1876" s="2477"/>
      <c r="BXH1876" s="2477"/>
      <c r="BXI1876" s="2477"/>
      <c r="BXJ1876" s="2477"/>
      <c r="BXK1876" s="2477"/>
      <c r="BXL1876" s="2477"/>
      <c r="BXM1876" s="2477"/>
      <c r="BXN1876" s="2477"/>
      <c r="BXO1876" s="2477"/>
      <c r="BXP1876" s="2477"/>
      <c r="BXQ1876" s="2477"/>
      <c r="BXR1876" s="2477"/>
      <c r="BXS1876" s="2477"/>
      <c r="BXT1876" s="2477"/>
      <c r="BXU1876" s="2477"/>
      <c r="BXV1876" s="2477"/>
      <c r="BXW1876" s="2477"/>
      <c r="BXX1876" s="2477"/>
      <c r="BXY1876" s="2477"/>
      <c r="BXZ1876" s="2477"/>
      <c r="BYA1876" s="2477"/>
      <c r="BYB1876" s="2477"/>
      <c r="BYC1876" s="2477"/>
      <c r="BYD1876" s="2477"/>
      <c r="BYE1876" s="2477"/>
      <c r="BYF1876" s="2477"/>
      <c r="BYG1876" s="2477"/>
      <c r="BYH1876" s="2477"/>
      <c r="BYI1876" s="2477"/>
      <c r="BYJ1876" s="2477"/>
      <c r="BYK1876" s="2477"/>
      <c r="BYL1876" s="2477"/>
      <c r="BYM1876" s="2477"/>
      <c r="BYN1876" s="2477"/>
      <c r="BYO1876" s="2477"/>
      <c r="BYP1876" s="2477"/>
      <c r="BYQ1876" s="2477"/>
      <c r="BYR1876" s="2477"/>
      <c r="BYS1876" s="2477"/>
      <c r="BYT1876" s="2477"/>
      <c r="BYU1876" s="2477"/>
      <c r="BYV1876" s="2477"/>
      <c r="BYW1876" s="2477"/>
      <c r="BYX1876" s="2477"/>
      <c r="BYY1876" s="2477"/>
      <c r="BYZ1876" s="2477"/>
      <c r="BZA1876" s="2477"/>
      <c r="BZB1876" s="2477"/>
      <c r="BZC1876" s="2477"/>
      <c r="BZD1876" s="2477"/>
      <c r="BZE1876" s="2477"/>
      <c r="BZF1876" s="2477"/>
      <c r="BZG1876" s="2477"/>
      <c r="BZH1876" s="2477"/>
      <c r="BZI1876" s="2477"/>
      <c r="BZJ1876" s="2477"/>
      <c r="BZK1876" s="2477"/>
      <c r="BZL1876" s="2477"/>
      <c r="BZM1876" s="2477"/>
      <c r="BZN1876" s="2477"/>
      <c r="BZO1876" s="2477"/>
      <c r="BZP1876" s="2477"/>
      <c r="BZQ1876" s="2477"/>
      <c r="BZR1876" s="2477"/>
      <c r="BZS1876" s="2477"/>
      <c r="BZT1876" s="2477"/>
      <c r="BZU1876" s="2477"/>
      <c r="BZV1876" s="2477"/>
      <c r="BZW1876" s="2477"/>
      <c r="BZX1876" s="2477"/>
      <c r="BZY1876" s="2477"/>
      <c r="BZZ1876" s="2477"/>
      <c r="CAA1876" s="2477"/>
      <c r="CAB1876" s="2477"/>
      <c r="CAC1876" s="2477"/>
      <c r="CAD1876" s="2477"/>
      <c r="CAE1876" s="2477"/>
      <c r="CAF1876" s="2477"/>
      <c r="CAG1876" s="2477"/>
      <c r="CAH1876" s="2477"/>
      <c r="CAI1876" s="2477"/>
      <c r="CAJ1876" s="2477"/>
      <c r="CAK1876" s="2477"/>
      <c r="CAL1876" s="2477"/>
      <c r="CAM1876" s="2477"/>
      <c r="CAN1876" s="2477"/>
      <c r="CAO1876" s="2477"/>
      <c r="CAP1876" s="2477"/>
      <c r="CAQ1876" s="2477"/>
      <c r="CAR1876" s="2477"/>
      <c r="CAS1876" s="2477"/>
      <c r="CAT1876" s="2477"/>
      <c r="CAU1876" s="2477"/>
      <c r="CAV1876" s="2477"/>
      <c r="CAW1876" s="2477"/>
      <c r="CAX1876" s="2477"/>
      <c r="CAY1876" s="2477"/>
      <c r="CAZ1876" s="2477"/>
      <c r="CBA1876" s="2477"/>
      <c r="CBB1876" s="2477"/>
      <c r="CBC1876" s="2477"/>
      <c r="CBD1876" s="2477"/>
      <c r="CBE1876" s="2477"/>
      <c r="CBF1876" s="2477"/>
      <c r="CBG1876" s="2477"/>
      <c r="CBH1876" s="2477"/>
      <c r="CBI1876" s="2477"/>
      <c r="CBJ1876" s="2477"/>
      <c r="CBK1876" s="2477"/>
      <c r="CBL1876" s="2477"/>
      <c r="CBM1876" s="2477"/>
      <c r="CBN1876" s="2477"/>
      <c r="CBO1876" s="2477"/>
      <c r="CBP1876" s="2477"/>
      <c r="CBQ1876" s="2477"/>
      <c r="CBR1876" s="2477"/>
      <c r="CBS1876" s="2477"/>
      <c r="CBT1876" s="2477"/>
      <c r="CBU1876" s="2477"/>
      <c r="CBV1876" s="2477"/>
      <c r="CBW1876" s="2477"/>
      <c r="CBX1876" s="2477"/>
      <c r="CBY1876" s="2477"/>
      <c r="CBZ1876" s="2477"/>
      <c r="CCA1876" s="2477"/>
      <c r="CCB1876" s="2477"/>
      <c r="CCC1876" s="2477"/>
      <c r="CCD1876" s="2477"/>
      <c r="CCE1876" s="2477"/>
      <c r="CCF1876" s="2477"/>
      <c r="CCG1876" s="2477"/>
      <c r="CCH1876" s="2477"/>
      <c r="CCI1876" s="2477"/>
      <c r="CCJ1876" s="2477"/>
      <c r="CCK1876" s="2477"/>
      <c r="CCL1876" s="2477"/>
      <c r="CCM1876" s="2477"/>
      <c r="CCN1876" s="2477"/>
      <c r="CCO1876" s="2477"/>
      <c r="CCP1876" s="2477"/>
      <c r="CCQ1876" s="2477"/>
      <c r="CCR1876" s="2477"/>
      <c r="CCS1876" s="2477"/>
      <c r="CCT1876" s="2477"/>
      <c r="CCU1876" s="2477"/>
      <c r="CCV1876" s="2477"/>
      <c r="CCW1876" s="2477"/>
      <c r="CCX1876" s="2477"/>
      <c r="CCY1876" s="2477"/>
      <c r="CCZ1876" s="2477"/>
      <c r="CDA1876" s="2477"/>
      <c r="CDB1876" s="2477"/>
      <c r="CDC1876" s="2477"/>
      <c r="CDD1876" s="2477"/>
      <c r="CDE1876" s="2477"/>
      <c r="CDF1876" s="2477"/>
      <c r="CDG1876" s="2477"/>
      <c r="CDH1876" s="2477"/>
      <c r="CDI1876" s="2477"/>
      <c r="CDJ1876" s="2477"/>
      <c r="CDK1876" s="2477"/>
      <c r="CDL1876" s="2477"/>
      <c r="CDM1876" s="2477"/>
      <c r="CDN1876" s="2477"/>
      <c r="CDO1876" s="2477"/>
      <c r="CDP1876" s="2477"/>
      <c r="CDQ1876" s="2477"/>
      <c r="CDR1876" s="2477"/>
      <c r="CDS1876" s="2477"/>
      <c r="CDT1876" s="2477"/>
      <c r="CDU1876" s="2477"/>
      <c r="CDV1876" s="2477"/>
      <c r="CDW1876" s="2477"/>
      <c r="CDX1876" s="2477"/>
      <c r="CDY1876" s="2477"/>
      <c r="CDZ1876" s="2477"/>
      <c r="CEA1876" s="2477"/>
      <c r="CEB1876" s="2477"/>
      <c r="CEC1876" s="2477"/>
      <c r="CED1876" s="2477"/>
      <c r="CEE1876" s="2477"/>
      <c r="CEF1876" s="2477"/>
      <c r="CEG1876" s="2477"/>
      <c r="CEH1876" s="2477"/>
      <c r="CEI1876" s="2477"/>
      <c r="CEJ1876" s="2477"/>
      <c r="CEK1876" s="2477"/>
      <c r="CEL1876" s="2477"/>
      <c r="CEM1876" s="2477"/>
      <c r="CEN1876" s="2477"/>
      <c r="CEO1876" s="2477"/>
      <c r="CEP1876" s="2477"/>
      <c r="CEQ1876" s="2477"/>
      <c r="CER1876" s="2477"/>
      <c r="CES1876" s="2477"/>
      <c r="CET1876" s="2477"/>
      <c r="CEU1876" s="2477"/>
      <c r="CEV1876" s="2477"/>
      <c r="CEW1876" s="2477"/>
      <c r="CEX1876" s="2477"/>
      <c r="CEY1876" s="2477"/>
      <c r="CEZ1876" s="2477"/>
      <c r="CFA1876" s="2477"/>
      <c r="CFB1876" s="2477"/>
      <c r="CFC1876" s="2477"/>
      <c r="CFD1876" s="2477"/>
      <c r="CFE1876" s="2477"/>
      <c r="CFF1876" s="2477"/>
      <c r="CFG1876" s="2477"/>
      <c r="CFH1876" s="2477"/>
      <c r="CFI1876" s="2477"/>
      <c r="CFJ1876" s="2477"/>
      <c r="CFK1876" s="2477"/>
      <c r="CFL1876" s="2477"/>
      <c r="CFM1876" s="2477"/>
      <c r="CFN1876" s="2477"/>
      <c r="CFO1876" s="2477"/>
      <c r="CFP1876" s="2477"/>
      <c r="CFQ1876" s="2477"/>
      <c r="CFR1876" s="2477"/>
      <c r="CFS1876" s="2477"/>
      <c r="CFT1876" s="2477"/>
      <c r="CFU1876" s="2477"/>
      <c r="CFV1876" s="2477"/>
      <c r="CFW1876" s="2477"/>
      <c r="CFX1876" s="2477"/>
      <c r="CFY1876" s="2477"/>
      <c r="CFZ1876" s="2477"/>
      <c r="CGA1876" s="2477"/>
      <c r="CGB1876" s="2477"/>
      <c r="CGC1876" s="2477"/>
      <c r="CGD1876" s="2477"/>
      <c r="CGE1876" s="2477"/>
      <c r="CGF1876" s="2477"/>
      <c r="CGG1876" s="2477"/>
      <c r="CGH1876" s="2477"/>
      <c r="CGI1876" s="2477"/>
      <c r="CGJ1876" s="2477"/>
      <c r="CGK1876" s="2477"/>
      <c r="CGL1876" s="2477"/>
      <c r="CGM1876" s="2477"/>
      <c r="CGN1876" s="2477"/>
      <c r="CGO1876" s="2477"/>
      <c r="CGP1876" s="2477"/>
      <c r="CGQ1876" s="2477"/>
      <c r="CGR1876" s="2477"/>
      <c r="CGS1876" s="2477"/>
      <c r="CGT1876" s="2477"/>
      <c r="CGU1876" s="2477"/>
      <c r="CGV1876" s="2477"/>
      <c r="CGW1876" s="2477"/>
      <c r="CGX1876" s="2477"/>
      <c r="CGY1876" s="2477"/>
      <c r="CGZ1876" s="2477"/>
      <c r="CHA1876" s="2477"/>
      <c r="CHB1876" s="2477"/>
      <c r="CHC1876" s="2477"/>
      <c r="CHD1876" s="2477"/>
      <c r="CHE1876" s="2477"/>
      <c r="CHF1876" s="2477"/>
      <c r="CHG1876" s="2477"/>
      <c r="CHH1876" s="2477"/>
      <c r="CHI1876" s="2477"/>
      <c r="CHJ1876" s="2477"/>
      <c r="CHK1876" s="2477"/>
      <c r="CHL1876" s="2477"/>
      <c r="CHM1876" s="2477"/>
      <c r="CHN1876" s="2477"/>
      <c r="CHO1876" s="2477"/>
      <c r="CHP1876" s="2477"/>
      <c r="CHQ1876" s="2477"/>
      <c r="CHR1876" s="2477"/>
      <c r="CHS1876" s="2477"/>
      <c r="CHT1876" s="2477"/>
      <c r="CHU1876" s="2477"/>
      <c r="CHV1876" s="2477"/>
      <c r="CHW1876" s="2477"/>
      <c r="CHX1876" s="2477"/>
      <c r="CHY1876" s="2477"/>
      <c r="CHZ1876" s="2477"/>
      <c r="CIA1876" s="2477"/>
      <c r="CIB1876" s="2477"/>
      <c r="CIC1876" s="2477"/>
      <c r="CID1876" s="2477"/>
      <c r="CIE1876" s="2477"/>
      <c r="CIF1876" s="2477"/>
      <c r="CIG1876" s="2477"/>
      <c r="CIH1876" s="2477"/>
      <c r="CII1876" s="2477"/>
      <c r="CIJ1876" s="2477"/>
      <c r="CIK1876" s="2477"/>
      <c r="CIL1876" s="2477"/>
      <c r="CIM1876" s="2477"/>
      <c r="CIN1876" s="2477"/>
      <c r="CIO1876" s="2477"/>
      <c r="CIP1876" s="2477"/>
      <c r="CIQ1876" s="2477"/>
      <c r="CIR1876" s="2477"/>
      <c r="CIS1876" s="2477"/>
      <c r="CIT1876" s="2477"/>
      <c r="CIU1876" s="2477"/>
      <c r="CIV1876" s="2477"/>
      <c r="CIW1876" s="2477"/>
      <c r="CIX1876" s="2477"/>
      <c r="CIY1876" s="2477"/>
      <c r="CIZ1876" s="2477"/>
      <c r="CJA1876" s="2477"/>
      <c r="CJB1876" s="2477"/>
      <c r="CJC1876" s="2477"/>
      <c r="CJD1876" s="2477"/>
      <c r="CJE1876" s="2477"/>
      <c r="CJF1876" s="2477"/>
      <c r="CJG1876" s="2477"/>
      <c r="CJH1876" s="2477"/>
      <c r="CJI1876" s="2477"/>
      <c r="CJJ1876" s="2477"/>
      <c r="CJK1876" s="2477"/>
      <c r="CJL1876" s="2477"/>
      <c r="CJM1876" s="2477"/>
      <c r="CJN1876" s="2477"/>
      <c r="CJO1876" s="2477"/>
      <c r="CJP1876" s="2477"/>
      <c r="CJQ1876" s="2477"/>
      <c r="CJR1876" s="2477"/>
      <c r="CJS1876" s="2477"/>
      <c r="CJT1876" s="2477"/>
      <c r="CJU1876" s="2477"/>
      <c r="CJV1876" s="2477"/>
      <c r="CJW1876" s="2477"/>
      <c r="CJX1876" s="2477"/>
      <c r="CJY1876" s="2477"/>
      <c r="CJZ1876" s="2477"/>
      <c r="CKA1876" s="2477"/>
      <c r="CKB1876" s="2477"/>
      <c r="CKC1876" s="2477"/>
      <c r="CKD1876" s="2477"/>
      <c r="CKE1876" s="2477"/>
      <c r="CKF1876" s="2477"/>
      <c r="CKG1876" s="2477"/>
      <c r="CKH1876" s="2477"/>
      <c r="CKI1876" s="2477"/>
      <c r="CKJ1876" s="2477"/>
      <c r="CKK1876" s="2477"/>
      <c r="CKL1876" s="2477"/>
      <c r="CKM1876" s="2477"/>
      <c r="CKN1876" s="2477"/>
      <c r="CKO1876" s="2477"/>
      <c r="CKP1876" s="2477"/>
      <c r="CKQ1876" s="2477"/>
      <c r="CKR1876" s="2477"/>
      <c r="CKS1876" s="2477"/>
      <c r="CKT1876" s="2477"/>
      <c r="CKU1876" s="2477"/>
      <c r="CKV1876" s="2477"/>
      <c r="CKW1876" s="2477"/>
      <c r="CKX1876" s="2477"/>
      <c r="CKY1876" s="2477"/>
      <c r="CKZ1876" s="2477"/>
      <c r="CLA1876" s="2477"/>
      <c r="CLB1876" s="2477"/>
      <c r="CLC1876" s="2477"/>
      <c r="CLD1876" s="2477"/>
      <c r="CLE1876" s="2477"/>
      <c r="CLF1876" s="2477"/>
      <c r="CLG1876" s="2477"/>
      <c r="CLH1876" s="2477"/>
      <c r="CLI1876" s="2477"/>
      <c r="CLJ1876" s="2477"/>
      <c r="CLK1876" s="2477"/>
      <c r="CLL1876" s="2477"/>
      <c r="CLM1876" s="2477"/>
      <c r="CLN1876" s="2477"/>
      <c r="CLO1876" s="2477"/>
      <c r="CLP1876" s="2477"/>
      <c r="CLQ1876" s="2477"/>
      <c r="CLR1876" s="2477"/>
      <c r="CLS1876" s="2477"/>
      <c r="CLT1876" s="2477"/>
      <c r="CLU1876" s="2477"/>
      <c r="CLV1876" s="2477"/>
      <c r="CLW1876" s="2477"/>
      <c r="CLX1876" s="2477"/>
      <c r="CLY1876" s="2477"/>
      <c r="CLZ1876" s="2477"/>
      <c r="CMA1876" s="2477"/>
      <c r="CMB1876" s="2477"/>
      <c r="CMC1876" s="2477"/>
      <c r="CMD1876" s="2477"/>
      <c r="CME1876" s="2477"/>
      <c r="CMF1876" s="2477"/>
      <c r="CMG1876" s="2477"/>
      <c r="CMH1876" s="2477"/>
      <c r="CMI1876" s="2477"/>
      <c r="CMJ1876" s="2477"/>
      <c r="CMK1876" s="2477"/>
      <c r="CML1876" s="2477"/>
      <c r="CMM1876" s="2477"/>
      <c r="CMN1876" s="2477"/>
      <c r="CMO1876" s="2477"/>
      <c r="CMP1876" s="2477"/>
      <c r="CMQ1876" s="2477"/>
      <c r="CMR1876" s="2477"/>
      <c r="CMS1876" s="2477"/>
      <c r="CMT1876" s="2477"/>
      <c r="CMU1876" s="2477"/>
      <c r="CMV1876" s="2477"/>
      <c r="CMW1876" s="2477"/>
      <c r="CMX1876" s="2477"/>
      <c r="CMY1876" s="2477"/>
      <c r="CMZ1876" s="2477"/>
      <c r="CNA1876" s="2477"/>
      <c r="CNB1876" s="2477"/>
      <c r="CNC1876" s="2477"/>
      <c r="CND1876" s="2477"/>
      <c r="CNE1876" s="2477"/>
      <c r="CNF1876" s="2477"/>
      <c r="CNG1876" s="2477"/>
      <c r="CNH1876" s="2477"/>
      <c r="CNI1876" s="2477"/>
      <c r="CNJ1876" s="2477"/>
      <c r="CNK1876" s="2477"/>
      <c r="CNL1876" s="2477"/>
      <c r="CNM1876" s="2477"/>
      <c r="CNN1876" s="2477"/>
      <c r="CNO1876" s="2477"/>
      <c r="CNP1876" s="2477"/>
      <c r="CNQ1876" s="2477"/>
      <c r="CNR1876" s="2477"/>
      <c r="CNS1876" s="2477"/>
      <c r="CNT1876" s="2477"/>
      <c r="CNU1876" s="2477"/>
      <c r="CNV1876" s="2477"/>
      <c r="CNW1876" s="2477"/>
      <c r="CNX1876" s="2477"/>
      <c r="CNY1876" s="2477"/>
      <c r="CNZ1876" s="2477"/>
      <c r="COA1876" s="2477"/>
      <c r="COB1876" s="2477"/>
      <c r="COC1876" s="2477"/>
      <c r="COD1876" s="2477"/>
      <c r="COE1876" s="2477"/>
      <c r="COF1876" s="2477"/>
      <c r="COG1876" s="2477"/>
      <c r="COH1876" s="2477"/>
      <c r="COI1876" s="2477"/>
      <c r="COJ1876" s="2477"/>
      <c r="COK1876" s="2477"/>
      <c r="COL1876" s="2477"/>
      <c r="COM1876" s="2477"/>
      <c r="CON1876" s="2477"/>
      <c r="COO1876" s="2477"/>
      <c r="COP1876" s="2477"/>
      <c r="COQ1876" s="2477"/>
      <c r="COR1876" s="2477"/>
      <c r="COS1876" s="2477"/>
      <c r="COT1876" s="2477"/>
      <c r="COU1876" s="2477"/>
      <c r="COV1876" s="2477"/>
      <c r="COW1876" s="2477"/>
      <c r="COX1876" s="2477"/>
      <c r="COY1876" s="2477"/>
      <c r="COZ1876" s="2477"/>
      <c r="CPA1876" s="2477"/>
      <c r="CPB1876" s="2477"/>
      <c r="CPC1876" s="2477"/>
      <c r="CPD1876" s="2477"/>
      <c r="CPE1876" s="2477"/>
      <c r="CPF1876" s="2477"/>
      <c r="CPG1876" s="2477"/>
      <c r="CPH1876" s="2477"/>
      <c r="CPI1876" s="2477"/>
      <c r="CPJ1876" s="2477"/>
      <c r="CPK1876" s="2477"/>
      <c r="CPL1876" s="2477"/>
      <c r="CPM1876" s="2477"/>
      <c r="CPN1876" s="2477"/>
      <c r="CPO1876" s="2477"/>
      <c r="CPP1876" s="2477"/>
      <c r="CPQ1876" s="2477"/>
      <c r="CPR1876" s="2477"/>
      <c r="CPS1876" s="2477"/>
      <c r="CPT1876" s="2477"/>
      <c r="CPU1876" s="2477"/>
      <c r="CPV1876" s="2477"/>
      <c r="CPW1876" s="2477"/>
      <c r="CPX1876" s="2477"/>
      <c r="CPY1876" s="2477"/>
      <c r="CPZ1876" s="2477"/>
      <c r="CQA1876" s="2477"/>
      <c r="CQB1876" s="2477"/>
      <c r="CQC1876" s="2477"/>
      <c r="CQD1876" s="2477"/>
      <c r="CQE1876" s="2477"/>
      <c r="CQF1876" s="2477"/>
      <c r="CQG1876" s="2477"/>
      <c r="CQH1876" s="2477"/>
      <c r="CQI1876" s="2477"/>
      <c r="CQJ1876" s="2477"/>
      <c r="CQK1876" s="2477"/>
      <c r="CQL1876" s="2477"/>
      <c r="CQM1876" s="2477"/>
      <c r="CQN1876" s="2477"/>
      <c r="CQO1876" s="2477"/>
      <c r="CQP1876" s="2477"/>
      <c r="CQQ1876" s="2477"/>
      <c r="CQR1876" s="2477"/>
      <c r="CQS1876" s="2477"/>
      <c r="CQT1876" s="2477"/>
      <c r="CQU1876" s="2477"/>
      <c r="CQV1876" s="2477"/>
      <c r="CQW1876" s="2477"/>
      <c r="CQX1876" s="2477"/>
      <c r="CQY1876" s="2477"/>
      <c r="CQZ1876" s="2477"/>
      <c r="CRA1876" s="2477"/>
      <c r="CRB1876" s="2477"/>
      <c r="CRC1876" s="2477"/>
      <c r="CRD1876" s="2477"/>
      <c r="CRE1876" s="2477"/>
      <c r="CRF1876" s="2477"/>
      <c r="CRG1876" s="2477"/>
      <c r="CRH1876" s="2477"/>
      <c r="CRI1876" s="2477"/>
      <c r="CRJ1876" s="2477"/>
      <c r="CRK1876" s="2477"/>
      <c r="CRL1876" s="2477"/>
      <c r="CRM1876" s="2477"/>
      <c r="CRN1876" s="2477"/>
      <c r="CRO1876" s="2477"/>
      <c r="CRP1876" s="2477"/>
      <c r="CRQ1876" s="2477"/>
      <c r="CRR1876" s="2477"/>
      <c r="CRS1876" s="2477"/>
      <c r="CRT1876" s="2477"/>
      <c r="CRU1876" s="2477"/>
      <c r="CRV1876" s="2477"/>
      <c r="CRW1876" s="2477"/>
      <c r="CRX1876" s="2477"/>
      <c r="CRY1876" s="2477"/>
      <c r="CRZ1876" s="2477"/>
      <c r="CSA1876" s="2477"/>
      <c r="CSB1876" s="2477"/>
      <c r="CSC1876" s="2477"/>
      <c r="CSD1876" s="2477"/>
      <c r="CSE1876" s="2477"/>
      <c r="CSF1876" s="2477"/>
      <c r="CSG1876" s="2477"/>
      <c r="CSH1876" s="2477"/>
      <c r="CSI1876" s="2477"/>
      <c r="CSJ1876" s="2477"/>
      <c r="CSK1876" s="2477"/>
      <c r="CSL1876" s="2477"/>
      <c r="CSM1876" s="2477"/>
      <c r="CSN1876" s="2477"/>
      <c r="CSO1876" s="2477"/>
      <c r="CSP1876" s="2477"/>
      <c r="CSQ1876" s="2477"/>
      <c r="CSR1876" s="2477"/>
      <c r="CSS1876" s="2477"/>
      <c r="CST1876" s="2477"/>
      <c r="CSU1876" s="2477"/>
      <c r="CSV1876" s="2477"/>
      <c r="CSW1876" s="2477"/>
      <c r="CSX1876" s="2477"/>
      <c r="CSY1876" s="2477"/>
      <c r="CSZ1876" s="2477"/>
      <c r="CTA1876" s="2477"/>
      <c r="CTB1876" s="2477"/>
      <c r="CTC1876" s="2477"/>
      <c r="CTD1876" s="2477"/>
      <c r="CTE1876" s="2477"/>
      <c r="CTF1876" s="2477"/>
      <c r="CTG1876" s="2477"/>
      <c r="CTH1876" s="2477"/>
      <c r="CTI1876" s="2477"/>
      <c r="CTJ1876" s="2477"/>
      <c r="CTK1876" s="2477"/>
      <c r="CTL1876" s="2477"/>
      <c r="CTM1876" s="2477"/>
      <c r="CTN1876" s="2477"/>
      <c r="CTO1876" s="2477"/>
      <c r="CTP1876" s="2477"/>
      <c r="CTQ1876" s="2477"/>
      <c r="CTR1876" s="2477"/>
      <c r="CTS1876" s="2477"/>
      <c r="CTT1876" s="2477"/>
      <c r="CTU1876" s="2477"/>
      <c r="CTV1876" s="2477"/>
      <c r="CTW1876" s="2477"/>
      <c r="CTX1876" s="2477"/>
      <c r="CTY1876" s="2477"/>
      <c r="CTZ1876" s="2477"/>
      <c r="CUA1876" s="2477"/>
      <c r="CUB1876" s="2477"/>
      <c r="CUC1876" s="2477"/>
      <c r="CUD1876" s="2477"/>
      <c r="CUE1876" s="2477"/>
      <c r="CUF1876" s="2477"/>
      <c r="CUG1876" s="2477"/>
      <c r="CUH1876" s="2477"/>
      <c r="CUI1876" s="2477"/>
      <c r="CUJ1876" s="2477"/>
      <c r="CUK1876" s="2477"/>
      <c r="CUL1876" s="2477"/>
      <c r="CUM1876" s="2477"/>
      <c r="CUN1876" s="2477"/>
      <c r="CUO1876" s="2477"/>
      <c r="CUP1876" s="2477"/>
      <c r="CUQ1876" s="2477"/>
      <c r="CUR1876" s="2477"/>
      <c r="CUS1876" s="2477"/>
      <c r="CUT1876" s="2477"/>
      <c r="CUU1876" s="2477"/>
      <c r="CUV1876" s="2477"/>
      <c r="CUW1876" s="2477"/>
      <c r="CUX1876" s="2477"/>
      <c r="CUY1876" s="2477"/>
      <c r="CUZ1876" s="2477"/>
      <c r="CVA1876" s="2477"/>
      <c r="CVB1876" s="2477"/>
      <c r="CVC1876" s="2477"/>
      <c r="CVD1876" s="2477"/>
      <c r="CVE1876" s="2477"/>
      <c r="CVF1876" s="2477"/>
      <c r="CVG1876" s="2477"/>
      <c r="CVH1876" s="2477"/>
      <c r="CVI1876" s="2477"/>
      <c r="CVJ1876" s="2477"/>
      <c r="CVK1876" s="2477"/>
      <c r="CVL1876" s="2477"/>
      <c r="CVM1876" s="2477"/>
      <c r="CVN1876" s="2477"/>
      <c r="CVO1876" s="2477"/>
      <c r="CVP1876" s="2477"/>
      <c r="CVQ1876" s="2477"/>
      <c r="CVR1876" s="2477"/>
      <c r="CVS1876" s="2477"/>
      <c r="CVT1876" s="2477"/>
      <c r="CVU1876" s="2477"/>
      <c r="CVV1876" s="2477"/>
      <c r="CVW1876" s="2477"/>
      <c r="CVX1876" s="2477"/>
      <c r="CVY1876" s="2477"/>
      <c r="CVZ1876" s="2477"/>
      <c r="CWA1876" s="2477"/>
      <c r="CWB1876" s="2477"/>
      <c r="CWC1876" s="2477"/>
      <c r="CWD1876" s="2477"/>
      <c r="CWE1876" s="2477"/>
      <c r="CWF1876" s="2477"/>
      <c r="CWG1876" s="2477"/>
      <c r="CWH1876" s="2477"/>
      <c r="CWI1876" s="2477"/>
      <c r="CWJ1876" s="2477"/>
      <c r="CWK1876" s="2477"/>
      <c r="CWL1876" s="2477"/>
      <c r="CWM1876" s="2477"/>
      <c r="CWN1876" s="2477"/>
      <c r="CWO1876" s="2477"/>
      <c r="CWP1876" s="2477"/>
      <c r="CWQ1876" s="2477"/>
      <c r="CWR1876" s="2477"/>
      <c r="CWS1876" s="2477"/>
      <c r="CWT1876" s="2477"/>
      <c r="CWU1876" s="2477"/>
      <c r="CWV1876" s="2477"/>
      <c r="CWW1876" s="2477"/>
      <c r="CWX1876" s="2477"/>
      <c r="CWY1876" s="2477"/>
      <c r="CWZ1876" s="2477"/>
      <c r="CXA1876" s="2477"/>
      <c r="CXB1876" s="2477"/>
      <c r="CXC1876" s="2477"/>
      <c r="CXD1876" s="2477"/>
      <c r="CXE1876" s="2477"/>
      <c r="CXF1876" s="2477"/>
      <c r="CXG1876" s="2477"/>
      <c r="CXH1876" s="2477"/>
      <c r="CXI1876" s="2477"/>
      <c r="CXJ1876" s="2477"/>
      <c r="CXK1876" s="2477"/>
      <c r="CXL1876" s="2477"/>
      <c r="CXM1876" s="2477"/>
      <c r="CXN1876" s="2477"/>
      <c r="CXO1876" s="2477"/>
      <c r="CXP1876" s="2477"/>
      <c r="CXQ1876" s="2477"/>
      <c r="CXR1876" s="2477"/>
      <c r="CXS1876" s="2477"/>
      <c r="CXT1876" s="2477"/>
      <c r="CXU1876" s="2477"/>
      <c r="CXV1876" s="2477"/>
      <c r="CXW1876" s="2477"/>
      <c r="CXX1876" s="2477"/>
      <c r="CXY1876" s="2477"/>
      <c r="CXZ1876" s="2477"/>
      <c r="CYA1876" s="2477"/>
      <c r="CYB1876" s="2477"/>
      <c r="CYC1876" s="2477"/>
      <c r="CYD1876" s="2477"/>
      <c r="CYE1876" s="2477"/>
      <c r="CYF1876" s="2477"/>
      <c r="CYG1876" s="2477"/>
      <c r="CYH1876" s="2477"/>
      <c r="CYI1876" s="2477"/>
      <c r="CYJ1876" s="2477"/>
      <c r="CYK1876" s="2477"/>
      <c r="CYL1876" s="2477"/>
      <c r="CYM1876" s="2477"/>
      <c r="CYN1876" s="2477"/>
      <c r="CYO1876" s="2477"/>
      <c r="CYP1876" s="2477"/>
      <c r="CYQ1876" s="2477"/>
      <c r="CYR1876" s="2477"/>
      <c r="CYS1876" s="2477"/>
      <c r="CYT1876" s="2477"/>
      <c r="CYU1876" s="2477"/>
      <c r="CYV1876" s="2477"/>
      <c r="CYW1876" s="2477"/>
      <c r="CYX1876" s="2477"/>
      <c r="CYY1876" s="2477"/>
      <c r="CYZ1876" s="2477"/>
      <c r="CZA1876" s="2477"/>
      <c r="CZB1876" s="2477"/>
      <c r="CZC1876" s="2477"/>
      <c r="CZD1876" s="2477"/>
      <c r="CZE1876" s="2477"/>
      <c r="CZF1876" s="2477"/>
      <c r="CZG1876" s="2477"/>
      <c r="CZH1876" s="2477"/>
      <c r="CZI1876" s="2477"/>
      <c r="CZJ1876" s="2477"/>
      <c r="CZK1876" s="2477"/>
      <c r="CZL1876" s="2477"/>
      <c r="CZM1876" s="2477"/>
      <c r="CZN1876" s="2477"/>
      <c r="CZO1876" s="2477"/>
      <c r="CZP1876" s="2477"/>
      <c r="CZQ1876" s="2477"/>
      <c r="CZR1876" s="2477"/>
      <c r="CZS1876" s="2477"/>
      <c r="CZT1876" s="2477"/>
      <c r="CZU1876" s="2477"/>
      <c r="CZV1876" s="2477"/>
      <c r="CZW1876" s="2477"/>
      <c r="CZX1876" s="2477"/>
      <c r="CZY1876" s="2477"/>
      <c r="CZZ1876" s="2477"/>
      <c r="DAA1876" s="2477"/>
      <c r="DAB1876" s="2477"/>
      <c r="DAC1876" s="2477"/>
      <c r="DAD1876" s="2477"/>
      <c r="DAE1876" s="2477"/>
      <c r="DAF1876" s="2477"/>
      <c r="DAG1876" s="2477"/>
      <c r="DAH1876" s="2477"/>
      <c r="DAI1876" s="2477"/>
      <c r="DAJ1876" s="2477"/>
      <c r="DAK1876" s="2477"/>
      <c r="DAL1876" s="2477"/>
      <c r="DAM1876" s="2477"/>
      <c r="DAN1876" s="2477"/>
      <c r="DAO1876" s="2477"/>
      <c r="DAP1876" s="2477"/>
      <c r="DAQ1876" s="2477"/>
      <c r="DAR1876" s="2477"/>
      <c r="DAS1876" s="2477"/>
      <c r="DAT1876" s="2477"/>
      <c r="DAU1876" s="2477"/>
      <c r="DAV1876" s="2477"/>
      <c r="DAW1876" s="2477"/>
      <c r="DAX1876" s="2477"/>
      <c r="DAY1876" s="2477"/>
      <c r="DAZ1876" s="2477"/>
      <c r="DBA1876" s="2477"/>
      <c r="DBB1876" s="2477"/>
      <c r="DBC1876" s="2477"/>
      <c r="DBD1876" s="2477"/>
      <c r="DBE1876" s="2477"/>
      <c r="DBF1876" s="2477"/>
      <c r="DBG1876" s="2477"/>
      <c r="DBH1876" s="2477"/>
      <c r="DBI1876" s="2477"/>
      <c r="DBJ1876" s="2477"/>
      <c r="DBK1876" s="2477"/>
      <c r="DBL1876" s="2477"/>
      <c r="DBM1876" s="2477"/>
      <c r="DBN1876" s="2477"/>
      <c r="DBO1876" s="2477"/>
      <c r="DBP1876" s="2477"/>
      <c r="DBQ1876" s="2477"/>
      <c r="DBR1876" s="2477"/>
      <c r="DBS1876" s="2477"/>
      <c r="DBT1876" s="2477"/>
      <c r="DBU1876" s="2477"/>
      <c r="DBV1876" s="2477"/>
      <c r="DBW1876" s="2477"/>
      <c r="DBX1876" s="2477"/>
      <c r="DBY1876" s="2477"/>
      <c r="DBZ1876" s="2477"/>
      <c r="DCA1876" s="2477"/>
      <c r="DCB1876" s="2477"/>
      <c r="DCC1876" s="2477"/>
      <c r="DCD1876" s="2477"/>
      <c r="DCE1876" s="2477"/>
      <c r="DCF1876" s="2477"/>
      <c r="DCG1876" s="2477"/>
      <c r="DCH1876" s="2477"/>
      <c r="DCI1876" s="2477"/>
      <c r="DCJ1876" s="2477"/>
      <c r="DCK1876" s="2477"/>
      <c r="DCL1876" s="2477"/>
      <c r="DCM1876" s="2477"/>
      <c r="DCN1876" s="2477"/>
      <c r="DCO1876" s="2477"/>
      <c r="DCP1876" s="2477"/>
      <c r="DCQ1876" s="2477"/>
      <c r="DCR1876" s="2477"/>
      <c r="DCS1876" s="2477"/>
      <c r="DCT1876" s="2477"/>
      <c r="DCU1876" s="2477"/>
      <c r="DCV1876" s="2477"/>
      <c r="DCW1876" s="2477"/>
      <c r="DCX1876" s="2477"/>
      <c r="DCY1876" s="2477"/>
      <c r="DCZ1876" s="2477"/>
      <c r="DDA1876" s="2477"/>
      <c r="DDB1876" s="2477"/>
      <c r="DDC1876" s="2477"/>
      <c r="DDD1876" s="2477"/>
      <c r="DDE1876" s="2477"/>
      <c r="DDF1876" s="2477"/>
      <c r="DDG1876" s="2477"/>
      <c r="DDH1876" s="2477"/>
      <c r="DDI1876" s="2477"/>
      <c r="DDJ1876" s="2477"/>
      <c r="DDK1876" s="2477"/>
      <c r="DDL1876" s="2477"/>
      <c r="DDM1876" s="2477"/>
      <c r="DDN1876" s="2477"/>
      <c r="DDO1876" s="2477"/>
      <c r="DDP1876" s="2477"/>
      <c r="DDQ1876" s="2477"/>
      <c r="DDR1876" s="2477"/>
      <c r="DDS1876" s="2477"/>
      <c r="DDT1876" s="2477"/>
      <c r="DDU1876" s="2477"/>
      <c r="DDV1876" s="2477"/>
      <c r="DDW1876" s="2477"/>
      <c r="DDX1876" s="2477"/>
      <c r="DDY1876" s="2477"/>
      <c r="DDZ1876" s="2477"/>
      <c r="DEA1876" s="2477"/>
      <c r="DEB1876" s="2477"/>
      <c r="DEC1876" s="2477"/>
      <c r="DED1876" s="2477"/>
      <c r="DEE1876" s="2477"/>
      <c r="DEF1876" s="2477"/>
      <c r="DEG1876" s="2477"/>
      <c r="DEH1876" s="2477"/>
      <c r="DEI1876" s="2477"/>
      <c r="DEJ1876" s="2477"/>
      <c r="DEK1876" s="2477"/>
      <c r="DEL1876" s="2477"/>
      <c r="DEM1876" s="2477"/>
      <c r="DEN1876" s="2477"/>
      <c r="DEO1876" s="2477"/>
      <c r="DEP1876" s="2477"/>
      <c r="DEQ1876" s="2477"/>
      <c r="DER1876" s="2477"/>
      <c r="DES1876" s="2477"/>
      <c r="DET1876" s="2477"/>
      <c r="DEU1876" s="2477"/>
      <c r="DEV1876" s="2477"/>
      <c r="DEW1876" s="2477"/>
      <c r="DEX1876" s="2477"/>
      <c r="DEY1876" s="2477"/>
      <c r="DEZ1876" s="2477"/>
      <c r="DFA1876" s="2477"/>
      <c r="DFB1876" s="2477"/>
      <c r="DFC1876" s="2477"/>
      <c r="DFD1876" s="2477"/>
      <c r="DFE1876" s="2477"/>
      <c r="DFF1876" s="2477"/>
      <c r="DFG1876" s="2477"/>
      <c r="DFH1876" s="2477"/>
      <c r="DFI1876" s="2477"/>
      <c r="DFJ1876" s="2477"/>
      <c r="DFK1876" s="2477"/>
      <c r="DFL1876" s="2477"/>
      <c r="DFM1876" s="2477"/>
      <c r="DFN1876" s="2477"/>
      <c r="DFO1876" s="2477"/>
      <c r="DFP1876" s="2477"/>
      <c r="DFQ1876" s="2477"/>
      <c r="DFR1876" s="2477"/>
      <c r="DFS1876" s="2477"/>
      <c r="DFT1876" s="2477"/>
      <c r="DFU1876" s="2477"/>
      <c r="DFV1876" s="2477"/>
      <c r="DFW1876" s="2477"/>
      <c r="DFX1876" s="2477"/>
      <c r="DFY1876" s="2477"/>
      <c r="DFZ1876" s="2477"/>
      <c r="DGA1876" s="2477"/>
      <c r="DGB1876" s="2477"/>
      <c r="DGC1876" s="2477"/>
      <c r="DGD1876" s="2477"/>
      <c r="DGE1876" s="2477"/>
      <c r="DGF1876" s="2477"/>
      <c r="DGG1876" s="2477"/>
      <c r="DGH1876" s="2477"/>
      <c r="DGI1876" s="2477"/>
      <c r="DGJ1876" s="2477"/>
      <c r="DGK1876" s="2477"/>
      <c r="DGL1876" s="2477"/>
      <c r="DGM1876" s="2477"/>
      <c r="DGN1876" s="2477"/>
      <c r="DGO1876" s="2477"/>
      <c r="DGP1876" s="2477"/>
      <c r="DGQ1876" s="2477"/>
      <c r="DGR1876" s="2477"/>
      <c r="DGS1876" s="2477"/>
      <c r="DGT1876" s="2477"/>
      <c r="DGU1876" s="2477"/>
      <c r="DGV1876" s="2477"/>
      <c r="DGW1876" s="2477"/>
      <c r="DGX1876" s="2477"/>
      <c r="DGY1876" s="2477"/>
      <c r="DGZ1876" s="2477"/>
      <c r="DHA1876" s="2477"/>
      <c r="DHB1876" s="2477"/>
      <c r="DHC1876" s="2477"/>
      <c r="DHD1876" s="2477"/>
      <c r="DHE1876" s="2477"/>
      <c r="DHF1876" s="2477"/>
      <c r="DHG1876" s="2477"/>
      <c r="DHH1876" s="2477"/>
      <c r="DHI1876" s="2477"/>
      <c r="DHJ1876" s="2477"/>
      <c r="DHK1876" s="2477"/>
      <c r="DHL1876" s="2477"/>
      <c r="DHM1876" s="2477"/>
      <c r="DHN1876" s="2477"/>
      <c r="DHO1876" s="2477"/>
      <c r="DHP1876" s="2477"/>
      <c r="DHQ1876" s="2477"/>
      <c r="DHR1876" s="2477"/>
      <c r="DHS1876" s="2477"/>
      <c r="DHT1876" s="2477"/>
      <c r="DHU1876" s="2477"/>
      <c r="DHV1876" s="2477"/>
      <c r="DHW1876" s="2477"/>
      <c r="DHX1876" s="2477"/>
      <c r="DHY1876" s="2477"/>
      <c r="DHZ1876" s="2477"/>
      <c r="DIA1876" s="2477"/>
      <c r="DIB1876" s="2477"/>
      <c r="DIC1876" s="2477"/>
      <c r="DID1876" s="2477"/>
      <c r="DIE1876" s="2477"/>
      <c r="DIF1876" s="2477"/>
      <c r="DIG1876" s="2477"/>
      <c r="DIH1876" s="2477"/>
      <c r="DII1876" s="2477"/>
      <c r="DIJ1876" s="2477"/>
      <c r="DIK1876" s="2477"/>
      <c r="DIL1876" s="2477"/>
      <c r="DIM1876" s="2477"/>
      <c r="DIN1876" s="2477"/>
      <c r="DIO1876" s="2477"/>
      <c r="DIP1876" s="2477"/>
      <c r="DIQ1876" s="2477"/>
      <c r="DIR1876" s="2477"/>
      <c r="DIS1876" s="2477"/>
      <c r="DIT1876" s="2477"/>
      <c r="DIU1876" s="2477"/>
      <c r="DIV1876" s="2477"/>
      <c r="DIW1876" s="2477"/>
      <c r="DIX1876" s="2477"/>
      <c r="DIY1876" s="2477"/>
      <c r="DIZ1876" s="2477"/>
      <c r="DJA1876" s="2477"/>
      <c r="DJB1876" s="2477"/>
      <c r="DJC1876" s="2477"/>
      <c r="DJD1876" s="2477"/>
      <c r="DJE1876" s="2477"/>
      <c r="DJF1876" s="2477"/>
      <c r="DJG1876" s="2477"/>
      <c r="DJH1876" s="2477"/>
      <c r="DJI1876" s="2477"/>
      <c r="DJJ1876" s="2477"/>
      <c r="DJK1876" s="2477"/>
      <c r="DJL1876" s="2477"/>
      <c r="DJM1876" s="2477"/>
      <c r="DJN1876" s="2477"/>
      <c r="DJO1876" s="2477"/>
      <c r="DJP1876" s="2477"/>
      <c r="DJQ1876" s="2477"/>
      <c r="DJR1876" s="2477"/>
      <c r="DJS1876" s="2477"/>
      <c r="DJT1876" s="2477"/>
      <c r="DJU1876" s="2477"/>
      <c r="DJV1876" s="2477"/>
      <c r="DJW1876" s="2477"/>
      <c r="DJX1876" s="2477"/>
      <c r="DJY1876" s="2477"/>
      <c r="DJZ1876" s="2477"/>
      <c r="DKA1876" s="2477"/>
      <c r="DKB1876" s="2477"/>
      <c r="DKC1876" s="2477"/>
      <c r="DKD1876" s="2477"/>
      <c r="DKE1876" s="2477"/>
      <c r="DKF1876" s="2477"/>
      <c r="DKG1876" s="2477"/>
      <c r="DKH1876" s="2477"/>
      <c r="DKI1876" s="2477"/>
      <c r="DKJ1876" s="2477"/>
      <c r="DKK1876" s="2477"/>
      <c r="DKL1876" s="2477"/>
      <c r="DKM1876" s="2477"/>
      <c r="DKN1876" s="2477"/>
      <c r="DKO1876" s="2477"/>
      <c r="DKP1876" s="2477"/>
      <c r="DKQ1876" s="2477"/>
      <c r="DKR1876" s="2477"/>
      <c r="DKS1876" s="2477"/>
      <c r="DKT1876" s="2477"/>
      <c r="DKU1876" s="2477"/>
      <c r="DKV1876" s="2477"/>
      <c r="DKW1876" s="2477"/>
      <c r="DKX1876" s="2477"/>
      <c r="DKY1876" s="2477"/>
      <c r="DKZ1876" s="2477"/>
      <c r="DLA1876" s="2477"/>
      <c r="DLB1876" s="2477"/>
      <c r="DLC1876" s="2477"/>
      <c r="DLD1876" s="2477"/>
      <c r="DLE1876" s="2477"/>
      <c r="DLF1876" s="2477"/>
      <c r="DLG1876" s="2477"/>
      <c r="DLH1876" s="2477"/>
      <c r="DLI1876" s="2477"/>
      <c r="DLJ1876" s="2477"/>
      <c r="DLK1876" s="2477"/>
      <c r="DLL1876" s="2477"/>
      <c r="DLM1876" s="2477"/>
      <c r="DLN1876" s="2477"/>
      <c r="DLO1876" s="2477"/>
      <c r="DLP1876" s="2477"/>
      <c r="DLQ1876" s="2477"/>
      <c r="DLR1876" s="2477"/>
      <c r="DLS1876" s="2477"/>
      <c r="DLT1876" s="2477"/>
      <c r="DLU1876" s="2477"/>
      <c r="DLV1876" s="2477"/>
      <c r="DLW1876" s="2477"/>
      <c r="DLX1876" s="2477"/>
      <c r="DLY1876" s="2477"/>
      <c r="DLZ1876" s="2477"/>
      <c r="DMA1876" s="2477"/>
      <c r="DMB1876" s="2477"/>
      <c r="DMC1876" s="2477"/>
      <c r="DMD1876" s="2477"/>
      <c r="DME1876" s="2477"/>
      <c r="DMF1876" s="2477"/>
      <c r="DMG1876" s="2477"/>
      <c r="DMH1876" s="2477"/>
      <c r="DMI1876" s="2477"/>
      <c r="DMJ1876" s="2477"/>
      <c r="DMK1876" s="2477"/>
      <c r="DML1876" s="2477"/>
      <c r="DMM1876" s="2477"/>
      <c r="DMN1876" s="2477"/>
      <c r="DMO1876" s="2477"/>
      <c r="DMP1876" s="2477"/>
      <c r="DMQ1876" s="2477"/>
      <c r="DMR1876" s="2477"/>
      <c r="DMS1876" s="2477"/>
      <c r="DMT1876" s="2477"/>
      <c r="DMU1876" s="2477"/>
      <c r="DMV1876" s="2477"/>
      <c r="DMW1876" s="2477"/>
      <c r="DMX1876" s="2477"/>
      <c r="DMY1876" s="2477"/>
      <c r="DMZ1876" s="2477"/>
      <c r="DNA1876" s="2477"/>
      <c r="DNB1876" s="2477"/>
      <c r="DNC1876" s="2477"/>
      <c r="DND1876" s="2477"/>
      <c r="DNE1876" s="2477"/>
      <c r="DNF1876" s="2477"/>
      <c r="DNG1876" s="2477"/>
      <c r="DNH1876" s="2477"/>
      <c r="DNI1876" s="2477"/>
      <c r="DNJ1876" s="2477"/>
      <c r="DNK1876" s="2477"/>
      <c r="DNL1876" s="2477"/>
      <c r="DNM1876" s="2477"/>
      <c r="DNN1876" s="2477"/>
      <c r="DNO1876" s="2477"/>
      <c r="DNP1876" s="2477"/>
      <c r="DNQ1876" s="2477"/>
      <c r="DNR1876" s="2477"/>
      <c r="DNS1876" s="2477"/>
      <c r="DNT1876" s="2477"/>
      <c r="DNU1876" s="2477"/>
      <c r="DNV1876" s="2477"/>
      <c r="DNW1876" s="2477"/>
      <c r="DNX1876" s="2477"/>
      <c r="DNY1876" s="2477"/>
      <c r="DNZ1876" s="2477"/>
      <c r="DOA1876" s="2477"/>
      <c r="DOB1876" s="2477"/>
      <c r="DOC1876" s="2477"/>
      <c r="DOD1876" s="2477"/>
      <c r="DOE1876" s="2477"/>
      <c r="DOF1876" s="2477"/>
      <c r="DOG1876" s="2477"/>
      <c r="DOH1876" s="2477"/>
      <c r="DOI1876" s="2477"/>
      <c r="DOJ1876" s="2477"/>
      <c r="DOK1876" s="2477"/>
      <c r="DOL1876" s="2477"/>
      <c r="DOM1876" s="2477"/>
      <c r="DON1876" s="2477"/>
      <c r="DOO1876" s="2477"/>
      <c r="DOP1876" s="2477"/>
      <c r="DOQ1876" s="2477"/>
      <c r="DOR1876" s="2477"/>
      <c r="DOS1876" s="2477"/>
      <c r="DOT1876" s="2477"/>
      <c r="DOU1876" s="2477"/>
      <c r="DOV1876" s="2477"/>
      <c r="DOW1876" s="2477"/>
      <c r="DOX1876" s="2477"/>
      <c r="DOY1876" s="2477"/>
      <c r="DOZ1876" s="2477"/>
      <c r="DPA1876" s="2477"/>
      <c r="DPB1876" s="2477"/>
      <c r="DPC1876" s="2477"/>
      <c r="DPD1876" s="2477"/>
      <c r="DPE1876" s="2477"/>
      <c r="DPF1876" s="2477"/>
      <c r="DPG1876" s="2477"/>
      <c r="DPH1876" s="2477"/>
      <c r="DPI1876" s="2477"/>
      <c r="DPJ1876" s="2477"/>
      <c r="DPK1876" s="2477"/>
      <c r="DPL1876" s="2477"/>
      <c r="DPM1876" s="2477"/>
      <c r="DPN1876" s="2477"/>
      <c r="DPO1876" s="2477"/>
      <c r="DPP1876" s="2477"/>
      <c r="DPQ1876" s="2477"/>
      <c r="DPR1876" s="2477"/>
      <c r="DPS1876" s="2477"/>
      <c r="DPT1876" s="2477"/>
      <c r="DPU1876" s="2477"/>
      <c r="DPV1876" s="2477"/>
      <c r="DPW1876" s="2477"/>
      <c r="DPX1876" s="2477"/>
      <c r="DPY1876" s="2477"/>
      <c r="DPZ1876" s="2477"/>
      <c r="DQA1876" s="2477"/>
      <c r="DQB1876" s="2477"/>
      <c r="DQC1876" s="2477"/>
      <c r="DQD1876" s="2477"/>
      <c r="DQE1876" s="2477"/>
      <c r="DQF1876" s="2477"/>
      <c r="DQG1876" s="2477"/>
      <c r="DQH1876" s="2477"/>
      <c r="DQI1876" s="2477"/>
      <c r="DQJ1876" s="2477"/>
      <c r="DQK1876" s="2477"/>
      <c r="DQL1876" s="2477"/>
      <c r="DQM1876" s="2477"/>
      <c r="DQN1876" s="2477"/>
      <c r="DQO1876" s="2477"/>
      <c r="DQP1876" s="2477"/>
      <c r="DQQ1876" s="2477"/>
      <c r="DQR1876" s="2477"/>
      <c r="DQS1876" s="2477"/>
      <c r="DQT1876" s="2477"/>
      <c r="DQU1876" s="2477"/>
      <c r="DQV1876" s="2477"/>
      <c r="DQW1876" s="2477"/>
      <c r="DQX1876" s="2477"/>
      <c r="DQY1876" s="2477"/>
      <c r="DQZ1876" s="2477"/>
      <c r="DRA1876" s="2477"/>
      <c r="DRB1876" s="2477"/>
      <c r="DRC1876" s="2477"/>
      <c r="DRD1876" s="2477"/>
      <c r="DRE1876" s="2477"/>
      <c r="DRF1876" s="2477"/>
      <c r="DRG1876" s="2477"/>
      <c r="DRH1876" s="2477"/>
      <c r="DRI1876" s="2477"/>
      <c r="DRJ1876" s="2477"/>
      <c r="DRK1876" s="2477"/>
      <c r="DRL1876" s="2477"/>
      <c r="DRM1876" s="2477"/>
      <c r="DRN1876" s="2477"/>
      <c r="DRO1876" s="2477"/>
      <c r="DRP1876" s="2477"/>
      <c r="DRQ1876" s="2477"/>
      <c r="DRR1876" s="2477"/>
      <c r="DRS1876" s="2477"/>
      <c r="DRT1876" s="2477"/>
      <c r="DRU1876" s="2477"/>
      <c r="DRV1876" s="2477"/>
      <c r="DRW1876" s="2477"/>
      <c r="DRX1876" s="2477"/>
      <c r="DRY1876" s="2477"/>
      <c r="DRZ1876" s="2477"/>
      <c r="DSA1876" s="2477"/>
      <c r="DSB1876" s="2477"/>
      <c r="DSC1876" s="2477"/>
      <c r="DSD1876" s="2477"/>
      <c r="DSE1876" s="2477"/>
      <c r="DSF1876" s="2477"/>
      <c r="DSG1876" s="2477"/>
      <c r="DSH1876" s="2477"/>
      <c r="DSI1876" s="2477"/>
      <c r="DSJ1876" s="2477"/>
      <c r="DSK1876" s="2477"/>
      <c r="DSL1876" s="2477"/>
      <c r="DSM1876" s="2477"/>
      <c r="DSN1876" s="2477"/>
      <c r="DSO1876" s="2477"/>
      <c r="DSP1876" s="2477"/>
      <c r="DSQ1876" s="2477"/>
      <c r="DSR1876" s="2477"/>
      <c r="DSS1876" s="2477"/>
      <c r="DST1876" s="2477"/>
      <c r="DSU1876" s="2477"/>
      <c r="DSV1876" s="2477"/>
      <c r="DSW1876" s="2477"/>
      <c r="DSX1876" s="2477"/>
      <c r="DSY1876" s="2477"/>
      <c r="DSZ1876" s="2477"/>
      <c r="DTA1876" s="2477"/>
      <c r="DTB1876" s="2477"/>
      <c r="DTC1876" s="2477"/>
      <c r="DTD1876" s="2477"/>
      <c r="DTE1876" s="2477"/>
      <c r="DTF1876" s="2477"/>
      <c r="DTG1876" s="2477"/>
      <c r="DTH1876" s="2477"/>
      <c r="DTI1876" s="2477"/>
      <c r="DTJ1876" s="2477"/>
      <c r="DTK1876" s="2477"/>
      <c r="DTL1876" s="2477"/>
      <c r="DTM1876" s="2477"/>
      <c r="DTN1876" s="2477"/>
      <c r="DTO1876" s="2477"/>
      <c r="DTP1876" s="2477"/>
      <c r="DTQ1876" s="2477"/>
      <c r="DTR1876" s="2477"/>
      <c r="DTS1876" s="2477"/>
      <c r="DTT1876" s="2477"/>
      <c r="DTU1876" s="2477"/>
      <c r="DTV1876" s="2477"/>
      <c r="DTW1876" s="2477"/>
      <c r="DTX1876" s="2477"/>
      <c r="DTY1876" s="2477"/>
      <c r="DTZ1876" s="2477"/>
      <c r="DUA1876" s="2477"/>
      <c r="DUB1876" s="2477"/>
      <c r="DUC1876" s="2477"/>
      <c r="DUD1876" s="2477"/>
      <c r="DUE1876" s="2477"/>
      <c r="DUF1876" s="2477"/>
      <c r="DUG1876" s="2477"/>
      <c r="DUH1876" s="2477"/>
      <c r="DUI1876" s="2477"/>
      <c r="DUJ1876" s="2477"/>
      <c r="DUK1876" s="2477"/>
      <c r="DUL1876" s="2477"/>
      <c r="DUM1876" s="2477"/>
      <c r="DUN1876" s="2477"/>
      <c r="DUO1876" s="2477"/>
      <c r="DUP1876" s="2477"/>
      <c r="DUQ1876" s="2477"/>
      <c r="DUR1876" s="2477"/>
      <c r="DUS1876" s="2477"/>
      <c r="DUT1876" s="2477"/>
      <c r="DUU1876" s="2477"/>
      <c r="DUV1876" s="2477"/>
      <c r="DUW1876" s="2477"/>
      <c r="DUX1876" s="2477"/>
      <c r="DUY1876" s="2477"/>
      <c r="DUZ1876" s="2477"/>
      <c r="DVA1876" s="2477"/>
      <c r="DVB1876" s="2477"/>
      <c r="DVC1876" s="2477"/>
      <c r="DVD1876" s="2477"/>
      <c r="DVE1876" s="2477"/>
      <c r="DVF1876" s="2477"/>
      <c r="DVG1876" s="2477"/>
      <c r="DVH1876" s="2477"/>
      <c r="DVI1876" s="2477"/>
      <c r="DVJ1876" s="2477"/>
      <c r="DVK1876" s="2477"/>
      <c r="DVL1876" s="2477"/>
      <c r="DVM1876" s="2477"/>
      <c r="DVN1876" s="2477"/>
      <c r="DVO1876" s="2477"/>
      <c r="DVP1876" s="2477"/>
      <c r="DVQ1876" s="2477"/>
      <c r="DVR1876" s="2477"/>
      <c r="DVS1876" s="2477"/>
      <c r="DVT1876" s="2477"/>
      <c r="DVU1876" s="2477"/>
      <c r="DVV1876" s="2477"/>
      <c r="DVW1876" s="2477"/>
      <c r="DVX1876" s="2477"/>
      <c r="DVY1876" s="2477"/>
      <c r="DVZ1876" s="2477"/>
      <c r="DWA1876" s="2477"/>
      <c r="DWB1876" s="2477"/>
      <c r="DWC1876" s="2477"/>
      <c r="DWD1876" s="2477"/>
      <c r="DWE1876" s="2477"/>
      <c r="DWF1876" s="2477"/>
      <c r="DWG1876" s="2477"/>
      <c r="DWH1876" s="2477"/>
      <c r="DWI1876" s="2477"/>
      <c r="DWJ1876" s="2477"/>
      <c r="DWK1876" s="2477"/>
      <c r="DWL1876" s="2477"/>
      <c r="DWM1876" s="2477"/>
      <c r="DWN1876" s="2477"/>
      <c r="DWO1876" s="2477"/>
      <c r="DWP1876" s="2477"/>
      <c r="DWQ1876" s="2477"/>
      <c r="DWR1876" s="2477"/>
      <c r="DWS1876" s="2477"/>
      <c r="DWT1876" s="2477"/>
      <c r="DWU1876" s="2477"/>
      <c r="DWV1876" s="2477"/>
      <c r="DWW1876" s="2477"/>
      <c r="DWX1876" s="2477"/>
      <c r="DWY1876" s="2477"/>
      <c r="DWZ1876" s="2477"/>
      <c r="DXA1876" s="2477"/>
      <c r="DXB1876" s="2477"/>
      <c r="DXC1876" s="2477"/>
      <c r="DXD1876" s="2477"/>
      <c r="DXE1876" s="2477"/>
      <c r="DXF1876" s="2477"/>
      <c r="DXG1876" s="2477"/>
      <c r="DXH1876" s="2477"/>
      <c r="DXI1876" s="2477"/>
      <c r="DXJ1876" s="2477"/>
      <c r="DXK1876" s="2477"/>
      <c r="DXL1876" s="2477"/>
      <c r="DXM1876" s="2477"/>
      <c r="DXN1876" s="2477"/>
      <c r="DXO1876" s="2477"/>
      <c r="DXP1876" s="2477"/>
      <c r="DXQ1876" s="2477"/>
      <c r="DXR1876" s="2477"/>
      <c r="DXS1876" s="2477"/>
      <c r="DXT1876" s="2477"/>
      <c r="DXU1876" s="2477"/>
      <c r="DXV1876" s="2477"/>
      <c r="DXW1876" s="2477"/>
      <c r="DXX1876" s="2477"/>
      <c r="DXY1876" s="2477"/>
      <c r="DXZ1876" s="2477"/>
      <c r="DYA1876" s="2477"/>
      <c r="DYB1876" s="2477"/>
      <c r="DYC1876" s="2477"/>
      <c r="DYD1876" s="2477"/>
      <c r="DYE1876" s="2477"/>
      <c r="DYF1876" s="2477"/>
      <c r="DYG1876" s="2477"/>
      <c r="DYH1876" s="2477"/>
      <c r="DYI1876" s="2477"/>
      <c r="DYJ1876" s="2477"/>
      <c r="DYK1876" s="2477"/>
      <c r="DYL1876" s="2477"/>
      <c r="DYM1876" s="2477"/>
      <c r="DYN1876" s="2477"/>
      <c r="DYO1876" s="2477"/>
      <c r="DYP1876" s="2477"/>
      <c r="DYQ1876" s="2477"/>
      <c r="DYR1876" s="2477"/>
      <c r="DYS1876" s="2477"/>
      <c r="DYT1876" s="2477"/>
      <c r="DYU1876" s="2477"/>
      <c r="DYV1876" s="2477"/>
      <c r="DYW1876" s="2477"/>
      <c r="DYX1876" s="2477"/>
      <c r="DYY1876" s="2477"/>
      <c r="DYZ1876" s="2477"/>
      <c r="DZA1876" s="2477"/>
      <c r="DZB1876" s="2477"/>
      <c r="DZC1876" s="2477"/>
      <c r="DZD1876" s="2477"/>
      <c r="DZE1876" s="2477"/>
      <c r="DZF1876" s="2477"/>
      <c r="DZG1876" s="2477"/>
      <c r="DZH1876" s="2477"/>
      <c r="DZI1876" s="2477"/>
      <c r="DZJ1876" s="2477"/>
      <c r="DZK1876" s="2477"/>
      <c r="DZL1876" s="2477"/>
      <c r="DZM1876" s="2477"/>
      <c r="DZN1876" s="2477"/>
      <c r="DZO1876" s="2477"/>
      <c r="DZP1876" s="2477"/>
      <c r="DZQ1876" s="2477"/>
      <c r="DZR1876" s="2477"/>
      <c r="DZS1876" s="2477"/>
      <c r="DZT1876" s="2477"/>
      <c r="DZU1876" s="2477"/>
      <c r="DZV1876" s="2477"/>
      <c r="DZW1876" s="2477"/>
      <c r="DZX1876" s="2477"/>
      <c r="DZY1876" s="2477"/>
      <c r="DZZ1876" s="2477"/>
      <c r="EAA1876" s="2477"/>
      <c r="EAB1876" s="2477"/>
      <c r="EAC1876" s="2477"/>
      <c r="EAD1876" s="2477"/>
      <c r="EAE1876" s="2477"/>
      <c r="EAF1876" s="2477"/>
      <c r="EAG1876" s="2477"/>
      <c r="EAH1876" s="2477"/>
      <c r="EAI1876" s="2477"/>
      <c r="EAJ1876" s="2477"/>
      <c r="EAK1876" s="2477"/>
      <c r="EAL1876" s="2477"/>
      <c r="EAM1876" s="2477"/>
      <c r="EAN1876" s="2477"/>
      <c r="EAO1876" s="2477"/>
      <c r="EAP1876" s="2477"/>
      <c r="EAQ1876" s="2477"/>
      <c r="EAR1876" s="2477"/>
      <c r="EAS1876" s="2477"/>
      <c r="EAT1876" s="2477"/>
      <c r="EAU1876" s="2477"/>
      <c r="EAV1876" s="2477"/>
      <c r="EAW1876" s="2477"/>
      <c r="EAX1876" s="2477"/>
      <c r="EAY1876" s="2477"/>
      <c r="EAZ1876" s="2477"/>
      <c r="EBA1876" s="2477"/>
      <c r="EBB1876" s="2477"/>
      <c r="EBC1876" s="2477"/>
      <c r="EBD1876" s="2477"/>
      <c r="EBE1876" s="2477"/>
      <c r="EBF1876" s="2477"/>
      <c r="EBG1876" s="2477"/>
      <c r="EBH1876" s="2477"/>
      <c r="EBI1876" s="2477"/>
      <c r="EBJ1876" s="2477"/>
      <c r="EBK1876" s="2477"/>
      <c r="EBL1876" s="2477"/>
      <c r="EBM1876" s="2477"/>
      <c r="EBN1876" s="2477"/>
      <c r="EBO1876" s="2477"/>
      <c r="EBP1876" s="2477"/>
      <c r="EBQ1876" s="2477"/>
      <c r="EBR1876" s="2477"/>
      <c r="EBS1876" s="2477"/>
      <c r="EBT1876" s="2477"/>
      <c r="EBU1876" s="2477"/>
      <c r="EBV1876" s="2477"/>
      <c r="EBW1876" s="2477"/>
      <c r="EBX1876" s="2477"/>
      <c r="EBY1876" s="2477"/>
      <c r="EBZ1876" s="2477"/>
      <c r="ECA1876" s="2477"/>
      <c r="ECB1876" s="2477"/>
      <c r="ECC1876" s="2477"/>
      <c r="ECD1876" s="2477"/>
      <c r="ECE1876" s="2477"/>
      <c r="ECF1876" s="2477"/>
      <c r="ECG1876" s="2477"/>
      <c r="ECH1876" s="2477"/>
      <c r="ECI1876" s="2477"/>
      <c r="ECJ1876" s="2477"/>
      <c r="ECK1876" s="2477"/>
      <c r="ECL1876" s="2477"/>
      <c r="ECM1876" s="2477"/>
      <c r="ECN1876" s="2477"/>
      <c r="ECO1876" s="2477"/>
      <c r="ECP1876" s="2477"/>
      <c r="ECQ1876" s="2477"/>
      <c r="ECR1876" s="2477"/>
      <c r="ECS1876" s="2477"/>
      <c r="ECT1876" s="2477"/>
      <c r="ECU1876" s="2477"/>
      <c r="ECV1876" s="2477"/>
      <c r="ECW1876" s="2477"/>
      <c r="ECX1876" s="2477"/>
      <c r="ECY1876" s="2477"/>
      <c r="ECZ1876" s="2477"/>
      <c r="EDA1876" s="2477"/>
      <c r="EDB1876" s="2477"/>
      <c r="EDC1876" s="2477"/>
      <c r="EDD1876" s="2477"/>
      <c r="EDE1876" s="2477"/>
      <c r="EDF1876" s="2477"/>
      <c r="EDG1876" s="2477"/>
      <c r="EDH1876" s="2477"/>
      <c r="EDI1876" s="2477"/>
      <c r="EDJ1876" s="2477"/>
      <c r="EDK1876" s="2477"/>
      <c r="EDL1876" s="2477"/>
      <c r="EDM1876" s="2477"/>
      <c r="EDN1876" s="2477"/>
      <c r="EDO1876" s="2477"/>
      <c r="EDP1876" s="2477"/>
      <c r="EDQ1876" s="2477"/>
      <c r="EDR1876" s="2477"/>
      <c r="EDS1876" s="2477"/>
      <c r="EDT1876" s="2477"/>
      <c r="EDU1876" s="2477"/>
      <c r="EDV1876" s="2477"/>
      <c r="EDW1876" s="2477"/>
      <c r="EDX1876" s="2477"/>
      <c r="EDY1876" s="2477"/>
      <c r="EDZ1876" s="2477"/>
      <c r="EEA1876" s="2477"/>
      <c r="EEB1876" s="2477"/>
      <c r="EEC1876" s="2477"/>
      <c r="EED1876" s="2477"/>
      <c r="EEE1876" s="2477"/>
      <c r="EEF1876" s="2477"/>
      <c r="EEG1876" s="2477"/>
      <c r="EEH1876" s="2477"/>
      <c r="EEI1876" s="2477"/>
      <c r="EEJ1876" s="2477"/>
      <c r="EEK1876" s="2477"/>
      <c r="EEL1876" s="2477"/>
      <c r="EEM1876" s="2477"/>
      <c r="EEN1876" s="2477"/>
      <c r="EEO1876" s="2477"/>
      <c r="EEP1876" s="2477"/>
      <c r="EEQ1876" s="2477"/>
      <c r="EER1876" s="2477"/>
      <c r="EES1876" s="2477"/>
      <c r="EET1876" s="2477"/>
      <c r="EEU1876" s="2477"/>
      <c r="EEV1876" s="2477"/>
      <c r="EEW1876" s="2477"/>
      <c r="EEX1876" s="2477"/>
      <c r="EEY1876" s="2477"/>
      <c r="EEZ1876" s="2477"/>
      <c r="EFA1876" s="2477"/>
      <c r="EFB1876" s="2477"/>
      <c r="EFC1876" s="2477"/>
      <c r="EFD1876" s="2477"/>
      <c r="EFE1876" s="2477"/>
      <c r="EFF1876" s="2477"/>
      <c r="EFG1876" s="2477"/>
      <c r="EFH1876" s="2477"/>
      <c r="EFI1876" s="2477"/>
      <c r="EFJ1876" s="2477"/>
      <c r="EFK1876" s="2477"/>
      <c r="EFL1876" s="2477"/>
      <c r="EFM1876" s="2477"/>
      <c r="EFN1876" s="2477"/>
      <c r="EFO1876" s="2477"/>
      <c r="EFP1876" s="2477"/>
      <c r="EFQ1876" s="2477"/>
      <c r="EFR1876" s="2477"/>
      <c r="EFS1876" s="2477"/>
      <c r="EFT1876" s="2477"/>
      <c r="EFU1876" s="2477"/>
      <c r="EFV1876" s="2477"/>
      <c r="EFW1876" s="2477"/>
      <c r="EFX1876" s="2477"/>
      <c r="EFY1876" s="2477"/>
      <c r="EFZ1876" s="2477"/>
      <c r="EGA1876" s="2477"/>
      <c r="EGB1876" s="2477"/>
      <c r="EGC1876" s="2477"/>
      <c r="EGD1876" s="2477"/>
      <c r="EGE1876" s="2477"/>
      <c r="EGF1876" s="2477"/>
      <c r="EGG1876" s="2477"/>
      <c r="EGH1876" s="2477"/>
      <c r="EGI1876" s="2477"/>
      <c r="EGJ1876" s="2477"/>
      <c r="EGK1876" s="2477"/>
      <c r="EGL1876" s="2477"/>
      <c r="EGM1876" s="2477"/>
      <c r="EGN1876" s="2477"/>
      <c r="EGO1876" s="2477"/>
      <c r="EGP1876" s="2477"/>
      <c r="EGQ1876" s="2477"/>
      <c r="EGR1876" s="2477"/>
      <c r="EGS1876" s="2477"/>
      <c r="EGT1876" s="2477"/>
      <c r="EGU1876" s="2477"/>
      <c r="EGV1876" s="2477"/>
      <c r="EGW1876" s="2477"/>
      <c r="EGX1876" s="2477"/>
      <c r="EGY1876" s="2477"/>
      <c r="EGZ1876" s="2477"/>
      <c r="EHA1876" s="2477"/>
      <c r="EHB1876" s="2477"/>
      <c r="EHC1876" s="2477"/>
      <c r="EHD1876" s="2477"/>
      <c r="EHE1876" s="2477"/>
      <c r="EHF1876" s="2477"/>
      <c r="EHG1876" s="2477"/>
      <c r="EHH1876" s="2477"/>
      <c r="EHI1876" s="2477"/>
      <c r="EHJ1876" s="2477"/>
      <c r="EHK1876" s="2477"/>
      <c r="EHL1876" s="2477"/>
      <c r="EHM1876" s="2477"/>
      <c r="EHN1876" s="2477"/>
      <c r="EHO1876" s="2477"/>
      <c r="EHP1876" s="2477"/>
      <c r="EHQ1876" s="2477"/>
      <c r="EHR1876" s="2477"/>
      <c r="EHS1876" s="2477"/>
      <c r="EHT1876" s="2477"/>
      <c r="EHU1876" s="2477"/>
      <c r="EHV1876" s="2477"/>
      <c r="EHW1876" s="2477"/>
      <c r="EHX1876" s="2477"/>
      <c r="EHY1876" s="2477"/>
      <c r="EHZ1876" s="2477"/>
      <c r="EIA1876" s="2477"/>
      <c r="EIB1876" s="2477"/>
      <c r="EIC1876" s="2477"/>
      <c r="EID1876" s="2477"/>
      <c r="EIE1876" s="2477"/>
      <c r="EIF1876" s="2477"/>
      <c r="EIG1876" s="2477"/>
      <c r="EIH1876" s="2477"/>
      <c r="EII1876" s="2477"/>
      <c r="EIJ1876" s="2477"/>
      <c r="EIK1876" s="2477"/>
      <c r="EIL1876" s="2477"/>
      <c r="EIM1876" s="2477"/>
      <c r="EIN1876" s="2477"/>
      <c r="EIO1876" s="2477"/>
      <c r="EIP1876" s="2477"/>
      <c r="EIQ1876" s="2477"/>
      <c r="EIR1876" s="2477"/>
      <c r="EIS1876" s="2477"/>
      <c r="EIT1876" s="2477"/>
      <c r="EIU1876" s="2477"/>
      <c r="EIV1876" s="2477"/>
      <c r="EIW1876" s="2477"/>
      <c r="EIX1876" s="2477"/>
      <c r="EIY1876" s="2477"/>
      <c r="EIZ1876" s="2477"/>
      <c r="EJA1876" s="2477"/>
      <c r="EJB1876" s="2477"/>
      <c r="EJC1876" s="2477"/>
      <c r="EJD1876" s="2477"/>
      <c r="EJE1876" s="2477"/>
      <c r="EJF1876" s="2477"/>
      <c r="EJG1876" s="2477"/>
      <c r="EJH1876" s="2477"/>
      <c r="EJI1876" s="2477"/>
      <c r="EJJ1876" s="2477"/>
      <c r="EJK1876" s="2477"/>
      <c r="EJL1876" s="2477"/>
      <c r="EJM1876" s="2477"/>
      <c r="EJN1876" s="2477"/>
      <c r="EJO1876" s="2477"/>
      <c r="EJP1876" s="2477"/>
      <c r="EJQ1876" s="2477"/>
      <c r="EJR1876" s="2477"/>
      <c r="EJS1876" s="2477"/>
      <c r="EJT1876" s="2477"/>
      <c r="EJU1876" s="2477"/>
      <c r="EJV1876" s="2477"/>
      <c r="EJW1876" s="2477"/>
      <c r="EJX1876" s="2477"/>
      <c r="EJY1876" s="2477"/>
      <c r="EJZ1876" s="2477"/>
      <c r="EKA1876" s="2477"/>
      <c r="EKB1876" s="2477"/>
      <c r="EKC1876" s="2477"/>
      <c r="EKD1876" s="2477"/>
      <c r="EKE1876" s="2477"/>
      <c r="EKF1876" s="2477"/>
      <c r="EKG1876" s="2477"/>
      <c r="EKH1876" s="2477"/>
      <c r="EKI1876" s="2477"/>
      <c r="EKJ1876" s="2477"/>
      <c r="EKK1876" s="2477"/>
      <c r="EKL1876" s="2477"/>
      <c r="EKM1876" s="2477"/>
      <c r="EKN1876" s="2477"/>
      <c r="EKO1876" s="2477"/>
      <c r="EKP1876" s="2477"/>
      <c r="EKQ1876" s="2477"/>
      <c r="EKR1876" s="2477"/>
      <c r="EKS1876" s="2477"/>
      <c r="EKT1876" s="2477"/>
      <c r="EKU1876" s="2477"/>
      <c r="EKV1876" s="2477"/>
      <c r="EKW1876" s="2477"/>
      <c r="EKX1876" s="2477"/>
      <c r="EKY1876" s="2477"/>
      <c r="EKZ1876" s="2477"/>
      <c r="ELA1876" s="2477"/>
      <c r="ELB1876" s="2477"/>
      <c r="ELC1876" s="2477"/>
      <c r="ELD1876" s="2477"/>
      <c r="ELE1876" s="2477"/>
      <c r="ELF1876" s="2477"/>
      <c r="ELG1876" s="2477"/>
      <c r="ELH1876" s="2477"/>
      <c r="ELI1876" s="2477"/>
      <c r="ELJ1876" s="2477"/>
      <c r="ELK1876" s="2477"/>
      <c r="ELL1876" s="2477"/>
      <c r="ELM1876" s="2477"/>
      <c r="ELN1876" s="2477"/>
      <c r="ELO1876" s="2477"/>
      <c r="ELP1876" s="2477"/>
      <c r="ELQ1876" s="2477"/>
      <c r="ELR1876" s="2477"/>
      <c r="ELS1876" s="2477"/>
      <c r="ELT1876" s="2477"/>
      <c r="ELU1876" s="2477"/>
      <c r="ELV1876" s="2477"/>
      <c r="ELW1876" s="2477"/>
      <c r="ELX1876" s="2477"/>
      <c r="ELY1876" s="2477"/>
      <c r="ELZ1876" s="2477"/>
      <c r="EMA1876" s="2477"/>
      <c r="EMB1876" s="2477"/>
      <c r="EMC1876" s="2477"/>
      <c r="EMD1876" s="2477"/>
      <c r="EME1876" s="2477"/>
      <c r="EMF1876" s="2477"/>
      <c r="EMG1876" s="2477"/>
      <c r="EMH1876" s="2477"/>
      <c r="EMI1876" s="2477"/>
      <c r="EMJ1876" s="2477"/>
      <c r="EMK1876" s="2477"/>
      <c r="EML1876" s="2477"/>
      <c r="EMM1876" s="2477"/>
      <c r="EMN1876" s="2477"/>
      <c r="EMO1876" s="2477"/>
      <c r="EMP1876" s="2477"/>
      <c r="EMQ1876" s="2477"/>
      <c r="EMR1876" s="2477"/>
      <c r="EMS1876" s="2477"/>
      <c r="EMT1876" s="2477"/>
      <c r="EMU1876" s="2477"/>
      <c r="EMV1876" s="2477"/>
      <c r="EMW1876" s="2477"/>
      <c r="EMX1876" s="2477"/>
      <c r="EMY1876" s="2477"/>
      <c r="EMZ1876" s="2477"/>
      <c r="ENA1876" s="2477"/>
      <c r="ENB1876" s="2477"/>
      <c r="ENC1876" s="2477"/>
      <c r="END1876" s="2477"/>
      <c r="ENE1876" s="2477"/>
      <c r="ENF1876" s="2477"/>
      <c r="ENG1876" s="2477"/>
      <c r="ENH1876" s="2477"/>
      <c r="ENI1876" s="2477"/>
      <c r="ENJ1876" s="2477"/>
      <c r="ENK1876" s="2477"/>
      <c r="ENL1876" s="2477"/>
      <c r="ENM1876" s="2477"/>
      <c r="ENN1876" s="2477"/>
      <c r="ENO1876" s="2477"/>
      <c r="ENP1876" s="2477"/>
      <c r="ENQ1876" s="2477"/>
      <c r="ENR1876" s="2477"/>
      <c r="ENS1876" s="2477"/>
      <c r="ENT1876" s="2477"/>
      <c r="ENU1876" s="2477"/>
      <c r="ENV1876" s="2477"/>
      <c r="ENW1876" s="2477"/>
      <c r="ENX1876" s="2477"/>
      <c r="ENY1876" s="2477"/>
      <c r="ENZ1876" s="2477"/>
      <c r="EOA1876" s="2477"/>
      <c r="EOB1876" s="2477"/>
      <c r="EOC1876" s="2477"/>
      <c r="EOD1876" s="2477"/>
      <c r="EOE1876" s="2477"/>
      <c r="EOF1876" s="2477"/>
      <c r="EOG1876" s="2477"/>
      <c r="EOH1876" s="2477"/>
      <c r="EOI1876" s="2477"/>
      <c r="EOJ1876" s="2477"/>
      <c r="EOK1876" s="2477"/>
      <c r="EOL1876" s="2477"/>
      <c r="EOM1876" s="2477"/>
      <c r="EON1876" s="2477"/>
      <c r="EOO1876" s="2477"/>
      <c r="EOP1876" s="2477"/>
      <c r="EOQ1876" s="2477"/>
      <c r="EOR1876" s="2477"/>
      <c r="EOS1876" s="2477"/>
      <c r="EOT1876" s="2477"/>
      <c r="EOU1876" s="2477"/>
      <c r="EOV1876" s="2477"/>
      <c r="EOW1876" s="2477"/>
      <c r="EOX1876" s="2477"/>
      <c r="EOY1876" s="2477"/>
      <c r="EOZ1876" s="2477"/>
      <c r="EPA1876" s="2477"/>
      <c r="EPB1876" s="2477"/>
      <c r="EPC1876" s="2477"/>
      <c r="EPD1876" s="2477"/>
      <c r="EPE1876" s="2477"/>
      <c r="EPF1876" s="2477"/>
      <c r="EPG1876" s="2477"/>
      <c r="EPH1876" s="2477"/>
      <c r="EPI1876" s="2477"/>
      <c r="EPJ1876" s="2477"/>
      <c r="EPK1876" s="2477"/>
      <c r="EPL1876" s="2477"/>
      <c r="EPM1876" s="2477"/>
      <c r="EPN1876" s="2477"/>
      <c r="EPO1876" s="2477"/>
      <c r="EPP1876" s="2477"/>
      <c r="EPQ1876" s="2477"/>
      <c r="EPR1876" s="2477"/>
      <c r="EPS1876" s="2477"/>
      <c r="EPT1876" s="2477"/>
      <c r="EPU1876" s="2477"/>
      <c r="EPV1876" s="2477"/>
      <c r="EPW1876" s="2477"/>
      <c r="EPX1876" s="2477"/>
      <c r="EPY1876" s="2477"/>
      <c r="EPZ1876" s="2477"/>
      <c r="EQA1876" s="2477"/>
      <c r="EQB1876" s="2477"/>
      <c r="EQC1876" s="2477"/>
      <c r="EQD1876" s="2477"/>
      <c r="EQE1876" s="2477"/>
      <c r="EQF1876" s="2477"/>
      <c r="EQG1876" s="2477"/>
      <c r="EQH1876" s="2477"/>
      <c r="EQI1876" s="2477"/>
      <c r="EQJ1876" s="2477"/>
      <c r="EQK1876" s="2477"/>
      <c r="EQL1876" s="2477"/>
      <c r="EQM1876" s="2477"/>
      <c r="EQN1876" s="2477"/>
      <c r="EQO1876" s="2477"/>
      <c r="EQP1876" s="2477"/>
      <c r="EQQ1876" s="2477"/>
      <c r="EQR1876" s="2477"/>
      <c r="EQS1876" s="2477"/>
      <c r="EQT1876" s="2477"/>
      <c r="EQU1876" s="2477"/>
      <c r="EQV1876" s="2477"/>
      <c r="EQW1876" s="2477"/>
      <c r="EQX1876" s="2477"/>
      <c r="EQY1876" s="2477"/>
      <c r="EQZ1876" s="2477"/>
      <c r="ERA1876" s="2477"/>
      <c r="ERB1876" s="2477"/>
      <c r="ERC1876" s="2477"/>
      <c r="ERD1876" s="2477"/>
      <c r="ERE1876" s="2477"/>
      <c r="ERF1876" s="2477"/>
      <c r="ERG1876" s="2477"/>
      <c r="ERH1876" s="2477"/>
      <c r="ERI1876" s="2477"/>
      <c r="ERJ1876" s="2477"/>
      <c r="ERK1876" s="2477"/>
      <c r="ERL1876" s="2477"/>
      <c r="ERM1876" s="2477"/>
      <c r="ERN1876" s="2477"/>
      <c r="ERO1876" s="2477"/>
      <c r="ERP1876" s="2477"/>
      <c r="ERQ1876" s="2477"/>
      <c r="ERR1876" s="2477"/>
      <c r="ERS1876" s="2477"/>
      <c r="ERT1876" s="2477"/>
      <c r="ERU1876" s="2477"/>
      <c r="ERV1876" s="2477"/>
      <c r="ERW1876" s="2477"/>
      <c r="ERX1876" s="2477"/>
      <c r="ERY1876" s="2477"/>
      <c r="ERZ1876" s="2477"/>
      <c r="ESA1876" s="2477"/>
      <c r="ESB1876" s="2477"/>
      <c r="ESC1876" s="2477"/>
      <c r="ESD1876" s="2477"/>
      <c r="ESE1876" s="2477"/>
      <c r="ESF1876" s="2477"/>
      <c r="ESG1876" s="2477"/>
      <c r="ESH1876" s="2477"/>
      <c r="ESI1876" s="2477"/>
      <c r="ESJ1876" s="2477"/>
      <c r="ESK1876" s="2477"/>
      <c r="ESL1876" s="2477"/>
      <c r="ESM1876" s="2477"/>
      <c r="ESN1876" s="2477"/>
      <c r="ESO1876" s="2477"/>
      <c r="ESP1876" s="2477"/>
      <c r="ESQ1876" s="2477"/>
      <c r="ESR1876" s="2477"/>
      <c r="ESS1876" s="2477"/>
      <c r="EST1876" s="2477"/>
      <c r="ESU1876" s="2477"/>
      <c r="ESV1876" s="2477"/>
      <c r="ESW1876" s="2477"/>
      <c r="ESX1876" s="2477"/>
      <c r="ESY1876" s="2477"/>
      <c r="ESZ1876" s="2477"/>
      <c r="ETA1876" s="2477"/>
      <c r="ETB1876" s="2477"/>
      <c r="ETC1876" s="2477"/>
      <c r="ETD1876" s="2477"/>
      <c r="ETE1876" s="2477"/>
      <c r="ETF1876" s="2477"/>
      <c r="ETG1876" s="2477"/>
      <c r="ETH1876" s="2477"/>
      <c r="ETI1876" s="2477"/>
      <c r="ETJ1876" s="2477"/>
      <c r="ETK1876" s="2477"/>
      <c r="ETL1876" s="2477"/>
      <c r="ETM1876" s="2477"/>
      <c r="ETN1876" s="2477"/>
      <c r="ETO1876" s="2477"/>
      <c r="ETP1876" s="2477"/>
      <c r="ETQ1876" s="2477"/>
      <c r="ETR1876" s="2477"/>
      <c r="ETS1876" s="2477"/>
      <c r="ETT1876" s="2477"/>
      <c r="ETU1876" s="2477"/>
      <c r="ETV1876" s="2477"/>
      <c r="ETW1876" s="2477"/>
      <c r="ETX1876" s="2477"/>
      <c r="ETY1876" s="2477"/>
      <c r="ETZ1876" s="2477"/>
      <c r="EUA1876" s="2477"/>
      <c r="EUB1876" s="2477"/>
      <c r="EUC1876" s="2477"/>
      <c r="EUD1876" s="2477"/>
      <c r="EUE1876" s="2477"/>
      <c r="EUF1876" s="2477"/>
      <c r="EUG1876" s="2477"/>
      <c r="EUH1876" s="2477"/>
      <c r="EUI1876" s="2477"/>
      <c r="EUJ1876" s="2477"/>
      <c r="EUK1876" s="2477"/>
      <c r="EUL1876" s="2477"/>
      <c r="EUM1876" s="2477"/>
      <c r="EUN1876" s="2477"/>
      <c r="EUO1876" s="2477"/>
      <c r="EUP1876" s="2477"/>
      <c r="EUQ1876" s="2477"/>
      <c r="EUR1876" s="2477"/>
      <c r="EUS1876" s="2477"/>
      <c r="EUT1876" s="2477"/>
      <c r="EUU1876" s="2477"/>
      <c r="EUV1876" s="2477"/>
      <c r="EUW1876" s="2477"/>
      <c r="EUX1876" s="2477"/>
      <c r="EUY1876" s="2477"/>
      <c r="EUZ1876" s="2477"/>
      <c r="EVA1876" s="2477"/>
      <c r="EVB1876" s="2477"/>
      <c r="EVC1876" s="2477"/>
      <c r="EVD1876" s="2477"/>
      <c r="EVE1876" s="2477"/>
      <c r="EVF1876" s="2477"/>
      <c r="EVG1876" s="2477"/>
      <c r="EVH1876" s="2477"/>
      <c r="EVI1876" s="2477"/>
      <c r="EVJ1876" s="2477"/>
      <c r="EVK1876" s="2477"/>
      <c r="EVL1876" s="2477"/>
      <c r="EVM1876" s="2477"/>
      <c r="EVN1876" s="2477"/>
      <c r="EVO1876" s="2477"/>
      <c r="EVP1876" s="2477"/>
      <c r="EVQ1876" s="2477"/>
      <c r="EVR1876" s="2477"/>
      <c r="EVS1876" s="2477"/>
      <c r="EVT1876" s="2477"/>
      <c r="EVU1876" s="2477"/>
      <c r="EVV1876" s="2477"/>
      <c r="EVW1876" s="2477"/>
      <c r="EVX1876" s="2477"/>
      <c r="EVY1876" s="2477"/>
      <c r="EVZ1876" s="2477"/>
      <c r="EWA1876" s="2477"/>
      <c r="EWB1876" s="2477"/>
      <c r="EWC1876" s="2477"/>
      <c r="EWD1876" s="2477"/>
      <c r="EWE1876" s="2477"/>
      <c r="EWF1876" s="2477"/>
      <c r="EWG1876" s="2477"/>
      <c r="EWH1876" s="2477"/>
      <c r="EWI1876" s="2477"/>
      <c r="EWJ1876" s="2477"/>
      <c r="EWK1876" s="2477"/>
      <c r="EWL1876" s="2477"/>
      <c r="EWM1876" s="2477"/>
      <c r="EWN1876" s="2477"/>
      <c r="EWO1876" s="2477"/>
      <c r="EWP1876" s="2477"/>
      <c r="EWQ1876" s="2477"/>
      <c r="EWR1876" s="2477"/>
      <c r="EWS1876" s="2477"/>
      <c r="EWT1876" s="2477"/>
      <c r="EWU1876" s="2477"/>
      <c r="EWV1876" s="2477"/>
      <c r="EWW1876" s="2477"/>
      <c r="EWX1876" s="2477"/>
      <c r="EWY1876" s="2477"/>
      <c r="EWZ1876" s="2477"/>
      <c r="EXA1876" s="2477"/>
      <c r="EXB1876" s="2477"/>
      <c r="EXC1876" s="2477"/>
      <c r="EXD1876" s="2477"/>
      <c r="EXE1876" s="2477"/>
      <c r="EXF1876" s="2477"/>
      <c r="EXG1876" s="2477"/>
      <c r="EXH1876" s="2477"/>
      <c r="EXI1876" s="2477"/>
      <c r="EXJ1876" s="2477"/>
      <c r="EXK1876" s="2477"/>
      <c r="EXL1876" s="2477"/>
      <c r="EXM1876" s="2477"/>
      <c r="EXN1876" s="2477"/>
      <c r="EXO1876" s="2477"/>
      <c r="EXP1876" s="2477"/>
      <c r="EXQ1876" s="2477"/>
      <c r="EXR1876" s="2477"/>
      <c r="EXS1876" s="2477"/>
      <c r="EXT1876" s="2477"/>
      <c r="EXU1876" s="2477"/>
      <c r="EXV1876" s="2477"/>
      <c r="EXW1876" s="2477"/>
      <c r="EXX1876" s="2477"/>
      <c r="EXY1876" s="2477"/>
      <c r="EXZ1876" s="2477"/>
      <c r="EYA1876" s="2477"/>
      <c r="EYB1876" s="2477"/>
      <c r="EYC1876" s="2477"/>
      <c r="EYD1876" s="2477"/>
      <c r="EYE1876" s="2477"/>
      <c r="EYF1876" s="2477"/>
      <c r="EYG1876" s="2477"/>
      <c r="EYH1876" s="2477"/>
      <c r="EYI1876" s="2477"/>
      <c r="EYJ1876" s="2477"/>
      <c r="EYK1876" s="2477"/>
      <c r="EYL1876" s="2477"/>
      <c r="EYM1876" s="2477"/>
      <c r="EYN1876" s="2477"/>
      <c r="EYO1876" s="2477"/>
      <c r="EYP1876" s="2477"/>
      <c r="EYQ1876" s="2477"/>
      <c r="EYR1876" s="2477"/>
      <c r="EYS1876" s="2477"/>
      <c r="EYT1876" s="2477"/>
      <c r="EYU1876" s="2477"/>
      <c r="EYV1876" s="2477"/>
      <c r="EYW1876" s="2477"/>
      <c r="EYX1876" s="2477"/>
      <c r="EYY1876" s="2477"/>
      <c r="EYZ1876" s="2477"/>
      <c r="EZA1876" s="2477"/>
      <c r="EZB1876" s="2477"/>
      <c r="EZC1876" s="2477"/>
      <c r="EZD1876" s="2477"/>
      <c r="EZE1876" s="2477"/>
      <c r="EZF1876" s="2477"/>
      <c r="EZG1876" s="2477"/>
      <c r="EZH1876" s="2477"/>
      <c r="EZI1876" s="2477"/>
      <c r="EZJ1876" s="2477"/>
      <c r="EZK1876" s="2477"/>
      <c r="EZL1876" s="2477"/>
      <c r="EZM1876" s="2477"/>
      <c r="EZN1876" s="2477"/>
      <c r="EZO1876" s="2477"/>
      <c r="EZP1876" s="2477"/>
      <c r="EZQ1876" s="2477"/>
      <c r="EZR1876" s="2477"/>
      <c r="EZS1876" s="2477"/>
      <c r="EZT1876" s="2477"/>
      <c r="EZU1876" s="2477"/>
      <c r="EZV1876" s="2477"/>
      <c r="EZW1876" s="2477"/>
      <c r="EZX1876" s="2477"/>
      <c r="EZY1876" s="2477"/>
      <c r="EZZ1876" s="2477"/>
      <c r="FAA1876" s="2477"/>
      <c r="FAB1876" s="2477"/>
      <c r="FAC1876" s="2477"/>
      <c r="FAD1876" s="2477"/>
      <c r="FAE1876" s="2477"/>
      <c r="FAF1876" s="2477"/>
      <c r="FAG1876" s="2477"/>
      <c r="FAH1876" s="2477"/>
      <c r="FAI1876" s="2477"/>
      <c r="FAJ1876" s="2477"/>
      <c r="FAK1876" s="2477"/>
      <c r="FAL1876" s="2477"/>
      <c r="FAM1876" s="2477"/>
      <c r="FAN1876" s="2477"/>
      <c r="FAO1876" s="2477"/>
      <c r="FAP1876" s="2477"/>
      <c r="FAQ1876" s="2477"/>
      <c r="FAR1876" s="2477"/>
      <c r="FAS1876" s="2477"/>
      <c r="FAT1876" s="2477"/>
      <c r="FAU1876" s="2477"/>
      <c r="FAV1876" s="2477"/>
      <c r="FAW1876" s="2477"/>
      <c r="FAX1876" s="2477"/>
      <c r="FAY1876" s="2477"/>
      <c r="FAZ1876" s="2477"/>
      <c r="FBA1876" s="2477"/>
      <c r="FBB1876" s="2477"/>
      <c r="FBC1876" s="2477"/>
      <c r="FBD1876" s="2477"/>
      <c r="FBE1876" s="2477"/>
      <c r="FBF1876" s="2477"/>
      <c r="FBG1876" s="2477"/>
      <c r="FBH1876" s="2477"/>
      <c r="FBI1876" s="2477"/>
      <c r="FBJ1876" s="2477"/>
      <c r="FBK1876" s="2477"/>
      <c r="FBL1876" s="2477"/>
      <c r="FBM1876" s="2477"/>
      <c r="FBN1876" s="2477"/>
      <c r="FBO1876" s="2477"/>
      <c r="FBP1876" s="2477"/>
      <c r="FBQ1876" s="2477"/>
      <c r="FBR1876" s="2477"/>
      <c r="FBS1876" s="2477"/>
      <c r="FBT1876" s="2477"/>
      <c r="FBU1876" s="2477"/>
      <c r="FBV1876" s="2477"/>
      <c r="FBW1876" s="2477"/>
      <c r="FBX1876" s="2477"/>
      <c r="FBY1876" s="2477"/>
      <c r="FBZ1876" s="2477"/>
      <c r="FCA1876" s="2477"/>
      <c r="FCB1876" s="2477"/>
      <c r="FCC1876" s="2477"/>
      <c r="FCD1876" s="2477"/>
      <c r="FCE1876" s="2477"/>
      <c r="FCF1876" s="2477"/>
      <c r="FCG1876" s="2477"/>
      <c r="FCH1876" s="2477"/>
      <c r="FCI1876" s="2477"/>
      <c r="FCJ1876" s="2477"/>
      <c r="FCK1876" s="2477"/>
      <c r="FCL1876" s="2477"/>
      <c r="FCM1876" s="2477"/>
      <c r="FCN1876" s="2477"/>
      <c r="FCO1876" s="2477"/>
      <c r="FCP1876" s="2477"/>
      <c r="FCQ1876" s="2477"/>
      <c r="FCR1876" s="2477"/>
      <c r="FCS1876" s="2477"/>
      <c r="FCT1876" s="2477"/>
      <c r="FCU1876" s="2477"/>
      <c r="FCV1876" s="2477"/>
      <c r="FCW1876" s="2477"/>
      <c r="FCX1876" s="2477"/>
      <c r="FCY1876" s="2477"/>
      <c r="FCZ1876" s="2477"/>
      <c r="FDA1876" s="2477"/>
      <c r="FDB1876" s="2477"/>
      <c r="FDC1876" s="2477"/>
      <c r="FDD1876" s="2477"/>
      <c r="FDE1876" s="2477"/>
      <c r="FDF1876" s="2477"/>
      <c r="FDG1876" s="2477"/>
      <c r="FDH1876" s="2477"/>
      <c r="FDI1876" s="2477"/>
      <c r="FDJ1876" s="2477"/>
      <c r="FDK1876" s="2477"/>
      <c r="FDL1876" s="2477"/>
      <c r="FDM1876" s="2477"/>
      <c r="FDN1876" s="2477"/>
      <c r="FDO1876" s="2477"/>
      <c r="FDP1876" s="2477"/>
      <c r="FDQ1876" s="2477"/>
      <c r="FDR1876" s="2477"/>
      <c r="FDS1876" s="2477"/>
      <c r="FDT1876" s="2477"/>
      <c r="FDU1876" s="2477"/>
      <c r="FDV1876" s="2477"/>
      <c r="FDW1876" s="2477"/>
      <c r="FDX1876" s="2477"/>
      <c r="FDY1876" s="2477"/>
      <c r="FDZ1876" s="2477"/>
      <c r="FEA1876" s="2477"/>
      <c r="FEB1876" s="2477"/>
      <c r="FEC1876" s="2477"/>
      <c r="FED1876" s="2477"/>
      <c r="FEE1876" s="2477"/>
      <c r="FEF1876" s="2477"/>
      <c r="FEG1876" s="2477"/>
      <c r="FEH1876" s="2477"/>
      <c r="FEI1876" s="2477"/>
      <c r="FEJ1876" s="2477"/>
      <c r="FEK1876" s="2477"/>
      <c r="FEL1876" s="2477"/>
      <c r="FEM1876" s="2477"/>
      <c r="FEN1876" s="2477"/>
      <c r="FEO1876" s="2477"/>
      <c r="FEP1876" s="2477"/>
      <c r="FEQ1876" s="2477"/>
      <c r="FER1876" s="2477"/>
      <c r="FES1876" s="2477"/>
      <c r="FET1876" s="2477"/>
      <c r="FEU1876" s="2477"/>
      <c r="FEV1876" s="2477"/>
      <c r="FEW1876" s="2477"/>
      <c r="FEX1876" s="2477"/>
      <c r="FEY1876" s="2477"/>
      <c r="FEZ1876" s="2477"/>
      <c r="FFA1876" s="2477"/>
      <c r="FFB1876" s="2477"/>
      <c r="FFC1876" s="2477"/>
      <c r="FFD1876" s="2477"/>
      <c r="FFE1876" s="2477"/>
      <c r="FFF1876" s="2477"/>
      <c r="FFG1876" s="2477"/>
      <c r="FFH1876" s="2477"/>
      <c r="FFI1876" s="2477"/>
      <c r="FFJ1876" s="2477"/>
      <c r="FFK1876" s="2477"/>
      <c r="FFL1876" s="2477"/>
      <c r="FFM1876" s="2477"/>
      <c r="FFN1876" s="2477"/>
      <c r="FFO1876" s="2477"/>
      <c r="FFP1876" s="2477"/>
      <c r="FFQ1876" s="2477"/>
      <c r="FFR1876" s="2477"/>
      <c r="FFS1876" s="2477"/>
      <c r="FFT1876" s="2477"/>
      <c r="FFU1876" s="2477"/>
      <c r="FFV1876" s="2477"/>
      <c r="FFW1876" s="2477"/>
      <c r="FFX1876" s="2477"/>
      <c r="FFY1876" s="2477"/>
      <c r="FFZ1876" s="2477"/>
      <c r="FGA1876" s="2477"/>
      <c r="FGB1876" s="2477"/>
      <c r="FGC1876" s="2477"/>
      <c r="FGD1876" s="2477"/>
      <c r="FGE1876" s="2477"/>
      <c r="FGF1876" s="2477"/>
      <c r="FGG1876" s="2477"/>
      <c r="FGH1876" s="2477"/>
      <c r="FGI1876" s="2477"/>
      <c r="FGJ1876" s="2477"/>
      <c r="FGK1876" s="2477"/>
      <c r="FGL1876" s="2477"/>
      <c r="FGM1876" s="2477"/>
      <c r="FGN1876" s="2477"/>
      <c r="FGO1876" s="2477"/>
      <c r="FGP1876" s="2477"/>
      <c r="FGQ1876" s="2477"/>
      <c r="FGR1876" s="2477"/>
      <c r="FGS1876" s="2477"/>
      <c r="FGT1876" s="2477"/>
      <c r="FGU1876" s="2477"/>
      <c r="FGV1876" s="2477"/>
      <c r="FGW1876" s="2477"/>
      <c r="FGX1876" s="2477"/>
      <c r="FGY1876" s="2477"/>
      <c r="FGZ1876" s="2477"/>
      <c r="FHA1876" s="2477"/>
      <c r="FHB1876" s="2477"/>
      <c r="FHC1876" s="2477"/>
      <c r="FHD1876" s="2477"/>
      <c r="FHE1876" s="2477"/>
      <c r="FHF1876" s="2477"/>
      <c r="FHG1876" s="2477"/>
      <c r="FHH1876" s="2477"/>
      <c r="FHI1876" s="2477"/>
      <c r="FHJ1876" s="2477"/>
      <c r="FHK1876" s="2477"/>
      <c r="FHL1876" s="2477"/>
      <c r="FHM1876" s="2477"/>
      <c r="FHN1876" s="2477"/>
      <c r="FHO1876" s="2477"/>
      <c r="FHP1876" s="2477"/>
      <c r="FHQ1876" s="2477"/>
      <c r="FHR1876" s="2477"/>
      <c r="FHS1876" s="2477"/>
      <c r="FHT1876" s="2477"/>
      <c r="FHU1876" s="2477"/>
      <c r="FHV1876" s="2477"/>
      <c r="FHW1876" s="2477"/>
      <c r="FHX1876" s="2477"/>
      <c r="FHY1876" s="2477"/>
      <c r="FHZ1876" s="2477"/>
      <c r="FIA1876" s="2477"/>
      <c r="FIB1876" s="2477"/>
      <c r="FIC1876" s="2477"/>
      <c r="FID1876" s="2477"/>
      <c r="FIE1876" s="2477"/>
      <c r="FIF1876" s="2477"/>
      <c r="FIG1876" s="2477"/>
      <c r="FIH1876" s="2477"/>
      <c r="FII1876" s="2477"/>
      <c r="FIJ1876" s="2477"/>
      <c r="FIK1876" s="2477"/>
      <c r="FIL1876" s="2477"/>
      <c r="FIM1876" s="2477"/>
      <c r="FIN1876" s="2477"/>
      <c r="FIO1876" s="2477"/>
      <c r="FIP1876" s="2477"/>
      <c r="FIQ1876" s="2477"/>
      <c r="FIR1876" s="2477"/>
      <c r="FIS1876" s="2477"/>
      <c r="FIT1876" s="2477"/>
      <c r="FIU1876" s="2477"/>
      <c r="FIV1876" s="2477"/>
      <c r="FIW1876" s="2477"/>
      <c r="FIX1876" s="2477"/>
      <c r="FIY1876" s="2477"/>
      <c r="FIZ1876" s="2477"/>
      <c r="FJA1876" s="2477"/>
      <c r="FJB1876" s="2477"/>
      <c r="FJC1876" s="2477"/>
      <c r="FJD1876" s="2477"/>
      <c r="FJE1876" s="2477"/>
      <c r="FJF1876" s="2477"/>
      <c r="FJG1876" s="2477"/>
      <c r="FJH1876" s="2477"/>
      <c r="FJI1876" s="2477"/>
      <c r="FJJ1876" s="2477"/>
      <c r="FJK1876" s="2477"/>
      <c r="FJL1876" s="2477"/>
      <c r="FJM1876" s="2477"/>
      <c r="FJN1876" s="2477"/>
      <c r="FJO1876" s="2477"/>
      <c r="FJP1876" s="2477"/>
      <c r="FJQ1876" s="2477"/>
      <c r="FJR1876" s="2477"/>
      <c r="FJS1876" s="2477"/>
      <c r="FJT1876" s="2477"/>
      <c r="FJU1876" s="2477"/>
      <c r="FJV1876" s="2477"/>
      <c r="FJW1876" s="2477"/>
      <c r="FJX1876" s="2477"/>
      <c r="FJY1876" s="2477"/>
      <c r="FJZ1876" s="2477"/>
      <c r="FKA1876" s="2477"/>
      <c r="FKB1876" s="2477"/>
      <c r="FKC1876" s="2477"/>
      <c r="FKD1876" s="2477"/>
      <c r="FKE1876" s="2477"/>
      <c r="FKF1876" s="2477"/>
      <c r="FKG1876" s="2477"/>
      <c r="FKH1876" s="2477"/>
      <c r="FKI1876" s="2477"/>
      <c r="FKJ1876" s="2477"/>
      <c r="FKK1876" s="2477"/>
      <c r="FKL1876" s="2477"/>
      <c r="FKM1876" s="2477"/>
      <c r="FKN1876" s="2477"/>
      <c r="FKO1876" s="2477"/>
      <c r="FKP1876" s="2477"/>
      <c r="FKQ1876" s="2477"/>
      <c r="FKR1876" s="2477"/>
      <c r="FKS1876" s="2477"/>
      <c r="FKT1876" s="2477"/>
      <c r="FKU1876" s="2477"/>
      <c r="FKV1876" s="2477"/>
      <c r="FKW1876" s="2477"/>
      <c r="FKX1876" s="2477"/>
      <c r="FKY1876" s="2477"/>
      <c r="FKZ1876" s="2477"/>
      <c r="FLA1876" s="2477"/>
      <c r="FLB1876" s="2477"/>
      <c r="FLC1876" s="2477"/>
      <c r="FLD1876" s="2477"/>
      <c r="FLE1876" s="2477"/>
      <c r="FLF1876" s="2477"/>
      <c r="FLG1876" s="2477"/>
      <c r="FLH1876" s="2477"/>
      <c r="FLI1876" s="2477"/>
      <c r="FLJ1876" s="2477"/>
      <c r="FLK1876" s="2477"/>
      <c r="FLL1876" s="2477"/>
      <c r="FLM1876" s="2477"/>
      <c r="FLN1876" s="2477"/>
      <c r="FLO1876" s="2477"/>
      <c r="FLP1876" s="2477"/>
      <c r="FLQ1876" s="2477"/>
      <c r="FLR1876" s="2477"/>
      <c r="FLS1876" s="2477"/>
      <c r="FLT1876" s="2477"/>
      <c r="FLU1876" s="2477"/>
      <c r="FLV1876" s="2477"/>
      <c r="FLW1876" s="2477"/>
      <c r="FLX1876" s="2477"/>
      <c r="FLY1876" s="2477"/>
      <c r="FLZ1876" s="2477"/>
      <c r="FMA1876" s="2477"/>
      <c r="FMB1876" s="2477"/>
      <c r="FMC1876" s="2477"/>
      <c r="FMD1876" s="2477"/>
      <c r="FME1876" s="2477"/>
      <c r="FMF1876" s="2477"/>
      <c r="FMG1876" s="2477"/>
      <c r="FMH1876" s="2477"/>
      <c r="FMI1876" s="2477"/>
      <c r="FMJ1876" s="2477"/>
      <c r="FMK1876" s="2477"/>
      <c r="FML1876" s="2477"/>
      <c r="FMM1876" s="2477"/>
      <c r="FMN1876" s="2477"/>
      <c r="FMO1876" s="2477"/>
      <c r="FMP1876" s="2477"/>
      <c r="FMQ1876" s="2477"/>
      <c r="FMR1876" s="2477"/>
      <c r="FMS1876" s="2477"/>
      <c r="FMT1876" s="2477"/>
      <c r="FMU1876" s="2477"/>
      <c r="FMV1876" s="2477"/>
      <c r="FMW1876" s="2477"/>
      <c r="FMX1876" s="2477"/>
      <c r="FMY1876" s="2477"/>
      <c r="FMZ1876" s="2477"/>
      <c r="FNA1876" s="2477"/>
      <c r="FNB1876" s="2477"/>
      <c r="FNC1876" s="2477"/>
      <c r="FND1876" s="2477"/>
      <c r="FNE1876" s="2477"/>
      <c r="FNF1876" s="2477"/>
      <c r="FNG1876" s="2477"/>
      <c r="FNH1876" s="2477"/>
      <c r="FNI1876" s="2477"/>
      <c r="FNJ1876" s="2477"/>
      <c r="FNK1876" s="2477"/>
      <c r="FNL1876" s="2477"/>
      <c r="FNM1876" s="2477"/>
      <c r="FNN1876" s="2477"/>
      <c r="FNO1876" s="2477"/>
      <c r="FNP1876" s="2477"/>
      <c r="FNQ1876" s="2477"/>
      <c r="FNR1876" s="2477"/>
      <c r="FNS1876" s="2477"/>
      <c r="FNT1876" s="2477"/>
      <c r="FNU1876" s="2477"/>
      <c r="FNV1876" s="2477"/>
      <c r="FNW1876" s="2477"/>
      <c r="FNX1876" s="2477"/>
      <c r="FNY1876" s="2477"/>
      <c r="FNZ1876" s="2477"/>
      <c r="FOA1876" s="2477"/>
      <c r="FOB1876" s="2477"/>
      <c r="FOC1876" s="2477"/>
      <c r="FOD1876" s="2477"/>
      <c r="FOE1876" s="2477"/>
      <c r="FOF1876" s="2477"/>
      <c r="FOG1876" s="2477"/>
      <c r="FOH1876" s="2477"/>
      <c r="FOI1876" s="2477"/>
      <c r="FOJ1876" s="2477"/>
      <c r="FOK1876" s="2477"/>
      <c r="FOL1876" s="2477"/>
      <c r="FOM1876" s="2477"/>
      <c r="FON1876" s="2477"/>
      <c r="FOO1876" s="2477"/>
      <c r="FOP1876" s="2477"/>
      <c r="FOQ1876" s="2477"/>
      <c r="FOR1876" s="2477"/>
      <c r="FOS1876" s="2477"/>
      <c r="FOT1876" s="2477"/>
      <c r="FOU1876" s="2477"/>
      <c r="FOV1876" s="2477"/>
      <c r="FOW1876" s="2477"/>
      <c r="FOX1876" s="2477"/>
      <c r="FOY1876" s="2477"/>
      <c r="FOZ1876" s="2477"/>
      <c r="FPA1876" s="2477"/>
      <c r="FPB1876" s="2477"/>
      <c r="FPC1876" s="2477"/>
      <c r="FPD1876" s="2477"/>
      <c r="FPE1876" s="2477"/>
      <c r="FPF1876" s="2477"/>
      <c r="FPG1876" s="2477"/>
      <c r="FPH1876" s="2477"/>
      <c r="FPI1876" s="2477"/>
      <c r="FPJ1876" s="2477"/>
      <c r="FPK1876" s="2477"/>
      <c r="FPL1876" s="2477"/>
      <c r="FPM1876" s="2477"/>
      <c r="FPN1876" s="2477"/>
      <c r="FPO1876" s="2477"/>
      <c r="FPP1876" s="2477"/>
      <c r="FPQ1876" s="2477"/>
      <c r="FPR1876" s="2477"/>
      <c r="FPS1876" s="2477"/>
      <c r="FPT1876" s="2477"/>
      <c r="FPU1876" s="2477"/>
      <c r="FPV1876" s="2477"/>
      <c r="FPW1876" s="2477"/>
      <c r="FPX1876" s="2477"/>
      <c r="FPY1876" s="2477"/>
      <c r="FPZ1876" s="2477"/>
      <c r="FQA1876" s="2477"/>
      <c r="FQB1876" s="2477"/>
      <c r="FQC1876" s="2477"/>
      <c r="FQD1876" s="2477"/>
      <c r="FQE1876" s="2477"/>
      <c r="FQF1876" s="2477"/>
      <c r="FQG1876" s="2477"/>
      <c r="FQH1876" s="2477"/>
      <c r="FQI1876" s="2477"/>
      <c r="FQJ1876" s="2477"/>
      <c r="FQK1876" s="2477"/>
      <c r="FQL1876" s="2477"/>
      <c r="FQM1876" s="2477"/>
      <c r="FQN1876" s="2477"/>
      <c r="FQO1876" s="2477"/>
      <c r="FQP1876" s="2477"/>
      <c r="FQQ1876" s="2477"/>
      <c r="FQR1876" s="2477"/>
      <c r="FQS1876" s="2477"/>
      <c r="FQT1876" s="2477"/>
      <c r="FQU1876" s="2477"/>
      <c r="FQV1876" s="2477"/>
      <c r="FQW1876" s="2477"/>
      <c r="FQX1876" s="2477"/>
      <c r="FQY1876" s="2477"/>
      <c r="FQZ1876" s="2477"/>
      <c r="FRA1876" s="2477"/>
      <c r="FRB1876" s="2477"/>
      <c r="FRC1876" s="2477"/>
      <c r="FRD1876" s="2477"/>
      <c r="FRE1876" s="2477"/>
      <c r="FRF1876" s="2477"/>
      <c r="FRG1876" s="2477"/>
      <c r="FRH1876" s="2477"/>
      <c r="FRI1876" s="2477"/>
      <c r="FRJ1876" s="2477"/>
      <c r="FRK1876" s="2477"/>
      <c r="FRL1876" s="2477"/>
      <c r="FRM1876" s="2477"/>
      <c r="FRN1876" s="2477"/>
      <c r="FRO1876" s="2477"/>
      <c r="FRP1876" s="2477"/>
      <c r="FRQ1876" s="2477"/>
      <c r="FRR1876" s="2477"/>
      <c r="FRS1876" s="2477"/>
      <c r="FRT1876" s="2477"/>
      <c r="FRU1876" s="2477"/>
      <c r="FRV1876" s="2477"/>
      <c r="FRW1876" s="2477"/>
      <c r="FRX1876" s="2477"/>
      <c r="FRY1876" s="2477"/>
      <c r="FRZ1876" s="2477"/>
      <c r="FSA1876" s="2477"/>
      <c r="FSB1876" s="2477"/>
      <c r="FSC1876" s="2477"/>
      <c r="FSD1876" s="2477"/>
      <c r="FSE1876" s="2477"/>
      <c r="FSF1876" s="2477"/>
      <c r="FSG1876" s="2477"/>
      <c r="FSH1876" s="2477"/>
      <c r="FSI1876" s="2477"/>
      <c r="FSJ1876" s="2477"/>
      <c r="FSK1876" s="2477"/>
      <c r="FSL1876" s="2477"/>
      <c r="FSM1876" s="2477"/>
      <c r="FSN1876" s="2477"/>
      <c r="FSO1876" s="2477"/>
      <c r="FSP1876" s="2477"/>
      <c r="FSQ1876" s="2477"/>
      <c r="FSR1876" s="2477"/>
      <c r="FSS1876" s="2477"/>
      <c r="FST1876" s="2477"/>
      <c r="FSU1876" s="2477"/>
      <c r="FSV1876" s="2477"/>
      <c r="FSW1876" s="2477"/>
      <c r="FSX1876" s="2477"/>
      <c r="FSY1876" s="2477"/>
      <c r="FSZ1876" s="2477"/>
      <c r="FTA1876" s="2477"/>
      <c r="FTB1876" s="2477"/>
      <c r="FTC1876" s="2477"/>
      <c r="FTD1876" s="2477"/>
      <c r="FTE1876" s="2477"/>
      <c r="FTF1876" s="2477"/>
      <c r="FTG1876" s="2477"/>
      <c r="FTH1876" s="2477"/>
      <c r="FTI1876" s="2477"/>
      <c r="FTJ1876" s="2477"/>
      <c r="FTK1876" s="2477"/>
      <c r="FTL1876" s="2477"/>
      <c r="FTM1876" s="2477"/>
      <c r="FTN1876" s="2477"/>
      <c r="FTO1876" s="2477"/>
      <c r="FTP1876" s="2477"/>
      <c r="FTQ1876" s="2477"/>
      <c r="FTR1876" s="2477"/>
      <c r="FTS1876" s="2477"/>
      <c r="FTT1876" s="2477"/>
      <c r="FTU1876" s="2477"/>
      <c r="FTV1876" s="2477"/>
      <c r="FTW1876" s="2477"/>
      <c r="FTX1876" s="2477"/>
      <c r="FTY1876" s="2477"/>
      <c r="FTZ1876" s="2477"/>
      <c r="FUA1876" s="2477"/>
      <c r="FUB1876" s="2477"/>
      <c r="FUC1876" s="2477"/>
      <c r="FUD1876" s="2477"/>
      <c r="FUE1876" s="2477"/>
      <c r="FUF1876" s="2477"/>
      <c r="FUG1876" s="2477"/>
      <c r="FUH1876" s="2477"/>
      <c r="FUI1876" s="2477"/>
      <c r="FUJ1876" s="2477"/>
      <c r="FUK1876" s="2477"/>
      <c r="FUL1876" s="2477"/>
      <c r="FUM1876" s="2477"/>
      <c r="FUN1876" s="2477"/>
      <c r="FUO1876" s="2477"/>
      <c r="FUP1876" s="2477"/>
      <c r="FUQ1876" s="2477"/>
      <c r="FUR1876" s="2477"/>
      <c r="FUS1876" s="2477"/>
      <c r="FUT1876" s="2477"/>
      <c r="FUU1876" s="2477"/>
      <c r="FUV1876" s="2477"/>
      <c r="FUW1876" s="2477"/>
      <c r="FUX1876" s="2477"/>
      <c r="FUY1876" s="2477"/>
      <c r="FUZ1876" s="2477"/>
      <c r="FVA1876" s="2477"/>
      <c r="FVB1876" s="2477"/>
      <c r="FVC1876" s="2477"/>
      <c r="FVD1876" s="2477"/>
      <c r="FVE1876" s="2477"/>
      <c r="FVF1876" s="2477"/>
      <c r="FVG1876" s="2477"/>
      <c r="FVH1876" s="2477"/>
      <c r="FVI1876" s="2477"/>
      <c r="FVJ1876" s="2477"/>
      <c r="FVK1876" s="2477"/>
      <c r="FVL1876" s="2477"/>
      <c r="FVM1876" s="2477"/>
      <c r="FVN1876" s="2477"/>
      <c r="FVO1876" s="2477"/>
      <c r="FVP1876" s="2477"/>
      <c r="FVQ1876" s="2477"/>
      <c r="FVR1876" s="2477"/>
      <c r="FVS1876" s="2477"/>
      <c r="FVT1876" s="2477"/>
      <c r="FVU1876" s="2477"/>
      <c r="FVV1876" s="2477"/>
      <c r="FVW1876" s="2477"/>
      <c r="FVX1876" s="2477"/>
      <c r="FVY1876" s="2477"/>
      <c r="FVZ1876" s="2477"/>
      <c r="FWA1876" s="2477"/>
      <c r="FWB1876" s="2477"/>
      <c r="FWC1876" s="2477"/>
      <c r="FWD1876" s="2477"/>
      <c r="FWE1876" s="2477"/>
      <c r="FWF1876" s="2477"/>
      <c r="FWG1876" s="2477"/>
      <c r="FWH1876" s="2477"/>
      <c r="FWI1876" s="2477"/>
      <c r="FWJ1876" s="2477"/>
      <c r="FWK1876" s="2477"/>
      <c r="FWL1876" s="2477"/>
      <c r="FWM1876" s="2477"/>
      <c r="FWN1876" s="2477"/>
      <c r="FWO1876" s="2477"/>
      <c r="FWP1876" s="2477"/>
      <c r="FWQ1876" s="2477"/>
      <c r="FWR1876" s="2477"/>
      <c r="FWS1876" s="2477"/>
      <c r="FWT1876" s="2477"/>
      <c r="FWU1876" s="2477"/>
      <c r="FWV1876" s="2477"/>
      <c r="FWW1876" s="2477"/>
      <c r="FWX1876" s="2477"/>
      <c r="FWY1876" s="2477"/>
      <c r="FWZ1876" s="2477"/>
      <c r="FXA1876" s="2477"/>
      <c r="FXB1876" s="2477"/>
      <c r="FXC1876" s="2477"/>
      <c r="FXD1876" s="2477"/>
      <c r="FXE1876" s="2477"/>
      <c r="FXF1876" s="2477"/>
      <c r="FXG1876" s="2477"/>
      <c r="FXH1876" s="2477"/>
      <c r="FXI1876" s="2477"/>
      <c r="FXJ1876" s="2477"/>
      <c r="FXK1876" s="2477"/>
      <c r="FXL1876" s="2477"/>
      <c r="FXM1876" s="2477"/>
      <c r="FXN1876" s="2477"/>
      <c r="FXO1876" s="2477"/>
      <c r="FXP1876" s="2477"/>
      <c r="FXQ1876" s="2477"/>
      <c r="FXR1876" s="2477"/>
      <c r="FXS1876" s="2477"/>
      <c r="FXT1876" s="2477"/>
      <c r="FXU1876" s="2477"/>
      <c r="FXV1876" s="2477"/>
      <c r="FXW1876" s="2477"/>
      <c r="FXX1876" s="2477"/>
      <c r="FXY1876" s="2477"/>
      <c r="FXZ1876" s="2477"/>
      <c r="FYA1876" s="2477"/>
      <c r="FYB1876" s="2477"/>
      <c r="FYC1876" s="2477"/>
      <c r="FYD1876" s="2477"/>
      <c r="FYE1876" s="2477"/>
      <c r="FYF1876" s="2477"/>
      <c r="FYG1876" s="2477"/>
      <c r="FYH1876" s="2477"/>
      <c r="FYI1876" s="2477"/>
      <c r="FYJ1876" s="2477"/>
      <c r="FYK1876" s="2477"/>
      <c r="FYL1876" s="2477"/>
      <c r="FYM1876" s="2477"/>
      <c r="FYN1876" s="2477"/>
      <c r="FYO1876" s="2477"/>
      <c r="FYP1876" s="2477"/>
      <c r="FYQ1876" s="2477"/>
      <c r="FYR1876" s="2477"/>
      <c r="FYS1876" s="2477"/>
      <c r="FYT1876" s="2477"/>
      <c r="FYU1876" s="2477"/>
      <c r="FYV1876" s="2477"/>
      <c r="FYW1876" s="2477"/>
      <c r="FYX1876" s="2477"/>
      <c r="FYY1876" s="2477"/>
      <c r="FYZ1876" s="2477"/>
      <c r="FZA1876" s="2477"/>
      <c r="FZB1876" s="2477"/>
      <c r="FZC1876" s="2477"/>
      <c r="FZD1876" s="2477"/>
      <c r="FZE1876" s="2477"/>
      <c r="FZF1876" s="2477"/>
      <c r="FZG1876" s="2477"/>
      <c r="FZH1876" s="2477"/>
      <c r="FZI1876" s="2477"/>
      <c r="FZJ1876" s="2477"/>
      <c r="FZK1876" s="2477"/>
      <c r="FZL1876" s="2477"/>
      <c r="FZM1876" s="2477"/>
      <c r="FZN1876" s="2477"/>
      <c r="FZO1876" s="2477"/>
      <c r="FZP1876" s="2477"/>
      <c r="FZQ1876" s="2477"/>
      <c r="FZR1876" s="2477"/>
      <c r="FZS1876" s="2477"/>
      <c r="FZT1876" s="2477"/>
      <c r="FZU1876" s="2477"/>
      <c r="FZV1876" s="2477"/>
      <c r="FZW1876" s="2477"/>
      <c r="FZX1876" s="2477"/>
      <c r="FZY1876" s="2477"/>
      <c r="FZZ1876" s="2477"/>
      <c r="GAA1876" s="2477"/>
      <c r="GAB1876" s="2477"/>
      <c r="GAC1876" s="2477"/>
      <c r="GAD1876" s="2477"/>
      <c r="GAE1876" s="2477"/>
      <c r="GAF1876" s="2477"/>
      <c r="GAG1876" s="2477"/>
      <c r="GAH1876" s="2477"/>
      <c r="GAI1876" s="2477"/>
      <c r="GAJ1876" s="2477"/>
      <c r="GAK1876" s="2477"/>
      <c r="GAL1876" s="2477"/>
      <c r="GAM1876" s="2477"/>
      <c r="GAN1876" s="2477"/>
      <c r="GAO1876" s="2477"/>
      <c r="GAP1876" s="2477"/>
      <c r="GAQ1876" s="2477"/>
      <c r="GAR1876" s="2477"/>
      <c r="GAS1876" s="2477"/>
      <c r="GAT1876" s="2477"/>
      <c r="GAU1876" s="2477"/>
      <c r="GAV1876" s="2477"/>
      <c r="GAW1876" s="2477"/>
      <c r="GAX1876" s="2477"/>
      <c r="GAY1876" s="2477"/>
      <c r="GAZ1876" s="2477"/>
      <c r="GBA1876" s="2477"/>
      <c r="GBB1876" s="2477"/>
      <c r="GBC1876" s="2477"/>
      <c r="GBD1876" s="2477"/>
      <c r="GBE1876" s="2477"/>
      <c r="GBF1876" s="2477"/>
      <c r="GBG1876" s="2477"/>
      <c r="GBH1876" s="2477"/>
      <c r="GBI1876" s="2477"/>
      <c r="GBJ1876" s="2477"/>
      <c r="GBK1876" s="2477"/>
      <c r="GBL1876" s="2477"/>
      <c r="GBM1876" s="2477"/>
      <c r="GBN1876" s="2477"/>
      <c r="GBO1876" s="2477"/>
      <c r="GBP1876" s="2477"/>
      <c r="GBQ1876" s="2477"/>
      <c r="GBR1876" s="2477"/>
      <c r="GBS1876" s="2477"/>
      <c r="GBT1876" s="2477"/>
      <c r="GBU1876" s="2477"/>
      <c r="GBV1876" s="2477"/>
      <c r="GBW1876" s="2477"/>
      <c r="GBX1876" s="2477"/>
      <c r="GBY1876" s="2477"/>
      <c r="GBZ1876" s="2477"/>
      <c r="GCA1876" s="2477"/>
      <c r="GCB1876" s="2477"/>
      <c r="GCC1876" s="2477"/>
      <c r="GCD1876" s="2477"/>
      <c r="GCE1876" s="2477"/>
      <c r="GCF1876" s="2477"/>
      <c r="GCG1876" s="2477"/>
      <c r="GCH1876" s="2477"/>
      <c r="GCI1876" s="2477"/>
      <c r="GCJ1876" s="2477"/>
      <c r="GCK1876" s="2477"/>
      <c r="GCL1876" s="2477"/>
      <c r="GCM1876" s="2477"/>
      <c r="GCN1876" s="2477"/>
      <c r="GCO1876" s="2477"/>
      <c r="GCP1876" s="2477"/>
      <c r="GCQ1876" s="2477"/>
      <c r="GCR1876" s="2477"/>
      <c r="GCS1876" s="2477"/>
      <c r="GCT1876" s="2477"/>
      <c r="GCU1876" s="2477"/>
      <c r="GCV1876" s="2477"/>
      <c r="GCW1876" s="2477"/>
      <c r="GCX1876" s="2477"/>
      <c r="GCY1876" s="2477"/>
      <c r="GCZ1876" s="2477"/>
      <c r="GDA1876" s="2477"/>
      <c r="GDB1876" s="2477"/>
      <c r="GDC1876" s="2477"/>
      <c r="GDD1876" s="2477"/>
      <c r="GDE1876" s="2477"/>
      <c r="GDF1876" s="2477"/>
      <c r="GDG1876" s="2477"/>
      <c r="GDH1876" s="2477"/>
      <c r="GDI1876" s="2477"/>
      <c r="GDJ1876" s="2477"/>
      <c r="GDK1876" s="2477"/>
      <c r="GDL1876" s="2477"/>
      <c r="GDM1876" s="2477"/>
      <c r="GDN1876" s="2477"/>
      <c r="GDO1876" s="2477"/>
      <c r="GDP1876" s="2477"/>
      <c r="GDQ1876" s="2477"/>
      <c r="GDR1876" s="2477"/>
      <c r="GDS1876" s="2477"/>
      <c r="GDT1876" s="2477"/>
      <c r="GDU1876" s="2477"/>
      <c r="GDV1876" s="2477"/>
      <c r="GDW1876" s="2477"/>
      <c r="GDX1876" s="2477"/>
      <c r="GDY1876" s="2477"/>
      <c r="GDZ1876" s="2477"/>
      <c r="GEA1876" s="2477"/>
      <c r="GEB1876" s="2477"/>
      <c r="GEC1876" s="2477"/>
      <c r="GED1876" s="2477"/>
      <c r="GEE1876" s="2477"/>
      <c r="GEF1876" s="2477"/>
      <c r="GEG1876" s="2477"/>
      <c r="GEH1876" s="2477"/>
      <c r="GEI1876" s="2477"/>
      <c r="GEJ1876" s="2477"/>
      <c r="GEK1876" s="2477"/>
      <c r="GEL1876" s="2477"/>
      <c r="GEM1876" s="2477"/>
      <c r="GEN1876" s="2477"/>
      <c r="GEO1876" s="2477"/>
      <c r="GEP1876" s="2477"/>
      <c r="GEQ1876" s="2477"/>
      <c r="GER1876" s="2477"/>
      <c r="GES1876" s="2477"/>
      <c r="GET1876" s="2477"/>
      <c r="GEU1876" s="2477"/>
      <c r="GEV1876" s="2477"/>
      <c r="GEW1876" s="2477"/>
      <c r="GEX1876" s="2477"/>
      <c r="GEY1876" s="2477"/>
      <c r="GEZ1876" s="2477"/>
      <c r="GFA1876" s="2477"/>
      <c r="GFB1876" s="2477"/>
      <c r="GFC1876" s="2477"/>
      <c r="GFD1876" s="2477"/>
      <c r="GFE1876" s="2477"/>
      <c r="GFF1876" s="2477"/>
      <c r="GFG1876" s="2477"/>
      <c r="GFH1876" s="2477"/>
      <c r="GFI1876" s="2477"/>
      <c r="GFJ1876" s="2477"/>
      <c r="GFK1876" s="2477"/>
      <c r="GFL1876" s="2477"/>
      <c r="GFM1876" s="2477"/>
      <c r="GFN1876" s="2477"/>
      <c r="GFO1876" s="2477"/>
      <c r="GFP1876" s="2477"/>
      <c r="GFQ1876" s="2477"/>
      <c r="GFR1876" s="2477"/>
      <c r="GFS1876" s="2477"/>
      <c r="GFT1876" s="2477"/>
      <c r="GFU1876" s="2477"/>
      <c r="GFV1876" s="2477"/>
      <c r="GFW1876" s="2477"/>
      <c r="GFX1876" s="2477"/>
      <c r="GFY1876" s="2477"/>
      <c r="GFZ1876" s="2477"/>
      <c r="GGA1876" s="2477"/>
      <c r="GGB1876" s="2477"/>
      <c r="GGC1876" s="2477"/>
      <c r="GGD1876" s="2477"/>
      <c r="GGE1876" s="2477"/>
      <c r="GGF1876" s="2477"/>
      <c r="GGG1876" s="2477"/>
      <c r="GGH1876" s="2477"/>
      <c r="GGI1876" s="2477"/>
      <c r="GGJ1876" s="2477"/>
      <c r="GGK1876" s="2477"/>
      <c r="GGL1876" s="2477"/>
      <c r="GGM1876" s="2477"/>
      <c r="GGN1876" s="2477"/>
      <c r="GGO1876" s="2477"/>
      <c r="GGP1876" s="2477"/>
      <c r="GGQ1876" s="2477"/>
      <c r="GGR1876" s="2477"/>
      <c r="GGS1876" s="2477"/>
      <c r="GGT1876" s="2477"/>
      <c r="GGU1876" s="2477"/>
      <c r="GGV1876" s="2477"/>
      <c r="GGW1876" s="2477"/>
      <c r="GGX1876" s="2477"/>
      <c r="GGY1876" s="2477"/>
      <c r="GGZ1876" s="2477"/>
      <c r="GHA1876" s="2477"/>
      <c r="GHB1876" s="2477"/>
      <c r="GHC1876" s="2477"/>
      <c r="GHD1876" s="2477"/>
      <c r="GHE1876" s="2477"/>
      <c r="GHF1876" s="2477"/>
      <c r="GHG1876" s="2477"/>
      <c r="GHH1876" s="2477"/>
      <c r="GHI1876" s="2477"/>
      <c r="GHJ1876" s="2477"/>
      <c r="GHK1876" s="2477"/>
      <c r="GHL1876" s="2477"/>
      <c r="GHM1876" s="2477"/>
      <c r="GHN1876" s="2477"/>
      <c r="GHO1876" s="2477"/>
      <c r="GHP1876" s="2477"/>
      <c r="GHQ1876" s="2477"/>
      <c r="GHR1876" s="2477"/>
      <c r="GHS1876" s="2477"/>
      <c r="GHT1876" s="2477"/>
      <c r="GHU1876" s="2477"/>
      <c r="GHV1876" s="2477"/>
      <c r="GHW1876" s="2477"/>
      <c r="GHX1876" s="2477"/>
      <c r="GHY1876" s="2477"/>
      <c r="GHZ1876" s="2477"/>
      <c r="GIA1876" s="2477"/>
      <c r="GIB1876" s="2477"/>
      <c r="GIC1876" s="2477"/>
      <c r="GID1876" s="2477"/>
      <c r="GIE1876" s="2477"/>
      <c r="GIF1876" s="2477"/>
      <c r="GIG1876" s="2477"/>
      <c r="GIH1876" s="2477"/>
      <c r="GII1876" s="2477"/>
      <c r="GIJ1876" s="2477"/>
      <c r="GIK1876" s="2477"/>
      <c r="GIL1876" s="2477"/>
      <c r="GIM1876" s="2477"/>
      <c r="GIN1876" s="2477"/>
      <c r="GIO1876" s="2477"/>
      <c r="GIP1876" s="2477"/>
      <c r="GIQ1876" s="2477"/>
      <c r="GIR1876" s="2477"/>
      <c r="GIS1876" s="2477"/>
      <c r="GIT1876" s="2477"/>
      <c r="GIU1876" s="2477"/>
      <c r="GIV1876" s="2477"/>
      <c r="GIW1876" s="2477"/>
      <c r="GIX1876" s="2477"/>
      <c r="GIY1876" s="2477"/>
      <c r="GIZ1876" s="2477"/>
      <c r="GJA1876" s="2477"/>
      <c r="GJB1876" s="2477"/>
      <c r="GJC1876" s="2477"/>
      <c r="GJD1876" s="2477"/>
      <c r="GJE1876" s="2477"/>
      <c r="GJF1876" s="2477"/>
      <c r="GJG1876" s="2477"/>
      <c r="GJH1876" s="2477"/>
      <c r="GJI1876" s="2477"/>
      <c r="GJJ1876" s="2477"/>
      <c r="GJK1876" s="2477"/>
      <c r="GJL1876" s="2477"/>
      <c r="GJM1876" s="2477"/>
      <c r="GJN1876" s="2477"/>
      <c r="GJO1876" s="2477"/>
      <c r="GJP1876" s="2477"/>
      <c r="GJQ1876" s="2477"/>
      <c r="GJR1876" s="2477"/>
      <c r="GJS1876" s="2477"/>
      <c r="GJT1876" s="2477"/>
      <c r="GJU1876" s="2477"/>
      <c r="GJV1876" s="2477"/>
      <c r="GJW1876" s="2477"/>
      <c r="GJX1876" s="2477"/>
      <c r="GJY1876" s="2477"/>
      <c r="GJZ1876" s="2477"/>
      <c r="GKA1876" s="2477"/>
      <c r="GKB1876" s="2477"/>
      <c r="GKC1876" s="2477"/>
      <c r="GKD1876" s="2477"/>
      <c r="GKE1876" s="2477"/>
      <c r="GKF1876" s="2477"/>
      <c r="GKG1876" s="2477"/>
      <c r="GKH1876" s="2477"/>
      <c r="GKI1876" s="2477"/>
      <c r="GKJ1876" s="2477"/>
      <c r="GKK1876" s="2477"/>
      <c r="GKL1876" s="2477"/>
      <c r="GKM1876" s="2477"/>
      <c r="GKN1876" s="2477"/>
      <c r="GKO1876" s="2477"/>
      <c r="GKP1876" s="2477"/>
      <c r="GKQ1876" s="2477"/>
      <c r="GKR1876" s="2477"/>
      <c r="GKS1876" s="2477"/>
      <c r="GKT1876" s="2477"/>
      <c r="GKU1876" s="2477"/>
      <c r="GKV1876" s="2477"/>
      <c r="GKW1876" s="2477"/>
      <c r="GKX1876" s="2477"/>
      <c r="GKY1876" s="2477"/>
      <c r="GKZ1876" s="2477"/>
      <c r="GLA1876" s="2477"/>
      <c r="GLB1876" s="2477"/>
      <c r="GLC1876" s="2477"/>
      <c r="GLD1876" s="2477"/>
      <c r="GLE1876" s="2477"/>
      <c r="GLF1876" s="2477"/>
      <c r="GLG1876" s="2477"/>
      <c r="GLH1876" s="2477"/>
      <c r="GLI1876" s="2477"/>
      <c r="GLJ1876" s="2477"/>
      <c r="GLK1876" s="2477"/>
      <c r="GLL1876" s="2477"/>
      <c r="GLM1876" s="2477"/>
      <c r="GLN1876" s="2477"/>
      <c r="GLO1876" s="2477"/>
      <c r="GLP1876" s="2477"/>
      <c r="GLQ1876" s="2477"/>
      <c r="GLR1876" s="2477"/>
      <c r="GLS1876" s="2477"/>
      <c r="GLT1876" s="2477"/>
      <c r="GLU1876" s="2477"/>
      <c r="GLV1876" s="2477"/>
      <c r="GLW1876" s="2477"/>
      <c r="GLX1876" s="2477"/>
      <c r="GLY1876" s="2477"/>
      <c r="GLZ1876" s="2477"/>
      <c r="GMA1876" s="2477"/>
      <c r="GMB1876" s="2477"/>
      <c r="GMC1876" s="2477"/>
      <c r="GMD1876" s="2477"/>
      <c r="GME1876" s="2477"/>
      <c r="GMF1876" s="2477"/>
      <c r="GMG1876" s="2477"/>
      <c r="GMH1876" s="2477"/>
      <c r="GMI1876" s="2477"/>
      <c r="GMJ1876" s="2477"/>
      <c r="GMK1876" s="2477"/>
      <c r="GML1876" s="2477"/>
      <c r="GMM1876" s="2477"/>
      <c r="GMN1876" s="2477"/>
      <c r="GMO1876" s="2477"/>
      <c r="GMP1876" s="2477"/>
      <c r="GMQ1876" s="2477"/>
      <c r="GMR1876" s="2477"/>
      <c r="GMS1876" s="2477"/>
      <c r="GMT1876" s="2477"/>
      <c r="GMU1876" s="2477"/>
      <c r="GMV1876" s="2477"/>
      <c r="GMW1876" s="2477"/>
      <c r="GMX1876" s="2477"/>
      <c r="GMY1876" s="2477"/>
      <c r="GMZ1876" s="2477"/>
      <c r="GNA1876" s="2477"/>
      <c r="GNB1876" s="2477"/>
      <c r="GNC1876" s="2477"/>
      <c r="GND1876" s="2477"/>
      <c r="GNE1876" s="2477"/>
      <c r="GNF1876" s="2477"/>
      <c r="GNG1876" s="2477"/>
      <c r="GNH1876" s="2477"/>
      <c r="GNI1876" s="2477"/>
      <c r="GNJ1876" s="2477"/>
      <c r="GNK1876" s="2477"/>
      <c r="GNL1876" s="2477"/>
      <c r="GNM1876" s="2477"/>
      <c r="GNN1876" s="2477"/>
      <c r="GNO1876" s="2477"/>
      <c r="GNP1876" s="2477"/>
      <c r="GNQ1876" s="2477"/>
      <c r="GNR1876" s="2477"/>
      <c r="GNS1876" s="2477"/>
      <c r="GNT1876" s="2477"/>
      <c r="GNU1876" s="2477"/>
      <c r="GNV1876" s="2477"/>
      <c r="GNW1876" s="2477"/>
      <c r="GNX1876" s="2477"/>
      <c r="GNY1876" s="2477"/>
      <c r="GNZ1876" s="2477"/>
      <c r="GOA1876" s="2477"/>
      <c r="GOB1876" s="2477"/>
      <c r="GOC1876" s="2477"/>
      <c r="GOD1876" s="2477"/>
      <c r="GOE1876" s="2477"/>
      <c r="GOF1876" s="2477"/>
      <c r="GOG1876" s="2477"/>
      <c r="GOH1876" s="2477"/>
      <c r="GOI1876" s="2477"/>
      <c r="GOJ1876" s="2477"/>
      <c r="GOK1876" s="2477"/>
      <c r="GOL1876" s="2477"/>
      <c r="GOM1876" s="2477"/>
      <c r="GON1876" s="2477"/>
      <c r="GOO1876" s="2477"/>
      <c r="GOP1876" s="2477"/>
      <c r="GOQ1876" s="2477"/>
      <c r="GOR1876" s="2477"/>
      <c r="GOS1876" s="2477"/>
      <c r="GOT1876" s="2477"/>
      <c r="GOU1876" s="2477"/>
      <c r="GOV1876" s="2477"/>
      <c r="GOW1876" s="2477"/>
      <c r="GOX1876" s="2477"/>
      <c r="GOY1876" s="2477"/>
      <c r="GOZ1876" s="2477"/>
      <c r="GPA1876" s="2477"/>
      <c r="GPB1876" s="2477"/>
      <c r="GPC1876" s="2477"/>
      <c r="GPD1876" s="2477"/>
      <c r="GPE1876" s="2477"/>
      <c r="GPF1876" s="2477"/>
      <c r="GPG1876" s="2477"/>
      <c r="GPH1876" s="2477"/>
      <c r="GPI1876" s="2477"/>
      <c r="GPJ1876" s="2477"/>
      <c r="GPK1876" s="2477"/>
      <c r="GPL1876" s="2477"/>
      <c r="GPM1876" s="2477"/>
      <c r="GPN1876" s="2477"/>
      <c r="GPO1876" s="2477"/>
      <c r="GPP1876" s="2477"/>
      <c r="GPQ1876" s="2477"/>
      <c r="GPR1876" s="2477"/>
      <c r="GPS1876" s="2477"/>
      <c r="GPT1876" s="2477"/>
      <c r="GPU1876" s="2477"/>
      <c r="GPV1876" s="2477"/>
      <c r="GPW1876" s="2477"/>
      <c r="GPX1876" s="2477"/>
      <c r="GPY1876" s="2477"/>
      <c r="GPZ1876" s="2477"/>
      <c r="GQA1876" s="2477"/>
      <c r="GQB1876" s="2477"/>
      <c r="GQC1876" s="2477"/>
      <c r="GQD1876" s="2477"/>
      <c r="GQE1876" s="2477"/>
      <c r="GQF1876" s="2477"/>
      <c r="GQG1876" s="2477"/>
      <c r="GQH1876" s="2477"/>
      <c r="GQI1876" s="2477"/>
      <c r="GQJ1876" s="2477"/>
      <c r="GQK1876" s="2477"/>
      <c r="GQL1876" s="2477"/>
      <c r="GQM1876" s="2477"/>
      <c r="GQN1876" s="2477"/>
      <c r="GQO1876" s="2477"/>
      <c r="GQP1876" s="2477"/>
      <c r="GQQ1876" s="2477"/>
      <c r="GQR1876" s="2477"/>
      <c r="GQS1876" s="2477"/>
      <c r="GQT1876" s="2477"/>
      <c r="GQU1876" s="2477"/>
      <c r="GQV1876" s="2477"/>
      <c r="GQW1876" s="2477"/>
      <c r="GQX1876" s="2477"/>
      <c r="GQY1876" s="2477"/>
      <c r="GQZ1876" s="2477"/>
      <c r="GRA1876" s="2477"/>
      <c r="GRB1876" s="2477"/>
      <c r="GRC1876" s="2477"/>
      <c r="GRD1876" s="2477"/>
      <c r="GRE1876" s="2477"/>
      <c r="GRF1876" s="2477"/>
      <c r="GRG1876" s="2477"/>
      <c r="GRH1876" s="2477"/>
      <c r="GRI1876" s="2477"/>
      <c r="GRJ1876" s="2477"/>
      <c r="GRK1876" s="2477"/>
      <c r="GRL1876" s="2477"/>
      <c r="GRM1876" s="2477"/>
      <c r="GRN1876" s="2477"/>
      <c r="GRO1876" s="2477"/>
      <c r="GRP1876" s="2477"/>
      <c r="GRQ1876" s="2477"/>
      <c r="GRR1876" s="2477"/>
      <c r="GRS1876" s="2477"/>
      <c r="GRT1876" s="2477"/>
      <c r="GRU1876" s="2477"/>
      <c r="GRV1876" s="2477"/>
      <c r="GRW1876" s="2477"/>
      <c r="GRX1876" s="2477"/>
      <c r="GRY1876" s="2477"/>
      <c r="GRZ1876" s="2477"/>
      <c r="GSA1876" s="2477"/>
      <c r="GSB1876" s="2477"/>
      <c r="GSC1876" s="2477"/>
      <c r="GSD1876" s="2477"/>
      <c r="GSE1876" s="2477"/>
      <c r="GSF1876" s="2477"/>
      <c r="GSG1876" s="2477"/>
      <c r="GSH1876" s="2477"/>
      <c r="GSI1876" s="2477"/>
      <c r="GSJ1876" s="2477"/>
      <c r="GSK1876" s="2477"/>
      <c r="GSL1876" s="2477"/>
      <c r="GSM1876" s="2477"/>
      <c r="GSN1876" s="2477"/>
      <c r="GSO1876" s="2477"/>
      <c r="GSP1876" s="2477"/>
      <c r="GSQ1876" s="2477"/>
      <c r="GSR1876" s="2477"/>
      <c r="GSS1876" s="2477"/>
      <c r="GST1876" s="2477"/>
      <c r="GSU1876" s="2477"/>
      <c r="GSV1876" s="2477"/>
      <c r="GSW1876" s="2477"/>
      <c r="GSX1876" s="2477"/>
      <c r="GSY1876" s="2477"/>
      <c r="GSZ1876" s="2477"/>
      <c r="GTA1876" s="2477"/>
      <c r="GTB1876" s="2477"/>
      <c r="GTC1876" s="2477"/>
      <c r="GTD1876" s="2477"/>
      <c r="GTE1876" s="2477"/>
      <c r="GTF1876" s="2477"/>
      <c r="GTG1876" s="2477"/>
      <c r="GTH1876" s="2477"/>
      <c r="GTI1876" s="2477"/>
      <c r="GTJ1876" s="2477"/>
      <c r="GTK1876" s="2477"/>
      <c r="GTL1876" s="2477"/>
      <c r="GTM1876" s="2477"/>
      <c r="GTN1876" s="2477"/>
      <c r="GTO1876" s="2477"/>
      <c r="GTP1876" s="2477"/>
      <c r="GTQ1876" s="2477"/>
      <c r="GTR1876" s="2477"/>
      <c r="GTS1876" s="2477"/>
      <c r="GTT1876" s="2477"/>
      <c r="GTU1876" s="2477"/>
      <c r="GTV1876" s="2477"/>
      <c r="GTW1876" s="2477"/>
      <c r="GTX1876" s="2477"/>
      <c r="GTY1876" s="2477"/>
      <c r="GTZ1876" s="2477"/>
      <c r="GUA1876" s="2477"/>
      <c r="GUB1876" s="2477"/>
      <c r="GUC1876" s="2477"/>
      <c r="GUD1876" s="2477"/>
      <c r="GUE1876" s="2477"/>
      <c r="GUF1876" s="2477"/>
      <c r="GUG1876" s="2477"/>
      <c r="GUH1876" s="2477"/>
      <c r="GUI1876" s="2477"/>
      <c r="GUJ1876" s="2477"/>
      <c r="GUK1876" s="2477"/>
      <c r="GUL1876" s="2477"/>
      <c r="GUM1876" s="2477"/>
      <c r="GUN1876" s="2477"/>
      <c r="GUO1876" s="2477"/>
      <c r="GUP1876" s="2477"/>
      <c r="GUQ1876" s="2477"/>
      <c r="GUR1876" s="2477"/>
      <c r="GUS1876" s="2477"/>
      <c r="GUT1876" s="2477"/>
      <c r="GUU1876" s="2477"/>
      <c r="GUV1876" s="2477"/>
      <c r="GUW1876" s="2477"/>
      <c r="GUX1876" s="2477"/>
      <c r="GUY1876" s="2477"/>
      <c r="GUZ1876" s="2477"/>
      <c r="GVA1876" s="2477"/>
      <c r="GVB1876" s="2477"/>
      <c r="GVC1876" s="2477"/>
      <c r="GVD1876" s="2477"/>
      <c r="GVE1876" s="2477"/>
      <c r="GVF1876" s="2477"/>
      <c r="GVG1876" s="2477"/>
      <c r="GVH1876" s="2477"/>
      <c r="GVI1876" s="2477"/>
      <c r="GVJ1876" s="2477"/>
      <c r="GVK1876" s="2477"/>
      <c r="GVL1876" s="2477"/>
      <c r="GVM1876" s="2477"/>
      <c r="GVN1876" s="2477"/>
      <c r="GVO1876" s="2477"/>
      <c r="GVP1876" s="2477"/>
      <c r="GVQ1876" s="2477"/>
      <c r="GVR1876" s="2477"/>
      <c r="GVS1876" s="2477"/>
      <c r="GVT1876" s="2477"/>
      <c r="GVU1876" s="2477"/>
      <c r="GVV1876" s="2477"/>
      <c r="GVW1876" s="2477"/>
      <c r="GVX1876" s="2477"/>
      <c r="GVY1876" s="2477"/>
      <c r="GVZ1876" s="2477"/>
      <c r="GWA1876" s="2477"/>
      <c r="GWB1876" s="2477"/>
      <c r="GWC1876" s="2477"/>
      <c r="GWD1876" s="2477"/>
      <c r="GWE1876" s="2477"/>
      <c r="GWF1876" s="2477"/>
      <c r="GWG1876" s="2477"/>
      <c r="GWH1876" s="2477"/>
      <c r="GWI1876" s="2477"/>
      <c r="GWJ1876" s="2477"/>
      <c r="GWK1876" s="2477"/>
      <c r="GWL1876" s="2477"/>
      <c r="GWM1876" s="2477"/>
      <c r="GWN1876" s="2477"/>
      <c r="GWO1876" s="2477"/>
      <c r="GWP1876" s="2477"/>
      <c r="GWQ1876" s="2477"/>
      <c r="GWR1876" s="2477"/>
      <c r="GWS1876" s="2477"/>
      <c r="GWT1876" s="2477"/>
      <c r="GWU1876" s="2477"/>
      <c r="GWV1876" s="2477"/>
      <c r="GWW1876" s="2477"/>
      <c r="GWX1876" s="2477"/>
      <c r="GWY1876" s="2477"/>
      <c r="GWZ1876" s="2477"/>
      <c r="GXA1876" s="2477"/>
      <c r="GXB1876" s="2477"/>
      <c r="GXC1876" s="2477"/>
      <c r="GXD1876" s="2477"/>
      <c r="GXE1876" s="2477"/>
      <c r="GXF1876" s="2477"/>
      <c r="GXG1876" s="2477"/>
      <c r="GXH1876" s="2477"/>
      <c r="GXI1876" s="2477"/>
      <c r="GXJ1876" s="2477"/>
      <c r="GXK1876" s="2477"/>
      <c r="GXL1876" s="2477"/>
      <c r="GXM1876" s="2477"/>
      <c r="GXN1876" s="2477"/>
      <c r="GXO1876" s="2477"/>
      <c r="GXP1876" s="2477"/>
      <c r="GXQ1876" s="2477"/>
      <c r="GXR1876" s="2477"/>
      <c r="GXS1876" s="2477"/>
      <c r="GXT1876" s="2477"/>
      <c r="GXU1876" s="2477"/>
      <c r="GXV1876" s="2477"/>
      <c r="GXW1876" s="2477"/>
      <c r="GXX1876" s="2477"/>
      <c r="GXY1876" s="2477"/>
      <c r="GXZ1876" s="2477"/>
      <c r="GYA1876" s="2477"/>
      <c r="GYB1876" s="2477"/>
      <c r="GYC1876" s="2477"/>
      <c r="GYD1876" s="2477"/>
      <c r="GYE1876" s="2477"/>
      <c r="GYF1876" s="2477"/>
      <c r="GYG1876" s="2477"/>
      <c r="GYH1876" s="2477"/>
      <c r="GYI1876" s="2477"/>
      <c r="GYJ1876" s="2477"/>
      <c r="GYK1876" s="2477"/>
      <c r="GYL1876" s="2477"/>
      <c r="GYM1876" s="2477"/>
      <c r="GYN1876" s="2477"/>
      <c r="GYO1876" s="2477"/>
      <c r="GYP1876" s="2477"/>
      <c r="GYQ1876" s="2477"/>
      <c r="GYR1876" s="2477"/>
      <c r="GYS1876" s="2477"/>
      <c r="GYT1876" s="2477"/>
      <c r="GYU1876" s="2477"/>
      <c r="GYV1876" s="2477"/>
      <c r="GYW1876" s="2477"/>
      <c r="GYX1876" s="2477"/>
      <c r="GYY1876" s="2477"/>
      <c r="GYZ1876" s="2477"/>
      <c r="GZA1876" s="2477"/>
      <c r="GZB1876" s="2477"/>
      <c r="GZC1876" s="2477"/>
      <c r="GZD1876" s="2477"/>
      <c r="GZE1876" s="2477"/>
      <c r="GZF1876" s="2477"/>
      <c r="GZG1876" s="2477"/>
      <c r="GZH1876" s="2477"/>
      <c r="GZI1876" s="2477"/>
      <c r="GZJ1876" s="2477"/>
      <c r="GZK1876" s="2477"/>
      <c r="GZL1876" s="2477"/>
      <c r="GZM1876" s="2477"/>
      <c r="GZN1876" s="2477"/>
      <c r="GZO1876" s="2477"/>
      <c r="GZP1876" s="2477"/>
      <c r="GZQ1876" s="2477"/>
      <c r="GZR1876" s="2477"/>
      <c r="GZS1876" s="2477"/>
      <c r="GZT1876" s="2477"/>
      <c r="GZU1876" s="2477"/>
      <c r="GZV1876" s="2477"/>
      <c r="GZW1876" s="2477"/>
      <c r="GZX1876" s="2477"/>
      <c r="GZY1876" s="2477"/>
      <c r="GZZ1876" s="2477"/>
      <c r="HAA1876" s="2477"/>
      <c r="HAB1876" s="2477"/>
      <c r="HAC1876" s="2477"/>
      <c r="HAD1876" s="2477"/>
      <c r="HAE1876" s="2477"/>
      <c r="HAF1876" s="2477"/>
      <c r="HAG1876" s="2477"/>
      <c r="HAH1876" s="2477"/>
      <c r="HAI1876" s="2477"/>
      <c r="HAJ1876" s="2477"/>
      <c r="HAK1876" s="2477"/>
      <c r="HAL1876" s="2477"/>
      <c r="HAM1876" s="2477"/>
      <c r="HAN1876" s="2477"/>
      <c r="HAO1876" s="2477"/>
      <c r="HAP1876" s="2477"/>
      <c r="HAQ1876" s="2477"/>
      <c r="HAR1876" s="2477"/>
      <c r="HAS1876" s="2477"/>
      <c r="HAT1876" s="2477"/>
      <c r="HAU1876" s="2477"/>
      <c r="HAV1876" s="2477"/>
      <c r="HAW1876" s="2477"/>
      <c r="HAX1876" s="2477"/>
      <c r="HAY1876" s="2477"/>
      <c r="HAZ1876" s="2477"/>
      <c r="HBA1876" s="2477"/>
      <c r="HBB1876" s="2477"/>
      <c r="HBC1876" s="2477"/>
      <c r="HBD1876" s="2477"/>
      <c r="HBE1876" s="2477"/>
      <c r="HBF1876" s="2477"/>
      <c r="HBG1876" s="2477"/>
      <c r="HBH1876" s="2477"/>
      <c r="HBI1876" s="2477"/>
      <c r="HBJ1876" s="2477"/>
      <c r="HBK1876" s="2477"/>
      <c r="HBL1876" s="2477"/>
      <c r="HBM1876" s="2477"/>
      <c r="HBN1876" s="2477"/>
      <c r="HBO1876" s="2477"/>
      <c r="HBP1876" s="2477"/>
      <c r="HBQ1876" s="2477"/>
      <c r="HBR1876" s="2477"/>
      <c r="HBS1876" s="2477"/>
      <c r="HBT1876" s="2477"/>
      <c r="HBU1876" s="2477"/>
      <c r="HBV1876" s="2477"/>
      <c r="HBW1876" s="2477"/>
      <c r="HBX1876" s="2477"/>
      <c r="HBY1876" s="2477"/>
      <c r="HBZ1876" s="2477"/>
      <c r="HCA1876" s="2477"/>
      <c r="HCB1876" s="2477"/>
      <c r="HCC1876" s="2477"/>
      <c r="HCD1876" s="2477"/>
      <c r="HCE1876" s="2477"/>
      <c r="HCF1876" s="2477"/>
      <c r="HCG1876" s="2477"/>
      <c r="HCH1876" s="2477"/>
      <c r="HCI1876" s="2477"/>
      <c r="HCJ1876" s="2477"/>
      <c r="HCK1876" s="2477"/>
      <c r="HCL1876" s="2477"/>
      <c r="HCM1876" s="2477"/>
      <c r="HCN1876" s="2477"/>
      <c r="HCO1876" s="2477"/>
      <c r="HCP1876" s="2477"/>
      <c r="HCQ1876" s="2477"/>
      <c r="HCR1876" s="2477"/>
      <c r="HCS1876" s="2477"/>
      <c r="HCT1876" s="2477"/>
      <c r="HCU1876" s="2477"/>
      <c r="HCV1876" s="2477"/>
      <c r="HCW1876" s="2477"/>
      <c r="HCX1876" s="2477"/>
      <c r="HCY1876" s="2477"/>
      <c r="HCZ1876" s="2477"/>
      <c r="HDA1876" s="2477"/>
      <c r="HDB1876" s="2477"/>
      <c r="HDC1876" s="2477"/>
      <c r="HDD1876" s="2477"/>
      <c r="HDE1876" s="2477"/>
      <c r="HDF1876" s="2477"/>
      <c r="HDG1876" s="2477"/>
      <c r="HDH1876" s="2477"/>
      <c r="HDI1876" s="2477"/>
      <c r="HDJ1876" s="2477"/>
      <c r="HDK1876" s="2477"/>
      <c r="HDL1876" s="2477"/>
      <c r="HDM1876" s="2477"/>
      <c r="HDN1876" s="2477"/>
      <c r="HDO1876" s="2477"/>
      <c r="HDP1876" s="2477"/>
      <c r="HDQ1876" s="2477"/>
      <c r="HDR1876" s="2477"/>
      <c r="HDS1876" s="2477"/>
      <c r="HDT1876" s="2477"/>
      <c r="HDU1876" s="2477"/>
      <c r="HDV1876" s="2477"/>
      <c r="HDW1876" s="2477"/>
      <c r="HDX1876" s="2477"/>
      <c r="HDY1876" s="2477"/>
      <c r="HDZ1876" s="2477"/>
      <c r="HEA1876" s="2477"/>
      <c r="HEB1876" s="2477"/>
      <c r="HEC1876" s="2477"/>
      <c r="HED1876" s="2477"/>
      <c r="HEE1876" s="2477"/>
      <c r="HEF1876" s="2477"/>
      <c r="HEG1876" s="2477"/>
      <c r="HEH1876" s="2477"/>
      <c r="HEI1876" s="2477"/>
      <c r="HEJ1876" s="2477"/>
      <c r="HEK1876" s="2477"/>
      <c r="HEL1876" s="2477"/>
      <c r="HEM1876" s="2477"/>
      <c r="HEN1876" s="2477"/>
      <c r="HEO1876" s="2477"/>
      <c r="HEP1876" s="2477"/>
      <c r="HEQ1876" s="2477"/>
      <c r="HER1876" s="2477"/>
      <c r="HES1876" s="2477"/>
      <c r="HET1876" s="2477"/>
      <c r="HEU1876" s="2477"/>
      <c r="HEV1876" s="2477"/>
      <c r="HEW1876" s="2477"/>
      <c r="HEX1876" s="2477"/>
      <c r="HEY1876" s="2477"/>
      <c r="HEZ1876" s="2477"/>
      <c r="HFA1876" s="2477"/>
      <c r="HFB1876" s="2477"/>
      <c r="HFC1876" s="2477"/>
      <c r="HFD1876" s="2477"/>
      <c r="HFE1876" s="2477"/>
      <c r="HFF1876" s="2477"/>
      <c r="HFG1876" s="2477"/>
      <c r="HFH1876" s="2477"/>
      <c r="HFI1876" s="2477"/>
      <c r="HFJ1876" s="2477"/>
      <c r="HFK1876" s="2477"/>
      <c r="HFL1876" s="2477"/>
      <c r="HFM1876" s="2477"/>
      <c r="HFN1876" s="2477"/>
      <c r="HFO1876" s="2477"/>
      <c r="HFP1876" s="2477"/>
      <c r="HFQ1876" s="2477"/>
      <c r="HFR1876" s="2477"/>
      <c r="HFS1876" s="2477"/>
      <c r="HFT1876" s="2477"/>
      <c r="HFU1876" s="2477"/>
      <c r="HFV1876" s="2477"/>
      <c r="HFW1876" s="2477"/>
      <c r="HFX1876" s="2477"/>
      <c r="HFY1876" s="2477"/>
      <c r="HFZ1876" s="2477"/>
      <c r="HGA1876" s="2477"/>
      <c r="HGB1876" s="2477"/>
      <c r="HGC1876" s="2477"/>
      <c r="HGD1876" s="2477"/>
      <c r="HGE1876" s="2477"/>
      <c r="HGF1876" s="2477"/>
      <c r="HGG1876" s="2477"/>
      <c r="HGH1876" s="2477"/>
      <c r="HGI1876" s="2477"/>
      <c r="HGJ1876" s="2477"/>
      <c r="HGK1876" s="2477"/>
      <c r="HGL1876" s="2477"/>
      <c r="HGM1876" s="2477"/>
      <c r="HGN1876" s="2477"/>
      <c r="HGO1876" s="2477"/>
      <c r="HGP1876" s="2477"/>
      <c r="HGQ1876" s="2477"/>
      <c r="HGR1876" s="2477"/>
      <c r="HGS1876" s="2477"/>
      <c r="HGT1876" s="2477"/>
      <c r="HGU1876" s="2477"/>
      <c r="HGV1876" s="2477"/>
      <c r="HGW1876" s="2477"/>
      <c r="HGX1876" s="2477"/>
      <c r="HGY1876" s="2477"/>
      <c r="HGZ1876" s="2477"/>
      <c r="HHA1876" s="2477"/>
      <c r="HHB1876" s="2477"/>
      <c r="HHC1876" s="2477"/>
      <c r="HHD1876" s="2477"/>
      <c r="HHE1876" s="2477"/>
      <c r="HHF1876" s="2477"/>
      <c r="HHG1876" s="2477"/>
      <c r="HHH1876" s="2477"/>
      <c r="HHI1876" s="2477"/>
      <c r="HHJ1876" s="2477"/>
      <c r="HHK1876" s="2477"/>
      <c r="HHL1876" s="2477"/>
      <c r="HHM1876" s="2477"/>
      <c r="HHN1876" s="2477"/>
      <c r="HHO1876" s="2477"/>
      <c r="HHP1876" s="2477"/>
      <c r="HHQ1876" s="2477"/>
      <c r="HHR1876" s="2477"/>
      <c r="HHS1876" s="2477"/>
      <c r="HHT1876" s="2477"/>
      <c r="HHU1876" s="2477"/>
      <c r="HHV1876" s="2477"/>
      <c r="HHW1876" s="2477"/>
      <c r="HHX1876" s="2477"/>
      <c r="HHY1876" s="2477"/>
      <c r="HHZ1876" s="2477"/>
      <c r="HIA1876" s="2477"/>
      <c r="HIB1876" s="2477"/>
      <c r="HIC1876" s="2477"/>
      <c r="HID1876" s="2477"/>
      <c r="HIE1876" s="2477"/>
      <c r="HIF1876" s="2477"/>
      <c r="HIG1876" s="2477"/>
      <c r="HIH1876" s="2477"/>
      <c r="HII1876" s="2477"/>
      <c r="HIJ1876" s="2477"/>
      <c r="HIK1876" s="2477"/>
      <c r="HIL1876" s="2477"/>
      <c r="HIM1876" s="2477"/>
      <c r="HIN1876" s="2477"/>
      <c r="HIO1876" s="2477"/>
      <c r="HIP1876" s="2477"/>
      <c r="HIQ1876" s="2477"/>
      <c r="HIR1876" s="2477"/>
      <c r="HIS1876" s="2477"/>
      <c r="HIT1876" s="2477"/>
      <c r="HIU1876" s="2477"/>
      <c r="HIV1876" s="2477"/>
      <c r="HIW1876" s="2477"/>
      <c r="HIX1876" s="2477"/>
      <c r="HIY1876" s="2477"/>
      <c r="HIZ1876" s="2477"/>
      <c r="HJA1876" s="2477"/>
      <c r="HJB1876" s="2477"/>
      <c r="HJC1876" s="2477"/>
      <c r="HJD1876" s="2477"/>
      <c r="HJE1876" s="2477"/>
      <c r="HJF1876" s="2477"/>
      <c r="HJG1876" s="2477"/>
      <c r="HJH1876" s="2477"/>
      <c r="HJI1876" s="2477"/>
      <c r="HJJ1876" s="2477"/>
      <c r="HJK1876" s="2477"/>
      <c r="HJL1876" s="2477"/>
      <c r="HJM1876" s="2477"/>
      <c r="HJN1876" s="2477"/>
      <c r="HJO1876" s="2477"/>
      <c r="HJP1876" s="2477"/>
      <c r="HJQ1876" s="2477"/>
      <c r="HJR1876" s="2477"/>
      <c r="HJS1876" s="2477"/>
      <c r="HJT1876" s="2477"/>
      <c r="HJU1876" s="2477"/>
      <c r="HJV1876" s="2477"/>
      <c r="HJW1876" s="2477"/>
      <c r="HJX1876" s="2477"/>
      <c r="HJY1876" s="2477"/>
      <c r="HJZ1876" s="2477"/>
      <c r="HKA1876" s="2477"/>
      <c r="HKB1876" s="2477"/>
      <c r="HKC1876" s="2477"/>
      <c r="HKD1876" s="2477"/>
      <c r="HKE1876" s="2477"/>
      <c r="HKF1876" s="2477"/>
      <c r="HKG1876" s="2477"/>
      <c r="HKH1876" s="2477"/>
      <c r="HKI1876" s="2477"/>
      <c r="HKJ1876" s="2477"/>
      <c r="HKK1876" s="2477"/>
      <c r="HKL1876" s="2477"/>
      <c r="HKM1876" s="2477"/>
      <c r="HKN1876" s="2477"/>
      <c r="HKO1876" s="2477"/>
      <c r="HKP1876" s="2477"/>
      <c r="HKQ1876" s="2477"/>
      <c r="HKR1876" s="2477"/>
      <c r="HKS1876" s="2477"/>
      <c r="HKT1876" s="2477"/>
      <c r="HKU1876" s="2477"/>
      <c r="HKV1876" s="2477"/>
      <c r="HKW1876" s="2477"/>
      <c r="HKX1876" s="2477"/>
      <c r="HKY1876" s="2477"/>
      <c r="HKZ1876" s="2477"/>
      <c r="HLA1876" s="2477"/>
      <c r="HLB1876" s="2477"/>
      <c r="HLC1876" s="2477"/>
      <c r="HLD1876" s="2477"/>
      <c r="HLE1876" s="2477"/>
      <c r="HLF1876" s="2477"/>
      <c r="HLG1876" s="2477"/>
      <c r="HLH1876" s="2477"/>
      <c r="HLI1876" s="2477"/>
      <c r="HLJ1876" s="2477"/>
      <c r="HLK1876" s="2477"/>
      <c r="HLL1876" s="2477"/>
      <c r="HLM1876" s="2477"/>
      <c r="HLN1876" s="2477"/>
      <c r="HLO1876" s="2477"/>
      <c r="HLP1876" s="2477"/>
      <c r="HLQ1876" s="2477"/>
      <c r="HLR1876" s="2477"/>
      <c r="HLS1876" s="2477"/>
      <c r="HLT1876" s="2477"/>
      <c r="HLU1876" s="2477"/>
      <c r="HLV1876" s="2477"/>
      <c r="HLW1876" s="2477"/>
      <c r="HLX1876" s="2477"/>
      <c r="HLY1876" s="2477"/>
      <c r="HLZ1876" s="2477"/>
      <c r="HMA1876" s="2477"/>
      <c r="HMB1876" s="2477"/>
      <c r="HMC1876" s="2477"/>
      <c r="HMD1876" s="2477"/>
      <c r="HME1876" s="2477"/>
      <c r="HMF1876" s="2477"/>
      <c r="HMG1876" s="2477"/>
      <c r="HMH1876" s="2477"/>
      <c r="HMI1876" s="2477"/>
      <c r="HMJ1876" s="2477"/>
      <c r="HMK1876" s="2477"/>
      <c r="HML1876" s="2477"/>
      <c r="HMM1876" s="2477"/>
      <c r="HMN1876" s="2477"/>
      <c r="HMO1876" s="2477"/>
      <c r="HMP1876" s="2477"/>
      <c r="HMQ1876" s="2477"/>
      <c r="HMR1876" s="2477"/>
      <c r="HMS1876" s="2477"/>
      <c r="HMT1876" s="2477"/>
      <c r="HMU1876" s="2477"/>
      <c r="HMV1876" s="2477"/>
      <c r="HMW1876" s="2477"/>
      <c r="HMX1876" s="2477"/>
      <c r="HMY1876" s="2477"/>
      <c r="HMZ1876" s="2477"/>
      <c r="HNA1876" s="2477"/>
      <c r="HNB1876" s="2477"/>
      <c r="HNC1876" s="2477"/>
      <c r="HND1876" s="2477"/>
      <c r="HNE1876" s="2477"/>
      <c r="HNF1876" s="2477"/>
      <c r="HNG1876" s="2477"/>
      <c r="HNH1876" s="2477"/>
      <c r="HNI1876" s="2477"/>
      <c r="HNJ1876" s="2477"/>
      <c r="HNK1876" s="2477"/>
      <c r="HNL1876" s="2477"/>
      <c r="HNM1876" s="2477"/>
      <c r="HNN1876" s="2477"/>
      <c r="HNO1876" s="2477"/>
      <c r="HNP1876" s="2477"/>
      <c r="HNQ1876" s="2477"/>
      <c r="HNR1876" s="2477"/>
      <c r="HNS1876" s="2477"/>
      <c r="HNT1876" s="2477"/>
      <c r="HNU1876" s="2477"/>
      <c r="HNV1876" s="2477"/>
      <c r="HNW1876" s="2477"/>
      <c r="HNX1876" s="2477"/>
      <c r="HNY1876" s="2477"/>
      <c r="HNZ1876" s="2477"/>
      <c r="HOA1876" s="2477"/>
      <c r="HOB1876" s="2477"/>
      <c r="HOC1876" s="2477"/>
      <c r="HOD1876" s="2477"/>
      <c r="HOE1876" s="2477"/>
      <c r="HOF1876" s="2477"/>
      <c r="HOG1876" s="2477"/>
      <c r="HOH1876" s="2477"/>
      <c r="HOI1876" s="2477"/>
      <c r="HOJ1876" s="2477"/>
      <c r="HOK1876" s="2477"/>
      <c r="HOL1876" s="2477"/>
      <c r="HOM1876" s="2477"/>
      <c r="HON1876" s="2477"/>
      <c r="HOO1876" s="2477"/>
      <c r="HOP1876" s="2477"/>
      <c r="HOQ1876" s="2477"/>
      <c r="HOR1876" s="2477"/>
      <c r="HOS1876" s="2477"/>
      <c r="HOT1876" s="2477"/>
      <c r="HOU1876" s="2477"/>
      <c r="HOV1876" s="2477"/>
      <c r="HOW1876" s="2477"/>
      <c r="HOX1876" s="2477"/>
      <c r="HOY1876" s="2477"/>
      <c r="HOZ1876" s="2477"/>
      <c r="HPA1876" s="2477"/>
      <c r="HPB1876" s="2477"/>
      <c r="HPC1876" s="2477"/>
      <c r="HPD1876" s="2477"/>
      <c r="HPE1876" s="2477"/>
      <c r="HPF1876" s="2477"/>
      <c r="HPG1876" s="2477"/>
      <c r="HPH1876" s="2477"/>
      <c r="HPI1876" s="2477"/>
      <c r="HPJ1876" s="2477"/>
      <c r="HPK1876" s="2477"/>
      <c r="HPL1876" s="2477"/>
      <c r="HPM1876" s="2477"/>
      <c r="HPN1876" s="2477"/>
      <c r="HPO1876" s="2477"/>
      <c r="HPP1876" s="2477"/>
      <c r="HPQ1876" s="2477"/>
      <c r="HPR1876" s="2477"/>
      <c r="HPS1876" s="2477"/>
      <c r="HPT1876" s="2477"/>
      <c r="HPU1876" s="2477"/>
      <c r="HPV1876" s="2477"/>
      <c r="HPW1876" s="2477"/>
      <c r="HPX1876" s="2477"/>
      <c r="HPY1876" s="2477"/>
      <c r="HPZ1876" s="2477"/>
      <c r="HQA1876" s="2477"/>
      <c r="HQB1876" s="2477"/>
      <c r="HQC1876" s="2477"/>
      <c r="HQD1876" s="2477"/>
      <c r="HQE1876" s="2477"/>
      <c r="HQF1876" s="2477"/>
      <c r="HQG1876" s="2477"/>
      <c r="HQH1876" s="2477"/>
      <c r="HQI1876" s="2477"/>
      <c r="HQJ1876" s="2477"/>
      <c r="HQK1876" s="2477"/>
      <c r="HQL1876" s="2477"/>
      <c r="HQM1876" s="2477"/>
      <c r="HQN1876" s="2477"/>
      <c r="HQO1876" s="2477"/>
      <c r="HQP1876" s="2477"/>
      <c r="HQQ1876" s="2477"/>
      <c r="HQR1876" s="2477"/>
      <c r="HQS1876" s="2477"/>
      <c r="HQT1876" s="2477"/>
      <c r="HQU1876" s="2477"/>
      <c r="HQV1876" s="2477"/>
      <c r="HQW1876" s="2477"/>
      <c r="HQX1876" s="2477"/>
      <c r="HQY1876" s="2477"/>
      <c r="HQZ1876" s="2477"/>
      <c r="HRA1876" s="2477"/>
      <c r="HRB1876" s="2477"/>
      <c r="HRC1876" s="2477"/>
      <c r="HRD1876" s="2477"/>
      <c r="HRE1876" s="2477"/>
      <c r="HRF1876" s="2477"/>
      <c r="HRG1876" s="2477"/>
      <c r="HRH1876" s="2477"/>
      <c r="HRI1876" s="2477"/>
      <c r="HRJ1876" s="2477"/>
      <c r="HRK1876" s="2477"/>
      <c r="HRL1876" s="2477"/>
      <c r="HRM1876" s="2477"/>
      <c r="HRN1876" s="2477"/>
      <c r="HRO1876" s="2477"/>
      <c r="HRP1876" s="2477"/>
      <c r="HRQ1876" s="2477"/>
      <c r="HRR1876" s="2477"/>
      <c r="HRS1876" s="2477"/>
      <c r="HRT1876" s="2477"/>
      <c r="HRU1876" s="2477"/>
      <c r="HRV1876" s="2477"/>
      <c r="HRW1876" s="2477"/>
      <c r="HRX1876" s="2477"/>
      <c r="HRY1876" s="2477"/>
      <c r="HRZ1876" s="2477"/>
      <c r="HSA1876" s="2477"/>
      <c r="HSB1876" s="2477"/>
      <c r="HSC1876" s="2477"/>
      <c r="HSD1876" s="2477"/>
      <c r="HSE1876" s="2477"/>
      <c r="HSF1876" s="2477"/>
      <c r="HSG1876" s="2477"/>
      <c r="HSH1876" s="2477"/>
      <c r="HSI1876" s="2477"/>
      <c r="HSJ1876" s="2477"/>
      <c r="HSK1876" s="2477"/>
      <c r="HSL1876" s="2477"/>
      <c r="HSM1876" s="2477"/>
      <c r="HSN1876" s="2477"/>
      <c r="HSO1876" s="2477"/>
      <c r="HSP1876" s="2477"/>
      <c r="HSQ1876" s="2477"/>
      <c r="HSR1876" s="2477"/>
      <c r="HSS1876" s="2477"/>
      <c r="HST1876" s="2477"/>
      <c r="HSU1876" s="2477"/>
      <c r="HSV1876" s="2477"/>
      <c r="HSW1876" s="2477"/>
      <c r="HSX1876" s="2477"/>
      <c r="HSY1876" s="2477"/>
      <c r="HSZ1876" s="2477"/>
      <c r="HTA1876" s="2477"/>
      <c r="HTB1876" s="2477"/>
      <c r="HTC1876" s="2477"/>
      <c r="HTD1876" s="2477"/>
      <c r="HTE1876" s="2477"/>
      <c r="HTF1876" s="2477"/>
      <c r="HTG1876" s="2477"/>
      <c r="HTH1876" s="2477"/>
      <c r="HTI1876" s="2477"/>
      <c r="HTJ1876" s="2477"/>
      <c r="HTK1876" s="2477"/>
      <c r="HTL1876" s="2477"/>
      <c r="HTM1876" s="2477"/>
      <c r="HTN1876" s="2477"/>
      <c r="HTO1876" s="2477"/>
      <c r="HTP1876" s="2477"/>
      <c r="HTQ1876" s="2477"/>
      <c r="HTR1876" s="2477"/>
      <c r="HTS1876" s="2477"/>
      <c r="HTT1876" s="2477"/>
      <c r="HTU1876" s="2477"/>
      <c r="HTV1876" s="2477"/>
      <c r="HTW1876" s="2477"/>
      <c r="HTX1876" s="2477"/>
      <c r="HTY1876" s="2477"/>
      <c r="HTZ1876" s="2477"/>
      <c r="HUA1876" s="2477"/>
      <c r="HUB1876" s="2477"/>
      <c r="HUC1876" s="2477"/>
      <c r="HUD1876" s="2477"/>
      <c r="HUE1876" s="2477"/>
      <c r="HUF1876" s="2477"/>
      <c r="HUG1876" s="2477"/>
      <c r="HUH1876" s="2477"/>
      <c r="HUI1876" s="2477"/>
      <c r="HUJ1876" s="2477"/>
      <c r="HUK1876" s="2477"/>
      <c r="HUL1876" s="2477"/>
      <c r="HUM1876" s="2477"/>
      <c r="HUN1876" s="2477"/>
      <c r="HUO1876" s="2477"/>
      <c r="HUP1876" s="2477"/>
      <c r="HUQ1876" s="2477"/>
      <c r="HUR1876" s="2477"/>
      <c r="HUS1876" s="2477"/>
      <c r="HUT1876" s="2477"/>
      <c r="HUU1876" s="2477"/>
      <c r="HUV1876" s="2477"/>
      <c r="HUW1876" s="2477"/>
      <c r="HUX1876" s="2477"/>
      <c r="HUY1876" s="2477"/>
      <c r="HUZ1876" s="2477"/>
      <c r="HVA1876" s="2477"/>
      <c r="HVB1876" s="2477"/>
      <c r="HVC1876" s="2477"/>
      <c r="HVD1876" s="2477"/>
      <c r="HVE1876" s="2477"/>
      <c r="HVF1876" s="2477"/>
      <c r="HVG1876" s="2477"/>
      <c r="HVH1876" s="2477"/>
      <c r="HVI1876" s="2477"/>
      <c r="HVJ1876" s="2477"/>
      <c r="HVK1876" s="2477"/>
      <c r="HVL1876" s="2477"/>
      <c r="HVM1876" s="2477"/>
      <c r="HVN1876" s="2477"/>
      <c r="HVO1876" s="2477"/>
      <c r="HVP1876" s="2477"/>
      <c r="HVQ1876" s="2477"/>
      <c r="HVR1876" s="2477"/>
      <c r="HVS1876" s="2477"/>
      <c r="HVT1876" s="2477"/>
      <c r="HVU1876" s="2477"/>
      <c r="HVV1876" s="2477"/>
      <c r="HVW1876" s="2477"/>
      <c r="HVX1876" s="2477"/>
      <c r="HVY1876" s="2477"/>
      <c r="HVZ1876" s="2477"/>
      <c r="HWA1876" s="2477"/>
      <c r="HWB1876" s="2477"/>
      <c r="HWC1876" s="2477"/>
      <c r="HWD1876" s="2477"/>
      <c r="HWE1876" s="2477"/>
      <c r="HWF1876" s="2477"/>
      <c r="HWG1876" s="2477"/>
      <c r="HWH1876" s="2477"/>
      <c r="HWI1876" s="2477"/>
      <c r="HWJ1876" s="2477"/>
      <c r="HWK1876" s="2477"/>
      <c r="HWL1876" s="2477"/>
      <c r="HWM1876" s="2477"/>
      <c r="HWN1876" s="2477"/>
      <c r="HWO1876" s="2477"/>
      <c r="HWP1876" s="2477"/>
      <c r="HWQ1876" s="2477"/>
      <c r="HWR1876" s="2477"/>
      <c r="HWS1876" s="2477"/>
      <c r="HWT1876" s="2477"/>
      <c r="HWU1876" s="2477"/>
      <c r="HWV1876" s="2477"/>
      <c r="HWW1876" s="2477"/>
      <c r="HWX1876" s="2477"/>
      <c r="HWY1876" s="2477"/>
      <c r="HWZ1876" s="2477"/>
      <c r="HXA1876" s="2477"/>
      <c r="HXB1876" s="2477"/>
      <c r="HXC1876" s="2477"/>
      <c r="HXD1876" s="2477"/>
      <c r="HXE1876" s="2477"/>
      <c r="HXF1876" s="2477"/>
      <c r="HXG1876" s="2477"/>
      <c r="HXH1876" s="2477"/>
      <c r="HXI1876" s="2477"/>
      <c r="HXJ1876" s="2477"/>
      <c r="HXK1876" s="2477"/>
      <c r="HXL1876" s="2477"/>
      <c r="HXM1876" s="2477"/>
      <c r="HXN1876" s="2477"/>
      <c r="HXO1876" s="2477"/>
      <c r="HXP1876" s="2477"/>
      <c r="HXQ1876" s="2477"/>
      <c r="HXR1876" s="2477"/>
      <c r="HXS1876" s="2477"/>
      <c r="HXT1876" s="2477"/>
      <c r="HXU1876" s="2477"/>
      <c r="HXV1876" s="2477"/>
      <c r="HXW1876" s="2477"/>
      <c r="HXX1876" s="2477"/>
      <c r="HXY1876" s="2477"/>
      <c r="HXZ1876" s="2477"/>
      <c r="HYA1876" s="2477"/>
      <c r="HYB1876" s="2477"/>
      <c r="HYC1876" s="2477"/>
      <c r="HYD1876" s="2477"/>
      <c r="HYE1876" s="2477"/>
      <c r="HYF1876" s="2477"/>
      <c r="HYG1876" s="2477"/>
      <c r="HYH1876" s="2477"/>
      <c r="HYI1876" s="2477"/>
      <c r="HYJ1876" s="2477"/>
      <c r="HYK1876" s="2477"/>
      <c r="HYL1876" s="2477"/>
      <c r="HYM1876" s="2477"/>
      <c r="HYN1876" s="2477"/>
      <c r="HYO1876" s="2477"/>
      <c r="HYP1876" s="2477"/>
      <c r="HYQ1876" s="2477"/>
      <c r="HYR1876" s="2477"/>
      <c r="HYS1876" s="2477"/>
      <c r="HYT1876" s="2477"/>
      <c r="HYU1876" s="2477"/>
      <c r="HYV1876" s="2477"/>
      <c r="HYW1876" s="2477"/>
      <c r="HYX1876" s="2477"/>
      <c r="HYY1876" s="2477"/>
      <c r="HYZ1876" s="2477"/>
      <c r="HZA1876" s="2477"/>
      <c r="HZB1876" s="2477"/>
      <c r="HZC1876" s="2477"/>
      <c r="HZD1876" s="2477"/>
      <c r="HZE1876" s="2477"/>
      <c r="HZF1876" s="2477"/>
      <c r="HZG1876" s="2477"/>
      <c r="HZH1876" s="2477"/>
      <c r="HZI1876" s="2477"/>
      <c r="HZJ1876" s="2477"/>
      <c r="HZK1876" s="2477"/>
      <c r="HZL1876" s="2477"/>
      <c r="HZM1876" s="2477"/>
      <c r="HZN1876" s="2477"/>
      <c r="HZO1876" s="2477"/>
      <c r="HZP1876" s="2477"/>
      <c r="HZQ1876" s="2477"/>
      <c r="HZR1876" s="2477"/>
      <c r="HZS1876" s="2477"/>
      <c r="HZT1876" s="2477"/>
      <c r="HZU1876" s="2477"/>
      <c r="HZV1876" s="2477"/>
      <c r="HZW1876" s="2477"/>
      <c r="HZX1876" s="2477"/>
      <c r="HZY1876" s="2477"/>
      <c r="HZZ1876" s="2477"/>
      <c r="IAA1876" s="2477"/>
      <c r="IAB1876" s="2477"/>
      <c r="IAC1876" s="2477"/>
      <c r="IAD1876" s="2477"/>
      <c r="IAE1876" s="2477"/>
      <c r="IAF1876" s="2477"/>
      <c r="IAG1876" s="2477"/>
      <c r="IAH1876" s="2477"/>
      <c r="IAI1876" s="2477"/>
      <c r="IAJ1876" s="2477"/>
      <c r="IAK1876" s="2477"/>
      <c r="IAL1876" s="2477"/>
      <c r="IAM1876" s="2477"/>
      <c r="IAN1876" s="2477"/>
      <c r="IAO1876" s="2477"/>
      <c r="IAP1876" s="2477"/>
      <c r="IAQ1876" s="2477"/>
      <c r="IAR1876" s="2477"/>
      <c r="IAS1876" s="2477"/>
      <c r="IAT1876" s="2477"/>
      <c r="IAU1876" s="2477"/>
      <c r="IAV1876" s="2477"/>
      <c r="IAW1876" s="2477"/>
      <c r="IAX1876" s="2477"/>
      <c r="IAY1876" s="2477"/>
      <c r="IAZ1876" s="2477"/>
      <c r="IBA1876" s="2477"/>
      <c r="IBB1876" s="2477"/>
      <c r="IBC1876" s="2477"/>
      <c r="IBD1876" s="2477"/>
      <c r="IBE1876" s="2477"/>
      <c r="IBF1876" s="2477"/>
      <c r="IBG1876" s="2477"/>
      <c r="IBH1876" s="2477"/>
      <c r="IBI1876" s="2477"/>
      <c r="IBJ1876" s="2477"/>
      <c r="IBK1876" s="2477"/>
      <c r="IBL1876" s="2477"/>
      <c r="IBM1876" s="2477"/>
      <c r="IBN1876" s="2477"/>
      <c r="IBO1876" s="2477"/>
      <c r="IBP1876" s="2477"/>
      <c r="IBQ1876" s="2477"/>
      <c r="IBR1876" s="2477"/>
      <c r="IBS1876" s="2477"/>
      <c r="IBT1876" s="2477"/>
      <c r="IBU1876" s="2477"/>
      <c r="IBV1876" s="2477"/>
      <c r="IBW1876" s="2477"/>
      <c r="IBX1876" s="2477"/>
      <c r="IBY1876" s="2477"/>
      <c r="IBZ1876" s="2477"/>
      <c r="ICA1876" s="2477"/>
      <c r="ICB1876" s="2477"/>
      <c r="ICC1876" s="2477"/>
      <c r="ICD1876" s="2477"/>
      <c r="ICE1876" s="2477"/>
      <c r="ICF1876" s="2477"/>
      <c r="ICG1876" s="2477"/>
      <c r="ICH1876" s="2477"/>
      <c r="ICI1876" s="2477"/>
      <c r="ICJ1876" s="2477"/>
      <c r="ICK1876" s="2477"/>
      <c r="ICL1876" s="2477"/>
      <c r="ICM1876" s="2477"/>
      <c r="ICN1876" s="2477"/>
      <c r="ICO1876" s="2477"/>
      <c r="ICP1876" s="2477"/>
      <c r="ICQ1876" s="2477"/>
      <c r="ICR1876" s="2477"/>
      <c r="ICS1876" s="2477"/>
      <c r="ICT1876" s="2477"/>
      <c r="ICU1876" s="2477"/>
      <c r="ICV1876" s="2477"/>
      <c r="ICW1876" s="2477"/>
      <c r="ICX1876" s="2477"/>
      <c r="ICY1876" s="2477"/>
      <c r="ICZ1876" s="2477"/>
      <c r="IDA1876" s="2477"/>
      <c r="IDB1876" s="2477"/>
      <c r="IDC1876" s="2477"/>
      <c r="IDD1876" s="2477"/>
      <c r="IDE1876" s="2477"/>
      <c r="IDF1876" s="2477"/>
      <c r="IDG1876" s="2477"/>
      <c r="IDH1876" s="2477"/>
      <c r="IDI1876" s="2477"/>
      <c r="IDJ1876" s="2477"/>
      <c r="IDK1876" s="2477"/>
      <c r="IDL1876" s="2477"/>
      <c r="IDM1876" s="2477"/>
      <c r="IDN1876" s="2477"/>
      <c r="IDO1876" s="2477"/>
      <c r="IDP1876" s="2477"/>
      <c r="IDQ1876" s="2477"/>
      <c r="IDR1876" s="2477"/>
      <c r="IDS1876" s="2477"/>
      <c r="IDT1876" s="2477"/>
      <c r="IDU1876" s="2477"/>
      <c r="IDV1876" s="2477"/>
      <c r="IDW1876" s="2477"/>
      <c r="IDX1876" s="2477"/>
      <c r="IDY1876" s="2477"/>
      <c r="IDZ1876" s="2477"/>
      <c r="IEA1876" s="2477"/>
      <c r="IEB1876" s="2477"/>
      <c r="IEC1876" s="2477"/>
      <c r="IED1876" s="2477"/>
      <c r="IEE1876" s="2477"/>
      <c r="IEF1876" s="2477"/>
      <c r="IEG1876" s="2477"/>
      <c r="IEH1876" s="2477"/>
      <c r="IEI1876" s="2477"/>
      <c r="IEJ1876" s="2477"/>
      <c r="IEK1876" s="2477"/>
      <c r="IEL1876" s="2477"/>
      <c r="IEM1876" s="2477"/>
      <c r="IEN1876" s="2477"/>
      <c r="IEO1876" s="2477"/>
      <c r="IEP1876" s="2477"/>
      <c r="IEQ1876" s="2477"/>
      <c r="IER1876" s="2477"/>
      <c r="IES1876" s="2477"/>
      <c r="IET1876" s="2477"/>
      <c r="IEU1876" s="2477"/>
      <c r="IEV1876" s="2477"/>
      <c r="IEW1876" s="2477"/>
      <c r="IEX1876" s="2477"/>
      <c r="IEY1876" s="2477"/>
      <c r="IEZ1876" s="2477"/>
      <c r="IFA1876" s="2477"/>
      <c r="IFB1876" s="2477"/>
      <c r="IFC1876" s="2477"/>
      <c r="IFD1876" s="2477"/>
      <c r="IFE1876" s="2477"/>
      <c r="IFF1876" s="2477"/>
      <c r="IFG1876" s="2477"/>
      <c r="IFH1876" s="2477"/>
      <c r="IFI1876" s="2477"/>
      <c r="IFJ1876" s="2477"/>
      <c r="IFK1876" s="2477"/>
      <c r="IFL1876" s="2477"/>
      <c r="IFM1876" s="2477"/>
      <c r="IFN1876" s="2477"/>
      <c r="IFO1876" s="2477"/>
      <c r="IFP1876" s="2477"/>
      <c r="IFQ1876" s="2477"/>
      <c r="IFR1876" s="2477"/>
      <c r="IFS1876" s="2477"/>
      <c r="IFT1876" s="2477"/>
      <c r="IFU1876" s="2477"/>
      <c r="IFV1876" s="2477"/>
      <c r="IFW1876" s="2477"/>
      <c r="IFX1876" s="2477"/>
      <c r="IFY1876" s="2477"/>
      <c r="IFZ1876" s="2477"/>
      <c r="IGA1876" s="2477"/>
      <c r="IGB1876" s="2477"/>
      <c r="IGC1876" s="2477"/>
      <c r="IGD1876" s="2477"/>
      <c r="IGE1876" s="2477"/>
      <c r="IGF1876" s="2477"/>
      <c r="IGG1876" s="2477"/>
      <c r="IGH1876" s="2477"/>
      <c r="IGI1876" s="2477"/>
      <c r="IGJ1876" s="2477"/>
      <c r="IGK1876" s="2477"/>
      <c r="IGL1876" s="2477"/>
      <c r="IGM1876" s="2477"/>
      <c r="IGN1876" s="2477"/>
      <c r="IGO1876" s="2477"/>
      <c r="IGP1876" s="2477"/>
      <c r="IGQ1876" s="2477"/>
      <c r="IGR1876" s="2477"/>
      <c r="IGS1876" s="2477"/>
      <c r="IGT1876" s="2477"/>
      <c r="IGU1876" s="2477"/>
      <c r="IGV1876" s="2477"/>
      <c r="IGW1876" s="2477"/>
      <c r="IGX1876" s="2477"/>
      <c r="IGY1876" s="2477"/>
      <c r="IGZ1876" s="2477"/>
      <c r="IHA1876" s="2477"/>
      <c r="IHB1876" s="2477"/>
      <c r="IHC1876" s="2477"/>
      <c r="IHD1876" s="2477"/>
      <c r="IHE1876" s="2477"/>
      <c r="IHF1876" s="2477"/>
      <c r="IHG1876" s="2477"/>
      <c r="IHH1876" s="2477"/>
      <c r="IHI1876" s="2477"/>
      <c r="IHJ1876" s="2477"/>
      <c r="IHK1876" s="2477"/>
      <c r="IHL1876" s="2477"/>
      <c r="IHM1876" s="2477"/>
      <c r="IHN1876" s="2477"/>
      <c r="IHO1876" s="2477"/>
      <c r="IHP1876" s="2477"/>
      <c r="IHQ1876" s="2477"/>
      <c r="IHR1876" s="2477"/>
      <c r="IHS1876" s="2477"/>
      <c r="IHT1876" s="2477"/>
      <c r="IHU1876" s="2477"/>
      <c r="IHV1876" s="2477"/>
      <c r="IHW1876" s="2477"/>
      <c r="IHX1876" s="2477"/>
      <c r="IHY1876" s="2477"/>
      <c r="IHZ1876" s="2477"/>
      <c r="IIA1876" s="2477"/>
      <c r="IIB1876" s="2477"/>
      <c r="IIC1876" s="2477"/>
      <c r="IID1876" s="2477"/>
      <c r="IIE1876" s="2477"/>
      <c r="IIF1876" s="2477"/>
      <c r="IIG1876" s="2477"/>
      <c r="IIH1876" s="2477"/>
      <c r="III1876" s="2477"/>
      <c r="IIJ1876" s="2477"/>
      <c r="IIK1876" s="2477"/>
      <c r="IIL1876" s="2477"/>
      <c r="IIM1876" s="2477"/>
      <c r="IIN1876" s="2477"/>
      <c r="IIO1876" s="2477"/>
      <c r="IIP1876" s="2477"/>
      <c r="IIQ1876" s="2477"/>
      <c r="IIR1876" s="2477"/>
      <c r="IIS1876" s="2477"/>
      <c r="IIT1876" s="2477"/>
      <c r="IIU1876" s="2477"/>
      <c r="IIV1876" s="2477"/>
      <c r="IIW1876" s="2477"/>
      <c r="IIX1876" s="2477"/>
      <c r="IIY1876" s="2477"/>
      <c r="IIZ1876" s="2477"/>
      <c r="IJA1876" s="2477"/>
      <c r="IJB1876" s="2477"/>
      <c r="IJC1876" s="2477"/>
      <c r="IJD1876" s="2477"/>
      <c r="IJE1876" s="2477"/>
      <c r="IJF1876" s="2477"/>
      <c r="IJG1876" s="2477"/>
      <c r="IJH1876" s="2477"/>
      <c r="IJI1876" s="2477"/>
      <c r="IJJ1876" s="2477"/>
      <c r="IJK1876" s="2477"/>
      <c r="IJL1876" s="2477"/>
      <c r="IJM1876" s="2477"/>
      <c r="IJN1876" s="2477"/>
      <c r="IJO1876" s="2477"/>
      <c r="IJP1876" s="2477"/>
      <c r="IJQ1876" s="2477"/>
      <c r="IJR1876" s="2477"/>
      <c r="IJS1876" s="2477"/>
      <c r="IJT1876" s="2477"/>
      <c r="IJU1876" s="2477"/>
      <c r="IJV1876" s="2477"/>
      <c r="IJW1876" s="2477"/>
      <c r="IJX1876" s="2477"/>
      <c r="IJY1876" s="2477"/>
      <c r="IJZ1876" s="2477"/>
      <c r="IKA1876" s="2477"/>
      <c r="IKB1876" s="2477"/>
      <c r="IKC1876" s="2477"/>
      <c r="IKD1876" s="2477"/>
      <c r="IKE1876" s="2477"/>
      <c r="IKF1876" s="2477"/>
      <c r="IKG1876" s="2477"/>
      <c r="IKH1876" s="2477"/>
      <c r="IKI1876" s="2477"/>
      <c r="IKJ1876" s="2477"/>
      <c r="IKK1876" s="2477"/>
      <c r="IKL1876" s="2477"/>
      <c r="IKM1876" s="2477"/>
      <c r="IKN1876" s="2477"/>
      <c r="IKO1876" s="2477"/>
      <c r="IKP1876" s="2477"/>
      <c r="IKQ1876" s="2477"/>
      <c r="IKR1876" s="2477"/>
      <c r="IKS1876" s="2477"/>
      <c r="IKT1876" s="2477"/>
      <c r="IKU1876" s="2477"/>
      <c r="IKV1876" s="2477"/>
      <c r="IKW1876" s="2477"/>
      <c r="IKX1876" s="2477"/>
      <c r="IKY1876" s="2477"/>
      <c r="IKZ1876" s="2477"/>
      <c r="ILA1876" s="2477"/>
      <c r="ILB1876" s="2477"/>
      <c r="ILC1876" s="2477"/>
      <c r="ILD1876" s="2477"/>
      <c r="ILE1876" s="2477"/>
      <c r="ILF1876" s="2477"/>
      <c r="ILG1876" s="2477"/>
      <c r="ILH1876" s="2477"/>
      <c r="ILI1876" s="2477"/>
      <c r="ILJ1876" s="2477"/>
      <c r="ILK1876" s="2477"/>
      <c r="ILL1876" s="2477"/>
      <c r="ILM1876" s="2477"/>
      <c r="ILN1876" s="2477"/>
      <c r="ILO1876" s="2477"/>
      <c r="ILP1876" s="2477"/>
      <c r="ILQ1876" s="2477"/>
      <c r="ILR1876" s="2477"/>
      <c r="ILS1876" s="2477"/>
      <c r="ILT1876" s="2477"/>
      <c r="ILU1876" s="2477"/>
      <c r="ILV1876" s="2477"/>
      <c r="ILW1876" s="2477"/>
      <c r="ILX1876" s="2477"/>
      <c r="ILY1876" s="2477"/>
      <c r="ILZ1876" s="2477"/>
      <c r="IMA1876" s="2477"/>
      <c r="IMB1876" s="2477"/>
      <c r="IMC1876" s="2477"/>
      <c r="IMD1876" s="2477"/>
      <c r="IME1876" s="2477"/>
      <c r="IMF1876" s="2477"/>
      <c r="IMG1876" s="2477"/>
      <c r="IMH1876" s="2477"/>
      <c r="IMI1876" s="2477"/>
      <c r="IMJ1876" s="2477"/>
      <c r="IMK1876" s="2477"/>
      <c r="IML1876" s="2477"/>
      <c r="IMM1876" s="2477"/>
      <c r="IMN1876" s="2477"/>
      <c r="IMO1876" s="2477"/>
      <c r="IMP1876" s="2477"/>
      <c r="IMQ1876" s="2477"/>
      <c r="IMR1876" s="2477"/>
      <c r="IMS1876" s="2477"/>
      <c r="IMT1876" s="2477"/>
      <c r="IMU1876" s="2477"/>
      <c r="IMV1876" s="2477"/>
      <c r="IMW1876" s="2477"/>
      <c r="IMX1876" s="2477"/>
      <c r="IMY1876" s="2477"/>
      <c r="IMZ1876" s="2477"/>
      <c r="INA1876" s="2477"/>
      <c r="INB1876" s="2477"/>
      <c r="INC1876" s="2477"/>
      <c r="IND1876" s="2477"/>
      <c r="INE1876" s="2477"/>
      <c r="INF1876" s="2477"/>
      <c r="ING1876" s="2477"/>
      <c r="INH1876" s="2477"/>
      <c r="INI1876" s="2477"/>
      <c r="INJ1876" s="2477"/>
      <c r="INK1876" s="2477"/>
      <c r="INL1876" s="2477"/>
      <c r="INM1876" s="2477"/>
      <c r="INN1876" s="2477"/>
      <c r="INO1876" s="2477"/>
      <c r="INP1876" s="2477"/>
      <c r="INQ1876" s="2477"/>
      <c r="INR1876" s="2477"/>
      <c r="INS1876" s="2477"/>
      <c r="INT1876" s="2477"/>
      <c r="INU1876" s="2477"/>
      <c r="INV1876" s="2477"/>
      <c r="INW1876" s="2477"/>
      <c r="INX1876" s="2477"/>
      <c r="INY1876" s="2477"/>
      <c r="INZ1876" s="2477"/>
      <c r="IOA1876" s="2477"/>
      <c r="IOB1876" s="2477"/>
      <c r="IOC1876" s="2477"/>
      <c r="IOD1876" s="2477"/>
      <c r="IOE1876" s="2477"/>
      <c r="IOF1876" s="2477"/>
      <c r="IOG1876" s="2477"/>
      <c r="IOH1876" s="2477"/>
      <c r="IOI1876" s="2477"/>
      <c r="IOJ1876" s="2477"/>
      <c r="IOK1876" s="2477"/>
      <c r="IOL1876" s="2477"/>
      <c r="IOM1876" s="2477"/>
      <c r="ION1876" s="2477"/>
      <c r="IOO1876" s="2477"/>
      <c r="IOP1876" s="2477"/>
      <c r="IOQ1876" s="2477"/>
      <c r="IOR1876" s="2477"/>
      <c r="IOS1876" s="2477"/>
      <c r="IOT1876" s="2477"/>
      <c r="IOU1876" s="2477"/>
      <c r="IOV1876" s="2477"/>
      <c r="IOW1876" s="2477"/>
      <c r="IOX1876" s="2477"/>
      <c r="IOY1876" s="2477"/>
      <c r="IOZ1876" s="2477"/>
      <c r="IPA1876" s="2477"/>
      <c r="IPB1876" s="2477"/>
      <c r="IPC1876" s="2477"/>
      <c r="IPD1876" s="2477"/>
      <c r="IPE1876" s="2477"/>
      <c r="IPF1876" s="2477"/>
      <c r="IPG1876" s="2477"/>
      <c r="IPH1876" s="2477"/>
      <c r="IPI1876" s="2477"/>
      <c r="IPJ1876" s="2477"/>
      <c r="IPK1876" s="2477"/>
      <c r="IPL1876" s="2477"/>
      <c r="IPM1876" s="2477"/>
      <c r="IPN1876" s="2477"/>
      <c r="IPO1876" s="2477"/>
      <c r="IPP1876" s="2477"/>
      <c r="IPQ1876" s="2477"/>
      <c r="IPR1876" s="2477"/>
      <c r="IPS1876" s="2477"/>
      <c r="IPT1876" s="2477"/>
      <c r="IPU1876" s="2477"/>
      <c r="IPV1876" s="2477"/>
      <c r="IPW1876" s="2477"/>
      <c r="IPX1876" s="2477"/>
      <c r="IPY1876" s="2477"/>
      <c r="IPZ1876" s="2477"/>
      <c r="IQA1876" s="2477"/>
      <c r="IQB1876" s="2477"/>
      <c r="IQC1876" s="2477"/>
      <c r="IQD1876" s="2477"/>
      <c r="IQE1876" s="2477"/>
      <c r="IQF1876" s="2477"/>
      <c r="IQG1876" s="2477"/>
      <c r="IQH1876" s="2477"/>
      <c r="IQI1876" s="2477"/>
      <c r="IQJ1876" s="2477"/>
      <c r="IQK1876" s="2477"/>
      <c r="IQL1876" s="2477"/>
      <c r="IQM1876" s="2477"/>
      <c r="IQN1876" s="2477"/>
      <c r="IQO1876" s="2477"/>
      <c r="IQP1876" s="2477"/>
      <c r="IQQ1876" s="2477"/>
      <c r="IQR1876" s="2477"/>
      <c r="IQS1876" s="2477"/>
      <c r="IQT1876" s="2477"/>
      <c r="IQU1876" s="2477"/>
      <c r="IQV1876" s="2477"/>
      <c r="IQW1876" s="2477"/>
      <c r="IQX1876" s="2477"/>
      <c r="IQY1876" s="2477"/>
      <c r="IQZ1876" s="2477"/>
      <c r="IRA1876" s="2477"/>
      <c r="IRB1876" s="2477"/>
      <c r="IRC1876" s="2477"/>
      <c r="IRD1876" s="2477"/>
      <c r="IRE1876" s="2477"/>
      <c r="IRF1876" s="2477"/>
      <c r="IRG1876" s="2477"/>
      <c r="IRH1876" s="2477"/>
      <c r="IRI1876" s="2477"/>
      <c r="IRJ1876" s="2477"/>
      <c r="IRK1876" s="2477"/>
      <c r="IRL1876" s="2477"/>
      <c r="IRM1876" s="2477"/>
      <c r="IRN1876" s="2477"/>
      <c r="IRO1876" s="2477"/>
      <c r="IRP1876" s="2477"/>
      <c r="IRQ1876" s="2477"/>
      <c r="IRR1876" s="2477"/>
      <c r="IRS1876" s="2477"/>
      <c r="IRT1876" s="2477"/>
      <c r="IRU1876" s="2477"/>
      <c r="IRV1876" s="2477"/>
      <c r="IRW1876" s="2477"/>
      <c r="IRX1876" s="2477"/>
      <c r="IRY1876" s="2477"/>
      <c r="IRZ1876" s="2477"/>
      <c r="ISA1876" s="2477"/>
      <c r="ISB1876" s="2477"/>
      <c r="ISC1876" s="2477"/>
      <c r="ISD1876" s="2477"/>
      <c r="ISE1876" s="2477"/>
      <c r="ISF1876" s="2477"/>
      <c r="ISG1876" s="2477"/>
      <c r="ISH1876" s="2477"/>
      <c r="ISI1876" s="2477"/>
      <c r="ISJ1876" s="2477"/>
      <c r="ISK1876" s="2477"/>
      <c r="ISL1876" s="2477"/>
      <c r="ISM1876" s="2477"/>
      <c r="ISN1876" s="2477"/>
      <c r="ISO1876" s="2477"/>
      <c r="ISP1876" s="2477"/>
      <c r="ISQ1876" s="2477"/>
      <c r="ISR1876" s="2477"/>
      <c r="ISS1876" s="2477"/>
      <c r="IST1876" s="2477"/>
      <c r="ISU1876" s="2477"/>
      <c r="ISV1876" s="2477"/>
      <c r="ISW1876" s="2477"/>
      <c r="ISX1876" s="2477"/>
      <c r="ISY1876" s="2477"/>
      <c r="ISZ1876" s="2477"/>
      <c r="ITA1876" s="2477"/>
      <c r="ITB1876" s="2477"/>
      <c r="ITC1876" s="2477"/>
      <c r="ITD1876" s="2477"/>
      <c r="ITE1876" s="2477"/>
      <c r="ITF1876" s="2477"/>
      <c r="ITG1876" s="2477"/>
      <c r="ITH1876" s="2477"/>
      <c r="ITI1876" s="2477"/>
      <c r="ITJ1876" s="2477"/>
      <c r="ITK1876" s="2477"/>
      <c r="ITL1876" s="2477"/>
      <c r="ITM1876" s="2477"/>
      <c r="ITN1876" s="2477"/>
      <c r="ITO1876" s="2477"/>
      <c r="ITP1876" s="2477"/>
      <c r="ITQ1876" s="2477"/>
      <c r="ITR1876" s="2477"/>
      <c r="ITS1876" s="2477"/>
      <c r="ITT1876" s="2477"/>
      <c r="ITU1876" s="2477"/>
      <c r="ITV1876" s="2477"/>
      <c r="ITW1876" s="2477"/>
      <c r="ITX1876" s="2477"/>
      <c r="ITY1876" s="2477"/>
      <c r="ITZ1876" s="2477"/>
      <c r="IUA1876" s="2477"/>
      <c r="IUB1876" s="2477"/>
      <c r="IUC1876" s="2477"/>
      <c r="IUD1876" s="2477"/>
      <c r="IUE1876" s="2477"/>
      <c r="IUF1876" s="2477"/>
      <c r="IUG1876" s="2477"/>
      <c r="IUH1876" s="2477"/>
      <c r="IUI1876" s="2477"/>
      <c r="IUJ1876" s="2477"/>
      <c r="IUK1876" s="2477"/>
      <c r="IUL1876" s="2477"/>
      <c r="IUM1876" s="2477"/>
      <c r="IUN1876" s="2477"/>
      <c r="IUO1876" s="2477"/>
      <c r="IUP1876" s="2477"/>
      <c r="IUQ1876" s="2477"/>
      <c r="IUR1876" s="2477"/>
      <c r="IUS1876" s="2477"/>
      <c r="IUT1876" s="2477"/>
      <c r="IUU1876" s="2477"/>
      <c r="IUV1876" s="2477"/>
      <c r="IUW1876" s="2477"/>
      <c r="IUX1876" s="2477"/>
      <c r="IUY1876" s="2477"/>
      <c r="IUZ1876" s="2477"/>
      <c r="IVA1876" s="2477"/>
      <c r="IVB1876" s="2477"/>
      <c r="IVC1876" s="2477"/>
      <c r="IVD1876" s="2477"/>
      <c r="IVE1876" s="2477"/>
      <c r="IVF1876" s="2477"/>
      <c r="IVG1876" s="2477"/>
      <c r="IVH1876" s="2477"/>
      <c r="IVI1876" s="2477"/>
      <c r="IVJ1876" s="2477"/>
      <c r="IVK1876" s="2477"/>
      <c r="IVL1876" s="2477"/>
      <c r="IVM1876" s="2477"/>
      <c r="IVN1876" s="2477"/>
      <c r="IVO1876" s="2477"/>
      <c r="IVP1876" s="2477"/>
      <c r="IVQ1876" s="2477"/>
      <c r="IVR1876" s="2477"/>
      <c r="IVS1876" s="2477"/>
      <c r="IVT1876" s="2477"/>
      <c r="IVU1876" s="2477"/>
      <c r="IVV1876" s="2477"/>
      <c r="IVW1876" s="2477"/>
      <c r="IVX1876" s="2477"/>
      <c r="IVY1876" s="2477"/>
      <c r="IVZ1876" s="2477"/>
      <c r="IWA1876" s="2477"/>
      <c r="IWB1876" s="2477"/>
      <c r="IWC1876" s="2477"/>
      <c r="IWD1876" s="2477"/>
      <c r="IWE1876" s="2477"/>
      <c r="IWF1876" s="2477"/>
      <c r="IWG1876" s="2477"/>
      <c r="IWH1876" s="2477"/>
      <c r="IWI1876" s="2477"/>
      <c r="IWJ1876" s="2477"/>
      <c r="IWK1876" s="2477"/>
      <c r="IWL1876" s="2477"/>
      <c r="IWM1876" s="2477"/>
      <c r="IWN1876" s="2477"/>
      <c r="IWO1876" s="2477"/>
      <c r="IWP1876" s="2477"/>
      <c r="IWQ1876" s="2477"/>
      <c r="IWR1876" s="2477"/>
      <c r="IWS1876" s="2477"/>
      <c r="IWT1876" s="2477"/>
      <c r="IWU1876" s="2477"/>
      <c r="IWV1876" s="2477"/>
      <c r="IWW1876" s="2477"/>
      <c r="IWX1876" s="2477"/>
      <c r="IWY1876" s="2477"/>
      <c r="IWZ1876" s="2477"/>
      <c r="IXA1876" s="2477"/>
      <c r="IXB1876" s="2477"/>
      <c r="IXC1876" s="2477"/>
      <c r="IXD1876" s="2477"/>
      <c r="IXE1876" s="2477"/>
      <c r="IXF1876" s="2477"/>
      <c r="IXG1876" s="2477"/>
      <c r="IXH1876" s="2477"/>
      <c r="IXI1876" s="2477"/>
      <c r="IXJ1876" s="2477"/>
      <c r="IXK1876" s="2477"/>
      <c r="IXL1876" s="2477"/>
      <c r="IXM1876" s="2477"/>
      <c r="IXN1876" s="2477"/>
      <c r="IXO1876" s="2477"/>
      <c r="IXP1876" s="2477"/>
      <c r="IXQ1876" s="2477"/>
      <c r="IXR1876" s="2477"/>
      <c r="IXS1876" s="2477"/>
      <c r="IXT1876" s="2477"/>
      <c r="IXU1876" s="2477"/>
      <c r="IXV1876" s="2477"/>
      <c r="IXW1876" s="2477"/>
      <c r="IXX1876" s="2477"/>
      <c r="IXY1876" s="2477"/>
      <c r="IXZ1876" s="2477"/>
      <c r="IYA1876" s="2477"/>
      <c r="IYB1876" s="2477"/>
      <c r="IYC1876" s="2477"/>
      <c r="IYD1876" s="2477"/>
      <c r="IYE1876" s="2477"/>
      <c r="IYF1876" s="2477"/>
      <c r="IYG1876" s="2477"/>
      <c r="IYH1876" s="2477"/>
      <c r="IYI1876" s="2477"/>
      <c r="IYJ1876" s="2477"/>
      <c r="IYK1876" s="2477"/>
      <c r="IYL1876" s="2477"/>
      <c r="IYM1876" s="2477"/>
      <c r="IYN1876" s="2477"/>
      <c r="IYO1876" s="2477"/>
      <c r="IYP1876" s="2477"/>
      <c r="IYQ1876" s="2477"/>
      <c r="IYR1876" s="2477"/>
      <c r="IYS1876" s="2477"/>
      <c r="IYT1876" s="2477"/>
      <c r="IYU1876" s="2477"/>
      <c r="IYV1876" s="2477"/>
      <c r="IYW1876" s="2477"/>
      <c r="IYX1876" s="2477"/>
      <c r="IYY1876" s="2477"/>
      <c r="IYZ1876" s="2477"/>
      <c r="IZA1876" s="2477"/>
      <c r="IZB1876" s="2477"/>
      <c r="IZC1876" s="2477"/>
      <c r="IZD1876" s="2477"/>
      <c r="IZE1876" s="2477"/>
      <c r="IZF1876" s="2477"/>
      <c r="IZG1876" s="2477"/>
      <c r="IZH1876" s="2477"/>
      <c r="IZI1876" s="2477"/>
      <c r="IZJ1876" s="2477"/>
      <c r="IZK1876" s="2477"/>
      <c r="IZL1876" s="2477"/>
      <c r="IZM1876" s="2477"/>
      <c r="IZN1876" s="2477"/>
      <c r="IZO1876" s="2477"/>
      <c r="IZP1876" s="2477"/>
      <c r="IZQ1876" s="2477"/>
      <c r="IZR1876" s="2477"/>
      <c r="IZS1876" s="2477"/>
      <c r="IZT1876" s="2477"/>
      <c r="IZU1876" s="2477"/>
      <c r="IZV1876" s="2477"/>
      <c r="IZW1876" s="2477"/>
      <c r="IZX1876" s="2477"/>
      <c r="IZY1876" s="2477"/>
      <c r="IZZ1876" s="2477"/>
      <c r="JAA1876" s="2477"/>
      <c r="JAB1876" s="2477"/>
      <c r="JAC1876" s="2477"/>
      <c r="JAD1876" s="2477"/>
      <c r="JAE1876" s="2477"/>
      <c r="JAF1876" s="2477"/>
      <c r="JAG1876" s="2477"/>
      <c r="JAH1876" s="2477"/>
      <c r="JAI1876" s="2477"/>
      <c r="JAJ1876" s="2477"/>
      <c r="JAK1876" s="2477"/>
      <c r="JAL1876" s="2477"/>
      <c r="JAM1876" s="2477"/>
      <c r="JAN1876" s="2477"/>
      <c r="JAO1876" s="2477"/>
      <c r="JAP1876" s="2477"/>
      <c r="JAQ1876" s="2477"/>
      <c r="JAR1876" s="2477"/>
      <c r="JAS1876" s="2477"/>
      <c r="JAT1876" s="2477"/>
      <c r="JAU1876" s="2477"/>
      <c r="JAV1876" s="2477"/>
      <c r="JAW1876" s="2477"/>
      <c r="JAX1876" s="2477"/>
      <c r="JAY1876" s="2477"/>
      <c r="JAZ1876" s="2477"/>
      <c r="JBA1876" s="2477"/>
      <c r="JBB1876" s="2477"/>
      <c r="JBC1876" s="2477"/>
      <c r="JBD1876" s="2477"/>
      <c r="JBE1876" s="2477"/>
      <c r="JBF1876" s="2477"/>
      <c r="JBG1876" s="2477"/>
      <c r="JBH1876" s="2477"/>
      <c r="JBI1876" s="2477"/>
      <c r="JBJ1876" s="2477"/>
      <c r="JBK1876" s="2477"/>
      <c r="JBL1876" s="2477"/>
      <c r="JBM1876" s="2477"/>
      <c r="JBN1876" s="2477"/>
      <c r="JBO1876" s="2477"/>
      <c r="JBP1876" s="2477"/>
      <c r="JBQ1876" s="2477"/>
      <c r="JBR1876" s="2477"/>
      <c r="JBS1876" s="2477"/>
      <c r="JBT1876" s="2477"/>
      <c r="JBU1876" s="2477"/>
      <c r="JBV1876" s="2477"/>
      <c r="JBW1876" s="2477"/>
      <c r="JBX1876" s="2477"/>
      <c r="JBY1876" s="2477"/>
      <c r="JBZ1876" s="2477"/>
      <c r="JCA1876" s="2477"/>
      <c r="JCB1876" s="2477"/>
      <c r="JCC1876" s="2477"/>
      <c r="JCD1876" s="2477"/>
      <c r="JCE1876" s="2477"/>
      <c r="JCF1876" s="2477"/>
      <c r="JCG1876" s="2477"/>
      <c r="JCH1876" s="2477"/>
      <c r="JCI1876" s="2477"/>
      <c r="JCJ1876" s="2477"/>
      <c r="JCK1876" s="2477"/>
      <c r="JCL1876" s="2477"/>
      <c r="JCM1876" s="2477"/>
      <c r="JCN1876" s="2477"/>
      <c r="JCO1876" s="2477"/>
      <c r="JCP1876" s="2477"/>
      <c r="JCQ1876" s="2477"/>
      <c r="JCR1876" s="2477"/>
      <c r="JCS1876" s="2477"/>
      <c r="JCT1876" s="2477"/>
      <c r="JCU1876" s="2477"/>
      <c r="JCV1876" s="2477"/>
      <c r="JCW1876" s="2477"/>
      <c r="JCX1876" s="2477"/>
      <c r="JCY1876" s="2477"/>
      <c r="JCZ1876" s="2477"/>
      <c r="JDA1876" s="2477"/>
      <c r="JDB1876" s="2477"/>
      <c r="JDC1876" s="2477"/>
      <c r="JDD1876" s="2477"/>
      <c r="JDE1876" s="2477"/>
      <c r="JDF1876" s="2477"/>
      <c r="JDG1876" s="2477"/>
      <c r="JDH1876" s="2477"/>
      <c r="JDI1876" s="2477"/>
      <c r="JDJ1876" s="2477"/>
      <c r="JDK1876" s="2477"/>
      <c r="JDL1876" s="2477"/>
      <c r="JDM1876" s="2477"/>
      <c r="JDN1876" s="2477"/>
      <c r="JDO1876" s="2477"/>
      <c r="JDP1876" s="2477"/>
      <c r="JDQ1876" s="2477"/>
      <c r="JDR1876" s="2477"/>
      <c r="JDS1876" s="2477"/>
      <c r="JDT1876" s="2477"/>
      <c r="JDU1876" s="2477"/>
      <c r="JDV1876" s="2477"/>
      <c r="JDW1876" s="2477"/>
      <c r="JDX1876" s="2477"/>
      <c r="JDY1876" s="2477"/>
      <c r="JDZ1876" s="2477"/>
      <c r="JEA1876" s="2477"/>
      <c r="JEB1876" s="2477"/>
      <c r="JEC1876" s="2477"/>
      <c r="JED1876" s="2477"/>
      <c r="JEE1876" s="2477"/>
      <c r="JEF1876" s="2477"/>
      <c r="JEG1876" s="2477"/>
      <c r="JEH1876" s="2477"/>
      <c r="JEI1876" s="2477"/>
      <c r="JEJ1876" s="2477"/>
      <c r="JEK1876" s="2477"/>
      <c r="JEL1876" s="2477"/>
      <c r="JEM1876" s="2477"/>
      <c r="JEN1876" s="2477"/>
      <c r="JEO1876" s="2477"/>
      <c r="JEP1876" s="2477"/>
      <c r="JEQ1876" s="2477"/>
      <c r="JER1876" s="2477"/>
      <c r="JES1876" s="2477"/>
      <c r="JET1876" s="2477"/>
      <c r="JEU1876" s="2477"/>
      <c r="JEV1876" s="2477"/>
      <c r="JEW1876" s="2477"/>
      <c r="JEX1876" s="2477"/>
      <c r="JEY1876" s="2477"/>
      <c r="JEZ1876" s="2477"/>
      <c r="JFA1876" s="2477"/>
      <c r="JFB1876" s="2477"/>
      <c r="JFC1876" s="2477"/>
      <c r="JFD1876" s="2477"/>
      <c r="JFE1876" s="2477"/>
      <c r="JFF1876" s="2477"/>
      <c r="JFG1876" s="2477"/>
      <c r="JFH1876" s="2477"/>
      <c r="JFI1876" s="2477"/>
      <c r="JFJ1876" s="2477"/>
      <c r="JFK1876" s="2477"/>
      <c r="JFL1876" s="2477"/>
      <c r="JFM1876" s="2477"/>
      <c r="JFN1876" s="2477"/>
      <c r="JFO1876" s="2477"/>
      <c r="JFP1876" s="2477"/>
      <c r="JFQ1876" s="2477"/>
      <c r="JFR1876" s="2477"/>
      <c r="JFS1876" s="2477"/>
      <c r="JFT1876" s="2477"/>
      <c r="JFU1876" s="2477"/>
      <c r="JFV1876" s="2477"/>
      <c r="JFW1876" s="2477"/>
      <c r="JFX1876" s="2477"/>
      <c r="JFY1876" s="2477"/>
      <c r="JFZ1876" s="2477"/>
      <c r="JGA1876" s="2477"/>
      <c r="JGB1876" s="2477"/>
      <c r="JGC1876" s="2477"/>
      <c r="JGD1876" s="2477"/>
      <c r="JGE1876" s="2477"/>
      <c r="JGF1876" s="2477"/>
      <c r="JGG1876" s="2477"/>
      <c r="JGH1876" s="2477"/>
      <c r="JGI1876" s="2477"/>
      <c r="JGJ1876" s="2477"/>
      <c r="JGK1876" s="2477"/>
      <c r="JGL1876" s="2477"/>
      <c r="JGM1876" s="2477"/>
      <c r="JGN1876" s="2477"/>
      <c r="JGO1876" s="2477"/>
      <c r="JGP1876" s="2477"/>
      <c r="JGQ1876" s="2477"/>
      <c r="JGR1876" s="2477"/>
      <c r="JGS1876" s="2477"/>
      <c r="JGT1876" s="2477"/>
      <c r="JGU1876" s="2477"/>
      <c r="JGV1876" s="2477"/>
      <c r="JGW1876" s="2477"/>
      <c r="JGX1876" s="2477"/>
      <c r="JGY1876" s="2477"/>
      <c r="JGZ1876" s="2477"/>
      <c r="JHA1876" s="2477"/>
      <c r="JHB1876" s="2477"/>
      <c r="JHC1876" s="2477"/>
      <c r="JHD1876" s="2477"/>
      <c r="JHE1876" s="2477"/>
      <c r="JHF1876" s="2477"/>
      <c r="JHG1876" s="2477"/>
      <c r="JHH1876" s="2477"/>
      <c r="JHI1876" s="2477"/>
      <c r="JHJ1876" s="2477"/>
      <c r="JHK1876" s="2477"/>
      <c r="JHL1876" s="2477"/>
      <c r="JHM1876" s="2477"/>
      <c r="JHN1876" s="2477"/>
      <c r="JHO1876" s="2477"/>
      <c r="JHP1876" s="2477"/>
      <c r="JHQ1876" s="2477"/>
      <c r="JHR1876" s="2477"/>
      <c r="JHS1876" s="2477"/>
      <c r="JHT1876" s="2477"/>
      <c r="JHU1876" s="2477"/>
      <c r="JHV1876" s="2477"/>
      <c r="JHW1876" s="2477"/>
      <c r="JHX1876" s="2477"/>
      <c r="JHY1876" s="2477"/>
      <c r="JHZ1876" s="2477"/>
      <c r="JIA1876" s="2477"/>
      <c r="JIB1876" s="2477"/>
      <c r="JIC1876" s="2477"/>
      <c r="JID1876" s="2477"/>
      <c r="JIE1876" s="2477"/>
      <c r="JIF1876" s="2477"/>
      <c r="JIG1876" s="2477"/>
      <c r="JIH1876" s="2477"/>
      <c r="JII1876" s="2477"/>
      <c r="JIJ1876" s="2477"/>
      <c r="JIK1876" s="2477"/>
      <c r="JIL1876" s="2477"/>
      <c r="JIM1876" s="2477"/>
      <c r="JIN1876" s="2477"/>
      <c r="JIO1876" s="2477"/>
      <c r="JIP1876" s="2477"/>
      <c r="JIQ1876" s="2477"/>
      <c r="JIR1876" s="2477"/>
      <c r="JIS1876" s="2477"/>
      <c r="JIT1876" s="2477"/>
      <c r="JIU1876" s="2477"/>
      <c r="JIV1876" s="2477"/>
      <c r="JIW1876" s="2477"/>
      <c r="JIX1876" s="2477"/>
      <c r="JIY1876" s="2477"/>
      <c r="JIZ1876" s="2477"/>
      <c r="JJA1876" s="2477"/>
      <c r="JJB1876" s="2477"/>
      <c r="JJC1876" s="2477"/>
      <c r="JJD1876" s="2477"/>
      <c r="JJE1876" s="2477"/>
      <c r="JJF1876" s="2477"/>
      <c r="JJG1876" s="2477"/>
      <c r="JJH1876" s="2477"/>
      <c r="JJI1876" s="2477"/>
      <c r="JJJ1876" s="2477"/>
      <c r="JJK1876" s="2477"/>
      <c r="JJL1876" s="2477"/>
      <c r="JJM1876" s="2477"/>
      <c r="JJN1876" s="2477"/>
      <c r="JJO1876" s="2477"/>
      <c r="JJP1876" s="2477"/>
      <c r="JJQ1876" s="2477"/>
      <c r="JJR1876" s="2477"/>
      <c r="JJS1876" s="2477"/>
      <c r="JJT1876" s="2477"/>
      <c r="JJU1876" s="2477"/>
      <c r="JJV1876" s="2477"/>
      <c r="JJW1876" s="2477"/>
      <c r="JJX1876" s="2477"/>
      <c r="JJY1876" s="2477"/>
      <c r="JJZ1876" s="2477"/>
      <c r="JKA1876" s="2477"/>
      <c r="JKB1876" s="2477"/>
      <c r="JKC1876" s="2477"/>
      <c r="JKD1876" s="2477"/>
      <c r="JKE1876" s="2477"/>
      <c r="JKF1876" s="2477"/>
      <c r="JKG1876" s="2477"/>
      <c r="JKH1876" s="2477"/>
      <c r="JKI1876" s="2477"/>
      <c r="JKJ1876" s="2477"/>
      <c r="JKK1876" s="2477"/>
      <c r="JKL1876" s="2477"/>
      <c r="JKM1876" s="2477"/>
      <c r="JKN1876" s="2477"/>
      <c r="JKO1876" s="2477"/>
      <c r="JKP1876" s="2477"/>
      <c r="JKQ1876" s="2477"/>
      <c r="JKR1876" s="2477"/>
      <c r="JKS1876" s="2477"/>
      <c r="JKT1876" s="2477"/>
      <c r="JKU1876" s="2477"/>
      <c r="JKV1876" s="2477"/>
      <c r="JKW1876" s="2477"/>
      <c r="JKX1876" s="2477"/>
      <c r="JKY1876" s="2477"/>
      <c r="JKZ1876" s="2477"/>
      <c r="JLA1876" s="2477"/>
      <c r="JLB1876" s="2477"/>
      <c r="JLC1876" s="2477"/>
      <c r="JLD1876" s="2477"/>
      <c r="JLE1876" s="2477"/>
      <c r="JLF1876" s="2477"/>
      <c r="JLG1876" s="2477"/>
      <c r="JLH1876" s="2477"/>
      <c r="JLI1876" s="2477"/>
      <c r="JLJ1876" s="2477"/>
      <c r="JLK1876" s="2477"/>
      <c r="JLL1876" s="2477"/>
      <c r="JLM1876" s="2477"/>
      <c r="JLN1876" s="2477"/>
      <c r="JLO1876" s="2477"/>
      <c r="JLP1876" s="2477"/>
      <c r="JLQ1876" s="2477"/>
      <c r="JLR1876" s="2477"/>
      <c r="JLS1876" s="2477"/>
      <c r="JLT1876" s="2477"/>
      <c r="JLU1876" s="2477"/>
      <c r="JLV1876" s="2477"/>
      <c r="JLW1876" s="2477"/>
      <c r="JLX1876" s="2477"/>
      <c r="JLY1876" s="2477"/>
      <c r="JLZ1876" s="2477"/>
      <c r="JMA1876" s="2477"/>
      <c r="JMB1876" s="2477"/>
      <c r="JMC1876" s="2477"/>
      <c r="JMD1876" s="2477"/>
      <c r="JME1876" s="2477"/>
      <c r="JMF1876" s="2477"/>
      <c r="JMG1876" s="2477"/>
      <c r="JMH1876" s="2477"/>
      <c r="JMI1876" s="2477"/>
      <c r="JMJ1876" s="2477"/>
      <c r="JMK1876" s="2477"/>
      <c r="JML1876" s="2477"/>
      <c r="JMM1876" s="2477"/>
      <c r="JMN1876" s="2477"/>
      <c r="JMO1876" s="2477"/>
      <c r="JMP1876" s="2477"/>
      <c r="JMQ1876" s="2477"/>
      <c r="JMR1876" s="2477"/>
      <c r="JMS1876" s="2477"/>
      <c r="JMT1876" s="2477"/>
      <c r="JMU1876" s="2477"/>
      <c r="JMV1876" s="2477"/>
      <c r="JMW1876" s="2477"/>
      <c r="JMX1876" s="2477"/>
      <c r="JMY1876" s="2477"/>
      <c r="JMZ1876" s="2477"/>
      <c r="JNA1876" s="2477"/>
      <c r="JNB1876" s="2477"/>
      <c r="JNC1876" s="2477"/>
      <c r="JND1876" s="2477"/>
      <c r="JNE1876" s="2477"/>
      <c r="JNF1876" s="2477"/>
      <c r="JNG1876" s="2477"/>
      <c r="JNH1876" s="2477"/>
      <c r="JNI1876" s="2477"/>
      <c r="JNJ1876" s="2477"/>
      <c r="JNK1876" s="2477"/>
      <c r="JNL1876" s="2477"/>
      <c r="JNM1876" s="2477"/>
      <c r="JNN1876" s="2477"/>
      <c r="JNO1876" s="2477"/>
      <c r="JNP1876" s="2477"/>
      <c r="JNQ1876" s="2477"/>
      <c r="JNR1876" s="2477"/>
      <c r="JNS1876" s="2477"/>
      <c r="JNT1876" s="2477"/>
      <c r="JNU1876" s="2477"/>
      <c r="JNV1876" s="2477"/>
      <c r="JNW1876" s="2477"/>
      <c r="JNX1876" s="2477"/>
      <c r="JNY1876" s="2477"/>
      <c r="JNZ1876" s="2477"/>
      <c r="JOA1876" s="2477"/>
      <c r="JOB1876" s="2477"/>
      <c r="JOC1876" s="2477"/>
      <c r="JOD1876" s="2477"/>
      <c r="JOE1876" s="2477"/>
      <c r="JOF1876" s="2477"/>
      <c r="JOG1876" s="2477"/>
      <c r="JOH1876" s="2477"/>
      <c r="JOI1876" s="2477"/>
      <c r="JOJ1876" s="2477"/>
      <c r="JOK1876" s="2477"/>
      <c r="JOL1876" s="2477"/>
      <c r="JOM1876" s="2477"/>
      <c r="JON1876" s="2477"/>
      <c r="JOO1876" s="2477"/>
      <c r="JOP1876" s="2477"/>
      <c r="JOQ1876" s="2477"/>
      <c r="JOR1876" s="2477"/>
      <c r="JOS1876" s="2477"/>
      <c r="JOT1876" s="2477"/>
      <c r="JOU1876" s="2477"/>
      <c r="JOV1876" s="2477"/>
      <c r="JOW1876" s="2477"/>
      <c r="JOX1876" s="2477"/>
      <c r="JOY1876" s="2477"/>
      <c r="JOZ1876" s="2477"/>
      <c r="JPA1876" s="2477"/>
      <c r="JPB1876" s="2477"/>
      <c r="JPC1876" s="2477"/>
      <c r="JPD1876" s="2477"/>
      <c r="JPE1876" s="2477"/>
      <c r="JPF1876" s="2477"/>
      <c r="JPG1876" s="2477"/>
      <c r="JPH1876" s="2477"/>
      <c r="JPI1876" s="2477"/>
      <c r="JPJ1876" s="2477"/>
      <c r="JPK1876" s="2477"/>
      <c r="JPL1876" s="2477"/>
      <c r="JPM1876" s="2477"/>
      <c r="JPN1876" s="2477"/>
      <c r="JPO1876" s="2477"/>
      <c r="JPP1876" s="2477"/>
      <c r="JPQ1876" s="2477"/>
      <c r="JPR1876" s="2477"/>
      <c r="JPS1876" s="2477"/>
      <c r="JPT1876" s="2477"/>
      <c r="JPU1876" s="2477"/>
      <c r="JPV1876" s="2477"/>
      <c r="JPW1876" s="2477"/>
      <c r="JPX1876" s="2477"/>
      <c r="JPY1876" s="2477"/>
      <c r="JPZ1876" s="2477"/>
      <c r="JQA1876" s="2477"/>
      <c r="JQB1876" s="2477"/>
      <c r="JQC1876" s="2477"/>
      <c r="JQD1876" s="2477"/>
      <c r="JQE1876" s="2477"/>
      <c r="JQF1876" s="2477"/>
      <c r="JQG1876" s="2477"/>
      <c r="JQH1876" s="2477"/>
      <c r="JQI1876" s="2477"/>
      <c r="JQJ1876" s="2477"/>
      <c r="JQK1876" s="2477"/>
      <c r="JQL1876" s="2477"/>
      <c r="JQM1876" s="2477"/>
      <c r="JQN1876" s="2477"/>
      <c r="JQO1876" s="2477"/>
      <c r="JQP1876" s="2477"/>
      <c r="JQQ1876" s="2477"/>
      <c r="JQR1876" s="2477"/>
      <c r="JQS1876" s="2477"/>
      <c r="JQT1876" s="2477"/>
      <c r="JQU1876" s="2477"/>
      <c r="JQV1876" s="2477"/>
      <c r="JQW1876" s="2477"/>
      <c r="JQX1876" s="2477"/>
      <c r="JQY1876" s="2477"/>
      <c r="JQZ1876" s="2477"/>
      <c r="JRA1876" s="2477"/>
      <c r="JRB1876" s="2477"/>
      <c r="JRC1876" s="2477"/>
      <c r="JRD1876" s="2477"/>
      <c r="JRE1876" s="2477"/>
      <c r="JRF1876" s="2477"/>
      <c r="JRG1876" s="2477"/>
      <c r="JRH1876" s="2477"/>
      <c r="JRI1876" s="2477"/>
      <c r="JRJ1876" s="2477"/>
      <c r="JRK1876" s="2477"/>
      <c r="JRL1876" s="2477"/>
      <c r="JRM1876" s="2477"/>
      <c r="JRN1876" s="2477"/>
      <c r="JRO1876" s="2477"/>
      <c r="JRP1876" s="2477"/>
      <c r="JRQ1876" s="2477"/>
      <c r="JRR1876" s="2477"/>
      <c r="JRS1876" s="2477"/>
      <c r="JRT1876" s="2477"/>
      <c r="JRU1876" s="2477"/>
      <c r="JRV1876" s="2477"/>
      <c r="JRW1876" s="2477"/>
      <c r="JRX1876" s="2477"/>
      <c r="JRY1876" s="2477"/>
      <c r="JRZ1876" s="2477"/>
      <c r="JSA1876" s="2477"/>
      <c r="JSB1876" s="2477"/>
      <c r="JSC1876" s="2477"/>
      <c r="JSD1876" s="2477"/>
      <c r="JSE1876" s="2477"/>
      <c r="JSF1876" s="2477"/>
      <c r="JSG1876" s="2477"/>
      <c r="JSH1876" s="2477"/>
      <c r="JSI1876" s="2477"/>
      <c r="JSJ1876" s="2477"/>
      <c r="JSK1876" s="2477"/>
      <c r="JSL1876" s="2477"/>
      <c r="JSM1876" s="2477"/>
      <c r="JSN1876" s="2477"/>
      <c r="JSO1876" s="2477"/>
      <c r="JSP1876" s="2477"/>
      <c r="JSQ1876" s="2477"/>
      <c r="JSR1876" s="2477"/>
      <c r="JSS1876" s="2477"/>
      <c r="JST1876" s="2477"/>
      <c r="JSU1876" s="2477"/>
      <c r="JSV1876" s="2477"/>
      <c r="JSW1876" s="2477"/>
      <c r="JSX1876" s="2477"/>
      <c r="JSY1876" s="2477"/>
      <c r="JSZ1876" s="2477"/>
      <c r="JTA1876" s="2477"/>
      <c r="JTB1876" s="2477"/>
      <c r="JTC1876" s="2477"/>
      <c r="JTD1876" s="2477"/>
      <c r="JTE1876" s="2477"/>
      <c r="JTF1876" s="2477"/>
      <c r="JTG1876" s="2477"/>
      <c r="JTH1876" s="2477"/>
      <c r="JTI1876" s="2477"/>
      <c r="JTJ1876" s="2477"/>
      <c r="JTK1876" s="2477"/>
      <c r="JTL1876" s="2477"/>
      <c r="JTM1876" s="2477"/>
      <c r="JTN1876" s="2477"/>
      <c r="JTO1876" s="2477"/>
      <c r="JTP1876" s="2477"/>
      <c r="JTQ1876" s="2477"/>
      <c r="JTR1876" s="2477"/>
      <c r="JTS1876" s="2477"/>
      <c r="JTT1876" s="2477"/>
      <c r="JTU1876" s="2477"/>
      <c r="JTV1876" s="2477"/>
      <c r="JTW1876" s="2477"/>
      <c r="JTX1876" s="2477"/>
      <c r="JTY1876" s="2477"/>
      <c r="JTZ1876" s="2477"/>
      <c r="JUA1876" s="2477"/>
      <c r="JUB1876" s="2477"/>
      <c r="JUC1876" s="2477"/>
      <c r="JUD1876" s="2477"/>
      <c r="JUE1876" s="2477"/>
      <c r="JUF1876" s="2477"/>
      <c r="JUG1876" s="2477"/>
      <c r="JUH1876" s="2477"/>
      <c r="JUI1876" s="2477"/>
      <c r="JUJ1876" s="2477"/>
      <c r="JUK1876" s="2477"/>
      <c r="JUL1876" s="2477"/>
      <c r="JUM1876" s="2477"/>
      <c r="JUN1876" s="2477"/>
      <c r="JUO1876" s="2477"/>
      <c r="JUP1876" s="2477"/>
      <c r="JUQ1876" s="2477"/>
      <c r="JUR1876" s="2477"/>
      <c r="JUS1876" s="2477"/>
      <c r="JUT1876" s="2477"/>
      <c r="JUU1876" s="2477"/>
      <c r="JUV1876" s="2477"/>
      <c r="JUW1876" s="2477"/>
      <c r="JUX1876" s="2477"/>
      <c r="JUY1876" s="2477"/>
      <c r="JUZ1876" s="2477"/>
      <c r="JVA1876" s="2477"/>
      <c r="JVB1876" s="2477"/>
      <c r="JVC1876" s="2477"/>
      <c r="JVD1876" s="2477"/>
      <c r="JVE1876" s="2477"/>
      <c r="JVF1876" s="2477"/>
      <c r="JVG1876" s="2477"/>
      <c r="JVH1876" s="2477"/>
      <c r="JVI1876" s="2477"/>
      <c r="JVJ1876" s="2477"/>
      <c r="JVK1876" s="2477"/>
      <c r="JVL1876" s="2477"/>
      <c r="JVM1876" s="2477"/>
      <c r="JVN1876" s="2477"/>
      <c r="JVO1876" s="2477"/>
      <c r="JVP1876" s="2477"/>
      <c r="JVQ1876" s="2477"/>
      <c r="JVR1876" s="2477"/>
      <c r="JVS1876" s="2477"/>
      <c r="JVT1876" s="2477"/>
      <c r="JVU1876" s="2477"/>
      <c r="JVV1876" s="2477"/>
      <c r="JVW1876" s="2477"/>
      <c r="JVX1876" s="2477"/>
      <c r="JVY1876" s="2477"/>
      <c r="JVZ1876" s="2477"/>
      <c r="JWA1876" s="2477"/>
      <c r="JWB1876" s="2477"/>
      <c r="JWC1876" s="2477"/>
      <c r="JWD1876" s="2477"/>
      <c r="JWE1876" s="2477"/>
      <c r="JWF1876" s="2477"/>
      <c r="JWG1876" s="2477"/>
      <c r="JWH1876" s="2477"/>
      <c r="JWI1876" s="2477"/>
      <c r="JWJ1876" s="2477"/>
      <c r="JWK1876" s="2477"/>
      <c r="JWL1876" s="2477"/>
      <c r="JWM1876" s="2477"/>
      <c r="JWN1876" s="2477"/>
      <c r="JWO1876" s="2477"/>
      <c r="JWP1876" s="2477"/>
      <c r="JWQ1876" s="2477"/>
      <c r="JWR1876" s="2477"/>
      <c r="JWS1876" s="2477"/>
      <c r="JWT1876" s="2477"/>
      <c r="JWU1876" s="2477"/>
      <c r="JWV1876" s="2477"/>
      <c r="JWW1876" s="2477"/>
      <c r="JWX1876" s="2477"/>
      <c r="JWY1876" s="2477"/>
      <c r="JWZ1876" s="2477"/>
      <c r="JXA1876" s="2477"/>
      <c r="JXB1876" s="2477"/>
      <c r="JXC1876" s="2477"/>
      <c r="JXD1876" s="2477"/>
      <c r="JXE1876" s="2477"/>
      <c r="JXF1876" s="2477"/>
      <c r="JXG1876" s="2477"/>
      <c r="JXH1876" s="2477"/>
      <c r="JXI1876" s="2477"/>
      <c r="JXJ1876" s="2477"/>
      <c r="JXK1876" s="2477"/>
      <c r="JXL1876" s="2477"/>
      <c r="JXM1876" s="2477"/>
      <c r="JXN1876" s="2477"/>
      <c r="JXO1876" s="2477"/>
      <c r="JXP1876" s="2477"/>
      <c r="JXQ1876" s="2477"/>
      <c r="JXR1876" s="2477"/>
      <c r="JXS1876" s="2477"/>
      <c r="JXT1876" s="2477"/>
      <c r="JXU1876" s="2477"/>
      <c r="JXV1876" s="2477"/>
      <c r="JXW1876" s="2477"/>
      <c r="JXX1876" s="2477"/>
      <c r="JXY1876" s="2477"/>
      <c r="JXZ1876" s="2477"/>
      <c r="JYA1876" s="2477"/>
      <c r="JYB1876" s="2477"/>
      <c r="JYC1876" s="2477"/>
      <c r="JYD1876" s="2477"/>
      <c r="JYE1876" s="2477"/>
      <c r="JYF1876" s="2477"/>
      <c r="JYG1876" s="2477"/>
      <c r="JYH1876" s="2477"/>
      <c r="JYI1876" s="2477"/>
      <c r="JYJ1876" s="2477"/>
      <c r="JYK1876" s="2477"/>
      <c r="JYL1876" s="2477"/>
      <c r="JYM1876" s="2477"/>
      <c r="JYN1876" s="2477"/>
      <c r="JYO1876" s="2477"/>
      <c r="JYP1876" s="2477"/>
      <c r="JYQ1876" s="2477"/>
      <c r="JYR1876" s="2477"/>
      <c r="JYS1876" s="2477"/>
      <c r="JYT1876" s="2477"/>
      <c r="JYU1876" s="2477"/>
      <c r="JYV1876" s="2477"/>
      <c r="JYW1876" s="2477"/>
      <c r="JYX1876" s="2477"/>
      <c r="JYY1876" s="2477"/>
      <c r="JYZ1876" s="2477"/>
      <c r="JZA1876" s="2477"/>
      <c r="JZB1876" s="2477"/>
      <c r="JZC1876" s="2477"/>
      <c r="JZD1876" s="2477"/>
      <c r="JZE1876" s="2477"/>
      <c r="JZF1876" s="2477"/>
      <c r="JZG1876" s="2477"/>
      <c r="JZH1876" s="2477"/>
      <c r="JZI1876" s="2477"/>
      <c r="JZJ1876" s="2477"/>
      <c r="JZK1876" s="2477"/>
      <c r="JZL1876" s="2477"/>
      <c r="JZM1876" s="2477"/>
      <c r="JZN1876" s="2477"/>
      <c r="JZO1876" s="2477"/>
      <c r="JZP1876" s="2477"/>
      <c r="JZQ1876" s="2477"/>
      <c r="JZR1876" s="2477"/>
      <c r="JZS1876" s="2477"/>
      <c r="JZT1876" s="2477"/>
      <c r="JZU1876" s="2477"/>
      <c r="JZV1876" s="2477"/>
      <c r="JZW1876" s="2477"/>
      <c r="JZX1876" s="2477"/>
      <c r="JZY1876" s="2477"/>
      <c r="JZZ1876" s="2477"/>
      <c r="KAA1876" s="2477"/>
      <c r="KAB1876" s="2477"/>
      <c r="KAC1876" s="2477"/>
      <c r="KAD1876" s="2477"/>
      <c r="KAE1876" s="2477"/>
      <c r="KAF1876" s="2477"/>
      <c r="KAG1876" s="2477"/>
      <c r="KAH1876" s="2477"/>
      <c r="KAI1876" s="2477"/>
      <c r="KAJ1876" s="2477"/>
      <c r="KAK1876" s="2477"/>
      <c r="KAL1876" s="2477"/>
      <c r="KAM1876" s="2477"/>
      <c r="KAN1876" s="2477"/>
      <c r="KAO1876" s="2477"/>
      <c r="KAP1876" s="2477"/>
      <c r="KAQ1876" s="2477"/>
      <c r="KAR1876" s="2477"/>
      <c r="KAS1876" s="2477"/>
      <c r="KAT1876" s="2477"/>
      <c r="KAU1876" s="2477"/>
      <c r="KAV1876" s="2477"/>
      <c r="KAW1876" s="2477"/>
      <c r="KAX1876" s="2477"/>
      <c r="KAY1876" s="2477"/>
      <c r="KAZ1876" s="2477"/>
      <c r="KBA1876" s="2477"/>
      <c r="KBB1876" s="2477"/>
      <c r="KBC1876" s="2477"/>
      <c r="KBD1876" s="2477"/>
      <c r="KBE1876" s="2477"/>
      <c r="KBF1876" s="2477"/>
      <c r="KBG1876" s="2477"/>
      <c r="KBH1876" s="2477"/>
      <c r="KBI1876" s="2477"/>
      <c r="KBJ1876" s="2477"/>
      <c r="KBK1876" s="2477"/>
      <c r="KBL1876" s="2477"/>
      <c r="KBM1876" s="2477"/>
      <c r="KBN1876" s="2477"/>
      <c r="KBO1876" s="2477"/>
      <c r="KBP1876" s="2477"/>
      <c r="KBQ1876" s="2477"/>
      <c r="KBR1876" s="2477"/>
      <c r="KBS1876" s="2477"/>
      <c r="KBT1876" s="2477"/>
      <c r="KBU1876" s="2477"/>
      <c r="KBV1876" s="2477"/>
      <c r="KBW1876" s="2477"/>
      <c r="KBX1876" s="2477"/>
      <c r="KBY1876" s="2477"/>
      <c r="KBZ1876" s="2477"/>
      <c r="KCA1876" s="2477"/>
      <c r="KCB1876" s="2477"/>
      <c r="KCC1876" s="2477"/>
      <c r="KCD1876" s="2477"/>
      <c r="KCE1876" s="2477"/>
      <c r="KCF1876" s="2477"/>
      <c r="KCG1876" s="2477"/>
      <c r="KCH1876" s="2477"/>
      <c r="KCI1876" s="2477"/>
      <c r="KCJ1876" s="2477"/>
      <c r="KCK1876" s="2477"/>
      <c r="KCL1876" s="2477"/>
      <c r="KCM1876" s="2477"/>
      <c r="KCN1876" s="2477"/>
      <c r="KCO1876" s="2477"/>
      <c r="KCP1876" s="2477"/>
      <c r="KCQ1876" s="2477"/>
      <c r="KCR1876" s="2477"/>
      <c r="KCS1876" s="2477"/>
      <c r="KCT1876" s="2477"/>
      <c r="KCU1876" s="2477"/>
      <c r="KCV1876" s="2477"/>
      <c r="KCW1876" s="2477"/>
      <c r="KCX1876" s="2477"/>
      <c r="KCY1876" s="2477"/>
      <c r="KCZ1876" s="2477"/>
      <c r="KDA1876" s="2477"/>
      <c r="KDB1876" s="2477"/>
      <c r="KDC1876" s="2477"/>
      <c r="KDD1876" s="2477"/>
      <c r="KDE1876" s="2477"/>
      <c r="KDF1876" s="2477"/>
      <c r="KDG1876" s="2477"/>
      <c r="KDH1876" s="2477"/>
      <c r="KDI1876" s="2477"/>
      <c r="KDJ1876" s="2477"/>
      <c r="KDK1876" s="2477"/>
      <c r="KDL1876" s="2477"/>
      <c r="KDM1876" s="2477"/>
      <c r="KDN1876" s="2477"/>
      <c r="KDO1876" s="2477"/>
      <c r="KDP1876" s="2477"/>
      <c r="KDQ1876" s="2477"/>
      <c r="KDR1876" s="2477"/>
      <c r="KDS1876" s="2477"/>
      <c r="KDT1876" s="2477"/>
      <c r="KDU1876" s="2477"/>
      <c r="KDV1876" s="2477"/>
      <c r="KDW1876" s="2477"/>
      <c r="KDX1876" s="2477"/>
      <c r="KDY1876" s="2477"/>
      <c r="KDZ1876" s="2477"/>
      <c r="KEA1876" s="2477"/>
      <c r="KEB1876" s="2477"/>
      <c r="KEC1876" s="2477"/>
      <c r="KED1876" s="2477"/>
      <c r="KEE1876" s="2477"/>
      <c r="KEF1876" s="2477"/>
      <c r="KEG1876" s="2477"/>
      <c r="KEH1876" s="2477"/>
      <c r="KEI1876" s="2477"/>
      <c r="KEJ1876" s="2477"/>
      <c r="KEK1876" s="2477"/>
      <c r="KEL1876" s="2477"/>
      <c r="KEM1876" s="2477"/>
      <c r="KEN1876" s="2477"/>
      <c r="KEO1876" s="2477"/>
      <c r="KEP1876" s="2477"/>
      <c r="KEQ1876" s="2477"/>
      <c r="KER1876" s="2477"/>
      <c r="KES1876" s="2477"/>
      <c r="KET1876" s="2477"/>
      <c r="KEU1876" s="2477"/>
      <c r="KEV1876" s="2477"/>
      <c r="KEW1876" s="2477"/>
      <c r="KEX1876" s="2477"/>
      <c r="KEY1876" s="2477"/>
      <c r="KEZ1876" s="2477"/>
      <c r="KFA1876" s="2477"/>
      <c r="KFB1876" s="2477"/>
      <c r="KFC1876" s="2477"/>
      <c r="KFD1876" s="2477"/>
      <c r="KFE1876" s="2477"/>
      <c r="KFF1876" s="2477"/>
      <c r="KFG1876" s="2477"/>
      <c r="KFH1876" s="2477"/>
      <c r="KFI1876" s="2477"/>
      <c r="KFJ1876" s="2477"/>
      <c r="KFK1876" s="2477"/>
      <c r="KFL1876" s="2477"/>
      <c r="KFM1876" s="2477"/>
      <c r="KFN1876" s="2477"/>
      <c r="KFO1876" s="2477"/>
      <c r="KFP1876" s="2477"/>
      <c r="KFQ1876" s="2477"/>
      <c r="KFR1876" s="2477"/>
      <c r="KFS1876" s="2477"/>
      <c r="KFT1876" s="2477"/>
      <c r="KFU1876" s="2477"/>
      <c r="KFV1876" s="2477"/>
      <c r="KFW1876" s="2477"/>
      <c r="KFX1876" s="2477"/>
      <c r="KFY1876" s="2477"/>
      <c r="KFZ1876" s="2477"/>
      <c r="KGA1876" s="2477"/>
      <c r="KGB1876" s="2477"/>
      <c r="KGC1876" s="2477"/>
      <c r="KGD1876" s="2477"/>
      <c r="KGE1876" s="2477"/>
      <c r="KGF1876" s="2477"/>
      <c r="KGG1876" s="2477"/>
      <c r="KGH1876" s="2477"/>
      <c r="KGI1876" s="2477"/>
      <c r="KGJ1876" s="2477"/>
      <c r="KGK1876" s="2477"/>
      <c r="KGL1876" s="2477"/>
      <c r="KGM1876" s="2477"/>
      <c r="KGN1876" s="2477"/>
      <c r="KGO1876" s="2477"/>
      <c r="KGP1876" s="2477"/>
      <c r="KGQ1876" s="2477"/>
      <c r="KGR1876" s="2477"/>
      <c r="KGS1876" s="2477"/>
      <c r="KGT1876" s="2477"/>
      <c r="KGU1876" s="2477"/>
      <c r="KGV1876" s="2477"/>
      <c r="KGW1876" s="2477"/>
      <c r="KGX1876" s="2477"/>
      <c r="KGY1876" s="2477"/>
      <c r="KGZ1876" s="2477"/>
      <c r="KHA1876" s="2477"/>
      <c r="KHB1876" s="2477"/>
      <c r="KHC1876" s="2477"/>
      <c r="KHD1876" s="2477"/>
      <c r="KHE1876" s="2477"/>
      <c r="KHF1876" s="2477"/>
      <c r="KHG1876" s="2477"/>
      <c r="KHH1876" s="2477"/>
      <c r="KHI1876" s="2477"/>
      <c r="KHJ1876" s="2477"/>
      <c r="KHK1876" s="2477"/>
      <c r="KHL1876" s="2477"/>
      <c r="KHM1876" s="2477"/>
      <c r="KHN1876" s="2477"/>
      <c r="KHO1876" s="2477"/>
      <c r="KHP1876" s="2477"/>
      <c r="KHQ1876" s="2477"/>
      <c r="KHR1876" s="2477"/>
      <c r="KHS1876" s="2477"/>
      <c r="KHT1876" s="2477"/>
      <c r="KHU1876" s="2477"/>
      <c r="KHV1876" s="2477"/>
      <c r="KHW1876" s="2477"/>
      <c r="KHX1876" s="2477"/>
      <c r="KHY1876" s="2477"/>
      <c r="KHZ1876" s="2477"/>
      <c r="KIA1876" s="2477"/>
      <c r="KIB1876" s="2477"/>
      <c r="KIC1876" s="2477"/>
      <c r="KID1876" s="2477"/>
      <c r="KIE1876" s="2477"/>
      <c r="KIF1876" s="2477"/>
      <c r="KIG1876" s="2477"/>
      <c r="KIH1876" s="2477"/>
      <c r="KII1876" s="2477"/>
      <c r="KIJ1876" s="2477"/>
      <c r="KIK1876" s="2477"/>
      <c r="KIL1876" s="2477"/>
      <c r="KIM1876" s="2477"/>
      <c r="KIN1876" s="2477"/>
      <c r="KIO1876" s="2477"/>
      <c r="KIP1876" s="2477"/>
      <c r="KIQ1876" s="2477"/>
      <c r="KIR1876" s="2477"/>
      <c r="KIS1876" s="2477"/>
      <c r="KIT1876" s="2477"/>
      <c r="KIU1876" s="2477"/>
      <c r="KIV1876" s="2477"/>
      <c r="KIW1876" s="2477"/>
      <c r="KIX1876" s="2477"/>
      <c r="KIY1876" s="2477"/>
      <c r="KIZ1876" s="2477"/>
      <c r="KJA1876" s="2477"/>
      <c r="KJB1876" s="2477"/>
      <c r="KJC1876" s="2477"/>
      <c r="KJD1876" s="2477"/>
      <c r="KJE1876" s="2477"/>
      <c r="KJF1876" s="2477"/>
      <c r="KJG1876" s="2477"/>
      <c r="KJH1876" s="2477"/>
      <c r="KJI1876" s="2477"/>
      <c r="KJJ1876" s="2477"/>
      <c r="KJK1876" s="2477"/>
      <c r="KJL1876" s="2477"/>
      <c r="KJM1876" s="2477"/>
      <c r="KJN1876" s="2477"/>
      <c r="KJO1876" s="2477"/>
      <c r="KJP1876" s="2477"/>
      <c r="KJQ1876" s="2477"/>
      <c r="KJR1876" s="2477"/>
      <c r="KJS1876" s="2477"/>
      <c r="KJT1876" s="2477"/>
      <c r="KJU1876" s="2477"/>
      <c r="KJV1876" s="2477"/>
      <c r="KJW1876" s="2477"/>
      <c r="KJX1876" s="2477"/>
      <c r="KJY1876" s="2477"/>
      <c r="KJZ1876" s="2477"/>
      <c r="KKA1876" s="2477"/>
      <c r="KKB1876" s="2477"/>
      <c r="KKC1876" s="2477"/>
      <c r="KKD1876" s="2477"/>
      <c r="KKE1876" s="2477"/>
      <c r="KKF1876" s="2477"/>
      <c r="KKG1876" s="2477"/>
      <c r="KKH1876" s="2477"/>
      <c r="KKI1876" s="2477"/>
      <c r="KKJ1876" s="2477"/>
      <c r="KKK1876" s="2477"/>
      <c r="KKL1876" s="2477"/>
      <c r="KKM1876" s="2477"/>
      <c r="KKN1876" s="2477"/>
      <c r="KKO1876" s="2477"/>
      <c r="KKP1876" s="2477"/>
      <c r="KKQ1876" s="2477"/>
      <c r="KKR1876" s="2477"/>
      <c r="KKS1876" s="2477"/>
      <c r="KKT1876" s="2477"/>
      <c r="KKU1876" s="2477"/>
      <c r="KKV1876" s="2477"/>
      <c r="KKW1876" s="2477"/>
      <c r="KKX1876" s="2477"/>
      <c r="KKY1876" s="2477"/>
      <c r="KKZ1876" s="2477"/>
      <c r="KLA1876" s="2477"/>
      <c r="KLB1876" s="2477"/>
      <c r="KLC1876" s="2477"/>
      <c r="KLD1876" s="2477"/>
      <c r="KLE1876" s="2477"/>
      <c r="KLF1876" s="2477"/>
      <c r="KLG1876" s="2477"/>
      <c r="KLH1876" s="2477"/>
      <c r="KLI1876" s="2477"/>
      <c r="KLJ1876" s="2477"/>
      <c r="KLK1876" s="2477"/>
      <c r="KLL1876" s="2477"/>
      <c r="KLM1876" s="2477"/>
      <c r="KLN1876" s="2477"/>
      <c r="KLO1876" s="2477"/>
      <c r="KLP1876" s="2477"/>
      <c r="KLQ1876" s="2477"/>
      <c r="KLR1876" s="2477"/>
      <c r="KLS1876" s="2477"/>
      <c r="KLT1876" s="2477"/>
      <c r="KLU1876" s="2477"/>
      <c r="KLV1876" s="2477"/>
      <c r="KLW1876" s="2477"/>
      <c r="KLX1876" s="2477"/>
      <c r="KLY1876" s="2477"/>
      <c r="KLZ1876" s="2477"/>
      <c r="KMA1876" s="2477"/>
      <c r="KMB1876" s="2477"/>
      <c r="KMC1876" s="2477"/>
      <c r="KMD1876" s="2477"/>
      <c r="KME1876" s="2477"/>
      <c r="KMF1876" s="2477"/>
      <c r="KMG1876" s="2477"/>
      <c r="KMH1876" s="2477"/>
      <c r="KMI1876" s="2477"/>
      <c r="KMJ1876" s="2477"/>
      <c r="KMK1876" s="2477"/>
      <c r="KML1876" s="2477"/>
      <c r="KMM1876" s="2477"/>
      <c r="KMN1876" s="2477"/>
      <c r="KMO1876" s="2477"/>
      <c r="KMP1876" s="2477"/>
      <c r="KMQ1876" s="2477"/>
      <c r="KMR1876" s="2477"/>
      <c r="KMS1876" s="2477"/>
      <c r="KMT1876" s="2477"/>
      <c r="KMU1876" s="2477"/>
      <c r="KMV1876" s="2477"/>
      <c r="KMW1876" s="2477"/>
      <c r="KMX1876" s="2477"/>
      <c r="KMY1876" s="2477"/>
      <c r="KMZ1876" s="2477"/>
      <c r="KNA1876" s="2477"/>
      <c r="KNB1876" s="2477"/>
      <c r="KNC1876" s="2477"/>
      <c r="KND1876" s="2477"/>
      <c r="KNE1876" s="2477"/>
      <c r="KNF1876" s="2477"/>
      <c r="KNG1876" s="2477"/>
      <c r="KNH1876" s="2477"/>
      <c r="KNI1876" s="2477"/>
      <c r="KNJ1876" s="2477"/>
      <c r="KNK1876" s="2477"/>
      <c r="KNL1876" s="2477"/>
      <c r="KNM1876" s="2477"/>
      <c r="KNN1876" s="2477"/>
      <c r="KNO1876" s="2477"/>
      <c r="KNP1876" s="2477"/>
      <c r="KNQ1876" s="2477"/>
      <c r="KNR1876" s="2477"/>
      <c r="KNS1876" s="2477"/>
      <c r="KNT1876" s="2477"/>
      <c r="KNU1876" s="2477"/>
      <c r="KNV1876" s="2477"/>
      <c r="KNW1876" s="2477"/>
      <c r="KNX1876" s="2477"/>
      <c r="KNY1876" s="2477"/>
      <c r="KNZ1876" s="2477"/>
      <c r="KOA1876" s="2477"/>
      <c r="KOB1876" s="2477"/>
      <c r="KOC1876" s="2477"/>
      <c r="KOD1876" s="2477"/>
      <c r="KOE1876" s="2477"/>
      <c r="KOF1876" s="2477"/>
      <c r="KOG1876" s="2477"/>
      <c r="KOH1876" s="2477"/>
      <c r="KOI1876" s="2477"/>
      <c r="KOJ1876" s="2477"/>
      <c r="KOK1876" s="2477"/>
      <c r="KOL1876" s="2477"/>
      <c r="KOM1876" s="2477"/>
      <c r="KON1876" s="2477"/>
      <c r="KOO1876" s="2477"/>
      <c r="KOP1876" s="2477"/>
      <c r="KOQ1876" s="2477"/>
      <c r="KOR1876" s="2477"/>
      <c r="KOS1876" s="2477"/>
      <c r="KOT1876" s="2477"/>
      <c r="KOU1876" s="2477"/>
      <c r="KOV1876" s="2477"/>
      <c r="KOW1876" s="2477"/>
      <c r="KOX1876" s="2477"/>
      <c r="KOY1876" s="2477"/>
      <c r="KOZ1876" s="2477"/>
      <c r="KPA1876" s="2477"/>
      <c r="KPB1876" s="2477"/>
      <c r="KPC1876" s="2477"/>
      <c r="KPD1876" s="2477"/>
      <c r="KPE1876" s="2477"/>
      <c r="KPF1876" s="2477"/>
      <c r="KPG1876" s="2477"/>
      <c r="KPH1876" s="2477"/>
      <c r="KPI1876" s="2477"/>
      <c r="KPJ1876" s="2477"/>
      <c r="KPK1876" s="2477"/>
      <c r="KPL1876" s="2477"/>
      <c r="KPM1876" s="2477"/>
      <c r="KPN1876" s="2477"/>
      <c r="KPO1876" s="2477"/>
      <c r="KPP1876" s="2477"/>
      <c r="KPQ1876" s="2477"/>
      <c r="KPR1876" s="2477"/>
      <c r="KPS1876" s="2477"/>
      <c r="KPT1876" s="2477"/>
      <c r="KPU1876" s="2477"/>
      <c r="KPV1876" s="2477"/>
      <c r="KPW1876" s="2477"/>
      <c r="KPX1876" s="2477"/>
      <c r="KPY1876" s="2477"/>
      <c r="KPZ1876" s="2477"/>
      <c r="KQA1876" s="2477"/>
      <c r="KQB1876" s="2477"/>
      <c r="KQC1876" s="2477"/>
      <c r="KQD1876" s="2477"/>
      <c r="KQE1876" s="2477"/>
      <c r="KQF1876" s="2477"/>
      <c r="KQG1876" s="2477"/>
      <c r="KQH1876" s="2477"/>
      <c r="KQI1876" s="2477"/>
      <c r="KQJ1876" s="2477"/>
      <c r="KQK1876" s="2477"/>
      <c r="KQL1876" s="2477"/>
      <c r="KQM1876" s="2477"/>
      <c r="KQN1876" s="2477"/>
      <c r="KQO1876" s="2477"/>
      <c r="KQP1876" s="2477"/>
      <c r="KQQ1876" s="2477"/>
      <c r="KQR1876" s="2477"/>
      <c r="KQS1876" s="2477"/>
      <c r="KQT1876" s="2477"/>
      <c r="KQU1876" s="2477"/>
      <c r="KQV1876" s="2477"/>
      <c r="KQW1876" s="2477"/>
      <c r="KQX1876" s="2477"/>
      <c r="KQY1876" s="2477"/>
      <c r="KQZ1876" s="2477"/>
      <c r="KRA1876" s="2477"/>
      <c r="KRB1876" s="2477"/>
      <c r="KRC1876" s="2477"/>
      <c r="KRD1876" s="2477"/>
      <c r="KRE1876" s="2477"/>
      <c r="KRF1876" s="2477"/>
      <c r="KRG1876" s="2477"/>
      <c r="KRH1876" s="2477"/>
      <c r="KRI1876" s="2477"/>
      <c r="KRJ1876" s="2477"/>
      <c r="KRK1876" s="2477"/>
      <c r="KRL1876" s="2477"/>
      <c r="KRM1876" s="2477"/>
      <c r="KRN1876" s="2477"/>
      <c r="KRO1876" s="2477"/>
      <c r="KRP1876" s="2477"/>
      <c r="KRQ1876" s="2477"/>
      <c r="KRR1876" s="2477"/>
      <c r="KRS1876" s="2477"/>
      <c r="KRT1876" s="2477"/>
      <c r="KRU1876" s="2477"/>
      <c r="KRV1876" s="2477"/>
      <c r="KRW1876" s="2477"/>
      <c r="KRX1876" s="2477"/>
      <c r="KRY1876" s="2477"/>
      <c r="KRZ1876" s="2477"/>
      <c r="KSA1876" s="2477"/>
      <c r="KSB1876" s="2477"/>
      <c r="KSC1876" s="2477"/>
      <c r="KSD1876" s="2477"/>
      <c r="KSE1876" s="2477"/>
      <c r="KSF1876" s="2477"/>
      <c r="KSG1876" s="2477"/>
      <c r="KSH1876" s="2477"/>
      <c r="KSI1876" s="2477"/>
      <c r="KSJ1876" s="2477"/>
      <c r="KSK1876" s="2477"/>
      <c r="KSL1876" s="2477"/>
      <c r="KSM1876" s="2477"/>
      <c r="KSN1876" s="2477"/>
      <c r="KSO1876" s="2477"/>
      <c r="KSP1876" s="2477"/>
      <c r="KSQ1876" s="2477"/>
      <c r="KSR1876" s="2477"/>
      <c r="KSS1876" s="2477"/>
      <c r="KST1876" s="2477"/>
      <c r="KSU1876" s="2477"/>
      <c r="KSV1876" s="2477"/>
      <c r="KSW1876" s="2477"/>
      <c r="KSX1876" s="2477"/>
      <c r="KSY1876" s="2477"/>
      <c r="KSZ1876" s="2477"/>
      <c r="KTA1876" s="2477"/>
      <c r="KTB1876" s="2477"/>
      <c r="KTC1876" s="2477"/>
      <c r="KTD1876" s="2477"/>
      <c r="KTE1876" s="2477"/>
      <c r="KTF1876" s="2477"/>
      <c r="KTG1876" s="2477"/>
      <c r="KTH1876" s="2477"/>
      <c r="KTI1876" s="2477"/>
      <c r="KTJ1876" s="2477"/>
      <c r="KTK1876" s="2477"/>
      <c r="KTL1876" s="2477"/>
      <c r="KTM1876" s="2477"/>
      <c r="KTN1876" s="2477"/>
      <c r="KTO1876" s="2477"/>
      <c r="KTP1876" s="2477"/>
      <c r="KTQ1876" s="2477"/>
      <c r="KTR1876" s="2477"/>
      <c r="KTS1876" s="2477"/>
      <c r="KTT1876" s="2477"/>
      <c r="KTU1876" s="2477"/>
      <c r="KTV1876" s="2477"/>
      <c r="KTW1876" s="2477"/>
      <c r="KTX1876" s="2477"/>
      <c r="KTY1876" s="2477"/>
      <c r="KTZ1876" s="2477"/>
      <c r="KUA1876" s="2477"/>
      <c r="KUB1876" s="2477"/>
      <c r="KUC1876" s="2477"/>
      <c r="KUD1876" s="2477"/>
      <c r="KUE1876" s="2477"/>
      <c r="KUF1876" s="2477"/>
      <c r="KUG1876" s="2477"/>
      <c r="KUH1876" s="2477"/>
      <c r="KUI1876" s="2477"/>
      <c r="KUJ1876" s="2477"/>
      <c r="KUK1876" s="2477"/>
      <c r="KUL1876" s="2477"/>
      <c r="KUM1876" s="2477"/>
      <c r="KUN1876" s="2477"/>
      <c r="KUO1876" s="2477"/>
      <c r="KUP1876" s="2477"/>
      <c r="KUQ1876" s="2477"/>
      <c r="KUR1876" s="2477"/>
      <c r="KUS1876" s="2477"/>
      <c r="KUT1876" s="2477"/>
      <c r="KUU1876" s="2477"/>
      <c r="KUV1876" s="2477"/>
      <c r="KUW1876" s="2477"/>
      <c r="KUX1876" s="2477"/>
      <c r="KUY1876" s="2477"/>
      <c r="KUZ1876" s="2477"/>
      <c r="KVA1876" s="2477"/>
      <c r="KVB1876" s="2477"/>
      <c r="KVC1876" s="2477"/>
      <c r="KVD1876" s="2477"/>
      <c r="KVE1876" s="2477"/>
      <c r="KVF1876" s="2477"/>
      <c r="KVG1876" s="2477"/>
      <c r="KVH1876" s="2477"/>
      <c r="KVI1876" s="2477"/>
      <c r="KVJ1876" s="2477"/>
      <c r="KVK1876" s="2477"/>
      <c r="KVL1876" s="2477"/>
      <c r="KVM1876" s="2477"/>
      <c r="KVN1876" s="2477"/>
      <c r="KVO1876" s="2477"/>
      <c r="KVP1876" s="2477"/>
      <c r="KVQ1876" s="2477"/>
      <c r="KVR1876" s="2477"/>
      <c r="KVS1876" s="2477"/>
      <c r="KVT1876" s="2477"/>
      <c r="KVU1876" s="2477"/>
      <c r="KVV1876" s="2477"/>
      <c r="KVW1876" s="2477"/>
      <c r="KVX1876" s="2477"/>
      <c r="KVY1876" s="2477"/>
      <c r="KVZ1876" s="2477"/>
      <c r="KWA1876" s="2477"/>
      <c r="KWB1876" s="2477"/>
      <c r="KWC1876" s="2477"/>
      <c r="KWD1876" s="2477"/>
      <c r="KWE1876" s="2477"/>
      <c r="KWF1876" s="2477"/>
      <c r="KWG1876" s="2477"/>
      <c r="KWH1876" s="2477"/>
      <c r="KWI1876" s="2477"/>
      <c r="KWJ1876" s="2477"/>
      <c r="KWK1876" s="2477"/>
      <c r="KWL1876" s="2477"/>
      <c r="KWM1876" s="2477"/>
      <c r="KWN1876" s="2477"/>
      <c r="KWO1876" s="2477"/>
      <c r="KWP1876" s="2477"/>
      <c r="KWQ1876" s="2477"/>
      <c r="KWR1876" s="2477"/>
      <c r="KWS1876" s="2477"/>
      <c r="KWT1876" s="2477"/>
      <c r="KWU1876" s="2477"/>
      <c r="KWV1876" s="2477"/>
      <c r="KWW1876" s="2477"/>
      <c r="KWX1876" s="2477"/>
      <c r="KWY1876" s="2477"/>
      <c r="KWZ1876" s="2477"/>
      <c r="KXA1876" s="2477"/>
      <c r="KXB1876" s="2477"/>
      <c r="KXC1876" s="2477"/>
      <c r="KXD1876" s="2477"/>
      <c r="KXE1876" s="2477"/>
      <c r="KXF1876" s="2477"/>
      <c r="KXG1876" s="2477"/>
      <c r="KXH1876" s="2477"/>
      <c r="KXI1876" s="2477"/>
      <c r="KXJ1876" s="2477"/>
      <c r="KXK1876" s="2477"/>
      <c r="KXL1876" s="2477"/>
      <c r="KXM1876" s="2477"/>
      <c r="KXN1876" s="2477"/>
      <c r="KXO1876" s="2477"/>
      <c r="KXP1876" s="2477"/>
      <c r="KXQ1876" s="2477"/>
      <c r="KXR1876" s="2477"/>
      <c r="KXS1876" s="2477"/>
      <c r="KXT1876" s="2477"/>
      <c r="KXU1876" s="2477"/>
      <c r="KXV1876" s="2477"/>
      <c r="KXW1876" s="2477"/>
      <c r="KXX1876" s="2477"/>
      <c r="KXY1876" s="2477"/>
      <c r="KXZ1876" s="2477"/>
      <c r="KYA1876" s="2477"/>
      <c r="KYB1876" s="2477"/>
      <c r="KYC1876" s="2477"/>
      <c r="KYD1876" s="2477"/>
      <c r="KYE1876" s="2477"/>
      <c r="KYF1876" s="2477"/>
      <c r="KYG1876" s="2477"/>
      <c r="KYH1876" s="2477"/>
      <c r="KYI1876" s="2477"/>
      <c r="KYJ1876" s="2477"/>
      <c r="KYK1876" s="2477"/>
      <c r="KYL1876" s="2477"/>
      <c r="KYM1876" s="2477"/>
      <c r="KYN1876" s="2477"/>
      <c r="KYO1876" s="2477"/>
      <c r="KYP1876" s="2477"/>
      <c r="KYQ1876" s="2477"/>
      <c r="KYR1876" s="2477"/>
      <c r="KYS1876" s="2477"/>
      <c r="KYT1876" s="2477"/>
      <c r="KYU1876" s="2477"/>
      <c r="KYV1876" s="2477"/>
      <c r="KYW1876" s="2477"/>
      <c r="KYX1876" s="2477"/>
      <c r="KYY1876" s="2477"/>
      <c r="KYZ1876" s="2477"/>
      <c r="KZA1876" s="2477"/>
      <c r="KZB1876" s="2477"/>
      <c r="KZC1876" s="2477"/>
      <c r="KZD1876" s="2477"/>
      <c r="KZE1876" s="2477"/>
      <c r="KZF1876" s="2477"/>
      <c r="KZG1876" s="2477"/>
      <c r="KZH1876" s="2477"/>
      <c r="KZI1876" s="2477"/>
      <c r="KZJ1876" s="2477"/>
      <c r="KZK1876" s="2477"/>
      <c r="KZL1876" s="2477"/>
      <c r="KZM1876" s="2477"/>
      <c r="KZN1876" s="2477"/>
      <c r="KZO1876" s="2477"/>
      <c r="KZP1876" s="2477"/>
      <c r="KZQ1876" s="2477"/>
      <c r="KZR1876" s="2477"/>
      <c r="KZS1876" s="2477"/>
      <c r="KZT1876" s="2477"/>
      <c r="KZU1876" s="2477"/>
      <c r="KZV1876" s="2477"/>
      <c r="KZW1876" s="2477"/>
      <c r="KZX1876" s="2477"/>
      <c r="KZY1876" s="2477"/>
      <c r="KZZ1876" s="2477"/>
      <c r="LAA1876" s="2477"/>
      <c r="LAB1876" s="2477"/>
      <c r="LAC1876" s="2477"/>
      <c r="LAD1876" s="2477"/>
      <c r="LAE1876" s="2477"/>
      <c r="LAF1876" s="2477"/>
      <c r="LAG1876" s="2477"/>
      <c r="LAH1876" s="2477"/>
      <c r="LAI1876" s="2477"/>
      <c r="LAJ1876" s="2477"/>
      <c r="LAK1876" s="2477"/>
      <c r="LAL1876" s="2477"/>
      <c r="LAM1876" s="2477"/>
      <c r="LAN1876" s="2477"/>
      <c r="LAO1876" s="2477"/>
      <c r="LAP1876" s="2477"/>
      <c r="LAQ1876" s="2477"/>
      <c r="LAR1876" s="2477"/>
      <c r="LAS1876" s="2477"/>
      <c r="LAT1876" s="2477"/>
      <c r="LAU1876" s="2477"/>
      <c r="LAV1876" s="2477"/>
      <c r="LAW1876" s="2477"/>
      <c r="LAX1876" s="2477"/>
      <c r="LAY1876" s="2477"/>
      <c r="LAZ1876" s="2477"/>
      <c r="LBA1876" s="2477"/>
      <c r="LBB1876" s="2477"/>
      <c r="LBC1876" s="2477"/>
      <c r="LBD1876" s="2477"/>
      <c r="LBE1876" s="2477"/>
      <c r="LBF1876" s="2477"/>
      <c r="LBG1876" s="2477"/>
      <c r="LBH1876" s="2477"/>
      <c r="LBI1876" s="2477"/>
      <c r="LBJ1876" s="2477"/>
      <c r="LBK1876" s="2477"/>
      <c r="LBL1876" s="2477"/>
      <c r="LBM1876" s="2477"/>
      <c r="LBN1876" s="2477"/>
      <c r="LBO1876" s="2477"/>
      <c r="LBP1876" s="2477"/>
      <c r="LBQ1876" s="2477"/>
      <c r="LBR1876" s="2477"/>
      <c r="LBS1876" s="2477"/>
      <c r="LBT1876" s="2477"/>
      <c r="LBU1876" s="2477"/>
      <c r="LBV1876" s="2477"/>
      <c r="LBW1876" s="2477"/>
      <c r="LBX1876" s="2477"/>
      <c r="LBY1876" s="2477"/>
      <c r="LBZ1876" s="2477"/>
      <c r="LCA1876" s="2477"/>
      <c r="LCB1876" s="2477"/>
      <c r="LCC1876" s="2477"/>
      <c r="LCD1876" s="2477"/>
      <c r="LCE1876" s="2477"/>
      <c r="LCF1876" s="2477"/>
      <c r="LCG1876" s="2477"/>
      <c r="LCH1876" s="2477"/>
      <c r="LCI1876" s="2477"/>
      <c r="LCJ1876" s="2477"/>
      <c r="LCK1876" s="2477"/>
      <c r="LCL1876" s="2477"/>
      <c r="LCM1876" s="2477"/>
      <c r="LCN1876" s="2477"/>
      <c r="LCO1876" s="2477"/>
      <c r="LCP1876" s="2477"/>
      <c r="LCQ1876" s="2477"/>
      <c r="LCR1876" s="2477"/>
      <c r="LCS1876" s="2477"/>
      <c r="LCT1876" s="2477"/>
      <c r="LCU1876" s="2477"/>
      <c r="LCV1876" s="2477"/>
      <c r="LCW1876" s="2477"/>
      <c r="LCX1876" s="2477"/>
      <c r="LCY1876" s="2477"/>
      <c r="LCZ1876" s="2477"/>
      <c r="LDA1876" s="2477"/>
      <c r="LDB1876" s="2477"/>
      <c r="LDC1876" s="2477"/>
      <c r="LDD1876" s="2477"/>
      <c r="LDE1876" s="2477"/>
      <c r="LDF1876" s="2477"/>
      <c r="LDG1876" s="2477"/>
      <c r="LDH1876" s="2477"/>
      <c r="LDI1876" s="2477"/>
      <c r="LDJ1876" s="2477"/>
      <c r="LDK1876" s="2477"/>
      <c r="LDL1876" s="2477"/>
      <c r="LDM1876" s="2477"/>
      <c r="LDN1876" s="2477"/>
      <c r="LDO1876" s="2477"/>
      <c r="LDP1876" s="2477"/>
      <c r="LDQ1876" s="2477"/>
      <c r="LDR1876" s="2477"/>
      <c r="LDS1876" s="2477"/>
      <c r="LDT1876" s="2477"/>
      <c r="LDU1876" s="2477"/>
      <c r="LDV1876" s="2477"/>
      <c r="LDW1876" s="2477"/>
      <c r="LDX1876" s="2477"/>
      <c r="LDY1876" s="2477"/>
      <c r="LDZ1876" s="2477"/>
      <c r="LEA1876" s="2477"/>
      <c r="LEB1876" s="2477"/>
      <c r="LEC1876" s="2477"/>
      <c r="LED1876" s="2477"/>
      <c r="LEE1876" s="2477"/>
      <c r="LEF1876" s="2477"/>
      <c r="LEG1876" s="2477"/>
      <c r="LEH1876" s="2477"/>
      <c r="LEI1876" s="2477"/>
      <c r="LEJ1876" s="2477"/>
      <c r="LEK1876" s="2477"/>
      <c r="LEL1876" s="2477"/>
      <c r="LEM1876" s="2477"/>
      <c r="LEN1876" s="2477"/>
      <c r="LEO1876" s="2477"/>
      <c r="LEP1876" s="2477"/>
      <c r="LEQ1876" s="2477"/>
      <c r="LER1876" s="2477"/>
      <c r="LES1876" s="2477"/>
      <c r="LET1876" s="2477"/>
      <c r="LEU1876" s="2477"/>
      <c r="LEV1876" s="2477"/>
      <c r="LEW1876" s="2477"/>
      <c r="LEX1876" s="2477"/>
      <c r="LEY1876" s="2477"/>
      <c r="LEZ1876" s="2477"/>
      <c r="LFA1876" s="2477"/>
      <c r="LFB1876" s="2477"/>
      <c r="LFC1876" s="2477"/>
      <c r="LFD1876" s="2477"/>
      <c r="LFE1876" s="2477"/>
      <c r="LFF1876" s="2477"/>
      <c r="LFG1876" s="2477"/>
      <c r="LFH1876" s="2477"/>
      <c r="LFI1876" s="2477"/>
      <c r="LFJ1876" s="2477"/>
      <c r="LFK1876" s="2477"/>
      <c r="LFL1876" s="2477"/>
      <c r="LFM1876" s="2477"/>
      <c r="LFN1876" s="2477"/>
      <c r="LFO1876" s="2477"/>
      <c r="LFP1876" s="2477"/>
      <c r="LFQ1876" s="2477"/>
      <c r="LFR1876" s="2477"/>
      <c r="LFS1876" s="2477"/>
      <c r="LFT1876" s="2477"/>
      <c r="LFU1876" s="2477"/>
      <c r="LFV1876" s="2477"/>
      <c r="LFW1876" s="2477"/>
      <c r="LFX1876" s="2477"/>
      <c r="LFY1876" s="2477"/>
      <c r="LFZ1876" s="2477"/>
      <c r="LGA1876" s="2477"/>
      <c r="LGB1876" s="2477"/>
      <c r="LGC1876" s="2477"/>
      <c r="LGD1876" s="2477"/>
      <c r="LGE1876" s="2477"/>
      <c r="LGF1876" s="2477"/>
      <c r="LGG1876" s="2477"/>
      <c r="LGH1876" s="2477"/>
      <c r="LGI1876" s="2477"/>
      <c r="LGJ1876" s="2477"/>
      <c r="LGK1876" s="2477"/>
      <c r="LGL1876" s="2477"/>
      <c r="LGM1876" s="2477"/>
      <c r="LGN1876" s="2477"/>
      <c r="LGO1876" s="2477"/>
      <c r="LGP1876" s="2477"/>
      <c r="LGQ1876" s="2477"/>
      <c r="LGR1876" s="2477"/>
      <c r="LGS1876" s="2477"/>
      <c r="LGT1876" s="2477"/>
      <c r="LGU1876" s="2477"/>
      <c r="LGV1876" s="2477"/>
      <c r="LGW1876" s="2477"/>
      <c r="LGX1876" s="2477"/>
      <c r="LGY1876" s="2477"/>
      <c r="LGZ1876" s="2477"/>
      <c r="LHA1876" s="2477"/>
      <c r="LHB1876" s="2477"/>
      <c r="LHC1876" s="2477"/>
      <c r="LHD1876" s="2477"/>
      <c r="LHE1876" s="2477"/>
      <c r="LHF1876" s="2477"/>
      <c r="LHG1876" s="2477"/>
      <c r="LHH1876" s="2477"/>
      <c r="LHI1876" s="2477"/>
      <c r="LHJ1876" s="2477"/>
      <c r="LHK1876" s="2477"/>
      <c r="LHL1876" s="2477"/>
      <c r="LHM1876" s="2477"/>
      <c r="LHN1876" s="2477"/>
      <c r="LHO1876" s="2477"/>
      <c r="LHP1876" s="2477"/>
      <c r="LHQ1876" s="2477"/>
      <c r="LHR1876" s="2477"/>
      <c r="LHS1876" s="2477"/>
      <c r="LHT1876" s="2477"/>
      <c r="LHU1876" s="2477"/>
      <c r="LHV1876" s="2477"/>
      <c r="LHW1876" s="2477"/>
      <c r="LHX1876" s="2477"/>
      <c r="LHY1876" s="2477"/>
      <c r="LHZ1876" s="2477"/>
      <c r="LIA1876" s="2477"/>
      <c r="LIB1876" s="2477"/>
      <c r="LIC1876" s="2477"/>
      <c r="LID1876" s="2477"/>
      <c r="LIE1876" s="2477"/>
      <c r="LIF1876" s="2477"/>
      <c r="LIG1876" s="2477"/>
      <c r="LIH1876" s="2477"/>
      <c r="LII1876" s="2477"/>
      <c r="LIJ1876" s="2477"/>
      <c r="LIK1876" s="2477"/>
      <c r="LIL1876" s="2477"/>
      <c r="LIM1876" s="2477"/>
      <c r="LIN1876" s="2477"/>
      <c r="LIO1876" s="2477"/>
      <c r="LIP1876" s="2477"/>
      <c r="LIQ1876" s="2477"/>
      <c r="LIR1876" s="2477"/>
      <c r="LIS1876" s="2477"/>
      <c r="LIT1876" s="2477"/>
      <c r="LIU1876" s="2477"/>
      <c r="LIV1876" s="2477"/>
      <c r="LIW1876" s="2477"/>
      <c r="LIX1876" s="2477"/>
      <c r="LIY1876" s="2477"/>
      <c r="LIZ1876" s="2477"/>
      <c r="LJA1876" s="2477"/>
      <c r="LJB1876" s="2477"/>
      <c r="LJC1876" s="2477"/>
      <c r="LJD1876" s="2477"/>
      <c r="LJE1876" s="2477"/>
      <c r="LJF1876" s="2477"/>
      <c r="LJG1876" s="2477"/>
      <c r="LJH1876" s="2477"/>
      <c r="LJI1876" s="2477"/>
      <c r="LJJ1876" s="2477"/>
      <c r="LJK1876" s="2477"/>
      <c r="LJL1876" s="2477"/>
      <c r="LJM1876" s="2477"/>
      <c r="LJN1876" s="2477"/>
      <c r="LJO1876" s="2477"/>
      <c r="LJP1876" s="2477"/>
      <c r="LJQ1876" s="2477"/>
      <c r="LJR1876" s="2477"/>
      <c r="LJS1876" s="2477"/>
      <c r="LJT1876" s="2477"/>
      <c r="LJU1876" s="2477"/>
      <c r="LJV1876" s="2477"/>
      <c r="LJW1876" s="2477"/>
      <c r="LJX1876" s="2477"/>
      <c r="LJY1876" s="2477"/>
      <c r="LJZ1876" s="2477"/>
      <c r="LKA1876" s="2477"/>
      <c r="LKB1876" s="2477"/>
      <c r="LKC1876" s="2477"/>
      <c r="LKD1876" s="2477"/>
      <c r="LKE1876" s="2477"/>
      <c r="LKF1876" s="2477"/>
      <c r="LKG1876" s="2477"/>
      <c r="LKH1876" s="2477"/>
      <c r="LKI1876" s="2477"/>
      <c r="LKJ1876" s="2477"/>
      <c r="LKK1876" s="2477"/>
      <c r="LKL1876" s="2477"/>
      <c r="LKM1876" s="2477"/>
      <c r="LKN1876" s="2477"/>
      <c r="LKO1876" s="2477"/>
      <c r="LKP1876" s="2477"/>
      <c r="LKQ1876" s="2477"/>
      <c r="LKR1876" s="2477"/>
      <c r="LKS1876" s="2477"/>
      <c r="LKT1876" s="2477"/>
      <c r="LKU1876" s="2477"/>
      <c r="LKV1876" s="2477"/>
      <c r="LKW1876" s="2477"/>
      <c r="LKX1876" s="2477"/>
      <c r="LKY1876" s="2477"/>
      <c r="LKZ1876" s="2477"/>
      <c r="LLA1876" s="2477"/>
      <c r="LLB1876" s="2477"/>
      <c r="LLC1876" s="2477"/>
      <c r="LLD1876" s="2477"/>
      <c r="LLE1876" s="2477"/>
      <c r="LLF1876" s="2477"/>
      <c r="LLG1876" s="2477"/>
      <c r="LLH1876" s="2477"/>
      <c r="LLI1876" s="2477"/>
      <c r="LLJ1876" s="2477"/>
      <c r="LLK1876" s="2477"/>
      <c r="LLL1876" s="2477"/>
      <c r="LLM1876" s="2477"/>
      <c r="LLN1876" s="2477"/>
      <c r="LLO1876" s="2477"/>
      <c r="LLP1876" s="2477"/>
      <c r="LLQ1876" s="2477"/>
      <c r="LLR1876" s="2477"/>
      <c r="LLS1876" s="2477"/>
      <c r="LLT1876" s="2477"/>
      <c r="LLU1876" s="2477"/>
      <c r="LLV1876" s="2477"/>
      <c r="LLW1876" s="2477"/>
      <c r="LLX1876" s="2477"/>
      <c r="LLY1876" s="2477"/>
      <c r="LLZ1876" s="2477"/>
      <c r="LMA1876" s="2477"/>
      <c r="LMB1876" s="2477"/>
      <c r="LMC1876" s="2477"/>
      <c r="LMD1876" s="2477"/>
      <c r="LME1876" s="2477"/>
      <c r="LMF1876" s="2477"/>
      <c r="LMG1876" s="2477"/>
      <c r="LMH1876" s="2477"/>
      <c r="LMI1876" s="2477"/>
      <c r="LMJ1876" s="2477"/>
      <c r="LMK1876" s="2477"/>
      <c r="LML1876" s="2477"/>
      <c r="LMM1876" s="2477"/>
      <c r="LMN1876" s="2477"/>
      <c r="LMO1876" s="2477"/>
      <c r="LMP1876" s="2477"/>
      <c r="LMQ1876" s="2477"/>
      <c r="LMR1876" s="2477"/>
      <c r="LMS1876" s="2477"/>
      <c r="LMT1876" s="2477"/>
      <c r="LMU1876" s="2477"/>
      <c r="LMV1876" s="2477"/>
      <c r="LMW1876" s="2477"/>
      <c r="LMX1876" s="2477"/>
      <c r="LMY1876" s="2477"/>
      <c r="LMZ1876" s="2477"/>
      <c r="LNA1876" s="2477"/>
      <c r="LNB1876" s="2477"/>
      <c r="LNC1876" s="2477"/>
      <c r="LND1876" s="2477"/>
      <c r="LNE1876" s="2477"/>
      <c r="LNF1876" s="2477"/>
      <c r="LNG1876" s="2477"/>
      <c r="LNH1876" s="2477"/>
      <c r="LNI1876" s="2477"/>
      <c r="LNJ1876" s="2477"/>
      <c r="LNK1876" s="2477"/>
      <c r="LNL1876" s="2477"/>
      <c r="LNM1876" s="2477"/>
      <c r="LNN1876" s="2477"/>
      <c r="LNO1876" s="2477"/>
      <c r="LNP1876" s="2477"/>
      <c r="LNQ1876" s="2477"/>
      <c r="LNR1876" s="2477"/>
      <c r="LNS1876" s="2477"/>
      <c r="LNT1876" s="2477"/>
      <c r="LNU1876" s="2477"/>
      <c r="LNV1876" s="2477"/>
      <c r="LNW1876" s="2477"/>
      <c r="LNX1876" s="2477"/>
      <c r="LNY1876" s="2477"/>
      <c r="LNZ1876" s="2477"/>
      <c r="LOA1876" s="2477"/>
      <c r="LOB1876" s="2477"/>
      <c r="LOC1876" s="2477"/>
      <c r="LOD1876" s="2477"/>
      <c r="LOE1876" s="2477"/>
      <c r="LOF1876" s="2477"/>
      <c r="LOG1876" s="2477"/>
      <c r="LOH1876" s="2477"/>
      <c r="LOI1876" s="2477"/>
      <c r="LOJ1876" s="2477"/>
      <c r="LOK1876" s="2477"/>
      <c r="LOL1876" s="2477"/>
      <c r="LOM1876" s="2477"/>
      <c r="LON1876" s="2477"/>
      <c r="LOO1876" s="2477"/>
      <c r="LOP1876" s="2477"/>
      <c r="LOQ1876" s="2477"/>
      <c r="LOR1876" s="2477"/>
      <c r="LOS1876" s="2477"/>
      <c r="LOT1876" s="2477"/>
      <c r="LOU1876" s="2477"/>
      <c r="LOV1876" s="2477"/>
      <c r="LOW1876" s="2477"/>
      <c r="LOX1876" s="2477"/>
      <c r="LOY1876" s="2477"/>
      <c r="LOZ1876" s="2477"/>
      <c r="LPA1876" s="2477"/>
      <c r="LPB1876" s="2477"/>
      <c r="LPC1876" s="2477"/>
      <c r="LPD1876" s="2477"/>
      <c r="LPE1876" s="2477"/>
      <c r="LPF1876" s="2477"/>
      <c r="LPG1876" s="2477"/>
      <c r="LPH1876" s="2477"/>
      <c r="LPI1876" s="2477"/>
      <c r="LPJ1876" s="2477"/>
      <c r="LPK1876" s="2477"/>
      <c r="LPL1876" s="2477"/>
      <c r="LPM1876" s="2477"/>
      <c r="LPN1876" s="2477"/>
      <c r="LPO1876" s="2477"/>
      <c r="LPP1876" s="2477"/>
      <c r="LPQ1876" s="2477"/>
      <c r="LPR1876" s="2477"/>
      <c r="LPS1876" s="2477"/>
      <c r="LPT1876" s="2477"/>
      <c r="LPU1876" s="2477"/>
      <c r="LPV1876" s="2477"/>
      <c r="LPW1876" s="2477"/>
      <c r="LPX1876" s="2477"/>
      <c r="LPY1876" s="2477"/>
      <c r="LPZ1876" s="2477"/>
      <c r="LQA1876" s="2477"/>
      <c r="LQB1876" s="2477"/>
      <c r="LQC1876" s="2477"/>
      <c r="LQD1876" s="2477"/>
      <c r="LQE1876" s="2477"/>
      <c r="LQF1876" s="2477"/>
      <c r="LQG1876" s="2477"/>
      <c r="LQH1876" s="2477"/>
      <c r="LQI1876" s="2477"/>
      <c r="LQJ1876" s="2477"/>
      <c r="LQK1876" s="2477"/>
      <c r="LQL1876" s="2477"/>
      <c r="LQM1876" s="2477"/>
      <c r="LQN1876" s="2477"/>
      <c r="LQO1876" s="2477"/>
      <c r="LQP1876" s="2477"/>
      <c r="LQQ1876" s="2477"/>
      <c r="LQR1876" s="2477"/>
      <c r="LQS1876" s="2477"/>
      <c r="LQT1876" s="2477"/>
      <c r="LQU1876" s="2477"/>
      <c r="LQV1876" s="2477"/>
      <c r="LQW1876" s="2477"/>
      <c r="LQX1876" s="2477"/>
      <c r="LQY1876" s="2477"/>
      <c r="LQZ1876" s="2477"/>
      <c r="LRA1876" s="2477"/>
      <c r="LRB1876" s="2477"/>
      <c r="LRC1876" s="2477"/>
      <c r="LRD1876" s="2477"/>
      <c r="LRE1876" s="2477"/>
      <c r="LRF1876" s="2477"/>
      <c r="LRG1876" s="2477"/>
      <c r="LRH1876" s="2477"/>
      <c r="LRI1876" s="2477"/>
      <c r="LRJ1876" s="2477"/>
      <c r="LRK1876" s="2477"/>
      <c r="LRL1876" s="2477"/>
      <c r="LRM1876" s="2477"/>
      <c r="LRN1876" s="2477"/>
      <c r="LRO1876" s="2477"/>
      <c r="LRP1876" s="2477"/>
      <c r="LRQ1876" s="2477"/>
      <c r="LRR1876" s="2477"/>
      <c r="LRS1876" s="2477"/>
      <c r="LRT1876" s="2477"/>
      <c r="LRU1876" s="2477"/>
      <c r="LRV1876" s="2477"/>
      <c r="LRW1876" s="2477"/>
      <c r="LRX1876" s="2477"/>
      <c r="LRY1876" s="2477"/>
      <c r="LRZ1876" s="2477"/>
      <c r="LSA1876" s="2477"/>
      <c r="LSB1876" s="2477"/>
      <c r="LSC1876" s="2477"/>
      <c r="LSD1876" s="2477"/>
      <c r="LSE1876" s="2477"/>
      <c r="LSF1876" s="2477"/>
      <c r="LSG1876" s="2477"/>
      <c r="LSH1876" s="2477"/>
      <c r="LSI1876" s="2477"/>
      <c r="LSJ1876" s="2477"/>
      <c r="LSK1876" s="2477"/>
      <c r="LSL1876" s="2477"/>
      <c r="LSM1876" s="2477"/>
      <c r="LSN1876" s="2477"/>
      <c r="LSO1876" s="2477"/>
      <c r="LSP1876" s="2477"/>
      <c r="LSQ1876" s="2477"/>
      <c r="LSR1876" s="2477"/>
      <c r="LSS1876" s="2477"/>
      <c r="LST1876" s="2477"/>
      <c r="LSU1876" s="2477"/>
      <c r="LSV1876" s="2477"/>
      <c r="LSW1876" s="2477"/>
      <c r="LSX1876" s="2477"/>
      <c r="LSY1876" s="2477"/>
      <c r="LSZ1876" s="2477"/>
      <c r="LTA1876" s="2477"/>
      <c r="LTB1876" s="2477"/>
      <c r="LTC1876" s="2477"/>
      <c r="LTD1876" s="2477"/>
      <c r="LTE1876" s="2477"/>
      <c r="LTF1876" s="2477"/>
      <c r="LTG1876" s="2477"/>
      <c r="LTH1876" s="2477"/>
      <c r="LTI1876" s="2477"/>
      <c r="LTJ1876" s="2477"/>
      <c r="LTK1876" s="2477"/>
      <c r="LTL1876" s="2477"/>
      <c r="LTM1876" s="2477"/>
      <c r="LTN1876" s="2477"/>
      <c r="LTO1876" s="2477"/>
      <c r="LTP1876" s="2477"/>
      <c r="LTQ1876" s="2477"/>
      <c r="LTR1876" s="2477"/>
      <c r="LTS1876" s="2477"/>
      <c r="LTT1876" s="2477"/>
      <c r="LTU1876" s="2477"/>
      <c r="LTV1876" s="2477"/>
      <c r="LTW1876" s="2477"/>
      <c r="LTX1876" s="2477"/>
      <c r="LTY1876" s="2477"/>
      <c r="LTZ1876" s="2477"/>
      <c r="LUA1876" s="2477"/>
      <c r="LUB1876" s="2477"/>
      <c r="LUC1876" s="2477"/>
      <c r="LUD1876" s="2477"/>
      <c r="LUE1876" s="2477"/>
      <c r="LUF1876" s="2477"/>
      <c r="LUG1876" s="2477"/>
      <c r="LUH1876" s="2477"/>
      <c r="LUI1876" s="2477"/>
      <c r="LUJ1876" s="2477"/>
      <c r="LUK1876" s="2477"/>
      <c r="LUL1876" s="2477"/>
      <c r="LUM1876" s="2477"/>
      <c r="LUN1876" s="2477"/>
      <c r="LUO1876" s="2477"/>
      <c r="LUP1876" s="2477"/>
      <c r="LUQ1876" s="2477"/>
      <c r="LUR1876" s="2477"/>
      <c r="LUS1876" s="2477"/>
      <c r="LUT1876" s="2477"/>
      <c r="LUU1876" s="2477"/>
      <c r="LUV1876" s="2477"/>
      <c r="LUW1876" s="2477"/>
      <c r="LUX1876" s="2477"/>
      <c r="LUY1876" s="2477"/>
      <c r="LUZ1876" s="2477"/>
      <c r="LVA1876" s="2477"/>
      <c r="LVB1876" s="2477"/>
      <c r="LVC1876" s="2477"/>
      <c r="LVD1876" s="2477"/>
      <c r="LVE1876" s="2477"/>
      <c r="LVF1876" s="2477"/>
      <c r="LVG1876" s="2477"/>
      <c r="LVH1876" s="2477"/>
      <c r="LVI1876" s="2477"/>
      <c r="LVJ1876" s="2477"/>
      <c r="LVK1876" s="2477"/>
      <c r="LVL1876" s="2477"/>
      <c r="LVM1876" s="2477"/>
      <c r="LVN1876" s="2477"/>
      <c r="LVO1876" s="2477"/>
      <c r="LVP1876" s="2477"/>
      <c r="LVQ1876" s="2477"/>
      <c r="LVR1876" s="2477"/>
      <c r="LVS1876" s="2477"/>
      <c r="LVT1876" s="2477"/>
      <c r="LVU1876" s="2477"/>
      <c r="LVV1876" s="2477"/>
      <c r="LVW1876" s="2477"/>
      <c r="LVX1876" s="2477"/>
      <c r="LVY1876" s="2477"/>
      <c r="LVZ1876" s="2477"/>
      <c r="LWA1876" s="2477"/>
      <c r="LWB1876" s="2477"/>
      <c r="LWC1876" s="2477"/>
      <c r="LWD1876" s="2477"/>
      <c r="LWE1876" s="2477"/>
      <c r="LWF1876" s="2477"/>
      <c r="LWG1876" s="2477"/>
      <c r="LWH1876" s="2477"/>
      <c r="LWI1876" s="2477"/>
      <c r="LWJ1876" s="2477"/>
      <c r="LWK1876" s="2477"/>
      <c r="LWL1876" s="2477"/>
      <c r="LWM1876" s="2477"/>
      <c r="LWN1876" s="2477"/>
      <c r="LWO1876" s="2477"/>
      <c r="LWP1876" s="2477"/>
      <c r="LWQ1876" s="2477"/>
      <c r="LWR1876" s="2477"/>
      <c r="LWS1876" s="2477"/>
      <c r="LWT1876" s="2477"/>
      <c r="LWU1876" s="2477"/>
      <c r="LWV1876" s="2477"/>
      <c r="LWW1876" s="2477"/>
      <c r="LWX1876" s="2477"/>
      <c r="LWY1876" s="2477"/>
      <c r="LWZ1876" s="2477"/>
      <c r="LXA1876" s="2477"/>
      <c r="LXB1876" s="2477"/>
      <c r="LXC1876" s="2477"/>
      <c r="LXD1876" s="2477"/>
      <c r="LXE1876" s="2477"/>
      <c r="LXF1876" s="2477"/>
      <c r="LXG1876" s="2477"/>
      <c r="LXH1876" s="2477"/>
      <c r="LXI1876" s="2477"/>
      <c r="LXJ1876" s="2477"/>
      <c r="LXK1876" s="2477"/>
      <c r="LXL1876" s="2477"/>
      <c r="LXM1876" s="2477"/>
      <c r="LXN1876" s="2477"/>
      <c r="LXO1876" s="2477"/>
      <c r="LXP1876" s="2477"/>
      <c r="LXQ1876" s="2477"/>
      <c r="LXR1876" s="2477"/>
      <c r="LXS1876" s="2477"/>
      <c r="LXT1876" s="2477"/>
      <c r="LXU1876" s="2477"/>
      <c r="LXV1876" s="2477"/>
      <c r="LXW1876" s="2477"/>
      <c r="LXX1876" s="2477"/>
      <c r="LXY1876" s="2477"/>
      <c r="LXZ1876" s="2477"/>
      <c r="LYA1876" s="2477"/>
      <c r="LYB1876" s="2477"/>
      <c r="LYC1876" s="2477"/>
      <c r="LYD1876" s="2477"/>
      <c r="LYE1876" s="2477"/>
      <c r="LYF1876" s="2477"/>
      <c r="LYG1876" s="2477"/>
      <c r="LYH1876" s="2477"/>
      <c r="LYI1876" s="2477"/>
      <c r="LYJ1876" s="2477"/>
      <c r="LYK1876" s="2477"/>
      <c r="LYL1876" s="2477"/>
      <c r="LYM1876" s="2477"/>
      <c r="LYN1876" s="2477"/>
      <c r="LYO1876" s="2477"/>
      <c r="LYP1876" s="2477"/>
      <c r="LYQ1876" s="2477"/>
      <c r="LYR1876" s="2477"/>
      <c r="LYS1876" s="2477"/>
      <c r="LYT1876" s="2477"/>
      <c r="LYU1876" s="2477"/>
      <c r="LYV1876" s="2477"/>
      <c r="LYW1876" s="2477"/>
      <c r="LYX1876" s="2477"/>
      <c r="LYY1876" s="2477"/>
      <c r="LYZ1876" s="2477"/>
      <c r="LZA1876" s="2477"/>
      <c r="LZB1876" s="2477"/>
      <c r="LZC1876" s="2477"/>
      <c r="LZD1876" s="2477"/>
      <c r="LZE1876" s="2477"/>
      <c r="LZF1876" s="2477"/>
      <c r="LZG1876" s="2477"/>
      <c r="LZH1876" s="2477"/>
      <c r="LZI1876" s="2477"/>
      <c r="LZJ1876" s="2477"/>
      <c r="LZK1876" s="2477"/>
      <c r="LZL1876" s="2477"/>
      <c r="LZM1876" s="2477"/>
      <c r="LZN1876" s="2477"/>
      <c r="LZO1876" s="2477"/>
      <c r="LZP1876" s="2477"/>
      <c r="LZQ1876" s="2477"/>
      <c r="LZR1876" s="2477"/>
      <c r="LZS1876" s="2477"/>
      <c r="LZT1876" s="2477"/>
      <c r="LZU1876" s="2477"/>
      <c r="LZV1876" s="2477"/>
      <c r="LZW1876" s="2477"/>
      <c r="LZX1876" s="2477"/>
      <c r="LZY1876" s="2477"/>
      <c r="LZZ1876" s="2477"/>
      <c r="MAA1876" s="2477"/>
      <c r="MAB1876" s="2477"/>
      <c r="MAC1876" s="2477"/>
      <c r="MAD1876" s="2477"/>
      <c r="MAE1876" s="2477"/>
      <c r="MAF1876" s="2477"/>
      <c r="MAG1876" s="2477"/>
      <c r="MAH1876" s="2477"/>
      <c r="MAI1876" s="2477"/>
      <c r="MAJ1876" s="2477"/>
      <c r="MAK1876" s="2477"/>
      <c r="MAL1876" s="2477"/>
      <c r="MAM1876" s="2477"/>
      <c r="MAN1876" s="2477"/>
      <c r="MAO1876" s="2477"/>
      <c r="MAP1876" s="2477"/>
      <c r="MAQ1876" s="2477"/>
      <c r="MAR1876" s="2477"/>
      <c r="MAS1876" s="2477"/>
      <c r="MAT1876" s="2477"/>
      <c r="MAU1876" s="2477"/>
      <c r="MAV1876" s="2477"/>
      <c r="MAW1876" s="2477"/>
      <c r="MAX1876" s="2477"/>
      <c r="MAY1876" s="2477"/>
      <c r="MAZ1876" s="2477"/>
      <c r="MBA1876" s="2477"/>
      <c r="MBB1876" s="2477"/>
      <c r="MBC1876" s="2477"/>
      <c r="MBD1876" s="2477"/>
      <c r="MBE1876" s="2477"/>
      <c r="MBF1876" s="2477"/>
      <c r="MBG1876" s="2477"/>
      <c r="MBH1876" s="2477"/>
      <c r="MBI1876" s="2477"/>
      <c r="MBJ1876" s="2477"/>
      <c r="MBK1876" s="2477"/>
      <c r="MBL1876" s="2477"/>
      <c r="MBM1876" s="2477"/>
      <c r="MBN1876" s="2477"/>
      <c r="MBO1876" s="2477"/>
      <c r="MBP1876" s="2477"/>
      <c r="MBQ1876" s="2477"/>
      <c r="MBR1876" s="2477"/>
      <c r="MBS1876" s="2477"/>
      <c r="MBT1876" s="2477"/>
      <c r="MBU1876" s="2477"/>
      <c r="MBV1876" s="2477"/>
      <c r="MBW1876" s="2477"/>
      <c r="MBX1876" s="2477"/>
      <c r="MBY1876" s="2477"/>
      <c r="MBZ1876" s="2477"/>
      <c r="MCA1876" s="2477"/>
      <c r="MCB1876" s="2477"/>
      <c r="MCC1876" s="2477"/>
      <c r="MCD1876" s="2477"/>
      <c r="MCE1876" s="2477"/>
      <c r="MCF1876" s="2477"/>
      <c r="MCG1876" s="2477"/>
      <c r="MCH1876" s="2477"/>
      <c r="MCI1876" s="2477"/>
      <c r="MCJ1876" s="2477"/>
      <c r="MCK1876" s="2477"/>
      <c r="MCL1876" s="2477"/>
      <c r="MCM1876" s="2477"/>
      <c r="MCN1876" s="2477"/>
      <c r="MCO1876" s="2477"/>
      <c r="MCP1876" s="2477"/>
      <c r="MCQ1876" s="2477"/>
      <c r="MCR1876" s="2477"/>
      <c r="MCS1876" s="2477"/>
      <c r="MCT1876" s="2477"/>
      <c r="MCU1876" s="2477"/>
      <c r="MCV1876" s="2477"/>
      <c r="MCW1876" s="2477"/>
      <c r="MCX1876" s="2477"/>
      <c r="MCY1876" s="2477"/>
      <c r="MCZ1876" s="2477"/>
      <c r="MDA1876" s="2477"/>
      <c r="MDB1876" s="2477"/>
      <c r="MDC1876" s="2477"/>
      <c r="MDD1876" s="2477"/>
      <c r="MDE1876" s="2477"/>
      <c r="MDF1876" s="2477"/>
      <c r="MDG1876" s="2477"/>
      <c r="MDH1876" s="2477"/>
      <c r="MDI1876" s="2477"/>
      <c r="MDJ1876" s="2477"/>
      <c r="MDK1876" s="2477"/>
      <c r="MDL1876" s="2477"/>
      <c r="MDM1876" s="2477"/>
      <c r="MDN1876" s="2477"/>
      <c r="MDO1876" s="2477"/>
      <c r="MDP1876" s="2477"/>
      <c r="MDQ1876" s="2477"/>
      <c r="MDR1876" s="2477"/>
      <c r="MDS1876" s="2477"/>
      <c r="MDT1876" s="2477"/>
      <c r="MDU1876" s="2477"/>
      <c r="MDV1876" s="2477"/>
      <c r="MDW1876" s="2477"/>
      <c r="MDX1876" s="2477"/>
      <c r="MDY1876" s="2477"/>
      <c r="MDZ1876" s="2477"/>
      <c r="MEA1876" s="2477"/>
      <c r="MEB1876" s="2477"/>
      <c r="MEC1876" s="2477"/>
      <c r="MED1876" s="2477"/>
      <c r="MEE1876" s="2477"/>
      <c r="MEF1876" s="2477"/>
      <c r="MEG1876" s="2477"/>
      <c r="MEH1876" s="2477"/>
      <c r="MEI1876" s="2477"/>
      <c r="MEJ1876" s="2477"/>
      <c r="MEK1876" s="2477"/>
      <c r="MEL1876" s="2477"/>
      <c r="MEM1876" s="2477"/>
      <c r="MEN1876" s="2477"/>
      <c r="MEO1876" s="2477"/>
      <c r="MEP1876" s="2477"/>
      <c r="MEQ1876" s="2477"/>
      <c r="MER1876" s="2477"/>
      <c r="MES1876" s="2477"/>
      <c r="MET1876" s="2477"/>
      <c r="MEU1876" s="2477"/>
      <c r="MEV1876" s="2477"/>
      <c r="MEW1876" s="2477"/>
      <c r="MEX1876" s="2477"/>
      <c r="MEY1876" s="2477"/>
      <c r="MEZ1876" s="2477"/>
      <c r="MFA1876" s="2477"/>
      <c r="MFB1876" s="2477"/>
      <c r="MFC1876" s="2477"/>
      <c r="MFD1876" s="2477"/>
      <c r="MFE1876" s="2477"/>
      <c r="MFF1876" s="2477"/>
      <c r="MFG1876" s="2477"/>
      <c r="MFH1876" s="2477"/>
      <c r="MFI1876" s="2477"/>
      <c r="MFJ1876" s="2477"/>
      <c r="MFK1876" s="2477"/>
      <c r="MFL1876" s="2477"/>
      <c r="MFM1876" s="2477"/>
      <c r="MFN1876" s="2477"/>
      <c r="MFO1876" s="2477"/>
      <c r="MFP1876" s="2477"/>
      <c r="MFQ1876" s="2477"/>
      <c r="MFR1876" s="2477"/>
      <c r="MFS1876" s="2477"/>
      <c r="MFT1876" s="2477"/>
      <c r="MFU1876" s="2477"/>
      <c r="MFV1876" s="2477"/>
      <c r="MFW1876" s="2477"/>
      <c r="MFX1876" s="2477"/>
      <c r="MFY1876" s="2477"/>
      <c r="MFZ1876" s="2477"/>
      <c r="MGA1876" s="2477"/>
      <c r="MGB1876" s="2477"/>
      <c r="MGC1876" s="2477"/>
      <c r="MGD1876" s="2477"/>
      <c r="MGE1876" s="2477"/>
      <c r="MGF1876" s="2477"/>
      <c r="MGG1876" s="2477"/>
      <c r="MGH1876" s="2477"/>
      <c r="MGI1876" s="2477"/>
      <c r="MGJ1876" s="2477"/>
      <c r="MGK1876" s="2477"/>
      <c r="MGL1876" s="2477"/>
      <c r="MGM1876" s="2477"/>
      <c r="MGN1876" s="2477"/>
      <c r="MGO1876" s="2477"/>
      <c r="MGP1876" s="2477"/>
      <c r="MGQ1876" s="2477"/>
      <c r="MGR1876" s="2477"/>
      <c r="MGS1876" s="2477"/>
      <c r="MGT1876" s="2477"/>
      <c r="MGU1876" s="2477"/>
      <c r="MGV1876" s="2477"/>
      <c r="MGW1876" s="2477"/>
      <c r="MGX1876" s="2477"/>
      <c r="MGY1876" s="2477"/>
      <c r="MGZ1876" s="2477"/>
      <c r="MHA1876" s="2477"/>
      <c r="MHB1876" s="2477"/>
      <c r="MHC1876" s="2477"/>
      <c r="MHD1876" s="2477"/>
      <c r="MHE1876" s="2477"/>
      <c r="MHF1876" s="2477"/>
      <c r="MHG1876" s="2477"/>
      <c r="MHH1876" s="2477"/>
      <c r="MHI1876" s="2477"/>
      <c r="MHJ1876" s="2477"/>
      <c r="MHK1876" s="2477"/>
      <c r="MHL1876" s="2477"/>
      <c r="MHM1876" s="2477"/>
      <c r="MHN1876" s="2477"/>
      <c r="MHO1876" s="2477"/>
      <c r="MHP1876" s="2477"/>
      <c r="MHQ1876" s="2477"/>
      <c r="MHR1876" s="2477"/>
      <c r="MHS1876" s="2477"/>
      <c r="MHT1876" s="2477"/>
      <c r="MHU1876" s="2477"/>
      <c r="MHV1876" s="2477"/>
      <c r="MHW1876" s="2477"/>
      <c r="MHX1876" s="2477"/>
      <c r="MHY1876" s="2477"/>
      <c r="MHZ1876" s="2477"/>
      <c r="MIA1876" s="2477"/>
      <c r="MIB1876" s="2477"/>
      <c r="MIC1876" s="2477"/>
      <c r="MID1876" s="2477"/>
      <c r="MIE1876" s="2477"/>
      <c r="MIF1876" s="2477"/>
      <c r="MIG1876" s="2477"/>
      <c r="MIH1876" s="2477"/>
      <c r="MII1876" s="2477"/>
      <c r="MIJ1876" s="2477"/>
      <c r="MIK1876" s="2477"/>
      <c r="MIL1876" s="2477"/>
      <c r="MIM1876" s="2477"/>
      <c r="MIN1876" s="2477"/>
      <c r="MIO1876" s="2477"/>
      <c r="MIP1876" s="2477"/>
      <c r="MIQ1876" s="2477"/>
      <c r="MIR1876" s="2477"/>
      <c r="MIS1876" s="2477"/>
      <c r="MIT1876" s="2477"/>
      <c r="MIU1876" s="2477"/>
      <c r="MIV1876" s="2477"/>
      <c r="MIW1876" s="2477"/>
      <c r="MIX1876" s="2477"/>
      <c r="MIY1876" s="2477"/>
      <c r="MIZ1876" s="2477"/>
      <c r="MJA1876" s="2477"/>
      <c r="MJB1876" s="2477"/>
      <c r="MJC1876" s="2477"/>
      <c r="MJD1876" s="2477"/>
      <c r="MJE1876" s="2477"/>
      <c r="MJF1876" s="2477"/>
      <c r="MJG1876" s="2477"/>
      <c r="MJH1876" s="2477"/>
      <c r="MJI1876" s="2477"/>
      <c r="MJJ1876" s="2477"/>
      <c r="MJK1876" s="2477"/>
      <c r="MJL1876" s="2477"/>
      <c r="MJM1876" s="2477"/>
      <c r="MJN1876" s="2477"/>
      <c r="MJO1876" s="2477"/>
      <c r="MJP1876" s="2477"/>
      <c r="MJQ1876" s="2477"/>
      <c r="MJR1876" s="2477"/>
      <c r="MJS1876" s="2477"/>
      <c r="MJT1876" s="2477"/>
      <c r="MJU1876" s="2477"/>
      <c r="MJV1876" s="2477"/>
      <c r="MJW1876" s="2477"/>
      <c r="MJX1876" s="2477"/>
      <c r="MJY1876" s="2477"/>
      <c r="MJZ1876" s="2477"/>
      <c r="MKA1876" s="2477"/>
      <c r="MKB1876" s="2477"/>
      <c r="MKC1876" s="2477"/>
      <c r="MKD1876" s="2477"/>
      <c r="MKE1876" s="2477"/>
      <c r="MKF1876" s="2477"/>
      <c r="MKG1876" s="2477"/>
      <c r="MKH1876" s="2477"/>
      <c r="MKI1876" s="2477"/>
      <c r="MKJ1876" s="2477"/>
      <c r="MKK1876" s="2477"/>
      <c r="MKL1876" s="2477"/>
      <c r="MKM1876" s="2477"/>
      <c r="MKN1876" s="2477"/>
      <c r="MKO1876" s="2477"/>
      <c r="MKP1876" s="2477"/>
      <c r="MKQ1876" s="2477"/>
      <c r="MKR1876" s="2477"/>
      <c r="MKS1876" s="2477"/>
      <c r="MKT1876" s="2477"/>
      <c r="MKU1876" s="2477"/>
      <c r="MKV1876" s="2477"/>
      <c r="MKW1876" s="2477"/>
      <c r="MKX1876" s="2477"/>
      <c r="MKY1876" s="2477"/>
      <c r="MKZ1876" s="2477"/>
      <c r="MLA1876" s="2477"/>
      <c r="MLB1876" s="2477"/>
      <c r="MLC1876" s="2477"/>
      <c r="MLD1876" s="2477"/>
      <c r="MLE1876" s="2477"/>
      <c r="MLF1876" s="2477"/>
      <c r="MLG1876" s="2477"/>
      <c r="MLH1876" s="2477"/>
      <c r="MLI1876" s="2477"/>
      <c r="MLJ1876" s="2477"/>
      <c r="MLK1876" s="2477"/>
      <c r="MLL1876" s="2477"/>
      <c r="MLM1876" s="2477"/>
      <c r="MLN1876" s="2477"/>
      <c r="MLO1876" s="2477"/>
      <c r="MLP1876" s="2477"/>
      <c r="MLQ1876" s="2477"/>
      <c r="MLR1876" s="2477"/>
      <c r="MLS1876" s="2477"/>
      <c r="MLT1876" s="2477"/>
      <c r="MLU1876" s="2477"/>
      <c r="MLV1876" s="2477"/>
      <c r="MLW1876" s="2477"/>
      <c r="MLX1876" s="2477"/>
      <c r="MLY1876" s="2477"/>
      <c r="MLZ1876" s="2477"/>
      <c r="MMA1876" s="2477"/>
      <c r="MMB1876" s="2477"/>
      <c r="MMC1876" s="2477"/>
      <c r="MMD1876" s="2477"/>
      <c r="MME1876" s="2477"/>
      <c r="MMF1876" s="2477"/>
      <c r="MMG1876" s="2477"/>
      <c r="MMH1876" s="2477"/>
      <c r="MMI1876" s="2477"/>
      <c r="MMJ1876" s="2477"/>
      <c r="MMK1876" s="2477"/>
      <c r="MML1876" s="2477"/>
      <c r="MMM1876" s="2477"/>
      <c r="MMN1876" s="2477"/>
      <c r="MMO1876" s="2477"/>
      <c r="MMP1876" s="2477"/>
      <c r="MMQ1876" s="2477"/>
      <c r="MMR1876" s="2477"/>
      <c r="MMS1876" s="2477"/>
      <c r="MMT1876" s="2477"/>
      <c r="MMU1876" s="2477"/>
      <c r="MMV1876" s="2477"/>
      <c r="MMW1876" s="2477"/>
      <c r="MMX1876" s="2477"/>
      <c r="MMY1876" s="2477"/>
      <c r="MMZ1876" s="2477"/>
      <c r="MNA1876" s="2477"/>
      <c r="MNB1876" s="2477"/>
      <c r="MNC1876" s="2477"/>
      <c r="MND1876" s="2477"/>
      <c r="MNE1876" s="2477"/>
      <c r="MNF1876" s="2477"/>
      <c r="MNG1876" s="2477"/>
      <c r="MNH1876" s="2477"/>
      <c r="MNI1876" s="2477"/>
      <c r="MNJ1876" s="2477"/>
      <c r="MNK1876" s="2477"/>
      <c r="MNL1876" s="2477"/>
      <c r="MNM1876" s="2477"/>
      <c r="MNN1876" s="2477"/>
      <c r="MNO1876" s="2477"/>
      <c r="MNP1876" s="2477"/>
      <c r="MNQ1876" s="2477"/>
      <c r="MNR1876" s="2477"/>
      <c r="MNS1876" s="2477"/>
      <c r="MNT1876" s="2477"/>
      <c r="MNU1876" s="2477"/>
      <c r="MNV1876" s="2477"/>
      <c r="MNW1876" s="2477"/>
      <c r="MNX1876" s="2477"/>
      <c r="MNY1876" s="2477"/>
      <c r="MNZ1876" s="2477"/>
      <c r="MOA1876" s="2477"/>
      <c r="MOB1876" s="2477"/>
      <c r="MOC1876" s="2477"/>
      <c r="MOD1876" s="2477"/>
      <c r="MOE1876" s="2477"/>
      <c r="MOF1876" s="2477"/>
      <c r="MOG1876" s="2477"/>
      <c r="MOH1876" s="2477"/>
      <c r="MOI1876" s="2477"/>
      <c r="MOJ1876" s="2477"/>
      <c r="MOK1876" s="2477"/>
      <c r="MOL1876" s="2477"/>
      <c r="MOM1876" s="2477"/>
      <c r="MON1876" s="2477"/>
      <c r="MOO1876" s="2477"/>
      <c r="MOP1876" s="2477"/>
      <c r="MOQ1876" s="2477"/>
      <c r="MOR1876" s="2477"/>
      <c r="MOS1876" s="2477"/>
      <c r="MOT1876" s="2477"/>
      <c r="MOU1876" s="2477"/>
      <c r="MOV1876" s="2477"/>
      <c r="MOW1876" s="2477"/>
      <c r="MOX1876" s="2477"/>
      <c r="MOY1876" s="2477"/>
      <c r="MOZ1876" s="2477"/>
      <c r="MPA1876" s="2477"/>
      <c r="MPB1876" s="2477"/>
      <c r="MPC1876" s="2477"/>
      <c r="MPD1876" s="2477"/>
      <c r="MPE1876" s="2477"/>
      <c r="MPF1876" s="2477"/>
      <c r="MPG1876" s="2477"/>
      <c r="MPH1876" s="2477"/>
      <c r="MPI1876" s="2477"/>
      <c r="MPJ1876" s="2477"/>
      <c r="MPK1876" s="2477"/>
      <c r="MPL1876" s="2477"/>
      <c r="MPM1876" s="2477"/>
      <c r="MPN1876" s="2477"/>
      <c r="MPO1876" s="2477"/>
      <c r="MPP1876" s="2477"/>
      <c r="MPQ1876" s="2477"/>
      <c r="MPR1876" s="2477"/>
      <c r="MPS1876" s="2477"/>
      <c r="MPT1876" s="2477"/>
      <c r="MPU1876" s="2477"/>
      <c r="MPV1876" s="2477"/>
      <c r="MPW1876" s="2477"/>
      <c r="MPX1876" s="2477"/>
      <c r="MPY1876" s="2477"/>
      <c r="MPZ1876" s="2477"/>
      <c r="MQA1876" s="2477"/>
      <c r="MQB1876" s="2477"/>
      <c r="MQC1876" s="2477"/>
      <c r="MQD1876" s="2477"/>
      <c r="MQE1876" s="2477"/>
      <c r="MQF1876" s="2477"/>
      <c r="MQG1876" s="2477"/>
      <c r="MQH1876" s="2477"/>
      <c r="MQI1876" s="2477"/>
      <c r="MQJ1876" s="2477"/>
      <c r="MQK1876" s="2477"/>
      <c r="MQL1876" s="2477"/>
      <c r="MQM1876" s="2477"/>
      <c r="MQN1876" s="2477"/>
      <c r="MQO1876" s="2477"/>
      <c r="MQP1876" s="2477"/>
      <c r="MQQ1876" s="2477"/>
      <c r="MQR1876" s="2477"/>
      <c r="MQS1876" s="2477"/>
      <c r="MQT1876" s="2477"/>
      <c r="MQU1876" s="2477"/>
      <c r="MQV1876" s="2477"/>
      <c r="MQW1876" s="2477"/>
      <c r="MQX1876" s="2477"/>
      <c r="MQY1876" s="2477"/>
      <c r="MQZ1876" s="2477"/>
      <c r="MRA1876" s="2477"/>
      <c r="MRB1876" s="2477"/>
      <c r="MRC1876" s="2477"/>
      <c r="MRD1876" s="2477"/>
      <c r="MRE1876" s="2477"/>
      <c r="MRF1876" s="2477"/>
      <c r="MRG1876" s="2477"/>
      <c r="MRH1876" s="2477"/>
      <c r="MRI1876" s="2477"/>
      <c r="MRJ1876" s="2477"/>
      <c r="MRK1876" s="2477"/>
      <c r="MRL1876" s="2477"/>
      <c r="MRM1876" s="2477"/>
      <c r="MRN1876" s="2477"/>
      <c r="MRO1876" s="2477"/>
      <c r="MRP1876" s="2477"/>
      <c r="MRQ1876" s="2477"/>
      <c r="MRR1876" s="2477"/>
      <c r="MRS1876" s="2477"/>
      <c r="MRT1876" s="2477"/>
      <c r="MRU1876" s="2477"/>
      <c r="MRV1876" s="2477"/>
      <c r="MRW1876" s="2477"/>
      <c r="MRX1876" s="2477"/>
      <c r="MRY1876" s="2477"/>
      <c r="MRZ1876" s="2477"/>
      <c r="MSA1876" s="2477"/>
      <c r="MSB1876" s="2477"/>
      <c r="MSC1876" s="2477"/>
      <c r="MSD1876" s="2477"/>
      <c r="MSE1876" s="2477"/>
      <c r="MSF1876" s="2477"/>
      <c r="MSG1876" s="2477"/>
      <c r="MSH1876" s="2477"/>
      <c r="MSI1876" s="2477"/>
      <c r="MSJ1876" s="2477"/>
      <c r="MSK1876" s="2477"/>
      <c r="MSL1876" s="2477"/>
      <c r="MSM1876" s="2477"/>
      <c r="MSN1876" s="2477"/>
      <c r="MSO1876" s="2477"/>
      <c r="MSP1876" s="2477"/>
      <c r="MSQ1876" s="2477"/>
      <c r="MSR1876" s="2477"/>
      <c r="MSS1876" s="2477"/>
      <c r="MST1876" s="2477"/>
      <c r="MSU1876" s="2477"/>
      <c r="MSV1876" s="2477"/>
      <c r="MSW1876" s="2477"/>
      <c r="MSX1876" s="2477"/>
      <c r="MSY1876" s="2477"/>
      <c r="MSZ1876" s="2477"/>
      <c r="MTA1876" s="2477"/>
      <c r="MTB1876" s="2477"/>
      <c r="MTC1876" s="2477"/>
      <c r="MTD1876" s="2477"/>
      <c r="MTE1876" s="2477"/>
      <c r="MTF1876" s="2477"/>
      <c r="MTG1876" s="2477"/>
      <c r="MTH1876" s="2477"/>
      <c r="MTI1876" s="2477"/>
      <c r="MTJ1876" s="2477"/>
      <c r="MTK1876" s="2477"/>
      <c r="MTL1876" s="2477"/>
      <c r="MTM1876" s="2477"/>
      <c r="MTN1876" s="2477"/>
      <c r="MTO1876" s="2477"/>
      <c r="MTP1876" s="2477"/>
      <c r="MTQ1876" s="2477"/>
      <c r="MTR1876" s="2477"/>
      <c r="MTS1876" s="2477"/>
      <c r="MTT1876" s="2477"/>
      <c r="MTU1876" s="2477"/>
      <c r="MTV1876" s="2477"/>
      <c r="MTW1876" s="2477"/>
      <c r="MTX1876" s="2477"/>
      <c r="MTY1876" s="2477"/>
      <c r="MTZ1876" s="2477"/>
      <c r="MUA1876" s="2477"/>
      <c r="MUB1876" s="2477"/>
      <c r="MUC1876" s="2477"/>
      <c r="MUD1876" s="2477"/>
      <c r="MUE1876" s="2477"/>
      <c r="MUF1876" s="2477"/>
      <c r="MUG1876" s="2477"/>
      <c r="MUH1876" s="2477"/>
      <c r="MUI1876" s="2477"/>
      <c r="MUJ1876" s="2477"/>
      <c r="MUK1876" s="2477"/>
      <c r="MUL1876" s="2477"/>
      <c r="MUM1876" s="2477"/>
      <c r="MUN1876" s="2477"/>
      <c r="MUO1876" s="2477"/>
      <c r="MUP1876" s="2477"/>
      <c r="MUQ1876" s="2477"/>
      <c r="MUR1876" s="2477"/>
      <c r="MUS1876" s="2477"/>
      <c r="MUT1876" s="2477"/>
      <c r="MUU1876" s="2477"/>
      <c r="MUV1876" s="2477"/>
      <c r="MUW1876" s="2477"/>
      <c r="MUX1876" s="2477"/>
      <c r="MUY1876" s="2477"/>
      <c r="MUZ1876" s="2477"/>
      <c r="MVA1876" s="2477"/>
      <c r="MVB1876" s="2477"/>
      <c r="MVC1876" s="2477"/>
      <c r="MVD1876" s="2477"/>
      <c r="MVE1876" s="2477"/>
      <c r="MVF1876" s="2477"/>
      <c r="MVG1876" s="2477"/>
      <c r="MVH1876" s="2477"/>
      <c r="MVI1876" s="2477"/>
      <c r="MVJ1876" s="2477"/>
      <c r="MVK1876" s="2477"/>
      <c r="MVL1876" s="2477"/>
      <c r="MVM1876" s="2477"/>
      <c r="MVN1876" s="2477"/>
      <c r="MVO1876" s="2477"/>
      <c r="MVP1876" s="2477"/>
      <c r="MVQ1876" s="2477"/>
      <c r="MVR1876" s="2477"/>
      <c r="MVS1876" s="2477"/>
      <c r="MVT1876" s="2477"/>
      <c r="MVU1876" s="2477"/>
      <c r="MVV1876" s="2477"/>
      <c r="MVW1876" s="2477"/>
      <c r="MVX1876" s="2477"/>
      <c r="MVY1876" s="2477"/>
      <c r="MVZ1876" s="2477"/>
      <c r="MWA1876" s="2477"/>
      <c r="MWB1876" s="2477"/>
      <c r="MWC1876" s="2477"/>
      <c r="MWD1876" s="2477"/>
      <c r="MWE1876" s="2477"/>
      <c r="MWF1876" s="2477"/>
      <c r="MWG1876" s="2477"/>
      <c r="MWH1876" s="2477"/>
      <c r="MWI1876" s="2477"/>
      <c r="MWJ1876" s="2477"/>
      <c r="MWK1876" s="2477"/>
      <c r="MWL1876" s="2477"/>
      <c r="MWM1876" s="2477"/>
      <c r="MWN1876" s="2477"/>
      <c r="MWO1876" s="2477"/>
      <c r="MWP1876" s="2477"/>
      <c r="MWQ1876" s="2477"/>
      <c r="MWR1876" s="2477"/>
      <c r="MWS1876" s="2477"/>
      <c r="MWT1876" s="2477"/>
      <c r="MWU1876" s="2477"/>
      <c r="MWV1876" s="2477"/>
      <c r="MWW1876" s="2477"/>
      <c r="MWX1876" s="2477"/>
      <c r="MWY1876" s="2477"/>
      <c r="MWZ1876" s="2477"/>
      <c r="MXA1876" s="2477"/>
      <c r="MXB1876" s="2477"/>
      <c r="MXC1876" s="2477"/>
      <c r="MXD1876" s="2477"/>
      <c r="MXE1876" s="2477"/>
      <c r="MXF1876" s="2477"/>
      <c r="MXG1876" s="2477"/>
      <c r="MXH1876" s="2477"/>
      <c r="MXI1876" s="2477"/>
      <c r="MXJ1876" s="2477"/>
      <c r="MXK1876" s="2477"/>
      <c r="MXL1876" s="2477"/>
      <c r="MXM1876" s="2477"/>
      <c r="MXN1876" s="2477"/>
      <c r="MXO1876" s="2477"/>
      <c r="MXP1876" s="2477"/>
      <c r="MXQ1876" s="2477"/>
      <c r="MXR1876" s="2477"/>
      <c r="MXS1876" s="2477"/>
      <c r="MXT1876" s="2477"/>
      <c r="MXU1876" s="2477"/>
      <c r="MXV1876" s="2477"/>
      <c r="MXW1876" s="2477"/>
      <c r="MXX1876" s="2477"/>
      <c r="MXY1876" s="2477"/>
      <c r="MXZ1876" s="2477"/>
      <c r="MYA1876" s="2477"/>
      <c r="MYB1876" s="2477"/>
      <c r="MYC1876" s="2477"/>
      <c r="MYD1876" s="2477"/>
      <c r="MYE1876" s="2477"/>
      <c r="MYF1876" s="2477"/>
      <c r="MYG1876" s="2477"/>
      <c r="MYH1876" s="2477"/>
      <c r="MYI1876" s="2477"/>
      <c r="MYJ1876" s="2477"/>
      <c r="MYK1876" s="2477"/>
      <c r="MYL1876" s="2477"/>
      <c r="MYM1876" s="2477"/>
      <c r="MYN1876" s="2477"/>
      <c r="MYO1876" s="2477"/>
      <c r="MYP1876" s="2477"/>
      <c r="MYQ1876" s="2477"/>
      <c r="MYR1876" s="2477"/>
      <c r="MYS1876" s="2477"/>
      <c r="MYT1876" s="2477"/>
      <c r="MYU1876" s="2477"/>
      <c r="MYV1876" s="2477"/>
      <c r="MYW1876" s="2477"/>
      <c r="MYX1876" s="2477"/>
      <c r="MYY1876" s="2477"/>
      <c r="MYZ1876" s="2477"/>
      <c r="MZA1876" s="2477"/>
      <c r="MZB1876" s="2477"/>
      <c r="MZC1876" s="2477"/>
      <c r="MZD1876" s="2477"/>
      <c r="MZE1876" s="2477"/>
      <c r="MZF1876" s="2477"/>
      <c r="MZG1876" s="2477"/>
      <c r="MZH1876" s="2477"/>
      <c r="MZI1876" s="2477"/>
      <c r="MZJ1876" s="2477"/>
      <c r="MZK1876" s="2477"/>
      <c r="MZL1876" s="2477"/>
      <c r="MZM1876" s="2477"/>
      <c r="MZN1876" s="2477"/>
      <c r="MZO1876" s="2477"/>
      <c r="MZP1876" s="2477"/>
      <c r="MZQ1876" s="2477"/>
      <c r="MZR1876" s="2477"/>
      <c r="MZS1876" s="2477"/>
      <c r="MZT1876" s="2477"/>
      <c r="MZU1876" s="2477"/>
      <c r="MZV1876" s="2477"/>
      <c r="MZW1876" s="2477"/>
      <c r="MZX1876" s="2477"/>
      <c r="MZY1876" s="2477"/>
      <c r="MZZ1876" s="2477"/>
      <c r="NAA1876" s="2477"/>
      <c r="NAB1876" s="2477"/>
      <c r="NAC1876" s="2477"/>
      <c r="NAD1876" s="2477"/>
      <c r="NAE1876" s="2477"/>
      <c r="NAF1876" s="2477"/>
      <c r="NAG1876" s="2477"/>
      <c r="NAH1876" s="2477"/>
      <c r="NAI1876" s="2477"/>
      <c r="NAJ1876" s="2477"/>
      <c r="NAK1876" s="2477"/>
      <c r="NAL1876" s="2477"/>
      <c r="NAM1876" s="2477"/>
      <c r="NAN1876" s="2477"/>
      <c r="NAO1876" s="2477"/>
      <c r="NAP1876" s="2477"/>
      <c r="NAQ1876" s="2477"/>
      <c r="NAR1876" s="2477"/>
      <c r="NAS1876" s="2477"/>
      <c r="NAT1876" s="2477"/>
      <c r="NAU1876" s="2477"/>
      <c r="NAV1876" s="2477"/>
      <c r="NAW1876" s="2477"/>
      <c r="NAX1876" s="2477"/>
      <c r="NAY1876" s="2477"/>
      <c r="NAZ1876" s="2477"/>
      <c r="NBA1876" s="2477"/>
      <c r="NBB1876" s="2477"/>
      <c r="NBC1876" s="2477"/>
      <c r="NBD1876" s="2477"/>
      <c r="NBE1876" s="2477"/>
      <c r="NBF1876" s="2477"/>
      <c r="NBG1876" s="2477"/>
      <c r="NBH1876" s="2477"/>
      <c r="NBI1876" s="2477"/>
      <c r="NBJ1876" s="2477"/>
      <c r="NBK1876" s="2477"/>
      <c r="NBL1876" s="2477"/>
      <c r="NBM1876" s="2477"/>
      <c r="NBN1876" s="2477"/>
      <c r="NBO1876" s="2477"/>
      <c r="NBP1876" s="2477"/>
      <c r="NBQ1876" s="2477"/>
      <c r="NBR1876" s="2477"/>
      <c r="NBS1876" s="2477"/>
      <c r="NBT1876" s="2477"/>
      <c r="NBU1876" s="2477"/>
      <c r="NBV1876" s="2477"/>
      <c r="NBW1876" s="2477"/>
      <c r="NBX1876" s="2477"/>
      <c r="NBY1876" s="2477"/>
      <c r="NBZ1876" s="2477"/>
      <c r="NCA1876" s="2477"/>
      <c r="NCB1876" s="2477"/>
      <c r="NCC1876" s="2477"/>
      <c r="NCD1876" s="2477"/>
      <c r="NCE1876" s="2477"/>
      <c r="NCF1876" s="2477"/>
      <c r="NCG1876" s="2477"/>
      <c r="NCH1876" s="2477"/>
      <c r="NCI1876" s="2477"/>
      <c r="NCJ1876" s="2477"/>
      <c r="NCK1876" s="2477"/>
      <c r="NCL1876" s="2477"/>
      <c r="NCM1876" s="2477"/>
      <c r="NCN1876" s="2477"/>
      <c r="NCO1876" s="2477"/>
      <c r="NCP1876" s="2477"/>
      <c r="NCQ1876" s="2477"/>
      <c r="NCR1876" s="2477"/>
      <c r="NCS1876" s="2477"/>
      <c r="NCT1876" s="2477"/>
      <c r="NCU1876" s="2477"/>
      <c r="NCV1876" s="2477"/>
      <c r="NCW1876" s="2477"/>
      <c r="NCX1876" s="2477"/>
      <c r="NCY1876" s="2477"/>
      <c r="NCZ1876" s="2477"/>
      <c r="NDA1876" s="2477"/>
      <c r="NDB1876" s="2477"/>
      <c r="NDC1876" s="2477"/>
      <c r="NDD1876" s="2477"/>
      <c r="NDE1876" s="2477"/>
      <c r="NDF1876" s="2477"/>
      <c r="NDG1876" s="2477"/>
      <c r="NDH1876" s="2477"/>
      <c r="NDI1876" s="2477"/>
      <c r="NDJ1876" s="2477"/>
      <c r="NDK1876" s="2477"/>
      <c r="NDL1876" s="2477"/>
      <c r="NDM1876" s="2477"/>
      <c r="NDN1876" s="2477"/>
      <c r="NDO1876" s="2477"/>
      <c r="NDP1876" s="2477"/>
      <c r="NDQ1876" s="2477"/>
      <c r="NDR1876" s="2477"/>
      <c r="NDS1876" s="2477"/>
      <c r="NDT1876" s="2477"/>
      <c r="NDU1876" s="2477"/>
      <c r="NDV1876" s="2477"/>
      <c r="NDW1876" s="2477"/>
      <c r="NDX1876" s="2477"/>
      <c r="NDY1876" s="2477"/>
      <c r="NDZ1876" s="2477"/>
      <c r="NEA1876" s="2477"/>
      <c r="NEB1876" s="2477"/>
      <c r="NEC1876" s="2477"/>
      <c r="NED1876" s="2477"/>
      <c r="NEE1876" s="2477"/>
      <c r="NEF1876" s="2477"/>
      <c r="NEG1876" s="2477"/>
      <c r="NEH1876" s="2477"/>
      <c r="NEI1876" s="2477"/>
      <c r="NEJ1876" s="2477"/>
      <c r="NEK1876" s="2477"/>
      <c r="NEL1876" s="2477"/>
      <c r="NEM1876" s="2477"/>
      <c r="NEN1876" s="2477"/>
      <c r="NEO1876" s="2477"/>
      <c r="NEP1876" s="2477"/>
      <c r="NEQ1876" s="2477"/>
      <c r="NER1876" s="2477"/>
      <c r="NES1876" s="2477"/>
      <c r="NET1876" s="2477"/>
      <c r="NEU1876" s="2477"/>
      <c r="NEV1876" s="2477"/>
      <c r="NEW1876" s="2477"/>
      <c r="NEX1876" s="2477"/>
      <c r="NEY1876" s="2477"/>
      <c r="NEZ1876" s="2477"/>
      <c r="NFA1876" s="2477"/>
      <c r="NFB1876" s="2477"/>
      <c r="NFC1876" s="2477"/>
      <c r="NFD1876" s="2477"/>
      <c r="NFE1876" s="2477"/>
      <c r="NFF1876" s="2477"/>
      <c r="NFG1876" s="2477"/>
      <c r="NFH1876" s="2477"/>
      <c r="NFI1876" s="2477"/>
      <c r="NFJ1876" s="2477"/>
      <c r="NFK1876" s="2477"/>
      <c r="NFL1876" s="2477"/>
      <c r="NFM1876" s="2477"/>
      <c r="NFN1876" s="2477"/>
      <c r="NFO1876" s="2477"/>
      <c r="NFP1876" s="2477"/>
      <c r="NFQ1876" s="2477"/>
      <c r="NFR1876" s="2477"/>
      <c r="NFS1876" s="2477"/>
      <c r="NFT1876" s="2477"/>
      <c r="NFU1876" s="2477"/>
      <c r="NFV1876" s="2477"/>
      <c r="NFW1876" s="2477"/>
      <c r="NFX1876" s="2477"/>
      <c r="NFY1876" s="2477"/>
      <c r="NFZ1876" s="2477"/>
      <c r="NGA1876" s="2477"/>
      <c r="NGB1876" s="2477"/>
      <c r="NGC1876" s="2477"/>
      <c r="NGD1876" s="2477"/>
      <c r="NGE1876" s="2477"/>
      <c r="NGF1876" s="2477"/>
      <c r="NGG1876" s="2477"/>
      <c r="NGH1876" s="2477"/>
      <c r="NGI1876" s="2477"/>
      <c r="NGJ1876" s="2477"/>
      <c r="NGK1876" s="2477"/>
      <c r="NGL1876" s="2477"/>
      <c r="NGM1876" s="2477"/>
      <c r="NGN1876" s="2477"/>
      <c r="NGO1876" s="2477"/>
      <c r="NGP1876" s="2477"/>
      <c r="NGQ1876" s="2477"/>
      <c r="NGR1876" s="2477"/>
      <c r="NGS1876" s="2477"/>
      <c r="NGT1876" s="2477"/>
      <c r="NGU1876" s="2477"/>
      <c r="NGV1876" s="2477"/>
      <c r="NGW1876" s="2477"/>
      <c r="NGX1876" s="2477"/>
      <c r="NGY1876" s="2477"/>
      <c r="NGZ1876" s="2477"/>
      <c r="NHA1876" s="2477"/>
      <c r="NHB1876" s="2477"/>
      <c r="NHC1876" s="2477"/>
      <c r="NHD1876" s="2477"/>
      <c r="NHE1876" s="2477"/>
      <c r="NHF1876" s="2477"/>
      <c r="NHG1876" s="2477"/>
      <c r="NHH1876" s="2477"/>
      <c r="NHI1876" s="2477"/>
      <c r="NHJ1876" s="2477"/>
      <c r="NHK1876" s="2477"/>
      <c r="NHL1876" s="2477"/>
      <c r="NHM1876" s="2477"/>
      <c r="NHN1876" s="2477"/>
      <c r="NHO1876" s="2477"/>
      <c r="NHP1876" s="2477"/>
      <c r="NHQ1876" s="2477"/>
      <c r="NHR1876" s="2477"/>
      <c r="NHS1876" s="2477"/>
      <c r="NHT1876" s="2477"/>
      <c r="NHU1876" s="2477"/>
      <c r="NHV1876" s="2477"/>
      <c r="NHW1876" s="2477"/>
      <c r="NHX1876" s="2477"/>
      <c r="NHY1876" s="2477"/>
      <c r="NHZ1876" s="2477"/>
      <c r="NIA1876" s="2477"/>
      <c r="NIB1876" s="2477"/>
      <c r="NIC1876" s="2477"/>
      <c r="NID1876" s="2477"/>
      <c r="NIE1876" s="2477"/>
      <c r="NIF1876" s="2477"/>
      <c r="NIG1876" s="2477"/>
      <c r="NIH1876" s="2477"/>
      <c r="NII1876" s="2477"/>
      <c r="NIJ1876" s="2477"/>
      <c r="NIK1876" s="2477"/>
      <c r="NIL1876" s="2477"/>
      <c r="NIM1876" s="2477"/>
      <c r="NIN1876" s="2477"/>
      <c r="NIO1876" s="2477"/>
      <c r="NIP1876" s="2477"/>
      <c r="NIQ1876" s="2477"/>
      <c r="NIR1876" s="2477"/>
      <c r="NIS1876" s="2477"/>
      <c r="NIT1876" s="2477"/>
      <c r="NIU1876" s="2477"/>
      <c r="NIV1876" s="2477"/>
      <c r="NIW1876" s="2477"/>
      <c r="NIX1876" s="2477"/>
      <c r="NIY1876" s="2477"/>
      <c r="NIZ1876" s="2477"/>
      <c r="NJA1876" s="2477"/>
      <c r="NJB1876" s="2477"/>
      <c r="NJC1876" s="2477"/>
      <c r="NJD1876" s="2477"/>
      <c r="NJE1876" s="2477"/>
      <c r="NJF1876" s="2477"/>
      <c r="NJG1876" s="2477"/>
      <c r="NJH1876" s="2477"/>
      <c r="NJI1876" s="2477"/>
      <c r="NJJ1876" s="2477"/>
      <c r="NJK1876" s="2477"/>
      <c r="NJL1876" s="2477"/>
      <c r="NJM1876" s="2477"/>
      <c r="NJN1876" s="2477"/>
      <c r="NJO1876" s="2477"/>
      <c r="NJP1876" s="2477"/>
      <c r="NJQ1876" s="2477"/>
      <c r="NJR1876" s="2477"/>
      <c r="NJS1876" s="2477"/>
      <c r="NJT1876" s="2477"/>
      <c r="NJU1876" s="2477"/>
      <c r="NJV1876" s="2477"/>
      <c r="NJW1876" s="2477"/>
      <c r="NJX1876" s="2477"/>
      <c r="NJY1876" s="2477"/>
      <c r="NJZ1876" s="2477"/>
      <c r="NKA1876" s="2477"/>
      <c r="NKB1876" s="2477"/>
      <c r="NKC1876" s="2477"/>
      <c r="NKD1876" s="2477"/>
      <c r="NKE1876" s="2477"/>
      <c r="NKF1876" s="2477"/>
      <c r="NKG1876" s="2477"/>
      <c r="NKH1876" s="2477"/>
      <c r="NKI1876" s="2477"/>
      <c r="NKJ1876" s="2477"/>
      <c r="NKK1876" s="2477"/>
      <c r="NKL1876" s="2477"/>
      <c r="NKM1876" s="2477"/>
      <c r="NKN1876" s="2477"/>
      <c r="NKO1876" s="2477"/>
      <c r="NKP1876" s="2477"/>
      <c r="NKQ1876" s="2477"/>
      <c r="NKR1876" s="2477"/>
      <c r="NKS1876" s="2477"/>
      <c r="NKT1876" s="2477"/>
      <c r="NKU1876" s="2477"/>
      <c r="NKV1876" s="2477"/>
      <c r="NKW1876" s="2477"/>
      <c r="NKX1876" s="2477"/>
      <c r="NKY1876" s="2477"/>
      <c r="NKZ1876" s="2477"/>
      <c r="NLA1876" s="2477"/>
      <c r="NLB1876" s="2477"/>
      <c r="NLC1876" s="2477"/>
      <c r="NLD1876" s="2477"/>
      <c r="NLE1876" s="2477"/>
      <c r="NLF1876" s="2477"/>
      <c r="NLG1876" s="2477"/>
      <c r="NLH1876" s="2477"/>
      <c r="NLI1876" s="2477"/>
      <c r="NLJ1876" s="2477"/>
      <c r="NLK1876" s="2477"/>
      <c r="NLL1876" s="2477"/>
      <c r="NLM1876" s="2477"/>
      <c r="NLN1876" s="2477"/>
      <c r="NLO1876" s="2477"/>
      <c r="NLP1876" s="2477"/>
      <c r="NLQ1876" s="2477"/>
      <c r="NLR1876" s="2477"/>
      <c r="NLS1876" s="2477"/>
      <c r="NLT1876" s="2477"/>
      <c r="NLU1876" s="2477"/>
      <c r="NLV1876" s="2477"/>
      <c r="NLW1876" s="2477"/>
      <c r="NLX1876" s="2477"/>
      <c r="NLY1876" s="2477"/>
      <c r="NLZ1876" s="2477"/>
      <c r="NMA1876" s="2477"/>
      <c r="NMB1876" s="2477"/>
      <c r="NMC1876" s="2477"/>
      <c r="NMD1876" s="2477"/>
      <c r="NME1876" s="2477"/>
      <c r="NMF1876" s="2477"/>
      <c r="NMG1876" s="2477"/>
      <c r="NMH1876" s="2477"/>
      <c r="NMI1876" s="2477"/>
      <c r="NMJ1876" s="2477"/>
      <c r="NMK1876" s="2477"/>
      <c r="NML1876" s="2477"/>
      <c r="NMM1876" s="2477"/>
      <c r="NMN1876" s="2477"/>
      <c r="NMO1876" s="2477"/>
      <c r="NMP1876" s="2477"/>
      <c r="NMQ1876" s="2477"/>
      <c r="NMR1876" s="2477"/>
      <c r="NMS1876" s="2477"/>
      <c r="NMT1876" s="2477"/>
      <c r="NMU1876" s="2477"/>
      <c r="NMV1876" s="2477"/>
      <c r="NMW1876" s="2477"/>
      <c r="NMX1876" s="2477"/>
      <c r="NMY1876" s="2477"/>
      <c r="NMZ1876" s="2477"/>
      <c r="NNA1876" s="2477"/>
      <c r="NNB1876" s="2477"/>
      <c r="NNC1876" s="2477"/>
      <c r="NND1876" s="2477"/>
      <c r="NNE1876" s="2477"/>
      <c r="NNF1876" s="2477"/>
      <c r="NNG1876" s="2477"/>
      <c r="NNH1876" s="2477"/>
      <c r="NNI1876" s="2477"/>
      <c r="NNJ1876" s="2477"/>
      <c r="NNK1876" s="2477"/>
      <c r="NNL1876" s="2477"/>
      <c r="NNM1876" s="2477"/>
      <c r="NNN1876" s="2477"/>
      <c r="NNO1876" s="2477"/>
      <c r="NNP1876" s="2477"/>
      <c r="NNQ1876" s="2477"/>
      <c r="NNR1876" s="2477"/>
      <c r="NNS1876" s="2477"/>
      <c r="NNT1876" s="2477"/>
      <c r="NNU1876" s="2477"/>
      <c r="NNV1876" s="2477"/>
      <c r="NNW1876" s="2477"/>
      <c r="NNX1876" s="2477"/>
      <c r="NNY1876" s="2477"/>
      <c r="NNZ1876" s="2477"/>
      <c r="NOA1876" s="2477"/>
      <c r="NOB1876" s="2477"/>
      <c r="NOC1876" s="2477"/>
      <c r="NOD1876" s="2477"/>
      <c r="NOE1876" s="2477"/>
      <c r="NOF1876" s="2477"/>
      <c r="NOG1876" s="2477"/>
      <c r="NOH1876" s="2477"/>
      <c r="NOI1876" s="2477"/>
      <c r="NOJ1876" s="2477"/>
      <c r="NOK1876" s="2477"/>
      <c r="NOL1876" s="2477"/>
      <c r="NOM1876" s="2477"/>
      <c r="NON1876" s="2477"/>
      <c r="NOO1876" s="2477"/>
      <c r="NOP1876" s="2477"/>
      <c r="NOQ1876" s="2477"/>
      <c r="NOR1876" s="2477"/>
      <c r="NOS1876" s="2477"/>
      <c r="NOT1876" s="2477"/>
      <c r="NOU1876" s="2477"/>
      <c r="NOV1876" s="2477"/>
      <c r="NOW1876" s="2477"/>
      <c r="NOX1876" s="2477"/>
      <c r="NOY1876" s="2477"/>
      <c r="NOZ1876" s="2477"/>
      <c r="NPA1876" s="2477"/>
      <c r="NPB1876" s="2477"/>
      <c r="NPC1876" s="2477"/>
      <c r="NPD1876" s="2477"/>
      <c r="NPE1876" s="2477"/>
      <c r="NPF1876" s="2477"/>
      <c r="NPG1876" s="2477"/>
      <c r="NPH1876" s="2477"/>
      <c r="NPI1876" s="2477"/>
      <c r="NPJ1876" s="2477"/>
      <c r="NPK1876" s="2477"/>
      <c r="NPL1876" s="2477"/>
      <c r="NPM1876" s="2477"/>
      <c r="NPN1876" s="2477"/>
      <c r="NPO1876" s="2477"/>
      <c r="NPP1876" s="2477"/>
      <c r="NPQ1876" s="2477"/>
      <c r="NPR1876" s="2477"/>
      <c r="NPS1876" s="2477"/>
      <c r="NPT1876" s="2477"/>
      <c r="NPU1876" s="2477"/>
      <c r="NPV1876" s="2477"/>
      <c r="NPW1876" s="2477"/>
      <c r="NPX1876" s="2477"/>
      <c r="NPY1876" s="2477"/>
      <c r="NPZ1876" s="2477"/>
      <c r="NQA1876" s="2477"/>
      <c r="NQB1876" s="2477"/>
      <c r="NQC1876" s="2477"/>
      <c r="NQD1876" s="2477"/>
      <c r="NQE1876" s="2477"/>
      <c r="NQF1876" s="2477"/>
      <c r="NQG1876" s="2477"/>
      <c r="NQH1876" s="2477"/>
      <c r="NQI1876" s="2477"/>
      <c r="NQJ1876" s="2477"/>
      <c r="NQK1876" s="2477"/>
      <c r="NQL1876" s="2477"/>
      <c r="NQM1876" s="2477"/>
      <c r="NQN1876" s="2477"/>
      <c r="NQO1876" s="2477"/>
      <c r="NQP1876" s="2477"/>
      <c r="NQQ1876" s="2477"/>
      <c r="NQR1876" s="2477"/>
      <c r="NQS1876" s="2477"/>
      <c r="NQT1876" s="2477"/>
      <c r="NQU1876" s="2477"/>
      <c r="NQV1876" s="2477"/>
      <c r="NQW1876" s="2477"/>
      <c r="NQX1876" s="2477"/>
      <c r="NQY1876" s="2477"/>
      <c r="NQZ1876" s="2477"/>
      <c r="NRA1876" s="2477"/>
      <c r="NRB1876" s="2477"/>
      <c r="NRC1876" s="2477"/>
      <c r="NRD1876" s="2477"/>
      <c r="NRE1876" s="2477"/>
      <c r="NRF1876" s="2477"/>
      <c r="NRG1876" s="2477"/>
      <c r="NRH1876" s="2477"/>
      <c r="NRI1876" s="2477"/>
      <c r="NRJ1876" s="2477"/>
      <c r="NRK1876" s="2477"/>
      <c r="NRL1876" s="2477"/>
      <c r="NRM1876" s="2477"/>
      <c r="NRN1876" s="2477"/>
      <c r="NRO1876" s="2477"/>
      <c r="NRP1876" s="2477"/>
      <c r="NRQ1876" s="2477"/>
      <c r="NRR1876" s="2477"/>
      <c r="NRS1876" s="2477"/>
      <c r="NRT1876" s="2477"/>
      <c r="NRU1876" s="2477"/>
      <c r="NRV1876" s="2477"/>
      <c r="NRW1876" s="2477"/>
      <c r="NRX1876" s="2477"/>
      <c r="NRY1876" s="2477"/>
      <c r="NRZ1876" s="2477"/>
      <c r="NSA1876" s="2477"/>
      <c r="NSB1876" s="2477"/>
      <c r="NSC1876" s="2477"/>
      <c r="NSD1876" s="2477"/>
      <c r="NSE1876" s="2477"/>
      <c r="NSF1876" s="2477"/>
      <c r="NSG1876" s="2477"/>
      <c r="NSH1876" s="2477"/>
      <c r="NSI1876" s="2477"/>
      <c r="NSJ1876" s="2477"/>
      <c r="NSK1876" s="2477"/>
      <c r="NSL1876" s="2477"/>
      <c r="NSM1876" s="2477"/>
      <c r="NSN1876" s="2477"/>
      <c r="NSO1876" s="2477"/>
      <c r="NSP1876" s="2477"/>
      <c r="NSQ1876" s="2477"/>
      <c r="NSR1876" s="2477"/>
      <c r="NSS1876" s="2477"/>
      <c r="NST1876" s="2477"/>
      <c r="NSU1876" s="2477"/>
      <c r="NSV1876" s="2477"/>
      <c r="NSW1876" s="2477"/>
      <c r="NSX1876" s="2477"/>
      <c r="NSY1876" s="2477"/>
      <c r="NSZ1876" s="2477"/>
      <c r="NTA1876" s="2477"/>
      <c r="NTB1876" s="2477"/>
      <c r="NTC1876" s="2477"/>
      <c r="NTD1876" s="2477"/>
      <c r="NTE1876" s="2477"/>
      <c r="NTF1876" s="2477"/>
      <c r="NTG1876" s="2477"/>
      <c r="NTH1876" s="2477"/>
      <c r="NTI1876" s="2477"/>
      <c r="NTJ1876" s="2477"/>
      <c r="NTK1876" s="2477"/>
      <c r="NTL1876" s="2477"/>
      <c r="NTM1876" s="2477"/>
      <c r="NTN1876" s="2477"/>
      <c r="NTO1876" s="2477"/>
      <c r="NTP1876" s="2477"/>
      <c r="NTQ1876" s="2477"/>
      <c r="NTR1876" s="2477"/>
      <c r="NTS1876" s="2477"/>
      <c r="NTT1876" s="2477"/>
      <c r="NTU1876" s="2477"/>
      <c r="NTV1876" s="2477"/>
      <c r="NTW1876" s="2477"/>
      <c r="NTX1876" s="2477"/>
      <c r="NTY1876" s="2477"/>
      <c r="NTZ1876" s="2477"/>
      <c r="NUA1876" s="2477"/>
      <c r="NUB1876" s="2477"/>
      <c r="NUC1876" s="2477"/>
      <c r="NUD1876" s="2477"/>
      <c r="NUE1876" s="2477"/>
      <c r="NUF1876" s="2477"/>
      <c r="NUG1876" s="2477"/>
      <c r="NUH1876" s="2477"/>
      <c r="NUI1876" s="2477"/>
      <c r="NUJ1876" s="2477"/>
      <c r="NUK1876" s="2477"/>
      <c r="NUL1876" s="2477"/>
      <c r="NUM1876" s="2477"/>
      <c r="NUN1876" s="2477"/>
      <c r="NUO1876" s="2477"/>
      <c r="NUP1876" s="2477"/>
      <c r="NUQ1876" s="2477"/>
      <c r="NUR1876" s="2477"/>
      <c r="NUS1876" s="2477"/>
      <c r="NUT1876" s="2477"/>
      <c r="NUU1876" s="2477"/>
      <c r="NUV1876" s="2477"/>
      <c r="NUW1876" s="2477"/>
      <c r="NUX1876" s="2477"/>
      <c r="NUY1876" s="2477"/>
      <c r="NUZ1876" s="2477"/>
      <c r="NVA1876" s="2477"/>
      <c r="NVB1876" s="2477"/>
      <c r="NVC1876" s="2477"/>
      <c r="NVD1876" s="2477"/>
      <c r="NVE1876" s="2477"/>
      <c r="NVF1876" s="2477"/>
      <c r="NVG1876" s="2477"/>
      <c r="NVH1876" s="2477"/>
      <c r="NVI1876" s="2477"/>
      <c r="NVJ1876" s="2477"/>
      <c r="NVK1876" s="2477"/>
      <c r="NVL1876" s="2477"/>
      <c r="NVM1876" s="2477"/>
      <c r="NVN1876" s="2477"/>
      <c r="NVO1876" s="2477"/>
      <c r="NVP1876" s="2477"/>
      <c r="NVQ1876" s="2477"/>
      <c r="NVR1876" s="2477"/>
      <c r="NVS1876" s="2477"/>
      <c r="NVT1876" s="2477"/>
      <c r="NVU1876" s="2477"/>
      <c r="NVV1876" s="2477"/>
      <c r="NVW1876" s="2477"/>
      <c r="NVX1876" s="2477"/>
      <c r="NVY1876" s="2477"/>
      <c r="NVZ1876" s="2477"/>
      <c r="NWA1876" s="2477"/>
      <c r="NWB1876" s="2477"/>
      <c r="NWC1876" s="2477"/>
      <c r="NWD1876" s="2477"/>
      <c r="NWE1876" s="2477"/>
      <c r="NWF1876" s="2477"/>
      <c r="NWG1876" s="2477"/>
      <c r="NWH1876" s="2477"/>
      <c r="NWI1876" s="2477"/>
      <c r="NWJ1876" s="2477"/>
      <c r="NWK1876" s="2477"/>
      <c r="NWL1876" s="2477"/>
      <c r="NWM1876" s="2477"/>
      <c r="NWN1876" s="2477"/>
      <c r="NWO1876" s="2477"/>
      <c r="NWP1876" s="2477"/>
      <c r="NWQ1876" s="2477"/>
      <c r="NWR1876" s="2477"/>
      <c r="NWS1876" s="2477"/>
      <c r="NWT1876" s="2477"/>
      <c r="NWU1876" s="2477"/>
      <c r="NWV1876" s="2477"/>
      <c r="NWW1876" s="2477"/>
      <c r="NWX1876" s="2477"/>
      <c r="NWY1876" s="2477"/>
      <c r="NWZ1876" s="2477"/>
      <c r="NXA1876" s="2477"/>
      <c r="NXB1876" s="2477"/>
      <c r="NXC1876" s="2477"/>
      <c r="NXD1876" s="2477"/>
      <c r="NXE1876" s="2477"/>
      <c r="NXF1876" s="2477"/>
      <c r="NXG1876" s="2477"/>
      <c r="NXH1876" s="2477"/>
      <c r="NXI1876" s="2477"/>
      <c r="NXJ1876" s="2477"/>
      <c r="NXK1876" s="2477"/>
      <c r="NXL1876" s="2477"/>
      <c r="NXM1876" s="2477"/>
      <c r="NXN1876" s="2477"/>
      <c r="NXO1876" s="2477"/>
      <c r="NXP1876" s="2477"/>
      <c r="NXQ1876" s="2477"/>
      <c r="NXR1876" s="2477"/>
      <c r="NXS1876" s="2477"/>
      <c r="NXT1876" s="2477"/>
      <c r="NXU1876" s="2477"/>
      <c r="NXV1876" s="2477"/>
      <c r="NXW1876" s="2477"/>
      <c r="NXX1876" s="2477"/>
      <c r="NXY1876" s="2477"/>
      <c r="NXZ1876" s="2477"/>
      <c r="NYA1876" s="2477"/>
      <c r="NYB1876" s="2477"/>
      <c r="NYC1876" s="2477"/>
      <c r="NYD1876" s="2477"/>
      <c r="NYE1876" s="2477"/>
      <c r="NYF1876" s="2477"/>
      <c r="NYG1876" s="2477"/>
      <c r="NYH1876" s="2477"/>
      <c r="NYI1876" s="2477"/>
      <c r="NYJ1876" s="2477"/>
      <c r="NYK1876" s="2477"/>
      <c r="NYL1876" s="2477"/>
      <c r="NYM1876" s="2477"/>
      <c r="NYN1876" s="2477"/>
      <c r="NYO1876" s="2477"/>
      <c r="NYP1876" s="2477"/>
      <c r="NYQ1876" s="2477"/>
      <c r="NYR1876" s="2477"/>
      <c r="NYS1876" s="2477"/>
      <c r="NYT1876" s="2477"/>
      <c r="NYU1876" s="2477"/>
      <c r="NYV1876" s="2477"/>
      <c r="NYW1876" s="2477"/>
      <c r="NYX1876" s="2477"/>
      <c r="NYY1876" s="2477"/>
      <c r="NYZ1876" s="2477"/>
      <c r="NZA1876" s="2477"/>
      <c r="NZB1876" s="2477"/>
      <c r="NZC1876" s="2477"/>
      <c r="NZD1876" s="2477"/>
      <c r="NZE1876" s="2477"/>
      <c r="NZF1876" s="2477"/>
      <c r="NZG1876" s="2477"/>
      <c r="NZH1876" s="2477"/>
      <c r="NZI1876" s="2477"/>
      <c r="NZJ1876" s="2477"/>
      <c r="NZK1876" s="2477"/>
      <c r="NZL1876" s="2477"/>
      <c r="NZM1876" s="2477"/>
      <c r="NZN1876" s="2477"/>
      <c r="NZO1876" s="2477"/>
      <c r="NZP1876" s="2477"/>
      <c r="NZQ1876" s="2477"/>
      <c r="NZR1876" s="2477"/>
      <c r="NZS1876" s="2477"/>
      <c r="NZT1876" s="2477"/>
      <c r="NZU1876" s="2477"/>
      <c r="NZV1876" s="2477"/>
      <c r="NZW1876" s="2477"/>
      <c r="NZX1876" s="2477"/>
      <c r="NZY1876" s="2477"/>
      <c r="NZZ1876" s="2477"/>
      <c r="OAA1876" s="2477"/>
      <c r="OAB1876" s="2477"/>
      <c r="OAC1876" s="2477"/>
      <c r="OAD1876" s="2477"/>
      <c r="OAE1876" s="2477"/>
      <c r="OAF1876" s="2477"/>
      <c r="OAG1876" s="2477"/>
      <c r="OAH1876" s="2477"/>
      <c r="OAI1876" s="2477"/>
      <c r="OAJ1876" s="2477"/>
      <c r="OAK1876" s="2477"/>
      <c r="OAL1876" s="2477"/>
      <c r="OAM1876" s="2477"/>
      <c r="OAN1876" s="2477"/>
      <c r="OAO1876" s="2477"/>
      <c r="OAP1876" s="2477"/>
      <c r="OAQ1876" s="2477"/>
      <c r="OAR1876" s="2477"/>
      <c r="OAS1876" s="2477"/>
      <c r="OAT1876" s="2477"/>
      <c r="OAU1876" s="2477"/>
      <c r="OAV1876" s="2477"/>
      <c r="OAW1876" s="2477"/>
      <c r="OAX1876" s="2477"/>
      <c r="OAY1876" s="2477"/>
      <c r="OAZ1876" s="2477"/>
      <c r="OBA1876" s="2477"/>
      <c r="OBB1876" s="2477"/>
      <c r="OBC1876" s="2477"/>
      <c r="OBD1876" s="2477"/>
      <c r="OBE1876" s="2477"/>
      <c r="OBF1876" s="2477"/>
      <c r="OBG1876" s="2477"/>
      <c r="OBH1876" s="2477"/>
      <c r="OBI1876" s="2477"/>
      <c r="OBJ1876" s="2477"/>
      <c r="OBK1876" s="2477"/>
      <c r="OBL1876" s="2477"/>
      <c r="OBM1876" s="2477"/>
      <c r="OBN1876" s="2477"/>
      <c r="OBO1876" s="2477"/>
      <c r="OBP1876" s="2477"/>
      <c r="OBQ1876" s="2477"/>
      <c r="OBR1876" s="2477"/>
      <c r="OBS1876" s="2477"/>
      <c r="OBT1876" s="2477"/>
      <c r="OBU1876" s="2477"/>
      <c r="OBV1876" s="2477"/>
      <c r="OBW1876" s="2477"/>
      <c r="OBX1876" s="2477"/>
      <c r="OBY1876" s="2477"/>
      <c r="OBZ1876" s="2477"/>
      <c r="OCA1876" s="2477"/>
      <c r="OCB1876" s="2477"/>
      <c r="OCC1876" s="2477"/>
      <c r="OCD1876" s="2477"/>
      <c r="OCE1876" s="2477"/>
      <c r="OCF1876" s="2477"/>
      <c r="OCG1876" s="2477"/>
      <c r="OCH1876" s="2477"/>
      <c r="OCI1876" s="2477"/>
      <c r="OCJ1876" s="2477"/>
      <c r="OCK1876" s="2477"/>
      <c r="OCL1876" s="2477"/>
      <c r="OCM1876" s="2477"/>
      <c r="OCN1876" s="2477"/>
      <c r="OCO1876" s="2477"/>
      <c r="OCP1876" s="2477"/>
      <c r="OCQ1876" s="2477"/>
      <c r="OCR1876" s="2477"/>
      <c r="OCS1876" s="2477"/>
      <c r="OCT1876" s="2477"/>
      <c r="OCU1876" s="2477"/>
      <c r="OCV1876" s="2477"/>
      <c r="OCW1876" s="2477"/>
      <c r="OCX1876" s="2477"/>
      <c r="OCY1876" s="2477"/>
      <c r="OCZ1876" s="2477"/>
      <c r="ODA1876" s="2477"/>
      <c r="ODB1876" s="2477"/>
      <c r="ODC1876" s="2477"/>
      <c r="ODD1876" s="2477"/>
      <c r="ODE1876" s="2477"/>
      <c r="ODF1876" s="2477"/>
      <c r="ODG1876" s="2477"/>
      <c r="ODH1876" s="2477"/>
      <c r="ODI1876" s="2477"/>
      <c r="ODJ1876" s="2477"/>
      <c r="ODK1876" s="2477"/>
      <c r="ODL1876" s="2477"/>
      <c r="ODM1876" s="2477"/>
      <c r="ODN1876" s="2477"/>
      <c r="ODO1876" s="2477"/>
      <c r="ODP1876" s="2477"/>
      <c r="ODQ1876" s="2477"/>
      <c r="ODR1876" s="2477"/>
      <c r="ODS1876" s="2477"/>
      <c r="ODT1876" s="2477"/>
      <c r="ODU1876" s="2477"/>
      <c r="ODV1876" s="2477"/>
      <c r="ODW1876" s="2477"/>
      <c r="ODX1876" s="2477"/>
      <c r="ODY1876" s="2477"/>
      <c r="ODZ1876" s="2477"/>
      <c r="OEA1876" s="2477"/>
      <c r="OEB1876" s="2477"/>
      <c r="OEC1876" s="2477"/>
      <c r="OED1876" s="2477"/>
      <c r="OEE1876" s="2477"/>
      <c r="OEF1876" s="2477"/>
      <c r="OEG1876" s="2477"/>
      <c r="OEH1876" s="2477"/>
      <c r="OEI1876" s="2477"/>
      <c r="OEJ1876" s="2477"/>
      <c r="OEK1876" s="2477"/>
      <c r="OEL1876" s="2477"/>
      <c r="OEM1876" s="2477"/>
      <c r="OEN1876" s="2477"/>
      <c r="OEO1876" s="2477"/>
      <c r="OEP1876" s="2477"/>
      <c r="OEQ1876" s="2477"/>
      <c r="OER1876" s="2477"/>
      <c r="OES1876" s="2477"/>
      <c r="OET1876" s="2477"/>
      <c r="OEU1876" s="2477"/>
      <c r="OEV1876" s="2477"/>
      <c r="OEW1876" s="2477"/>
      <c r="OEX1876" s="2477"/>
      <c r="OEY1876" s="2477"/>
      <c r="OEZ1876" s="2477"/>
      <c r="OFA1876" s="2477"/>
      <c r="OFB1876" s="2477"/>
      <c r="OFC1876" s="2477"/>
      <c r="OFD1876" s="2477"/>
      <c r="OFE1876" s="2477"/>
      <c r="OFF1876" s="2477"/>
      <c r="OFG1876" s="2477"/>
      <c r="OFH1876" s="2477"/>
      <c r="OFI1876" s="2477"/>
      <c r="OFJ1876" s="2477"/>
      <c r="OFK1876" s="2477"/>
      <c r="OFL1876" s="2477"/>
      <c r="OFM1876" s="2477"/>
      <c r="OFN1876" s="2477"/>
      <c r="OFO1876" s="2477"/>
      <c r="OFP1876" s="2477"/>
      <c r="OFQ1876" s="2477"/>
      <c r="OFR1876" s="2477"/>
      <c r="OFS1876" s="2477"/>
      <c r="OFT1876" s="2477"/>
      <c r="OFU1876" s="2477"/>
      <c r="OFV1876" s="2477"/>
      <c r="OFW1876" s="2477"/>
      <c r="OFX1876" s="2477"/>
      <c r="OFY1876" s="2477"/>
      <c r="OFZ1876" s="2477"/>
      <c r="OGA1876" s="2477"/>
      <c r="OGB1876" s="2477"/>
      <c r="OGC1876" s="2477"/>
      <c r="OGD1876" s="2477"/>
      <c r="OGE1876" s="2477"/>
      <c r="OGF1876" s="2477"/>
      <c r="OGG1876" s="2477"/>
      <c r="OGH1876" s="2477"/>
      <c r="OGI1876" s="2477"/>
      <c r="OGJ1876" s="2477"/>
      <c r="OGK1876" s="2477"/>
      <c r="OGL1876" s="2477"/>
      <c r="OGM1876" s="2477"/>
      <c r="OGN1876" s="2477"/>
      <c r="OGO1876" s="2477"/>
      <c r="OGP1876" s="2477"/>
      <c r="OGQ1876" s="2477"/>
      <c r="OGR1876" s="2477"/>
      <c r="OGS1876" s="2477"/>
      <c r="OGT1876" s="2477"/>
      <c r="OGU1876" s="2477"/>
      <c r="OGV1876" s="2477"/>
      <c r="OGW1876" s="2477"/>
      <c r="OGX1876" s="2477"/>
      <c r="OGY1876" s="2477"/>
      <c r="OGZ1876" s="2477"/>
      <c r="OHA1876" s="2477"/>
      <c r="OHB1876" s="2477"/>
      <c r="OHC1876" s="2477"/>
      <c r="OHD1876" s="2477"/>
      <c r="OHE1876" s="2477"/>
      <c r="OHF1876" s="2477"/>
      <c r="OHG1876" s="2477"/>
      <c r="OHH1876" s="2477"/>
      <c r="OHI1876" s="2477"/>
      <c r="OHJ1876" s="2477"/>
      <c r="OHK1876" s="2477"/>
      <c r="OHL1876" s="2477"/>
      <c r="OHM1876" s="2477"/>
      <c r="OHN1876" s="2477"/>
      <c r="OHO1876" s="2477"/>
      <c r="OHP1876" s="2477"/>
      <c r="OHQ1876" s="2477"/>
      <c r="OHR1876" s="2477"/>
      <c r="OHS1876" s="2477"/>
      <c r="OHT1876" s="2477"/>
      <c r="OHU1876" s="2477"/>
      <c r="OHV1876" s="2477"/>
      <c r="OHW1876" s="2477"/>
      <c r="OHX1876" s="2477"/>
      <c r="OHY1876" s="2477"/>
      <c r="OHZ1876" s="2477"/>
      <c r="OIA1876" s="2477"/>
      <c r="OIB1876" s="2477"/>
      <c r="OIC1876" s="2477"/>
      <c r="OID1876" s="2477"/>
      <c r="OIE1876" s="2477"/>
      <c r="OIF1876" s="2477"/>
      <c r="OIG1876" s="2477"/>
      <c r="OIH1876" s="2477"/>
      <c r="OII1876" s="2477"/>
      <c r="OIJ1876" s="2477"/>
      <c r="OIK1876" s="2477"/>
      <c r="OIL1876" s="2477"/>
      <c r="OIM1876" s="2477"/>
      <c r="OIN1876" s="2477"/>
      <c r="OIO1876" s="2477"/>
      <c r="OIP1876" s="2477"/>
      <c r="OIQ1876" s="2477"/>
      <c r="OIR1876" s="2477"/>
      <c r="OIS1876" s="2477"/>
      <c r="OIT1876" s="2477"/>
      <c r="OIU1876" s="2477"/>
      <c r="OIV1876" s="2477"/>
      <c r="OIW1876" s="2477"/>
      <c r="OIX1876" s="2477"/>
      <c r="OIY1876" s="2477"/>
      <c r="OIZ1876" s="2477"/>
      <c r="OJA1876" s="2477"/>
      <c r="OJB1876" s="2477"/>
      <c r="OJC1876" s="2477"/>
      <c r="OJD1876" s="2477"/>
      <c r="OJE1876" s="2477"/>
      <c r="OJF1876" s="2477"/>
      <c r="OJG1876" s="2477"/>
      <c r="OJH1876" s="2477"/>
      <c r="OJI1876" s="2477"/>
      <c r="OJJ1876" s="2477"/>
      <c r="OJK1876" s="2477"/>
      <c r="OJL1876" s="2477"/>
      <c r="OJM1876" s="2477"/>
      <c r="OJN1876" s="2477"/>
      <c r="OJO1876" s="2477"/>
      <c r="OJP1876" s="2477"/>
      <c r="OJQ1876" s="2477"/>
      <c r="OJR1876" s="2477"/>
      <c r="OJS1876" s="2477"/>
      <c r="OJT1876" s="2477"/>
      <c r="OJU1876" s="2477"/>
      <c r="OJV1876" s="2477"/>
      <c r="OJW1876" s="2477"/>
      <c r="OJX1876" s="2477"/>
      <c r="OJY1876" s="2477"/>
      <c r="OJZ1876" s="2477"/>
      <c r="OKA1876" s="2477"/>
      <c r="OKB1876" s="2477"/>
      <c r="OKC1876" s="2477"/>
      <c r="OKD1876" s="2477"/>
      <c r="OKE1876" s="2477"/>
      <c r="OKF1876" s="2477"/>
      <c r="OKG1876" s="2477"/>
      <c r="OKH1876" s="2477"/>
      <c r="OKI1876" s="2477"/>
      <c r="OKJ1876" s="2477"/>
      <c r="OKK1876" s="2477"/>
      <c r="OKL1876" s="2477"/>
      <c r="OKM1876" s="2477"/>
      <c r="OKN1876" s="2477"/>
      <c r="OKO1876" s="2477"/>
      <c r="OKP1876" s="2477"/>
      <c r="OKQ1876" s="2477"/>
      <c r="OKR1876" s="2477"/>
      <c r="OKS1876" s="2477"/>
      <c r="OKT1876" s="2477"/>
      <c r="OKU1876" s="2477"/>
      <c r="OKV1876" s="2477"/>
      <c r="OKW1876" s="2477"/>
      <c r="OKX1876" s="2477"/>
      <c r="OKY1876" s="2477"/>
      <c r="OKZ1876" s="2477"/>
      <c r="OLA1876" s="2477"/>
      <c r="OLB1876" s="2477"/>
      <c r="OLC1876" s="2477"/>
      <c r="OLD1876" s="2477"/>
      <c r="OLE1876" s="2477"/>
      <c r="OLF1876" s="2477"/>
      <c r="OLG1876" s="2477"/>
      <c r="OLH1876" s="2477"/>
      <c r="OLI1876" s="2477"/>
      <c r="OLJ1876" s="2477"/>
      <c r="OLK1876" s="2477"/>
      <c r="OLL1876" s="2477"/>
      <c r="OLM1876" s="2477"/>
      <c r="OLN1876" s="2477"/>
      <c r="OLO1876" s="2477"/>
      <c r="OLP1876" s="2477"/>
      <c r="OLQ1876" s="2477"/>
      <c r="OLR1876" s="2477"/>
      <c r="OLS1876" s="2477"/>
      <c r="OLT1876" s="2477"/>
      <c r="OLU1876" s="2477"/>
      <c r="OLV1876" s="2477"/>
      <c r="OLW1876" s="2477"/>
      <c r="OLX1876" s="2477"/>
      <c r="OLY1876" s="2477"/>
      <c r="OLZ1876" s="2477"/>
      <c r="OMA1876" s="2477"/>
      <c r="OMB1876" s="2477"/>
      <c r="OMC1876" s="2477"/>
      <c r="OMD1876" s="2477"/>
      <c r="OME1876" s="2477"/>
      <c r="OMF1876" s="2477"/>
      <c r="OMG1876" s="2477"/>
      <c r="OMH1876" s="2477"/>
      <c r="OMI1876" s="2477"/>
      <c r="OMJ1876" s="2477"/>
      <c r="OMK1876" s="2477"/>
      <c r="OML1876" s="2477"/>
      <c r="OMM1876" s="2477"/>
      <c r="OMN1876" s="2477"/>
      <c r="OMO1876" s="2477"/>
      <c r="OMP1876" s="2477"/>
      <c r="OMQ1876" s="2477"/>
      <c r="OMR1876" s="2477"/>
      <c r="OMS1876" s="2477"/>
      <c r="OMT1876" s="2477"/>
      <c r="OMU1876" s="2477"/>
      <c r="OMV1876" s="2477"/>
      <c r="OMW1876" s="2477"/>
      <c r="OMX1876" s="2477"/>
      <c r="OMY1876" s="2477"/>
      <c r="OMZ1876" s="2477"/>
      <c r="ONA1876" s="2477"/>
      <c r="ONB1876" s="2477"/>
      <c r="ONC1876" s="2477"/>
      <c r="OND1876" s="2477"/>
      <c r="ONE1876" s="2477"/>
      <c r="ONF1876" s="2477"/>
      <c r="ONG1876" s="2477"/>
      <c r="ONH1876" s="2477"/>
      <c r="ONI1876" s="2477"/>
      <c r="ONJ1876" s="2477"/>
      <c r="ONK1876" s="2477"/>
      <c r="ONL1876" s="2477"/>
      <c r="ONM1876" s="2477"/>
      <c r="ONN1876" s="2477"/>
      <c r="ONO1876" s="2477"/>
      <c r="ONP1876" s="2477"/>
      <c r="ONQ1876" s="2477"/>
      <c r="ONR1876" s="2477"/>
      <c r="ONS1876" s="2477"/>
      <c r="ONT1876" s="2477"/>
      <c r="ONU1876" s="2477"/>
      <c r="ONV1876" s="2477"/>
      <c r="ONW1876" s="2477"/>
      <c r="ONX1876" s="2477"/>
      <c r="ONY1876" s="2477"/>
      <c r="ONZ1876" s="2477"/>
      <c r="OOA1876" s="2477"/>
      <c r="OOB1876" s="2477"/>
      <c r="OOC1876" s="2477"/>
      <c r="OOD1876" s="2477"/>
      <c r="OOE1876" s="2477"/>
      <c r="OOF1876" s="2477"/>
      <c r="OOG1876" s="2477"/>
      <c r="OOH1876" s="2477"/>
      <c r="OOI1876" s="2477"/>
      <c r="OOJ1876" s="2477"/>
      <c r="OOK1876" s="2477"/>
      <c r="OOL1876" s="2477"/>
      <c r="OOM1876" s="2477"/>
      <c r="OON1876" s="2477"/>
      <c r="OOO1876" s="2477"/>
      <c r="OOP1876" s="2477"/>
      <c r="OOQ1876" s="2477"/>
      <c r="OOR1876" s="2477"/>
      <c r="OOS1876" s="2477"/>
      <c r="OOT1876" s="2477"/>
      <c r="OOU1876" s="2477"/>
      <c r="OOV1876" s="2477"/>
      <c r="OOW1876" s="2477"/>
      <c r="OOX1876" s="2477"/>
      <c r="OOY1876" s="2477"/>
      <c r="OOZ1876" s="2477"/>
      <c r="OPA1876" s="2477"/>
      <c r="OPB1876" s="2477"/>
      <c r="OPC1876" s="2477"/>
      <c r="OPD1876" s="2477"/>
      <c r="OPE1876" s="2477"/>
      <c r="OPF1876" s="2477"/>
      <c r="OPG1876" s="2477"/>
      <c r="OPH1876" s="2477"/>
      <c r="OPI1876" s="2477"/>
      <c r="OPJ1876" s="2477"/>
      <c r="OPK1876" s="2477"/>
      <c r="OPL1876" s="2477"/>
      <c r="OPM1876" s="2477"/>
      <c r="OPN1876" s="2477"/>
      <c r="OPO1876" s="2477"/>
      <c r="OPP1876" s="2477"/>
      <c r="OPQ1876" s="2477"/>
      <c r="OPR1876" s="2477"/>
      <c r="OPS1876" s="2477"/>
      <c r="OPT1876" s="2477"/>
      <c r="OPU1876" s="2477"/>
      <c r="OPV1876" s="2477"/>
      <c r="OPW1876" s="2477"/>
      <c r="OPX1876" s="2477"/>
      <c r="OPY1876" s="2477"/>
      <c r="OPZ1876" s="2477"/>
      <c r="OQA1876" s="2477"/>
      <c r="OQB1876" s="2477"/>
      <c r="OQC1876" s="2477"/>
      <c r="OQD1876" s="2477"/>
      <c r="OQE1876" s="2477"/>
      <c r="OQF1876" s="2477"/>
      <c r="OQG1876" s="2477"/>
      <c r="OQH1876" s="2477"/>
      <c r="OQI1876" s="2477"/>
      <c r="OQJ1876" s="2477"/>
      <c r="OQK1876" s="2477"/>
      <c r="OQL1876" s="2477"/>
      <c r="OQM1876" s="2477"/>
      <c r="OQN1876" s="2477"/>
      <c r="OQO1876" s="2477"/>
      <c r="OQP1876" s="2477"/>
      <c r="OQQ1876" s="2477"/>
      <c r="OQR1876" s="2477"/>
      <c r="OQS1876" s="2477"/>
      <c r="OQT1876" s="2477"/>
      <c r="OQU1876" s="2477"/>
      <c r="OQV1876" s="2477"/>
      <c r="OQW1876" s="2477"/>
      <c r="OQX1876" s="2477"/>
      <c r="OQY1876" s="2477"/>
      <c r="OQZ1876" s="2477"/>
      <c r="ORA1876" s="2477"/>
      <c r="ORB1876" s="2477"/>
      <c r="ORC1876" s="2477"/>
      <c r="ORD1876" s="2477"/>
      <c r="ORE1876" s="2477"/>
      <c r="ORF1876" s="2477"/>
      <c r="ORG1876" s="2477"/>
      <c r="ORH1876" s="2477"/>
      <c r="ORI1876" s="2477"/>
      <c r="ORJ1876" s="2477"/>
      <c r="ORK1876" s="2477"/>
      <c r="ORL1876" s="2477"/>
      <c r="ORM1876" s="2477"/>
      <c r="ORN1876" s="2477"/>
      <c r="ORO1876" s="2477"/>
      <c r="ORP1876" s="2477"/>
      <c r="ORQ1876" s="2477"/>
      <c r="ORR1876" s="2477"/>
      <c r="ORS1876" s="2477"/>
      <c r="ORT1876" s="2477"/>
      <c r="ORU1876" s="2477"/>
      <c r="ORV1876" s="2477"/>
      <c r="ORW1876" s="2477"/>
      <c r="ORX1876" s="2477"/>
      <c r="ORY1876" s="2477"/>
      <c r="ORZ1876" s="2477"/>
      <c r="OSA1876" s="2477"/>
      <c r="OSB1876" s="2477"/>
      <c r="OSC1876" s="2477"/>
      <c r="OSD1876" s="2477"/>
      <c r="OSE1876" s="2477"/>
      <c r="OSF1876" s="2477"/>
      <c r="OSG1876" s="2477"/>
      <c r="OSH1876" s="2477"/>
      <c r="OSI1876" s="2477"/>
      <c r="OSJ1876" s="2477"/>
      <c r="OSK1876" s="2477"/>
      <c r="OSL1876" s="2477"/>
      <c r="OSM1876" s="2477"/>
      <c r="OSN1876" s="2477"/>
      <c r="OSO1876" s="2477"/>
      <c r="OSP1876" s="2477"/>
      <c r="OSQ1876" s="2477"/>
      <c r="OSR1876" s="2477"/>
      <c r="OSS1876" s="2477"/>
      <c r="OST1876" s="2477"/>
      <c r="OSU1876" s="2477"/>
      <c r="OSV1876" s="2477"/>
      <c r="OSW1876" s="2477"/>
      <c r="OSX1876" s="2477"/>
      <c r="OSY1876" s="2477"/>
      <c r="OSZ1876" s="2477"/>
      <c r="OTA1876" s="2477"/>
      <c r="OTB1876" s="2477"/>
      <c r="OTC1876" s="2477"/>
      <c r="OTD1876" s="2477"/>
      <c r="OTE1876" s="2477"/>
      <c r="OTF1876" s="2477"/>
      <c r="OTG1876" s="2477"/>
      <c r="OTH1876" s="2477"/>
      <c r="OTI1876" s="2477"/>
      <c r="OTJ1876" s="2477"/>
      <c r="OTK1876" s="2477"/>
      <c r="OTL1876" s="2477"/>
      <c r="OTM1876" s="2477"/>
      <c r="OTN1876" s="2477"/>
      <c r="OTO1876" s="2477"/>
      <c r="OTP1876" s="2477"/>
      <c r="OTQ1876" s="2477"/>
      <c r="OTR1876" s="2477"/>
      <c r="OTS1876" s="2477"/>
      <c r="OTT1876" s="2477"/>
      <c r="OTU1876" s="2477"/>
      <c r="OTV1876" s="2477"/>
      <c r="OTW1876" s="2477"/>
      <c r="OTX1876" s="2477"/>
      <c r="OTY1876" s="2477"/>
      <c r="OTZ1876" s="2477"/>
      <c r="OUA1876" s="2477"/>
      <c r="OUB1876" s="2477"/>
      <c r="OUC1876" s="2477"/>
      <c r="OUD1876" s="2477"/>
      <c r="OUE1876" s="2477"/>
      <c r="OUF1876" s="2477"/>
      <c r="OUG1876" s="2477"/>
      <c r="OUH1876" s="2477"/>
      <c r="OUI1876" s="2477"/>
      <c r="OUJ1876" s="2477"/>
      <c r="OUK1876" s="2477"/>
      <c r="OUL1876" s="2477"/>
      <c r="OUM1876" s="2477"/>
      <c r="OUN1876" s="2477"/>
      <c r="OUO1876" s="2477"/>
      <c r="OUP1876" s="2477"/>
      <c r="OUQ1876" s="2477"/>
      <c r="OUR1876" s="2477"/>
      <c r="OUS1876" s="2477"/>
      <c r="OUT1876" s="2477"/>
      <c r="OUU1876" s="2477"/>
      <c r="OUV1876" s="2477"/>
      <c r="OUW1876" s="2477"/>
      <c r="OUX1876" s="2477"/>
      <c r="OUY1876" s="2477"/>
      <c r="OUZ1876" s="2477"/>
      <c r="OVA1876" s="2477"/>
      <c r="OVB1876" s="2477"/>
      <c r="OVC1876" s="2477"/>
      <c r="OVD1876" s="2477"/>
      <c r="OVE1876" s="2477"/>
      <c r="OVF1876" s="2477"/>
      <c r="OVG1876" s="2477"/>
      <c r="OVH1876" s="2477"/>
      <c r="OVI1876" s="2477"/>
      <c r="OVJ1876" s="2477"/>
      <c r="OVK1876" s="2477"/>
      <c r="OVL1876" s="2477"/>
      <c r="OVM1876" s="2477"/>
      <c r="OVN1876" s="2477"/>
      <c r="OVO1876" s="2477"/>
      <c r="OVP1876" s="2477"/>
      <c r="OVQ1876" s="2477"/>
      <c r="OVR1876" s="2477"/>
      <c r="OVS1876" s="2477"/>
      <c r="OVT1876" s="2477"/>
      <c r="OVU1876" s="2477"/>
      <c r="OVV1876" s="2477"/>
      <c r="OVW1876" s="2477"/>
      <c r="OVX1876" s="2477"/>
      <c r="OVY1876" s="2477"/>
      <c r="OVZ1876" s="2477"/>
      <c r="OWA1876" s="2477"/>
      <c r="OWB1876" s="2477"/>
      <c r="OWC1876" s="2477"/>
      <c r="OWD1876" s="2477"/>
      <c r="OWE1876" s="2477"/>
      <c r="OWF1876" s="2477"/>
      <c r="OWG1876" s="2477"/>
      <c r="OWH1876" s="2477"/>
      <c r="OWI1876" s="2477"/>
      <c r="OWJ1876" s="2477"/>
      <c r="OWK1876" s="2477"/>
      <c r="OWL1876" s="2477"/>
      <c r="OWM1876" s="2477"/>
      <c r="OWN1876" s="2477"/>
      <c r="OWO1876" s="2477"/>
      <c r="OWP1876" s="2477"/>
      <c r="OWQ1876" s="2477"/>
      <c r="OWR1876" s="2477"/>
      <c r="OWS1876" s="2477"/>
      <c r="OWT1876" s="2477"/>
      <c r="OWU1876" s="2477"/>
      <c r="OWV1876" s="2477"/>
      <c r="OWW1876" s="2477"/>
      <c r="OWX1876" s="2477"/>
      <c r="OWY1876" s="2477"/>
      <c r="OWZ1876" s="2477"/>
      <c r="OXA1876" s="2477"/>
      <c r="OXB1876" s="2477"/>
      <c r="OXC1876" s="2477"/>
      <c r="OXD1876" s="2477"/>
      <c r="OXE1876" s="2477"/>
      <c r="OXF1876" s="2477"/>
      <c r="OXG1876" s="2477"/>
      <c r="OXH1876" s="2477"/>
      <c r="OXI1876" s="2477"/>
      <c r="OXJ1876" s="2477"/>
      <c r="OXK1876" s="2477"/>
      <c r="OXL1876" s="2477"/>
      <c r="OXM1876" s="2477"/>
      <c r="OXN1876" s="2477"/>
      <c r="OXO1876" s="2477"/>
      <c r="OXP1876" s="2477"/>
      <c r="OXQ1876" s="2477"/>
      <c r="OXR1876" s="2477"/>
      <c r="OXS1876" s="2477"/>
      <c r="OXT1876" s="2477"/>
      <c r="OXU1876" s="2477"/>
      <c r="OXV1876" s="2477"/>
      <c r="OXW1876" s="2477"/>
      <c r="OXX1876" s="2477"/>
      <c r="OXY1876" s="2477"/>
      <c r="OXZ1876" s="2477"/>
      <c r="OYA1876" s="2477"/>
      <c r="OYB1876" s="2477"/>
      <c r="OYC1876" s="2477"/>
      <c r="OYD1876" s="2477"/>
      <c r="OYE1876" s="2477"/>
      <c r="OYF1876" s="2477"/>
      <c r="OYG1876" s="2477"/>
      <c r="OYH1876" s="2477"/>
      <c r="OYI1876" s="2477"/>
      <c r="OYJ1876" s="2477"/>
      <c r="OYK1876" s="2477"/>
      <c r="OYL1876" s="2477"/>
      <c r="OYM1876" s="2477"/>
      <c r="OYN1876" s="2477"/>
      <c r="OYO1876" s="2477"/>
      <c r="OYP1876" s="2477"/>
      <c r="OYQ1876" s="2477"/>
      <c r="OYR1876" s="2477"/>
      <c r="OYS1876" s="2477"/>
      <c r="OYT1876" s="2477"/>
      <c r="OYU1876" s="2477"/>
      <c r="OYV1876" s="2477"/>
      <c r="OYW1876" s="2477"/>
      <c r="OYX1876" s="2477"/>
      <c r="OYY1876" s="2477"/>
      <c r="OYZ1876" s="2477"/>
      <c r="OZA1876" s="2477"/>
      <c r="OZB1876" s="2477"/>
      <c r="OZC1876" s="2477"/>
      <c r="OZD1876" s="2477"/>
      <c r="OZE1876" s="2477"/>
      <c r="OZF1876" s="2477"/>
      <c r="OZG1876" s="2477"/>
      <c r="OZH1876" s="2477"/>
      <c r="OZI1876" s="2477"/>
      <c r="OZJ1876" s="2477"/>
      <c r="OZK1876" s="2477"/>
      <c r="OZL1876" s="2477"/>
      <c r="OZM1876" s="2477"/>
      <c r="OZN1876" s="2477"/>
      <c r="OZO1876" s="2477"/>
      <c r="OZP1876" s="2477"/>
      <c r="OZQ1876" s="2477"/>
      <c r="OZR1876" s="2477"/>
      <c r="OZS1876" s="2477"/>
      <c r="OZT1876" s="2477"/>
      <c r="OZU1876" s="2477"/>
      <c r="OZV1876" s="2477"/>
      <c r="OZW1876" s="2477"/>
      <c r="OZX1876" s="2477"/>
      <c r="OZY1876" s="2477"/>
      <c r="OZZ1876" s="2477"/>
      <c r="PAA1876" s="2477"/>
      <c r="PAB1876" s="2477"/>
      <c r="PAC1876" s="2477"/>
      <c r="PAD1876" s="2477"/>
      <c r="PAE1876" s="2477"/>
      <c r="PAF1876" s="2477"/>
      <c r="PAG1876" s="2477"/>
      <c r="PAH1876" s="2477"/>
      <c r="PAI1876" s="2477"/>
      <c r="PAJ1876" s="2477"/>
      <c r="PAK1876" s="2477"/>
      <c r="PAL1876" s="2477"/>
      <c r="PAM1876" s="2477"/>
      <c r="PAN1876" s="2477"/>
      <c r="PAO1876" s="2477"/>
      <c r="PAP1876" s="2477"/>
      <c r="PAQ1876" s="2477"/>
      <c r="PAR1876" s="2477"/>
      <c r="PAS1876" s="2477"/>
      <c r="PAT1876" s="2477"/>
      <c r="PAU1876" s="2477"/>
      <c r="PAV1876" s="2477"/>
      <c r="PAW1876" s="2477"/>
      <c r="PAX1876" s="2477"/>
      <c r="PAY1876" s="2477"/>
      <c r="PAZ1876" s="2477"/>
      <c r="PBA1876" s="2477"/>
      <c r="PBB1876" s="2477"/>
      <c r="PBC1876" s="2477"/>
      <c r="PBD1876" s="2477"/>
      <c r="PBE1876" s="2477"/>
      <c r="PBF1876" s="2477"/>
      <c r="PBG1876" s="2477"/>
      <c r="PBH1876" s="2477"/>
      <c r="PBI1876" s="2477"/>
      <c r="PBJ1876" s="2477"/>
      <c r="PBK1876" s="2477"/>
      <c r="PBL1876" s="2477"/>
      <c r="PBM1876" s="2477"/>
      <c r="PBN1876" s="2477"/>
      <c r="PBO1876" s="2477"/>
      <c r="PBP1876" s="2477"/>
      <c r="PBQ1876" s="2477"/>
      <c r="PBR1876" s="2477"/>
      <c r="PBS1876" s="2477"/>
      <c r="PBT1876" s="2477"/>
      <c r="PBU1876" s="2477"/>
      <c r="PBV1876" s="2477"/>
      <c r="PBW1876" s="2477"/>
      <c r="PBX1876" s="2477"/>
      <c r="PBY1876" s="2477"/>
      <c r="PBZ1876" s="2477"/>
      <c r="PCA1876" s="2477"/>
      <c r="PCB1876" s="2477"/>
      <c r="PCC1876" s="2477"/>
      <c r="PCD1876" s="2477"/>
      <c r="PCE1876" s="2477"/>
      <c r="PCF1876" s="2477"/>
      <c r="PCG1876" s="2477"/>
      <c r="PCH1876" s="2477"/>
      <c r="PCI1876" s="2477"/>
      <c r="PCJ1876" s="2477"/>
      <c r="PCK1876" s="2477"/>
      <c r="PCL1876" s="2477"/>
      <c r="PCM1876" s="2477"/>
      <c r="PCN1876" s="2477"/>
      <c r="PCO1876" s="2477"/>
      <c r="PCP1876" s="2477"/>
      <c r="PCQ1876" s="2477"/>
      <c r="PCR1876" s="2477"/>
      <c r="PCS1876" s="2477"/>
      <c r="PCT1876" s="2477"/>
      <c r="PCU1876" s="2477"/>
      <c r="PCV1876" s="2477"/>
      <c r="PCW1876" s="2477"/>
      <c r="PCX1876" s="2477"/>
      <c r="PCY1876" s="2477"/>
      <c r="PCZ1876" s="2477"/>
      <c r="PDA1876" s="2477"/>
      <c r="PDB1876" s="2477"/>
      <c r="PDC1876" s="2477"/>
      <c r="PDD1876" s="2477"/>
      <c r="PDE1876" s="2477"/>
      <c r="PDF1876" s="2477"/>
      <c r="PDG1876" s="2477"/>
      <c r="PDH1876" s="2477"/>
      <c r="PDI1876" s="2477"/>
      <c r="PDJ1876" s="2477"/>
      <c r="PDK1876" s="2477"/>
      <c r="PDL1876" s="2477"/>
      <c r="PDM1876" s="2477"/>
      <c r="PDN1876" s="2477"/>
      <c r="PDO1876" s="2477"/>
      <c r="PDP1876" s="2477"/>
      <c r="PDQ1876" s="2477"/>
      <c r="PDR1876" s="2477"/>
      <c r="PDS1876" s="2477"/>
      <c r="PDT1876" s="2477"/>
      <c r="PDU1876" s="2477"/>
      <c r="PDV1876" s="2477"/>
      <c r="PDW1876" s="2477"/>
      <c r="PDX1876" s="2477"/>
      <c r="PDY1876" s="2477"/>
      <c r="PDZ1876" s="2477"/>
      <c r="PEA1876" s="2477"/>
      <c r="PEB1876" s="2477"/>
      <c r="PEC1876" s="2477"/>
      <c r="PED1876" s="2477"/>
      <c r="PEE1876" s="2477"/>
      <c r="PEF1876" s="2477"/>
      <c r="PEG1876" s="2477"/>
      <c r="PEH1876" s="2477"/>
      <c r="PEI1876" s="2477"/>
      <c r="PEJ1876" s="2477"/>
      <c r="PEK1876" s="2477"/>
      <c r="PEL1876" s="2477"/>
      <c r="PEM1876" s="2477"/>
      <c r="PEN1876" s="2477"/>
      <c r="PEO1876" s="2477"/>
      <c r="PEP1876" s="2477"/>
      <c r="PEQ1876" s="2477"/>
      <c r="PER1876" s="2477"/>
      <c r="PES1876" s="2477"/>
      <c r="PET1876" s="2477"/>
      <c r="PEU1876" s="2477"/>
      <c r="PEV1876" s="2477"/>
      <c r="PEW1876" s="2477"/>
      <c r="PEX1876" s="2477"/>
      <c r="PEY1876" s="2477"/>
      <c r="PEZ1876" s="2477"/>
      <c r="PFA1876" s="2477"/>
      <c r="PFB1876" s="2477"/>
      <c r="PFC1876" s="2477"/>
      <c r="PFD1876" s="2477"/>
      <c r="PFE1876" s="2477"/>
      <c r="PFF1876" s="2477"/>
      <c r="PFG1876" s="2477"/>
      <c r="PFH1876" s="2477"/>
      <c r="PFI1876" s="2477"/>
      <c r="PFJ1876" s="2477"/>
      <c r="PFK1876" s="2477"/>
      <c r="PFL1876" s="2477"/>
      <c r="PFM1876" s="2477"/>
      <c r="PFN1876" s="2477"/>
      <c r="PFO1876" s="2477"/>
      <c r="PFP1876" s="2477"/>
      <c r="PFQ1876" s="2477"/>
      <c r="PFR1876" s="2477"/>
      <c r="PFS1876" s="2477"/>
      <c r="PFT1876" s="2477"/>
      <c r="PFU1876" s="2477"/>
      <c r="PFV1876" s="2477"/>
      <c r="PFW1876" s="2477"/>
      <c r="PFX1876" s="2477"/>
      <c r="PFY1876" s="2477"/>
      <c r="PFZ1876" s="2477"/>
      <c r="PGA1876" s="2477"/>
      <c r="PGB1876" s="2477"/>
      <c r="PGC1876" s="2477"/>
      <c r="PGD1876" s="2477"/>
      <c r="PGE1876" s="2477"/>
      <c r="PGF1876" s="2477"/>
      <c r="PGG1876" s="2477"/>
      <c r="PGH1876" s="2477"/>
      <c r="PGI1876" s="2477"/>
      <c r="PGJ1876" s="2477"/>
      <c r="PGK1876" s="2477"/>
      <c r="PGL1876" s="2477"/>
      <c r="PGM1876" s="2477"/>
      <c r="PGN1876" s="2477"/>
      <c r="PGO1876" s="2477"/>
      <c r="PGP1876" s="2477"/>
      <c r="PGQ1876" s="2477"/>
      <c r="PGR1876" s="2477"/>
      <c r="PGS1876" s="2477"/>
      <c r="PGT1876" s="2477"/>
      <c r="PGU1876" s="2477"/>
      <c r="PGV1876" s="2477"/>
      <c r="PGW1876" s="2477"/>
      <c r="PGX1876" s="2477"/>
      <c r="PGY1876" s="2477"/>
      <c r="PGZ1876" s="2477"/>
      <c r="PHA1876" s="2477"/>
      <c r="PHB1876" s="2477"/>
      <c r="PHC1876" s="2477"/>
      <c r="PHD1876" s="2477"/>
      <c r="PHE1876" s="2477"/>
      <c r="PHF1876" s="2477"/>
      <c r="PHG1876" s="2477"/>
      <c r="PHH1876" s="2477"/>
      <c r="PHI1876" s="2477"/>
      <c r="PHJ1876" s="2477"/>
      <c r="PHK1876" s="2477"/>
      <c r="PHL1876" s="2477"/>
      <c r="PHM1876" s="2477"/>
      <c r="PHN1876" s="2477"/>
      <c r="PHO1876" s="2477"/>
      <c r="PHP1876" s="2477"/>
      <c r="PHQ1876" s="2477"/>
      <c r="PHR1876" s="2477"/>
      <c r="PHS1876" s="2477"/>
      <c r="PHT1876" s="2477"/>
      <c r="PHU1876" s="2477"/>
      <c r="PHV1876" s="2477"/>
      <c r="PHW1876" s="2477"/>
      <c r="PHX1876" s="2477"/>
      <c r="PHY1876" s="2477"/>
      <c r="PHZ1876" s="2477"/>
      <c r="PIA1876" s="2477"/>
      <c r="PIB1876" s="2477"/>
      <c r="PIC1876" s="2477"/>
      <c r="PID1876" s="2477"/>
      <c r="PIE1876" s="2477"/>
      <c r="PIF1876" s="2477"/>
      <c r="PIG1876" s="2477"/>
      <c r="PIH1876" s="2477"/>
      <c r="PII1876" s="2477"/>
      <c r="PIJ1876" s="2477"/>
      <c r="PIK1876" s="2477"/>
      <c r="PIL1876" s="2477"/>
      <c r="PIM1876" s="2477"/>
      <c r="PIN1876" s="2477"/>
      <c r="PIO1876" s="2477"/>
      <c r="PIP1876" s="2477"/>
      <c r="PIQ1876" s="2477"/>
      <c r="PIR1876" s="2477"/>
      <c r="PIS1876" s="2477"/>
      <c r="PIT1876" s="2477"/>
      <c r="PIU1876" s="2477"/>
      <c r="PIV1876" s="2477"/>
      <c r="PIW1876" s="2477"/>
      <c r="PIX1876" s="2477"/>
      <c r="PIY1876" s="2477"/>
      <c r="PIZ1876" s="2477"/>
      <c r="PJA1876" s="2477"/>
      <c r="PJB1876" s="2477"/>
      <c r="PJC1876" s="2477"/>
      <c r="PJD1876" s="2477"/>
      <c r="PJE1876" s="2477"/>
      <c r="PJF1876" s="2477"/>
      <c r="PJG1876" s="2477"/>
      <c r="PJH1876" s="2477"/>
      <c r="PJI1876" s="2477"/>
      <c r="PJJ1876" s="2477"/>
      <c r="PJK1876" s="2477"/>
      <c r="PJL1876" s="2477"/>
      <c r="PJM1876" s="2477"/>
      <c r="PJN1876" s="2477"/>
      <c r="PJO1876" s="2477"/>
      <c r="PJP1876" s="2477"/>
      <c r="PJQ1876" s="2477"/>
      <c r="PJR1876" s="2477"/>
      <c r="PJS1876" s="2477"/>
      <c r="PJT1876" s="2477"/>
      <c r="PJU1876" s="2477"/>
      <c r="PJV1876" s="2477"/>
      <c r="PJW1876" s="2477"/>
      <c r="PJX1876" s="2477"/>
      <c r="PJY1876" s="2477"/>
      <c r="PJZ1876" s="2477"/>
      <c r="PKA1876" s="2477"/>
      <c r="PKB1876" s="2477"/>
      <c r="PKC1876" s="2477"/>
      <c r="PKD1876" s="2477"/>
      <c r="PKE1876" s="2477"/>
      <c r="PKF1876" s="2477"/>
      <c r="PKG1876" s="2477"/>
      <c r="PKH1876" s="2477"/>
      <c r="PKI1876" s="2477"/>
      <c r="PKJ1876" s="2477"/>
      <c r="PKK1876" s="2477"/>
      <c r="PKL1876" s="2477"/>
      <c r="PKM1876" s="2477"/>
      <c r="PKN1876" s="2477"/>
      <c r="PKO1876" s="2477"/>
      <c r="PKP1876" s="2477"/>
      <c r="PKQ1876" s="2477"/>
      <c r="PKR1876" s="2477"/>
      <c r="PKS1876" s="2477"/>
      <c r="PKT1876" s="2477"/>
      <c r="PKU1876" s="2477"/>
      <c r="PKV1876" s="2477"/>
      <c r="PKW1876" s="2477"/>
      <c r="PKX1876" s="2477"/>
      <c r="PKY1876" s="2477"/>
      <c r="PKZ1876" s="2477"/>
      <c r="PLA1876" s="2477"/>
      <c r="PLB1876" s="2477"/>
      <c r="PLC1876" s="2477"/>
      <c r="PLD1876" s="2477"/>
      <c r="PLE1876" s="2477"/>
      <c r="PLF1876" s="2477"/>
      <c r="PLG1876" s="2477"/>
      <c r="PLH1876" s="2477"/>
      <c r="PLI1876" s="2477"/>
      <c r="PLJ1876" s="2477"/>
      <c r="PLK1876" s="2477"/>
      <c r="PLL1876" s="2477"/>
      <c r="PLM1876" s="2477"/>
      <c r="PLN1876" s="2477"/>
      <c r="PLO1876" s="2477"/>
      <c r="PLP1876" s="2477"/>
      <c r="PLQ1876" s="2477"/>
      <c r="PLR1876" s="2477"/>
      <c r="PLS1876" s="2477"/>
      <c r="PLT1876" s="2477"/>
      <c r="PLU1876" s="2477"/>
      <c r="PLV1876" s="2477"/>
      <c r="PLW1876" s="2477"/>
      <c r="PLX1876" s="2477"/>
      <c r="PLY1876" s="2477"/>
      <c r="PLZ1876" s="2477"/>
      <c r="PMA1876" s="2477"/>
      <c r="PMB1876" s="2477"/>
      <c r="PMC1876" s="2477"/>
      <c r="PMD1876" s="2477"/>
      <c r="PME1876" s="2477"/>
      <c r="PMF1876" s="2477"/>
      <c r="PMG1876" s="2477"/>
      <c r="PMH1876" s="2477"/>
      <c r="PMI1876" s="2477"/>
      <c r="PMJ1876" s="2477"/>
      <c r="PMK1876" s="2477"/>
      <c r="PML1876" s="2477"/>
      <c r="PMM1876" s="2477"/>
      <c r="PMN1876" s="2477"/>
      <c r="PMO1876" s="2477"/>
      <c r="PMP1876" s="2477"/>
      <c r="PMQ1876" s="2477"/>
      <c r="PMR1876" s="2477"/>
      <c r="PMS1876" s="2477"/>
      <c r="PMT1876" s="2477"/>
      <c r="PMU1876" s="2477"/>
      <c r="PMV1876" s="2477"/>
      <c r="PMW1876" s="2477"/>
      <c r="PMX1876" s="2477"/>
      <c r="PMY1876" s="2477"/>
      <c r="PMZ1876" s="2477"/>
      <c r="PNA1876" s="2477"/>
      <c r="PNB1876" s="2477"/>
      <c r="PNC1876" s="2477"/>
      <c r="PND1876" s="2477"/>
      <c r="PNE1876" s="2477"/>
      <c r="PNF1876" s="2477"/>
      <c r="PNG1876" s="2477"/>
      <c r="PNH1876" s="2477"/>
      <c r="PNI1876" s="2477"/>
      <c r="PNJ1876" s="2477"/>
      <c r="PNK1876" s="2477"/>
      <c r="PNL1876" s="2477"/>
      <c r="PNM1876" s="2477"/>
      <c r="PNN1876" s="2477"/>
      <c r="PNO1876" s="2477"/>
      <c r="PNP1876" s="2477"/>
      <c r="PNQ1876" s="2477"/>
      <c r="PNR1876" s="2477"/>
      <c r="PNS1876" s="2477"/>
      <c r="PNT1876" s="2477"/>
      <c r="PNU1876" s="2477"/>
      <c r="PNV1876" s="2477"/>
      <c r="PNW1876" s="2477"/>
      <c r="PNX1876" s="2477"/>
      <c r="PNY1876" s="2477"/>
      <c r="PNZ1876" s="2477"/>
      <c r="POA1876" s="2477"/>
      <c r="POB1876" s="2477"/>
      <c r="POC1876" s="2477"/>
      <c r="POD1876" s="2477"/>
      <c r="POE1876" s="2477"/>
      <c r="POF1876" s="2477"/>
      <c r="POG1876" s="2477"/>
      <c r="POH1876" s="2477"/>
      <c r="POI1876" s="2477"/>
      <c r="POJ1876" s="2477"/>
      <c r="POK1876" s="2477"/>
      <c r="POL1876" s="2477"/>
      <c r="POM1876" s="2477"/>
      <c r="PON1876" s="2477"/>
      <c r="POO1876" s="2477"/>
      <c r="POP1876" s="2477"/>
      <c r="POQ1876" s="2477"/>
      <c r="POR1876" s="2477"/>
      <c r="POS1876" s="2477"/>
      <c r="POT1876" s="2477"/>
      <c r="POU1876" s="2477"/>
      <c r="POV1876" s="2477"/>
      <c r="POW1876" s="2477"/>
      <c r="POX1876" s="2477"/>
      <c r="POY1876" s="2477"/>
      <c r="POZ1876" s="2477"/>
      <c r="PPA1876" s="2477"/>
      <c r="PPB1876" s="2477"/>
      <c r="PPC1876" s="2477"/>
      <c r="PPD1876" s="2477"/>
      <c r="PPE1876" s="2477"/>
      <c r="PPF1876" s="2477"/>
      <c r="PPG1876" s="2477"/>
      <c r="PPH1876" s="2477"/>
      <c r="PPI1876" s="2477"/>
      <c r="PPJ1876" s="2477"/>
      <c r="PPK1876" s="2477"/>
      <c r="PPL1876" s="2477"/>
      <c r="PPM1876" s="2477"/>
      <c r="PPN1876" s="2477"/>
      <c r="PPO1876" s="2477"/>
      <c r="PPP1876" s="2477"/>
      <c r="PPQ1876" s="2477"/>
      <c r="PPR1876" s="2477"/>
      <c r="PPS1876" s="2477"/>
      <c r="PPT1876" s="2477"/>
      <c r="PPU1876" s="2477"/>
      <c r="PPV1876" s="2477"/>
      <c r="PPW1876" s="2477"/>
      <c r="PPX1876" s="2477"/>
      <c r="PPY1876" s="2477"/>
      <c r="PPZ1876" s="2477"/>
      <c r="PQA1876" s="2477"/>
      <c r="PQB1876" s="2477"/>
      <c r="PQC1876" s="2477"/>
      <c r="PQD1876" s="2477"/>
      <c r="PQE1876" s="2477"/>
      <c r="PQF1876" s="2477"/>
      <c r="PQG1876" s="2477"/>
      <c r="PQH1876" s="2477"/>
      <c r="PQI1876" s="2477"/>
      <c r="PQJ1876" s="2477"/>
      <c r="PQK1876" s="2477"/>
      <c r="PQL1876" s="2477"/>
      <c r="PQM1876" s="2477"/>
      <c r="PQN1876" s="2477"/>
      <c r="PQO1876" s="2477"/>
      <c r="PQP1876" s="2477"/>
      <c r="PQQ1876" s="2477"/>
      <c r="PQR1876" s="2477"/>
      <c r="PQS1876" s="2477"/>
      <c r="PQT1876" s="2477"/>
      <c r="PQU1876" s="2477"/>
      <c r="PQV1876" s="2477"/>
      <c r="PQW1876" s="2477"/>
      <c r="PQX1876" s="2477"/>
      <c r="PQY1876" s="2477"/>
      <c r="PQZ1876" s="2477"/>
      <c r="PRA1876" s="2477"/>
      <c r="PRB1876" s="2477"/>
      <c r="PRC1876" s="2477"/>
      <c r="PRD1876" s="2477"/>
      <c r="PRE1876" s="2477"/>
      <c r="PRF1876" s="2477"/>
      <c r="PRG1876" s="2477"/>
      <c r="PRH1876" s="2477"/>
      <c r="PRI1876" s="2477"/>
      <c r="PRJ1876" s="2477"/>
      <c r="PRK1876" s="2477"/>
      <c r="PRL1876" s="2477"/>
      <c r="PRM1876" s="2477"/>
      <c r="PRN1876" s="2477"/>
      <c r="PRO1876" s="2477"/>
      <c r="PRP1876" s="2477"/>
      <c r="PRQ1876" s="2477"/>
      <c r="PRR1876" s="2477"/>
      <c r="PRS1876" s="2477"/>
      <c r="PRT1876" s="2477"/>
      <c r="PRU1876" s="2477"/>
      <c r="PRV1876" s="2477"/>
      <c r="PRW1876" s="2477"/>
      <c r="PRX1876" s="2477"/>
      <c r="PRY1876" s="2477"/>
      <c r="PRZ1876" s="2477"/>
      <c r="PSA1876" s="2477"/>
      <c r="PSB1876" s="2477"/>
      <c r="PSC1876" s="2477"/>
      <c r="PSD1876" s="2477"/>
      <c r="PSE1876" s="2477"/>
      <c r="PSF1876" s="2477"/>
      <c r="PSG1876" s="2477"/>
      <c r="PSH1876" s="2477"/>
      <c r="PSI1876" s="2477"/>
      <c r="PSJ1876" s="2477"/>
      <c r="PSK1876" s="2477"/>
      <c r="PSL1876" s="2477"/>
      <c r="PSM1876" s="2477"/>
      <c r="PSN1876" s="2477"/>
      <c r="PSO1876" s="2477"/>
      <c r="PSP1876" s="2477"/>
      <c r="PSQ1876" s="2477"/>
      <c r="PSR1876" s="2477"/>
      <c r="PSS1876" s="2477"/>
      <c r="PST1876" s="2477"/>
      <c r="PSU1876" s="2477"/>
      <c r="PSV1876" s="2477"/>
      <c r="PSW1876" s="2477"/>
      <c r="PSX1876" s="2477"/>
      <c r="PSY1876" s="2477"/>
      <c r="PSZ1876" s="2477"/>
      <c r="PTA1876" s="2477"/>
      <c r="PTB1876" s="2477"/>
      <c r="PTC1876" s="2477"/>
      <c r="PTD1876" s="2477"/>
      <c r="PTE1876" s="2477"/>
      <c r="PTF1876" s="2477"/>
      <c r="PTG1876" s="2477"/>
      <c r="PTH1876" s="2477"/>
      <c r="PTI1876" s="2477"/>
      <c r="PTJ1876" s="2477"/>
      <c r="PTK1876" s="2477"/>
      <c r="PTL1876" s="2477"/>
      <c r="PTM1876" s="2477"/>
      <c r="PTN1876" s="2477"/>
      <c r="PTO1876" s="2477"/>
      <c r="PTP1876" s="2477"/>
      <c r="PTQ1876" s="2477"/>
      <c r="PTR1876" s="2477"/>
      <c r="PTS1876" s="2477"/>
      <c r="PTT1876" s="2477"/>
      <c r="PTU1876" s="2477"/>
      <c r="PTV1876" s="2477"/>
      <c r="PTW1876" s="2477"/>
      <c r="PTX1876" s="2477"/>
      <c r="PTY1876" s="2477"/>
      <c r="PTZ1876" s="2477"/>
      <c r="PUA1876" s="2477"/>
      <c r="PUB1876" s="2477"/>
      <c r="PUC1876" s="2477"/>
      <c r="PUD1876" s="2477"/>
      <c r="PUE1876" s="2477"/>
      <c r="PUF1876" s="2477"/>
      <c r="PUG1876" s="2477"/>
      <c r="PUH1876" s="2477"/>
      <c r="PUI1876" s="2477"/>
      <c r="PUJ1876" s="2477"/>
      <c r="PUK1876" s="2477"/>
      <c r="PUL1876" s="2477"/>
      <c r="PUM1876" s="2477"/>
      <c r="PUN1876" s="2477"/>
      <c r="PUO1876" s="2477"/>
      <c r="PUP1876" s="2477"/>
      <c r="PUQ1876" s="2477"/>
      <c r="PUR1876" s="2477"/>
      <c r="PUS1876" s="2477"/>
      <c r="PUT1876" s="2477"/>
      <c r="PUU1876" s="2477"/>
      <c r="PUV1876" s="2477"/>
      <c r="PUW1876" s="2477"/>
      <c r="PUX1876" s="2477"/>
      <c r="PUY1876" s="2477"/>
      <c r="PUZ1876" s="2477"/>
      <c r="PVA1876" s="2477"/>
      <c r="PVB1876" s="2477"/>
      <c r="PVC1876" s="2477"/>
      <c r="PVD1876" s="2477"/>
      <c r="PVE1876" s="2477"/>
      <c r="PVF1876" s="2477"/>
      <c r="PVG1876" s="2477"/>
      <c r="PVH1876" s="2477"/>
      <c r="PVI1876" s="2477"/>
      <c r="PVJ1876" s="2477"/>
      <c r="PVK1876" s="2477"/>
      <c r="PVL1876" s="2477"/>
      <c r="PVM1876" s="2477"/>
      <c r="PVN1876" s="2477"/>
      <c r="PVO1876" s="2477"/>
      <c r="PVP1876" s="2477"/>
      <c r="PVQ1876" s="2477"/>
      <c r="PVR1876" s="2477"/>
      <c r="PVS1876" s="2477"/>
      <c r="PVT1876" s="2477"/>
      <c r="PVU1876" s="2477"/>
      <c r="PVV1876" s="2477"/>
      <c r="PVW1876" s="2477"/>
      <c r="PVX1876" s="2477"/>
      <c r="PVY1876" s="2477"/>
      <c r="PVZ1876" s="2477"/>
      <c r="PWA1876" s="2477"/>
      <c r="PWB1876" s="2477"/>
      <c r="PWC1876" s="2477"/>
      <c r="PWD1876" s="2477"/>
      <c r="PWE1876" s="2477"/>
      <c r="PWF1876" s="2477"/>
      <c r="PWG1876" s="2477"/>
      <c r="PWH1876" s="2477"/>
      <c r="PWI1876" s="2477"/>
      <c r="PWJ1876" s="2477"/>
      <c r="PWK1876" s="2477"/>
      <c r="PWL1876" s="2477"/>
      <c r="PWM1876" s="2477"/>
      <c r="PWN1876" s="2477"/>
      <c r="PWO1876" s="2477"/>
      <c r="PWP1876" s="2477"/>
      <c r="PWQ1876" s="2477"/>
      <c r="PWR1876" s="2477"/>
      <c r="PWS1876" s="2477"/>
      <c r="PWT1876" s="2477"/>
      <c r="PWU1876" s="2477"/>
      <c r="PWV1876" s="2477"/>
      <c r="PWW1876" s="2477"/>
      <c r="PWX1876" s="2477"/>
      <c r="PWY1876" s="2477"/>
      <c r="PWZ1876" s="2477"/>
      <c r="PXA1876" s="2477"/>
      <c r="PXB1876" s="2477"/>
      <c r="PXC1876" s="2477"/>
      <c r="PXD1876" s="2477"/>
      <c r="PXE1876" s="2477"/>
      <c r="PXF1876" s="2477"/>
      <c r="PXG1876" s="2477"/>
      <c r="PXH1876" s="2477"/>
      <c r="PXI1876" s="2477"/>
      <c r="PXJ1876" s="2477"/>
      <c r="PXK1876" s="2477"/>
      <c r="PXL1876" s="2477"/>
      <c r="PXM1876" s="2477"/>
      <c r="PXN1876" s="2477"/>
      <c r="PXO1876" s="2477"/>
      <c r="PXP1876" s="2477"/>
      <c r="PXQ1876" s="2477"/>
      <c r="PXR1876" s="2477"/>
      <c r="PXS1876" s="2477"/>
      <c r="PXT1876" s="2477"/>
      <c r="PXU1876" s="2477"/>
      <c r="PXV1876" s="2477"/>
      <c r="PXW1876" s="2477"/>
      <c r="PXX1876" s="2477"/>
      <c r="PXY1876" s="2477"/>
      <c r="PXZ1876" s="2477"/>
      <c r="PYA1876" s="2477"/>
      <c r="PYB1876" s="2477"/>
      <c r="PYC1876" s="2477"/>
      <c r="PYD1876" s="2477"/>
      <c r="PYE1876" s="2477"/>
      <c r="PYF1876" s="2477"/>
      <c r="PYG1876" s="2477"/>
      <c r="PYH1876" s="2477"/>
      <c r="PYI1876" s="2477"/>
      <c r="PYJ1876" s="2477"/>
      <c r="PYK1876" s="2477"/>
      <c r="PYL1876" s="2477"/>
      <c r="PYM1876" s="2477"/>
      <c r="PYN1876" s="2477"/>
      <c r="PYO1876" s="2477"/>
      <c r="PYP1876" s="2477"/>
      <c r="PYQ1876" s="2477"/>
      <c r="PYR1876" s="2477"/>
      <c r="PYS1876" s="2477"/>
      <c r="PYT1876" s="2477"/>
      <c r="PYU1876" s="2477"/>
      <c r="PYV1876" s="2477"/>
      <c r="PYW1876" s="2477"/>
      <c r="PYX1876" s="2477"/>
      <c r="PYY1876" s="2477"/>
      <c r="PYZ1876" s="2477"/>
      <c r="PZA1876" s="2477"/>
      <c r="PZB1876" s="2477"/>
      <c r="PZC1876" s="2477"/>
      <c r="PZD1876" s="2477"/>
      <c r="PZE1876" s="2477"/>
      <c r="PZF1876" s="2477"/>
      <c r="PZG1876" s="2477"/>
      <c r="PZH1876" s="2477"/>
      <c r="PZI1876" s="2477"/>
      <c r="PZJ1876" s="2477"/>
      <c r="PZK1876" s="2477"/>
      <c r="PZL1876" s="2477"/>
      <c r="PZM1876" s="2477"/>
      <c r="PZN1876" s="2477"/>
      <c r="PZO1876" s="2477"/>
      <c r="PZP1876" s="2477"/>
      <c r="PZQ1876" s="2477"/>
      <c r="PZR1876" s="2477"/>
      <c r="PZS1876" s="2477"/>
      <c r="PZT1876" s="2477"/>
      <c r="PZU1876" s="2477"/>
      <c r="PZV1876" s="2477"/>
      <c r="PZW1876" s="2477"/>
      <c r="PZX1876" s="2477"/>
      <c r="PZY1876" s="2477"/>
      <c r="PZZ1876" s="2477"/>
      <c r="QAA1876" s="2477"/>
      <c r="QAB1876" s="2477"/>
      <c r="QAC1876" s="2477"/>
      <c r="QAD1876" s="2477"/>
      <c r="QAE1876" s="2477"/>
      <c r="QAF1876" s="2477"/>
      <c r="QAG1876" s="2477"/>
      <c r="QAH1876" s="2477"/>
      <c r="QAI1876" s="2477"/>
      <c r="QAJ1876" s="2477"/>
      <c r="QAK1876" s="2477"/>
      <c r="QAL1876" s="2477"/>
      <c r="QAM1876" s="2477"/>
      <c r="QAN1876" s="2477"/>
      <c r="QAO1876" s="2477"/>
      <c r="QAP1876" s="2477"/>
      <c r="QAQ1876" s="2477"/>
      <c r="QAR1876" s="2477"/>
      <c r="QAS1876" s="2477"/>
      <c r="QAT1876" s="2477"/>
      <c r="QAU1876" s="2477"/>
      <c r="QAV1876" s="2477"/>
      <c r="QAW1876" s="2477"/>
      <c r="QAX1876" s="2477"/>
      <c r="QAY1876" s="2477"/>
      <c r="QAZ1876" s="2477"/>
      <c r="QBA1876" s="2477"/>
      <c r="QBB1876" s="2477"/>
      <c r="QBC1876" s="2477"/>
      <c r="QBD1876" s="2477"/>
      <c r="QBE1876" s="2477"/>
      <c r="QBF1876" s="2477"/>
      <c r="QBG1876" s="2477"/>
      <c r="QBH1876" s="2477"/>
      <c r="QBI1876" s="2477"/>
      <c r="QBJ1876" s="2477"/>
      <c r="QBK1876" s="2477"/>
      <c r="QBL1876" s="2477"/>
      <c r="QBM1876" s="2477"/>
      <c r="QBN1876" s="2477"/>
      <c r="QBO1876" s="2477"/>
      <c r="QBP1876" s="2477"/>
      <c r="QBQ1876" s="2477"/>
      <c r="QBR1876" s="2477"/>
      <c r="QBS1876" s="2477"/>
      <c r="QBT1876" s="2477"/>
      <c r="QBU1876" s="2477"/>
      <c r="QBV1876" s="2477"/>
      <c r="QBW1876" s="2477"/>
      <c r="QBX1876" s="2477"/>
      <c r="QBY1876" s="2477"/>
      <c r="QBZ1876" s="2477"/>
      <c r="QCA1876" s="2477"/>
      <c r="QCB1876" s="2477"/>
      <c r="QCC1876" s="2477"/>
      <c r="QCD1876" s="2477"/>
      <c r="QCE1876" s="2477"/>
      <c r="QCF1876" s="2477"/>
      <c r="QCG1876" s="2477"/>
      <c r="QCH1876" s="2477"/>
      <c r="QCI1876" s="2477"/>
      <c r="QCJ1876" s="2477"/>
      <c r="QCK1876" s="2477"/>
      <c r="QCL1876" s="2477"/>
      <c r="QCM1876" s="2477"/>
      <c r="QCN1876" s="2477"/>
      <c r="QCO1876" s="2477"/>
      <c r="QCP1876" s="2477"/>
      <c r="QCQ1876" s="2477"/>
      <c r="QCR1876" s="2477"/>
      <c r="QCS1876" s="2477"/>
      <c r="QCT1876" s="2477"/>
      <c r="QCU1876" s="2477"/>
      <c r="QCV1876" s="2477"/>
      <c r="QCW1876" s="2477"/>
      <c r="QCX1876" s="2477"/>
      <c r="QCY1876" s="2477"/>
      <c r="QCZ1876" s="2477"/>
      <c r="QDA1876" s="2477"/>
      <c r="QDB1876" s="2477"/>
      <c r="QDC1876" s="2477"/>
      <c r="QDD1876" s="2477"/>
      <c r="QDE1876" s="2477"/>
      <c r="QDF1876" s="2477"/>
      <c r="QDG1876" s="2477"/>
      <c r="QDH1876" s="2477"/>
      <c r="QDI1876" s="2477"/>
      <c r="QDJ1876" s="2477"/>
      <c r="QDK1876" s="2477"/>
      <c r="QDL1876" s="2477"/>
      <c r="QDM1876" s="2477"/>
      <c r="QDN1876" s="2477"/>
      <c r="QDO1876" s="2477"/>
      <c r="QDP1876" s="2477"/>
      <c r="QDQ1876" s="2477"/>
      <c r="QDR1876" s="2477"/>
      <c r="QDS1876" s="2477"/>
      <c r="QDT1876" s="2477"/>
      <c r="QDU1876" s="2477"/>
      <c r="QDV1876" s="2477"/>
      <c r="QDW1876" s="2477"/>
      <c r="QDX1876" s="2477"/>
      <c r="QDY1876" s="2477"/>
      <c r="QDZ1876" s="2477"/>
      <c r="QEA1876" s="2477"/>
      <c r="QEB1876" s="2477"/>
      <c r="QEC1876" s="2477"/>
      <c r="QED1876" s="2477"/>
      <c r="QEE1876" s="2477"/>
      <c r="QEF1876" s="2477"/>
      <c r="QEG1876" s="2477"/>
      <c r="QEH1876" s="2477"/>
      <c r="QEI1876" s="2477"/>
      <c r="QEJ1876" s="2477"/>
      <c r="QEK1876" s="2477"/>
      <c r="QEL1876" s="2477"/>
      <c r="QEM1876" s="2477"/>
      <c r="QEN1876" s="2477"/>
      <c r="QEO1876" s="2477"/>
      <c r="QEP1876" s="2477"/>
      <c r="QEQ1876" s="2477"/>
      <c r="QER1876" s="2477"/>
      <c r="QES1876" s="2477"/>
      <c r="QET1876" s="2477"/>
      <c r="QEU1876" s="2477"/>
      <c r="QEV1876" s="2477"/>
      <c r="QEW1876" s="2477"/>
      <c r="QEX1876" s="2477"/>
      <c r="QEY1876" s="2477"/>
      <c r="QEZ1876" s="2477"/>
      <c r="QFA1876" s="2477"/>
      <c r="QFB1876" s="2477"/>
      <c r="QFC1876" s="2477"/>
      <c r="QFD1876" s="2477"/>
      <c r="QFE1876" s="2477"/>
      <c r="QFF1876" s="2477"/>
      <c r="QFG1876" s="2477"/>
      <c r="QFH1876" s="2477"/>
      <c r="QFI1876" s="2477"/>
      <c r="QFJ1876" s="2477"/>
      <c r="QFK1876" s="2477"/>
      <c r="QFL1876" s="2477"/>
      <c r="QFM1876" s="2477"/>
      <c r="QFN1876" s="2477"/>
      <c r="QFO1876" s="2477"/>
      <c r="QFP1876" s="2477"/>
      <c r="QFQ1876" s="2477"/>
      <c r="QFR1876" s="2477"/>
      <c r="QFS1876" s="2477"/>
      <c r="QFT1876" s="2477"/>
      <c r="QFU1876" s="2477"/>
      <c r="QFV1876" s="2477"/>
      <c r="QFW1876" s="2477"/>
      <c r="QFX1876" s="2477"/>
      <c r="QFY1876" s="2477"/>
      <c r="QFZ1876" s="2477"/>
      <c r="QGA1876" s="2477"/>
      <c r="QGB1876" s="2477"/>
      <c r="QGC1876" s="2477"/>
      <c r="QGD1876" s="2477"/>
      <c r="QGE1876" s="2477"/>
      <c r="QGF1876" s="2477"/>
      <c r="QGG1876" s="2477"/>
      <c r="QGH1876" s="2477"/>
      <c r="QGI1876" s="2477"/>
      <c r="QGJ1876" s="2477"/>
      <c r="QGK1876" s="2477"/>
      <c r="QGL1876" s="2477"/>
      <c r="QGM1876" s="2477"/>
      <c r="QGN1876" s="2477"/>
      <c r="QGO1876" s="2477"/>
      <c r="QGP1876" s="2477"/>
      <c r="QGQ1876" s="2477"/>
      <c r="QGR1876" s="2477"/>
      <c r="QGS1876" s="2477"/>
      <c r="QGT1876" s="2477"/>
      <c r="QGU1876" s="2477"/>
      <c r="QGV1876" s="2477"/>
      <c r="QGW1876" s="2477"/>
      <c r="QGX1876" s="2477"/>
      <c r="QGY1876" s="2477"/>
      <c r="QGZ1876" s="2477"/>
      <c r="QHA1876" s="2477"/>
      <c r="QHB1876" s="2477"/>
      <c r="QHC1876" s="2477"/>
      <c r="QHD1876" s="2477"/>
      <c r="QHE1876" s="2477"/>
      <c r="QHF1876" s="2477"/>
      <c r="QHG1876" s="2477"/>
      <c r="QHH1876" s="2477"/>
      <c r="QHI1876" s="2477"/>
      <c r="QHJ1876" s="2477"/>
      <c r="QHK1876" s="2477"/>
      <c r="QHL1876" s="2477"/>
      <c r="QHM1876" s="2477"/>
      <c r="QHN1876" s="2477"/>
      <c r="QHO1876" s="2477"/>
      <c r="QHP1876" s="2477"/>
      <c r="QHQ1876" s="2477"/>
      <c r="QHR1876" s="2477"/>
      <c r="QHS1876" s="2477"/>
      <c r="QHT1876" s="2477"/>
      <c r="QHU1876" s="2477"/>
      <c r="QHV1876" s="2477"/>
      <c r="QHW1876" s="2477"/>
      <c r="QHX1876" s="2477"/>
      <c r="QHY1876" s="2477"/>
      <c r="QHZ1876" s="2477"/>
      <c r="QIA1876" s="2477"/>
      <c r="QIB1876" s="2477"/>
      <c r="QIC1876" s="2477"/>
      <c r="QID1876" s="2477"/>
      <c r="QIE1876" s="2477"/>
      <c r="QIF1876" s="2477"/>
      <c r="QIG1876" s="2477"/>
      <c r="QIH1876" s="2477"/>
      <c r="QII1876" s="2477"/>
      <c r="QIJ1876" s="2477"/>
      <c r="QIK1876" s="2477"/>
      <c r="QIL1876" s="2477"/>
      <c r="QIM1876" s="2477"/>
      <c r="QIN1876" s="2477"/>
      <c r="QIO1876" s="2477"/>
      <c r="QIP1876" s="2477"/>
      <c r="QIQ1876" s="2477"/>
      <c r="QIR1876" s="2477"/>
      <c r="QIS1876" s="2477"/>
      <c r="QIT1876" s="2477"/>
      <c r="QIU1876" s="2477"/>
      <c r="QIV1876" s="2477"/>
      <c r="QIW1876" s="2477"/>
      <c r="QIX1876" s="2477"/>
      <c r="QIY1876" s="2477"/>
      <c r="QIZ1876" s="2477"/>
      <c r="QJA1876" s="2477"/>
      <c r="QJB1876" s="2477"/>
      <c r="QJC1876" s="2477"/>
      <c r="QJD1876" s="2477"/>
      <c r="QJE1876" s="2477"/>
      <c r="QJF1876" s="2477"/>
      <c r="QJG1876" s="2477"/>
      <c r="QJH1876" s="2477"/>
      <c r="QJI1876" s="2477"/>
      <c r="QJJ1876" s="2477"/>
      <c r="QJK1876" s="2477"/>
      <c r="QJL1876" s="2477"/>
      <c r="QJM1876" s="2477"/>
      <c r="QJN1876" s="2477"/>
      <c r="QJO1876" s="2477"/>
      <c r="QJP1876" s="2477"/>
      <c r="QJQ1876" s="2477"/>
      <c r="QJR1876" s="2477"/>
      <c r="QJS1876" s="2477"/>
      <c r="QJT1876" s="2477"/>
      <c r="QJU1876" s="2477"/>
      <c r="QJV1876" s="2477"/>
      <c r="QJW1876" s="2477"/>
      <c r="QJX1876" s="2477"/>
      <c r="QJY1876" s="2477"/>
      <c r="QJZ1876" s="2477"/>
      <c r="QKA1876" s="2477"/>
      <c r="QKB1876" s="2477"/>
      <c r="QKC1876" s="2477"/>
      <c r="QKD1876" s="2477"/>
      <c r="QKE1876" s="2477"/>
      <c r="QKF1876" s="2477"/>
      <c r="QKG1876" s="2477"/>
      <c r="QKH1876" s="2477"/>
      <c r="QKI1876" s="2477"/>
      <c r="QKJ1876" s="2477"/>
      <c r="QKK1876" s="2477"/>
      <c r="QKL1876" s="2477"/>
      <c r="QKM1876" s="2477"/>
      <c r="QKN1876" s="2477"/>
      <c r="QKO1876" s="2477"/>
      <c r="QKP1876" s="2477"/>
      <c r="QKQ1876" s="2477"/>
      <c r="QKR1876" s="2477"/>
      <c r="QKS1876" s="2477"/>
      <c r="QKT1876" s="2477"/>
      <c r="QKU1876" s="2477"/>
      <c r="QKV1876" s="2477"/>
      <c r="QKW1876" s="2477"/>
      <c r="QKX1876" s="2477"/>
      <c r="QKY1876" s="2477"/>
      <c r="QKZ1876" s="2477"/>
      <c r="QLA1876" s="2477"/>
      <c r="QLB1876" s="2477"/>
      <c r="QLC1876" s="2477"/>
      <c r="QLD1876" s="2477"/>
      <c r="QLE1876" s="2477"/>
      <c r="QLF1876" s="2477"/>
      <c r="QLG1876" s="2477"/>
      <c r="QLH1876" s="2477"/>
      <c r="QLI1876" s="2477"/>
      <c r="QLJ1876" s="2477"/>
      <c r="QLK1876" s="2477"/>
      <c r="QLL1876" s="2477"/>
      <c r="QLM1876" s="2477"/>
      <c r="QLN1876" s="2477"/>
      <c r="QLO1876" s="2477"/>
      <c r="QLP1876" s="2477"/>
      <c r="QLQ1876" s="2477"/>
      <c r="QLR1876" s="2477"/>
      <c r="QLS1876" s="2477"/>
      <c r="QLT1876" s="2477"/>
      <c r="QLU1876" s="2477"/>
      <c r="QLV1876" s="2477"/>
      <c r="QLW1876" s="2477"/>
      <c r="QLX1876" s="2477"/>
      <c r="QLY1876" s="2477"/>
      <c r="QLZ1876" s="2477"/>
      <c r="QMA1876" s="2477"/>
      <c r="QMB1876" s="2477"/>
      <c r="QMC1876" s="2477"/>
      <c r="QMD1876" s="2477"/>
      <c r="QME1876" s="2477"/>
      <c r="QMF1876" s="2477"/>
      <c r="QMG1876" s="2477"/>
      <c r="QMH1876" s="2477"/>
      <c r="QMI1876" s="2477"/>
      <c r="QMJ1876" s="2477"/>
      <c r="QMK1876" s="2477"/>
      <c r="QML1876" s="2477"/>
      <c r="QMM1876" s="2477"/>
      <c r="QMN1876" s="2477"/>
      <c r="QMO1876" s="2477"/>
      <c r="QMP1876" s="2477"/>
      <c r="QMQ1876" s="2477"/>
      <c r="QMR1876" s="2477"/>
      <c r="QMS1876" s="2477"/>
      <c r="QMT1876" s="2477"/>
      <c r="QMU1876" s="2477"/>
      <c r="QMV1876" s="2477"/>
      <c r="QMW1876" s="2477"/>
      <c r="QMX1876" s="2477"/>
      <c r="QMY1876" s="2477"/>
      <c r="QMZ1876" s="2477"/>
      <c r="QNA1876" s="2477"/>
      <c r="QNB1876" s="2477"/>
      <c r="QNC1876" s="2477"/>
      <c r="QND1876" s="2477"/>
      <c r="QNE1876" s="2477"/>
      <c r="QNF1876" s="2477"/>
      <c r="QNG1876" s="2477"/>
      <c r="QNH1876" s="2477"/>
      <c r="QNI1876" s="2477"/>
      <c r="QNJ1876" s="2477"/>
      <c r="QNK1876" s="2477"/>
      <c r="QNL1876" s="2477"/>
      <c r="QNM1876" s="2477"/>
      <c r="QNN1876" s="2477"/>
      <c r="QNO1876" s="2477"/>
      <c r="QNP1876" s="2477"/>
      <c r="QNQ1876" s="2477"/>
      <c r="QNR1876" s="2477"/>
      <c r="QNS1876" s="2477"/>
      <c r="QNT1876" s="2477"/>
      <c r="QNU1876" s="2477"/>
      <c r="QNV1876" s="2477"/>
      <c r="QNW1876" s="2477"/>
      <c r="QNX1876" s="2477"/>
      <c r="QNY1876" s="2477"/>
      <c r="QNZ1876" s="2477"/>
      <c r="QOA1876" s="2477"/>
      <c r="QOB1876" s="2477"/>
      <c r="QOC1876" s="2477"/>
      <c r="QOD1876" s="2477"/>
      <c r="QOE1876" s="2477"/>
      <c r="QOF1876" s="2477"/>
      <c r="QOG1876" s="2477"/>
      <c r="QOH1876" s="2477"/>
      <c r="QOI1876" s="2477"/>
      <c r="QOJ1876" s="2477"/>
      <c r="QOK1876" s="2477"/>
      <c r="QOL1876" s="2477"/>
      <c r="QOM1876" s="2477"/>
      <c r="QON1876" s="2477"/>
      <c r="QOO1876" s="2477"/>
      <c r="QOP1876" s="2477"/>
      <c r="QOQ1876" s="2477"/>
      <c r="QOR1876" s="2477"/>
      <c r="QOS1876" s="2477"/>
      <c r="QOT1876" s="2477"/>
      <c r="QOU1876" s="2477"/>
      <c r="QOV1876" s="2477"/>
      <c r="QOW1876" s="2477"/>
      <c r="QOX1876" s="2477"/>
      <c r="QOY1876" s="2477"/>
      <c r="QOZ1876" s="2477"/>
      <c r="QPA1876" s="2477"/>
      <c r="QPB1876" s="2477"/>
      <c r="QPC1876" s="2477"/>
      <c r="QPD1876" s="2477"/>
      <c r="QPE1876" s="2477"/>
      <c r="QPF1876" s="2477"/>
      <c r="QPG1876" s="2477"/>
      <c r="QPH1876" s="2477"/>
      <c r="QPI1876" s="2477"/>
      <c r="QPJ1876" s="2477"/>
      <c r="QPK1876" s="2477"/>
      <c r="QPL1876" s="2477"/>
      <c r="QPM1876" s="2477"/>
      <c r="QPN1876" s="2477"/>
      <c r="QPO1876" s="2477"/>
      <c r="QPP1876" s="2477"/>
      <c r="QPQ1876" s="2477"/>
      <c r="QPR1876" s="2477"/>
      <c r="QPS1876" s="2477"/>
      <c r="QPT1876" s="2477"/>
      <c r="QPU1876" s="2477"/>
      <c r="QPV1876" s="2477"/>
      <c r="QPW1876" s="2477"/>
      <c r="QPX1876" s="2477"/>
      <c r="QPY1876" s="2477"/>
      <c r="QPZ1876" s="2477"/>
      <c r="QQA1876" s="2477"/>
      <c r="QQB1876" s="2477"/>
      <c r="QQC1876" s="2477"/>
      <c r="QQD1876" s="2477"/>
      <c r="QQE1876" s="2477"/>
      <c r="QQF1876" s="2477"/>
      <c r="QQG1876" s="2477"/>
      <c r="QQH1876" s="2477"/>
      <c r="QQI1876" s="2477"/>
      <c r="QQJ1876" s="2477"/>
      <c r="QQK1876" s="2477"/>
      <c r="QQL1876" s="2477"/>
      <c r="QQM1876" s="2477"/>
      <c r="QQN1876" s="2477"/>
      <c r="QQO1876" s="2477"/>
      <c r="QQP1876" s="2477"/>
      <c r="QQQ1876" s="2477"/>
      <c r="QQR1876" s="2477"/>
      <c r="QQS1876" s="2477"/>
      <c r="QQT1876" s="2477"/>
      <c r="QQU1876" s="2477"/>
      <c r="QQV1876" s="2477"/>
      <c r="QQW1876" s="2477"/>
      <c r="QQX1876" s="2477"/>
      <c r="QQY1876" s="2477"/>
      <c r="QQZ1876" s="2477"/>
      <c r="QRA1876" s="2477"/>
      <c r="QRB1876" s="2477"/>
      <c r="QRC1876" s="2477"/>
      <c r="QRD1876" s="2477"/>
      <c r="QRE1876" s="2477"/>
      <c r="QRF1876" s="2477"/>
      <c r="QRG1876" s="2477"/>
      <c r="QRH1876" s="2477"/>
      <c r="QRI1876" s="2477"/>
      <c r="QRJ1876" s="2477"/>
      <c r="QRK1876" s="2477"/>
      <c r="QRL1876" s="2477"/>
      <c r="QRM1876" s="2477"/>
      <c r="QRN1876" s="2477"/>
      <c r="QRO1876" s="2477"/>
      <c r="QRP1876" s="2477"/>
      <c r="QRQ1876" s="2477"/>
      <c r="QRR1876" s="2477"/>
      <c r="QRS1876" s="2477"/>
      <c r="QRT1876" s="2477"/>
      <c r="QRU1876" s="2477"/>
      <c r="QRV1876" s="2477"/>
      <c r="QRW1876" s="2477"/>
      <c r="QRX1876" s="2477"/>
      <c r="QRY1876" s="2477"/>
      <c r="QRZ1876" s="2477"/>
      <c r="QSA1876" s="2477"/>
      <c r="QSB1876" s="2477"/>
      <c r="QSC1876" s="2477"/>
      <c r="QSD1876" s="2477"/>
      <c r="QSE1876" s="2477"/>
      <c r="QSF1876" s="2477"/>
      <c r="QSG1876" s="2477"/>
      <c r="QSH1876" s="2477"/>
      <c r="QSI1876" s="2477"/>
      <c r="QSJ1876" s="2477"/>
      <c r="QSK1876" s="2477"/>
      <c r="QSL1876" s="2477"/>
      <c r="QSM1876" s="2477"/>
      <c r="QSN1876" s="2477"/>
      <c r="QSO1876" s="2477"/>
      <c r="QSP1876" s="2477"/>
      <c r="QSQ1876" s="2477"/>
      <c r="QSR1876" s="2477"/>
      <c r="QSS1876" s="2477"/>
      <c r="QST1876" s="2477"/>
      <c r="QSU1876" s="2477"/>
      <c r="QSV1876" s="2477"/>
      <c r="QSW1876" s="2477"/>
      <c r="QSX1876" s="2477"/>
      <c r="QSY1876" s="2477"/>
      <c r="QSZ1876" s="2477"/>
      <c r="QTA1876" s="2477"/>
      <c r="QTB1876" s="2477"/>
      <c r="QTC1876" s="2477"/>
      <c r="QTD1876" s="2477"/>
      <c r="QTE1876" s="2477"/>
      <c r="QTF1876" s="2477"/>
      <c r="QTG1876" s="2477"/>
      <c r="QTH1876" s="2477"/>
      <c r="QTI1876" s="2477"/>
      <c r="QTJ1876" s="2477"/>
      <c r="QTK1876" s="2477"/>
      <c r="QTL1876" s="2477"/>
      <c r="QTM1876" s="2477"/>
      <c r="QTN1876" s="2477"/>
      <c r="QTO1876" s="2477"/>
      <c r="QTP1876" s="2477"/>
      <c r="QTQ1876" s="2477"/>
      <c r="QTR1876" s="2477"/>
      <c r="QTS1876" s="2477"/>
      <c r="QTT1876" s="2477"/>
      <c r="QTU1876" s="2477"/>
      <c r="QTV1876" s="2477"/>
      <c r="QTW1876" s="2477"/>
      <c r="QTX1876" s="2477"/>
      <c r="QTY1876" s="2477"/>
      <c r="QTZ1876" s="2477"/>
      <c r="QUA1876" s="2477"/>
      <c r="QUB1876" s="2477"/>
      <c r="QUC1876" s="2477"/>
      <c r="QUD1876" s="2477"/>
      <c r="QUE1876" s="2477"/>
      <c r="QUF1876" s="2477"/>
      <c r="QUG1876" s="2477"/>
      <c r="QUH1876" s="2477"/>
      <c r="QUI1876" s="2477"/>
      <c r="QUJ1876" s="2477"/>
      <c r="QUK1876" s="2477"/>
      <c r="QUL1876" s="2477"/>
      <c r="QUM1876" s="2477"/>
      <c r="QUN1876" s="2477"/>
      <c r="QUO1876" s="2477"/>
      <c r="QUP1876" s="2477"/>
      <c r="QUQ1876" s="2477"/>
      <c r="QUR1876" s="2477"/>
      <c r="QUS1876" s="2477"/>
      <c r="QUT1876" s="2477"/>
      <c r="QUU1876" s="2477"/>
      <c r="QUV1876" s="2477"/>
      <c r="QUW1876" s="2477"/>
      <c r="QUX1876" s="2477"/>
      <c r="QUY1876" s="2477"/>
      <c r="QUZ1876" s="2477"/>
      <c r="QVA1876" s="2477"/>
      <c r="QVB1876" s="2477"/>
      <c r="QVC1876" s="2477"/>
      <c r="QVD1876" s="2477"/>
      <c r="QVE1876" s="2477"/>
      <c r="QVF1876" s="2477"/>
      <c r="QVG1876" s="2477"/>
      <c r="QVH1876" s="2477"/>
      <c r="QVI1876" s="2477"/>
      <c r="QVJ1876" s="2477"/>
      <c r="QVK1876" s="2477"/>
      <c r="QVL1876" s="2477"/>
      <c r="QVM1876" s="2477"/>
      <c r="QVN1876" s="2477"/>
      <c r="QVO1876" s="2477"/>
      <c r="QVP1876" s="2477"/>
      <c r="QVQ1876" s="2477"/>
      <c r="QVR1876" s="2477"/>
      <c r="QVS1876" s="2477"/>
      <c r="QVT1876" s="2477"/>
      <c r="QVU1876" s="2477"/>
      <c r="QVV1876" s="2477"/>
      <c r="QVW1876" s="2477"/>
      <c r="QVX1876" s="2477"/>
      <c r="QVY1876" s="2477"/>
      <c r="QVZ1876" s="2477"/>
      <c r="QWA1876" s="2477"/>
      <c r="QWB1876" s="2477"/>
      <c r="QWC1876" s="2477"/>
      <c r="QWD1876" s="2477"/>
      <c r="QWE1876" s="2477"/>
      <c r="QWF1876" s="2477"/>
      <c r="QWG1876" s="2477"/>
      <c r="QWH1876" s="2477"/>
      <c r="QWI1876" s="2477"/>
      <c r="QWJ1876" s="2477"/>
      <c r="QWK1876" s="2477"/>
      <c r="QWL1876" s="2477"/>
      <c r="QWM1876" s="2477"/>
      <c r="QWN1876" s="2477"/>
      <c r="QWO1876" s="2477"/>
      <c r="QWP1876" s="2477"/>
      <c r="QWQ1876" s="2477"/>
      <c r="QWR1876" s="2477"/>
      <c r="QWS1876" s="2477"/>
      <c r="QWT1876" s="2477"/>
      <c r="QWU1876" s="2477"/>
      <c r="QWV1876" s="2477"/>
      <c r="QWW1876" s="2477"/>
      <c r="QWX1876" s="2477"/>
      <c r="QWY1876" s="2477"/>
      <c r="QWZ1876" s="2477"/>
      <c r="QXA1876" s="2477"/>
      <c r="QXB1876" s="2477"/>
      <c r="QXC1876" s="2477"/>
      <c r="QXD1876" s="2477"/>
      <c r="QXE1876" s="2477"/>
      <c r="QXF1876" s="2477"/>
      <c r="QXG1876" s="2477"/>
      <c r="QXH1876" s="2477"/>
      <c r="QXI1876" s="2477"/>
      <c r="QXJ1876" s="2477"/>
      <c r="QXK1876" s="2477"/>
      <c r="QXL1876" s="2477"/>
      <c r="QXM1876" s="2477"/>
      <c r="QXN1876" s="2477"/>
      <c r="QXO1876" s="2477"/>
      <c r="QXP1876" s="2477"/>
      <c r="QXQ1876" s="2477"/>
      <c r="QXR1876" s="2477"/>
      <c r="QXS1876" s="2477"/>
      <c r="QXT1876" s="2477"/>
      <c r="QXU1876" s="2477"/>
      <c r="QXV1876" s="2477"/>
      <c r="QXW1876" s="2477"/>
      <c r="QXX1876" s="2477"/>
      <c r="QXY1876" s="2477"/>
      <c r="QXZ1876" s="2477"/>
      <c r="QYA1876" s="2477"/>
      <c r="QYB1876" s="2477"/>
      <c r="QYC1876" s="2477"/>
      <c r="QYD1876" s="2477"/>
      <c r="QYE1876" s="2477"/>
      <c r="QYF1876" s="2477"/>
      <c r="QYG1876" s="2477"/>
      <c r="QYH1876" s="2477"/>
      <c r="QYI1876" s="2477"/>
      <c r="QYJ1876" s="2477"/>
      <c r="QYK1876" s="2477"/>
      <c r="QYL1876" s="2477"/>
      <c r="QYM1876" s="2477"/>
      <c r="QYN1876" s="2477"/>
      <c r="QYO1876" s="2477"/>
      <c r="QYP1876" s="2477"/>
      <c r="QYQ1876" s="2477"/>
      <c r="QYR1876" s="2477"/>
      <c r="QYS1876" s="2477"/>
      <c r="QYT1876" s="2477"/>
      <c r="QYU1876" s="2477"/>
      <c r="QYV1876" s="2477"/>
      <c r="QYW1876" s="2477"/>
      <c r="QYX1876" s="2477"/>
      <c r="QYY1876" s="2477"/>
      <c r="QYZ1876" s="2477"/>
      <c r="QZA1876" s="2477"/>
      <c r="QZB1876" s="2477"/>
      <c r="QZC1876" s="2477"/>
      <c r="QZD1876" s="2477"/>
      <c r="QZE1876" s="2477"/>
      <c r="QZF1876" s="2477"/>
      <c r="QZG1876" s="2477"/>
      <c r="QZH1876" s="2477"/>
      <c r="QZI1876" s="2477"/>
      <c r="QZJ1876" s="2477"/>
      <c r="QZK1876" s="2477"/>
      <c r="QZL1876" s="2477"/>
      <c r="QZM1876" s="2477"/>
      <c r="QZN1876" s="2477"/>
      <c r="QZO1876" s="2477"/>
      <c r="QZP1876" s="2477"/>
      <c r="QZQ1876" s="2477"/>
      <c r="QZR1876" s="2477"/>
      <c r="QZS1876" s="2477"/>
      <c r="QZT1876" s="2477"/>
      <c r="QZU1876" s="2477"/>
      <c r="QZV1876" s="2477"/>
      <c r="QZW1876" s="2477"/>
      <c r="QZX1876" s="2477"/>
      <c r="QZY1876" s="2477"/>
      <c r="QZZ1876" s="2477"/>
      <c r="RAA1876" s="2477"/>
      <c r="RAB1876" s="2477"/>
      <c r="RAC1876" s="2477"/>
      <c r="RAD1876" s="2477"/>
      <c r="RAE1876" s="2477"/>
      <c r="RAF1876" s="2477"/>
      <c r="RAG1876" s="2477"/>
      <c r="RAH1876" s="2477"/>
      <c r="RAI1876" s="2477"/>
      <c r="RAJ1876" s="2477"/>
      <c r="RAK1876" s="2477"/>
      <c r="RAL1876" s="2477"/>
      <c r="RAM1876" s="2477"/>
      <c r="RAN1876" s="2477"/>
      <c r="RAO1876" s="2477"/>
      <c r="RAP1876" s="2477"/>
      <c r="RAQ1876" s="2477"/>
      <c r="RAR1876" s="2477"/>
      <c r="RAS1876" s="2477"/>
      <c r="RAT1876" s="2477"/>
      <c r="RAU1876" s="2477"/>
      <c r="RAV1876" s="2477"/>
      <c r="RAW1876" s="2477"/>
      <c r="RAX1876" s="2477"/>
      <c r="RAY1876" s="2477"/>
      <c r="RAZ1876" s="2477"/>
      <c r="RBA1876" s="2477"/>
      <c r="RBB1876" s="2477"/>
      <c r="RBC1876" s="2477"/>
      <c r="RBD1876" s="2477"/>
      <c r="RBE1876" s="2477"/>
      <c r="RBF1876" s="2477"/>
      <c r="RBG1876" s="2477"/>
      <c r="RBH1876" s="2477"/>
      <c r="RBI1876" s="2477"/>
      <c r="RBJ1876" s="2477"/>
      <c r="RBK1876" s="2477"/>
      <c r="RBL1876" s="2477"/>
      <c r="RBM1876" s="2477"/>
      <c r="RBN1876" s="2477"/>
      <c r="RBO1876" s="2477"/>
      <c r="RBP1876" s="2477"/>
      <c r="RBQ1876" s="2477"/>
      <c r="RBR1876" s="2477"/>
      <c r="RBS1876" s="2477"/>
      <c r="RBT1876" s="2477"/>
      <c r="RBU1876" s="2477"/>
      <c r="RBV1876" s="2477"/>
      <c r="RBW1876" s="2477"/>
      <c r="RBX1876" s="2477"/>
      <c r="RBY1876" s="2477"/>
      <c r="RBZ1876" s="2477"/>
      <c r="RCA1876" s="2477"/>
      <c r="RCB1876" s="2477"/>
      <c r="RCC1876" s="2477"/>
      <c r="RCD1876" s="2477"/>
      <c r="RCE1876" s="2477"/>
      <c r="RCF1876" s="2477"/>
      <c r="RCG1876" s="2477"/>
      <c r="RCH1876" s="2477"/>
      <c r="RCI1876" s="2477"/>
      <c r="RCJ1876" s="2477"/>
      <c r="RCK1876" s="2477"/>
      <c r="RCL1876" s="2477"/>
      <c r="RCM1876" s="2477"/>
      <c r="RCN1876" s="2477"/>
      <c r="RCO1876" s="2477"/>
      <c r="RCP1876" s="2477"/>
      <c r="RCQ1876" s="2477"/>
      <c r="RCR1876" s="2477"/>
      <c r="RCS1876" s="2477"/>
      <c r="RCT1876" s="2477"/>
      <c r="RCU1876" s="2477"/>
      <c r="RCV1876" s="2477"/>
      <c r="RCW1876" s="2477"/>
      <c r="RCX1876" s="2477"/>
      <c r="RCY1876" s="2477"/>
      <c r="RCZ1876" s="2477"/>
      <c r="RDA1876" s="2477"/>
      <c r="RDB1876" s="2477"/>
      <c r="RDC1876" s="2477"/>
      <c r="RDD1876" s="2477"/>
      <c r="RDE1876" s="2477"/>
      <c r="RDF1876" s="2477"/>
      <c r="RDG1876" s="2477"/>
      <c r="RDH1876" s="2477"/>
      <c r="RDI1876" s="2477"/>
      <c r="RDJ1876" s="2477"/>
      <c r="RDK1876" s="2477"/>
      <c r="RDL1876" s="2477"/>
      <c r="RDM1876" s="2477"/>
      <c r="RDN1876" s="2477"/>
      <c r="RDO1876" s="2477"/>
      <c r="RDP1876" s="2477"/>
      <c r="RDQ1876" s="2477"/>
      <c r="RDR1876" s="2477"/>
      <c r="RDS1876" s="2477"/>
      <c r="RDT1876" s="2477"/>
      <c r="RDU1876" s="2477"/>
      <c r="RDV1876" s="2477"/>
      <c r="RDW1876" s="2477"/>
      <c r="RDX1876" s="2477"/>
      <c r="RDY1876" s="2477"/>
      <c r="RDZ1876" s="2477"/>
      <c r="REA1876" s="2477"/>
      <c r="REB1876" s="2477"/>
      <c r="REC1876" s="2477"/>
      <c r="RED1876" s="2477"/>
      <c r="REE1876" s="2477"/>
      <c r="REF1876" s="2477"/>
      <c r="REG1876" s="2477"/>
      <c r="REH1876" s="2477"/>
      <c r="REI1876" s="2477"/>
      <c r="REJ1876" s="2477"/>
      <c r="REK1876" s="2477"/>
      <c r="REL1876" s="2477"/>
      <c r="REM1876" s="2477"/>
      <c r="REN1876" s="2477"/>
      <c r="REO1876" s="2477"/>
      <c r="REP1876" s="2477"/>
      <c r="REQ1876" s="2477"/>
      <c r="RER1876" s="2477"/>
      <c r="RES1876" s="2477"/>
      <c r="RET1876" s="2477"/>
      <c r="REU1876" s="2477"/>
      <c r="REV1876" s="2477"/>
      <c r="REW1876" s="2477"/>
      <c r="REX1876" s="2477"/>
      <c r="REY1876" s="2477"/>
      <c r="REZ1876" s="2477"/>
      <c r="RFA1876" s="2477"/>
      <c r="RFB1876" s="2477"/>
      <c r="RFC1876" s="2477"/>
      <c r="RFD1876" s="2477"/>
      <c r="RFE1876" s="2477"/>
      <c r="RFF1876" s="2477"/>
      <c r="RFG1876" s="2477"/>
      <c r="RFH1876" s="2477"/>
      <c r="RFI1876" s="2477"/>
      <c r="RFJ1876" s="2477"/>
      <c r="RFK1876" s="2477"/>
      <c r="RFL1876" s="2477"/>
      <c r="RFM1876" s="2477"/>
      <c r="RFN1876" s="2477"/>
      <c r="RFO1876" s="2477"/>
      <c r="RFP1876" s="2477"/>
      <c r="RFQ1876" s="2477"/>
      <c r="RFR1876" s="2477"/>
      <c r="RFS1876" s="2477"/>
      <c r="RFT1876" s="2477"/>
      <c r="RFU1876" s="2477"/>
      <c r="RFV1876" s="2477"/>
      <c r="RFW1876" s="2477"/>
      <c r="RFX1876" s="2477"/>
      <c r="RFY1876" s="2477"/>
      <c r="RFZ1876" s="2477"/>
      <c r="RGA1876" s="2477"/>
      <c r="RGB1876" s="2477"/>
      <c r="RGC1876" s="2477"/>
      <c r="RGD1876" s="2477"/>
      <c r="RGE1876" s="2477"/>
      <c r="RGF1876" s="2477"/>
      <c r="RGG1876" s="2477"/>
      <c r="RGH1876" s="2477"/>
      <c r="RGI1876" s="2477"/>
      <c r="RGJ1876" s="2477"/>
      <c r="RGK1876" s="2477"/>
      <c r="RGL1876" s="2477"/>
      <c r="RGM1876" s="2477"/>
      <c r="RGN1876" s="2477"/>
      <c r="RGO1876" s="2477"/>
      <c r="RGP1876" s="2477"/>
      <c r="RGQ1876" s="2477"/>
      <c r="RGR1876" s="2477"/>
      <c r="RGS1876" s="2477"/>
      <c r="RGT1876" s="2477"/>
      <c r="RGU1876" s="2477"/>
      <c r="RGV1876" s="2477"/>
      <c r="RGW1876" s="2477"/>
      <c r="RGX1876" s="2477"/>
      <c r="RGY1876" s="2477"/>
      <c r="RGZ1876" s="2477"/>
      <c r="RHA1876" s="2477"/>
      <c r="RHB1876" s="2477"/>
      <c r="RHC1876" s="2477"/>
      <c r="RHD1876" s="2477"/>
      <c r="RHE1876" s="2477"/>
      <c r="RHF1876" s="2477"/>
      <c r="RHG1876" s="2477"/>
      <c r="RHH1876" s="2477"/>
      <c r="RHI1876" s="2477"/>
      <c r="RHJ1876" s="2477"/>
      <c r="RHK1876" s="2477"/>
      <c r="RHL1876" s="2477"/>
      <c r="RHM1876" s="2477"/>
      <c r="RHN1876" s="2477"/>
      <c r="RHO1876" s="2477"/>
      <c r="RHP1876" s="2477"/>
      <c r="RHQ1876" s="2477"/>
      <c r="RHR1876" s="2477"/>
      <c r="RHS1876" s="2477"/>
      <c r="RHT1876" s="2477"/>
      <c r="RHU1876" s="2477"/>
      <c r="RHV1876" s="2477"/>
      <c r="RHW1876" s="2477"/>
      <c r="RHX1876" s="2477"/>
      <c r="RHY1876" s="2477"/>
      <c r="RHZ1876" s="2477"/>
      <c r="RIA1876" s="2477"/>
      <c r="RIB1876" s="2477"/>
      <c r="RIC1876" s="2477"/>
      <c r="RID1876" s="2477"/>
      <c r="RIE1876" s="2477"/>
      <c r="RIF1876" s="2477"/>
      <c r="RIG1876" s="2477"/>
      <c r="RIH1876" s="2477"/>
      <c r="RII1876" s="2477"/>
      <c r="RIJ1876" s="2477"/>
      <c r="RIK1876" s="2477"/>
      <c r="RIL1876" s="2477"/>
      <c r="RIM1876" s="2477"/>
      <c r="RIN1876" s="2477"/>
      <c r="RIO1876" s="2477"/>
      <c r="RIP1876" s="2477"/>
      <c r="RIQ1876" s="2477"/>
      <c r="RIR1876" s="2477"/>
      <c r="RIS1876" s="2477"/>
      <c r="RIT1876" s="2477"/>
      <c r="RIU1876" s="2477"/>
      <c r="RIV1876" s="2477"/>
      <c r="RIW1876" s="2477"/>
      <c r="RIX1876" s="2477"/>
      <c r="RIY1876" s="2477"/>
      <c r="RIZ1876" s="2477"/>
      <c r="RJA1876" s="2477"/>
      <c r="RJB1876" s="2477"/>
      <c r="RJC1876" s="2477"/>
      <c r="RJD1876" s="2477"/>
      <c r="RJE1876" s="2477"/>
      <c r="RJF1876" s="2477"/>
      <c r="RJG1876" s="2477"/>
      <c r="RJH1876" s="2477"/>
      <c r="RJI1876" s="2477"/>
      <c r="RJJ1876" s="2477"/>
      <c r="RJK1876" s="2477"/>
      <c r="RJL1876" s="2477"/>
      <c r="RJM1876" s="2477"/>
      <c r="RJN1876" s="2477"/>
      <c r="RJO1876" s="2477"/>
      <c r="RJP1876" s="2477"/>
      <c r="RJQ1876" s="2477"/>
      <c r="RJR1876" s="2477"/>
      <c r="RJS1876" s="2477"/>
      <c r="RJT1876" s="2477"/>
      <c r="RJU1876" s="2477"/>
      <c r="RJV1876" s="2477"/>
      <c r="RJW1876" s="2477"/>
      <c r="RJX1876" s="2477"/>
      <c r="RJY1876" s="2477"/>
      <c r="RJZ1876" s="2477"/>
      <c r="RKA1876" s="2477"/>
      <c r="RKB1876" s="2477"/>
      <c r="RKC1876" s="2477"/>
      <c r="RKD1876" s="2477"/>
      <c r="RKE1876" s="2477"/>
      <c r="RKF1876" s="2477"/>
      <c r="RKG1876" s="2477"/>
      <c r="RKH1876" s="2477"/>
      <c r="RKI1876" s="2477"/>
      <c r="RKJ1876" s="2477"/>
      <c r="RKK1876" s="2477"/>
      <c r="RKL1876" s="2477"/>
      <c r="RKM1876" s="2477"/>
      <c r="RKN1876" s="2477"/>
      <c r="RKO1876" s="2477"/>
      <c r="RKP1876" s="2477"/>
      <c r="RKQ1876" s="2477"/>
      <c r="RKR1876" s="2477"/>
      <c r="RKS1876" s="2477"/>
      <c r="RKT1876" s="2477"/>
      <c r="RKU1876" s="2477"/>
      <c r="RKV1876" s="2477"/>
      <c r="RKW1876" s="2477"/>
      <c r="RKX1876" s="2477"/>
      <c r="RKY1876" s="2477"/>
      <c r="RKZ1876" s="2477"/>
      <c r="RLA1876" s="2477"/>
      <c r="RLB1876" s="2477"/>
      <c r="RLC1876" s="2477"/>
      <c r="RLD1876" s="2477"/>
      <c r="RLE1876" s="2477"/>
      <c r="RLF1876" s="2477"/>
      <c r="RLG1876" s="2477"/>
      <c r="RLH1876" s="2477"/>
      <c r="RLI1876" s="2477"/>
      <c r="RLJ1876" s="2477"/>
      <c r="RLK1876" s="2477"/>
      <c r="RLL1876" s="2477"/>
      <c r="RLM1876" s="2477"/>
      <c r="RLN1876" s="2477"/>
      <c r="RLO1876" s="2477"/>
      <c r="RLP1876" s="2477"/>
      <c r="RLQ1876" s="2477"/>
      <c r="RLR1876" s="2477"/>
      <c r="RLS1876" s="2477"/>
      <c r="RLT1876" s="2477"/>
      <c r="RLU1876" s="2477"/>
      <c r="RLV1876" s="2477"/>
      <c r="RLW1876" s="2477"/>
      <c r="RLX1876" s="2477"/>
      <c r="RLY1876" s="2477"/>
      <c r="RLZ1876" s="2477"/>
      <c r="RMA1876" s="2477"/>
      <c r="RMB1876" s="2477"/>
      <c r="RMC1876" s="2477"/>
      <c r="RMD1876" s="2477"/>
      <c r="RME1876" s="2477"/>
      <c r="RMF1876" s="2477"/>
      <c r="RMG1876" s="2477"/>
      <c r="RMH1876" s="2477"/>
      <c r="RMI1876" s="2477"/>
      <c r="RMJ1876" s="2477"/>
      <c r="RMK1876" s="2477"/>
      <c r="RML1876" s="2477"/>
      <c r="RMM1876" s="2477"/>
      <c r="RMN1876" s="2477"/>
      <c r="RMO1876" s="2477"/>
      <c r="RMP1876" s="2477"/>
      <c r="RMQ1876" s="2477"/>
      <c r="RMR1876" s="2477"/>
      <c r="RMS1876" s="2477"/>
      <c r="RMT1876" s="2477"/>
      <c r="RMU1876" s="2477"/>
      <c r="RMV1876" s="2477"/>
      <c r="RMW1876" s="2477"/>
      <c r="RMX1876" s="2477"/>
      <c r="RMY1876" s="2477"/>
      <c r="RMZ1876" s="2477"/>
      <c r="RNA1876" s="2477"/>
      <c r="RNB1876" s="2477"/>
      <c r="RNC1876" s="2477"/>
      <c r="RND1876" s="2477"/>
      <c r="RNE1876" s="2477"/>
      <c r="RNF1876" s="2477"/>
      <c r="RNG1876" s="2477"/>
      <c r="RNH1876" s="2477"/>
      <c r="RNI1876" s="2477"/>
      <c r="RNJ1876" s="2477"/>
      <c r="RNK1876" s="2477"/>
      <c r="RNL1876" s="2477"/>
      <c r="RNM1876" s="2477"/>
      <c r="RNN1876" s="2477"/>
      <c r="RNO1876" s="2477"/>
      <c r="RNP1876" s="2477"/>
      <c r="RNQ1876" s="2477"/>
      <c r="RNR1876" s="2477"/>
      <c r="RNS1876" s="2477"/>
      <c r="RNT1876" s="2477"/>
      <c r="RNU1876" s="2477"/>
      <c r="RNV1876" s="2477"/>
      <c r="RNW1876" s="2477"/>
      <c r="RNX1876" s="2477"/>
      <c r="RNY1876" s="2477"/>
      <c r="RNZ1876" s="2477"/>
      <c r="ROA1876" s="2477"/>
      <c r="ROB1876" s="2477"/>
      <c r="ROC1876" s="2477"/>
      <c r="ROD1876" s="2477"/>
      <c r="ROE1876" s="2477"/>
      <c r="ROF1876" s="2477"/>
      <c r="ROG1876" s="2477"/>
      <c r="ROH1876" s="2477"/>
      <c r="ROI1876" s="2477"/>
      <c r="ROJ1876" s="2477"/>
      <c r="ROK1876" s="2477"/>
      <c r="ROL1876" s="2477"/>
      <c r="ROM1876" s="2477"/>
      <c r="RON1876" s="2477"/>
      <c r="ROO1876" s="2477"/>
      <c r="ROP1876" s="2477"/>
      <c r="ROQ1876" s="2477"/>
      <c r="ROR1876" s="2477"/>
      <c r="ROS1876" s="2477"/>
      <c r="ROT1876" s="2477"/>
      <c r="ROU1876" s="2477"/>
      <c r="ROV1876" s="2477"/>
      <c r="ROW1876" s="2477"/>
      <c r="ROX1876" s="2477"/>
      <c r="ROY1876" s="2477"/>
      <c r="ROZ1876" s="2477"/>
      <c r="RPA1876" s="2477"/>
      <c r="RPB1876" s="2477"/>
      <c r="RPC1876" s="2477"/>
      <c r="RPD1876" s="2477"/>
      <c r="RPE1876" s="2477"/>
      <c r="RPF1876" s="2477"/>
      <c r="RPG1876" s="2477"/>
      <c r="RPH1876" s="2477"/>
      <c r="RPI1876" s="2477"/>
      <c r="RPJ1876" s="2477"/>
      <c r="RPK1876" s="2477"/>
      <c r="RPL1876" s="2477"/>
      <c r="RPM1876" s="2477"/>
      <c r="RPN1876" s="2477"/>
      <c r="RPO1876" s="2477"/>
      <c r="RPP1876" s="2477"/>
      <c r="RPQ1876" s="2477"/>
      <c r="RPR1876" s="2477"/>
      <c r="RPS1876" s="2477"/>
      <c r="RPT1876" s="2477"/>
      <c r="RPU1876" s="2477"/>
      <c r="RPV1876" s="2477"/>
      <c r="RPW1876" s="2477"/>
      <c r="RPX1876" s="2477"/>
      <c r="RPY1876" s="2477"/>
      <c r="RPZ1876" s="2477"/>
      <c r="RQA1876" s="2477"/>
      <c r="RQB1876" s="2477"/>
      <c r="RQC1876" s="2477"/>
      <c r="RQD1876" s="2477"/>
      <c r="RQE1876" s="2477"/>
      <c r="RQF1876" s="2477"/>
      <c r="RQG1876" s="2477"/>
      <c r="RQH1876" s="2477"/>
      <c r="RQI1876" s="2477"/>
      <c r="RQJ1876" s="2477"/>
      <c r="RQK1876" s="2477"/>
      <c r="RQL1876" s="2477"/>
      <c r="RQM1876" s="2477"/>
      <c r="RQN1876" s="2477"/>
      <c r="RQO1876" s="2477"/>
      <c r="RQP1876" s="2477"/>
      <c r="RQQ1876" s="2477"/>
      <c r="RQR1876" s="2477"/>
      <c r="RQS1876" s="2477"/>
      <c r="RQT1876" s="2477"/>
      <c r="RQU1876" s="2477"/>
      <c r="RQV1876" s="2477"/>
      <c r="RQW1876" s="2477"/>
      <c r="RQX1876" s="2477"/>
      <c r="RQY1876" s="2477"/>
      <c r="RQZ1876" s="2477"/>
      <c r="RRA1876" s="2477"/>
      <c r="RRB1876" s="2477"/>
      <c r="RRC1876" s="2477"/>
      <c r="RRD1876" s="2477"/>
      <c r="RRE1876" s="2477"/>
      <c r="RRF1876" s="2477"/>
      <c r="RRG1876" s="2477"/>
      <c r="RRH1876" s="2477"/>
      <c r="RRI1876" s="2477"/>
      <c r="RRJ1876" s="2477"/>
      <c r="RRK1876" s="2477"/>
      <c r="RRL1876" s="2477"/>
      <c r="RRM1876" s="2477"/>
      <c r="RRN1876" s="2477"/>
      <c r="RRO1876" s="2477"/>
      <c r="RRP1876" s="2477"/>
      <c r="RRQ1876" s="2477"/>
      <c r="RRR1876" s="2477"/>
      <c r="RRS1876" s="2477"/>
      <c r="RRT1876" s="2477"/>
      <c r="RRU1876" s="2477"/>
      <c r="RRV1876" s="2477"/>
      <c r="RRW1876" s="2477"/>
      <c r="RRX1876" s="2477"/>
      <c r="RRY1876" s="2477"/>
      <c r="RRZ1876" s="2477"/>
      <c r="RSA1876" s="2477"/>
      <c r="RSB1876" s="2477"/>
      <c r="RSC1876" s="2477"/>
      <c r="RSD1876" s="2477"/>
      <c r="RSE1876" s="2477"/>
      <c r="RSF1876" s="2477"/>
      <c r="RSG1876" s="2477"/>
      <c r="RSH1876" s="2477"/>
      <c r="RSI1876" s="2477"/>
      <c r="RSJ1876" s="2477"/>
      <c r="RSK1876" s="2477"/>
      <c r="RSL1876" s="2477"/>
      <c r="RSM1876" s="2477"/>
      <c r="RSN1876" s="2477"/>
      <c r="RSO1876" s="2477"/>
      <c r="RSP1876" s="2477"/>
      <c r="RSQ1876" s="2477"/>
      <c r="RSR1876" s="2477"/>
      <c r="RSS1876" s="2477"/>
      <c r="RST1876" s="2477"/>
      <c r="RSU1876" s="2477"/>
      <c r="RSV1876" s="2477"/>
      <c r="RSW1876" s="2477"/>
      <c r="RSX1876" s="2477"/>
      <c r="RSY1876" s="2477"/>
      <c r="RSZ1876" s="2477"/>
      <c r="RTA1876" s="2477"/>
      <c r="RTB1876" s="2477"/>
      <c r="RTC1876" s="2477"/>
      <c r="RTD1876" s="2477"/>
      <c r="RTE1876" s="2477"/>
      <c r="RTF1876" s="2477"/>
      <c r="RTG1876" s="2477"/>
      <c r="RTH1876" s="2477"/>
      <c r="RTI1876" s="2477"/>
      <c r="RTJ1876" s="2477"/>
      <c r="RTK1876" s="2477"/>
      <c r="RTL1876" s="2477"/>
      <c r="RTM1876" s="2477"/>
      <c r="RTN1876" s="2477"/>
      <c r="RTO1876" s="2477"/>
      <c r="RTP1876" s="2477"/>
      <c r="RTQ1876" s="2477"/>
      <c r="RTR1876" s="2477"/>
      <c r="RTS1876" s="2477"/>
      <c r="RTT1876" s="2477"/>
      <c r="RTU1876" s="2477"/>
      <c r="RTV1876" s="2477"/>
      <c r="RTW1876" s="2477"/>
      <c r="RTX1876" s="2477"/>
      <c r="RTY1876" s="2477"/>
      <c r="RTZ1876" s="2477"/>
      <c r="RUA1876" s="2477"/>
      <c r="RUB1876" s="2477"/>
      <c r="RUC1876" s="2477"/>
      <c r="RUD1876" s="2477"/>
      <c r="RUE1876" s="2477"/>
      <c r="RUF1876" s="2477"/>
      <c r="RUG1876" s="2477"/>
      <c r="RUH1876" s="2477"/>
      <c r="RUI1876" s="2477"/>
      <c r="RUJ1876" s="2477"/>
      <c r="RUK1876" s="2477"/>
      <c r="RUL1876" s="2477"/>
      <c r="RUM1876" s="2477"/>
      <c r="RUN1876" s="2477"/>
      <c r="RUO1876" s="2477"/>
      <c r="RUP1876" s="2477"/>
      <c r="RUQ1876" s="2477"/>
      <c r="RUR1876" s="2477"/>
      <c r="RUS1876" s="2477"/>
      <c r="RUT1876" s="2477"/>
      <c r="RUU1876" s="2477"/>
      <c r="RUV1876" s="2477"/>
      <c r="RUW1876" s="2477"/>
      <c r="RUX1876" s="2477"/>
      <c r="RUY1876" s="2477"/>
      <c r="RUZ1876" s="2477"/>
      <c r="RVA1876" s="2477"/>
      <c r="RVB1876" s="2477"/>
      <c r="RVC1876" s="2477"/>
      <c r="RVD1876" s="2477"/>
      <c r="RVE1876" s="2477"/>
      <c r="RVF1876" s="2477"/>
      <c r="RVG1876" s="2477"/>
      <c r="RVH1876" s="2477"/>
      <c r="RVI1876" s="2477"/>
      <c r="RVJ1876" s="2477"/>
      <c r="RVK1876" s="2477"/>
      <c r="RVL1876" s="2477"/>
      <c r="RVM1876" s="2477"/>
      <c r="RVN1876" s="2477"/>
      <c r="RVO1876" s="2477"/>
      <c r="RVP1876" s="2477"/>
      <c r="RVQ1876" s="2477"/>
      <c r="RVR1876" s="2477"/>
      <c r="RVS1876" s="2477"/>
      <c r="RVT1876" s="2477"/>
      <c r="RVU1876" s="2477"/>
      <c r="RVV1876" s="2477"/>
      <c r="RVW1876" s="2477"/>
      <c r="RVX1876" s="2477"/>
      <c r="RVY1876" s="2477"/>
      <c r="RVZ1876" s="2477"/>
      <c r="RWA1876" s="2477"/>
      <c r="RWB1876" s="2477"/>
      <c r="RWC1876" s="2477"/>
      <c r="RWD1876" s="2477"/>
      <c r="RWE1876" s="2477"/>
      <c r="RWF1876" s="2477"/>
      <c r="RWG1876" s="2477"/>
      <c r="RWH1876" s="2477"/>
      <c r="RWI1876" s="2477"/>
      <c r="RWJ1876" s="2477"/>
      <c r="RWK1876" s="2477"/>
      <c r="RWL1876" s="2477"/>
      <c r="RWM1876" s="2477"/>
      <c r="RWN1876" s="2477"/>
      <c r="RWO1876" s="2477"/>
      <c r="RWP1876" s="2477"/>
      <c r="RWQ1876" s="2477"/>
      <c r="RWR1876" s="2477"/>
      <c r="RWS1876" s="2477"/>
      <c r="RWT1876" s="2477"/>
      <c r="RWU1876" s="2477"/>
      <c r="RWV1876" s="2477"/>
      <c r="RWW1876" s="2477"/>
      <c r="RWX1876" s="2477"/>
      <c r="RWY1876" s="2477"/>
      <c r="RWZ1876" s="2477"/>
      <c r="RXA1876" s="2477"/>
      <c r="RXB1876" s="2477"/>
      <c r="RXC1876" s="2477"/>
      <c r="RXD1876" s="2477"/>
      <c r="RXE1876" s="2477"/>
      <c r="RXF1876" s="2477"/>
      <c r="RXG1876" s="2477"/>
      <c r="RXH1876" s="2477"/>
      <c r="RXI1876" s="2477"/>
      <c r="RXJ1876" s="2477"/>
      <c r="RXK1876" s="2477"/>
      <c r="RXL1876" s="2477"/>
      <c r="RXM1876" s="2477"/>
      <c r="RXN1876" s="2477"/>
      <c r="RXO1876" s="2477"/>
      <c r="RXP1876" s="2477"/>
      <c r="RXQ1876" s="2477"/>
      <c r="RXR1876" s="2477"/>
      <c r="RXS1876" s="2477"/>
      <c r="RXT1876" s="2477"/>
      <c r="RXU1876" s="2477"/>
      <c r="RXV1876" s="2477"/>
      <c r="RXW1876" s="2477"/>
      <c r="RXX1876" s="2477"/>
      <c r="RXY1876" s="2477"/>
      <c r="RXZ1876" s="2477"/>
      <c r="RYA1876" s="2477"/>
      <c r="RYB1876" s="2477"/>
      <c r="RYC1876" s="2477"/>
      <c r="RYD1876" s="2477"/>
      <c r="RYE1876" s="2477"/>
      <c r="RYF1876" s="2477"/>
      <c r="RYG1876" s="2477"/>
      <c r="RYH1876" s="2477"/>
      <c r="RYI1876" s="2477"/>
      <c r="RYJ1876" s="2477"/>
      <c r="RYK1876" s="2477"/>
      <c r="RYL1876" s="2477"/>
      <c r="RYM1876" s="2477"/>
      <c r="RYN1876" s="2477"/>
      <c r="RYO1876" s="2477"/>
      <c r="RYP1876" s="2477"/>
      <c r="RYQ1876" s="2477"/>
      <c r="RYR1876" s="2477"/>
      <c r="RYS1876" s="2477"/>
      <c r="RYT1876" s="2477"/>
      <c r="RYU1876" s="2477"/>
      <c r="RYV1876" s="2477"/>
      <c r="RYW1876" s="2477"/>
      <c r="RYX1876" s="2477"/>
      <c r="RYY1876" s="2477"/>
      <c r="RYZ1876" s="2477"/>
      <c r="RZA1876" s="2477"/>
      <c r="RZB1876" s="2477"/>
      <c r="RZC1876" s="2477"/>
      <c r="RZD1876" s="2477"/>
      <c r="RZE1876" s="2477"/>
      <c r="RZF1876" s="2477"/>
      <c r="RZG1876" s="2477"/>
      <c r="RZH1876" s="2477"/>
      <c r="RZI1876" s="2477"/>
      <c r="RZJ1876" s="2477"/>
      <c r="RZK1876" s="2477"/>
      <c r="RZL1876" s="2477"/>
      <c r="RZM1876" s="2477"/>
      <c r="RZN1876" s="2477"/>
      <c r="RZO1876" s="2477"/>
      <c r="RZP1876" s="2477"/>
      <c r="RZQ1876" s="2477"/>
      <c r="RZR1876" s="2477"/>
      <c r="RZS1876" s="2477"/>
      <c r="RZT1876" s="2477"/>
      <c r="RZU1876" s="2477"/>
      <c r="RZV1876" s="2477"/>
      <c r="RZW1876" s="2477"/>
      <c r="RZX1876" s="2477"/>
      <c r="RZY1876" s="2477"/>
      <c r="RZZ1876" s="2477"/>
      <c r="SAA1876" s="2477"/>
      <c r="SAB1876" s="2477"/>
      <c r="SAC1876" s="2477"/>
      <c r="SAD1876" s="2477"/>
      <c r="SAE1876" s="2477"/>
      <c r="SAF1876" s="2477"/>
      <c r="SAG1876" s="2477"/>
      <c r="SAH1876" s="2477"/>
      <c r="SAI1876" s="2477"/>
      <c r="SAJ1876" s="2477"/>
      <c r="SAK1876" s="2477"/>
      <c r="SAL1876" s="2477"/>
      <c r="SAM1876" s="2477"/>
      <c r="SAN1876" s="2477"/>
      <c r="SAO1876" s="2477"/>
      <c r="SAP1876" s="2477"/>
      <c r="SAQ1876" s="2477"/>
      <c r="SAR1876" s="2477"/>
      <c r="SAS1876" s="2477"/>
      <c r="SAT1876" s="2477"/>
      <c r="SAU1876" s="2477"/>
      <c r="SAV1876" s="2477"/>
      <c r="SAW1876" s="2477"/>
      <c r="SAX1876" s="2477"/>
      <c r="SAY1876" s="2477"/>
      <c r="SAZ1876" s="2477"/>
      <c r="SBA1876" s="2477"/>
      <c r="SBB1876" s="2477"/>
      <c r="SBC1876" s="2477"/>
      <c r="SBD1876" s="2477"/>
      <c r="SBE1876" s="2477"/>
      <c r="SBF1876" s="2477"/>
      <c r="SBG1876" s="2477"/>
      <c r="SBH1876" s="2477"/>
      <c r="SBI1876" s="2477"/>
      <c r="SBJ1876" s="2477"/>
      <c r="SBK1876" s="2477"/>
      <c r="SBL1876" s="2477"/>
      <c r="SBM1876" s="2477"/>
      <c r="SBN1876" s="2477"/>
      <c r="SBO1876" s="2477"/>
      <c r="SBP1876" s="2477"/>
      <c r="SBQ1876" s="2477"/>
      <c r="SBR1876" s="2477"/>
      <c r="SBS1876" s="2477"/>
      <c r="SBT1876" s="2477"/>
      <c r="SBU1876" s="2477"/>
      <c r="SBV1876" s="2477"/>
      <c r="SBW1876" s="2477"/>
      <c r="SBX1876" s="2477"/>
      <c r="SBY1876" s="2477"/>
      <c r="SBZ1876" s="2477"/>
      <c r="SCA1876" s="2477"/>
      <c r="SCB1876" s="2477"/>
      <c r="SCC1876" s="2477"/>
      <c r="SCD1876" s="2477"/>
      <c r="SCE1876" s="2477"/>
      <c r="SCF1876" s="2477"/>
      <c r="SCG1876" s="2477"/>
      <c r="SCH1876" s="2477"/>
      <c r="SCI1876" s="2477"/>
      <c r="SCJ1876" s="2477"/>
      <c r="SCK1876" s="2477"/>
      <c r="SCL1876" s="2477"/>
      <c r="SCM1876" s="2477"/>
      <c r="SCN1876" s="2477"/>
      <c r="SCO1876" s="2477"/>
      <c r="SCP1876" s="2477"/>
      <c r="SCQ1876" s="2477"/>
      <c r="SCR1876" s="2477"/>
      <c r="SCS1876" s="2477"/>
      <c r="SCT1876" s="2477"/>
      <c r="SCU1876" s="2477"/>
      <c r="SCV1876" s="2477"/>
      <c r="SCW1876" s="2477"/>
      <c r="SCX1876" s="2477"/>
      <c r="SCY1876" s="2477"/>
      <c r="SCZ1876" s="2477"/>
      <c r="SDA1876" s="2477"/>
      <c r="SDB1876" s="2477"/>
      <c r="SDC1876" s="2477"/>
      <c r="SDD1876" s="2477"/>
      <c r="SDE1876" s="2477"/>
      <c r="SDF1876" s="2477"/>
      <c r="SDG1876" s="2477"/>
      <c r="SDH1876" s="2477"/>
      <c r="SDI1876" s="2477"/>
      <c r="SDJ1876" s="2477"/>
      <c r="SDK1876" s="2477"/>
      <c r="SDL1876" s="2477"/>
      <c r="SDM1876" s="2477"/>
      <c r="SDN1876" s="2477"/>
      <c r="SDO1876" s="2477"/>
      <c r="SDP1876" s="2477"/>
      <c r="SDQ1876" s="2477"/>
      <c r="SDR1876" s="2477"/>
      <c r="SDS1876" s="2477"/>
      <c r="SDT1876" s="2477"/>
      <c r="SDU1876" s="2477"/>
      <c r="SDV1876" s="2477"/>
      <c r="SDW1876" s="2477"/>
      <c r="SDX1876" s="2477"/>
      <c r="SDY1876" s="2477"/>
      <c r="SDZ1876" s="2477"/>
      <c r="SEA1876" s="2477"/>
      <c r="SEB1876" s="2477"/>
      <c r="SEC1876" s="2477"/>
      <c r="SED1876" s="2477"/>
      <c r="SEE1876" s="2477"/>
      <c r="SEF1876" s="2477"/>
      <c r="SEG1876" s="2477"/>
      <c r="SEH1876" s="2477"/>
      <c r="SEI1876" s="2477"/>
      <c r="SEJ1876" s="2477"/>
      <c r="SEK1876" s="2477"/>
      <c r="SEL1876" s="2477"/>
      <c r="SEM1876" s="2477"/>
      <c r="SEN1876" s="2477"/>
      <c r="SEO1876" s="2477"/>
      <c r="SEP1876" s="2477"/>
      <c r="SEQ1876" s="2477"/>
      <c r="SER1876" s="2477"/>
      <c r="SES1876" s="2477"/>
      <c r="SET1876" s="2477"/>
      <c r="SEU1876" s="2477"/>
      <c r="SEV1876" s="2477"/>
      <c r="SEW1876" s="2477"/>
      <c r="SEX1876" s="2477"/>
      <c r="SEY1876" s="2477"/>
      <c r="SEZ1876" s="2477"/>
      <c r="SFA1876" s="2477"/>
      <c r="SFB1876" s="2477"/>
      <c r="SFC1876" s="2477"/>
      <c r="SFD1876" s="2477"/>
      <c r="SFE1876" s="2477"/>
      <c r="SFF1876" s="2477"/>
      <c r="SFG1876" s="2477"/>
      <c r="SFH1876" s="2477"/>
      <c r="SFI1876" s="2477"/>
      <c r="SFJ1876" s="2477"/>
      <c r="SFK1876" s="2477"/>
      <c r="SFL1876" s="2477"/>
      <c r="SFM1876" s="2477"/>
      <c r="SFN1876" s="2477"/>
      <c r="SFO1876" s="2477"/>
      <c r="SFP1876" s="2477"/>
      <c r="SFQ1876" s="2477"/>
      <c r="SFR1876" s="2477"/>
      <c r="SFS1876" s="2477"/>
      <c r="SFT1876" s="2477"/>
      <c r="SFU1876" s="2477"/>
      <c r="SFV1876" s="2477"/>
      <c r="SFW1876" s="2477"/>
      <c r="SFX1876" s="2477"/>
      <c r="SFY1876" s="2477"/>
      <c r="SFZ1876" s="2477"/>
      <c r="SGA1876" s="2477"/>
      <c r="SGB1876" s="2477"/>
      <c r="SGC1876" s="2477"/>
      <c r="SGD1876" s="2477"/>
      <c r="SGE1876" s="2477"/>
      <c r="SGF1876" s="2477"/>
      <c r="SGG1876" s="2477"/>
      <c r="SGH1876" s="2477"/>
      <c r="SGI1876" s="2477"/>
      <c r="SGJ1876" s="2477"/>
      <c r="SGK1876" s="2477"/>
      <c r="SGL1876" s="2477"/>
      <c r="SGM1876" s="2477"/>
      <c r="SGN1876" s="2477"/>
      <c r="SGO1876" s="2477"/>
      <c r="SGP1876" s="2477"/>
      <c r="SGQ1876" s="2477"/>
      <c r="SGR1876" s="2477"/>
      <c r="SGS1876" s="2477"/>
      <c r="SGT1876" s="2477"/>
      <c r="SGU1876" s="2477"/>
      <c r="SGV1876" s="2477"/>
      <c r="SGW1876" s="2477"/>
      <c r="SGX1876" s="2477"/>
      <c r="SGY1876" s="2477"/>
      <c r="SGZ1876" s="2477"/>
      <c r="SHA1876" s="2477"/>
      <c r="SHB1876" s="2477"/>
      <c r="SHC1876" s="2477"/>
      <c r="SHD1876" s="2477"/>
      <c r="SHE1876" s="2477"/>
      <c r="SHF1876" s="2477"/>
      <c r="SHG1876" s="2477"/>
      <c r="SHH1876" s="2477"/>
      <c r="SHI1876" s="2477"/>
      <c r="SHJ1876" s="2477"/>
      <c r="SHK1876" s="2477"/>
      <c r="SHL1876" s="2477"/>
      <c r="SHM1876" s="2477"/>
      <c r="SHN1876" s="2477"/>
      <c r="SHO1876" s="2477"/>
      <c r="SHP1876" s="2477"/>
      <c r="SHQ1876" s="2477"/>
      <c r="SHR1876" s="2477"/>
      <c r="SHS1876" s="2477"/>
      <c r="SHT1876" s="2477"/>
      <c r="SHU1876" s="2477"/>
      <c r="SHV1876" s="2477"/>
      <c r="SHW1876" s="2477"/>
      <c r="SHX1876" s="2477"/>
      <c r="SHY1876" s="2477"/>
      <c r="SHZ1876" s="2477"/>
      <c r="SIA1876" s="2477"/>
      <c r="SIB1876" s="2477"/>
      <c r="SIC1876" s="2477"/>
      <c r="SID1876" s="2477"/>
      <c r="SIE1876" s="2477"/>
      <c r="SIF1876" s="2477"/>
      <c r="SIG1876" s="2477"/>
      <c r="SIH1876" s="2477"/>
      <c r="SII1876" s="2477"/>
      <c r="SIJ1876" s="2477"/>
      <c r="SIK1876" s="2477"/>
      <c r="SIL1876" s="2477"/>
      <c r="SIM1876" s="2477"/>
      <c r="SIN1876" s="2477"/>
      <c r="SIO1876" s="2477"/>
      <c r="SIP1876" s="2477"/>
      <c r="SIQ1876" s="2477"/>
      <c r="SIR1876" s="2477"/>
      <c r="SIS1876" s="2477"/>
      <c r="SIT1876" s="2477"/>
      <c r="SIU1876" s="2477"/>
      <c r="SIV1876" s="2477"/>
      <c r="SIW1876" s="2477"/>
      <c r="SIX1876" s="2477"/>
      <c r="SIY1876" s="2477"/>
      <c r="SIZ1876" s="2477"/>
      <c r="SJA1876" s="2477"/>
      <c r="SJB1876" s="2477"/>
      <c r="SJC1876" s="2477"/>
      <c r="SJD1876" s="2477"/>
      <c r="SJE1876" s="2477"/>
      <c r="SJF1876" s="2477"/>
      <c r="SJG1876" s="2477"/>
      <c r="SJH1876" s="2477"/>
      <c r="SJI1876" s="2477"/>
      <c r="SJJ1876" s="2477"/>
      <c r="SJK1876" s="2477"/>
      <c r="SJL1876" s="2477"/>
      <c r="SJM1876" s="2477"/>
      <c r="SJN1876" s="2477"/>
      <c r="SJO1876" s="2477"/>
      <c r="SJP1876" s="2477"/>
      <c r="SJQ1876" s="2477"/>
      <c r="SJR1876" s="2477"/>
      <c r="SJS1876" s="2477"/>
      <c r="SJT1876" s="2477"/>
      <c r="SJU1876" s="2477"/>
      <c r="SJV1876" s="2477"/>
      <c r="SJW1876" s="2477"/>
      <c r="SJX1876" s="2477"/>
      <c r="SJY1876" s="2477"/>
      <c r="SJZ1876" s="2477"/>
      <c r="SKA1876" s="2477"/>
      <c r="SKB1876" s="2477"/>
      <c r="SKC1876" s="2477"/>
      <c r="SKD1876" s="2477"/>
      <c r="SKE1876" s="2477"/>
      <c r="SKF1876" s="2477"/>
      <c r="SKG1876" s="2477"/>
      <c r="SKH1876" s="2477"/>
      <c r="SKI1876" s="2477"/>
      <c r="SKJ1876" s="2477"/>
      <c r="SKK1876" s="2477"/>
      <c r="SKL1876" s="2477"/>
      <c r="SKM1876" s="2477"/>
      <c r="SKN1876" s="2477"/>
      <c r="SKO1876" s="2477"/>
      <c r="SKP1876" s="2477"/>
      <c r="SKQ1876" s="2477"/>
      <c r="SKR1876" s="2477"/>
      <c r="SKS1876" s="2477"/>
      <c r="SKT1876" s="2477"/>
      <c r="SKU1876" s="2477"/>
      <c r="SKV1876" s="2477"/>
      <c r="SKW1876" s="2477"/>
      <c r="SKX1876" s="2477"/>
      <c r="SKY1876" s="2477"/>
      <c r="SKZ1876" s="2477"/>
      <c r="SLA1876" s="2477"/>
      <c r="SLB1876" s="2477"/>
      <c r="SLC1876" s="2477"/>
      <c r="SLD1876" s="2477"/>
      <c r="SLE1876" s="2477"/>
      <c r="SLF1876" s="2477"/>
      <c r="SLG1876" s="2477"/>
      <c r="SLH1876" s="2477"/>
      <c r="SLI1876" s="2477"/>
      <c r="SLJ1876" s="2477"/>
      <c r="SLK1876" s="2477"/>
      <c r="SLL1876" s="2477"/>
      <c r="SLM1876" s="2477"/>
      <c r="SLN1876" s="2477"/>
      <c r="SLO1876" s="2477"/>
      <c r="SLP1876" s="2477"/>
      <c r="SLQ1876" s="2477"/>
      <c r="SLR1876" s="2477"/>
      <c r="SLS1876" s="2477"/>
      <c r="SLT1876" s="2477"/>
      <c r="SLU1876" s="2477"/>
      <c r="SLV1876" s="2477"/>
      <c r="SLW1876" s="2477"/>
      <c r="SLX1876" s="2477"/>
      <c r="SLY1876" s="2477"/>
      <c r="SLZ1876" s="2477"/>
      <c r="SMA1876" s="2477"/>
      <c r="SMB1876" s="2477"/>
      <c r="SMC1876" s="2477"/>
      <c r="SMD1876" s="2477"/>
      <c r="SME1876" s="2477"/>
      <c r="SMF1876" s="2477"/>
      <c r="SMG1876" s="2477"/>
      <c r="SMH1876" s="2477"/>
      <c r="SMI1876" s="2477"/>
      <c r="SMJ1876" s="2477"/>
      <c r="SMK1876" s="2477"/>
      <c r="SML1876" s="2477"/>
      <c r="SMM1876" s="2477"/>
      <c r="SMN1876" s="2477"/>
      <c r="SMO1876" s="2477"/>
      <c r="SMP1876" s="2477"/>
      <c r="SMQ1876" s="2477"/>
      <c r="SMR1876" s="2477"/>
      <c r="SMS1876" s="2477"/>
      <c r="SMT1876" s="2477"/>
      <c r="SMU1876" s="2477"/>
      <c r="SMV1876" s="2477"/>
      <c r="SMW1876" s="2477"/>
      <c r="SMX1876" s="2477"/>
      <c r="SMY1876" s="2477"/>
      <c r="SMZ1876" s="2477"/>
      <c r="SNA1876" s="2477"/>
      <c r="SNB1876" s="2477"/>
      <c r="SNC1876" s="2477"/>
      <c r="SND1876" s="2477"/>
      <c r="SNE1876" s="2477"/>
      <c r="SNF1876" s="2477"/>
      <c r="SNG1876" s="2477"/>
      <c r="SNH1876" s="2477"/>
      <c r="SNI1876" s="2477"/>
      <c r="SNJ1876" s="2477"/>
      <c r="SNK1876" s="2477"/>
      <c r="SNL1876" s="2477"/>
      <c r="SNM1876" s="2477"/>
      <c r="SNN1876" s="2477"/>
      <c r="SNO1876" s="2477"/>
      <c r="SNP1876" s="2477"/>
      <c r="SNQ1876" s="2477"/>
      <c r="SNR1876" s="2477"/>
      <c r="SNS1876" s="2477"/>
      <c r="SNT1876" s="2477"/>
      <c r="SNU1876" s="2477"/>
      <c r="SNV1876" s="2477"/>
      <c r="SNW1876" s="2477"/>
      <c r="SNX1876" s="2477"/>
      <c r="SNY1876" s="2477"/>
      <c r="SNZ1876" s="2477"/>
      <c r="SOA1876" s="2477"/>
      <c r="SOB1876" s="2477"/>
      <c r="SOC1876" s="2477"/>
      <c r="SOD1876" s="2477"/>
      <c r="SOE1876" s="2477"/>
      <c r="SOF1876" s="2477"/>
      <c r="SOG1876" s="2477"/>
      <c r="SOH1876" s="2477"/>
      <c r="SOI1876" s="2477"/>
      <c r="SOJ1876" s="2477"/>
      <c r="SOK1876" s="2477"/>
      <c r="SOL1876" s="2477"/>
      <c r="SOM1876" s="2477"/>
      <c r="SON1876" s="2477"/>
      <c r="SOO1876" s="2477"/>
      <c r="SOP1876" s="2477"/>
      <c r="SOQ1876" s="2477"/>
      <c r="SOR1876" s="2477"/>
      <c r="SOS1876" s="2477"/>
      <c r="SOT1876" s="2477"/>
      <c r="SOU1876" s="2477"/>
      <c r="SOV1876" s="2477"/>
      <c r="SOW1876" s="2477"/>
      <c r="SOX1876" s="2477"/>
      <c r="SOY1876" s="2477"/>
      <c r="SOZ1876" s="2477"/>
      <c r="SPA1876" s="2477"/>
      <c r="SPB1876" s="2477"/>
      <c r="SPC1876" s="2477"/>
      <c r="SPD1876" s="2477"/>
      <c r="SPE1876" s="2477"/>
      <c r="SPF1876" s="2477"/>
      <c r="SPG1876" s="2477"/>
      <c r="SPH1876" s="2477"/>
      <c r="SPI1876" s="2477"/>
      <c r="SPJ1876" s="2477"/>
      <c r="SPK1876" s="2477"/>
      <c r="SPL1876" s="2477"/>
      <c r="SPM1876" s="2477"/>
      <c r="SPN1876" s="2477"/>
      <c r="SPO1876" s="2477"/>
      <c r="SPP1876" s="2477"/>
      <c r="SPQ1876" s="2477"/>
      <c r="SPR1876" s="2477"/>
      <c r="SPS1876" s="2477"/>
      <c r="SPT1876" s="2477"/>
      <c r="SPU1876" s="2477"/>
      <c r="SPV1876" s="2477"/>
      <c r="SPW1876" s="2477"/>
      <c r="SPX1876" s="2477"/>
      <c r="SPY1876" s="2477"/>
      <c r="SPZ1876" s="2477"/>
      <c r="SQA1876" s="2477"/>
      <c r="SQB1876" s="2477"/>
      <c r="SQC1876" s="2477"/>
      <c r="SQD1876" s="2477"/>
      <c r="SQE1876" s="2477"/>
      <c r="SQF1876" s="2477"/>
      <c r="SQG1876" s="2477"/>
      <c r="SQH1876" s="2477"/>
      <c r="SQI1876" s="2477"/>
      <c r="SQJ1876" s="2477"/>
      <c r="SQK1876" s="2477"/>
      <c r="SQL1876" s="2477"/>
      <c r="SQM1876" s="2477"/>
      <c r="SQN1876" s="2477"/>
      <c r="SQO1876" s="2477"/>
      <c r="SQP1876" s="2477"/>
      <c r="SQQ1876" s="2477"/>
      <c r="SQR1876" s="2477"/>
      <c r="SQS1876" s="2477"/>
      <c r="SQT1876" s="2477"/>
      <c r="SQU1876" s="2477"/>
      <c r="SQV1876" s="2477"/>
      <c r="SQW1876" s="2477"/>
      <c r="SQX1876" s="2477"/>
      <c r="SQY1876" s="2477"/>
      <c r="SQZ1876" s="2477"/>
      <c r="SRA1876" s="2477"/>
      <c r="SRB1876" s="2477"/>
      <c r="SRC1876" s="2477"/>
      <c r="SRD1876" s="2477"/>
      <c r="SRE1876" s="2477"/>
      <c r="SRF1876" s="2477"/>
      <c r="SRG1876" s="2477"/>
      <c r="SRH1876" s="2477"/>
      <c r="SRI1876" s="2477"/>
      <c r="SRJ1876" s="2477"/>
      <c r="SRK1876" s="2477"/>
      <c r="SRL1876" s="2477"/>
      <c r="SRM1876" s="2477"/>
      <c r="SRN1876" s="2477"/>
      <c r="SRO1876" s="2477"/>
      <c r="SRP1876" s="2477"/>
      <c r="SRQ1876" s="2477"/>
      <c r="SRR1876" s="2477"/>
      <c r="SRS1876" s="2477"/>
      <c r="SRT1876" s="2477"/>
      <c r="SRU1876" s="2477"/>
      <c r="SRV1876" s="2477"/>
      <c r="SRW1876" s="2477"/>
      <c r="SRX1876" s="2477"/>
      <c r="SRY1876" s="2477"/>
      <c r="SRZ1876" s="2477"/>
      <c r="SSA1876" s="2477"/>
      <c r="SSB1876" s="2477"/>
      <c r="SSC1876" s="2477"/>
      <c r="SSD1876" s="2477"/>
      <c r="SSE1876" s="2477"/>
      <c r="SSF1876" s="2477"/>
      <c r="SSG1876" s="2477"/>
      <c r="SSH1876" s="2477"/>
      <c r="SSI1876" s="2477"/>
      <c r="SSJ1876" s="2477"/>
      <c r="SSK1876" s="2477"/>
      <c r="SSL1876" s="2477"/>
      <c r="SSM1876" s="2477"/>
      <c r="SSN1876" s="2477"/>
      <c r="SSO1876" s="2477"/>
      <c r="SSP1876" s="2477"/>
      <c r="SSQ1876" s="2477"/>
      <c r="SSR1876" s="2477"/>
      <c r="SSS1876" s="2477"/>
      <c r="SST1876" s="2477"/>
      <c r="SSU1876" s="2477"/>
      <c r="SSV1876" s="2477"/>
      <c r="SSW1876" s="2477"/>
      <c r="SSX1876" s="2477"/>
      <c r="SSY1876" s="2477"/>
      <c r="SSZ1876" s="2477"/>
      <c r="STA1876" s="2477"/>
      <c r="STB1876" s="2477"/>
      <c r="STC1876" s="2477"/>
      <c r="STD1876" s="2477"/>
      <c r="STE1876" s="2477"/>
      <c r="STF1876" s="2477"/>
      <c r="STG1876" s="2477"/>
      <c r="STH1876" s="2477"/>
      <c r="STI1876" s="2477"/>
      <c r="STJ1876" s="2477"/>
      <c r="STK1876" s="2477"/>
      <c r="STL1876" s="2477"/>
      <c r="STM1876" s="2477"/>
      <c r="STN1876" s="2477"/>
      <c r="STO1876" s="2477"/>
      <c r="STP1876" s="2477"/>
      <c r="STQ1876" s="2477"/>
      <c r="STR1876" s="2477"/>
      <c r="STS1876" s="2477"/>
      <c r="STT1876" s="2477"/>
      <c r="STU1876" s="2477"/>
      <c r="STV1876" s="2477"/>
      <c r="STW1876" s="2477"/>
      <c r="STX1876" s="2477"/>
      <c r="STY1876" s="2477"/>
      <c r="STZ1876" s="2477"/>
      <c r="SUA1876" s="2477"/>
      <c r="SUB1876" s="2477"/>
      <c r="SUC1876" s="2477"/>
      <c r="SUD1876" s="2477"/>
      <c r="SUE1876" s="2477"/>
      <c r="SUF1876" s="2477"/>
      <c r="SUG1876" s="2477"/>
      <c r="SUH1876" s="2477"/>
      <c r="SUI1876" s="2477"/>
      <c r="SUJ1876" s="2477"/>
      <c r="SUK1876" s="2477"/>
      <c r="SUL1876" s="2477"/>
      <c r="SUM1876" s="2477"/>
      <c r="SUN1876" s="2477"/>
      <c r="SUO1876" s="2477"/>
      <c r="SUP1876" s="2477"/>
      <c r="SUQ1876" s="2477"/>
      <c r="SUR1876" s="2477"/>
      <c r="SUS1876" s="2477"/>
      <c r="SUT1876" s="2477"/>
      <c r="SUU1876" s="2477"/>
      <c r="SUV1876" s="2477"/>
      <c r="SUW1876" s="2477"/>
      <c r="SUX1876" s="2477"/>
      <c r="SUY1876" s="2477"/>
      <c r="SUZ1876" s="2477"/>
      <c r="SVA1876" s="2477"/>
      <c r="SVB1876" s="2477"/>
      <c r="SVC1876" s="2477"/>
      <c r="SVD1876" s="2477"/>
      <c r="SVE1876" s="2477"/>
      <c r="SVF1876" s="2477"/>
      <c r="SVG1876" s="2477"/>
      <c r="SVH1876" s="2477"/>
      <c r="SVI1876" s="2477"/>
      <c r="SVJ1876" s="2477"/>
      <c r="SVK1876" s="2477"/>
      <c r="SVL1876" s="2477"/>
      <c r="SVM1876" s="2477"/>
      <c r="SVN1876" s="2477"/>
      <c r="SVO1876" s="2477"/>
      <c r="SVP1876" s="2477"/>
      <c r="SVQ1876" s="2477"/>
      <c r="SVR1876" s="2477"/>
      <c r="SVS1876" s="2477"/>
      <c r="SVT1876" s="2477"/>
      <c r="SVU1876" s="2477"/>
      <c r="SVV1876" s="2477"/>
      <c r="SVW1876" s="2477"/>
      <c r="SVX1876" s="2477"/>
      <c r="SVY1876" s="2477"/>
      <c r="SVZ1876" s="2477"/>
      <c r="SWA1876" s="2477"/>
      <c r="SWB1876" s="2477"/>
      <c r="SWC1876" s="2477"/>
      <c r="SWD1876" s="2477"/>
      <c r="SWE1876" s="2477"/>
      <c r="SWF1876" s="2477"/>
      <c r="SWG1876" s="2477"/>
      <c r="SWH1876" s="2477"/>
      <c r="SWI1876" s="2477"/>
      <c r="SWJ1876" s="2477"/>
      <c r="SWK1876" s="2477"/>
      <c r="SWL1876" s="2477"/>
      <c r="SWM1876" s="2477"/>
      <c r="SWN1876" s="2477"/>
      <c r="SWO1876" s="2477"/>
      <c r="SWP1876" s="2477"/>
      <c r="SWQ1876" s="2477"/>
      <c r="SWR1876" s="2477"/>
      <c r="SWS1876" s="2477"/>
      <c r="SWT1876" s="2477"/>
      <c r="SWU1876" s="2477"/>
      <c r="SWV1876" s="2477"/>
      <c r="SWW1876" s="2477"/>
      <c r="SWX1876" s="2477"/>
      <c r="SWY1876" s="2477"/>
      <c r="SWZ1876" s="2477"/>
      <c r="SXA1876" s="2477"/>
      <c r="SXB1876" s="2477"/>
      <c r="SXC1876" s="2477"/>
      <c r="SXD1876" s="2477"/>
      <c r="SXE1876" s="2477"/>
      <c r="SXF1876" s="2477"/>
      <c r="SXG1876" s="2477"/>
      <c r="SXH1876" s="2477"/>
      <c r="SXI1876" s="2477"/>
      <c r="SXJ1876" s="2477"/>
      <c r="SXK1876" s="2477"/>
      <c r="SXL1876" s="2477"/>
      <c r="SXM1876" s="2477"/>
      <c r="SXN1876" s="2477"/>
      <c r="SXO1876" s="2477"/>
      <c r="SXP1876" s="2477"/>
      <c r="SXQ1876" s="2477"/>
      <c r="SXR1876" s="2477"/>
      <c r="SXS1876" s="2477"/>
      <c r="SXT1876" s="2477"/>
      <c r="SXU1876" s="2477"/>
      <c r="SXV1876" s="2477"/>
      <c r="SXW1876" s="2477"/>
      <c r="SXX1876" s="2477"/>
      <c r="SXY1876" s="2477"/>
      <c r="SXZ1876" s="2477"/>
      <c r="SYA1876" s="2477"/>
      <c r="SYB1876" s="2477"/>
      <c r="SYC1876" s="2477"/>
      <c r="SYD1876" s="2477"/>
      <c r="SYE1876" s="2477"/>
      <c r="SYF1876" s="2477"/>
      <c r="SYG1876" s="2477"/>
      <c r="SYH1876" s="2477"/>
      <c r="SYI1876" s="2477"/>
      <c r="SYJ1876" s="2477"/>
      <c r="SYK1876" s="2477"/>
      <c r="SYL1876" s="2477"/>
      <c r="SYM1876" s="2477"/>
      <c r="SYN1876" s="2477"/>
      <c r="SYO1876" s="2477"/>
      <c r="SYP1876" s="2477"/>
      <c r="SYQ1876" s="2477"/>
      <c r="SYR1876" s="2477"/>
      <c r="SYS1876" s="2477"/>
      <c r="SYT1876" s="2477"/>
      <c r="SYU1876" s="2477"/>
      <c r="SYV1876" s="2477"/>
      <c r="SYW1876" s="2477"/>
      <c r="SYX1876" s="2477"/>
      <c r="SYY1876" s="2477"/>
      <c r="SYZ1876" s="2477"/>
      <c r="SZA1876" s="2477"/>
      <c r="SZB1876" s="2477"/>
      <c r="SZC1876" s="2477"/>
      <c r="SZD1876" s="2477"/>
      <c r="SZE1876" s="2477"/>
      <c r="SZF1876" s="2477"/>
      <c r="SZG1876" s="2477"/>
      <c r="SZH1876" s="2477"/>
      <c r="SZI1876" s="2477"/>
      <c r="SZJ1876" s="2477"/>
      <c r="SZK1876" s="2477"/>
      <c r="SZL1876" s="2477"/>
      <c r="SZM1876" s="2477"/>
      <c r="SZN1876" s="2477"/>
      <c r="SZO1876" s="2477"/>
      <c r="SZP1876" s="2477"/>
      <c r="SZQ1876" s="2477"/>
      <c r="SZR1876" s="2477"/>
      <c r="SZS1876" s="2477"/>
      <c r="SZT1876" s="2477"/>
      <c r="SZU1876" s="2477"/>
      <c r="SZV1876" s="2477"/>
      <c r="SZW1876" s="2477"/>
      <c r="SZX1876" s="2477"/>
      <c r="SZY1876" s="2477"/>
      <c r="SZZ1876" s="2477"/>
      <c r="TAA1876" s="2477"/>
      <c r="TAB1876" s="2477"/>
      <c r="TAC1876" s="2477"/>
      <c r="TAD1876" s="2477"/>
      <c r="TAE1876" s="2477"/>
      <c r="TAF1876" s="2477"/>
      <c r="TAG1876" s="2477"/>
      <c r="TAH1876" s="2477"/>
      <c r="TAI1876" s="2477"/>
      <c r="TAJ1876" s="2477"/>
      <c r="TAK1876" s="2477"/>
      <c r="TAL1876" s="2477"/>
      <c r="TAM1876" s="2477"/>
      <c r="TAN1876" s="2477"/>
      <c r="TAO1876" s="2477"/>
      <c r="TAP1876" s="2477"/>
      <c r="TAQ1876" s="2477"/>
      <c r="TAR1876" s="2477"/>
      <c r="TAS1876" s="2477"/>
      <c r="TAT1876" s="2477"/>
      <c r="TAU1876" s="2477"/>
      <c r="TAV1876" s="2477"/>
      <c r="TAW1876" s="2477"/>
      <c r="TAX1876" s="2477"/>
      <c r="TAY1876" s="2477"/>
      <c r="TAZ1876" s="2477"/>
      <c r="TBA1876" s="2477"/>
      <c r="TBB1876" s="2477"/>
      <c r="TBC1876" s="2477"/>
      <c r="TBD1876" s="2477"/>
      <c r="TBE1876" s="2477"/>
      <c r="TBF1876" s="2477"/>
      <c r="TBG1876" s="2477"/>
      <c r="TBH1876" s="2477"/>
      <c r="TBI1876" s="2477"/>
      <c r="TBJ1876" s="2477"/>
      <c r="TBK1876" s="2477"/>
      <c r="TBL1876" s="2477"/>
      <c r="TBM1876" s="2477"/>
      <c r="TBN1876" s="2477"/>
      <c r="TBO1876" s="2477"/>
      <c r="TBP1876" s="2477"/>
      <c r="TBQ1876" s="2477"/>
      <c r="TBR1876" s="2477"/>
      <c r="TBS1876" s="2477"/>
      <c r="TBT1876" s="2477"/>
      <c r="TBU1876" s="2477"/>
      <c r="TBV1876" s="2477"/>
      <c r="TBW1876" s="2477"/>
      <c r="TBX1876" s="2477"/>
      <c r="TBY1876" s="2477"/>
      <c r="TBZ1876" s="2477"/>
      <c r="TCA1876" s="2477"/>
      <c r="TCB1876" s="2477"/>
      <c r="TCC1876" s="2477"/>
      <c r="TCD1876" s="2477"/>
      <c r="TCE1876" s="2477"/>
      <c r="TCF1876" s="2477"/>
      <c r="TCG1876" s="2477"/>
      <c r="TCH1876" s="2477"/>
      <c r="TCI1876" s="2477"/>
      <c r="TCJ1876" s="2477"/>
      <c r="TCK1876" s="2477"/>
      <c r="TCL1876" s="2477"/>
      <c r="TCM1876" s="2477"/>
      <c r="TCN1876" s="2477"/>
      <c r="TCO1876" s="2477"/>
      <c r="TCP1876" s="2477"/>
      <c r="TCQ1876" s="2477"/>
      <c r="TCR1876" s="2477"/>
      <c r="TCS1876" s="2477"/>
      <c r="TCT1876" s="2477"/>
      <c r="TCU1876" s="2477"/>
      <c r="TCV1876" s="2477"/>
      <c r="TCW1876" s="2477"/>
      <c r="TCX1876" s="2477"/>
      <c r="TCY1876" s="2477"/>
      <c r="TCZ1876" s="2477"/>
      <c r="TDA1876" s="2477"/>
      <c r="TDB1876" s="2477"/>
      <c r="TDC1876" s="2477"/>
      <c r="TDD1876" s="2477"/>
      <c r="TDE1876" s="2477"/>
      <c r="TDF1876" s="2477"/>
      <c r="TDG1876" s="2477"/>
      <c r="TDH1876" s="2477"/>
      <c r="TDI1876" s="2477"/>
      <c r="TDJ1876" s="2477"/>
      <c r="TDK1876" s="2477"/>
      <c r="TDL1876" s="2477"/>
      <c r="TDM1876" s="2477"/>
      <c r="TDN1876" s="2477"/>
      <c r="TDO1876" s="2477"/>
      <c r="TDP1876" s="2477"/>
      <c r="TDQ1876" s="2477"/>
      <c r="TDR1876" s="2477"/>
      <c r="TDS1876" s="2477"/>
      <c r="TDT1876" s="2477"/>
      <c r="TDU1876" s="2477"/>
      <c r="TDV1876" s="2477"/>
      <c r="TDW1876" s="2477"/>
      <c r="TDX1876" s="2477"/>
      <c r="TDY1876" s="2477"/>
      <c r="TDZ1876" s="2477"/>
      <c r="TEA1876" s="2477"/>
      <c r="TEB1876" s="2477"/>
      <c r="TEC1876" s="2477"/>
      <c r="TED1876" s="2477"/>
      <c r="TEE1876" s="2477"/>
      <c r="TEF1876" s="2477"/>
      <c r="TEG1876" s="2477"/>
      <c r="TEH1876" s="2477"/>
      <c r="TEI1876" s="2477"/>
      <c r="TEJ1876" s="2477"/>
      <c r="TEK1876" s="2477"/>
      <c r="TEL1876" s="2477"/>
      <c r="TEM1876" s="2477"/>
      <c r="TEN1876" s="2477"/>
      <c r="TEO1876" s="2477"/>
      <c r="TEP1876" s="2477"/>
      <c r="TEQ1876" s="2477"/>
      <c r="TER1876" s="2477"/>
      <c r="TES1876" s="2477"/>
      <c r="TET1876" s="2477"/>
      <c r="TEU1876" s="2477"/>
      <c r="TEV1876" s="2477"/>
      <c r="TEW1876" s="2477"/>
      <c r="TEX1876" s="2477"/>
      <c r="TEY1876" s="2477"/>
      <c r="TEZ1876" s="2477"/>
      <c r="TFA1876" s="2477"/>
      <c r="TFB1876" s="2477"/>
      <c r="TFC1876" s="2477"/>
      <c r="TFD1876" s="2477"/>
      <c r="TFE1876" s="2477"/>
      <c r="TFF1876" s="2477"/>
      <c r="TFG1876" s="2477"/>
      <c r="TFH1876" s="2477"/>
      <c r="TFI1876" s="2477"/>
      <c r="TFJ1876" s="2477"/>
      <c r="TFK1876" s="2477"/>
      <c r="TFL1876" s="2477"/>
      <c r="TFM1876" s="2477"/>
      <c r="TFN1876" s="2477"/>
      <c r="TFO1876" s="2477"/>
      <c r="TFP1876" s="2477"/>
      <c r="TFQ1876" s="2477"/>
      <c r="TFR1876" s="2477"/>
      <c r="TFS1876" s="2477"/>
      <c r="TFT1876" s="2477"/>
      <c r="TFU1876" s="2477"/>
      <c r="TFV1876" s="2477"/>
      <c r="TFW1876" s="2477"/>
      <c r="TFX1876" s="2477"/>
      <c r="TFY1876" s="2477"/>
      <c r="TFZ1876" s="2477"/>
      <c r="TGA1876" s="2477"/>
      <c r="TGB1876" s="2477"/>
      <c r="TGC1876" s="2477"/>
      <c r="TGD1876" s="2477"/>
      <c r="TGE1876" s="2477"/>
      <c r="TGF1876" s="2477"/>
      <c r="TGG1876" s="2477"/>
      <c r="TGH1876" s="2477"/>
      <c r="TGI1876" s="2477"/>
      <c r="TGJ1876" s="2477"/>
      <c r="TGK1876" s="2477"/>
      <c r="TGL1876" s="2477"/>
      <c r="TGM1876" s="2477"/>
      <c r="TGN1876" s="2477"/>
      <c r="TGO1876" s="2477"/>
      <c r="TGP1876" s="2477"/>
      <c r="TGQ1876" s="2477"/>
      <c r="TGR1876" s="2477"/>
      <c r="TGS1876" s="2477"/>
      <c r="TGT1876" s="2477"/>
      <c r="TGU1876" s="2477"/>
      <c r="TGV1876" s="2477"/>
      <c r="TGW1876" s="2477"/>
      <c r="TGX1876" s="2477"/>
      <c r="TGY1876" s="2477"/>
      <c r="TGZ1876" s="2477"/>
      <c r="THA1876" s="2477"/>
      <c r="THB1876" s="2477"/>
      <c r="THC1876" s="2477"/>
      <c r="THD1876" s="2477"/>
      <c r="THE1876" s="2477"/>
      <c r="THF1876" s="2477"/>
      <c r="THG1876" s="2477"/>
      <c r="THH1876" s="2477"/>
      <c r="THI1876" s="2477"/>
      <c r="THJ1876" s="2477"/>
      <c r="THK1876" s="2477"/>
      <c r="THL1876" s="2477"/>
      <c r="THM1876" s="2477"/>
      <c r="THN1876" s="2477"/>
      <c r="THO1876" s="2477"/>
      <c r="THP1876" s="2477"/>
      <c r="THQ1876" s="2477"/>
      <c r="THR1876" s="2477"/>
      <c r="THS1876" s="2477"/>
      <c r="THT1876" s="2477"/>
      <c r="THU1876" s="2477"/>
      <c r="THV1876" s="2477"/>
      <c r="THW1876" s="2477"/>
      <c r="THX1876" s="2477"/>
      <c r="THY1876" s="2477"/>
      <c r="THZ1876" s="2477"/>
      <c r="TIA1876" s="2477"/>
      <c r="TIB1876" s="2477"/>
      <c r="TIC1876" s="2477"/>
      <c r="TID1876" s="2477"/>
      <c r="TIE1876" s="2477"/>
      <c r="TIF1876" s="2477"/>
      <c r="TIG1876" s="2477"/>
      <c r="TIH1876" s="2477"/>
      <c r="TII1876" s="2477"/>
      <c r="TIJ1876" s="2477"/>
      <c r="TIK1876" s="2477"/>
      <c r="TIL1876" s="2477"/>
      <c r="TIM1876" s="2477"/>
      <c r="TIN1876" s="2477"/>
      <c r="TIO1876" s="2477"/>
      <c r="TIP1876" s="2477"/>
      <c r="TIQ1876" s="2477"/>
      <c r="TIR1876" s="2477"/>
      <c r="TIS1876" s="2477"/>
      <c r="TIT1876" s="2477"/>
      <c r="TIU1876" s="2477"/>
      <c r="TIV1876" s="2477"/>
      <c r="TIW1876" s="2477"/>
      <c r="TIX1876" s="2477"/>
      <c r="TIY1876" s="2477"/>
      <c r="TIZ1876" s="2477"/>
      <c r="TJA1876" s="2477"/>
      <c r="TJB1876" s="2477"/>
      <c r="TJC1876" s="2477"/>
      <c r="TJD1876" s="2477"/>
      <c r="TJE1876" s="2477"/>
      <c r="TJF1876" s="2477"/>
      <c r="TJG1876" s="2477"/>
      <c r="TJH1876" s="2477"/>
      <c r="TJI1876" s="2477"/>
      <c r="TJJ1876" s="2477"/>
      <c r="TJK1876" s="2477"/>
      <c r="TJL1876" s="2477"/>
      <c r="TJM1876" s="2477"/>
      <c r="TJN1876" s="2477"/>
      <c r="TJO1876" s="2477"/>
      <c r="TJP1876" s="2477"/>
      <c r="TJQ1876" s="2477"/>
      <c r="TJR1876" s="2477"/>
      <c r="TJS1876" s="2477"/>
      <c r="TJT1876" s="2477"/>
      <c r="TJU1876" s="2477"/>
      <c r="TJV1876" s="2477"/>
      <c r="TJW1876" s="2477"/>
      <c r="TJX1876" s="2477"/>
      <c r="TJY1876" s="2477"/>
      <c r="TJZ1876" s="2477"/>
      <c r="TKA1876" s="2477"/>
      <c r="TKB1876" s="2477"/>
      <c r="TKC1876" s="2477"/>
      <c r="TKD1876" s="2477"/>
      <c r="TKE1876" s="2477"/>
      <c r="TKF1876" s="2477"/>
      <c r="TKG1876" s="2477"/>
      <c r="TKH1876" s="2477"/>
      <c r="TKI1876" s="2477"/>
      <c r="TKJ1876" s="2477"/>
      <c r="TKK1876" s="2477"/>
      <c r="TKL1876" s="2477"/>
      <c r="TKM1876" s="2477"/>
      <c r="TKN1876" s="2477"/>
      <c r="TKO1876" s="2477"/>
      <c r="TKP1876" s="2477"/>
      <c r="TKQ1876" s="2477"/>
      <c r="TKR1876" s="2477"/>
      <c r="TKS1876" s="2477"/>
      <c r="TKT1876" s="2477"/>
      <c r="TKU1876" s="2477"/>
      <c r="TKV1876" s="2477"/>
      <c r="TKW1876" s="2477"/>
      <c r="TKX1876" s="2477"/>
      <c r="TKY1876" s="2477"/>
      <c r="TKZ1876" s="2477"/>
      <c r="TLA1876" s="2477"/>
      <c r="TLB1876" s="2477"/>
      <c r="TLC1876" s="2477"/>
      <c r="TLD1876" s="2477"/>
      <c r="TLE1876" s="2477"/>
      <c r="TLF1876" s="2477"/>
      <c r="TLG1876" s="2477"/>
      <c r="TLH1876" s="2477"/>
      <c r="TLI1876" s="2477"/>
      <c r="TLJ1876" s="2477"/>
      <c r="TLK1876" s="2477"/>
      <c r="TLL1876" s="2477"/>
      <c r="TLM1876" s="2477"/>
      <c r="TLN1876" s="2477"/>
      <c r="TLO1876" s="2477"/>
      <c r="TLP1876" s="2477"/>
      <c r="TLQ1876" s="2477"/>
      <c r="TLR1876" s="2477"/>
      <c r="TLS1876" s="2477"/>
      <c r="TLT1876" s="2477"/>
      <c r="TLU1876" s="2477"/>
      <c r="TLV1876" s="2477"/>
      <c r="TLW1876" s="2477"/>
      <c r="TLX1876" s="2477"/>
      <c r="TLY1876" s="2477"/>
      <c r="TLZ1876" s="2477"/>
      <c r="TMA1876" s="2477"/>
      <c r="TMB1876" s="2477"/>
      <c r="TMC1876" s="2477"/>
      <c r="TMD1876" s="2477"/>
      <c r="TME1876" s="2477"/>
      <c r="TMF1876" s="2477"/>
      <c r="TMG1876" s="2477"/>
      <c r="TMH1876" s="2477"/>
      <c r="TMI1876" s="2477"/>
      <c r="TMJ1876" s="2477"/>
      <c r="TMK1876" s="2477"/>
      <c r="TML1876" s="2477"/>
      <c r="TMM1876" s="2477"/>
      <c r="TMN1876" s="2477"/>
      <c r="TMO1876" s="2477"/>
      <c r="TMP1876" s="2477"/>
      <c r="TMQ1876" s="2477"/>
      <c r="TMR1876" s="2477"/>
      <c r="TMS1876" s="2477"/>
      <c r="TMT1876" s="2477"/>
      <c r="TMU1876" s="2477"/>
      <c r="TMV1876" s="2477"/>
      <c r="TMW1876" s="2477"/>
      <c r="TMX1876" s="2477"/>
      <c r="TMY1876" s="2477"/>
      <c r="TMZ1876" s="2477"/>
      <c r="TNA1876" s="2477"/>
      <c r="TNB1876" s="2477"/>
      <c r="TNC1876" s="2477"/>
      <c r="TND1876" s="2477"/>
      <c r="TNE1876" s="2477"/>
      <c r="TNF1876" s="2477"/>
      <c r="TNG1876" s="2477"/>
      <c r="TNH1876" s="2477"/>
      <c r="TNI1876" s="2477"/>
      <c r="TNJ1876" s="2477"/>
      <c r="TNK1876" s="2477"/>
      <c r="TNL1876" s="2477"/>
      <c r="TNM1876" s="2477"/>
      <c r="TNN1876" s="2477"/>
      <c r="TNO1876" s="2477"/>
      <c r="TNP1876" s="2477"/>
      <c r="TNQ1876" s="2477"/>
      <c r="TNR1876" s="2477"/>
      <c r="TNS1876" s="2477"/>
      <c r="TNT1876" s="2477"/>
      <c r="TNU1876" s="2477"/>
      <c r="TNV1876" s="2477"/>
      <c r="TNW1876" s="2477"/>
      <c r="TNX1876" s="2477"/>
      <c r="TNY1876" s="2477"/>
      <c r="TNZ1876" s="2477"/>
      <c r="TOA1876" s="2477"/>
      <c r="TOB1876" s="2477"/>
      <c r="TOC1876" s="2477"/>
      <c r="TOD1876" s="2477"/>
      <c r="TOE1876" s="2477"/>
      <c r="TOF1876" s="2477"/>
      <c r="TOG1876" s="2477"/>
      <c r="TOH1876" s="2477"/>
      <c r="TOI1876" s="2477"/>
      <c r="TOJ1876" s="2477"/>
      <c r="TOK1876" s="2477"/>
      <c r="TOL1876" s="2477"/>
      <c r="TOM1876" s="2477"/>
      <c r="TON1876" s="2477"/>
      <c r="TOO1876" s="2477"/>
      <c r="TOP1876" s="2477"/>
      <c r="TOQ1876" s="2477"/>
      <c r="TOR1876" s="2477"/>
      <c r="TOS1876" s="2477"/>
      <c r="TOT1876" s="2477"/>
      <c r="TOU1876" s="2477"/>
      <c r="TOV1876" s="2477"/>
      <c r="TOW1876" s="2477"/>
      <c r="TOX1876" s="2477"/>
      <c r="TOY1876" s="2477"/>
      <c r="TOZ1876" s="2477"/>
      <c r="TPA1876" s="2477"/>
      <c r="TPB1876" s="2477"/>
      <c r="TPC1876" s="2477"/>
      <c r="TPD1876" s="2477"/>
      <c r="TPE1876" s="2477"/>
      <c r="TPF1876" s="2477"/>
      <c r="TPG1876" s="2477"/>
      <c r="TPH1876" s="2477"/>
      <c r="TPI1876" s="2477"/>
      <c r="TPJ1876" s="2477"/>
      <c r="TPK1876" s="2477"/>
      <c r="TPL1876" s="2477"/>
      <c r="TPM1876" s="2477"/>
      <c r="TPN1876" s="2477"/>
      <c r="TPO1876" s="2477"/>
      <c r="TPP1876" s="2477"/>
      <c r="TPQ1876" s="2477"/>
      <c r="TPR1876" s="2477"/>
      <c r="TPS1876" s="2477"/>
      <c r="TPT1876" s="2477"/>
      <c r="TPU1876" s="2477"/>
      <c r="TPV1876" s="2477"/>
      <c r="TPW1876" s="2477"/>
      <c r="TPX1876" s="2477"/>
      <c r="TPY1876" s="2477"/>
      <c r="TPZ1876" s="2477"/>
      <c r="TQA1876" s="2477"/>
      <c r="TQB1876" s="2477"/>
      <c r="TQC1876" s="2477"/>
      <c r="TQD1876" s="2477"/>
      <c r="TQE1876" s="2477"/>
      <c r="TQF1876" s="2477"/>
      <c r="TQG1876" s="2477"/>
      <c r="TQH1876" s="2477"/>
      <c r="TQI1876" s="2477"/>
      <c r="TQJ1876" s="2477"/>
      <c r="TQK1876" s="2477"/>
      <c r="TQL1876" s="2477"/>
      <c r="TQM1876" s="2477"/>
      <c r="TQN1876" s="2477"/>
      <c r="TQO1876" s="2477"/>
      <c r="TQP1876" s="2477"/>
      <c r="TQQ1876" s="2477"/>
      <c r="TQR1876" s="2477"/>
      <c r="TQS1876" s="2477"/>
      <c r="TQT1876" s="2477"/>
      <c r="TQU1876" s="2477"/>
      <c r="TQV1876" s="2477"/>
      <c r="TQW1876" s="2477"/>
      <c r="TQX1876" s="2477"/>
      <c r="TQY1876" s="2477"/>
      <c r="TQZ1876" s="2477"/>
      <c r="TRA1876" s="2477"/>
      <c r="TRB1876" s="2477"/>
      <c r="TRC1876" s="2477"/>
      <c r="TRD1876" s="2477"/>
      <c r="TRE1876" s="2477"/>
      <c r="TRF1876" s="2477"/>
      <c r="TRG1876" s="2477"/>
      <c r="TRH1876" s="2477"/>
      <c r="TRI1876" s="2477"/>
      <c r="TRJ1876" s="2477"/>
      <c r="TRK1876" s="2477"/>
      <c r="TRL1876" s="2477"/>
      <c r="TRM1876" s="2477"/>
      <c r="TRN1876" s="2477"/>
      <c r="TRO1876" s="2477"/>
      <c r="TRP1876" s="2477"/>
      <c r="TRQ1876" s="2477"/>
      <c r="TRR1876" s="2477"/>
      <c r="TRS1876" s="2477"/>
      <c r="TRT1876" s="2477"/>
      <c r="TRU1876" s="2477"/>
      <c r="TRV1876" s="2477"/>
      <c r="TRW1876" s="2477"/>
      <c r="TRX1876" s="2477"/>
      <c r="TRY1876" s="2477"/>
      <c r="TRZ1876" s="2477"/>
      <c r="TSA1876" s="2477"/>
      <c r="TSB1876" s="2477"/>
      <c r="TSC1876" s="2477"/>
      <c r="TSD1876" s="2477"/>
      <c r="TSE1876" s="2477"/>
      <c r="TSF1876" s="2477"/>
      <c r="TSG1876" s="2477"/>
      <c r="TSH1876" s="2477"/>
      <c r="TSI1876" s="2477"/>
      <c r="TSJ1876" s="2477"/>
      <c r="TSK1876" s="2477"/>
      <c r="TSL1876" s="2477"/>
      <c r="TSM1876" s="2477"/>
      <c r="TSN1876" s="2477"/>
      <c r="TSO1876" s="2477"/>
      <c r="TSP1876" s="2477"/>
      <c r="TSQ1876" s="2477"/>
      <c r="TSR1876" s="2477"/>
      <c r="TSS1876" s="2477"/>
      <c r="TST1876" s="2477"/>
      <c r="TSU1876" s="2477"/>
      <c r="TSV1876" s="2477"/>
      <c r="TSW1876" s="2477"/>
      <c r="TSX1876" s="2477"/>
      <c r="TSY1876" s="2477"/>
      <c r="TSZ1876" s="2477"/>
      <c r="TTA1876" s="2477"/>
      <c r="TTB1876" s="2477"/>
      <c r="TTC1876" s="2477"/>
      <c r="TTD1876" s="2477"/>
      <c r="TTE1876" s="2477"/>
      <c r="TTF1876" s="2477"/>
      <c r="TTG1876" s="2477"/>
      <c r="TTH1876" s="2477"/>
      <c r="TTI1876" s="2477"/>
      <c r="TTJ1876" s="2477"/>
      <c r="TTK1876" s="2477"/>
      <c r="TTL1876" s="2477"/>
      <c r="TTM1876" s="2477"/>
      <c r="TTN1876" s="2477"/>
      <c r="TTO1876" s="2477"/>
      <c r="TTP1876" s="2477"/>
      <c r="TTQ1876" s="2477"/>
      <c r="TTR1876" s="2477"/>
      <c r="TTS1876" s="2477"/>
      <c r="TTT1876" s="2477"/>
      <c r="TTU1876" s="2477"/>
      <c r="TTV1876" s="2477"/>
      <c r="TTW1876" s="2477"/>
      <c r="TTX1876" s="2477"/>
      <c r="TTY1876" s="2477"/>
      <c r="TTZ1876" s="2477"/>
      <c r="TUA1876" s="2477"/>
      <c r="TUB1876" s="2477"/>
      <c r="TUC1876" s="2477"/>
      <c r="TUD1876" s="2477"/>
      <c r="TUE1876" s="2477"/>
      <c r="TUF1876" s="2477"/>
      <c r="TUG1876" s="2477"/>
      <c r="TUH1876" s="2477"/>
      <c r="TUI1876" s="2477"/>
      <c r="TUJ1876" s="2477"/>
      <c r="TUK1876" s="2477"/>
      <c r="TUL1876" s="2477"/>
      <c r="TUM1876" s="2477"/>
      <c r="TUN1876" s="2477"/>
      <c r="TUO1876" s="2477"/>
      <c r="TUP1876" s="2477"/>
      <c r="TUQ1876" s="2477"/>
      <c r="TUR1876" s="2477"/>
      <c r="TUS1876" s="2477"/>
      <c r="TUT1876" s="2477"/>
      <c r="TUU1876" s="2477"/>
      <c r="TUV1876" s="2477"/>
      <c r="TUW1876" s="2477"/>
      <c r="TUX1876" s="2477"/>
      <c r="TUY1876" s="2477"/>
      <c r="TUZ1876" s="2477"/>
      <c r="TVA1876" s="2477"/>
      <c r="TVB1876" s="2477"/>
      <c r="TVC1876" s="2477"/>
      <c r="TVD1876" s="2477"/>
      <c r="TVE1876" s="2477"/>
      <c r="TVF1876" s="2477"/>
      <c r="TVG1876" s="2477"/>
      <c r="TVH1876" s="2477"/>
      <c r="TVI1876" s="2477"/>
      <c r="TVJ1876" s="2477"/>
      <c r="TVK1876" s="2477"/>
      <c r="TVL1876" s="2477"/>
      <c r="TVM1876" s="2477"/>
      <c r="TVN1876" s="2477"/>
      <c r="TVO1876" s="2477"/>
      <c r="TVP1876" s="2477"/>
      <c r="TVQ1876" s="2477"/>
      <c r="TVR1876" s="2477"/>
      <c r="TVS1876" s="2477"/>
      <c r="TVT1876" s="2477"/>
      <c r="TVU1876" s="2477"/>
      <c r="TVV1876" s="2477"/>
      <c r="TVW1876" s="2477"/>
      <c r="TVX1876" s="2477"/>
      <c r="TVY1876" s="2477"/>
      <c r="TVZ1876" s="2477"/>
      <c r="TWA1876" s="2477"/>
      <c r="TWB1876" s="2477"/>
      <c r="TWC1876" s="2477"/>
      <c r="TWD1876" s="2477"/>
      <c r="TWE1876" s="2477"/>
      <c r="TWF1876" s="2477"/>
      <c r="TWG1876" s="2477"/>
      <c r="TWH1876" s="2477"/>
      <c r="TWI1876" s="2477"/>
      <c r="TWJ1876" s="2477"/>
      <c r="TWK1876" s="2477"/>
      <c r="TWL1876" s="2477"/>
      <c r="TWM1876" s="2477"/>
      <c r="TWN1876" s="2477"/>
      <c r="TWO1876" s="2477"/>
      <c r="TWP1876" s="2477"/>
      <c r="TWQ1876" s="2477"/>
      <c r="TWR1876" s="2477"/>
      <c r="TWS1876" s="2477"/>
      <c r="TWT1876" s="2477"/>
      <c r="TWU1876" s="2477"/>
      <c r="TWV1876" s="2477"/>
      <c r="TWW1876" s="2477"/>
      <c r="TWX1876" s="2477"/>
      <c r="TWY1876" s="2477"/>
      <c r="TWZ1876" s="2477"/>
      <c r="TXA1876" s="2477"/>
      <c r="TXB1876" s="2477"/>
      <c r="TXC1876" s="2477"/>
      <c r="TXD1876" s="2477"/>
      <c r="TXE1876" s="2477"/>
      <c r="TXF1876" s="2477"/>
      <c r="TXG1876" s="2477"/>
      <c r="TXH1876" s="2477"/>
      <c r="TXI1876" s="2477"/>
      <c r="TXJ1876" s="2477"/>
      <c r="TXK1876" s="2477"/>
      <c r="TXL1876" s="2477"/>
      <c r="TXM1876" s="2477"/>
      <c r="TXN1876" s="2477"/>
      <c r="TXO1876" s="2477"/>
      <c r="TXP1876" s="2477"/>
      <c r="TXQ1876" s="2477"/>
      <c r="TXR1876" s="2477"/>
      <c r="TXS1876" s="2477"/>
      <c r="TXT1876" s="2477"/>
      <c r="TXU1876" s="2477"/>
      <c r="TXV1876" s="2477"/>
      <c r="TXW1876" s="2477"/>
      <c r="TXX1876" s="2477"/>
      <c r="TXY1876" s="2477"/>
      <c r="TXZ1876" s="2477"/>
      <c r="TYA1876" s="2477"/>
      <c r="TYB1876" s="2477"/>
      <c r="TYC1876" s="2477"/>
      <c r="TYD1876" s="2477"/>
      <c r="TYE1876" s="2477"/>
      <c r="TYF1876" s="2477"/>
      <c r="TYG1876" s="2477"/>
      <c r="TYH1876" s="2477"/>
      <c r="TYI1876" s="2477"/>
      <c r="TYJ1876" s="2477"/>
      <c r="TYK1876" s="2477"/>
      <c r="TYL1876" s="2477"/>
      <c r="TYM1876" s="2477"/>
      <c r="TYN1876" s="2477"/>
      <c r="TYO1876" s="2477"/>
      <c r="TYP1876" s="2477"/>
      <c r="TYQ1876" s="2477"/>
      <c r="TYR1876" s="2477"/>
      <c r="TYS1876" s="2477"/>
      <c r="TYT1876" s="2477"/>
      <c r="TYU1876" s="2477"/>
      <c r="TYV1876" s="2477"/>
      <c r="TYW1876" s="2477"/>
      <c r="TYX1876" s="2477"/>
      <c r="TYY1876" s="2477"/>
      <c r="TYZ1876" s="2477"/>
      <c r="TZA1876" s="2477"/>
      <c r="TZB1876" s="2477"/>
      <c r="TZC1876" s="2477"/>
      <c r="TZD1876" s="2477"/>
      <c r="TZE1876" s="2477"/>
      <c r="TZF1876" s="2477"/>
      <c r="TZG1876" s="2477"/>
      <c r="TZH1876" s="2477"/>
      <c r="TZI1876" s="2477"/>
      <c r="TZJ1876" s="2477"/>
      <c r="TZK1876" s="2477"/>
      <c r="TZL1876" s="2477"/>
      <c r="TZM1876" s="2477"/>
      <c r="TZN1876" s="2477"/>
      <c r="TZO1876" s="2477"/>
      <c r="TZP1876" s="2477"/>
      <c r="TZQ1876" s="2477"/>
      <c r="TZR1876" s="2477"/>
      <c r="TZS1876" s="2477"/>
      <c r="TZT1876" s="2477"/>
      <c r="TZU1876" s="2477"/>
      <c r="TZV1876" s="2477"/>
      <c r="TZW1876" s="2477"/>
      <c r="TZX1876" s="2477"/>
      <c r="TZY1876" s="2477"/>
      <c r="TZZ1876" s="2477"/>
      <c r="UAA1876" s="2477"/>
      <c r="UAB1876" s="2477"/>
      <c r="UAC1876" s="2477"/>
      <c r="UAD1876" s="2477"/>
      <c r="UAE1876" s="2477"/>
      <c r="UAF1876" s="2477"/>
      <c r="UAG1876" s="2477"/>
      <c r="UAH1876" s="2477"/>
      <c r="UAI1876" s="2477"/>
      <c r="UAJ1876" s="2477"/>
      <c r="UAK1876" s="2477"/>
      <c r="UAL1876" s="2477"/>
      <c r="UAM1876" s="2477"/>
      <c r="UAN1876" s="2477"/>
      <c r="UAO1876" s="2477"/>
      <c r="UAP1876" s="2477"/>
      <c r="UAQ1876" s="2477"/>
      <c r="UAR1876" s="2477"/>
      <c r="UAS1876" s="2477"/>
      <c r="UAT1876" s="2477"/>
      <c r="UAU1876" s="2477"/>
      <c r="UAV1876" s="2477"/>
      <c r="UAW1876" s="2477"/>
      <c r="UAX1876" s="2477"/>
      <c r="UAY1876" s="2477"/>
      <c r="UAZ1876" s="2477"/>
      <c r="UBA1876" s="2477"/>
      <c r="UBB1876" s="2477"/>
      <c r="UBC1876" s="2477"/>
      <c r="UBD1876" s="2477"/>
      <c r="UBE1876" s="2477"/>
      <c r="UBF1876" s="2477"/>
      <c r="UBG1876" s="2477"/>
      <c r="UBH1876" s="2477"/>
      <c r="UBI1876" s="2477"/>
      <c r="UBJ1876" s="2477"/>
      <c r="UBK1876" s="2477"/>
      <c r="UBL1876" s="2477"/>
      <c r="UBM1876" s="2477"/>
      <c r="UBN1876" s="2477"/>
      <c r="UBO1876" s="2477"/>
      <c r="UBP1876" s="2477"/>
      <c r="UBQ1876" s="2477"/>
      <c r="UBR1876" s="2477"/>
      <c r="UBS1876" s="2477"/>
      <c r="UBT1876" s="2477"/>
      <c r="UBU1876" s="2477"/>
      <c r="UBV1876" s="2477"/>
      <c r="UBW1876" s="2477"/>
      <c r="UBX1876" s="2477"/>
      <c r="UBY1876" s="2477"/>
      <c r="UBZ1876" s="2477"/>
      <c r="UCA1876" s="2477"/>
      <c r="UCB1876" s="2477"/>
      <c r="UCC1876" s="2477"/>
      <c r="UCD1876" s="2477"/>
      <c r="UCE1876" s="2477"/>
      <c r="UCF1876" s="2477"/>
      <c r="UCG1876" s="2477"/>
      <c r="UCH1876" s="2477"/>
      <c r="UCI1876" s="2477"/>
      <c r="UCJ1876" s="2477"/>
      <c r="UCK1876" s="2477"/>
      <c r="UCL1876" s="2477"/>
      <c r="UCM1876" s="2477"/>
      <c r="UCN1876" s="2477"/>
      <c r="UCO1876" s="2477"/>
      <c r="UCP1876" s="2477"/>
      <c r="UCQ1876" s="2477"/>
      <c r="UCR1876" s="2477"/>
      <c r="UCS1876" s="2477"/>
      <c r="UCT1876" s="2477"/>
      <c r="UCU1876" s="2477"/>
      <c r="UCV1876" s="2477"/>
      <c r="UCW1876" s="2477"/>
      <c r="UCX1876" s="2477"/>
      <c r="UCY1876" s="2477"/>
      <c r="UCZ1876" s="2477"/>
      <c r="UDA1876" s="2477"/>
      <c r="UDB1876" s="2477"/>
      <c r="UDC1876" s="2477"/>
      <c r="UDD1876" s="2477"/>
      <c r="UDE1876" s="2477"/>
      <c r="UDF1876" s="2477"/>
      <c r="UDG1876" s="2477"/>
      <c r="UDH1876" s="2477"/>
      <c r="UDI1876" s="2477"/>
      <c r="UDJ1876" s="2477"/>
      <c r="UDK1876" s="2477"/>
      <c r="UDL1876" s="2477"/>
      <c r="UDM1876" s="2477"/>
      <c r="UDN1876" s="2477"/>
      <c r="UDO1876" s="2477"/>
      <c r="UDP1876" s="2477"/>
      <c r="UDQ1876" s="2477"/>
      <c r="UDR1876" s="2477"/>
      <c r="UDS1876" s="2477"/>
      <c r="UDT1876" s="2477"/>
      <c r="UDU1876" s="2477"/>
      <c r="UDV1876" s="2477"/>
      <c r="UDW1876" s="2477"/>
      <c r="UDX1876" s="2477"/>
      <c r="UDY1876" s="2477"/>
      <c r="UDZ1876" s="2477"/>
      <c r="UEA1876" s="2477"/>
      <c r="UEB1876" s="2477"/>
      <c r="UEC1876" s="2477"/>
      <c r="UED1876" s="2477"/>
      <c r="UEE1876" s="2477"/>
      <c r="UEF1876" s="2477"/>
      <c r="UEG1876" s="2477"/>
      <c r="UEH1876" s="2477"/>
      <c r="UEI1876" s="2477"/>
      <c r="UEJ1876" s="2477"/>
      <c r="UEK1876" s="2477"/>
      <c r="UEL1876" s="2477"/>
      <c r="UEM1876" s="2477"/>
      <c r="UEN1876" s="2477"/>
      <c r="UEO1876" s="2477"/>
      <c r="UEP1876" s="2477"/>
      <c r="UEQ1876" s="2477"/>
      <c r="UER1876" s="2477"/>
      <c r="UES1876" s="2477"/>
      <c r="UET1876" s="2477"/>
      <c r="UEU1876" s="2477"/>
      <c r="UEV1876" s="2477"/>
      <c r="UEW1876" s="2477"/>
      <c r="UEX1876" s="2477"/>
      <c r="UEY1876" s="2477"/>
      <c r="UEZ1876" s="2477"/>
      <c r="UFA1876" s="2477"/>
      <c r="UFB1876" s="2477"/>
      <c r="UFC1876" s="2477"/>
      <c r="UFD1876" s="2477"/>
      <c r="UFE1876" s="2477"/>
      <c r="UFF1876" s="2477"/>
      <c r="UFG1876" s="2477"/>
      <c r="UFH1876" s="2477"/>
      <c r="UFI1876" s="2477"/>
      <c r="UFJ1876" s="2477"/>
      <c r="UFK1876" s="2477"/>
      <c r="UFL1876" s="2477"/>
      <c r="UFM1876" s="2477"/>
      <c r="UFN1876" s="2477"/>
      <c r="UFO1876" s="2477"/>
      <c r="UFP1876" s="2477"/>
      <c r="UFQ1876" s="2477"/>
      <c r="UFR1876" s="2477"/>
      <c r="UFS1876" s="2477"/>
      <c r="UFT1876" s="2477"/>
      <c r="UFU1876" s="2477"/>
      <c r="UFV1876" s="2477"/>
      <c r="UFW1876" s="2477"/>
      <c r="UFX1876" s="2477"/>
      <c r="UFY1876" s="2477"/>
      <c r="UFZ1876" s="2477"/>
      <c r="UGA1876" s="2477"/>
      <c r="UGB1876" s="2477"/>
      <c r="UGC1876" s="2477"/>
      <c r="UGD1876" s="2477"/>
      <c r="UGE1876" s="2477"/>
      <c r="UGF1876" s="2477"/>
      <c r="UGG1876" s="2477"/>
      <c r="UGH1876" s="2477"/>
      <c r="UGI1876" s="2477"/>
      <c r="UGJ1876" s="2477"/>
      <c r="UGK1876" s="2477"/>
      <c r="UGL1876" s="2477"/>
      <c r="UGM1876" s="2477"/>
      <c r="UGN1876" s="2477"/>
      <c r="UGO1876" s="2477"/>
      <c r="UGP1876" s="2477"/>
      <c r="UGQ1876" s="2477"/>
      <c r="UGR1876" s="2477"/>
      <c r="UGS1876" s="2477"/>
      <c r="UGT1876" s="2477"/>
      <c r="UGU1876" s="2477"/>
      <c r="UGV1876" s="2477"/>
      <c r="UGW1876" s="2477"/>
      <c r="UGX1876" s="2477"/>
      <c r="UGY1876" s="2477"/>
      <c r="UGZ1876" s="2477"/>
      <c r="UHA1876" s="2477"/>
      <c r="UHB1876" s="2477"/>
      <c r="UHC1876" s="2477"/>
      <c r="UHD1876" s="2477"/>
      <c r="UHE1876" s="2477"/>
      <c r="UHF1876" s="2477"/>
      <c r="UHG1876" s="2477"/>
      <c r="UHH1876" s="2477"/>
      <c r="UHI1876" s="2477"/>
      <c r="UHJ1876" s="2477"/>
      <c r="UHK1876" s="2477"/>
      <c r="UHL1876" s="2477"/>
      <c r="UHM1876" s="2477"/>
      <c r="UHN1876" s="2477"/>
      <c r="UHO1876" s="2477"/>
      <c r="UHP1876" s="2477"/>
      <c r="UHQ1876" s="2477"/>
      <c r="UHR1876" s="2477"/>
      <c r="UHS1876" s="2477"/>
      <c r="UHT1876" s="2477"/>
      <c r="UHU1876" s="2477"/>
      <c r="UHV1876" s="2477"/>
      <c r="UHW1876" s="2477"/>
      <c r="UHX1876" s="2477"/>
      <c r="UHY1876" s="2477"/>
      <c r="UHZ1876" s="2477"/>
      <c r="UIA1876" s="2477"/>
      <c r="UIB1876" s="2477"/>
      <c r="UIC1876" s="2477"/>
      <c r="UID1876" s="2477"/>
      <c r="UIE1876" s="2477"/>
      <c r="UIF1876" s="2477"/>
      <c r="UIG1876" s="2477"/>
      <c r="UIH1876" s="2477"/>
      <c r="UII1876" s="2477"/>
      <c r="UIJ1876" s="2477"/>
      <c r="UIK1876" s="2477"/>
      <c r="UIL1876" s="2477"/>
      <c r="UIM1876" s="2477"/>
      <c r="UIN1876" s="2477"/>
      <c r="UIO1876" s="2477"/>
      <c r="UIP1876" s="2477"/>
      <c r="UIQ1876" s="2477"/>
      <c r="UIR1876" s="2477"/>
      <c r="UIS1876" s="2477"/>
      <c r="UIT1876" s="2477"/>
      <c r="UIU1876" s="2477"/>
      <c r="UIV1876" s="2477"/>
      <c r="UIW1876" s="2477"/>
      <c r="UIX1876" s="2477"/>
      <c r="UIY1876" s="2477"/>
      <c r="UIZ1876" s="2477"/>
      <c r="UJA1876" s="2477"/>
      <c r="UJB1876" s="2477"/>
      <c r="UJC1876" s="2477"/>
      <c r="UJD1876" s="2477"/>
      <c r="UJE1876" s="2477"/>
      <c r="UJF1876" s="2477"/>
      <c r="UJG1876" s="2477"/>
      <c r="UJH1876" s="2477"/>
      <c r="UJI1876" s="2477"/>
      <c r="UJJ1876" s="2477"/>
      <c r="UJK1876" s="2477"/>
      <c r="UJL1876" s="2477"/>
      <c r="UJM1876" s="2477"/>
      <c r="UJN1876" s="2477"/>
      <c r="UJO1876" s="2477"/>
      <c r="UJP1876" s="2477"/>
      <c r="UJQ1876" s="2477"/>
      <c r="UJR1876" s="2477"/>
      <c r="UJS1876" s="2477"/>
      <c r="UJT1876" s="2477"/>
      <c r="UJU1876" s="2477"/>
      <c r="UJV1876" s="2477"/>
      <c r="UJW1876" s="2477"/>
      <c r="UJX1876" s="2477"/>
      <c r="UJY1876" s="2477"/>
      <c r="UJZ1876" s="2477"/>
      <c r="UKA1876" s="2477"/>
      <c r="UKB1876" s="2477"/>
      <c r="UKC1876" s="2477"/>
      <c r="UKD1876" s="2477"/>
      <c r="UKE1876" s="2477"/>
      <c r="UKF1876" s="2477"/>
      <c r="UKG1876" s="2477"/>
      <c r="UKH1876" s="2477"/>
      <c r="UKI1876" s="2477"/>
      <c r="UKJ1876" s="2477"/>
      <c r="UKK1876" s="2477"/>
      <c r="UKL1876" s="2477"/>
      <c r="UKM1876" s="2477"/>
      <c r="UKN1876" s="2477"/>
      <c r="UKO1876" s="2477"/>
      <c r="UKP1876" s="2477"/>
      <c r="UKQ1876" s="2477"/>
      <c r="UKR1876" s="2477"/>
      <c r="UKS1876" s="2477"/>
      <c r="UKT1876" s="2477"/>
      <c r="UKU1876" s="2477"/>
      <c r="UKV1876" s="2477"/>
      <c r="UKW1876" s="2477"/>
      <c r="UKX1876" s="2477"/>
      <c r="UKY1876" s="2477"/>
      <c r="UKZ1876" s="2477"/>
      <c r="ULA1876" s="2477"/>
      <c r="ULB1876" s="2477"/>
      <c r="ULC1876" s="2477"/>
      <c r="ULD1876" s="2477"/>
      <c r="ULE1876" s="2477"/>
      <c r="ULF1876" s="2477"/>
      <c r="ULG1876" s="2477"/>
      <c r="ULH1876" s="2477"/>
      <c r="ULI1876" s="2477"/>
      <c r="ULJ1876" s="2477"/>
      <c r="ULK1876" s="2477"/>
      <c r="ULL1876" s="2477"/>
      <c r="ULM1876" s="2477"/>
      <c r="ULN1876" s="2477"/>
      <c r="ULO1876" s="2477"/>
      <c r="ULP1876" s="2477"/>
      <c r="ULQ1876" s="2477"/>
      <c r="ULR1876" s="2477"/>
      <c r="ULS1876" s="2477"/>
      <c r="ULT1876" s="2477"/>
      <c r="ULU1876" s="2477"/>
      <c r="ULV1876" s="2477"/>
      <c r="ULW1876" s="2477"/>
      <c r="ULX1876" s="2477"/>
      <c r="ULY1876" s="2477"/>
      <c r="ULZ1876" s="2477"/>
      <c r="UMA1876" s="2477"/>
      <c r="UMB1876" s="2477"/>
      <c r="UMC1876" s="2477"/>
      <c r="UMD1876" s="2477"/>
      <c r="UME1876" s="2477"/>
      <c r="UMF1876" s="2477"/>
      <c r="UMG1876" s="2477"/>
      <c r="UMH1876" s="2477"/>
      <c r="UMI1876" s="2477"/>
      <c r="UMJ1876" s="2477"/>
      <c r="UMK1876" s="2477"/>
      <c r="UML1876" s="2477"/>
      <c r="UMM1876" s="2477"/>
      <c r="UMN1876" s="2477"/>
      <c r="UMO1876" s="2477"/>
      <c r="UMP1876" s="2477"/>
      <c r="UMQ1876" s="2477"/>
      <c r="UMR1876" s="2477"/>
      <c r="UMS1876" s="2477"/>
      <c r="UMT1876" s="2477"/>
      <c r="UMU1876" s="2477"/>
      <c r="UMV1876" s="2477"/>
      <c r="UMW1876" s="2477"/>
      <c r="UMX1876" s="2477"/>
      <c r="UMY1876" s="2477"/>
      <c r="UMZ1876" s="2477"/>
      <c r="UNA1876" s="2477"/>
      <c r="UNB1876" s="2477"/>
      <c r="UNC1876" s="2477"/>
      <c r="UND1876" s="2477"/>
      <c r="UNE1876" s="2477"/>
      <c r="UNF1876" s="2477"/>
      <c r="UNG1876" s="2477"/>
      <c r="UNH1876" s="2477"/>
      <c r="UNI1876" s="2477"/>
      <c r="UNJ1876" s="2477"/>
      <c r="UNK1876" s="2477"/>
      <c r="UNL1876" s="2477"/>
      <c r="UNM1876" s="2477"/>
      <c r="UNN1876" s="2477"/>
      <c r="UNO1876" s="2477"/>
      <c r="UNP1876" s="2477"/>
      <c r="UNQ1876" s="2477"/>
      <c r="UNR1876" s="2477"/>
      <c r="UNS1876" s="2477"/>
      <c r="UNT1876" s="2477"/>
      <c r="UNU1876" s="2477"/>
      <c r="UNV1876" s="2477"/>
      <c r="UNW1876" s="2477"/>
      <c r="UNX1876" s="2477"/>
      <c r="UNY1876" s="2477"/>
      <c r="UNZ1876" s="2477"/>
      <c r="UOA1876" s="2477"/>
      <c r="UOB1876" s="2477"/>
      <c r="UOC1876" s="2477"/>
      <c r="UOD1876" s="2477"/>
      <c r="UOE1876" s="2477"/>
      <c r="UOF1876" s="2477"/>
      <c r="UOG1876" s="2477"/>
      <c r="UOH1876" s="2477"/>
      <c r="UOI1876" s="2477"/>
      <c r="UOJ1876" s="2477"/>
      <c r="UOK1876" s="2477"/>
      <c r="UOL1876" s="2477"/>
      <c r="UOM1876" s="2477"/>
      <c r="UON1876" s="2477"/>
      <c r="UOO1876" s="2477"/>
      <c r="UOP1876" s="2477"/>
      <c r="UOQ1876" s="2477"/>
      <c r="UOR1876" s="2477"/>
      <c r="UOS1876" s="2477"/>
      <c r="UOT1876" s="2477"/>
      <c r="UOU1876" s="2477"/>
      <c r="UOV1876" s="2477"/>
      <c r="UOW1876" s="2477"/>
      <c r="UOX1876" s="2477"/>
      <c r="UOY1876" s="2477"/>
      <c r="UOZ1876" s="2477"/>
      <c r="UPA1876" s="2477"/>
      <c r="UPB1876" s="2477"/>
      <c r="UPC1876" s="2477"/>
      <c r="UPD1876" s="2477"/>
      <c r="UPE1876" s="2477"/>
      <c r="UPF1876" s="2477"/>
      <c r="UPG1876" s="2477"/>
      <c r="UPH1876" s="2477"/>
      <c r="UPI1876" s="2477"/>
      <c r="UPJ1876" s="2477"/>
      <c r="UPK1876" s="2477"/>
      <c r="UPL1876" s="2477"/>
      <c r="UPM1876" s="2477"/>
      <c r="UPN1876" s="2477"/>
      <c r="UPO1876" s="2477"/>
      <c r="UPP1876" s="2477"/>
      <c r="UPQ1876" s="2477"/>
      <c r="UPR1876" s="2477"/>
      <c r="UPS1876" s="2477"/>
      <c r="UPT1876" s="2477"/>
      <c r="UPU1876" s="2477"/>
      <c r="UPV1876" s="2477"/>
      <c r="UPW1876" s="2477"/>
      <c r="UPX1876" s="2477"/>
      <c r="UPY1876" s="2477"/>
      <c r="UPZ1876" s="2477"/>
      <c r="UQA1876" s="2477"/>
      <c r="UQB1876" s="2477"/>
      <c r="UQC1876" s="2477"/>
      <c r="UQD1876" s="2477"/>
      <c r="UQE1876" s="2477"/>
      <c r="UQF1876" s="2477"/>
      <c r="UQG1876" s="2477"/>
      <c r="UQH1876" s="2477"/>
      <c r="UQI1876" s="2477"/>
      <c r="UQJ1876" s="2477"/>
      <c r="UQK1876" s="2477"/>
      <c r="UQL1876" s="2477"/>
      <c r="UQM1876" s="2477"/>
      <c r="UQN1876" s="2477"/>
      <c r="UQO1876" s="2477"/>
      <c r="UQP1876" s="2477"/>
      <c r="UQQ1876" s="2477"/>
      <c r="UQR1876" s="2477"/>
      <c r="UQS1876" s="2477"/>
      <c r="UQT1876" s="2477"/>
      <c r="UQU1876" s="2477"/>
      <c r="UQV1876" s="2477"/>
      <c r="UQW1876" s="2477"/>
      <c r="UQX1876" s="2477"/>
      <c r="UQY1876" s="2477"/>
      <c r="UQZ1876" s="2477"/>
      <c r="URA1876" s="2477"/>
      <c r="URB1876" s="2477"/>
      <c r="URC1876" s="2477"/>
      <c r="URD1876" s="2477"/>
      <c r="URE1876" s="2477"/>
      <c r="URF1876" s="2477"/>
      <c r="URG1876" s="2477"/>
      <c r="URH1876" s="2477"/>
      <c r="URI1876" s="2477"/>
      <c r="URJ1876" s="2477"/>
      <c r="URK1876" s="2477"/>
      <c r="URL1876" s="2477"/>
      <c r="URM1876" s="2477"/>
      <c r="URN1876" s="2477"/>
      <c r="URO1876" s="2477"/>
      <c r="URP1876" s="2477"/>
      <c r="URQ1876" s="2477"/>
      <c r="URR1876" s="2477"/>
      <c r="URS1876" s="2477"/>
      <c r="URT1876" s="2477"/>
      <c r="URU1876" s="2477"/>
      <c r="URV1876" s="2477"/>
      <c r="URW1876" s="2477"/>
      <c r="URX1876" s="2477"/>
      <c r="URY1876" s="2477"/>
      <c r="URZ1876" s="2477"/>
      <c r="USA1876" s="2477"/>
      <c r="USB1876" s="2477"/>
      <c r="USC1876" s="2477"/>
      <c r="USD1876" s="2477"/>
      <c r="USE1876" s="2477"/>
      <c r="USF1876" s="2477"/>
      <c r="USG1876" s="2477"/>
      <c r="USH1876" s="2477"/>
      <c r="USI1876" s="2477"/>
      <c r="USJ1876" s="2477"/>
      <c r="USK1876" s="2477"/>
      <c r="USL1876" s="2477"/>
      <c r="USM1876" s="2477"/>
      <c r="USN1876" s="2477"/>
      <c r="USO1876" s="2477"/>
      <c r="USP1876" s="2477"/>
      <c r="USQ1876" s="2477"/>
      <c r="USR1876" s="2477"/>
      <c r="USS1876" s="2477"/>
      <c r="UST1876" s="2477"/>
      <c r="USU1876" s="2477"/>
      <c r="USV1876" s="2477"/>
      <c r="USW1876" s="2477"/>
      <c r="USX1876" s="2477"/>
      <c r="USY1876" s="2477"/>
      <c r="USZ1876" s="2477"/>
      <c r="UTA1876" s="2477"/>
      <c r="UTB1876" s="2477"/>
      <c r="UTC1876" s="2477"/>
      <c r="UTD1876" s="2477"/>
      <c r="UTE1876" s="2477"/>
      <c r="UTF1876" s="2477"/>
      <c r="UTG1876" s="2477"/>
      <c r="UTH1876" s="2477"/>
      <c r="UTI1876" s="2477"/>
      <c r="UTJ1876" s="2477"/>
      <c r="UTK1876" s="2477"/>
      <c r="UTL1876" s="2477"/>
      <c r="UTM1876" s="2477"/>
      <c r="UTN1876" s="2477"/>
      <c r="UTO1876" s="2477"/>
      <c r="UTP1876" s="2477"/>
      <c r="UTQ1876" s="2477"/>
      <c r="UTR1876" s="2477"/>
      <c r="UTS1876" s="2477"/>
      <c r="UTT1876" s="2477"/>
      <c r="UTU1876" s="2477"/>
      <c r="UTV1876" s="2477"/>
      <c r="UTW1876" s="2477"/>
      <c r="UTX1876" s="2477"/>
      <c r="UTY1876" s="2477"/>
      <c r="UTZ1876" s="2477"/>
      <c r="UUA1876" s="2477"/>
      <c r="UUB1876" s="2477"/>
      <c r="UUC1876" s="2477"/>
      <c r="UUD1876" s="2477"/>
      <c r="UUE1876" s="2477"/>
      <c r="UUF1876" s="2477"/>
      <c r="UUG1876" s="2477"/>
      <c r="UUH1876" s="2477"/>
      <c r="UUI1876" s="2477"/>
      <c r="UUJ1876" s="2477"/>
      <c r="UUK1876" s="2477"/>
      <c r="UUL1876" s="2477"/>
      <c r="UUM1876" s="2477"/>
      <c r="UUN1876" s="2477"/>
      <c r="UUO1876" s="2477"/>
      <c r="UUP1876" s="2477"/>
      <c r="UUQ1876" s="2477"/>
      <c r="UUR1876" s="2477"/>
      <c r="UUS1876" s="2477"/>
      <c r="UUT1876" s="2477"/>
      <c r="UUU1876" s="2477"/>
      <c r="UUV1876" s="2477"/>
      <c r="UUW1876" s="2477"/>
      <c r="UUX1876" s="2477"/>
      <c r="UUY1876" s="2477"/>
      <c r="UUZ1876" s="2477"/>
      <c r="UVA1876" s="2477"/>
      <c r="UVB1876" s="2477"/>
      <c r="UVC1876" s="2477"/>
      <c r="UVD1876" s="2477"/>
      <c r="UVE1876" s="2477"/>
      <c r="UVF1876" s="2477"/>
      <c r="UVG1876" s="2477"/>
      <c r="UVH1876" s="2477"/>
      <c r="UVI1876" s="2477"/>
      <c r="UVJ1876" s="2477"/>
      <c r="UVK1876" s="2477"/>
      <c r="UVL1876" s="2477"/>
      <c r="UVM1876" s="2477"/>
      <c r="UVN1876" s="2477"/>
      <c r="UVO1876" s="2477"/>
      <c r="UVP1876" s="2477"/>
      <c r="UVQ1876" s="2477"/>
      <c r="UVR1876" s="2477"/>
      <c r="UVS1876" s="2477"/>
      <c r="UVT1876" s="2477"/>
      <c r="UVU1876" s="2477"/>
      <c r="UVV1876" s="2477"/>
      <c r="UVW1876" s="2477"/>
      <c r="UVX1876" s="2477"/>
      <c r="UVY1876" s="2477"/>
      <c r="UVZ1876" s="2477"/>
      <c r="UWA1876" s="2477"/>
      <c r="UWB1876" s="2477"/>
      <c r="UWC1876" s="2477"/>
      <c r="UWD1876" s="2477"/>
      <c r="UWE1876" s="2477"/>
      <c r="UWF1876" s="2477"/>
      <c r="UWG1876" s="2477"/>
      <c r="UWH1876" s="2477"/>
      <c r="UWI1876" s="2477"/>
      <c r="UWJ1876" s="2477"/>
      <c r="UWK1876" s="2477"/>
      <c r="UWL1876" s="2477"/>
      <c r="UWM1876" s="2477"/>
      <c r="UWN1876" s="2477"/>
      <c r="UWO1876" s="2477"/>
      <c r="UWP1876" s="2477"/>
      <c r="UWQ1876" s="2477"/>
      <c r="UWR1876" s="2477"/>
      <c r="UWS1876" s="2477"/>
      <c r="UWT1876" s="2477"/>
      <c r="UWU1876" s="2477"/>
      <c r="UWV1876" s="2477"/>
      <c r="UWW1876" s="2477"/>
      <c r="UWX1876" s="2477"/>
      <c r="UWY1876" s="2477"/>
      <c r="UWZ1876" s="2477"/>
      <c r="UXA1876" s="2477"/>
      <c r="UXB1876" s="2477"/>
      <c r="UXC1876" s="2477"/>
      <c r="UXD1876" s="2477"/>
      <c r="UXE1876" s="2477"/>
      <c r="UXF1876" s="2477"/>
      <c r="UXG1876" s="2477"/>
      <c r="UXH1876" s="2477"/>
      <c r="UXI1876" s="2477"/>
      <c r="UXJ1876" s="2477"/>
      <c r="UXK1876" s="2477"/>
      <c r="UXL1876" s="2477"/>
      <c r="UXM1876" s="2477"/>
      <c r="UXN1876" s="2477"/>
      <c r="UXO1876" s="2477"/>
      <c r="UXP1876" s="2477"/>
      <c r="UXQ1876" s="2477"/>
      <c r="UXR1876" s="2477"/>
      <c r="UXS1876" s="2477"/>
      <c r="UXT1876" s="2477"/>
      <c r="UXU1876" s="2477"/>
      <c r="UXV1876" s="2477"/>
      <c r="UXW1876" s="2477"/>
      <c r="UXX1876" s="2477"/>
      <c r="UXY1876" s="2477"/>
      <c r="UXZ1876" s="2477"/>
      <c r="UYA1876" s="2477"/>
      <c r="UYB1876" s="2477"/>
      <c r="UYC1876" s="2477"/>
      <c r="UYD1876" s="2477"/>
      <c r="UYE1876" s="2477"/>
      <c r="UYF1876" s="2477"/>
      <c r="UYG1876" s="2477"/>
      <c r="UYH1876" s="2477"/>
      <c r="UYI1876" s="2477"/>
      <c r="UYJ1876" s="2477"/>
      <c r="UYK1876" s="2477"/>
      <c r="UYL1876" s="2477"/>
      <c r="UYM1876" s="2477"/>
      <c r="UYN1876" s="2477"/>
      <c r="UYO1876" s="2477"/>
      <c r="UYP1876" s="2477"/>
      <c r="UYQ1876" s="2477"/>
      <c r="UYR1876" s="2477"/>
      <c r="UYS1876" s="2477"/>
      <c r="UYT1876" s="2477"/>
      <c r="UYU1876" s="2477"/>
      <c r="UYV1876" s="2477"/>
      <c r="UYW1876" s="2477"/>
      <c r="UYX1876" s="2477"/>
      <c r="UYY1876" s="2477"/>
      <c r="UYZ1876" s="2477"/>
      <c r="UZA1876" s="2477"/>
      <c r="UZB1876" s="2477"/>
      <c r="UZC1876" s="2477"/>
      <c r="UZD1876" s="2477"/>
      <c r="UZE1876" s="2477"/>
      <c r="UZF1876" s="2477"/>
      <c r="UZG1876" s="2477"/>
      <c r="UZH1876" s="2477"/>
      <c r="UZI1876" s="2477"/>
      <c r="UZJ1876" s="2477"/>
      <c r="UZK1876" s="2477"/>
      <c r="UZL1876" s="2477"/>
      <c r="UZM1876" s="2477"/>
      <c r="UZN1876" s="2477"/>
      <c r="UZO1876" s="2477"/>
      <c r="UZP1876" s="2477"/>
      <c r="UZQ1876" s="2477"/>
      <c r="UZR1876" s="2477"/>
      <c r="UZS1876" s="2477"/>
      <c r="UZT1876" s="2477"/>
      <c r="UZU1876" s="2477"/>
      <c r="UZV1876" s="2477"/>
      <c r="UZW1876" s="2477"/>
      <c r="UZX1876" s="2477"/>
      <c r="UZY1876" s="2477"/>
      <c r="UZZ1876" s="2477"/>
      <c r="VAA1876" s="2477"/>
      <c r="VAB1876" s="2477"/>
      <c r="VAC1876" s="2477"/>
      <c r="VAD1876" s="2477"/>
      <c r="VAE1876" s="2477"/>
      <c r="VAF1876" s="2477"/>
      <c r="VAG1876" s="2477"/>
      <c r="VAH1876" s="2477"/>
      <c r="VAI1876" s="2477"/>
      <c r="VAJ1876" s="2477"/>
      <c r="VAK1876" s="2477"/>
      <c r="VAL1876" s="2477"/>
      <c r="VAM1876" s="2477"/>
      <c r="VAN1876" s="2477"/>
      <c r="VAO1876" s="2477"/>
      <c r="VAP1876" s="2477"/>
      <c r="VAQ1876" s="2477"/>
      <c r="VAR1876" s="2477"/>
      <c r="VAS1876" s="2477"/>
      <c r="VAT1876" s="2477"/>
      <c r="VAU1876" s="2477"/>
      <c r="VAV1876" s="2477"/>
      <c r="VAW1876" s="2477"/>
      <c r="VAX1876" s="2477"/>
      <c r="VAY1876" s="2477"/>
      <c r="VAZ1876" s="2477"/>
      <c r="VBA1876" s="2477"/>
      <c r="VBB1876" s="2477"/>
      <c r="VBC1876" s="2477"/>
      <c r="VBD1876" s="2477"/>
      <c r="VBE1876" s="2477"/>
      <c r="VBF1876" s="2477"/>
      <c r="VBG1876" s="2477"/>
      <c r="VBH1876" s="2477"/>
      <c r="VBI1876" s="2477"/>
      <c r="VBJ1876" s="2477"/>
      <c r="VBK1876" s="2477"/>
      <c r="VBL1876" s="2477"/>
      <c r="VBM1876" s="2477"/>
      <c r="VBN1876" s="2477"/>
      <c r="VBO1876" s="2477"/>
      <c r="VBP1876" s="2477"/>
      <c r="VBQ1876" s="2477"/>
      <c r="VBR1876" s="2477"/>
      <c r="VBS1876" s="2477"/>
      <c r="VBT1876" s="2477"/>
      <c r="VBU1876" s="2477"/>
      <c r="VBV1876" s="2477"/>
      <c r="VBW1876" s="2477"/>
      <c r="VBX1876" s="2477"/>
      <c r="VBY1876" s="2477"/>
      <c r="VBZ1876" s="2477"/>
      <c r="VCA1876" s="2477"/>
      <c r="VCB1876" s="2477"/>
      <c r="VCC1876" s="2477"/>
      <c r="VCD1876" s="2477"/>
      <c r="VCE1876" s="2477"/>
      <c r="VCF1876" s="2477"/>
      <c r="VCG1876" s="2477"/>
      <c r="VCH1876" s="2477"/>
      <c r="VCI1876" s="2477"/>
      <c r="VCJ1876" s="2477"/>
      <c r="VCK1876" s="2477"/>
      <c r="VCL1876" s="2477"/>
      <c r="VCM1876" s="2477"/>
      <c r="VCN1876" s="2477"/>
      <c r="VCO1876" s="2477"/>
      <c r="VCP1876" s="2477"/>
      <c r="VCQ1876" s="2477"/>
      <c r="VCR1876" s="2477"/>
      <c r="VCS1876" s="2477"/>
      <c r="VCT1876" s="2477"/>
      <c r="VCU1876" s="2477"/>
      <c r="VCV1876" s="2477"/>
      <c r="VCW1876" s="2477"/>
      <c r="VCX1876" s="2477"/>
      <c r="VCY1876" s="2477"/>
      <c r="VCZ1876" s="2477"/>
      <c r="VDA1876" s="2477"/>
      <c r="VDB1876" s="2477"/>
      <c r="VDC1876" s="2477"/>
      <c r="VDD1876" s="2477"/>
      <c r="VDE1876" s="2477"/>
      <c r="VDF1876" s="2477"/>
      <c r="VDG1876" s="2477"/>
      <c r="VDH1876" s="2477"/>
      <c r="VDI1876" s="2477"/>
      <c r="VDJ1876" s="2477"/>
      <c r="VDK1876" s="2477"/>
      <c r="VDL1876" s="2477"/>
      <c r="VDM1876" s="2477"/>
      <c r="VDN1876" s="2477"/>
      <c r="VDO1876" s="2477"/>
      <c r="VDP1876" s="2477"/>
      <c r="VDQ1876" s="2477"/>
      <c r="VDR1876" s="2477"/>
      <c r="VDS1876" s="2477"/>
      <c r="VDT1876" s="2477"/>
      <c r="VDU1876" s="2477"/>
      <c r="VDV1876" s="2477"/>
      <c r="VDW1876" s="2477"/>
      <c r="VDX1876" s="2477"/>
      <c r="VDY1876" s="2477"/>
      <c r="VDZ1876" s="2477"/>
      <c r="VEA1876" s="2477"/>
      <c r="VEB1876" s="2477"/>
      <c r="VEC1876" s="2477"/>
      <c r="VED1876" s="2477"/>
      <c r="VEE1876" s="2477"/>
      <c r="VEF1876" s="2477"/>
      <c r="VEG1876" s="2477"/>
      <c r="VEH1876" s="2477"/>
      <c r="VEI1876" s="2477"/>
      <c r="VEJ1876" s="2477"/>
      <c r="VEK1876" s="2477"/>
      <c r="VEL1876" s="2477"/>
      <c r="VEM1876" s="2477"/>
      <c r="VEN1876" s="2477"/>
      <c r="VEO1876" s="2477"/>
      <c r="VEP1876" s="2477"/>
      <c r="VEQ1876" s="2477"/>
      <c r="VER1876" s="2477"/>
      <c r="VES1876" s="2477"/>
      <c r="VET1876" s="2477"/>
      <c r="VEU1876" s="2477"/>
      <c r="VEV1876" s="2477"/>
      <c r="VEW1876" s="2477"/>
      <c r="VEX1876" s="2477"/>
      <c r="VEY1876" s="2477"/>
      <c r="VEZ1876" s="2477"/>
      <c r="VFA1876" s="2477"/>
      <c r="VFB1876" s="2477"/>
      <c r="VFC1876" s="2477"/>
      <c r="VFD1876" s="2477"/>
      <c r="VFE1876" s="2477"/>
      <c r="VFF1876" s="2477"/>
      <c r="VFG1876" s="2477"/>
      <c r="VFH1876" s="2477"/>
      <c r="VFI1876" s="2477"/>
      <c r="VFJ1876" s="2477"/>
      <c r="VFK1876" s="2477"/>
      <c r="VFL1876" s="2477"/>
      <c r="VFM1876" s="2477"/>
      <c r="VFN1876" s="2477"/>
      <c r="VFO1876" s="2477"/>
      <c r="VFP1876" s="2477"/>
      <c r="VFQ1876" s="2477"/>
      <c r="VFR1876" s="2477"/>
      <c r="VFS1876" s="2477"/>
      <c r="VFT1876" s="2477"/>
      <c r="VFU1876" s="2477"/>
      <c r="VFV1876" s="2477"/>
      <c r="VFW1876" s="2477"/>
      <c r="VFX1876" s="2477"/>
      <c r="VFY1876" s="2477"/>
      <c r="VFZ1876" s="2477"/>
      <c r="VGA1876" s="2477"/>
      <c r="VGB1876" s="2477"/>
      <c r="VGC1876" s="2477"/>
      <c r="VGD1876" s="2477"/>
      <c r="VGE1876" s="2477"/>
      <c r="VGF1876" s="2477"/>
      <c r="VGG1876" s="2477"/>
      <c r="VGH1876" s="2477"/>
      <c r="VGI1876" s="2477"/>
      <c r="VGJ1876" s="2477"/>
      <c r="VGK1876" s="2477"/>
      <c r="VGL1876" s="2477"/>
      <c r="VGM1876" s="2477"/>
      <c r="VGN1876" s="2477"/>
      <c r="VGO1876" s="2477"/>
      <c r="VGP1876" s="2477"/>
      <c r="VGQ1876" s="2477"/>
      <c r="VGR1876" s="2477"/>
      <c r="VGS1876" s="2477"/>
      <c r="VGT1876" s="2477"/>
      <c r="VGU1876" s="2477"/>
      <c r="VGV1876" s="2477"/>
      <c r="VGW1876" s="2477"/>
      <c r="VGX1876" s="2477"/>
      <c r="VGY1876" s="2477"/>
      <c r="VGZ1876" s="2477"/>
      <c r="VHA1876" s="2477"/>
      <c r="VHB1876" s="2477"/>
      <c r="VHC1876" s="2477"/>
      <c r="VHD1876" s="2477"/>
      <c r="VHE1876" s="2477"/>
      <c r="VHF1876" s="2477"/>
      <c r="VHG1876" s="2477"/>
      <c r="VHH1876" s="2477"/>
      <c r="VHI1876" s="2477"/>
      <c r="VHJ1876" s="2477"/>
      <c r="VHK1876" s="2477"/>
      <c r="VHL1876" s="2477"/>
      <c r="VHM1876" s="2477"/>
      <c r="VHN1876" s="2477"/>
      <c r="VHO1876" s="2477"/>
      <c r="VHP1876" s="2477"/>
      <c r="VHQ1876" s="2477"/>
      <c r="VHR1876" s="2477"/>
      <c r="VHS1876" s="2477"/>
      <c r="VHT1876" s="2477"/>
      <c r="VHU1876" s="2477"/>
      <c r="VHV1876" s="2477"/>
      <c r="VHW1876" s="2477"/>
      <c r="VHX1876" s="2477"/>
      <c r="VHY1876" s="2477"/>
      <c r="VHZ1876" s="2477"/>
      <c r="VIA1876" s="2477"/>
      <c r="VIB1876" s="2477"/>
      <c r="VIC1876" s="2477"/>
      <c r="VID1876" s="2477"/>
      <c r="VIE1876" s="2477"/>
      <c r="VIF1876" s="2477"/>
      <c r="VIG1876" s="2477"/>
      <c r="VIH1876" s="2477"/>
      <c r="VII1876" s="2477"/>
      <c r="VIJ1876" s="2477"/>
      <c r="VIK1876" s="2477"/>
      <c r="VIL1876" s="2477"/>
      <c r="VIM1876" s="2477"/>
      <c r="VIN1876" s="2477"/>
      <c r="VIO1876" s="2477"/>
      <c r="VIP1876" s="2477"/>
      <c r="VIQ1876" s="2477"/>
      <c r="VIR1876" s="2477"/>
      <c r="VIS1876" s="2477"/>
      <c r="VIT1876" s="2477"/>
      <c r="VIU1876" s="2477"/>
      <c r="VIV1876" s="2477"/>
      <c r="VIW1876" s="2477"/>
      <c r="VIX1876" s="2477"/>
      <c r="VIY1876" s="2477"/>
      <c r="VIZ1876" s="2477"/>
      <c r="VJA1876" s="2477"/>
      <c r="VJB1876" s="2477"/>
      <c r="VJC1876" s="2477"/>
      <c r="VJD1876" s="2477"/>
      <c r="VJE1876" s="2477"/>
      <c r="VJF1876" s="2477"/>
      <c r="VJG1876" s="2477"/>
      <c r="VJH1876" s="2477"/>
      <c r="VJI1876" s="2477"/>
      <c r="VJJ1876" s="2477"/>
      <c r="VJK1876" s="2477"/>
      <c r="VJL1876" s="2477"/>
      <c r="VJM1876" s="2477"/>
      <c r="VJN1876" s="2477"/>
      <c r="VJO1876" s="2477"/>
      <c r="VJP1876" s="2477"/>
      <c r="VJQ1876" s="2477"/>
      <c r="VJR1876" s="2477"/>
      <c r="VJS1876" s="2477"/>
      <c r="VJT1876" s="2477"/>
      <c r="VJU1876" s="2477"/>
      <c r="VJV1876" s="2477"/>
      <c r="VJW1876" s="2477"/>
      <c r="VJX1876" s="2477"/>
      <c r="VJY1876" s="2477"/>
      <c r="VJZ1876" s="2477"/>
      <c r="VKA1876" s="2477"/>
      <c r="VKB1876" s="2477"/>
      <c r="VKC1876" s="2477"/>
      <c r="VKD1876" s="2477"/>
      <c r="VKE1876" s="2477"/>
      <c r="VKF1876" s="2477"/>
      <c r="VKG1876" s="2477"/>
      <c r="VKH1876" s="2477"/>
      <c r="VKI1876" s="2477"/>
      <c r="VKJ1876" s="2477"/>
      <c r="VKK1876" s="2477"/>
      <c r="VKL1876" s="2477"/>
      <c r="VKM1876" s="2477"/>
      <c r="VKN1876" s="2477"/>
      <c r="VKO1876" s="2477"/>
      <c r="VKP1876" s="2477"/>
      <c r="VKQ1876" s="2477"/>
      <c r="VKR1876" s="2477"/>
      <c r="VKS1876" s="2477"/>
      <c r="VKT1876" s="2477"/>
      <c r="VKU1876" s="2477"/>
      <c r="VKV1876" s="2477"/>
      <c r="VKW1876" s="2477"/>
      <c r="VKX1876" s="2477"/>
      <c r="VKY1876" s="2477"/>
      <c r="VKZ1876" s="2477"/>
      <c r="VLA1876" s="2477"/>
      <c r="VLB1876" s="2477"/>
      <c r="VLC1876" s="2477"/>
      <c r="VLD1876" s="2477"/>
      <c r="VLE1876" s="2477"/>
      <c r="VLF1876" s="2477"/>
      <c r="VLG1876" s="2477"/>
      <c r="VLH1876" s="2477"/>
      <c r="VLI1876" s="2477"/>
      <c r="VLJ1876" s="2477"/>
      <c r="VLK1876" s="2477"/>
      <c r="VLL1876" s="2477"/>
      <c r="VLM1876" s="2477"/>
      <c r="VLN1876" s="2477"/>
      <c r="VLO1876" s="2477"/>
      <c r="VLP1876" s="2477"/>
      <c r="VLQ1876" s="2477"/>
      <c r="VLR1876" s="2477"/>
      <c r="VLS1876" s="2477"/>
      <c r="VLT1876" s="2477"/>
      <c r="VLU1876" s="2477"/>
      <c r="VLV1876" s="2477"/>
      <c r="VLW1876" s="2477"/>
      <c r="VLX1876" s="2477"/>
      <c r="VLY1876" s="2477"/>
      <c r="VLZ1876" s="2477"/>
      <c r="VMA1876" s="2477"/>
      <c r="VMB1876" s="2477"/>
      <c r="VMC1876" s="2477"/>
      <c r="VMD1876" s="2477"/>
      <c r="VME1876" s="2477"/>
      <c r="VMF1876" s="2477"/>
      <c r="VMG1876" s="2477"/>
      <c r="VMH1876" s="2477"/>
      <c r="VMI1876" s="2477"/>
      <c r="VMJ1876" s="2477"/>
      <c r="VMK1876" s="2477"/>
      <c r="VML1876" s="2477"/>
      <c r="VMM1876" s="2477"/>
      <c r="VMN1876" s="2477"/>
      <c r="VMO1876" s="2477"/>
      <c r="VMP1876" s="2477"/>
      <c r="VMQ1876" s="2477"/>
      <c r="VMR1876" s="2477"/>
      <c r="VMS1876" s="2477"/>
      <c r="VMT1876" s="2477"/>
      <c r="VMU1876" s="2477"/>
      <c r="VMV1876" s="2477"/>
      <c r="VMW1876" s="2477"/>
      <c r="VMX1876" s="2477"/>
      <c r="VMY1876" s="2477"/>
      <c r="VMZ1876" s="2477"/>
      <c r="VNA1876" s="2477"/>
      <c r="VNB1876" s="2477"/>
      <c r="VNC1876" s="2477"/>
      <c r="VND1876" s="2477"/>
      <c r="VNE1876" s="2477"/>
      <c r="VNF1876" s="2477"/>
      <c r="VNG1876" s="2477"/>
      <c r="VNH1876" s="2477"/>
      <c r="VNI1876" s="2477"/>
      <c r="VNJ1876" s="2477"/>
      <c r="VNK1876" s="2477"/>
      <c r="VNL1876" s="2477"/>
      <c r="VNM1876" s="2477"/>
      <c r="VNN1876" s="2477"/>
      <c r="VNO1876" s="2477"/>
      <c r="VNP1876" s="2477"/>
      <c r="VNQ1876" s="2477"/>
      <c r="VNR1876" s="2477"/>
      <c r="VNS1876" s="2477"/>
      <c r="VNT1876" s="2477"/>
      <c r="VNU1876" s="2477"/>
      <c r="VNV1876" s="2477"/>
      <c r="VNW1876" s="2477"/>
      <c r="VNX1876" s="2477"/>
      <c r="VNY1876" s="2477"/>
      <c r="VNZ1876" s="2477"/>
      <c r="VOA1876" s="2477"/>
      <c r="VOB1876" s="2477"/>
      <c r="VOC1876" s="2477"/>
      <c r="VOD1876" s="2477"/>
      <c r="VOE1876" s="2477"/>
      <c r="VOF1876" s="2477"/>
      <c r="VOG1876" s="2477"/>
      <c r="VOH1876" s="2477"/>
      <c r="VOI1876" s="2477"/>
      <c r="VOJ1876" s="2477"/>
      <c r="VOK1876" s="2477"/>
      <c r="VOL1876" s="2477"/>
      <c r="VOM1876" s="2477"/>
      <c r="VON1876" s="2477"/>
      <c r="VOO1876" s="2477"/>
      <c r="VOP1876" s="2477"/>
      <c r="VOQ1876" s="2477"/>
      <c r="VOR1876" s="2477"/>
      <c r="VOS1876" s="2477"/>
      <c r="VOT1876" s="2477"/>
      <c r="VOU1876" s="2477"/>
      <c r="VOV1876" s="2477"/>
      <c r="VOW1876" s="2477"/>
      <c r="VOX1876" s="2477"/>
      <c r="VOY1876" s="2477"/>
      <c r="VOZ1876" s="2477"/>
      <c r="VPA1876" s="2477"/>
      <c r="VPB1876" s="2477"/>
      <c r="VPC1876" s="2477"/>
      <c r="VPD1876" s="2477"/>
      <c r="VPE1876" s="2477"/>
      <c r="VPF1876" s="2477"/>
      <c r="VPG1876" s="2477"/>
      <c r="VPH1876" s="2477"/>
      <c r="VPI1876" s="2477"/>
      <c r="VPJ1876" s="2477"/>
      <c r="VPK1876" s="2477"/>
      <c r="VPL1876" s="2477"/>
      <c r="VPM1876" s="2477"/>
      <c r="VPN1876" s="2477"/>
      <c r="VPO1876" s="2477"/>
      <c r="VPP1876" s="2477"/>
      <c r="VPQ1876" s="2477"/>
      <c r="VPR1876" s="2477"/>
      <c r="VPS1876" s="2477"/>
      <c r="VPT1876" s="2477"/>
      <c r="VPU1876" s="2477"/>
      <c r="VPV1876" s="2477"/>
      <c r="VPW1876" s="2477"/>
      <c r="VPX1876" s="2477"/>
      <c r="VPY1876" s="2477"/>
      <c r="VPZ1876" s="2477"/>
      <c r="VQA1876" s="2477"/>
      <c r="VQB1876" s="2477"/>
      <c r="VQC1876" s="2477"/>
      <c r="VQD1876" s="2477"/>
      <c r="VQE1876" s="2477"/>
      <c r="VQF1876" s="2477"/>
      <c r="VQG1876" s="2477"/>
      <c r="VQH1876" s="2477"/>
      <c r="VQI1876" s="2477"/>
      <c r="VQJ1876" s="2477"/>
      <c r="VQK1876" s="2477"/>
      <c r="VQL1876" s="2477"/>
      <c r="VQM1876" s="2477"/>
      <c r="VQN1876" s="2477"/>
      <c r="VQO1876" s="2477"/>
      <c r="VQP1876" s="2477"/>
      <c r="VQQ1876" s="2477"/>
      <c r="VQR1876" s="2477"/>
      <c r="VQS1876" s="2477"/>
      <c r="VQT1876" s="2477"/>
      <c r="VQU1876" s="2477"/>
      <c r="VQV1876" s="2477"/>
      <c r="VQW1876" s="2477"/>
      <c r="VQX1876" s="2477"/>
      <c r="VQY1876" s="2477"/>
      <c r="VQZ1876" s="2477"/>
      <c r="VRA1876" s="2477"/>
      <c r="VRB1876" s="2477"/>
      <c r="VRC1876" s="2477"/>
      <c r="VRD1876" s="2477"/>
      <c r="VRE1876" s="2477"/>
      <c r="VRF1876" s="2477"/>
      <c r="VRG1876" s="2477"/>
      <c r="VRH1876" s="2477"/>
      <c r="VRI1876" s="2477"/>
      <c r="VRJ1876" s="2477"/>
      <c r="VRK1876" s="2477"/>
      <c r="VRL1876" s="2477"/>
      <c r="VRM1876" s="2477"/>
      <c r="VRN1876" s="2477"/>
      <c r="VRO1876" s="2477"/>
      <c r="VRP1876" s="2477"/>
      <c r="VRQ1876" s="2477"/>
      <c r="VRR1876" s="2477"/>
      <c r="VRS1876" s="2477"/>
      <c r="VRT1876" s="2477"/>
      <c r="VRU1876" s="2477"/>
      <c r="VRV1876" s="2477"/>
      <c r="VRW1876" s="2477"/>
      <c r="VRX1876" s="2477"/>
      <c r="VRY1876" s="2477"/>
      <c r="VRZ1876" s="2477"/>
      <c r="VSA1876" s="2477"/>
      <c r="VSB1876" s="2477"/>
      <c r="VSC1876" s="2477"/>
      <c r="VSD1876" s="2477"/>
      <c r="VSE1876" s="2477"/>
      <c r="VSF1876" s="2477"/>
      <c r="VSG1876" s="2477"/>
      <c r="VSH1876" s="2477"/>
      <c r="VSI1876" s="2477"/>
      <c r="VSJ1876" s="2477"/>
      <c r="VSK1876" s="2477"/>
      <c r="VSL1876" s="2477"/>
      <c r="VSM1876" s="2477"/>
      <c r="VSN1876" s="2477"/>
      <c r="VSO1876" s="2477"/>
      <c r="VSP1876" s="2477"/>
      <c r="VSQ1876" s="2477"/>
      <c r="VSR1876" s="2477"/>
      <c r="VSS1876" s="2477"/>
      <c r="VST1876" s="2477"/>
      <c r="VSU1876" s="2477"/>
      <c r="VSV1876" s="2477"/>
      <c r="VSW1876" s="2477"/>
      <c r="VSX1876" s="2477"/>
      <c r="VSY1876" s="2477"/>
      <c r="VSZ1876" s="2477"/>
      <c r="VTA1876" s="2477"/>
      <c r="VTB1876" s="2477"/>
      <c r="VTC1876" s="2477"/>
      <c r="VTD1876" s="2477"/>
      <c r="VTE1876" s="2477"/>
      <c r="VTF1876" s="2477"/>
      <c r="VTG1876" s="2477"/>
      <c r="VTH1876" s="2477"/>
      <c r="VTI1876" s="2477"/>
      <c r="VTJ1876" s="2477"/>
      <c r="VTK1876" s="2477"/>
      <c r="VTL1876" s="2477"/>
      <c r="VTM1876" s="2477"/>
      <c r="VTN1876" s="2477"/>
      <c r="VTO1876" s="2477"/>
      <c r="VTP1876" s="2477"/>
      <c r="VTQ1876" s="2477"/>
      <c r="VTR1876" s="2477"/>
      <c r="VTS1876" s="2477"/>
      <c r="VTT1876" s="2477"/>
      <c r="VTU1876" s="2477"/>
      <c r="VTV1876" s="2477"/>
      <c r="VTW1876" s="2477"/>
      <c r="VTX1876" s="2477"/>
      <c r="VTY1876" s="2477"/>
      <c r="VTZ1876" s="2477"/>
      <c r="VUA1876" s="2477"/>
      <c r="VUB1876" s="2477"/>
      <c r="VUC1876" s="2477"/>
      <c r="VUD1876" s="2477"/>
      <c r="VUE1876" s="2477"/>
      <c r="VUF1876" s="2477"/>
      <c r="VUG1876" s="2477"/>
      <c r="VUH1876" s="2477"/>
      <c r="VUI1876" s="2477"/>
      <c r="VUJ1876" s="2477"/>
      <c r="VUK1876" s="2477"/>
      <c r="VUL1876" s="2477"/>
      <c r="VUM1876" s="2477"/>
      <c r="VUN1876" s="2477"/>
      <c r="VUO1876" s="2477"/>
      <c r="VUP1876" s="2477"/>
      <c r="VUQ1876" s="2477"/>
      <c r="VUR1876" s="2477"/>
      <c r="VUS1876" s="2477"/>
      <c r="VUT1876" s="2477"/>
      <c r="VUU1876" s="2477"/>
      <c r="VUV1876" s="2477"/>
      <c r="VUW1876" s="2477"/>
      <c r="VUX1876" s="2477"/>
      <c r="VUY1876" s="2477"/>
      <c r="VUZ1876" s="2477"/>
      <c r="VVA1876" s="2477"/>
      <c r="VVB1876" s="2477"/>
      <c r="VVC1876" s="2477"/>
      <c r="VVD1876" s="2477"/>
      <c r="VVE1876" s="2477"/>
      <c r="VVF1876" s="2477"/>
      <c r="VVG1876" s="2477"/>
      <c r="VVH1876" s="2477"/>
      <c r="VVI1876" s="2477"/>
      <c r="VVJ1876" s="2477"/>
      <c r="VVK1876" s="2477"/>
      <c r="VVL1876" s="2477"/>
      <c r="VVM1876" s="2477"/>
      <c r="VVN1876" s="2477"/>
      <c r="VVO1876" s="2477"/>
      <c r="VVP1876" s="2477"/>
      <c r="VVQ1876" s="2477"/>
      <c r="VVR1876" s="2477"/>
      <c r="VVS1876" s="2477"/>
      <c r="VVT1876" s="2477"/>
      <c r="VVU1876" s="2477"/>
      <c r="VVV1876" s="2477"/>
      <c r="VVW1876" s="2477"/>
      <c r="VVX1876" s="2477"/>
      <c r="VVY1876" s="2477"/>
      <c r="VVZ1876" s="2477"/>
      <c r="VWA1876" s="2477"/>
      <c r="VWB1876" s="2477"/>
      <c r="VWC1876" s="2477"/>
      <c r="VWD1876" s="2477"/>
      <c r="VWE1876" s="2477"/>
      <c r="VWF1876" s="2477"/>
      <c r="VWG1876" s="2477"/>
      <c r="VWH1876" s="2477"/>
      <c r="VWI1876" s="2477"/>
      <c r="VWJ1876" s="2477"/>
      <c r="VWK1876" s="2477"/>
      <c r="VWL1876" s="2477"/>
      <c r="VWM1876" s="2477"/>
      <c r="VWN1876" s="2477"/>
      <c r="VWO1876" s="2477"/>
      <c r="VWP1876" s="2477"/>
      <c r="VWQ1876" s="2477"/>
      <c r="VWR1876" s="2477"/>
      <c r="VWS1876" s="2477"/>
      <c r="VWT1876" s="2477"/>
      <c r="VWU1876" s="2477"/>
      <c r="VWV1876" s="2477"/>
      <c r="VWW1876" s="2477"/>
      <c r="VWX1876" s="2477"/>
      <c r="VWY1876" s="2477"/>
      <c r="VWZ1876" s="2477"/>
      <c r="VXA1876" s="2477"/>
      <c r="VXB1876" s="2477"/>
      <c r="VXC1876" s="2477"/>
      <c r="VXD1876" s="2477"/>
      <c r="VXE1876" s="2477"/>
      <c r="VXF1876" s="2477"/>
      <c r="VXG1876" s="2477"/>
      <c r="VXH1876" s="2477"/>
      <c r="VXI1876" s="2477"/>
      <c r="VXJ1876" s="2477"/>
      <c r="VXK1876" s="2477"/>
      <c r="VXL1876" s="2477"/>
      <c r="VXM1876" s="2477"/>
      <c r="VXN1876" s="2477"/>
      <c r="VXO1876" s="2477"/>
      <c r="VXP1876" s="2477"/>
      <c r="VXQ1876" s="2477"/>
      <c r="VXR1876" s="2477"/>
      <c r="VXS1876" s="2477"/>
      <c r="VXT1876" s="2477"/>
      <c r="VXU1876" s="2477"/>
      <c r="VXV1876" s="2477"/>
      <c r="VXW1876" s="2477"/>
      <c r="VXX1876" s="2477"/>
      <c r="VXY1876" s="2477"/>
      <c r="VXZ1876" s="2477"/>
      <c r="VYA1876" s="2477"/>
      <c r="VYB1876" s="2477"/>
      <c r="VYC1876" s="2477"/>
      <c r="VYD1876" s="2477"/>
      <c r="VYE1876" s="2477"/>
      <c r="VYF1876" s="2477"/>
      <c r="VYG1876" s="2477"/>
      <c r="VYH1876" s="2477"/>
      <c r="VYI1876" s="2477"/>
      <c r="VYJ1876" s="2477"/>
      <c r="VYK1876" s="2477"/>
      <c r="VYL1876" s="2477"/>
      <c r="VYM1876" s="2477"/>
      <c r="VYN1876" s="2477"/>
      <c r="VYO1876" s="2477"/>
      <c r="VYP1876" s="2477"/>
      <c r="VYQ1876" s="2477"/>
      <c r="VYR1876" s="2477"/>
      <c r="VYS1876" s="2477"/>
      <c r="VYT1876" s="2477"/>
      <c r="VYU1876" s="2477"/>
      <c r="VYV1876" s="2477"/>
      <c r="VYW1876" s="2477"/>
      <c r="VYX1876" s="2477"/>
      <c r="VYY1876" s="2477"/>
      <c r="VYZ1876" s="2477"/>
      <c r="VZA1876" s="2477"/>
      <c r="VZB1876" s="2477"/>
      <c r="VZC1876" s="2477"/>
      <c r="VZD1876" s="2477"/>
      <c r="VZE1876" s="2477"/>
      <c r="VZF1876" s="2477"/>
      <c r="VZG1876" s="2477"/>
      <c r="VZH1876" s="2477"/>
      <c r="VZI1876" s="2477"/>
      <c r="VZJ1876" s="2477"/>
      <c r="VZK1876" s="2477"/>
      <c r="VZL1876" s="2477"/>
      <c r="VZM1876" s="2477"/>
      <c r="VZN1876" s="2477"/>
      <c r="VZO1876" s="2477"/>
      <c r="VZP1876" s="2477"/>
      <c r="VZQ1876" s="2477"/>
      <c r="VZR1876" s="2477"/>
      <c r="VZS1876" s="2477"/>
      <c r="VZT1876" s="2477"/>
      <c r="VZU1876" s="2477"/>
      <c r="VZV1876" s="2477"/>
      <c r="VZW1876" s="2477"/>
      <c r="VZX1876" s="2477"/>
      <c r="VZY1876" s="2477"/>
      <c r="VZZ1876" s="2477"/>
      <c r="WAA1876" s="2477"/>
      <c r="WAB1876" s="2477"/>
      <c r="WAC1876" s="2477"/>
      <c r="WAD1876" s="2477"/>
      <c r="WAE1876" s="2477"/>
      <c r="WAF1876" s="2477"/>
      <c r="WAG1876" s="2477"/>
      <c r="WAH1876" s="2477"/>
      <c r="WAI1876" s="2477"/>
      <c r="WAJ1876" s="2477"/>
      <c r="WAK1876" s="2477"/>
      <c r="WAL1876" s="2477"/>
      <c r="WAM1876" s="2477"/>
      <c r="WAN1876" s="2477"/>
      <c r="WAO1876" s="2477"/>
      <c r="WAP1876" s="2477"/>
      <c r="WAQ1876" s="2477"/>
      <c r="WAR1876" s="2477"/>
      <c r="WAS1876" s="2477"/>
      <c r="WAT1876" s="2477"/>
      <c r="WAU1876" s="2477"/>
      <c r="WAV1876" s="2477"/>
      <c r="WAW1876" s="2477"/>
      <c r="WAX1876" s="2477"/>
      <c r="WAY1876" s="2477"/>
      <c r="WAZ1876" s="2477"/>
      <c r="WBA1876" s="2477"/>
      <c r="WBB1876" s="2477"/>
      <c r="WBC1876" s="2477"/>
      <c r="WBD1876" s="2477"/>
      <c r="WBE1876" s="2477"/>
      <c r="WBF1876" s="2477"/>
      <c r="WBG1876" s="2477"/>
      <c r="WBH1876" s="2477"/>
      <c r="WBI1876" s="2477"/>
      <c r="WBJ1876" s="2477"/>
      <c r="WBK1876" s="2477"/>
      <c r="WBL1876" s="2477"/>
      <c r="WBM1876" s="2477"/>
      <c r="WBN1876" s="2477"/>
      <c r="WBO1876" s="2477"/>
      <c r="WBP1876" s="2477"/>
      <c r="WBQ1876" s="2477"/>
      <c r="WBR1876" s="2477"/>
      <c r="WBS1876" s="2477"/>
      <c r="WBT1876" s="2477"/>
      <c r="WBU1876" s="2477"/>
      <c r="WBV1876" s="2477"/>
      <c r="WBW1876" s="2477"/>
      <c r="WBX1876" s="2477"/>
      <c r="WBY1876" s="2477"/>
      <c r="WBZ1876" s="2477"/>
      <c r="WCA1876" s="2477"/>
      <c r="WCB1876" s="2477"/>
      <c r="WCC1876" s="2477"/>
      <c r="WCD1876" s="2477"/>
      <c r="WCE1876" s="2477"/>
      <c r="WCF1876" s="2477"/>
      <c r="WCG1876" s="2477"/>
      <c r="WCH1876" s="2477"/>
      <c r="WCI1876" s="2477"/>
      <c r="WCJ1876" s="2477"/>
      <c r="WCK1876" s="2477"/>
      <c r="WCL1876" s="2477"/>
      <c r="WCM1876" s="2477"/>
      <c r="WCN1876" s="2477"/>
      <c r="WCO1876" s="2477"/>
      <c r="WCP1876" s="2477"/>
      <c r="WCQ1876" s="2477"/>
      <c r="WCR1876" s="2477"/>
      <c r="WCS1876" s="2477"/>
      <c r="WCT1876" s="2477"/>
      <c r="WCU1876" s="2477"/>
      <c r="WCV1876" s="2477"/>
      <c r="WCW1876" s="2477"/>
      <c r="WCX1876" s="2477"/>
      <c r="WCY1876" s="2477"/>
      <c r="WCZ1876" s="2477"/>
      <c r="WDA1876" s="2477"/>
      <c r="WDB1876" s="2477"/>
      <c r="WDC1876" s="2477"/>
      <c r="WDD1876" s="2477"/>
      <c r="WDE1876" s="2477"/>
      <c r="WDF1876" s="2477"/>
      <c r="WDG1876" s="2477"/>
      <c r="WDH1876" s="2477"/>
      <c r="WDI1876" s="2477"/>
      <c r="WDJ1876" s="2477"/>
      <c r="WDK1876" s="2477"/>
      <c r="WDL1876" s="2477"/>
      <c r="WDM1876" s="2477"/>
      <c r="WDN1876" s="2477"/>
      <c r="WDO1876" s="2477"/>
      <c r="WDP1876" s="2477"/>
      <c r="WDQ1876" s="2477"/>
      <c r="WDR1876" s="2477"/>
      <c r="WDS1876" s="2477"/>
      <c r="WDT1876" s="2477"/>
      <c r="WDU1876" s="2477"/>
      <c r="WDV1876" s="2477"/>
      <c r="WDW1876" s="2477"/>
      <c r="WDX1876" s="2477"/>
      <c r="WDY1876" s="2477"/>
      <c r="WDZ1876" s="2477"/>
      <c r="WEA1876" s="2477"/>
      <c r="WEB1876" s="2477"/>
      <c r="WEC1876" s="2477"/>
      <c r="WED1876" s="2477"/>
      <c r="WEE1876" s="2477"/>
      <c r="WEF1876" s="2477"/>
      <c r="WEG1876" s="2477"/>
      <c r="WEH1876" s="2477"/>
      <c r="WEI1876" s="2477"/>
      <c r="WEJ1876" s="2477"/>
      <c r="WEK1876" s="2477"/>
      <c r="WEL1876" s="2477"/>
      <c r="WEM1876" s="2477"/>
      <c r="WEN1876" s="2477"/>
      <c r="WEO1876" s="2477"/>
      <c r="WEP1876" s="2477"/>
      <c r="WEQ1876" s="2477"/>
      <c r="WER1876" s="2477"/>
      <c r="WES1876" s="2477"/>
      <c r="WET1876" s="2477"/>
      <c r="WEU1876" s="2477"/>
      <c r="WEV1876" s="2477"/>
      <c r="WEW1876" s="2477"/>
      <c r="WEX1876" s="2477"/>
      <c r="WEY1876" s="2477"/>
      <c r="WEZ1876" s="2477"/>
      <c r="WFA1876" s="2477"/>
      <c r="WFB1876" s="2477"/>
      <c r="WFC1876" s="2477"/>
      <c r="WFD1876" s="2477"/>
      <c r="WFE1876" s="2477"/>
      <c r="WFF1876" s="2477"/>
      <c r="WFG1876" s="2477"/>
      <c r="WFH1876" s="2477"/>
      <c r="WFI1876" s="2477"/>
      <c r="WFJ1876" s="2477"/>
      <c r="WFK1876" s="2477"/>
      <c r="WFL1876" s="2477"/>
      <c r="WFM1876" s="2477"/>
      <c r="WFN1876" s="2477"/>
      <c r="WFO1876" s="2477"/>
      <c r="WFP1876" s="2477"/>
      <c r="WFQ1876" s="2477"/>
      <c r="WFR1876" s="2477"/>
      <c r="WFS1876" s="2477"/>
      <c r="WFT1876" s="2477"/>
      <c r="WFU1876" s="2477"/>
      <c r="WFV1876" s="2477"/>
      <c r="WFW1876" s="2477"/>
      <c r="WFX1876" s="2477"/>
      <c r="WFY1876" s="2477"/>
      <c r="WFZ1876" s="2477"/>
      <c r="WGA1876" s="2477"/>
      <c r="WGB1876" s="2477"/>
      <c r="WGC1876" s="2477"/>
      <c r="WGD1876" s="2477"/>
      <c r="WGE1876" s="2477"/>
      <c r="WGF1876" s="2477"/>
      <c r="WGG1876" s="2477"/>
      <c r="WGH1876" s="2477"/>
      <c r="WGI1876" s="2477"/>
      <c r="WGJ1876" s="2477"/>
      <c r="WGK1876" s="2477"/>
      <c r="WGL1876" s="2477"/>
      <c r="WGM1876" s="2477"/>
      <c r="WGN1876" s="2477"/>
      <c r="WGO1876" s="2477"/>
      <c r="WGP1876" s="2477"/>
      <c r="WGQ1876" s="2477"/>
      <c r="WGR1876" s="2477"/>
      <c r="WGS1876" s="2477"/>
      <c r="WGT1876" s="2477"/>
      <c r="WGU1876" s="2477"/>
      <c r="WGV1876" s="2477"/>
      <c r="WGW1876" s="2477"/>
      <c r="WGX1876" s="2477"/>
      <c r="WGY1876" s="2477"/>
      <c r="WGZ1876" s="2477"/>
      <c r="WHA1876" s="2477"/>
      <c r="WHB1876" s="2477"/>
      <c r="WHC1876" s="2477"/>
      <c r="WHD1876" s="2477"/>
      <c r="WHE1876" s="2477"/>
      <c r="WHF1876" s="2477"/>
      <c r="WHG1876" s="2477"/>
      <c r="WHH1876" s="2477"/>
      <c r="WHI1876" s="2477"/>
      <c r="WHJ1876" s="2477"/>
      <c r="WHK1876" s="2477"/>
      <c r="WHL1876" s="2477"/>
      <c r="WHM1876" s="2477"/>
      <c r="WHN1876" s="2477"/>
      <c r="WHO1876" s="2477"/>
      <c r="WHP1876" s="2477"/>
      <c r="WHQ1876" s="2477"/>
      <c r="WHR1876" s="2477"/>
      <c r="WHS1876" s="2477"/>
      <c r="WHT1876" s="2477"/>
      <c r="WHU1876" s="2477"/>
      <c r="WHV1876" s="2477"/>
      <c r="WHW1876" s="2477"/>
      <c r="WHX1876" s="2477"/>
      <c r="WHY1876" s="2477"/>
      <c r="WHZ1876" s="2477"/>
      <c r="WIA1876" s="2477"/>
      <c r="WIB1876" s="2477"/>
      <c r="WIC1876" s="2477"/>
      <c r="WID1876" s="2477"/>
      <c r="WIE1876" s="2477"/>
      <c r="WIF1876" s="2477"/>
      <c r="WIG1876" s="2477"/>
      <c r="WIH1876" s="2477"/>
      <c r="WII1876" s="2477"/>
      <c r="WIJ1876" s="2477"/>
      <c r="WIK1876" s="2477"/>
      <c r="WIL1876" s="2477"/>
      <c r="WIM1876" s="2477"/>
      <c r="WIN1876" s="2477"/>
      <c r="WIO1876" s="2477"/>
      <c r="WIP1876" s="2477"/>
      <c r="WIQ1876" s="2477"/>
      <c r="WIR1876" s="2477"/>
      <c r="WIS1876" s="2477"/>
      <c r="WIT1876" s="2477"/>
      <c r="WIU1876" s="2477"/>
      <c r="WIV1876" s="2477"/>
      <c r="WIW1876" s="2477"/>
      <c r="WIX1876" s="2477"/>
      <c r="WIY1876" s="2477"/>
      <c r="WIZ1876" s="2477"/>
      <c r="WJA1876" s="2477"/>
      <c r="WJB1876" s="2477"/>
      <c r="WJC1876" s="2477"/>
      <c r="WJD1876" s="2477"/>
      <c r="WJE1876" s="2477"/>
      <c r="WJF1876" s="2477"/>
      <c r="WJG1876" s="2477"/>
      <c r="WJH1876" s="2477"/>
      <c r="WJI1876" s="2477"/>
      <c r="WJJ1876" s="2477"/>
      <c r="WJK1876" s="2477"/>
      <c r="WJL1876" s="2477"/>
      <c r="WJM1876" s="2477"/>
      <c r="WJN1876" s="2477"/>
      <c r="WJO1876" s="2477"/>
      <c r="WJP1876" s="2477"/>
      <c r="WJQ1876" s="2477"/>
      <c r="WJR1876" s="2477"/>
      <c r="WJS1876" s="2477"/>
      <c r="WJT1876" s="2477"/>
      <c r="WJU1876" s="2477"/>
      <c r="WJV1876" s="2477"/>
      <c r="WJW1876" s="2477"/>
      <c r="WJX1876" s="2477"/>
      <c r="WJY1876" s="2477"/>
      <c r="WJZ1876" s="2477"/>
      <c r="WKA1876" s="2477"/>
      <c r="WKB1876" s="2477"/>
      <c r="WKC1876" s="2477"/>
      <c r="WKD1876" s="2477"/>
      <c r="WKE1876" s="2477"/>
      <c r="WKF1876" s="2477"/>
      <c r="WKG1876" s="2477"/>
      <c r="WKH1876" s="2477"/>
      <c r="WKI1876" s="2477"/>
      <c r="WKJ1876" s="2477"/>
      <c r="WKK1876" s="2477"/>
      <c r="WKL1876" s="2477"/>
      <c r="WKM1876" s="2477"/>
      <c r="WKN1876" s="2477"/>
      <c r="WKO1876" s="2477"/>
      <c r="WKP1876" s="2477"/>
      <c r="WKQ1876" s="2477"/>
      <c r="WKR1876" s="2477"/>
      <c r="WKS1876" s="2477"/>
      <c r="WKT1876" s="2477"/>
      <c r="WKU1876" s="2477"/>
      <c r="WKV1876" s="2477"/>
      <c r="WKW1876" s="2477"/>
      <c r="WKX1876" s="2477"/>
      <c r="WKY1876" s="2477"/>
      <c r="WKZ1876" s="2477"/>
      <c r="WLA1876" s="2477"/>
      <c r="WLB1876" s="2477"/>
      <c r="WLC1876" s="2477"/>
      <c r="WLD1876" s="2477"/>
      <c r="WLE1876" s="2477"/>
      <c r="WLF1876" s="2477"/>
      <c r="WLG1876" s="2477"/>
      <c r="WLH1876" s="2477"/>
      <c r="WLI1876" s="2477"/>
      <c r="WLJ1876" s="2477"/>
      <c r="WLK1876" s="2477"/>
      <c r="WLL1876" s="2477"/>
      <c r="WLM1876" s="2477"/>
      <c r="WLN1876" s="2477"/>
      <c r="WLO1876" s="2477"/>
      <c r="WLP1876" s="2477"/>
      <c r="WLQ1876" s="2477"/>
      <c r="WLR1876" s="2477"/>
      <c r="WLS1876" s="2477"/>
      <c r="WLT1876" s="2477"/>
      <c r="WLU1876" s="2477"/>
      <c r="WLV1876" s="2477"/>
      <c r="WLW1876" s="2477"/>
      <c r="WLX1876" s="2477"/>
      <c r="WLY1876" s="2477"/>
      <c r="WLZ1876" s="2477"/>
      <c r="WMA1876" s="2477"/>
      <c r="WMB1876" s="2477"/>
      <c r="WMC1876" s="2477"/>
      <c r="WMD1876" s="2477"/>
      <c r="WME1876" s="2477"/>
      <c r="WMF1876" s="2477"/>
      <c r="WMG1876" s="2477"/>
      <c r="WMH1876" s="2477"/>
      <c r="WMI1876" s="2477"/>
      <c r="WMJ1876" s="2477"/>
      <c r="WMK1876" s="2477"/>
      <c r="WML1876" s="2477"/>
      <c r="WMM1876" s="2477"/>
      <c r="WMN1876" s="2477"/>
      <c r="WMO1876" s="2477"/>
      <c r="WMP1876" s="2477"/>
      <c r="WMQ1876" s="2477"/>
      <c r="WMR1876" s="2477"/>
      <c r="WMS1876" s="2477"/>
      <c r="WMT1876" s="2477"/>
      <c r="WMU1876" s="2477"/>
      <c r="WMV1876" s="2477"/>
      <c r="WMW1876" s="2477"/>
      <c r="WMX1876" s="2477"/>
      <c r="WMY1876" s="2477"/>
      <c r="WMZ1876" s="2477"/>
      <c r="WNA1876" s="2477"/>
      <c r="WNB1876" s="2477"/>
      <c r="WNC1876" s="2477"/>
      <c r="WND1876" s="2477"/>
      <c r="WNE1876" s="2477"/>
      <c r="WNF1876" s="2477"/>
      <c r="WNG1876" s="2477"/>
      <c r="WNH1876" s="2477"/>
      <c r="WNI1876" s="2477"/>
      <c r="WNJ1876" s="2477"/>
      <c r="WNK1876" s="2477"/>
      <c r="WNL1876" s="2477"/>
      <c r="WNM1876" s="2477"/>
      <c r="WNN1876" s="2477"/>
      <c r="WNO1876" s="2477"/>
      <c r="WNP1876" s="2477"/>
      <c r="WNQ1876" s="2477"/>
      <c r="WNR1876" s="2477"/>
      <c r="WNS1876" s="2477"/>
      <c r="WNT1876" s="2477"/>
      <c r="WNU1876" s="2477"/>
      <c r="WNV1876" s="2477"/>
      <c r="WNW1876" s="2477"/>
      <c r="WNX1876" s="2477"/>
      <c r="WNY1876" s="2477"/>
      <c r="WNZ1876" s="2477"/>
      <c r="WOA1876" s="2477"/>
      <c r="WOB1876" s="2477"/>
      <c r="WOC1876" s="2477"/>
      <c r="WOD1876" s="2477"/>
      <c r="WOE1876" s="2477"/>
      <c r="WOF1876" s="2477"/>
      <c r="WOG1876" s="2477"/>
      <c r="WOH1876" s="2477"/>
      <c r="WOI1876" s="2477"/>
      <c r="WOJ1876" s="2477"/>
      <c r="WOK1876" s="2477"/>
      <c r="WOL1876" s="2477"/>
      <c r="WOM1876" s="2477"/>
      <c r="WON1876" s="2477"/>
      <c r="WOO1876" s="2477"/>
      <c r="WOP1876" s="2477"/>
      <c r="WOQ1876" s="2477"/>
      <c r="WOR1876" s="2477"/>
      <c r="WOS1876" s="2477"/>
      <c r="WOT1876" s="2477"/>
      <c r="WOU1876" s="2477"/>
      <c r="WOV1876" s="2477"/>
      <c r="WOW1876" s="2477"/>
      <c r="WOX1876" s="2477"/>
      <c r="WOY1876" s="2477"/>
      <c r="WOZ1876" s="2477"/>
      <c r="WPA1876" s="2477"/>
      <c r="WPB1876" s="2477"/>
      <c r="WPC1876" s="2477"/>
      <c r="WPD1876" s="2477"/>
      <c r="WPE1876" s="2477"/>
      <c r="WPF1876" s="2477"/>
      <c r="WPG1876" s="2477"/>
      <c r="WPH1876" s="2477"/>
      <c r="WPI1876" s="2477"/>
      <c r="WPJ1876" s="2477"/>
      <c r="WPK1876" s="2477"/>
      <c r="WPL1876" s="2477"/>
      <c r="WPM1876" s="2477"/>
      <c r="WPN1876" s="2477"/>
      <c r="WPO1876" s="2477"/>
      <c r="WPP1876" s="2477"/>
      <c r="WPQ1876" s="2477"/>
      <c r="WPR1876" s="2477"/>
      <c r="WPS1876" s="2477"/>
      <c r="WPT1876" s="2477"/>
      <c r="WPU1876" s="2477"/>
      <c r="WPV1876" s="2477"/>
      <c r="WPW1876" s="2477"/>
      <c r="WPX1876" s="2477"/>
      <c r="WPY1876" s="2477"/>
      <c r="WPZ1876" s="2477"/>
      <c r="WQA1876" s="2477"/>
      <c r="WQB1876" s="2477"/>
      <c r="WQC1876" s="2477"/>
      <c r="WQD1876" s="2477"/>
      <c r="WQE1876" s="2477"/>
      <c r="WQF1876" s="2477"/>
      <c r="WQG1876" s="2477"/>
      <c r="WQH1876" s="2477"/>
      <c r="WQI1876" s="2477"/>
      <c r="WQJ1876" s="2477"/>
      <c r="WQK1876" s="2477"/>
      <c r="WQL1876" s="2477"/>
      <c r="WQM1876" s="2477"/>
      <c r="WQN1876" s="2477"/>
      <c r="WQO1876" s="2477"/>
      <c r="WQP1876" s="2477"/>
      <c r="WQQ1876" s="2477"/>
      <c r="WQR1876" s="2477"/>
      <c r="WQS1876" s="2477"/>
      <c r="WQT1876" s="2477"/>
      <c r="WQU1876" s="2477"/>
      <c r="WQV1876" s="2477"/>
      <c r="WQW1876" s="2477"/>
      <c r="WQX1876" s="2477"/>
      <c r="WQY1876" s="2477"/>
      <c r="WQZ1876" s="2477"/>
      <c r="WRA1876" s="2477"/>
      <c r="WRB1876" s="2477"/>
      <c r="WRC1876" s="2477"/>
      <c r="WRD1876" s="2477"/>
      <c r="WRE1876" s="2477"/>
      <c r="WRF1876" s="2477"/>
      <c r="WRG1876" s="2477"/>
      <c r="WRH1876" s="2477"/>
      <c r="WRI1876" s="2477"/>
      <c r="WRJ1876" s="2477"/>
      <c r="WRK1876" s="2477"/>
      <c r="WRL1876" s="2477"/>
      <c r="WRM1876" s="2477"/>
      <c r="WRN1876" s="2477"/>
      <c r="WRO1876" s="2477"/>
      <c r="WRP1876" s="2477"/>
      <c r="WRQ1876" s="2477"/>
      <c r="WRR1876" s="2477"/>
      <c r="WRS1876" s="2477"/>
      <c r="WRT1876" s="2477"/>
      <c r="WRU1876" s="2477"/>
      <c r="WRV1876" s="2477"/>
      <c r="WRW1876" s="2477"/>
      <c r="WRX1876" s="2477"/>
      <c r="WRY1876" s="2477"/>
      <c r="WRZ1876" s="2477"/>
      <c r="WSA1876" s="2477"/>
      <c r="WSB1876" s="2477"/>
      <c r="WSC1876" s="2477"/>
      <c r="WSD1876" s="2477"/>
      <c r="WSE1876" s="2477"/>
      <c r="WSF1876" s="2477"/>
      <c r="WSG1876" s="2477"/>
      <c r="WSH1876" s="2477"/>
      <c r="WSI1876" s="2477"/>
      <c r="WSJ1876" s="2477"/>
      <c r="WSK1876" s="2477"/>
      <c r="WSL1876" s="2477"/>
      <c r="WSM1876" s="2477"/>
      <c r="WSN1876" s="2477"/>
      <c r="WSO1876" s="2477"/>
      <c r="WSP1876" s="2477"/>
      <c r="WSQ1876" s="2477"/>
      <c r="WSR1876" s="2477"/>
      <c r="WSS1876" s="2477"/>
      <c r="WST1876" s="2477"/>
      <c r="WSU1876" s="2477"/>
      <c r="WSV1876" s="2477"/>
      <c r="WSW1876" s="2477"/>
      <c r="WSX1876" s="2477"/>
      <c r="WSY1876" s="2477"/>
      <c r="WSZ1876" s="2477"/>
      <c r="WTA1876" s="2477"/>
      <c r="WTB1876" s="2477"/>
      <c r="WTC1876" s="2477"/>
      <c r="WTD1876" s="2477"/>
      <c r="WTE1876" s="2477"/>
      <c r="WTF1876" s="2477"/>
      <c r="WTG1876" s="2477"/>
      <c r="WTH1876" s="2477"/>
      <c r="WTI1876" s="2477"/>
      <c r="WTJ1876" s="2477"/>
      <c r="WTK1876" s="2477"/>
      <c r="WTL1876" s="2477"/>
      <c r="WTM1876" s="2477"/>
      <c r="WTN1876" s="2477"/>
      <c r="WTO1876" s="2477"/>
      <c r="WTP1876" s="2477"/>
      <c r="WTQ1876" s="2477"/>
      <c r="WTR1876" s="2477"/>
      <c r="WTS1876" s="2477"/>
      <c r="WTT1876" s="2477"/>
      <c r="WTU1876" s="2477"/>
      <c r="WTV1876" s="2477"/>
      <c r="WTW1876" s="2477"/>
      <c r="WTX1876" s="2477"/>
      <c r="WTY1876" s="2477"/>
      <c r="WTZ1876" s="2477"/>
      <c r="WUA1876" s="2477"/>
      <c r="WUB1876" s="2477"/>
      <c r="WUC1876" s="2477"/>
      <c r="WUD1876" s="2477"/>
      <c r="WUE1876" s="2477"/>
      <c r="WUF1876" s="2477"/>
      <c r="WUG1876" s="2477"/>
      <c r="WUH1876" s="2477"/>
      <c r="WUI1876" s="2477"/>
      <c r="WUJ1876" s="2477"/>
      <c r="WUK1876" s="2477"/>
      <c r="WUL1876" s="2477"/>
      <c r="WUM1876" s="2477"/>
      <c r="WUN1876" s="2477"/>
      <c r="WUO1876" s="2477"/>
      <c r="WUP1876" s="2477"/>
      <c r="WUQ1876" s="2477"/>
      <c r="WUR1876" s="2477"/>
      <c r="WUS1876" s="2477"/>
      <c r="WUT1876" s="2477"/>
      <c r="WUU1876" s="2477"/>
      <c r="WUV1876" s="2477"/>
      <c r="WUW1876" s="2477"/>
      <c r="WUX1876" s="2477"/>
      <c r="WUY1876" s="2477"/>
      <c r="WUZ1876" s="2477"/>
      <c r="WVA1876" s="2477"/>
      <c r="WVB1876" s="2477"/>
      <c r="WVC1876" s="2477"/>
      <c r="WVD1876" s="2477"/>
      <c r="WVE1876" s="2477"/>
      <c r="WVF1876" s="2477"/>
      <c r="WVG1876" s="2477"/>
      <c r="WVH1876" s="2477"/>
      <c r="WVI1876" s="2477"/>
      <c r="WVJ1876" s="2477"/>
      <c r="WVK1876" s="2477"/>
      <c r="WVL1876" s="2477"/>
      <c r="WVM1876" s="2477"/>
      <c r="WVN1876" s="2477"/>
      <c r="WVO1876" s="2477"/>
      <c r="WVP1876" s="2477"/>
      <c r="WVQ1876" s="2477"/>
      <c r="WVR1876" s="2477"/>
      <c r="WVS1876" s="2477"/>
      <c r="WVT1876" s="2477"/>
      <c r="WVU1876" s="2477"/>
      <c r="WVV1876" s="2477"/>
      <c r="WVW1876" s="2477"/>
      <c r="WVX1876" s="2477"/>
      <c r="WVY1876" s="2477"/>
      <c r="WVZ1876" s="2477"/>
      <c r="WWA1876" s="2477"/>
      <c r="WWB1876" s="2477"/>
      <c r="WWC1876" s="2477"/>
      <c r="WWD1876" s="2477"/>
      <c r="WWE1876" s="2477"/>
      <c r="WWF1876" s="2477"/>
      <c r="WWG1876" s="2477"/>
      <c r="WWH1876" s="2477"/>
      <c r="WWI1876" s="2477"/>
      <c r="WWJ1876" s="2477"/>
      <c r="WWK1876" s="2477"/>
      <c r="WWL1876" s="2477"/>
      <c r="WWM1876" s="2477"/>
      <c r="WWN1876" s="2477"/>
      <c r="WWO1876" s="2477"/>
      <c r="WWP1876" s="2477"/>
      <c r="WWQ1876" s="2477"/>
      <c r="WWR1876" s="2477"/>
      <c r="WWS1876" s="2477"/>
      <c r="WWT1876" s="2477"/>
      <c r="WWU1876" s="2477"/>
      <c r="WWV1876" s="2477"/>
      <c r="WWW1876" s="2477"/>
      <c r="WWX1876" s="2477"/>
      <c r="WWY1876" s="2477"/>
      <c r="WWZ1876" s="2477"/>
      <c r="WXA1876" s="2477"/>
      <c r="WXB1876" s="2477"/>
      <c r="WXC1876" s="2477"/>
      <c r="WXD1876" s="2477"/>
      <c r="WXE1876" s="2477"/>
      <c r="WXF1876" s="2477"/>
      <c r="WXG1876" s="2477"/>
      <c r="WXH1876" s="2477"/>
      <c r="WXI1876" s="2477"/>
      <c r="WXJ1876" s="2477"/>
      <c r="WXK1876" s="2477"/>
      <c r="WXL1876" s="2477"/>
      <c r="WXM1876" s="2477"/>
      <c r="WXN1876" s="2477"/>
      <c r="WXO1876" s="2477"/>
      <c r="WXP1876" s="2477"/>
      <c r="WXQ1876" s="2477"/>
      <c r="WXR1876" s="2477"/>
      <c r="WXS1876" s="2477"/>
      <c r="WXT1876" s="2477"/>
      <c r="WXU1876" s="2477"/>
      <c r="WXV1876" s="2477"/>
      <c r="WXW1876" s="2477"/>
      <c r="WXX1876" s="2477"/>
      <c r="WXY1876" s="2477"/>
      <c r="WXZ1876" s="2477"/>
      <c r="WYA1876" s="2477"/>
      <c r="WYB1876" s="2477"/>
      <c r="WYC1876" s="2477"/>
      <c r="WYD1876" s="2477"/>
      <c r="WYE1876" s="2477"/>
      <c r="WYF1876" s="2477"/>
      <c r="WYG1876" s="2477"/>
      <c r="WYH1876" s="2477"/>
      <c r="WYI1876" s="2477"/>
      <c r="WYJ1876" s="2477"/>
      <c r="WYK1876" s="2477"/>
      <c r="WYL1876" s="2477"/>
      <c r="WYM1876" s="2477"/>
      <c r="WYN1876" s="2477"/>
      <c r="WYO1876" s="2477"/>
      <c r="WYP1876" s="2477"/>
      <c r="WYQ1876" s="2477"/>
      <c r="WYR1876" s="2477"/>
      <c r="WYS1876" s="2477"/>
      <c r="WYT1876" s="2477"/>
      <c r="WYU1876" s="2477"/>
      <c r="WYV1876" s="2477"/>
      <c r="WYW1876" s="2477"/>
      <c r="WYX1876" s="2477"/>
      <c r="WYY1876" s="2477"/>
      <c r="WYZ1876" s="2477"/>
      <c r="WZA1876" s="2477"/>
      <c r="WZB1876" s="2477"/>
      <c r="WZC1876" s="2477"/>
      <c r="WZD1876" s="2477"/>
      <c r="WZE1876" s="2477"/>
      <c r="WZF1876" s="2477"/>
      <c r="WZG1876" s="2477"/>
      <c r="WZH1876" s="2477"/>
      <c r="WZI1876" s="2477"/>
      <c r="WZJ1876" s="2477"/>
      <c r="WZK1876" s="2477"/>
      <c r="WZL1876" s="2477"/>
      <c r="WZM1876" s="2477"/>
      <c r="WZN1876" s="2477"/>
      <c r="WZO1876" s="2477"/>
      <c r="WZP1876" s="2477"/>
      <c r="WZQ1876" s="2477"/>
      <c r="WZR1876" s="2477"/>
      <c r="WZS1876" s="2477"/>
      <c r="WZT1876" s="2477"/>
      <c r="WZU1876" s="2477"/>
      <c r="WZV1876" s="2477"/>
      <c r="WZW1876" s="2477"/>
      <c r="WZX1876" s="2477"/>
      <c r="WZY1876" s="2477"/>
      <c r="WZZ1876" s="2477"/>
      <c r="XAA1876" s="2477"/>
      <c r="XAB1876" s="2477"/>
      <c r="XAC1876" s="2477"/>
      <c r="XAD1876" s="2477"/>
      <c r="XAE1876" s="2477"/>
      <c r="XAF1876" s="2477"/>
      <c r="XAG1876" s="2477"/>
      <c r="XAH1876" s="2477"/>
      <c r="XAI1876" s="2477"/>
      <c r="XAJ1876" s="2477"/>
      <c r="XAK1876" s="2477"/>
      <c r="XAL1876" s="2477"/>
      <c r="XAM1876" s="2477"/>
      <c r="XAN1876" s="2477"/>
      <c r="XAO1876" s="2477"/>
      <c r="XAP1876" s="2477"/>
      <c r="XAQ1876" s="2477"/>
      <c r="XAR1876" s="2477"/>
      <c r="XAS1876" s="2477"/>
      <c r="XAT1876" s="2477"/>
      <c r="XAU1876" s="2477"/>
      <c r="XAV1876" s="2477"/>
      <c r="XAW1876" s="2477"/>
      <c r="XAX1876" s="2477"/>
      <c r="XAY1876" s="2477"/>
      <c r="XAZ1876" s="2477"/>
      <c r="XBA1876" s="2477"/>
      <c r="XBB1876" s="2477"/>
      <c r="XBC1876" s="2477"/>
      <c r="XBD1876" s="2477"/>
      <c r="XBE1876" s="2477"/>
      <c r="XBF1876" s="2477"/>
      <c r="XBG1876" s="2477"/>
      <c r="XBH1876" s="2477"/>
      <c r="XBI1876" s="2477"/>
      <c r="XBJ1876" s="2477"/>
      <c r="XBK1876" s="2477"/>
      <c r="XBL1876" s="2477"/>
      <c r="XBM1876" s="2477"/>
      <c r="XBN1876" s="2477"/>
      <c r="XBO1876" s="2477"/>
      <c r="XBP1876" s="2477"/>
      <c r="XBQ1876" s="2477"/>
      <c r="XBR1876" s="2477"/>
      <c r="XBS1876" s="2477"/>
      <c r="XBT1876" s="2477"/>
      <c r="XBU1876" s="2477"/>
      <c r="XBV1876" s="2477"/>
      <c r="XBW1876" s="2477"/>
      <c r="XBX1876" s="2477"/>
      <c r="XBY1876" s="2477"/>
      <c r="XBZ1876" s="2477"/>
      <c r="XCA1876" s="2477"/>
      <c r="XCB1876" s="2477"/>
      <c r="XCC1876" s="2477"/>
      <c r="XCD1876" s="2477"/>
      <c r="XCE1876" s="2477"/>
      <c r="XCF1876" s="2477"/>
      <c r="XCG1876" s="2477"/>
      <c r="XCH1876" s="2477"/>
      <c r="XCI1876" s="2477"/>
      <c r="XCJ1876" s="2477"/>
      <c r="XCK1876" s="2477"/>
      <c r="XCL1876" s="2477"/>
      <c r="XCM1876" s="2477"/>
      <c r="XCN1876" s="2477"/>
      <c r="XCO1876" s="2477"/>
      <c r="XCP1876" s="2477"/>
      <c r="XCQ1876" s="2477"/>
      <c r="XCR1876" s="2477"/>
      <c r="XCS1876" s="2477"/>
      <c r="XCT1876" s="2477"/>
      <c r="XCU1876" s="2477"/>
      <c r="XCV1876" s="2477"/>
      <c r="XCW1876" s="2477"/>
      <c r="XCX1876" s="2477"/>
      <c r="XCY1876" s="2477"/>
      <c r="XCZ1876" s="2477"/>
      <c r="XDA1876" s="2477"/>
      <c r="XDB1876" s="2477"/>
      <c r="XDC1876" s="2477"/>
      <c r="XDD1876" s="2477"/>
      <c r="XDE1876" s="2477"/>
      <c r="XDF1876" s="2477"/>
      <c r="XDG1876" s="2477"/>
      <c r="XDH1876" s="2477"/>
      <c r="XDI1876" s="2477"/>
      <c r="XDJ1876" s="2477"/>
      <c r="XDK1876" s="2477"/>
      <c r="XDL1876" s="2477"/>
      <c r="XDM1876" s="2477"/>
      <c r="XDN1876" s="2477"/>
      <c r="XDO1876" s="2477"/>
      <c r="XDP1876" s="2477"/>
      <c r="XDQ1876" s="2477"/>
      <c r="XDR1876" s="2477"/>
      <c r="XDS1876" s="2477"/>
      <c r="XDT1876" s="2477"/>
      <c r="XDU1876" s="2477"/>
      <c r="XDV1876" s="2477"/>
      <c r="XDW1876" s="2477"/>
      <c r="XDX1876" s="2477"/>
      <c r="XDY1876" s="2477"/>
      <c r="XDZ1876" s="2477"/>
      <c r="XEA1876" s="2477"/>
      <c r="XEB1876" s="2477"/>
      <c r="XEC1876" s="2477"/>
      <c r="XED1876" s="2477"/>
      <c r="XEE1876" s="2477"/>
      <c r="XEF1876" s="2477"/>
      <c r="XEG1876" s="2477"/>
      <c r="XEH1876" s="2477"/>
      <c r="XEI1876" s="2477"/>
      <c r="XEJ1876" s="2477"/>
      <c r="XEK1876" s="2477"/>
      <c r="XEL1876" s="2477"/>
      <c r="XEM1876" s="2477"/>
      <c r="XEN1876" s="2477"/>
      <c r="XEO1876" s="2477"/>
      <c r="XEP1876" s="2477"/>
      <c r="XEQ1876" s="2477"/>
      <c r="XER1876" s="2477"/>
      <c r="XES1876" s="2477"/>
      <c r="XET1876" s="2477"/>
      <c r="XEU1876" s="2477"/>
      <c r="XEV1876" s="2477"/>
      <c r="XEW1876" s="2477"/>
      <c r="XEX1876" s="2477"/>
      <c r="XEY1876" s="2477"/>
      <c r="XEZ1876" s="2477"/>
      <c r="XFA1876" s="2477"/>
    </row>
    <row r="1877" spans="1:16381" s="2105" customFormat="1" ht="14.4" outlineLevel="1">
      <c r="A1877" s="2182" t="str">
        <f>A1876</f>
        <v/>
      </c>
      <c r="B1877" s="2252"/>
      <c r="C1877" s="2258"/>
      <c r="D1877" s="2259"/>
      <c r="E1877" s="2274" t="s">
        <v>6133</v>
      </c>
      <c r="F1877" s="2258"/>
      <c r="G1877" s="2450"/>
      <c r="H1877" s="2264"/>
      <c r="I1877" s="2264"/>
      <c r="J1877" s="2264"/>
      <c r="K1877" s="2264"/>
      <c r="L1877" s="2264"/>
      <c r="M1877" s="2264"/>
      <c r="N1877" s="2264"/>
      <c r="O1877" s="2264"/>
      <c r="P1877" s="2441"/>
      <c r="Q1877" s="2526">
        <f>4500/570</f>
        <v>7.8947368421052628</v>
      </c>
      <c r="R1877" s="2266"/>
      <c r="S1877" s="2266"/>
    </row>
    <row r="1878" spans="1:16381" s="2105" customFormat="1" outlineLevel="1">
      <c r="A1878" s="2182" t="str">
        <f t="shared" ref="A1878:A1894" si="350">IF(G1878&lt;&gt;0,1,"")</f>
        <v/>
      </c>
      <c r="B1878" s="2261" t="s">
        <v>1911</v>
      </c>
      <c r="C1878" s="2268"/>
      <c r="D1878" s="2152">
        <v>0</v>
      </c>
      <c r="E1878" s="2194" t="s">
        <v>6372</v>
      </c>
      <c r="F1878" s="2152" t="s">
        <v>2532</v>
      </c>
      <c r="G1878" s="2450">
        <f>G1876*(3*7*7+4*7)</f>
        <v>0</v>
      </c>
      <c r="H1878" s="2264">
        <v>928400</v>
      </c>
      <c r="I1878" s="2264"/>
      <c r="J1878" s="2264">
        <v>0</v>
      </c>
      <c r="K1878" s="2264">
        <v>0</v>
      </c>
      <c r="L1878" s="2264">
        <f t="shared" ref="L1878:L1892" si="351">H1878*G1878</f>
        <v>0</v>
      </c>
      <c r="M1878" s="2264">
        <f t="shared" ref="M1878:M1892" si="352">I1878*G1878</f>
        <v>0</v>
      </c>
      <c r="N1878" s="2264">
        <f t="shared" ref="N1878:N1892" si="353">J1878*G1878</f>
        <v>0</v>
      </c>
      <c r="O1878" s="2264">
        <f t="shared" ref="O1878:O1892" si="354">K1878*G1878</f>
        <v>0</v>
      </c>
      <c r="P1878" s="2389"/>
      <c r="Q1878" s="2266"/>
      <c r="R1878" s="2266"/>
      <c r="S1878" s="2266"/>
    </row>
    <row r="1879" spans="1:16381" s="2105" customFormat="1" outlineLevel="1">
      <c r="A1879" s="2182" t="str">
        <f t="shared" si="350"/>
        <v/>
      </c>
      <c r="B1879" s="2261" t="s">
        <v>1571</v>
      </c>
      <c r="C1879" s="2268"/>
      <c r="D1879" s="2152">
        <v>0</v>
      </c>
      <c r="E1879" s="2194" t="s">
        <v>2799</v>
      </c>
      <c r="F1879" s="2152" t="s">
        <v>2532</v>
      </c>
      <c r="G1879" s="2450"/>
      <c r="H1879" s="2264">
        <v>567100</v>
      </c>
      <c r="I1879" s="2264"/>
      <c r="J1879" s="2264">
        <v>0</v>
      </c>
      <c r="K1879" s="2264">
        <v>0</v>
      </c>
      <c r="L1879" s="2264">
        <f t="shared" si="351"/>
        <v>0</v>
      </c>
      <c r="M1879" s="2264">
        <f t="shared" si="352"/>
        <v>0</v>
      </c>
      <c r="N1879" s="2264">
        <f t="shared" si="353"/>
        <v>0</v>
      </c>
      <c r="O1879" s="2264">
        <f t="shared" si="354"/>
        <v>0</v>
      </c>
      <c r="P1879" s="2441"/>
      <c r="Q1879" s="2266"/>
      <c r="R1879" s="2266"/>
      <c r="S1879" s="2266"/>
    </row>
    <row r="1880" spans="1:16381" s="2105" customFormat="1" outlineLevel="1">
      <c r="A1880" s="2182" t="str">
        <f>IF(G1880&lt;&gt;0,1,"")</f>
        <v/>
      </c>
      <c r="B1880" s="2261" t="s">
        <v>5756</v>
      </c>
      <c r="C1880" s="2268"/>
      <c r="D1880" s="2152" t="s">
        <v>5732</v>
      </c>
      <c r="E1880" s="2194" t="s">
        <v>5751</v>
      </c>
      <c r="F1880" s="2152" t="s">
        <v>2555</v>
      </c>
      <c r="G1880" s="2450">
        <f>G1876*2*(7*3+4)</f>
        <v>0</v>
      </c>
      <c r="H1880" s="2264">
        <v>380000</v>
      </c>
      <c r="I1880" s="2264"/>
      <c r="J1880" s="2264">
        <v>59410.148000000001</v>
      </c>
      <c r="K1880" s="2264">
        <v>7775.6650930000005</v>
      </c>
      <c r="L1880" s="2264">
        <f>H1880*G1880</f>
        <v>0</v>
      </c>
      <c r="M1880" s="2264">
        <f>I1880*G1880</f>
        <v>0</v>
      </c>
      <c r="N1880" s="2264">
        <f>J1880*G1880</f>
        <v>0</v>
      </c>
      <c r="O1880" s="2264">
        <f>K1880*G1880</f>
        <v>0</v>
      </c>
      <c r="P1880" s="2441"/>
      <c r="Q1880" s="2266"/>
      <c r="R1880" s="2266"/>
      <c r="S1880" s="2266"/>
    </row>
    <row r="1881" spans="1:16381" s="2105" customFormat="1" outlineLevel="1">
      <c r="A1881" s="2182" t="str">
        <f t="shared" si="350"/>
        <v/>
      </c>
      <c r="B1881" s="2261" t="s">
        <v>447</v>
      </c>
      <c r="C1881" s="2268"/>
      <c r="D1881" s="2152" t="s">
        <v>5731</v>
      </c>
      <c r="E1881" s="2194" t="s">
        <v>3485</v>
      </c>
      <c r="F1881" s="2152" t="s">
        <v>2555</v>
      </c>
      <c r="G1881" s="2450"/>
      <c r="H1881" s="2264">
        <v>51000</v>
      </c>
      <c r="I1881" s="2264"/>
      <c r="J1881" s="2264">
        <v>50013.645000000004</v>
      </c>
      <c r="K1881" s="2264">
        <v>5554.0464950000005</v>
      </c>
      <c r="L1881" s="2264">
        <f t="shared" si="351"/>
        <v>0</v>
      </c>
      <c r="M1881" s="2264">
        <f t="shared" si="352"/>
        <v>0</v>
      </c>
      <c r="N1881" s="2264">
        <f t="shared" si="353"/>
        <v>0</v>
      </c>
      <c r="O1881" s="2264">
        <f t="shared" si="354"/>
        <v>0</v>
      </c>
      <c r="P1881" s="2441"/>
      <c r="Q1881" s="2266"/>
      <c r="R1881" s="2266"/>
      <c r="S1881" s="2266"/>
    </row>
    <row r="1882" spans="1:16381" s="2105" customFormat="1" outlineLevel="1">
      <c r="A1882" s="2182" t="str">
        <f>IF(G1882&lt;&gt;0,1,"")</f>
        <v/>
      </c>
      <c r="B1882" s="2261" t="s">
        <v>975</v>
      </c>
      <c r="C1882" s="2268"/>
      <c r="D1882" s="2152">
        <v>0</v>
      </c>
      <c r="E1882" s="2194" t="s">
        <v>3502</v>
      </c>
      <c r="F1882" s="2152" t="s">
        <v>2555</v>
      </c>
      <c r="G1882" s="2450">
        <f>G1880</f>
        <v>0</v>
      </c>
      <c r="H1882" s="2264">
        <v>8000</v>
      </c>
      <c r="I1882" s="2264"/>
      <c r="J1882" s="2264">
        <v>0</v>
      </c>
      <c r="K1882" s="2264">
        <v>0</v>
      </c>
      <c r="L1882" s="2264">
        <f>H1882*G1882</f>
        <v>0</v>
      </c>
      <c r="M1882" s="2264">
        <f>I1882*G1882</f>
        <v>0</v>
      </c>
      <c r="N1882" s="2264">
        <f>J1882*G1882</f>
        <v>0</v>
      </c>
      <c r="O1882" s="2264">
        <f>K1882*G1882</f>
        <v>0</v>
      </c>
      <c r="P1882" s="2441"/>
      <c r="Q1882" s="2266"/>
      <c r="R1882" s="2266"/>
      <c r="S1882" s="2266"/>
    </row>
    <row r="1883" spans="1:16381" s="2105" customFormat="1" outlineLevel="1">
      <c r="A1883" s="2182" t="str">
        <f t="shared" si="350"/>
        <v/>
      </c>
      <c r="B1883" s="2261" t="s">
        <v>90</v>
      </c>
      <c r="C1883" s="2268"/>
      <c r="D1883" s="2152">
        <v>0</v>
      </c>
      <c r="E1883" s="2194" t="s">
        <v>3500</v>
      </c>
      <c r="F1883" s="2152" t="s">
        <v>2555</v>
      </c>
      <c r="G1883" s="2450"/>
      <c r="H1883" s="2264">
        <v>6000</v>
      </c>
      <c r="I1883" s="2264"/>
      <c r="J1883" s="2264">
        <v>0</v>
      </c>
      <c r="K1883" s="2264">
        <v>0</v>
      </c>
      <c r="L1883" s="2264">
        <f t="shared" si="351"/>
        <v>0</v>
      </c>
      <c r="M1883" s="2264">
        <f t="shared" si="352"/>
        <v>0</v>
      </c>
      <c r="N1883" s="2264">
        <f t="shared" si="353"/>
        <v>0</v>
      </c>
      <c r="O1883" s="2264">
        <f t="shared" si="354"/>
        <v>0</v>
      </c>
      <c r="P1883" s="2441"/>
      <c r="Q1883" s="2266"/>
      <c r="R1883" s="2266"/>
      <c r="S1883" s="2266"/>
    </row>
    <row r="1884" spans="1:16381" s="2105" customFormat="1" outlineLevel="1">
      <c r="A1884" s="2182" t="str">
        <f t="shared" si="350"/>
        <v/>
      </c>
      <c r="B1884" s="2249" t="s">
        <v>248</v>
      </c>
      <c r="C1884" s="2268"/>
      <c r="D1884" s="2152">
        <v>0</v>
      </c>
      <c r="E1884" s="2194" t="s">
        <v>3456</v>
      </c>
      <c r="F1884" s="2152" t="s">
        <v>2439</v>
      </c>
      <c r="G1884" s="2450">
        <f>+G1876*1</f>
        <v>0</v>
      </c>
      <c r="H1884" s="2264">
        <v>3297534</v>
      </c>
      <c r="I1884" s="2264"/>
      <c r="J1884" s="2264">
        <v>0</v>
      </c>
      <c r="K1884" s="2264">
        <v>0</v>
      </c>
      <c r="L1884" s="2264">
        <f t="shared" si="351"/>
        <v>0</v>
      </c>
      <c r="M1884" s="2264">
        <f t="shared" si="352"/>
        <v>0</v>
      </c>
      <c r="N1884" s="2264">
        <f t="shared" si="353"/>
        <v>0</v>
      </c>
      <c r="O1884" s="2264">
        <f t="shared" si="354"/>
        <v>0</v>
      </c>
      <c r="P1884" s="2441"/>
      <c r="Q1884" s="2266"/>
      <c r="R1884" s="2266"/>
      <c r="S1884" s="2266"/>
    </row>
    <row r="1885" spans="1:16381" s="2105" customFormat="1" outlineLevel="1">
      <c r="A1885" s="2182" t="str">
        <f>IF(G1885&lt;&gt;0,1,"")</f>
        <v/>
      </c>
      <c r="B1885" s="2261" t="s">
        <v>86</v>
      </c>
      <c r="C1885" s="2268"/>
      <c r="D1885" s="2152">
        <v>0</v>
      </c>
      <c r="E1885" s="2194" t="s">
        <v>5797</v>
      </c>
      <c r="F1885" s="2152" t="s">
        <v>2555</v>
      </c>
      <c r="G1885" s="2450"/>
      <c r="H1885" s="2264">
        <v>45400</v>
      </c>
      <c r="I1885" s="2264"/>
      <c r="J1885" s="2264">
        <v>0</v>
      </c>
      <c r="K1885" s="2264">
        <v>0</v>
      </c>
      <c r="L1885" s="2264">
        <f>H1885*G1885</f>
        <v>0</v>
      </c>
      <c r="M1885" s="2264">
        <f>I1885*G1885</f>
        <v>0</v>
      </c>
      <c r="N1885" s="2264">
        <f>J1885*G1885</f>
        <v>0</v>
      </c>
      <c r="O1885" s="2264">
        <f>K1885*G1885</f>
        <v>0</v>
      </c>
      <c r="P1885" s="2441"/>
      <c r="Q1885" s="2266"/>
      <c r="R1885" s="2266"/>
      <c r="S1885" s="2266"/>
    </row>
    <row r="1886" spans="1:16381" s="2105" customFormat="1" outlineLevel="1">
      <c r="A1886" s="2182" t="str">
        <f>IF(G1886&lt;&gt;0,1,"")</f>
        <v/>
      </c>
      <c r="B1886" s="2261" t="s">
        <v>86</v>
      </c>
      <c r="C1886" s="2268"/>
      <c r="D1886" s="2152">
        <v>0</v>
      </c>
      <c r="E1886" s="2194" t="s">
        <v>5797</v>
      </c>
      <c r="F1886" s="2152" t="s">
        <v>2555</v>
      </c>
      <c r="G1886" s="2450"/>
      <c r="H1886" s="2264">
        <v>45400</v>
      </c>
      <c r="I1886" s="2264"/>
      <c r="J1886" s="2264">
        <v>0</v>
      </c>
      <c r="K1886" s="2264">
        <v>0</v>
      </c>
      <c r="L1886" s="2264">
        <f>H1886*G1886</f>
        <v>0</v>
      </c>
      <c r="M1886" s="2264">
        <f>I1886*G1886</f>
        <v>0</v>
      </c>
      <c r="N1886" s="2264">
        <f>J1886*G1886</f>
        <v>0</v>
      </c>
      <c r="O1886" s="2264">
        <f>K1886*G1886</f>
        <v>0</v>
      </c>
      <c r="P1886" s="2441"/>
      <c r="Q1886" s="2266"/>
      <c r="R1886" s="2266"/>
      <c r="S1886" s="2266"/>
    </row>
    <row r="1887" spans="1:16381" s="2105" customFormat="1" outlineLevel="1">
      <c r="A1887" s="2182" t="str">
        <f t="shared" si="350"/>
        <v/>
      </c>
      <c r="B1887" s="2252" t="s">
        <v>1990</v>
      </c>
      <c r="C1887" s="2268"/>
      <c r="D1887" s="2152">
        <v>0</v>
      </c>
      <c r="E1887" s="2194" t="s">
        <v>5257</v>
      </c>
      <c r="F1887" s="2152" t="s">
        <v>2385</v>
      </c>
      <c r="G1887" s="2450"/>
      <c r="H1887" s="2264">
        <v>49000</v>
      </c>
      <c r="I1887" s="2264"/>
      <c r="J1887" s="2264">
        <v>0</v>
      </c>
      <c r="K1887" s="2264">
        <v>0</v>
      </c>
      <c r="L1887" s="2264">
        <f t="shared" si="351"/>
        <v>0</v>
      </c>
      <c r="M1887" s="2264">
        <f t="shared" si="352"/>
        <v>0</v>
      </c>
      <c r="N1887" s="2264">
        <f t="shared" si="353"/>
        <v>0</v>
      </c>
      <c r="O1887" s="2264">
        <f t="shared" si="354"/>
        <v>0</v>
      </c>
      <c r="P1887" s="2441"/>
      <c r="Q1887" s="2422"/>
      <c r="R1887" s="2266"/>
      <c r="S1887" s="2266"/>
    </row>
    <row r="1888" spans="1:16381" s="2105" customFormat="1" outlineLevel="1">
      <c r="A1888" s="2182" t="str">
        <f t="shared" si="350"/>
        <v/>
      </c>
      <c r="B1888" s="2261" t="s">
        <v>2153</v>
      </c>
      <c r="C1888" s="2268"/>
      <c r="D1888" s="2152">
        <v>0</v>
      </c>
      <c r="E1888" s="2194" t="s">
        <v>3574</v>
      </c>
      <c r="F1888" s="2152" t="s">
        <v>2555</v>
      </c>
      <c r="G1888" s="2450"/>
      <c r="H1888" s="2264">
        <v>25800</v>
      </c>
      <c r="I1888" s="2264"/>
      <c r="J1888" s="2264">
        <v>0</v>
      </c>
      <c r="K1888" s="2264">
        <v>0</v>
      </c>
      <c r="L1888" s="2264">
        <f t="shared" si="351"/>
        <v>0</v>
      </c>
      <c r="M1888" s="2264">
        <f t="shared" si="352"/>
        <v>0</v>
      </c>
      <c r="N1888" s="2264">
        <f t="shared" si="353"/>
        <v>0</v>
      </c>
      <c r="O1888" s="2264">
        <f t="shared" si="354"/>
        <v>0</v>
      </c>
      <c r="P1888" s="2441"/>
      <c r="Q1888" s="2266"/>
      <c r="R1888" s="2266"/>
      <c r="S1888" s="2266"/>
    </row>
    <row r="1889" spans="1:19" s="2105" customFormat="1" outlineLevel="1">
      <c r="A1889" s="2182" t="str">
        <f>IF(G1889&lt;&gt;0,1,"")</f>
        <v/>
      </c>
      <c r="B1889" s="2261" t="s">
        <v>5793</v>
      </c>
      <c r="C1889" s="2268"/>
      <c r="D1889" s="2152">
        <v>0</v>
      </c>
      <c r="E1889" s="2194" t="s">
        <v>5794</v>
      </c>
      <c r="F1889" s="2152" t="s">
        <v>1823</v>
      </c>
      <c r="G1889" s="2450"/>
      <c r="H1889" s="2264">
        <v>50000</v>
      </c>
      <c r="I1889" s="2264"/>
      <c r="J1889" s="2264">
        <v>0</v>
      </c>
      <c r="K1889" s="2264">
        <v>0</v>
      </c>
      <c r="L1889" s="2264">
        <f>H1889*G1889</f>
        <v>0</v>
      </c>
      <c r="M1889" s="2264">
        <f>I1889*G1889</f>
        <v>0</v>
      </c>
      <c r="N1889" s="2264">
        <f>J1889*G1889</f>
        <v>0</v>
      </c>
      <c r="O1889" s="2264">
        <f>K1889*G1889</f>
        <v>0</v>
      </c>
      <c r="P1889" s="2441"/>
      <c r="Q1889" s="2266"/>
      <c r="R1889" s="2266"/>
      <c r="S1889" s="2266"/>
    </row>
    <row r="1890" spans="1:19" s="2105" customFormat="1" outlineLevel="1">
      <c r="A1890" s="2182" t="str">
        <f t="shared" si="350"/>
        <v/>
      </c>
      <c r="B1890" s="2261" t="s">
        <v>2074</v>
      </c>
      <c r="C1890" s="2268"/>
      <c r="D1890" s="2152">
        <v>0</v>
      </c>
      <c r="E1890" s="2194" t="s">
        <v>3570</v>
      </c>
      <c r="F1890" s="2152" t="s">
        <v>3571</v>
      </c>
      <c r="G1890" s="2450"/>
      <c r="H1890" s="2264">
        <v>11500</v>
      </c>
      <c r="I1890" s="2264"/>
      <c r="J1890" s="2264">
        <v>0</v>
      </c>
      <c r="K1890" s="2264">
        <v>0</v>
      </c>
      <c r="L1890" s="2264">
        <f t="shared" si="351"/>
        <v>0</v>
      </c>
      <c r="M1890" s="2264">
        <f t="shared" si="352"/>
        <v>0</v>
      </c>
      <c r="N1890" s="2264">
        <f t="shared" si="353"/>
        <v>0</v>
      </c>
      <c r="O1890" s="2264">
        <f t="shared" si="354"/>
        <v>0</v>
      </c>
      <c r="P1890" s="2441"/>
      <c r="Q1890" s="2266"/>
      <c r="R1890" s="2266"/>
      <c r="S1890" s="2266"/>
    </row>
    <row r="1891" spans="1:19" s="2105" customFormat="1" outlineLevel="1">
      <c r="A1891" s="2182" t="str">
        <f t="shared" si="350"/>
        <v/>
      </c>
      <c r="B1891" s="2252" t="s">
        <v>6</v>
      </c>
      <c r="C1891" s="2268"/>
      <c r="D1891" s="2152"/>
      <c r="E1891" s="2194" t="s">
        <v>3567</v>
      </c>
      <c r="F1891" s="2152" t="s">
        <v>5806</v>
      </c>
      <c r="G1891" s="2450"/>
      <c r="H1891" s="2264">
        <v>45000</v>
      </c>
      <c r="I1891" s="2264"/>
      <c r="J1891" s="2264"/>
      <c r="K1891" s="2264"/>
      <c r="L1891" s="2264">
        <f t="shared" si="351"/>
        <v>0</v>
      </c>
      <c r="M1891" s="2264">
        <f t="shared" si="352"/>
        <v>0</v>
      </c>
      <c r="N1891" s="2264">
        <f t="shared" si="353"/>
        <v>0</v>
      </c>
      <c r="O1891" s="2264">
        <f t="shared" si="354"/>
        <v>0</v>
      </c>
      <c r="P1891" s="2449"/>
      <c r="Q1891" s="2266"/>
      <c r="R1891" s="2266"/>
      <c r="S1891" s="2266"/>
    </row>
    <row r="1892" spans="1:19" s="2105" customFormat="1" outlineLevel="1">
      <c r="A1892" s="2182" t="str">
        <f t="shared" si="350"/>
        <v/>
      </c>
      <c r="B1892" s="2252" t="s">
        <v>1410</v>
      </c>
      <c r="C1892" s="2268"/>
      <c r="D1892" s="2152" t="s">
        <v>5341</v>
      </c>
      <c r="E1892" s="2194" t="s">
        <v>5342</v>
      </c>
      <c r="F1892" s="2152" t="s">
        <v>2439</v>
      </c>
      <c r="G1892" s="2450">
        <f>G1884</f>
        <v>0</v>
      </c>
      <c r="H1892" s="2264">
        <v>0</v>
      </c>
      <c r="I1892" s="2264"/>
      <c r="J1892" s="2264">
        <v>28219.62</v>
      </c>
      <c r="K1892" s="2264">
        <v>0</v>
      </c>
      <c r="L1892" s="2264">
        <f t="shared" si="351"/>
        <v>0</v>
      </c>
      <c r="M1892" s="2264">
        <f t="shared" si="352"/>
        <v>0</v>
      </c>
      <c r="N1892" s="2264">
        <f t="shared" si="353"/>
        <v>0</v>
      </c>
      <c r="O1892" s="2264">
        <f t="shared" si="354"/>
        <v>0</v>
      </c>
      <c r="P1892" s="2441"/>
      <c r="Q1892" s="2266"/>
      <c r="R1892" s="2266"/>
      <c r="S1892" s="2266"/>
    </row>
    <row r="1893" spans="1:19" s="2105" customFormat="1" outlineLevel="1">
      <c r="A1893" s="2182" t="str">
        <f>IF(G1893&lt;&gt;0,1,"")</f>
        <v/>
      </c>
      <c r="B1893" s="2252" t="s">
        <v>2006</v>
      </c>
      <c r="C1893" s="2268"/>
      <c r="D1893" s="2152" t="s">
        <v>5572</v>
      </c>
      <c r="E1893" s="2194" t="s">
        <v>3293</v>
      </c>
      <c r="F1893" s="2152" t="s">
        <v>1823</v>
      </c>
      <c r="G1893" s="2450"/>
      <c r="H1893" s="2264">
        <v>0</v>
      </c>
      <c r="I1893" s="2264"/>
      <c r="J1893" s="2264">
        <v>33396</v>
      </c>
      <c r="K1893" s="2264">
        <v>0</v>
      </c>
      <c r="L1893" s="2264">
        <f>H1893*G1893</f>
        <v>0</v>
      </c>
      <c r="M1893" s="2264">
        <f>I1893*G1893</f>
        <v>0</v>
      </c>
      <c r="N1893" s="2264">
        <f>J1893*G1893</f>
        <v>0</v>
      </c>
      <c r="O1893" s="2264">
        <f>K1893*G1893</f>
        <v>0</v>
      </c>
      <c r="P1893" s="2441"/>
      <c r="Q1893" s="2266"/>
      <c r="R1893" s="2266"/>
      <c r="S1893" s="2266"/>
    </row>
    <row r="1894" spans="1:19" s="2105" customFormat="1" outlineLevel="1">
      <c r="A1894" s="2182" t="str">
        <f t="shared" si="350"/>
        <v/>
      </c>
      <c r="B1894" s="2252" t="s">
        <v>5575</v>
      </c>
      <c r="C1894" s="2268"/>
      <c r="D1894" s="2152" t="s">
        <v>5576</v>
      </c>
      <c r="E1894" s="2194" t="s">
        <v>5577</v>
      </c>
      <c r="F1894" s="2152" t="s">
        <v>1823</v>
      </c>
      <c r="G1894" s="2450">
        <f>G1878</f>
        <v>0</v>
      </c>
      <c r="H1894" s="2264">
        <v>0</v>
      </c>
      <c r="I1894" s="2264"/>
      <c r="J1894" s="2264">
        <v>66000</v>
      </c>
      <c r="K1894" s="2264">
        <v>0</v>
      </c>
      <c r="L1894" s="2264">
        <f>H1894*G1894</f>
        <v>0</v>
      </c>
      <c r="M1894" s="2264">
        <f>I1894*G1894</f>
        <v>0</v>
      </c>
      <c r="N1894" s="2264">
        <f>J1894*G1894</f>
        <v>0</v>
      </c>
      <c r="O1894" s="2264">
        <f>K1894*G1894</f>
        <v>0</v>
      </c>
      <c r="P1894" s="2441"/>
      <c r="Q1894" s="2266"/>
      <c r="R1894" s="2266"/>
      <c r="S1894" s="2266"/>
    </row>
    <row r="1895" spans="1:19" s="2105" customFormat="1" outlineLevel="1">
      <c r="A1895" s="2182">
        <f>A1630</f>
        <v>0</v>
      </c>
      <c r="B1895" s="2357"/>
      <c r="C1895" s="2423"/>
      <c r="D1895" s="2424"/>
      <c r="E1895" s="2638"/>
      <c r="F1895" s="2637"/>
      <c r="G1895" s="2637"/>
      <c r="H1895" s="2637"/>
      <c r="I1895" s="2637"/>
      <c r="J1895" s="2647" t="s">
        <v>6131</v>
      </c>
      <c r="K1895" s="2647"/>
      <c r="L1895" s="2425">
        <f>SUM(L1646:L1894)</f>
        <v>0</v>
      </c>
      <c r="M1895" s="2425">
        <f>SUM(M1646:M1894)</f>
        <v>0</v>
      </c>
      <c r="N1895" s="2425">
        <f>SUM(N1646:N1894)</f>
        <v>0</v>
      </c>
      <c r="O1895" s="2425">
        <f>SUM(O1646:O1894)</f>
        <v>0</v>
      </c>
      <c r="P1895" s="2446"/>
      <c r="Q1895" s="2266"/>
      <c r="R1895" s="2266"/>
      <c r="S1895" s="2266"/>
    </row>
    <row r="1896" spans="1:19" s="2105" customFormat="1" outlineLevel="1">
      <c r="A1896" s="2182">
        <f>A1897</f>
        <v>0</v>
      </c>
      <c r="B1896" s="2357"/>
      <c r="C1896" s="2527"/>
      <c r="D1896" s="2527"/>
      <c r="E1896" s="2644"/>
      <c r="F1896" s="2645"/>
      <c r="G1896" s="2645"/>
      <c r="H1896" s="2645"/>
      <c r="I1896" s="2645"/>
      <c r="J1896" s="2528"/>
      <c r="K1896" s="2528"/>
      <c r="L1896" s="2529"/>
      <c r="M1896" s="2529"/>
      <c r="N1896" s="2529"/>
      <c r="O1896" s="2529"/>
      <c r="P1896" s="2530"/>
      <c r="Q1896" s="2266"/>
      <c r="R1896" s="2266"/>
      <c r="S1896" s="2266"/>
    </row>
    <row r="1897" spans="1:19" s="2105" customFormat="1" outlineLevel="1">
      <c r="A1897" s="2182">
        <f>A1911</f>
        <v>0</v>
      </c>
      <c r="B1897" s="2387"/>
      <c r="C1897" s="2624" t="s">
        <v>6305</v>
      </c>
      <c r="D1897" s="2639"/>
      <c r="E1897" s="2639"/>
      <c r="F1897" s="2639"/>
      <c r="G1897" s="2639"/>
      <c r="H1897" s="2640"/>
      <c r="I1897" s="2640"/>
      <c r="J1897" s="2640"/>
      <c r="K1897" s="2640"/>
      <c r="L1897" s="2640"/>
      <c r="M1897" s="2640"/>
      <c r="N1897" s="2640"/>
      <c r="O1897" s="2640"/>
      <c r="P1897" s="2641"/>
      <c r="Q1897" s="2266"/>
      <c r="R1897" s="2266"/>
      <c r="S1897" s="2266"/>
    </row>
    <row r="1898" spans="1:19" s="2105" customFormat="1" outlineLevel="1">
      <c r="A1898" s="2182">
        <f>A1897</f>
        <v>0</v>
      </c>
      <c r="B1898" s="2261" t="s">
        <v>6112</v>
      </c>
      <c r="C1898" s="2648" t="s">
        <v>1708</v>
      </c>
      <c r="D1898" s="2649" t="s">
        <v>2597</v>
      </c>
      <c r="E1898" s="2651" t="s">
        <v>2598</v>
      </c>
      <c r="F1898" s="2648" t="s">
        <v>2593</v>
      </c>
      <c r="G1898" s="2109" t="s">
        <v>6113</v>
      </c>
      <c r="H1898" s="2112" t="s">
        <v>6114</v>
      </c>
      <c r="I1898" s="2619"/>
      <c r="J1898" s="2619"/>
      <c r="K1898" s="2620"/>
      <c r="L1898" s="2112" t="s">
        <v>6115</v>
      </c>
      <c r="M1898" s="2619"/>
      <c r="N1898" s="2619"/>
      <c r="O1898" s="2620"/>
      <c r="P1898" s="2533" t="s">
        <v>2599</v>
      </c>
      <c r="Q1898" s="2266"/>
      <c r="R1898" s="2266"/>
      <c r="S1898" s="2266"/>
    </row>
    <row r="1899" spans="1:19" s="2105" customFormat="1" outlineLevel="1">
      <c r="A1899" s="2182">
        <f>A1898</f>
        <v>0</v>
      </c>
      <c r="B1899" s="2261"/>
      <c r="C1899" s="2648"/>
      <c r="D1899" s="2650"/>
      <c r="E1899" s="2652"/>
      <c r="F1899" s="2648"/>
      <c r="G1899" s="2111" t="s">
        <v>2286</v>
      </c>
      <c r="H1899" s="2112" t="s">
        <v>6116</v>
      </c>
      <c r="I1899" s="2112" t="s">
        <v>6117</v>
      </c>
      <c r="J1899" s="2112" t="s">
        <v>6118</v>
      </c>
      <c r="K1899" s="2112" t="s">
        <v>6119</v>
      </c>
      <c r="L1899" s="2112" t="s">
        <v>6116</v>
      </c>
      <c r="M1899" s="2112" t="s">
        <v>6117</v>
      </c>
      <c r="N1899" s="2112" t="s">
        <v>6118</v>
      </c>
      <c r="O1899" s="2112" t="s">
        <v>6119</v>
      </c>
      <c r="P1899" s="2533"/>
      <c r="Q1899" s="2266"/>
      <c r="R1899" s="2266"/>
      <c r="S1899" s="2266"/>
    </row>
    <row r="1900" spans="1:19" s="2105" customFormat="1" outlineLevel="1">
      <c r="A1900" s="2182">
        <f>A1911</f>
        <v>0</v>
      </c>
      <c r="B1900" s="2261"/>
      <c r="C1900" s="2113"/>
      <c r="D1900" s="2114"/>
      <c r="E1900" s="2115" t="s">
        <v>3672</v>
      </c>
      <c r="F1900" s="2116"/>
      <c r="G1900" s="2116"/>
      <c r="H1900" s="2116"/>
      <c r="I1900" s="2116"/>
      <c r="J1900" s="2116"/>
      <c r="K1900" s="2116"/>
      <c r="L1900" s="2116"/>
      <c r="M1900" s="2116"/>
      <c r="N1900" s="2116"/>
      <c r="O1900" s="2114"/>
      <c r="P1900" s="2354"/>
      <c r="Q1900" s="2266"/>
      <c r="R1900" s="2266"/>
      <c r="S1900" s="2266"/>
    </row>
    <row r="1901" spans="1:19" s="2105" customFormat="1" outlineLevel="1">
      <c r="A1901" s="2182" t="str">
        <f>IF(G1901&lt;&gt;0,1,"")</f>
        <v/>
      </c>
      <c r="B1901" s="2252" t="str">
        <f>IF($F$8=15,"tr400","tr4001")</f>
        <v>tr4001</v>
      </c>
      <c r="C1901" s="2268">
        <f>IF(G1901&gt;0,1,0)</f>
        <v>0</v>
      </c>
      <c r="D1901" s="2152" t="s">
        <v>5592</v>
      </c>
      <c r="E1901" s="2194" t="s">
        <v>3331</v>
      </c>
      <c r="F1901" s="2152" t="s">
        <v>3300</v>
      </c>
      <c r="G1901" s="2456">
        <v>0</v>
      </c>
      <c r="H1901" s="2359">
        <v>388431450</v>
      </c>
      <c r="I1901" s="2359"/>
      <c r="J1901" s="2359">
        <v>1660532</v>
      </c>
      <c r="K1901" s="2359">
        <v>361106</v>
      </c>
      <c r="L1901" s="2360">
        <f t="shared" ref="L1901:L1910" si="355">H1901*G1901</f>
        <v>0</v>
      </c>
      <c r="M1901" s="2360">
        <f t="shared" ref="M1901:M1910" si="356">I1901*G1901</f>
        <v>0</v>
      </c>
      <c r="N1901" s="2360">
        <f t="shared" ref="N1901:N1910" si="357">J1901*G1901</f>
        <v>0</v>
      </c>
      <c r="O1901" s="2361">
        <f t="shared" ref="O1901:O1910" si="358">K1901*G1901</f>
        <v>0</v>
      </c>
      <c r="P1901" s="2440"/>
      <c r="Q1901" s="2266"/>
      <c r="R1901" s="2266"/>
      <c r="S1901" s="2266"/>
    </row>
    <row r="1902" spans="1:19" s="2105" customFormat="1" outlineLevel="1">
      <c r="A1902" s="2182" t="str">
        <f>IF(G1902&lt;&gt;0,1,"")</f>
        <v/>
      </c>
      <c r="B1902" s="2118" t="str">
        <f>"FCO100-"&amp;$F$8</f>
        <v>FCO100-22</v>
      </c>
      <c r="C1902" s="2268">
        <f>IF(G1902&gt;0,C1901+1,C1901)</f>
        <v>0</v>
      </c>
      <c r="D1902" s="2152" t="s">
        <v>5598</v>
      </c>
      <c r="E1902" s="2194" t="s">
        <v>95</v>
      </c>
      <c r="F1902" s="2152" t="s">
        <v>2555</v>
      </c>
      <c r="G1902" s="2450">
        <f>G1901*3</f>
        <v>0</v>
      </c>
      <c r="H1902" s="2264">
        <v>2244280</v>
      </c>
      <c r="I1902" s="2264">
        <v>0</v>
      </c>
      <c r="J1902" s="2264">
        <v>222639.99999999997</v>
      </c>
      <c r="K1902" s="2264">
        <v>0</v>
      </c>
      <c r="L1902" s="2264">
        <f t="shared" si="355"/>
        <v>0</v>
      </c>
      <c r="M1902" s="2264">
        <f t="shared" si="356"/>
        <v>0</v>
      </c>
      <c r="N1902" s="2264">
        <f t="shared" si="357"/>
        <v>0</v>
      </c>
      <c r="O1902" s="2264">
        <f t="shared" si="358"/>
        <v>0</v>
      </c>
      <c r="P1902" s="2441"/>
      <c r="Q1902" s="2266"/>
      <c r="R1902" s="2266"/>
      <c r="S1902" s="2266"/>
    </row>
    <row r="1903" spans="1:19" s="2105" customFormat="1" outlineLevel="1">
      <c r="A1903" s="2182" t="str">
        <f t="shared" ref="A1903:A1909" si="359">IF(G1903&lt;&gt;0,1,"")</f>
        <v/>
      </c>
      <c r="B1903" s="2252" t="str">
        <f>IF($F$8=15,"chi25k","chi15k")</f>
        <v>chi15k</v>
      </c>
      <c r="C1903" s="2268">
        <f>IF(G1903&gt;0,C1902+1,C1902)</f>
        <v>0</v>
      </c>
      <c r="D1903" s="2152">
        <v>0</v>
      </c>
      <c r="E1903" s="2194" t="s">
        <v>3427</v>
      </c>
      <c r="F1903" s="2152" t="s">
        <v>2600</v>
      </c>
      <c r="G1903" s="2450">
        <f>G1901*3</f>
        <v>0</v>
      </c>
      <c r="H1903" s="2264">
        <v>103000</v>
      </c>
      <c r="I1903" s="2264">
        <v>0</v>
      </c>
      <c r="J1903" s="2264">
        <v>0</v>
      </c>
      <c r="K1903" s="2264">
        <v>0</v>
      </c>
      <c r="L1903" s="2264">
        <f t="shared" si="355"/>
        <v>0</v>
      </c>
      <c r="M1903" s="2264">
        <f t="shared" si="356"/>
        <v>0</v>
      </c>
      <c r="N1903" s="2264">
        <f t="shared" si="357"/>
        <v>0</v>
      </c>
      <c r="O1903" s="2264">
        <f t="shared" si="358"/>
        <v>0</v>
      </c>
      <c r="P1903" s="2441"/>
      <c r="Q1903" s="2266"/>
      <c r="R1903" s="2266"/>
      <c r="S1903" s="2266"/>
    </row>
    <row r="1904" spans="1:19" s="2105" customFormat="1" outlineLevel="1">
      <c r="A1904" s="2182" t="str">
        <f t="shared" si="359"/>
        <v/>
      </c>
      <c r="B1904" s="2261" t="str">
        <f>"LA"&amp;$F$6</f>
        <v>LA18</v>
      </c>
      <c r="C1904" s="2268">
        <f t="shared" ref="C1904:C1910" si="360">IF(G1904&gt;0,C1903+1,C1903)</f>
        <v>0</v>
      </c>
      <c r="D1904" s="2152" t="s">
        <v>5602</v>
      </c>
      <c r="E1904" s="2194" t="s">
        <v>1193</v>
      </c>
      <c r="F1904" s="2152" t="s">
        <v>2555</v>
      </c>
      <c r="G1904" s="2450">
        <f>G1901*3</f>
        <v>0</v>
      </c>
      <c r="H1904" s="2264">
        <v>1106000</v>
      </c>
      <c r="I1904" s="2264">
        <v>0</v>
      </c>
      <c r="J1904" s="2264">
        <v>83490</v>
      </c>
      <c r="K1904" s="2264">
        <v>0</v>
      </c>
      <c r="L1904" s="2264">
        <f t="shared" si="355"/>
        <v>0</v>
      </c>
      <c r="M1904" s="2264">
        <f t="shared" si="356"/>
        <v>0</v>
      </c>
      <c r="N1904" s="2264">
        <f t="shared" si="357"/>
        <v>0</v>
      </c>
      <c r="O1904" s="2264">
        <f t="shared" si="358"/>
        <v>0</v>
      </c>
      <c r="P1904" s="2441"/>
      <c r="Q1904" s="2266"/>
      <c r="R1904" s="2266"/>
      <c r="S1904" s="2266"/>
    </row>
    <row r="1905" spans="1:19" s="2105" customFormat="1" outlineLevel="1">
      <c r="A1905" s="2182" t="str">
        <f t="shared" si="359"/>
        <v/>
      </c>
      <c r="B1905" s="2357" t="s">
        <v>1462</v>
      </c>
      <c r="C1905" s="2268">
        <f t="shared" si="360"/>
        <v>0</v>
      </c>
      <c r="D1905" s="2152" t="s">
        <v>5688</v>
      </c>
      <c r="E1905" s="2194" t="s">
        <v>5689</v>
      </c>
      <c r="F1905" s="2152" t="s">
        <v>2555</v>
      </c>
      <c r="G1905" s="2270">
        <f>G1901*0</f>
        <v>0</v>
      </c>
      <c r="H1905" s="2264">
        <v>25594000</v>
      </c>
      <c r="I1905" s="2264">
        <v>0</v>
      </c>
      <c r="J1905" s="2264">
        <v>1391500</v>
      </c>
      <c r="K1905" s="2264">
        <v>0</v>
      </c>
      <c r="L1905" s="2264">
        <f t="shared" si="355"/>
        <v>0</v>
      </c>
      <c r="M1905" s="2264">
        <f t="shared" si="356"/>
        <v>0</v>
      </c>
      <c r="N1905" s="2264">
        <f t="shared" si="357"/>
        <v>0</v>
      </c>
      <c r="O1905" s="2264">
        <f t="shared" si="358"/>
        <v>0</v>
      </c>
      <c r="P1905" s="2389"/>
      <c r="Q1905" s="2266"/>
      <c r="R1905" s="2266"/>
      <c r="S1905" s="2266"/>
    </row>
    <row r="1906" spans="1:19" s="2105" customFormat="1" outlineLevel="1">
      <c r="A1906" s="2182" t="str">
        <f t="shared" si="359"/>
        <v/>
      </c>
      <c r="B1906" s="2357" t="s">
        <v>953</v>
      </c>
      <c r="C1906" s="2268">
        <f t="shared" si="360"/>
        <v>0</v>
      </c>
      <c r="D1906" s="2152" t="s">
        <v>5685</v>
      </c>
      <c r="E1906" s="2194" t="s">
        <v>5686</v>
      </c>
      <c r="F1906" s="2152" t="s">
        <v>2555</v>
      </c>
      <c r="G1906" s="2450">
        <f>G1901*2</f>
        <v>0</v>
      </c>
      <c r="H1906" s="2264">
        <v>7180000</v>
      </c>
      <c r="I1906" s="2264">
        <v>0</v>
      </c>
      <c r="J1906" s="2264">
        <v>974050</v>
      </c>
      <c r="K1906" s="2264">
        <v>0</v>
      </c>
      <c r="L1906" s="2264">
        <f t="shared" si="355"/>
        <v>0</v>
      </c>
      <c r="M1906" s="2264">
        <f t="shared" si="356"/>
        <v>0</v>
      </c>
      <c r="N1906" s="2264">
        <f t="shared" si="357"/>
        <v>0</v>
      </c>
      <c r="O1906" s="2264">
        <f t="shared" si="358"/>
        <v>0</v>
      </c>
      <c r="P1906" s="2441"/>
      <c r="Q1906" s="2266"/>
      <c r="R1906" s="2266"/>
      <c r="S1906" s="2266"/>
    </row>
    <row r="1907" spans="1:19" s="2105" customFormat="1" outlineLevel="1">
      <c r="A1907" s="2182" t="str">
        <f t="shared" si="359"/>
        <v/>
      </c>
      <c r="B1907" s="2357" t="s">
        <v>1461</v>
      </c>
      <c r="C1907" s="2268">
        <f t="shared" si="360"/>
        <v>0</v>
      </c>
      <c r="D1907" s="2152" t="s">
        <v>5621</v>
      </c>
      <c r="E1907" s="2194" t="s">
        <v>3378</v>
      </c>
      <c r="F1907" s="2152" t="s">
        <v>3370</v>
      </c>
      <c r="G1907" s="2270">
        <f>G1901*0</f>
        <v>0</v>
      </c>
      <c r="H1907" s="2264">
        <v>20800000</v>
      </c>
      <c r="I1907" s="2264">
        <v>310.8</v>
      </c>
      <c r="J1907" s="2264">
        <v>20659.099999999999</v>
      </c>
      <c r="K1907" s="2264">
        <v>5769.4</v>
      </c>
      <c r="L1907" s="2264">
        <f t="shared" si="355"/>
        <v>0</v>
      </c>
      <c r="M1907" s="2264">
        <f t="shared" si="356"/>
        <v>0</v>
      </c>
      <c r="N1907" s="2264">
        <f t="shared" si="357"/>
        <v>0</v>
      </c>
      <c r="O1907" s="2264">
        <f t="shared" si="358"/>
        <v>0</v>
      </c>
      <c r="P1907" s="2389"/>
      <c r="Q1907" s="2266"/>
      <c r="R1907" s="2266"/>
      <c r="S1907" s="2266"/>
    </row>
    <row r="1908" spans="1:19" s="2105" customFormat="1" outlineLevel="1">
      <c r="A1908" s="2182" t="str">
        <f t="shared" si="359"/>
        <v/>
      </c>
      <c r="B1908" s="2252" t="s">
        <v>64</v>
      </c>
      <c r="C1908" s="2268">
        <f t="shared" si="360"/>
        <v>0</v>
      </c>
      <c r="D1908" s="2152">
        <v>0</v>
      </c>
      <c r="E1908" s="2194" t="s">
        <v>3364</v>
      </c>
      <c r="F1908" s="2152" t="s">
        <v>2555</v>
      </c>
      <c r="G1908" s="2531">
        <f>G1901*3*0</f>
        <v>0</v>
      </c>
      <c r="H1908" s="2264">
        <v>0</v>
      </c>
      <c r="I1908" s="2264">
        <v>0</v>
      </c>
      <c r="J1908" s="2264">
        <v>0</v>
      </c>
      <c r="K1908" s="2264">
        <v>0</v>
      </c>
      <c r="L1908" s="2264">
        <f t="shared" si="355"/>
        <v>0</v>
      </c>
      <c r="M1908" s="2264">
        <f t="shared" si="356"/>
        <v>0</v>
      </c>
      <c r="N1908" s="2264">
        <f t="shared" si="357"/>
        <v>0</v>
      </c>
      <c r="O1908" s="2264">
        <f t="shared" si="358"/>
        <v>0</v>
      </c>
      <c r="P1908" s="2391" t="s">
        <v>2601</v>
      </c>
      <c r="Q1908" s="2266"/>
      <c r="R1908" s="2266"/>
      <c r="S1908" s="2266"/>
    </row>
    <row r="1909" spans="1:19" s="2105" customFormat="1" outlineLevel="1">
      <c r="A1909" s="2182" t="str">
        <f t="shared" si="359"/>
        <v/>
      </c>
      <c r="B1909" s="2252" t="s">
        <v>64</v>
      </c>
      <c r="C1909" s="2268">
        <f t="shared" si="360"/>
        <v>0</v>
      </c>
      <c r="D1909" s="2152">
        <v>0</v>
      </c>
      <c r="E1909" s="2194" t="s">
        <v>3364</v>
      </c>
      <c r="F1909" s="2152" t="s">
        <v>2555</v>
      </c>
      <c r="G1909" s="2459">
        <f>G1901*3</f>
        <v>0</v>
      </c>
      <c r="H1909" s="2264">
        <v>0</v>
      </c>
      <c r="I1909" s="2264">
        <v>0</v>
      </c>
      <c r="J1909" s="2264">
        <v>0</v>
      </c>
      <c r="K1909" s="2264">
        <v>0</v>
      </c>
      <c r="L1909" s="2264">
        <f t="shared" si="355"/>
        <v>0</v>
      </c>
      <c r="M1909" s="2264">
        <f t="shared" si="356"/>
        <v>0</v>
      </c>
      <c r="N1909" s="2264">
        <f t="shared" si="357"/>
        <v>0</v>
      </c>
      <c r="O1909" s="2264">
        <f t="shared" si="358"/>
        <v>0</v>
      </c>
      <c r="P1909" s="2443" t="s">
        <v>2601</v>
      </c>
      <c r="Q1909" s="2266"/>
      <c r="R1909" s="2266"/>
      <c r="S1909" s="2266"/>
    </row>
    <row r="1910" spans="1:19" s="2105" customFormat="1" outlineLevel="1">
      <c r="A1910" s="2182" t="str">
        <f>IF(G1910&lt;&gt;0,1,"")</f>
        <v/>
      </c>
      <c r="B1910" s="2252" t="s">
        <v>1460</v>
      </c>
      <c r="C1910" s="2268">
        <f t="shared" si="360"/>
        <v>0</v>
      </c>
      <c r="D1910" s="2152">
        <v>0</v>
      </c>
      <c r="E1910" s="2194" t="s">
        <v>3441</v>
      </c>
      <c r="F1910" s="2152" t="s">
        <v>2555</v>
      </c>
      <c r="G1910" s="2459">
        <f>G1901</f>
        <v>0</v>
      </c>
      <c r="H1910" s="2264">
        <v>0</v>
      </c>
      <c r="I1910" s="2264">
        <v>0</v>
      </c>
      <c r="J1910" s="2264">
        <v>0</v>
      </c>
      <c r="K1910" s="2264">
        <v>0</v>
      </c>
      <c r="L1910" s="2264">
        <f t="shared" si="355"/>
        <v>0</v>
      </c>
      <c r="M1910" s="2360">
        <f t="shared" si="356"/>
        <v>0</v>
      </c>
      <c r="N1910" s="2360">
        <f t="shared" si="357"/>
        <v>0</v>
      </c>
      <c r="O1910" s="2361">
        <f t="shared" si="358"/>
        <v>0</v>
      </c>
      <c r="P1910" s="2444" t="s">
        <v>2601</v>
      </c>
      <c r="Q1910" s="2266"/>
      <c r="R1910" s="2266"/>
      <c r="S1910" s="2266"/>
    </row>
    <row r="1911" spans="1:19" s="2105" customFormat="1" outlineLevel="1">
      <c r="A1911" s="2182">
        <f>IF(SUM(L1911:O1911)&gt;0,1,)</f>
        <v>0</v>
      </c>
      <c r="B1911" s="2261"/>
      <c r="C1911" s="2393"/>
      <c r="D1911" s="2394"/>
      <c r="E1911" s="2395"/>
      <c r="F1911" s="2393"/>
      <c r="G1911" s="2445"/>
      <c r="H1911" s="2393"/>
      <c r="I1911" s="2393"/>
      <c r="J1911" s="2117" t="s">
        <v>6121</v>
      </c>
      <c r="K1911" s="2393"/>
      <c r="L1911" s="2395">
        <f>SUM(L1901:L1910)</f>
        <v>0</v>
      </c>
      <c r="M1911" s="2395">
        <f>SUM(M1901:M1910)</f>
        <v>0</v>
      </c>
      <c r="N1911" s="2395">
        <f>SUM(N1901:N1910)</f>
        <v>0</v>
      </c>
      <c r="O1911" s="2395">
        <f>SUM(O1901:O1910)</f>
        <v>0</v>
      </c>
      <c r="P1911" s="2446"/>
      <c r="Q1911" s="2266"/>
      <c r="R1911" s="2266"/>
      <c r="S1911" s="2266"/>
    </row>
    <row r="1912" spans="1:19" s="2105" customFormat="1" outlineLevel="1">
      <c r="A1912" s="2182"/>
      <c r="B1912" s="2261"/>
      <c r="C1912" s="2397"/>
      <c r="D1912" s="2398"/>
      <c r="E1912" s="2399" t="s">
        <v>3673</v>
      </c>
      <c r="F1912" s="2399"/>
      <c r="G1912" s="2447"/>
      <c r="H1912" s="2399"/>
      <c r="I1912" s="2399"/>
      <c r="J1912" s="2399"/>
      <c r="K1912" s="2399"/>
      <c r="L1912" s="2399"/>
      <c r="M1912" s="2399"/>
      <c r="N1912" s="2399"/>
      <c r="O1912" s="2398"/>
      <c r="P1912" s="2446"/>
      <c r="Q1912" s="2266"/>
      <c r="R1912" s="2266"/>
      <c r="S1912" s="2266"/>
    </row>
    <row r="1913" spans="1:19" s="2105" customFormat="1" outlineLevel="1">
      <c r="A1913" s="2182" t="str">
        <f t="shared" ref="A1913:A1931" si="361">IF(G1913&lt;&gt;0,1,"")</f>
        <v/>
      </c>
      <c r="B1913" s="2401"/>
      <c r="C1913" s="2402">
        <f>IF(G1913&gt;0,1,0)</f>
        <v>0</v>
      </c>
      <c r="D1913" s="2152"/>
      <c r="E1913" s="2403" t="s">
        <v>6122</v>
      </c>
      <c r="F1913" s="2404" t="s">
        <v>2277</v>
      </c>
      <c r="G1913" s="2461"/>
      <c r="H1913" s="2404"/>
      <c r="I1913" s="2404"/>
      <c r="J1913" s="2404"/>
      <c r="K1913" s="2404"/>
      <c r="L1913" s="2405"/>
      <c r="M1913" s="2405"/>
      <c r="N1913" s="2405"/>
      <c r="O1913" s="2406"/>
      <c r="P1913" s="2389"/>
      <c r="Q1913" s="2266"/>
      <c r="R1913" s="2266"/>
      <c r="S1913" s="2266"/>
    </row>
    <row r="1914" spans="1:19" s="2105" customFormat="1" outlineLevel="1">
      <c r="A1914" s="2182" t="str">
        <f t="shared" si="361"/>
        <v/>
      </c>
      <c r="B1914" s="2357" t="s">
        <v>115</v>
      </c>
      <c r="C1914" s="2407"/>
      <c r="D1914" s="2152"/>
      <c r="E1914" s="2408" t="s">
        <v>2992</v>
      </c>
      <c r="F1914" s="2152" t="s">
        <v>2831</v>
      </c>
      <c r="G1914" s="2462">
        <f>G1913</f>
        <v>0</v>
      </c>
      <c r="H1914" s="2359">
        <v>4400000</v>
      </c>
      <c r="I1914" s="2258"/>
      <c r="J1914" s="2359"/>
      <c r="K1914" s="2258"/>
      <c r="L1914" s="2360">
        <f>H1914*G1914</f>
        <v>0</v>
      </c>
      <c r="M1914" s="2360">
        <f>I1914*G1914</f>
        <v>0</v>
      </c>
      <c r="N1914" s="2360">
        <f>J1914*G1914</f>
        <v>0</v>
      </c>
      <c r="O1914" s="2360">
        <f>K1914*G1914</f>
        <v>0</v>
      </c>
      <c r="P1914" s="2389"/>
      <c r="Q1914" s="2266"/>
      <c r="R1914" s="2266"/>
      <c r="S1914" s="2266"/>
    </row>
    <row r="1915" spans="1:19" s="2105" customFormat="1" outlineLevel="1">
      <c r="A1915" s="2182" t="str">
        <f t="shared" si="361"/>
        <v/>
      </c>
      <c r="B1915" s="2357" t="s">
        <v>1814</v>
      </c>
      <c r="C1915" s="2407"/>
      <c r="D1915" s="2152"/>
      <c r="E1915" s="2408" t="s">
        <v>2830</v>
      </c>
      <c r="F1915" s="2152" t="s">
        <v>2831</v>
      </c>
      <c r="G1915" s="2462">
        <f>G1914</f>
        <v>0</v>
      </c>
      <c r="H1915" s="2359">
        <v>17400</v>
      </c>
      <c r="I1915" s="2359"/>
      <c r="J1915" s="2258"/>
      <c r="K1915" s="2258"/>
      <c r="L1915" s="2360">
        <f>H1915*G1915</f>
        <v>0</v>
      </c>
      <c r="M1915" s="2360">
        <f>I1915*G1915</f>
        <v>0</v>
      </c>
      <c r="N1915" s="2360">
        <f>J1915*G1915</f>
        <v>0</v>
      </c>
      <c r="O1915" s="2360">
        <f>K1915*G1915</f>
        <v>0</v>
      </c>
      <c r="P1915" s="2389"/>
      <c r="Q1915" s="2266"/>
      <c r="R1915" s="2266"/>
      <c r="S1915" s="2266"/>
    </row>
    <row r="1916" spans="1:19" s="2105" customFormat="1" outlineLevel="1">
      <c r="A1916" s="2182" t="str">
        <f t="shared" si="361"/>
        <v/>
      </c>
      <c r="B1916" s="2357" t="s">
        <v>643</v>
      </c>
      <c r="C1916" s="2407"/>
      <c r="D1916" s="2152" t="s">
        <v>2127</v>
      </c>
      <c r="E1916" s="2408" t="s">
        <v>3167</v>
      </c>
      <c r="F1916" s="2152" t="s">
        <v>2831</v>
      </c>
      <c r="G1916" s="2462">
        <f>G1914</f>
        <v>0</v>
      </c>
      <c r="H1916" s="2408"/>
      <c r="I1916" s="2359"/>
      <c r="J1916" s="2359">
        <v>112286</v>
      </c>
      <c r="K1916" s="2359">
        <v>105970</v>
      </c>
      <c r="L1916" s="2360">
        <f>H1916*G1916</f>
        <v>0</v>
      </c>
      <c r="M1916" s="2360">
        <f>I1916*G1916</f>
        <v>0</v>
      </c>
      <c r="N1916" s="2360">
        <f>J1916*G1916</f>
        <v>0</v>
      </c>
      <c r="O1916" s="2360">
        <f>K1916*G1916</f>
        <v>0</v>
      </c>
      <c r="P1916" s="2389"/>
      <c r="Q1916" s="2266"/>
      <c r="R1916" s="2266"/>
      <c r="S1916" s="2266"/>
    </row>
    <row r="1917" spans="1:19" s="2105" customFormat="1" outlineLevel="1">
      <c r="A1917" s="2182" t="str">
        <f t="shared" si="361"/>
        <v/>
      </c>
      <c r="B1917" s="2401"/>
      <c r="C1917" s="2402">
        <f>IF(G1917&gt;0,1,0)</f>
        <v>0</v>
      </c>
      <c r="D1917" s="2152"/>
      <c r="E1917" s="2403" t="s">
        <v>6217</v>
      </c>
      <c r="F1917" s="2404" t="s">
        <v>2277</v>
      </c>
      <c r="G1917" s="2461">
        <f>G1901*1*0</f>
        <v>0</v>
      </c>
      <c r="H1917" s="2404"/>
      <c r="I1917" s="2404"/>
      <c r="J1917" s="2404"/>
      <c r="K1917" s="2404"/>
      <c r="L1917" s="2405"/>
      <c r="M1917" s="2405"/>
      <c r="N1917" s="2405"/>
      <c r="O1917" s="2406"/>
      <c r="P1917" s="2265"/>
      <c r="Q1917" s="2266"/>
      <c r="R1917" s="2266"/>
      <c r="S1917" s="2266"/>
    </row>
    <row r="1918" spans="1:19" s="2105" customFormat="1" outlineLevel="1">
      <c r="A1918" s="2182" t="str">
        <f t="shared" si="361"/>
        <v/>
      </c>
      <c r="B1918" s="2357" t="s">
        <v>114</v>
      </c>
      <c r="C1918" s="2407"/>
      <c r="D1918" s="2152"/>
      <c r="E1918" s="2408" t="s">
        <v>2991</v>
      </c>
      <c r="F1918" s="2152" t="s">
        <v>2831</v>
      </c>
      <c r="G1918" s="2462">
        <f>G1917</f>
        <v>0</v>
      </c>
      <c r="H1918" s="2359">
        <v>4200000</v>
      </c>
      <c r="I1918" s="2258"/>
      <c r="J1918" s="2359"/>
      <c r="K1918" s="2258"/>
      <c r="L1918" s="2360">
        <f>H1918*G1918</f>
        <v>0</v>
      </c>
      <c r="M1918" s="2360">
        <f>I1918*G1918</f>
        <v>0</v>
      </c>
      <c r="N1918" s="2360">
        <f>J1918*G1918</f>
        <v>0</v>
      </c>
      <c r="O1918" s="2360">
        <f>K1918*G1918</f>
        <v>0</v>
      </c>
      <c r="P1918" s="2265"/>
      <c r="Q1918" s="2266"/>
      <c r="R1918" s="2266"/>
      <c r="S1918" s="2266"/>
    </row>
    <row r="1919" spans="1:19" s="2105" customFormat="1" outlineLevel="1">
      <c r="A1919" s="2182" t="str">
        <f t="shared" si="361"/>
        <v/>
      </c>
      <c r="B1919" s="2357" t="s">
        <v>1814</v>
      </c>
      <c r="C1919" s="2407"/>
      <c r="D1919" s="2152"/>
      <c r="E1919" s="2408" t="s">
        <v>2830</v>
      </c>
      <c r="F1919" s="2152" t="s">
        <v>2831</v>
      </c>
      <c r="G1919" s="2462">
        <f>G1918</f>
        <v>0</v>
      </c>
      <c r="H1919" s="2359">
        <v>17400</v>
      </c>
      <c r="I1919" s="2359"/>
      <c r="J1919" s="2258"/>
      <c r="K1919" s="2258"/>
      <c r="L1919" s="2360">
        <f>H1919*G1919</f>
        <v>0</v>
      </c>
      <c r="M1919" s="2360">
        <f>I1919*G1919</f>
        <v>0</v>
      </c>
      <c r="N1919" s="2360">
        <f>J1919*G1919</f>
        <v>0</v>
      </c>
      <c r="O1919" s="2360">
        <f>K1919*G1919</f>
        <v>0</v>
      </c>
      <c r="P1919" s="2265"/>
      <c r="Q1919" s="2266"/>
      <c r="R1919" s="2266"/>
      <c r="S1919" s="2266"/>
    </row>
    <row r="1920" spans="1:19" s="2105" customFormat="1" outlineLevel="1">
      <c r="A1920" s="2182" t="str">
        <f t="shared" si="361"/>
        <v/>
      </c>
      <c r="B1920" s="2357" t="s">
        <v>644</v>
      </c>
      <c r="C1920" s="2407"/>
      <c r="D1920" s="2152" t="s">
        <v>2127</v>
      </c>
      <c r="E1920" s="2408" t="s">
        <v>3168</v>
      </c>
      <c r="F1920" s="2152" t="s">
        <v>2831</v>
      </c>
      <c r="G1920" s="2462">
        <f>G1918</f>
        <v>0</v>
      </c>
      <c r="H1920" s="2408"/>
      <c r="I1920" s="2359"/>
      <c r="J1920" s="2359">
        <v>112286</v>
      </c>
      <c r="K1920" s="2359">
        <v>105970</v>
      </c>
      <c r="L1920" s="2360">
        <f>H1920*G1920</f>
        <v>0</v>
      </c>
      <c r="M1920" s="2360">
        <f>I1920*G1920</f>
        <v>0</v>
      </c>
      <c r="N1920" s="2360">
        <f>J1920*G1920</f>
        <v>0</v>
      </c>
      <c r="O1920" s="2360">
        <f>K1920*G1920</f>
        <v>0</v>
      </c>
      <c r="P1920" s="2265"/>
      <c r="Q1920" s="2266"/>
      <c r="R1920" s="2266"/>
      <c r="S1920" s="2266"/>
    </row>
    <row r="1921" spans="1:19" s="2105" customFormat="1" outlineLevel="1">
      <c r="A1921" s="2182" t="str">
        <f t="shared" si="361"/>
        <v/>
      </c>
      <c r="B1921" s="2357"/>
      <c r="C1921" s="2258">
        <f>IF(G1921&gt;0,C1913+1,C1913)</f>
        <v>0</v>
      </c>
      <c r="D1921" s="2152"/>
      <c r="E1921" s="2403" t="s">
        <v>2352</v>
      </c>
      <c r="F1921" s="2404" t="s">
        <v>2327</v>
      </c>
      <c r="G1921" s="2461">
        <f>G1913</f>
        <v>0</v>
      </c>
      <c r="H1921" s="2258"/>
      <c r="I1921" s="2258"/>
      <c r="J1921" s="2258"/>
      <c r="K1921" s="2258"/>
      <c r="L1921" s="2258"/>
      <c r="M1921" s="2258"/>
      <c r="N1921" s="2258"/>
      <c r="O1921" s="2410"/>
      <c r="P1921" s="2389"/>
      <c r="Q1921" s="2266"/>
      <c r="R1921" s="2266"/>
      <c r="S1921" s="2266"/>
    </row>
    <row r="1922" spans="1:19" s="2105" customFormat="1" outlineLevel="1">
      <c r="A1922" s="2182" t="str">
        <f t="shared" si="361"/>
        <v/>
      </c>
      <c r="B1922" s="2357" t="s">
        <v>636</v>
      </c>
      <c r="C1922" s="2407"/>
      <c r="D1922" s="2152" t="s">
        <v>5047</v>
      </c>
      <c r="E1922" s="2408" t="s">
        <v>2607</v>
      </c>
      <c r="F1922" s="2152" t="s">
        <v>2555</v>
      </c>
      <c r="G1922" s="2462">
        <f>G1921</f>
        <v>0</v>
      </c>
      <c r="H1922" s="2359">
        <v>354545</v>
      </c>
      <c r="I1922" s="2359"/>
      <c r="J1922" s="2359">
        <v>37220.25</v>
      </c>
      <c r="K1922" s="2258"/>
      <c r="L1922" s="2360">
        <f>H1922*G1922</f>
        <v>0</v>
      </c>
      <c r="M1922" s="2360">
        <f>I1922*G1922</f>
        <v>0</v>
      </c>
      <c r="N1922" s="2360">
        <f>J1922*G1922</f>
        <v>0</v>
      </c>
      <c r="O1922" s="2360">
        <f>K1922*G1922</f>
        <v>0</v>
      </c>
      <c r="P1922" s="2389"/>
      <c r="Q1922" s="2266"/>
      <c r="R1922" s="2266"/>
      <c r="S1922" s="2266"/>
    </row>
    <row r="1923" spans="1:19" s="2105" customFormat="1" outlineLevel="1">
      <c r="A1923" s="2182" t="str">
        <f t="shared" si="361"/>
        <v/>
      </c>
      <c r="B1923" s="2357" t="s">
        <v>566</v>
      </c>
      <c r="C1923" s="2407"/>
      <c r="D1923" s="2152"/>
      <c r="E1923" s="2408" t="s">
        <v>5072</v>
      </c>
      <c r="F1923" s="2152" t="s">
        <v>2439</v>
      </c>
      <c r="G1923" s="2270">
        <f>G1922</f>
        <v>0</v>
      </c>
      <c r="H1923" s="2359">
        <v>92200</v>
      </c>
      <c r="I1923" s="2408"/>
      <c r="J1923" s="2408"/>
      <c r="K1923" s="2258"/>
      <c r="L1923" s="2360">
        <f>H1923*G1923</f>
        <v>0</v>
      </c>
      <c r="M1923" s="2360">
        <f>I1923*G1923</f>
        <v>0</v>
      </c>
      <c r="N1923" s="2360">
        <f>J1923*G1923</f>
        <v>0</v>
      </c>
      <c r="O1923" s="2360">
        <f>K1923*G1923</f>
        <v>0</v>
      </c>
      <c r="P1923" s="2389"/>
      <c r="Q1923" s="2266"/>
      <c r="R1923" s="2266"/>
      <c r="S1923" s="2266"/>
    </row>
    <row r="1924" spans="1:19" s="2105" customFormat="1" outlineLevel="1">
      <c r="A1924" s="2182" t="str">
        <f t="shared" si="361"/>
        <v/>
      </c>
      <c r="B1924" s="2357" t="s">
        <v>639</v>
      </c>
      <c r="C1924" s="2407"/>
      <c r="D1924" s="2152" t="s">
        <v>1747</v>
      </c>
      <c r="E1924" s="2408" t="s">
        <v>5324</v>
      </c>
      <c r="F1924" s="2152" t="s">
        <v>856</v>
      </c>
      <c r="G1924" s="2270">
        <f>1.45*G1922</f>
        <v>0</v>
      </c>
      <c r="H1924" s="2359">
        <v>0</v>
      </c>
      <c r="I1924" s="2359"/>
      <c r="J1924" s="2359">
        <v>296500.89999999997</v>
      </c>
      <c r="K1924" s="2258"/>
      <c r="L1924" s="2360">
        <f>H1924*G1924</f>
        <v>0</v>
      </c>
      <c r="M1924" s="2360">
        <f>I1924*G1924</f>
        <v>0</v>
      </c>
      <c r="N1924" s="2360">
        <f>J1924*G1924</f>
        <v>0</v>
      </c>
      <c r="O1924" s="2360">
        <f>K1924*G1924</f>
        <v>0</v>
      </c>
      <c r="P1924" s="2389"/>
      <c r="Q1924" s="2266"/>
      <c r="R1924" s="2266"/>
      <c r="S1924" s="2266"/>
    </row>
    <row r="1925" spans="1:19" s="2105" customFormat="1" outlineLevel="1">
      <c r="A1925" s="2182" t="str">
        <f t="shared" si="361"/>
        <v/>
      </c>
      <c r="B1925" s="2357" t="s">
        <v>21</v>
      </c>
      <c r="C1925" s="2407"/>
      <c r="D1925" s="2152" t="s">
        <v>5325</v>
      </c>
      <c r="E1925" s="2408" t="s">
        <v>5326</v>
      </c>
      <c r="F1925" s="2152" t="s">
        <v>856</v>
      </c>
      <c r="G1925" s="2270">
        <f>1.37*G1921</f>
        <v>0</v>
      </c>
      <c r="H1925" s="2359">
        <v>0</v>
      </c>
      <c r="I1925" s="2359"/>
      <c r="J1925" s="2359">
        <v>117703.6</v>
      </c>
      <c r="K1925" s="2258"/>
      <c r="L1925" s="2360">
        <f>H1925*G1925</f>
        <v>0</v>
      </c>
      <c r="M1925" s="2360">
        <f>I1925*G1925</f>
        <v>0</v>
      </c>
      <c r="N1925" s="2360">
        <f>J1925*G1925</f>
        <v>0</v>
      </c>
      <c r="O1925" s="2360">
        <f>K1925*G1925</f>
        <v>0</v>
      </c>
      <c r="P1925" s="2389"/>
      <c r="Q1925" s="2266"/>
      <c r="R1925" s="2266"/>
      <c r="S1925" s="2266"/>
    </row>
    <row r="1926" spans="1:19" s="2105" customFormat="1" outlineLevel="1">
      <c r="A1926" s="2182" t="str">
        <f t="shared" si="361"/>
        <v/>
      </c>
      <c r="B1926" s="2357"/>
      <c r="C1926" s="2258">
        <f>IF(G1926&gt;0,C1918+1,C1918)</f>
        <v>0</v>
      </c>
      <c r="D1926" s="2152"/>
      <c r="E1926" s="2403" t="s">
        <v>3713</v>
      </c>
      <c r="F1926" s="2404" t="s">
        <v>2327</v>
      </c>
      <c r="G1926" s="2461">
        <f>G1917</f>
        <v>0</v>
      </c>
      <c r="H1926" s="2258"/>
      <c r="I1926" s="2258"/>
      <c r="J1926" s="2258"/>
      <c r="K1926" s="2258"/>
      <c r="L1926" s="2258"/>
      <c r="M1926" s="2258"/>
      <c r="N1926" s="2258"/>
      <c r="O1926" s="2410"/>
      <c r="P1926" s="2265"/>
      <c r="Q1926" s="2266"/>
      <c r="R1926" s="2266"/>
      <c r="S1926" s="2266"/>
    </row>
    <row r="1927" spans="1:19" s="2105" customFormat="1" outlineLevel="1">
      <c r="A1927" s="2182" t="str">
        <f t="shared" si="361"/>
        <v/>
      </c>
      <c r="B1927" s="2357" t="s">
        <v>636</v>
      </c>
      <c r="C1927" s="2407"/>
      <c r="D1927" s="2152" t="s">
        <v>5047</v>
      </c>
      <c r="E1927" s="2408" t="s">
        <v>2607</v>
      </c>
      <c r="F1927" s="2152" t="s">
        <v>2555</v>
      </c>
      <c r="G1927" s="2462">
        <f>G1926</f>
        <v>0</v>
      </c>
      <c r="H1927" s="2359">
        <v>354545</v>
      </c>
      <c r="I1927" s="2359"/>
      <c r="J1927" s="2359">
        <v>37220.25</v>
      </c>
      <c r="K1927" s="2258"/>
      <c r="L1927" s="2360">
        <f>H1927*G1927</f>
        <v>0</v>
      </c>
      <c r="M1927" s="2360">
        <f>I1927*G1927</f>
        <v>0</v>
      </c>
      <c r="N1927" s="2360">
        <f>J1927*G1927</f>
        <v>0</v>
      </c>
      <c r="O1927" s="2360">
        <f>K1927*G1927</f>
        <v>0</v>
      </c>
      <c r="P1927" s="2265"/>
      <c r="Q1927" s="2266"/>
      <c r="R1927" s="2266"/>
      <c r="S1927" s="2266"/>
    </row>
    <row r="1928" spans="1:19" s="2105" customFormat="1" outlineLevel="1">
      <c r="A1928" s="2182" t="str">
        <f t="shared" si="361"/>
        <v/>
      </c>
      <c r="B1928" s="2357" t="s">
        <v>566</v>
      </c>
      <c r="C1928" s="2407"/>
      <c r="D1928" s="2152"/>
      <c r="E1928" s="2408" t="s">
        <v>5072</v>
      </c>
      <c r="F1928" s="2152" t="s">
        <v>2439</v>
      </c>
      <c r="G1928" s="2462">
        <f>G1927</f>
        <v>0</v>
      </c>
      <c r="H1928" s="2359">
        <v>92200</v>
      </c>
      <c r="I1928" s="2408"/>
      <c r="J1928" s="2408"/>
      <c r="K1928" s="2258"/>
      <c r="L1928" s="2360">
        <f>H1928*G1928</f>
        <v>0</v>
      </c>
      <c r="M1928" s="2360">
        <f>I1928*G1928</f>
        <v>0</v>
      </c>
      <c r="N1928" s="2360">
        <f>J1928*G1928</f>
        <v>0</v>
      </c>
      <c r="O1928" s="2360">
        <f>K1928*G1928</f>
        <v>0</v>
      </c>
      <c r="P1928" s="2265"/>
      <c r="Q1928" s="2266"/>
      <c r="R1928" s="2266"/>
      <c r="S1928" s="2266"/>
    </row>
    <row r="1929" spans="1:19" s="2105" customFormat="1" outlineLevel="1">
      <c r="A1929" s="2182" t="str">
        <f t="shared" si="361"/>
        <v/>
      </c>
      <c r="B1929" s="2357" t="s">
        <v>639</v>
      </c>
      <c r="C1929" s="2407"/>
      <c r="D1929" s="2152" t="s">
        <v>1747</v>
      </c>
      <c r="E1929" s="2408" t="s">
        <v>5324</v>
      </c>
      <c r="F1929" s="2152" t="s">
        <v>856</v>
      </c>
      <c r="G1929" s="2270">
        <f>1.48*G1927</f>
        <v>0</v>
      </c>
      <c r="H1929" s="2359">
        <v>0</v>
      </c>
      <c r="I1929" s="2359"/>
      <c r="J1929" s="2359">
        <v>296500.89999999997</v>
      </c>
      <c r="K1929" s="2258"/>
      <c r="L1929" s="2360">
        <f>H1929*G1929</f>
        <v>0</v>
      </c>
      <c r="M1929" s="2360">
        <f>I1929*G1929</f>
        <v>0</v>
      </c>
      <c r="N1929" s="2360">
        <f>J1929*G1929</f>
        <v>0</v>
      </c>
      <c r="O1929" s="2360">
        <f>K1929*G1929</f>
        <v>0</v>
      </c>
      <c r="P1929" s="2265"/>
      <c r="Q1929" s="2266"/>
      <c r="R1929" s="2266"/>
      <c r="S1929" s="2266"/>
    </row>
    <row r="1930" spans="1:19" s="2105" customFormat="1" outlineLevel="1">
      <c r="A1930" s="2182" t="str">
        <f t="shared" si="361"/>
        <v/>
      </c>
      <c r="B1930" s="2357" t="s">
        <v>21</v>
      </c>
      <c r="C1930" s="2407"/>
      <c r="D1930" s="2152" t="s">
        <v>5325</v>
      </c>
      <c r="E1930" s="2408" t="s">
        <v>5326</v>
      </c>
      <c r="F1930" s="2152" t="s">
        <v>856</v>
      </c>
      <c r="G1930" s="2270">
        <f>1.39*G1926</f>
        <v>0</v>
      </c>
      <c r="H1930" s="2359">
        <v>0</v>
      </c>
      <c r="I1930" s="2359"/>
      <c r="J1930" s="2359">
        <v>117703.6</v>
      </c>
      <c r="K1930" s="2258"/>
      <c r="L1930" s="2360">
        <f>H1930*G1930</f>
        <v>0</v>
      </c>
      <c r="M1930" s="2360">
        <f>I1930*G1930</f>
        <v>0</v>
      </c>
      <c r="N1930" s="2360">
        <f>J1930*G1930</f>
        <v>0</v>
      </c>
      <c r="O1930" s="2360">
        <f>K1930*G1930</f>
        <v>0</v>
      </c>
      <c r="P1930" s="2265"/>
      <c r="Q1930" s="2266"/>
      <c r="R1930" s="2266"/>
      <c r="S1930" s="2266"/>
    </row>
    <row r="1931" spans="1:19" s="2105" customFormat="1" outlineLevel="1">
      <c r="A1931" s="2182" t="str">
        <f t="shared" si="361"/>
        <v/>
      </c>
      <c r="B1931" s="2261"/>
      <c r="C1931" s="2258">
        <f>IF(G1931&gt;0,C1921+1,C1921)</f>
        <v>0</v>
      </c>
      <c r="D1931" s="2411"/>
      <c r="E1931" s="2403" t="s">
        <v>3714</v>
      </c>
      <c r="F1931" s="2402" t="s">
        <v>2385</v>
      </c>
      <c r="G1931" s="2448">
        <f>G1901*1</f>
        <v>0</v>
      </c>
      <c r="H1931" s="2413"/>
      <c r="I1931" s="2413"/>
      <c r="J1931" s="2413"/>
      <c r="K1931" s="2413"/>
      <c r="L1931" s="2413"/>
      <c r="M1931" s="2413"/>
      <c r="N1931" s="2413"/>
      <c r="O1931" s="2413"/>
      <c r="P1931" s="2449"/>
      <c r="Q1931" s="2266"/>
      <c r="R1931" s="2266"/>
      <c r="S1931" s="2266"/>
    </row>
    <row r="1932" spans="1:19" s="2105" customFormat="1" ht="14.4" outlineLevel="1">
      <c r="A1932" s="2182" t="str">
        <f>A1931</f>
        <v/>
      </c>
      <c r="B1932" s="2261"/>
      <c r="C1932" s="2258"/>
      <c r="D1932" s="2414"/>
      <c r="E1932" s="2267" t="s">
        <v>6133</v>
      </c>
      <c r="F1932" s="2268"/>
      <c r="G1932" s="2450"/>
      <c r="H1932" s="2415"/>
      <c r="I1932" s="2415"/>
      <c r="J1932" s="2415"/>
      <c r="K1932" s="2415"/>
      <c r="L1932" s="2415"/>
      <c r="M1932" s="2415"/>
      <c r="N1932" s="2415"/>
      <c r="O1932" s="2415"/>
      <c r="P1932" s="2449"/>
      <c r="Q1932" s="2266"/>
      <c r="R1932" s="2266"/>
      <c r="S1932" s="2266"/>
    </row>
    <row r="1933" spans="1:19" s="2105" customFormat="1" outlineLevel="1">
      <c r="A1933" s="2182" t="str">
        <f>IF(G1933&lt;&gt;0,1,"")</f>
        <v/>
      </c>
      <c r="B1933" s="2252" t="s">
        <v>5841</v>
      </c>
      <c r="C1933" s="2258"/>
      <c r="D1933" s="2152">
        <v>0</v>
      </c>
      <c r="E1933" s="2194" t="s">
        <v>5842</v>
      </c>
      <c r="F1933" s="2152" t="s">
        <v>2248</v>
      </c>
      <c r="G1933" s="2450">
        <f>+G1931*2.033*2*18.4</f>
        <v>0</v>
      </c>
      <c r="H1933" s="2359">
        <v>31625</v>
      </c>
      <c r="I1933" s="2416"/>
      <c r="J1933" s="2359"/>
      <c r="K1933" s="2359">
        <v>0</v>
      </c>
      <c r="L1933" s="2360">
        <f>H1933*G1933</f>
        <v>0</v>
      </c>
      <c r="M1933" s="2360">
        <f>I1933*G1933</f>
        <v>0</v>
      </c>
      <c r="N1933" s="2359"/>
      <c r="O1933" s="2360">
        <f>K1933*G1933</f>
        <v>0</v>
      </c>
      <c r="P1933" s="2449"/>
      <c r="Q1933" s="2266">
        <f>L1933/2</f>
        <v>0</v>
      </c>
      <c r="R1933" s="2266"/>
      <c r="S1933" s="2266"/>
    </row>
    <row r="1934" spans="1:19" s="2105" customFormat="1" outlineLevel="1">
      <c r="A1934" s="2182" t="str">
        <f t="shared" ref="A1934:A1947" si="362">IF(G1934&lt;&gt;0,1,"")</f>
        <v/>
      </c>
      <c r="B1934" s="2252" t="s">
        <v>5843</v>
      </c>
      <c r="C1934" s="2258"/>
      <c r="D1934" s="2152">
        <v>0</v>
      </c>
      <c r="E1934" s="2194" t="s">
        <v>5844</v>
      </c>
      <c r="F1934" s="2152" t="s">
        <v>2248</v>
      </c>
      <c r="G1934" s="2450">
        <f>+G1931*0.4*2*8.59</f>
        <v>0</v>
      </c>
      <c r="H1934" s="2359">
        <v>31625</v>
      </c>
      <c r="I1934" s="2416"/>
      <c r="J1934" s="2359"/>
      <c r="K1934" s="2359">
        <v>0</v>
      </c>
      <c r="L1934" s="2360">
        <f t="shared" ref="L1934:L1947" si="363">H1934*G1934</f>
        <v>0</v>
      </c>
      <c r="M1934" s="2360">
        <f t="shared" ref="M1934:M1947" si="364">I1934*G1934</f>
        <v>0</v>
      </c>
      <c r="N1934" s="2359"/>
      <c r="O1934" s="2360">
        <f t="shared" ref="O1934:O1947" si="365">K1934*G1934</f>
        <v>0</v>
      </c>
      <c r="P1934" s="2449"/>
      <c r="Q1934" s="2266">
        <f t="shared" ref="Q1934:Q1947" si="366">L1934/2</f>
        <v>0</v>
      </c>
      <c r="R1934" s="2266"/>
      <c r="S1934" s="2266"/>
    </row>
    <row r="1935" spans="1:19" s="2105" customFormat="1" outlineLevel="1">
      <c r="A1935" s="2182" t="str">
        <f t="shared" si="362"/>
        <v/>
      </c>
      <c r="B1935" s="2252" t="s">
        <v>5847</v>
      </c>
      <c r="C1935" s="2258"/>
      <c r="D1935" s="2152">
        <v>0</v>
      </c>
      <c r="E1935" s="2194" t="s">
        <v>5848</v>
      </c>
      <c r="F1935" s="2152" t="s">
        <v>2248</v>
      </c>
      <c r="G1935" s="2450">
        <f>+G1931*1.428*1*18.4</f>
        <v>0</v>
      </c>
      <c r="H1935" s="2359">
        <v>31625</v>
      </c>
      <c r="I1935" s="2416"/>
      <c r="J1935" s="2359"/>
      <c r="K1935" s="2359">
        <v>0</v>
      </c>
      <c r="L1935" s="2360">
        <f t="shared" si="363"/>
        <v>0</v>
      </c>
      <c r="M1935" s="2360">
        <f t="shared" si="364"/>
        <v>0</v>
      </c>
      <c r="N1935" s="2359"/>
      <c r="O1935" s="2360">
        <f t="shared" si="365"/>
        <v>0</v>
      </c>
      <c r="P1935" s="2449"/>
      <c r="Q1935" s="2266">
        <f t="shared" si="366"/>
        <v>0</v>
      </c>
      <c r="R1935" s="2266"/>
      <c r="S1935" s="2266"/>
    </row>
    <row r="1936" spans="1:19" s="2105" customFormat="1" outlineLevel="1">
      <c r="A1936" s="2182" t="str">
        <f t="shared" si="362"/>
        <v/>
      </c>
      <c r="B1936" s="2252" t="s">
        <v>5849</v>
      </c>
      <c r="C1936" s="2258"/>
      <c r="D1936" s="2152">
        <v>0</v>
      </c>
      <c r="E1936" s="2194" t="s">
        <v>5850</v>
      </c>
      <c r="F1936" s="2152" t="s">
        <v>2248</v>
      </c>
      <c r="G1936" s="2450">
        <f>+G1931*0.75*1*8.59</f>
        <v>0</v>
      </c>
      <c r="H1936" s="2359">
        <v>31625</v>
      </c>
      <c r="I1936" s="2416"/>
      <c r="J1936" s="2359"/>
      <c r="K1936" s="2359">
        <v>0</v>
      </c>
      <c r="L1936" s="2360">
        <f t="shared" si="363"/>
        <v>0</v>
      </c>
      <c r="M1936" s="2360">
        <f t="shared" si="364"/>
        <v>0</v>
      </c>
      <c r="N1936" s="2359"/>
      <c r="O1936" s="2360">
        <f t="shared" si="365"/>
        <v>0</v>
      </c>
      <c r="P1936" s="2449"/>
      <c r="Q1936" s="2266">
        <f t="shared" si="366"/>
        <v>0</v>
      </c>
      <c r="R1936" s="2266"/>
      <c r="S1936" s="2266"/>
    </row>
    <row r="1937" spans="1:19" s="2105" customFormat="1" outlineLevel="1">
      <c r="A1937" s="2182" t="str">
        <f t="shared" si="362"/>
        <v/>
      </c>
      <c r="B1937" s="2252" t="s">
        <v>5851</v>
      </c>
      <c r="C1937" s="2258"/>
      <c r="D1937" s="2152">
        <v>0</v>
      </c>
      <c r="E1937" s="2194" t="s">
        <v>5852</v>
      </c>
      <c r="F1937" s="2152" t="s">
        <v>2248</v>
      </c>
      <c r="G1937" s="2450">
        <f>+G1931*0.75*1*8.59</f>
        <v>0</v>
      </c>
      <c r="H1937" s="2359">
        <v>31625</v>
      </c>
      <c r="I1937" s="2416"/>
      <c r="J1937" s="2359"/>
      <c r="K1937" s="2359">
        <v>0</v>
      </c>
      <c r="L1937" s="2360">
        <f t="shared" si="363"/>
        <v>0</v>
      </c>
      <c r="M1937" s="2360">
        <f t="shared" si="364"/>
        <v>0</v>
      </c>
      <c r="N1937" s="2359"/>
      <c r="O1937" s="2360">
        <f t="shared" si="365"/>
        <v>0</v>
      </c>
      <c r="P1937" s="2449"/>
      <c r="Q1937" s="2266">
        <f t="shared" si="366"/>
        <v>0</v>
      </c>
      <c r="R1937" s="2266"/>
      <c r="S1937" s="2266"/>
    </row>
    <row r="1938" spans="1:19" s="2105" customFormat="1" outlineLevel="1">
      <c r="A1938" s="2182" t="str">
        <f t="shared" si="362"/>
        <v/>
      </c>
      <c r="B1938" s="2252" t="s">
        <v>5855</v>
      </c>
      <c r="C1938" s="2258"/>
      <c r="D1938" s="2152">
        <v>0</v>
      </c>
      <c r="E1938" s="2194" t="s">
        <v>5856</v>
      </c>
      <c r="F1938" s="2152" t="s">
        <v>2248</v>
      </c>
      <c r="G1938" s="2450">
        <f>+G1931*1.5*2*18.4</f>
        <v>0</v>
      </c>
      <c r="H1938" s="2359">
        <v>31625</v>
      </c>
      <c r="I1938" s="2416"/>
      <c r="J1938" s="2359"/>
      <c r="K1938" s="2359">
        <v>0</v>
      </c>
      <c r="L1938" s="2360">
        <f t="shared" si="363"/>
        <v>0</v>
      </c>
      <c r="M1938" s="2360">
        <f t="shared" si="364"/>
        <v>0</v>
      </c>
      <c r="N1938" s="2359"/>
      <c r="O1938" s="2360">
        <f t="shared" si="365"/>
        <v>0</v>
      </c>
      <c r="P1938" s="2449"/>
      <c r="Q1938" s="2266">
        <f t="shared" si="366"/>
        <v>0</v>
      </c>
      <c r="R1938" s="2266"/>
      <c r="S1938" s="2266"/>
    </row>
    <row r="1939" spans="1:19" s="2105" customFormat="1" outlineLevel="1">
      <c r="A1939" s="2182" t="str">
        <f t="shared" si="362"/>
        <v/>
      </c>
      <c r="B1939" s="2252" t="s">
        <v>5857</v>
      </c>
      <c r="C1939" s="2258"/>
      <c r="D1939" s="2152">
        <v>0</v>
      </c>
      <c r="E1939" s="2194" t="s">
        <v>5858</v>
      </c>
      <c r="F1939" s="2152" t="s">
        <v>2248</v>
      </c>
      <c r="G1939" s="2450">
        <f>+G1931*0.7*2*8.59</f>
        <v>0</v>
      </c>
      <c r="H1939" s="2359">
        <v>31625</v>
      </c>
      <c r="I1939" s="2416"/>
      <c r="J1939" s="2359"/>
      <c r="K1939" s="2359">
        <v>0</v>
      </c>
      <c r="L1939" s="2360">
        <f t="shared" si="363"/>
        <v>0</v>
      </c>
      <c r="M1939" s="2360">
        <f t="shared" si="364"/>
        <v>0</v>
      </c>
      <c r="N1939" s="2359"/>
      <c r="O1939" s="2360">
        <f t="shared" si="365"/>
        <v>0</v>
      </c>
      <c r="P1939" s="2449"/>
      <c r="Q1939" s="2266">
        <f t="shared" si="366"/>
        <v>0</v>
      </c>
      <c r="R1939" s="2266"/>
      <c r="S1939" s="2266"/>
    </row>
    <row r="1940" spans="1:19" s="2105" customFormat="1" outlineLevel="1">
      <c r="A1940" s="2182" t="str">
        <f t="shared" si="362"/>
        <v/>
      </c>
      <c r="B1940" s="2252" t="s">
        <v>5861</v>
      </c>
      <c r="C1940" s="2258"/>
      <c r="D1940" s="2152">
        <v>0</v>
      </c>
      <c r="E1940" s="2194" t="s">
        <v>5862</v>
      </c>
      <c r="F1940" s="2152" t="s">
        <v>2248</v>
      </c>
      <c r="G1940" s="2450">
        <f>+G1931*0.8*1*18.4</f>
        <v>0</v>
      </c>
      <c r="H1940" s="2359">
        <v>31625</v>
      </c>
      <c r="I1940" s="2416"/>
      <c r="J1940" s="2359"/>
      <c r="K1940" s="2359">
        <v>0</v>
      </c>
      <c r="L1940" s="2360">
        <f t="shared" si="363"/>
        <v>0</v>
      </c>
      <c r="M1940" s="2360">
        <f t="shared" si="364"/>
        <v>0</v>
      </c>
      <c r="N1940" s="2359"/>
      <c r="O1940" s="2360">
        <f t="shared" si="365"/>
        <v>0</v>
      </c>
      <c r="P1940" s="2449"/>
      <c r="Q1940" s="2266">
        <f t="shared" si="366"/>
        <v>0</v>
      </c>
      <c r="R1940" s="2266"/>
      <c r="S1940" s="2266"/>
    </row>
    <row r="1941" spans="1:19" s="2105" customFormat="1" outlineLevel="1">
      <c r="A1941" s="2182" t="str">
        <f t="shared" si="362"/>
        <v/>
      </c>
      <c r="B1941" s="2252" t="s">
        <v>5863</v>
      </c>
      <c r="C1941" s="2258"/>
      <c r="D1941" s="2152">
        <v>0</v>
      </c>
      <c r="E1941" s="2194" t="s">
        <v>5864</v>
      </c>
      <c r="F1941" s="2152" t="s">
        <v>2248</v>
      </c>
      <c r="G1941" s="2450">
        <f>+G1931*0.7*1*8.59</f>
        <v>0</v>
      </c>
      <c r="H1941" s="2359">
        <v>31625</v>
      </c>
      <c r="I1941" s="2416"/>
      <c r="J1941" s="2359"/>
      <c r="K1941" s="2359">
        <v>0</v>
      </c>
      <c r="L1941" s="2360">
        <f t="shared" si="363"/>
        <v>0</v>
      </c>
      <c r="M1941" s="2360">
        <f t="shared" si="364"/>
        <v>0</v>
      </c>
      <c r="N1941" s="2359"/>
      <c r="O1941" s="2360">
        <f t="shared" si="365"/>
        <v>0</v>
      </c>
      <c r="P1941" s="2449"/>
      <c r="Q1941" s="2266">
        <f t="shared" si="366"/>
        <v>0</v>
      </c>
      <c r="R1941" s="2266"/>
      <c r="S1941" s="2266"/>
    </row>
    <row r="1942" spans="1:19" s="2105" customFormat="1" outlineLevel="1">
      <c r="A1942" s="2182" t="str">
        <f t="shared" si="362"/>
        <v/>
      </c>
      <c r="B1942" s="2252" t="s">
        <v>5867</v>
      </c>
      <c r="C1942" s="2258"/>
      <c r="D1942" s="2152">
        <v>0</v>
      </c>
      <c r="E1942" s="2194" t="s">
        <v>5868</v>
      </c>
      <c r="F1942" s="2152" t="s">
        <v>2248</v>
      </c>
      <c r="G1942" s="2450">
        <f>G1931*0.8*1*18.4</f>
        <v>0</v>
      </c>
      <c r="H1942" s="2359">
        <v>31625</v>
      </c>
      <c r="I1942" s="2416"/>
      <c r="J1942" s="2359"/>
      <c r="K1942" s="2359">
        <v>0</v>
      </c>
      <c r="L1942" s="2360">
        <f t="shared" si="363"/>
        <v>0</v>
      </c>
      <c r="M1942" s="2360">
        <f t="shared" si="364"/>
        <v>0</v>
      </c>
      <c r="N1942" s="2359"/>
      <c r="O1942" s="2360">
        <f t="shared" si="365"/>
        <v>0</v>
      </c>
      <c r="P1942" s="2449"/>
      <c r="Q1942" s="2266">
        <f t="shared" si="366"/>
        <v>0</v>
      </c>
      <c r="R1942" s="2266"/>
      <c r="S1942" s="2266"/>
    </row>
    <row r="1943" spans="1:19" s="2105" customFormat="1" outlineLevel="1">
      <c r="A1943" s="2182" t="str">
        <f t="shared" si="362"/>
        <v/>
      </c>
      <c r="B1943" s="2252" t="s">
        <v>4838</v>
      </c>
      <c r="C1943" s="2258"/>
      <c r="D1943" s="2152">
        <v>0</v>
      </c>
      <c r="E1943" s="2194" t="s">
        <v>5065</v>
      </c>
      <c r="F1943" s="2152" t="s">
        <v>2439</v>
      </c>
      <c r="G1943" s="2450">
        <f>+G1931*9</f>
        <v>0</v>
      </c>
      <c r="H1943" s="2359">
        <v>109000</v>
      </c>
      <c r="I1943" s="2416"/>
      <c r="J1943" s="2359"/>
      <c r="K1943" s="2359">
        <v>0</v>
      </c>
      <c r="L1943" s="2360">
        <f t="shared" si="363"/>
        <v>0</v>
      </c>
      <c r="M1943" s="2360">
        <f t="shared" si="364"/>
        <v>0</v>
      </c>
      <c r="N1943" s="2359"/>
      <c r="O1943" s="2360">
        <f t="shared" si="365"/>
        <v>0</v>
      </c>
      <c r="P1943" s="2449"/>
      <c r="Q1943" s="2266">
        <f t="shared" si="366"/>
        <v>0</v>
      </c>
      <c r="R1943" s="2266"/>
      <c r="S1943" s="2266"/>
    </row>
    <row r="1944" spans="1:19" s="2105" customFormat="1" outlineLevel="1">
      <c r="A1944" s="2182" t="str">
        <f t="shared" si="362"/>
        <v/>
      </c>
      <c r="B1944" s="2252" t="s">
        <v>5060</v>
      </c>
      <c r="C1944" s="2258"/>
      <c r="D1944" s="2152">
        <v>0</v>
      </c>
      <c r="E1944" s="2194" t="s">
        <v>5061</v>
      </c>
      <c r="F1944" s="2152" t="s">
        <v>2439</v>
      </c>
      <c r="G1944" s="2450">
        <f>+G1931*2</f>
        <v>0</v>
      </c>
      <c r="H1944" s="2359">
        <v>42400</v>
      </c>
      <c r="I1944" s="2416"/>
      <c r="J1944" s="2359"/>
      <c r="K1944" s="2359">
        <v>0</v>
      </c>
      <c r="L1944" s="2360">
        <f t="shared" si="363"/>
        <v>0</v>
      </c>
      <c r="M1944" s="2360">
        <f t="shared" si="364"/>
        <v>0</v>
      </c>
      <c r="N1944" s="2359"/>
      <c r="O1944" s="2360">
        <f t="shared" si="365"/>
        <v>0</v>
      </c>
      <c r="P1944" s="2449"/>
      <c r="Q1944" s="2266">
        <f t="shared" si="366"/>
        <v>0</v>
      </c>
      <c r="R1944" s="2266"/>
      <c r="S1944" s="2266"/>
    </row>
    <row r="1945" spans="1:19" s="2105" customFormat="1" outlineLevel="1">
      <c r="A1945" s="2182" t="str">
        <f t="shared" si="362"/>
        <v/>
      </c>
      <c r="B1945" s="2252" t="s">
        <v>1781</v>
      </c>
      <c r="C1945" s="2258"/>
      <c r="D1945" s="2152">
        <v>0</v>
      </c>
      <c r="E1945" s="2194" t="s">
        <v>2662</v>
      </c>
      <c r="F1945" s="2152" t="s">
        <v>2439</v>
      </c>
      <c r="G1945" s="2450">
        <f>+G1931*4</f>
        <v>0</v>
      </c>
      <c r="H1945" s="2359">
        <v>34800</v>
      </c>
      <c r="I1945" s="2416"/>
      <c r="J1945" s="2359"/>
      <c r="K1945" s="2359">
        <v>0</v>
      </c>
      <c r="L1945" s="2360">
        <f t="shared" si="363"/>
        <v>0</v>
      </c>
      <c r="M1945" s="2360">
        <f t="shared" si="364"/>
        <v>0</v>
      </c>
      <c r="N1945" s="2359"/>
      <c r="O1945" s="2360">
        <f t="shared" si="365"/>
        <v>0</v>
      </c>
      <c r="P1945" s="2449"/>
      <c r="Q1945" s="2266">
        <f t="shared" si="366"/>
        <v>0</v>
      </c>
      <c r="R1945" s="2266"/>
      <c r="S1945" s="2266"/>
    </row>
    <row r="1946" spans="1:19" s="2105" customFormat="1" outlineLevel="1">
      <c r="A1946" s="2182" t="str">
        <f t="shared" si="362"/>
        <v/>
      </c>
      <c r="B1946" s="2252" t="s">
        <v>1609</v>
      </c>
      <c r="C1946" s="2258"/>
      <c r="D1946" s="2152">
        <v>0</v>
      </c>
      <c r="E1946" s="2194" t="s">
        <v>2645</v>
      </c>
      <c r="F1946" s="2152" t="s">
        <v>2439</v>
      </c>
      <c r="G1946" s="2450">
        <f>+G1931*6</f>
        <v>0</v>
      </c>
      <c r="H1946" s="2359">
        <v>13400</v>
      </c>
      <c r="I1946" s="2416"/>
      <c r="J1946" s="2359"/>
      <c r="K1946" s="2359">
        <v>0</v>
      </c>
      <c r="L1946" s="2360">
        <f t="shared" si="363"/>
        <v>0</v>
      </c>
      <c r="M1946" s="2360">
        <f t="shared" si="364"/>
        <v>0</v>
      </c>
      <c r="N1946" s="2359"/>
      <c r="O1946" s="2360">
        <f t="shared" si="365"/>
        <v>0</v>
      </c>
      <c r="P1946" s="2449"/>
      <c r="Q1946" s="2266">
        <f t="shared" si="366"/>
        <v>0</v>
      </c>
      <c r="R1946" s="2266"/>
      <c r="S1946" s="2266"/>
    </row>
    <row r="1947" spans="1:19" s="2105" customFormat="1" outlineLevel="1">
      <c r="A1947" s="2182" t="str">
        <f t="shared" si="362"/>
        <v/>
      </c>
      <c r="B1947" s="2252" t="s">
        <v>1786</v>
      </c>
      <c r="C1947" s="2258"/>
      <c r="D1947" s="2152">
        <v>0</v>
      </c>
      <c r="E1947" s="2194" t="s">
        <v>2639</v>
      </c>
      <c r="F1947" s="2152" t="s">
        <v>2439</v>
      </c>
      <c r="G1947" s="2450">
        <f>+G1931*12</f>
        <v>0</v>
      </c>
      <c r="H1947" s="2359">
        <v>12400</v>
      </c>
      <c r="I1947" s="2416"/>
      <c r="J1947" s="2359"/>
      <c r="K1947" s="2359">
        <v>0</v>
      </c>
      <c r="L1947" s="2360">
        <f t="shared" si="363"/>
        <v>0</v>
      </c>
      <c r="M1947" s="2360">
        <f t="shared" si="364"/>
        <v>0</v>
      </c>
      <c r="N1947" s="2359"/>
      <c r="O1947" s="2360">
        <f t="shared" si="365"/>
        <v>0</v>
      </c>
      <c r="P1947" s="2449"/>
      <c r="Q1947" s="2266">
        <f t="shared" si="366"/>
        <v>0</v>
      </c>
      <c r="R1947" s="2266"/>
      <c r="S1947" s="2266"/>
    </row>
    <row r="1948" spans="1:19" s="2105" customFormat="1" outlineLevel="1">
      <c r="A1948" s="2182" t="str">
        <f>IF(G1948&lt;&gt;0,1,"")</f>
        <v/>
      </c>
      <c r="B1948" s="2252" t="s">
        <v>1083</v>
      </c>
      <c r="C1948" s="2258"/>
      <c r="D1948" s="2152">
        <v>0</v>
      </c>
      <c r="E1948" s="2194" t="s">
        <v>2652</v>
      </c>
      <c r="F1948" s="2152" t="s">
        <v>2439</v>
      </c>
      <c r="G1948" s="2450"/>
      <c r="H1948" s="2359">
        <v>29900</v>
      </c>
      <c r="I1948" s="2416"/>
      <c r="J1948" s="2359"/>
      <c r="K1948" s="2359">
        <v>0</v>
      </c>
      <c r="L1948" s="2360">
        <f>H1948*G1948</f>
        <v>0</v>
      </c>
      <c r="M1948" s="2360">
        <f>I1948*G1948</f>
        <v>0</v>
      </c>
      <c r="N1948" s="2359"/>
      <c r="O1948" s="2360">
        <f>K1948*G1948</f>
        <v>0</v>
      </c>
      <c r="P1948" s="2449"/>
      <c r="Q1948" s="2266">
        <f>L1948/4</f>
        <v>0</v>
      </c>
      <c r="R1948" s="2266"/>
      <c r="S1948" s="2266"/>
    </row>
    <row r="1949" spans="1:19" s="2105" customFormat="1" outlineLevel="1">
      <c r="A1949" s="2182" t="str">
        <f>IF(G1949&lt;&gt;0,1,"")</f>
        <v/>
      </c>
      <c r="B1949" s="2252" t="s">
        <v>1079</v>
      </c>
      <c r="C1949" s="2258"/>
      <c r="D1949" s="2152">
        <v>0</v>
      </c>
      <c r="E1949" s="2194" t="s">
        <v>2651</v>
      </c>
      <c r="F1949" s="2152" t="s">
        <v>2439</v>
      </c>
      <c r="G1949" s="2450"/>
      <c r="H1949" s="2359">
        <v>27900</v>
      </c>
      <c r="I1949" s="2416"/>
      <c r="J1949" s="2359"/>
      <c r="K1949" s="2359">
        <v>0</v>
      </c>
      <c r="L1949" s="2360">
        <f>H1949*G1949</f>
        <v>0</v>
      </c>
      <c r="M1949" s="2360">
        <f>I1949*G1949</f>
        <v>0</v>
      </c>
      <c r="N1949" s="2359"/>
      <c r="O1949" s="2360">
        <f>K1949*G1949</f>
        <v>0</v>
      </c>
      <c r="P1949" s="2449"/>
      <c r="Q1949" s="2266"/>
      <c r="R1949" s="2266"/>
      <c r="S1949" s="2266"/>
    </row>
    <row r="1950" spans="1:19" s="2105" customFormat="1" outlineLevel="1">
      <c r="A1950" s="2182" t="str">
        <f>IF(G1950&lt;&gt;0,1,"")</f>
        <v/>
      </c>
      <c r="B1950" s="2121" t="s">
        <v>5425</v>
      </c>
      <c r="C1950" s="2258"/>
      <c r="D1950" s="2152" t="s">
        <v>5426</v>
      </c>
      <c r="E1950" s="2194" t="s">
        <v>5427</v>
      </c>
      <c r="F1950" s="2152" t="s">
        <v>2248</v>
      </c>
      <c r="G1950" s="2450">
        <f>SUM(G1933:G1942)</f>
        <v>0</v>
      </c>
      <c r="H1950" s="2359">
        <v>0</v>
      </c>
      <c r="I1950" s="2416"/>
      <c r="J1950" s="2359">
        <v>2025</v>
      </c>
      <c r="K1950" s="2359">
        <v>0</v>
      </c>
      <c r="L1950" s="2360">
        <f>H1950*G1950</f>
        <v>0</v>
      </c>
      <c r="M1950" s="2360">
        <f>I1950*G1950</f>
        <v>0</v>
      </c>
      <c r="N1950" s="2264">
        <f>J1950*G1950</f>
        <v>0</v>
      </c>
      <c r="O1950" s="2360">
        <f>K1950*G1950</f>
        <v>0</v>
      </c>
      <c r="P1950" s="2449"/>
      <c r="Q1950" s="2266"/>
      <c r="R1950" s="2266"/>
      <c r="S1950" s="2266"/>
    </row>
    <row r="1951" spans="1:19" s="2105" customFormat="1" outlineLevel="1">
      <c r="A1951" s="2182" t="str">
        <f>IF(G1951&lt;&gt;0,1,"")</f>
        <v/>
      </c>
      <c r="B1951" s="2261"/>
      <c r="C1951" s="2258">
        <f>IF(G1951&gt;0,C1931+1,C1927)</f>
        <v>0</v>
      </c>
      <c r="D1951" s="2259"/>
      <c r="E1951" s="2417" t="s">
        <v>6237</v>
      </c>
      <c r="F1951" s="2258" t="s">
        <v>2385</v>
      </c>
      <c r="G1951" s="2451">
        <f>+G1901*1</f>
        <v>0</v>
      </c>
      <c r="H1951" s="2416"/>
      <c r="I1951" s="2416"/>
      <c r="J1951" s="2416"/>
      <c r="K1951" s="2416"/>
      <c r="L1951" s="2360">
        <f t="shared" ref="L1951:L1977" si="367">H1951*G1951</f>
        <v>0</v>
      </c>
      <c r="M1951" s="2360">
        <f t="shared" ref="M1951:M1956" si="368">I1951*G1951</f>
        <v>0</v>
      </c>
      <c r="N1951" s="2360">
        <f t="shared" ref="N1951:N1977" si="369">J1951*G1951</f>
        <v>0</v>
      </c>
      <c r="O1951" s="2360">
        <f t="shared" ref="O1951:O1956" si="370">K1951*G1951</f>
        <v>0</v>
      </c>
      <c r="P1951" s="2449"/>
      <c r="Q1951" s="2266"/>
      <c r="R1951" s="2266"/>
      <c r="S1951" s="2266"/>
    </row>
    <row r="1952" spans="1:19" s="2105" customFormat="1" ht="14.4" outlineLevel="1">
      <c r="A1952" s="2182" t="str">
        <f>A1951</f>
        <v/>
      </c>
      <c r="B1952" s="2261"/>
      <c r="C1952" s="2258"/>
      <c r="D1952" s="2259"/>
      <c r="E1952" s="2267" t="s">
        <v>6133</v>
      </c>
      <c r="F1952" s="2268"/>
      <c r="G1952" s="2450"/>
      <c r="H1952" s="2416"/>
      <c r="I1952" s="2416"/>
      <c r="J1952" s="2416"/>
      <c r="K1952" s="2416"/>
      <c r="L1952" s="2360">
        <f t="shared" si="367"/>
        <v>0</v>
      </c>
      <c r="M1952" s="2360">
        <f t="shared" si="368"/>
        <v>0</v>
      </c>
      <c r="N1952" s="2360">
        <f t="shared" si="369"/>
        <v>0</v>
      </c>
      <c r="O1952" s="2360">
        <f t="shared" si="370"/>
        <v>0</v>
      </c>
      <c r="P1952" s="2449"/>
      <c r="Q1952" s="2266"/>
      <c r="R1952" s="2266"/>
      <c r="S1952" s="2266"/>
    </row>
    <row r="1953" spans="1:19" s="2105" customFormat="1" outlineLevel="1">
      <c r="A1953" s="2182" t="str">
        <f t="shared" ref="A1953:A1959" si="371">IF(G1953&lt;&gt;0,1,"")</f>
        <v/>
      </c>
      <c r="B1953" s="2133" t="s">
        <v>5151</v>
      </c>
      <c r="C1953" s="2258"/>
      <c r="D1953" s="2152">
        <v>0</v>
      </c>
      <c r="E1953" s="2194" t="s">
        <v>5152</v>
      </c>
      <c r="F1953" s="2152" t="s">
        <v>2590</v>
      </c>
      <c r="G1953" s="2450">
        <f>+G1951*1</f>
        <v>0</v>
      </c>
      <c r="H1953" s="2359">
        <v>960000</v>
      </c>
      <c r="I1953" s="2359"/>
      <c r="J1953" s="2359">
        <v>0</v>
      </c>
      <c r="K1953" s="2359">
        <v>0</v>
      </c>
      <c r="L1953" s="2360">
        <f t="shared" si="367"/>
        <v>0</v>
      </c>
      <c r="M1953" s="2360">
        <f t="shared" si="368"/>
        <v>0</v>
      </c>
      <c r="N1953" s="2360">
        <f t="shared" si="369"/>
        <v>0</v>
      </c>
      <c r="O1953" s="2360">
        <f t="shared" si="370"/>
        <v>0</v>
      </c>
      <c r="P1953" s="2449"/>
      <c r="Q1953" s="2266"/>
      <c r="R1953" s="2266"/>
      <c r="S1953" s="2266"/>
    </row>
    <row r="1954" spans="1:19" s="2105" customFormat="1" outlineLevel="1">
      <c r="A1954" s="2182" t="str">
        <f t="shared" si="371"/>
        <v/>
      </c>
      <c r="B1954" s="2133" t="s">
        <v>5158</v>
      </c>
      <c r="C1954" s="2258"/>
      <c r="D1954" s="2152">
        <v>0</v>
      </c>
      <c r="E1954" s="2194" t="s">
        <v>5159</v>
      </c>
      <c r="F1954" s="2152" t="s">
        <v>5160</v>
      </c>
      <c r="G1954" s="2450">
        <f>+G1951*2</f>
        <v>0</v>
      </c>
      <c r="H1954" s="2359">
        <v>140000</v>
      </c>
      <c r="I1954" s="2359"/>
      <c r="J1954" s="2359">
        <v>0</v>
      </c>
      <c r="K1954" s="2359">
        <v>0</v>
      </c>
      <c r="L1954" s="2360">
        <f>H1954*G1954</f>
        <v>0</v>
      </c>
      <c r="M1954" s="2360">
        <f t="shared" si="368"/>
        <v>0</v>
      </c>
      <c r="N1954" s="2360">
        <f>J1954*G1954</f>
        <v>0</v>
      </c>
      <c r="O1954" s="2360">
        <f t="shared" si="370"/>
        <v>0</v>
      </c>
      <c r="P1954" s="2449"/>
      <c r="Q1954" s="2266"/>
      <c r="R1954" s="2266"/>
      <c r="S1954" s="2266"/>
    </row>
    <row r="1955" spans="1:19" s="2105" customFormat="1" outlineLevel="1">
      <c r="A1955" s="2182" t="str">
        <f t="shared" si="371"/>
        <v/>
      </c>
      <c r="B1955" s="2130" t="s">
        <v>488</v>
      </c>
      <c r="C1955" s="2258"/>
      <c r="D1955" s="2152">
        <v>0</v>
      </c>
      <c r="E1955" s="2194" t="s">
        <v>5078</v>
      </c>
      <c r="F1955" s="2152" t="s">
        <v>2439</v>
      </c>
      <c r="G1955" s="2450">
        <f>+G1951*3</f>
        <v>0</v>
      </c>
      <c r="H1955" s="2359">
        <v>65000</v>
      </c>
      <c r="I1955" s="2359">
        <v>0</v>
      </c>
      <c r="J1955" s="2359">
        <v>0</v>
      </c>
      <c r="K1955" s="2359">
        <v>0</v>
      </c>
      <c r="L1955" s="2360">
        <f t="shared" si="367"/>
        <v>0</v>
      </c>
      <c r="M1955" s="2360">
        <f t="shared" si="368"/>
        <v>0</v>
      </c>
      <c r="N1955" s="2360">
        <f t="shared" si="369"/>
        <v>0</v>
      </c>
      <c r="O1955" s="2360">
        <f t="shared" si="370"/>
        <v>0</v>
      </c>
      <c r="P1955" s="2449"/>
      <c r="Q1955" s="2266"/>
      <c r="R1955" s="2266"/>
      <c r="S1955" s="2266"/>
    </row>
    <row r="1956" spans="1:19" s="2105" customFormat="1" outlineLevel="1">
      <c r="A1956" s="2182" t="str">
        <f t="shared" si="371"/>
        <v/>
      </c>
      <c r="B1956" s="2261" t="s">
        <v>6260</v>
      </c>
      <c r="C1956" s="2258"/>
      <c r="D1956" s="2152">
        <v>0</v>
      </c>
      <c r="E1956" s="2194" t="s">
        <v>2652</v>
      </c>
      <c r="F1956" s="2152" t="s">
        <v>2439</v>
      </c>
      <c r="G1956" s="2450">
        <f>+G1951*2</f>
        <v>0</v>
      </c>
      <c r="H1956" s="2359">
        <v>29900</v>
      </c>
      <c r="I1956" s="2416"/>
      <c r="J1956" s="2359">
        <v>0</v>
      </c>
      <c r="K1956" s="2359">
        <v>0</v>
      </c>
      <c r="L1956" s="2360">
        <f t="shared" si="367"/>
        <v>0</v>
      </c>
      <c r="M1956" s="2360">
        <f t="shared" si="368"/>
        <v>0</v>
      </c>
      <c r="N1956" s="2360">
        <f t="shared" si="369"/>
        <v>0</v>
      </c>
      <c r="O1956" s="2360">
        <f t="shared" si="370"/>
        <v>0</v>
      </c>
      <c r="P1956" s="2449"/>
      <c r="Q1956" s="2266"/>
      <c r="R1956" s="2266"/>
      <c r="S1956" s="2266"/>
    </row>
    <row r="1957" spans="1:19" s="2105" customFormat="1" outlineLevel="1">
      <c r="A1957" s="2182" t="str">
        <f t="shared" si="371"/>
        <v/>
      </c>
      <c r="B1957" s="2261" t="s">
        <v>6261</v>
      </c>
      <c r="C1957" s="2258"/>
      <c r="D1957" s="2152">
        <v>0</v>
      </c>
      <c r="E1957" s="2194" t="s">
        <v>2640</v>
      </c>
      <c r="F1957" s="2152" t="s">
        <v>2439</v>
      </c>
      <c r="G1957" s="2450">
        <f>+G1951*2</f>
        <v>0</v>
      </c>
      <c r="H1957" s="2359">
        <v>17400</v>
      </c>
      <c r="I1957" s="2416"/>
      <c r="J1957" s="2359">
        <v>0</v>
      </c>
      <c r="K1957" s="2359">
        <v>0</v>
      </c>
      <c r="L1957" s="2360">
        <f>H1957*G1957</f>
        <v>0</v>
      </c>
      <c r="M1957" s="2360">
        <f>I1957*G1957</f>
        <v>0</v>
      </c>
      <c r="N1957" s="2360">
        <f t="shared" si="369"/>
        <v>0</v>
      </c>
      <c r="O1957" s="2360">
        <f>K1957*G1957</f>
        <v>0</v>
      </c>
      <c r="P1957" s="2449"/>
      <c r="Q1957" s="2266"/>
      <c r="R1957" s="2266"/>
      <c r="S1957" s="2266"/>
    </row>
    <row r="1958" spans="1:19" s="2105" customFormat="1" outlineLevel="1">
      <c r="A1958" s="2182" t="str">
        <f t="shared" si="371"/>
        <v/>
      </c>
      <c r="B1958" s="2121" t="s">
        <v>6241</v>
      </c>
      <c r="C1958" s="2258"/>
      <c r="D1958" s="2152" t="s">
        <v>5148</v>
      </c>
      <c r="E1958" s="2194" t="s">
        <v>5377</v>
      </c>
      <c r="F1958" s="2152" t="s">
        <v>2439</v>
      </c>
      <c r="G1958" s="2450">
        <f>+G1951</f>
        <v>0</v>
      </c>
      <c r="H1958" s="2264">
        <v>0</v>
      </c>
      <c r="I1958" s="2359"/>
      <c r="J1958" s="2359">
        <v>131511.15</v>
      </c>
      <c r="K1958" s="2359"/>
      <c r="L1958" s="2360">
        <f t="shared" si="367"/>
        <v>0</v>
      </c>
      <c r="M1958" s="2360"/>
      <c r="N1958" s="2264">
        <f t="shared" si="369"/>
        <v>0</v>
      </c>
      <c r="O1958" s="2360"/>
      <c r="P1958" s="2449"/>
      <c r="Q1958" s="2266"/>
      <c r="R1958" s="2266"/>
      <c r="S1958" s="2266"/>
    </row>
    <row r="1959" spans="1:19" s="2105" customFormat="1" outlineLevel="1">
      <c r="A1959" s="2182" t="str">
        <f t="shared" si="371"/>
        <v/>
      </c>
      <c r="B1959" s="2261"/>
      <c r="C1959" s="2258">
        <f>IF(G1959&gt;0,C1931+2,C1931)</f>
        <v>0</v>
      </c>
      <c r="D1959" s="2259"/>
      <c r="E1959" s="2417" t="s">
        <v>6262</v>
      </c>
      <c r="F1959" s="2258" t="s">
        <v>2385</v>
      </c>
      <c r="G1959" s="2451">
        <f>G1901*1</f>
        <v>0</v>
      </c>
      <c r="H1959" s="2416"/>
      <c r="I1959" s="2416"/>
      <c r="J1959" s="2416"/>
      <c r="K1959" s="2416"/>
      <c r="L1959" s="2360">
        <f t="shared" si="367"/>
        <v>0</v>
      </c>
      <c r="M1959" s="2360">
        <f t="shared" ref="M1959:M1964" si="372">I1959*G1959</f>
        <v>0</v>
      </c>
      <c r="N1959" s="2360">
        <f t="shared" si="369"/>
        <v>0</v>
      </c>
      <c r="O1959" s="2360">
        <f t="shared" ref="O1959:O1964" si="373">K1959*G1959</f>
        <v>0</v>
      </c>
      <c r="P1959" s="2449"/>
      <c r="Q1959" s="2266"/>
      <c r="R1959" s="2266"/>
      <c r="S1959" s="2266"/>
    </row>
    <row r="1960" spans="1:19" s="2105" customFormat="1" ht="14.4" outlineLevel="1">
      <c r="A1960" s="2182" t="str">
        <f>A1959</f>
        <v/>
      </c>
      <c r="B1960" s="2261"/>
      <c r="C1960" s="2258"/>
      <c r="D1960" s="2259"/>
      <c r="E1960" s="2267" t="s">
        <v>6133</v>
      </c>
      <c r="F1960" s="2268"/>
      <c r="G1960" s="2450"/>
      <c r="H1960" s="2416"/>
      <c r="I1960" s="2416"/>
      <c r="J1960" s="2416"/>
      <c r="K1960" s="2416"/>
      <c r="L1960" s="2360">
        <f t="shared" si="367"/>
        <v>0</v>
      </c>
      <c r="M1960" s="2360">
        <f t="shared" si="372"/>
        <v>0</v>
      </c>
      <c r="N1960" s="2360">
        <f t="shared" si="369"/>
        <v>0</v>
      </c>
      <c r="O1960" s="2360">
        <f t="shared" si="373"/>
        <v>0</v>
      </c>
      <c r="P1960" s="2449"/>
      <c r="Q1960" s="2266"/>
      <c r="R1960" s="2266"/>
      <c r="S1960" s="2266"/>
    </row>
    <row r="1961" spans="1:19" s="2105" customFormat="1" outlineLevel="1">
      <c r="A1961" s="2182" t="str">
        <f t="shared" ref="A1961:A1966" si="374">IF(G1961&lt;&gt;0,1,"")</f>
        <v/>
      </c>
      <c r="B1961" s="2252" t="s">
        <v>2022</v>
      </c>
      <c r="C1961" s="2258"/>
      <c r="D1961" s="2152">
        <v>0</v>
      </c>
      <c r="E1961" s="2194" t="s">
        <v>2437</v>
      </c>
      <c r="F1961" s="2152" t="s">
        <v>2248</v>
      </c>
      <c r="G1961" s="2450">
        <f>G1959*9.02*(2.2+4*0.07)</f>
        <v>0</v>
      </c>
      <c r="H1961" s="2264">
        <v>31625</v>
      </c>
      <c r="I1961" s="2359"/>
      <c r="J1961" s="2359">
        <v>0</v>
      </c>
      <c r="K1961" s="2359">
        <v>0</v>
      </c>
      <c r="L1961" s="2360">
        <f t="shared" si="367"/>
        <v>0</v>
      </c>
      <c r="M1961" s="2360">
        <f t="shared" si="372"/>
        <v>0</v>
      </c>
      <c r="N1961" s="2360">
        <f t="shared" si="369"/>
        <v>0</v>
      </c>
      <c r="O1961" s="2360">
        <f t="shared" si="373"/>
        <v>0</v>
      </c>
      <c r="P1961" s="2449"/>
      <c r="Q1961" s="2266"/>
      <c r="R1961" s="2266"/>
      <c r="S1961" s="2266"/>
    </row>
    <row r="1962" spans="1:19" s="2105" customFormat="1" outlineLevel="1">
      <c r="A1962" s="2182" t="str">
        <f t="shared" si="374"/>
        <v/>
      </c>
      <c r="B1962" s="2252" t="s">
        <v>1035</v>
      </c>
      <c r="C1962" s="2258"/>
      <c r="D1962" s="2152">
        <v>0</v>
      </c>
      <c r="E1962" s="2194" t="s">
        <v>2956</v>
      </c>
      <c r="F1962" s="2152" t="s">
        <v>2248</v>
      </c>
      <c r="G1962" s="2450">
        <f>G1959*3.77*0.92*2</f>
        <v>0</v>
      </c>
      <c r="H1962" s="2264">
        <v>31625</v>
      </c>
      <c r="I1962" s="2359"/>
      <c r="J1962" s="2359">
        <v>0</v>
      </c>
      <c r="K1962" s="2359">
        <v>0</v>
      </c>
      <c r="L1962" s="2360">
        <f>H1962*G1962</f>
        <v>0</v>
      </c>
      <c r="M1962" s="2360">
        <f t="shared" si="372"/>
        <v>0</v>
      </c>
      <c r="N1962" s="2360">
        <f t="shared" si="369"/>
        <v>0</v>
      </c>
      <c r="O1962" s="2360">
        <f t="shared" si="373"/>
        <v>0</v>
      </c>
      <c r="P1962" s="2449"/>
      <c r="Q1962" s="2266"/>
      <c r="R1962" s="2266"/>
      <c r="S1962" s="2266"/>
    </row>
    <row r="1963" spans="1:19" s="2105" customFormat="1" outlineLevel="1">
      <c r="A1963" s="2182" t="str">
        <f t="shared" si="374"/>
        <v/>
      </c>
      <c r="B1963" s="2252" t="s">
        <v>1610</v>
      </c>
      <c r="C1963" s="2258"/>
      <c r="D1963" s="2152">
        <v>0</v>
      </c>
      <c r="E1963" s="2194" t="s">
        <v>2649</v>
      </c>
      <c r="F1963" s="2152" t="s">
        <v>2439</v>
      </c>
      <c r="G1963" s="2450">
        <f>+G1959*2</f>
        <v>0</v>
      </c>
      <c r="H1963" s="2264">
        <v>25400</v>
      </c>
      <c r="I1963" s="2359"/>
      <c r="J1963" s="2359">
        <v>0</v>
      </c>
      <c r="K1963" s="2359">
        <v>0</v>
      </c>
      <c r="L1963" s="2360">
        <f>H1963*G1963</f>
        <v>0</v>
      </c>
      <c r="M1963" s="2360">
        <f t="shared" si="372"/>
        <v>0</v>
      </c>
      <c r="N1963" s="2360">
        <f t="shared" si="369"/>
        <v>0</v>
      </c>
      <c r="O1963" s="2360">
        <f t="shared" si="373"/>
        <v>0</v>
      </c>
      <c r="P1963" s="2449"/>
      <c r="Q1963" s="2266"/>
      <c r="R1963" s="2266"/>
      <c r="S1963" s="2266"/>
    </row>
    <row r="1964" spans="1:19" s="2105" customFormat="1" outlineLevel="1">
      <c r="A1964" s="2182" t="str">
        <f t="shared" si="374"/>
        <v/>
      </c>
      <c r="B1964" s="2252" t="s">
        <v>1786</v>
      </c>
      <c r="C1964" s="2258"/>
      <c r="D1964" s="2152">
        <v>0</v>
      </c>
      <c r="E1964" s="2194" t="s">
        <v>2639</v>
      </c>
      <c r="F1964" s="2152" t="s">
        <v>2439</v>
      </c>
      <c r="G1964" s="2450">
        <f>G1959*2</f>
        <v>0</v>
      </c>
      <c r="H1964" s="2264">
        <v>12400</v>
      </c>
      <c r="I1964" s="2359"/>
      <c r="J1964" s="2359">
        <v>0</v>
      </c>
      <c r="K1964" s="2359">
        <v>0</v>
      </c>
      <c r="L1964" s="2360">
        <f>H1964*G1964</f>
        <v>0</v>
      </c>
      <c r="M1964" s="2360">
        <f t="shared" si="372"/>
        <v>0</v>
      </c>
      <c r="N1964" s="2360">
        <f t="shared" si="369"/>
        <v>0</v>
      </c>
      <c r="O1964" s="2360">
        <f t="shared" si="373"/>
        <v>0</v>
      </c>
      <c r="P1964" s="2449"/>
      <c r="Q1964" s="2266"/>
      <c r="R1964" s="2266"/>
      <c r="S1964" s="2266"/>
    </row>
    <row r="1965" spans="1:19" s="2105" customFormat="1" outlineLevel="1">
      <c r="A1965" s="2182" t="str">
        <f t="shared" si="374"/>
        <v/>
      </c>
      <c r="B1965" s="2121" t="s">
        <v>5425</v>
      </c>
      <c r="C1965" s="2258"/>
      <c r="D1965" s="2152" t="s">
        <v>5426</v>
      </c>
      <c r="E1965" s="2194" t="s">
        <v>5427</v>
      </c>
      <c r="F1965" s="2152" t="s">
        <v>2248</v>
      </c>
      <c r="G1965" s="2450">
        <f>SUM(G1961:G1962)</f>
        <v>0</v>
      </c>
      <c r="H1965" s="2264">
        <v>0</v>
      </c>
      <c r="I1965" s="2359"/>
      <c r="J1965" s="2359">
        <v>2025</v>
      </c>
      <c r="K1965" s="2359"/>
      <c r="L1965" s="2360">
        <f t="shared" si="367"/>
        <v>0</v>
      </c>
      <c r="M1965" s="2360"/>
      <c r="N1965" s="2264">
        <f t="shared" si="369"/>
        <v>0</v>
      </c>
      <c r="O1965" s="2360"/>
      <c r="P1965" s="2449"/>
      <c r="Q1965" s="2266"/>
      <c r="R1965" s="2266"/>
      <c r="S1965" s="2266"/>
    </row>
    <row r="1966" spans="1:19" s="2105" customFormat="1" outlineLevel="1">
      <c r="A1966" s="2182" t="str">
        <f t="shared" si="374"/>
        <v/>
      </c>
      <c r="B1966" s="2261"/>
      <c r="C1966" s="2258">
        <f>IF(G1966&gt;0,C1959+1,C1959)</f>
        <v>0</v>
      </c>
      <c r="D1966" s="2259"/>
      <c r="E1966" s="2417" t="s">
        <v>3720</v>
      </c>
      <c r="F1966" s="2258" t="s">
        <v>2385</v>
      </c>
      <c r="G1966" s="2451">
        <f>G1901</f>
        <v>0</v>
      </c>
      <c r="H1966" s="2264"/>
      <c r="I1966" s="2264"/>
      <c r="J1966" s="2264"/>
      <c r="K1966" s="2264"/>
      <c r="L1966" s="2264">
        <f t="shared" si="367"/>
        <v>0</v>
      </c>
      <c r="M1966" s="2264">
        <f>I1966*G1966</f>
        <v>0</v>
      </c>
      <c r="N1966" s="2264">
        <f t="shared" si="369"/>
        <v>0</v>
      </c>
      <c r="O1966" s="2264">
        <f>K1966*G1966</f>
        <v>0</v>
      </c>
      <c r="P1966" s="2441"/>
      <c r="Q1966" s="2266"/>
      <c r="R1966" s="2266"/>
      <c r="S1966" s="2266"/>
    </row>
    <row r="1967" spans="1:19" s="2105" customFormat="1" ht="14.4" outlineLevel="1">
      <c r="A1967" s="2182" t="str">
        <f>+A1966</f>
        <v/>
      </c>
      <c r="B1967" s="2418"/>
      <c r="C1967" s="2258"/>
      <c r="D1967" s="2259"/>
      <c r="E1967" s="2267" t="s">
        <v>6133</v>
      </c>
      <c r="F1967" s="2268"/>
      <c r="G1967" s="2450"/>
      <c r="H1967" s="2264"/>
      <c r="I1967" s="2264"/>
      <c r="J1967" s="2264"/>
      <c r="K1967" s="2264"/>
      <c r="L1967" s="2264">
        <f t="shared" si="367"/>
        <v>0</v>
      </c>
      <c r="M1967" s="2264">
        <f>I1967*G1967</f>
        <v>0</v>
      </c>
      <c r="N1967" s="2264">
        <f t="shared" si="369"/>
        <v>0</v>
      </c>
      <c r="O1967" s="2264">
        <f>K1967*G1967</f>
        <v>0</v>
      </c>
      <c r="P1967" s="2441"/>
      <c r="Q1967" s="2266"/>
      <c r="R1967" s="2266"/>
      <c r="S1967" s="2266"/>
    </row>
    <row r="1968" spans="1:19" s="2105" customFormat="1" outlineLevel="1">
      <c r="A1968" s="2182" t="str">
        <f t="shared" ref="A1968:A1977" si="375">IF(G1968&lt;&gt;0,1,"")</f>
        <v/>
      </c>
      <c r="B1968" s="2261" t="s">
        <v>1033</v>
      </c>
      <c r="C1968" s="2258"/>
      <c r="D1968" s="2152">
        <v>0</v>
      </c>
      <c r="E1968" s="2194" t="s">
        <v>2700</v>
      </c>
      <c r="F1968" s="2152" t="s">
        <v>2248</v>
      </c>
      <c r="G1968" s="2450">
        <f>($H$3+20)*0.224*G1966</f>
        <v>0</v>
      </c>
      <c r="H1968" s="2264">
        <v>255500</v>
      </c>
      <c r="I1968" s="2264"/>
      <c r="J1968" s="2264">
        <v>0</v>
      </c>
      <c r="K1968" s="2264">
        <v>0</v>
      </c>
      <c r="L1968" s="2264">
        <f t="shared" si="367"/>
        <v>0</v>
      </c>
      <c r="M1968" s="2264">
        <f>I1968*G1968</f>
        <v>0</v>
      </c>
      <c r="N1968" s="2264">
        <f t="shared" si="369"/>
        <v>0</v>
      </c>
      <c r="O1968" s="2264">
        <f>K1968*G1968</f>
        <v>0</v>
      </c>
      <c r="P1968" s="2441"/>
      <c r="Q1968" s="2266"/>
      <c r="R1968" s="2266"/>
      <c r="S1968" s="2266"/>
    </row>
    <row r="1969" spans="1:19" s="2105" customFormat="1" outlineLevel="1">
      <c r="A1969" s="2182" t="str">
        <f t="shared" si="375"/>
        <v/>
      </c>
      <c r="B1969" s="2252" t="s">
        <v>1508</v>
      </c>
      <c r="C1969" s="2258"/>
      <c r="D1969" s="2152">
        <v>0</v>
      </c>
      <c r="E1969" s="2194" t="s">
        <v>5163</v>
      </c>
      <c r="F1969" s="2152" t="s">
        <v>2439</v>
      </c>
      <c r="G1969" s="2450">
        <f>$H$2*G1966</f>
        <v>0</v>
      </c>
      <c r="H1969" s="2264">
        <v>160000</v>
      </c>
      <c r="I1969" s="2264"/>
      <c r="J1969" s="2264">
        <v>0</v>
      </c>
      <c r="K1969" s="2264">
        <v>0</v>
      </c>
      <c r="L1969" s="2264">
        <f t="shared" si="367"/>
        <v>0</v>
      </c>
      <c r="M1969" s="2264">
        <f>I1969*G1969</f>
        <v>0</v>
      </c>
      <c r="N1969" s="2264">
        <f t="shared" si="369"/>
        <v>0</v>
      </c>
      <c r="O1969" s="2264">
        <f>K1969*G1969</f>
        <v>0</v>
      </c>
      <c r="P1969" s="2441"/>
      <c r="Q1969" s="2266"/>
      <c r="R1969" s="2266"/>
      <c r="S1969" s="2266"/>
    </row>
    <row r="1970" spans="1:19" s="2105" customFormat="1" outlineLevel="1">
      <c r="A1970" s="2182" t="str">
        <f t="shared" si="375"/>
        <v/>
      </c>
      <c r="B1970" s="2252" t="s">
        <v>1490</v>
      </c>
      <c r="C1970" s="2258"/>
      <c r="D1970" s="2152">
        <v>0</v>
      </c>
      <c r="E1970" s="2194" t="s">
        <v>3536</v>
      </c>
      <c r="F1970" s="2152" t="s">
        <v>1823</v>
      </c>
      <c r="G1970" s="2450">
        <f>G1966*8*0</f>
        <v>0</v>
      </c>
      <c r="H1970" s="2264">
        <v>6200</v>
      </c>
      <c r="I1970" s="2264"/>
      <c r="J1970" s="2264">
        <v>0</v>
      </c>
      <c r="K1970" s="2264">
        <v>0</v>
      </c>
      <c r="L1970" s="2264">
        <f t="shared" si="367"/>
        <v>0</v>
      </c>
      <c r="M1970" s="2264">
        <f>I1970*G1970</f>
        <v>0</v>
      </c>
      <c r="N1970" s="2264">
        <f t="shared" si="369"/>
        <v>0</v>
      </c>
      <c r="O1970" s="2264">
        <f>K1970*G1970</f>
        <v>0</v>
      </c>
      <c r="P1970" s="2449"/>
      <c r="Q1970" s="2266"/>
      <c r="R1970" s="2266"/>
      <c r="S1970" s="2266"/>
    </row>
    <row r="1971" spans="1:19" s="2105" customFormat="1" outlineLevel="1">
      <c r="A1971" s="2182" t="str">
        <f t="shared" si="375"/>
        <v/>
      </c>
      <c r="B1971" s="2261" t="s">
        <v>1579</v>
      </c>
      <c r="C1971" s="2258"/>
      <c r="D1971" s="2152">
        <v>0</v>
      </c>
      <c r="E1971" s="2194" t="s">
        <v>2873</v>
      </c>
      <c r="F1971" s="2152" t="s">
        <v>2555</v>
      </c>
      <c r="G1971" s="2450">
        <f>2*G1966</f>
        <v>0</v>
      </c>
      <c r="H1971" s="2264">
        <v>8000</v>
      </c>
      <c r="I1971" s="2264"/>
      <c r="J1971" s="2264">
        <v>0</v>
      </c>
      <c r="K1971" s="2264"/>
      <c r="L1971" s="2264">
        <f t="shared" si="367"/>
        <v>0</v>
      </c>
      <c r="M1971" s="2264"/>
      <c r="N1971" s="2264">
        <f t="shared" si="369"/>
        <v>0</v>
      </c>
      <c r="O1971" s="2264"/>
      <c r="P1971" s="2441"/>
      <c r="Q1971" s="2266"/>
      <c r="R1971" s="2266"/>
      <c r="S1971" s="2266"/>
    </row>
    <row r="1972" spans="1:19" s="2105" customFormat="1" outlineLevel="1">
      <c r="A1972" s="2182" t="str">
        <f t="shared" si="375"/>
        <v/>
      </c>
      <c r="B1972" s="2261" t="s">
        <v>6208</v>
      </c>
      <c r="C1972" s="2258"/>
      <c r="D1972" s="2152" t="s">
        <v>5725</v>
      </c>
      <c r="E1972" s="2194" t="s">
        <v>3479</v>
      </c>
      <c r="F1972" s="2152" t="s">
        <v>2555</v>
      </c>
      <c r="G1972" s="2450">
        <f>G1966*14</f>
        <v>0</v>
      </c>
      <c r="H1972" s="2264">
        <v>9100</v>
      </c>
      <c r="I1972" s="2264"/>
      <c r="J1972" s="2264">
        <v>10608.955000000002</v>
      </c>
      <c r="K1972" s="2264"/>
      <c r="L1972" s="2264">
        <f t="shared" si="367"/>
        <v>0</v>
      </c>
      <c r="M1972" s="2264"/>
      <c r="N1972" s="2264">
        <f t="shared" si="369"/>
        <v>0</v>
      </c>
      <c r="O1972" s="2264"/>
      <c r="P1972" s="2441"/>
      <c r="Q1972" s="2266"/>
      <c r="R1972" s="2266"/>
      <c r="S1972" s="2266"/>
    </row>
    <row r="1973" spans="1:19" s="2105" customFormat="1" outlineLevel="1">
      <c r="A1973" s="2182" t="str">
        <f t="shared" si="375"/>
        <v/>
      </c>
      <c r="B1973" s="2261" t="s">
        <v>816</v>
      </c>
      <c r="C1973" s="2419"/>
      <c r="D1973" s="2152">
        <v>0</v>
      </c>
      <c r="E1973" s="2194" t="s">
        <v>3581</v>
      </c>
      <c r="F1973" s="2152" t="s">
        <v>2555</v>
      </c>
      <c r="G1973" s="2450">
        <f>IF(G1970&lt;=12,15,21)*G1966</f>
        <v>0</v>
      </c>
      <c r="H1973" s="2264">
        <v>17600</v>
      </c>
      <c r="I1973" s="2264"/>
      <c r="J1973" s="2264">
        <v>0</v>
      </c>
      <c r="K1973" s="2264"/>
      <c r="L1973" s="2264">
        <f t="shared" si="367"/>
        <v>0</v>
      </c>
      <c r="M1973" s="2264">
        <f>I1973*G1973</f>
        <v>0</v>
      </c>
      <c r="N1973" s="2264">
        <f t="shared" si="369"/>
        <v>0</v>
      </c>
      <c r="O1973" s="2264">
        <f>K1973*G1973</f>
        <v>0</v>
      </c>
      <c r="P1973" s="2441"/>
      <c r="Q1973" s="2266"/>
      <c r="R1973" s="2266"/>
      <c r="S1973" s="2266"/>
    </row>
    <row r="1974" spans="1:19" s="2105" customFormat="1" outlineLevel="1">
      <c r="A1974" s="2182" t="str">
        <f t="shared" si="375"/>
        <v/>
      </c>
      <c r="B1974" s="2252" t="s">
        <v>525</v>
      </c>
      <c r="C1974" s="2419"/>
      <c r="D1974" s="2152">
        <v>0</v>
      </c>
      <c r="E1974" s="2194" t="s">
        <v>5252</v>
      </c>
      <c r="F1974" s="2152" t="s">
        <v>2439</v>
      </c>
      <c r="G1974" s="2450">
        <f>+G1966*4*0</f>
        <v>0</v>
      </c>
      <c r="H1974" s="2264">
        <v>43000</v>
      </c>
      <c r="I1974" s="2264"/>
      <c r="J1974" s="2264">
        <v>0</v>
      </c>
      <c r="K1974" s="2264"/>
      <c r="L1974" s="2264">
        <f t="shared" si="367"/>
        <v>0</v>
      </c>
      <c r="M1974" s="2264">
        <f>I1974*G1974</f>
        <v>0</v>
      </c>
      <c r="N1974" s="2264">
        <f t="shared" si="369"/>
        <v>0</v>
      </c>
      <c r="O1974" s="2264">
        <f>K1974*G1974</f>
        <v>0</v>
      </c>
      <c r="P1974" s="2441"/>
      <c r="Q1974" s="2266"/>
      <c r="R1974" s="2266"/>
      <c r="S1974" s="2266"/>
    </row>
    <row r="1975" spans="1:19" s="2105" customFormat="1" outlineLevel="1">
      <c r="A1975" s="2182" t="str">
        <f t="shared" si="375"/>
        <v/>
      </c>
      <c r="B1975" s="2252" t="s">
        <v>1585</v>
      </c>
      <c r="C1975" s="2419"/>
      <c r="D1975" s="2152">
        <v>0</v>
      </c>
      <c r="E1975" s="2194" t="s">
        <v>5713</v>
      </c>
      <c r="F1975" s="2152" t="s">
        <v>3445</v>
      </c>
      <c r="G1975" s="2450">
        <f>G1966*2</f>
        <v>0</v>
      </c>
      <c r="H1975" s="2264">
        <v>0</v>
      </c>
      <c r="I1975" s="2264"/>
      <c r="J1975" s="2264">
        <v>1500000</v>
      </c>
      <c r="K1975" s="2264"/>
      <c r="L1975" s="2264">
        <f t="shared" si="367"/>
        <v>0</v>
      </c>
      <c r="M1975" s="2264">
        <f>I1975*G1975</f>
        <v>0</v>
      </c>
      <c r="N1975" s="2264">
        <f t="shared" si="369"/>
        <v>0</v>
      </c>
      <c r="O1975" s="2264">
        <f>K1975*G1975</f>
        <v>0</v>
      </c>
      <c r="P1975" s="2441"/>
      <c r="Q1975" s="2266"/>
      <c r="R1975" s="2266"/>
      <c r="S1975" s="2266"/>
    </row>
    <row r="1976" spans="1:19" s="2105" customFormat="1" outlineLevel="1">
      <c r="A1976" s="2182" t="str">
        <f t="shared" si="375"/>
        <v/>
      </c>
      <c r="B1976" s="2252" t="s">
        <v>5164</v>
      </c>
      <c r="C1976" s="2419"/>
      <c r="D1976" s="2152">
        <v>0</v>
      </c>
      <c r="E1976" s="2194" t="s">
        <v>5165</v>
      </c>
      <c r="F1976" s="2152" t="s">
        <v>2248</v>
      </c>
      <c r="G1976" s="2450">
        <f>5*16*G1975</f>
        <v>0</v>
      </c>
      <c r="H1976" s="2264">
        <v>31625</v>
      </c>
      <c r="I1976" s="2264"/>
      <c r="J1976" s="2264">
        <v>0</v>
      </c>
      <c r="K1976" s="2264"/>
      <c r="L1976" s="2264">
        <f t="shared" si="367"/>
        <v>0</v>
      </c>
      <c r="M1976" s="2264">
        <f>I1976*G1976</f>
        <v>0</v>
      </c>
      <c r="N1976" s="2264">
        <f t="shared" si="369"/>
        <v>0</v>
      </c>
      <c r="O1976" s="2264">
        <f>K1976*G1976</f>
        <v>0</v>
      </c>
      <c r="P1976" s="2441"/>
      <c r="Q1976" s="2266"/>
      <c r="R1976" s="2266"/>
      <c r="S1976" s="2266"/>
    </row>
    <row r="1977" spans="1:19" s="2105" customFormat="1" outlineLevel="1">
      <c r="A1977" s="2182" t="str">
        <f t="shared" si="375"/>
        <v/>
      </c>
      <c r="B1977" s="2252" t="s">
        <v>5168</v>
      </c>
      <c r="C1977" s="2419"/>
      <c r="D1977" s="2152" t="s">
        <v>5169</v>
      </c>
      <c r="E1977" s="2194" t="s">
        <v>5170</v>
      </c>
      <c r="F1977" s="2152" t="s">
        <v>5171</v>
      </c>
      <c r="G1977" s="2450">
        <f>G1966*4*G1975</f>
        <v>0</v>
      </c>
      <c r="H1977" s="2264">
        <v>0</v>
      </c>
      <c r="I1977" s="2264"/>
      <c r="J1977" s="2264">
        <v>55638</v>
      </c>
      <c r="K1977" s="2264"/>
      <c r="L1977" s="2264">
        <f t="shared" si="367"/>
        <v>0</v>
      </c>
      <c r="M1977" s="2264">
        <f>I1977*G1977</f>
        <v>0</v>
      </c>
      <c r="N1977" s="2264">
        <f t="shared" si="369"/>
        <v>0</v>
      </c>
      <c r="O1977" s="2264">
        <f>K1977*G1977</f>
        <v>0</v>
      </c>
      <c r="P1977" s="2441"/>
      <c r="Q1977" s="2266"/>
      <c r="R1977" s="2266"/>
      <c r="S1977" s="2266"/>
    </row>
    <row r="1978" spans="1:19" s="2105" customFormat="1" outlineLevel="1">
      <c r="A1978" s="2182"/>
      <c r="B1978" s="2252"/>
      <c r="C1978" s="2419"/>
      <c r="D1978" s="2152"/>
      <c r="E1978" s="2194"/>
      <c r="F1978" s="2152"/>
      <c r="G1978" s="2450"/>
      <c r="H1978" s="2264"/>
      <c r="I1978" s="2264"/>
      <c r="J1978" s="2264"/>
      <c r="K1978" s="2264"/>
      <c r="L1978" s="2264"/>
      <c r="M1978" s="2264"/>
      <c r="N1978" s="2264"/>
      <c r="O1978" s="2264"/>
      <c r="P1978" s="2389"/>
      <c r="Q1978" s="2266"/>
      <c r="R1978" s="2266"/>
      <c r="S1978" s="2266"/>
    </row>
    <row r="1979" spans="1:19" s="2105" customFormat="1" outlineLevel="1">
      <c r="A1979" s="2182" t="str">
        <f>IF(G1979&lt;&gt;0,1,"")</f>
        <v/>
      </c>
      <c r="B1979" s="2252" t="s">
        <v>5175</v>
      </c>
      <c r="C1979" s="2419"/>
      <c r="D1979" s="2152">
        <v>0</v>
      </c>
      <c r="E1979" s="2194" t="s">
        <v>5176</v>
      </c>
      <c r="F1979" s="2152" t="s">
        <v>5174</v>
      </c>
      <c r="G1979" s="2450">
        <f>G1966*6</f>
        <v>0</v>
      </c>
      <c r="H1979" s="2264">
        <v>38105</v>
      </c>
      <c r="I1979" s="2264"/>
      <c r="J1979" s="2264">
        <v>0</v>
      </c>
      <c r="K1979" s="2264"/>
      <c r="L1979" s="2264">
        <f>H1979*G1979</f>
        <v>0</v>
      </c>
      <c r="M1979" s="2264">
        <f>I1979*G1979</f>
        <v>0</v>
      </c>
      <c r="N1979" s="2264">
        <f>J1979*G1979</f>
        <v>0</v>
      </c>
      <c r="O1979" s="2264">
        <f>K1979*G1979</f>
        <v>0</v>
      </c>
      <c r="P1979" s="2441"/>
      <c r="Q1979" s="2266"/>
      <c r="R1979" s="2266"/>
      <c r="S1979" s="2266"/>
    </row>
    <row r="1980" spans="1:19" s="2105" customFormat="1" outlineLevel="1">
      <c r="A1980" s="2182"/>
      <c r="B1980" s="2252"/>
      <c r="C1980" s="2419"/>
      <c r="D1980" s="2152"/>
      <c r="E1980" s="2194"/>
      <c r="F1980" s="2152"/>
      <c r="G1980" s="2450"/>
      <c r="H1980" s="2264"/>
      <c r="I1980" s="2264"/>
      <c r="J1980" s="2264"/>
      <c r="K1980" s="2264"/>
      <c r="L1980" s="2264"/>
      <c r="M1980" s="2264"/>
      <c r="N1980" s="2264"/>
      <c r="O1980" s="2264"/>
      <c r="P1980" s="2389"/>
      <c r="Q1980" s="2266"/>
      <c r="R1980" s="2266"/>
      <c r="S1980" s="2266"/>
    </row>
    <row r="1981" spans="1:19" s="2105" customFormat="1" outlineLevel="1">
      <c r="A1981" s="2182" t="str">
        <f t="shared" ref="A1981:A1986" si="376">IF(G1981&lt;&gt;0,1,"")</f>
        <v/>
      </c>
      <c r="B1981" s="2252" t="s">
        <v>5179</v>
      </c>
      <c r="C1981" s="2419"/>
      <c r="D1981" s="2152">
        <v>0</v>
      </c>
      <c r="E1981" s="2194" t="s">
        <v>5180</v>
      </c>
      <c r="F1981" s="2152" t="s">
        <v>5174</v>
      </c>
      <c r="G1981" s="2450">
        <f>G1966*2</f>
        <v>0</v>
      </c>
      <c r="H1981" s="2264">
        <v>53008</v>
      </c>
      <c r="I1981" s="2264"/>
      <c r="J1981" s="2264">
        <v>0</v>
      </c>
      <c r="K1981" s="2264"/>
      <c r="L1981" s="2264">
        <f t="shared" ref="L1981:L1993" si="377">H1981*G1981</f>
        <v>0</v>
      </c>
      <c r="M1981" s="2264">
        <f t="shared" ref="M1981:M1993" si="378">I1981*G1981</f>
        <v>0</v>
      </c>
      <c r="N1981" s="2264">
        <f>J1981*G1981</f>
        <v>0</v>
      </c>
      <c r="O1981" s="2264">
        <f t="shared" ref="O1981:O1993" si="379">K1981*G1981</f>
        <v>0</v>
      </c>
      <c r="P1981" s="2441"/>
      <c r="Q1981" s="2266"/>
      <c r="R1981" s="2266"/>
      <c r="S1981" s="2266"/>
    </row>
    <row r="1982" spans="1:19" s="2105" customFormat="1" outlineLevel="1">
      <c r="A1982" s="2182" t="str">
        <f t="shared" si="376"/>
        <v/>
      </c>
      <c r="B1982" s="2252" t="s">
        <v>6234</v>
      </c>
      <c r="C1982" s="2419"/>
      <c r="D1982" s="2152">
        <v>0</v>
      </c>
      <c r="E1982" s="2194" t="s">
        <v>5051</v>
      </c>
      <c r="F1982" s="2152" t="s">
        <v>2439</v>
      </c>
      <c r="G1982" s="2450">
        <f>G1966*20</f>
        <v>0</v>
      </c>
      <c r="H1982" s="2264">
        <v>8400</v>
      </c>
      <c r="I1982" s="2264"/>
      <c r="J1982" s="2264">
        <v>0</v>
      </c>
      <c r="K1982" s="2264"/>
      <c r="L1982" s="2264">
        <f t="shared" si="377"/>
        <v>0</v>
      </c>
      <c r="M1982" s="2264">
        <f t="shared" si="378"/>
        <v>0</v>
      </c>
      <c r="N1982" s="2264">
        <f>J1982*G1982</f>
        <v>0</v>
      </c>
      <c r="O1982" s="2264">
        <f t="shared" si="379"/>
        <v>0</v>
      </c>
      <c r="P1982" s="2441"/>
      <c r="Q1982" s="2266"/>
      <c r="R1982" s="2266"/>
      <c r="S1982" s="2266"/>
    </row>
    <row r="1983" spans="1:19" s="2105" customFormat="1" outlineLevel="1">
      <c r="A1983" s="2182" t="str">
        <f t="shared" si="376"/>
        <v/>
      </c>
      <c r="B1983" s="2252" t="s">
        <v>5181</v>
      </c>
      <c r="C1983" s="2419"/>
      <c r="D1983" s="2152">
        <v>0</v>
      </c>
      <c r="E1983" s="2194" t="s">
        <v>5182</v>
      </c>
      <c r="F1983" s="2152" t="s">
        <v>2532</v>
      </c>
      <c r="G1983" s="2450">
        <f>G1979+G1981</f>
        <v>0</v>
      </c>
      <c r="H1983" s="2264">
        <v>11000</v>
      </c>
      <c r="I1983" s="2264"/>
      <c r="J1983" s="2264">
        <v>0</v>
      </c>
      <c r="K1983" s="2264"/>
      <c r="L1983" s="2264">
        <f t="shared" si="377"/>
        <v>0</v>
      </c>
      <c r="M1983" s="2264">
        <f t="shared" si="378"/>
        <v>0</v>
      </c>
      <c r="N1983" s="2264">
        <f>J1983*G1983</f>
        <v>0</v>
      </c>
      <c r="O1983" s="2264">
        <f t="shared" si="379"/>
        <v>0</v>
      </c>
      <c r="P1983" s="2441"/>
      <c r="Q1983" s="2266"/>
      <c r="R1983" s="2266"/>
      <c r="S1983" s="2266"/>
    </row>
    <row r="1984" spans="1:19" s="2105" customFormat="1" outlineLevel="1">
      <c r="A1984" s="2182" t="str">
        <f t="shared" si="376"/>
        <v/>
      </c>
      <c r="B1984" s="2252" t="s">
        <v>5183</v>
      </c>
      <c r="C1984" s="2419"/>
      <c r="D1984" s="2152">
        <v>0</v>
      </c>
      <c r="E1984" s="2194" t="s">
        <v>5184</v>
      </c>
      <c r="F1984" s="2152" t="s">
        <v>2555</v>
      </c>
      <c r="G1984" s="2450">
        <f>G1983</f>
        <v>0</v>
      </c>
      <c r="H1984" s="2264">
        <v>4000</v>
      </c>
      <c r="I1984" s="2264"/>
      <c r="J1984" s="2264">
        <v>0</v>
      </c>
      <c r="K1984" s="2264"/>
      <c r="L1984" s="2264">
        <f t="shared" si="377"/>
        <v>0</v>
      </c>
      <c r="M1984" s="2264">
        <f t="shared" si="378"/>
        <v>0</v>
      </c>
      <c r="N1984" s="2264">
        <f>J1984*G1984</f>
        <v>0</v>
      </c>
      <c r="O1984" s="2264">
        <f t="shared" si="379"/>
        <v>0</v>
      </c>
      <c r="P1984" s="2441"/>
      <c r="Q1984" s="2266"/>
      <c r="R1984" s="2266"/>
      <c r="S1984" s="2266"/>
    </row>
    <row r="1985" spans="1:255" s="2105" customFormat="1" outlineLevel="1">
      <c r="A1985" s="2182" t="str">
        <f t="shared" si="376"/>
        <v/>
      </c>
      <c r="B1985" s="2252" t="s">
        <v>794</v>
      </c>
      <c r="C1985" s="2419"/>
      <c r="D1985" s="2152" t="s">
        <v>5336</v>
      </c>
      <c r="E1985" s="2194" t="s">
        <v>3068</v>
      </c>
      <c r="F1985" s="2152" t="s">
        <v>856</v>
      </c>
      <c r="G1985" s="2450">
        <f>G1966*(52+20)*0.3*0.5</f>
        <v>0</v>
      </c>
      <c r="H1985" s="2264">
        <v>0</v>
      </c>
      <c r="I1985" s="2264"/>
      <c r="J1985" s="2264">
        <v>283749.75</v>
      </c>
      <c r="K1985" s="2264"/>
      <c r="L1985" s="2264">
        <f t="shared" si="377"/>
        <v>0</v>
      </c>
      <c r="M1985" s="2264">
        <f t="shared" si="378"/>
        <v>0</v>
      </c>
      <c r="N1985" s="2264">
        <f>J1985*G1985</f>
        <v>0</v>
      </c>
      <c r="O1985" s="2264">
        <f t="shared" si="379"/>
        <v>0</v>
      </c>
      <c r="P1985" s="2441"/>
      <c r="Q1985" s="2266"/>
      <c r="R1985" s="2266"/>
      <c r="S1985" s="2266"/>
    </row>
    <row r="1986" spans="1:255" s="2105" customFormat="1" outlineLevel="1">
      <c r="A1986" s="2182" t="str">
        <f t="shared" si="376"/>
        <v/>
      </c>
      <c r="B1986" s="2252" t="s">
        <v>798</v>
      </c>
      <c r="C1986" s="2419"/>
      <c r="D1986" s="2152" t="s">
        <v>5325</v>
      </c>
      <c r="E1986" s="2194" t="s">
        <v>5337</v>
      </c>
      <c r="F1986" s="2152" t="s">
        <v>856</v>
      </c>
      <c r="G1986" s="2450">
        <f>G1985</f>
        <v>0</v>
      </c>
      <c r="H1986" s="2264">
        <v>0</v>
      </c>
      <c r="I1986" s="2264"/>
      <c r="J1986" s="2264">
        <v>117703.6</v>
      </c>
      <c r="K1986" s="2264"/>
      <c r="L1986" s="2264">
        <f t="shared" si="377"/>
        <v>0</v>
      </c>
      <c r="M1986" s="2264">
        <f t="shared" si="378"/>
        <v>0</v>
      </c>
      <c r="N1986" s="2264">
        <f t="shared" ref="N1986:N1993" si="380">J1986*G1986</f>
        <v>0</v>
      </c>
      <c r="O1986" s="2264">
        <f t="shared" si="379"/>
        <v>0</v>
      </c>
      <c r="P1986" s="2441"/>
      <c r="Q1986" s="2266"/>
      <c r="R1986" s="2266"/>
      <c r="S1986" s="2266"/>
    </row>
    <row r="1987" spans="1:255" s="2105" customFormat="1" outlineLevel="1">
      <c r="A1987" s="2182" t="str">
        <f>IF(G1987&lt;&gt;0,1,"")</f>
        <v/>
      </c>
      <c r="B1987" s="2252" t="s">
        <v>902</v>
      </c>
      <c r="C1987" s="2258"/>
      <c r="D1987" s="2152" t="s">
        <v>5351</v>
      </c>
      <c r="E1987" s="2194" t="s">
        <v>5352</v>
      </c>
      <c r="F1987" s="2152" t="s">
        <v>2385</v>
      </c>
      <c r="G1987" s="2454">
        <f>G1969</f>
        <v>0</v>
      </c>
      <c r="H1987" s="2264">
        <v>0</v>
      </c>
      <c r="I1987" s="2264"/>
      <c r="J1987" s="2264">
        <v>90355.896000000008</v>
      </c>
      <c r="K1987" s="2264">
        <v>1573.075</v>
      </c>
      <c r="L1987" s="2264">
        <f t="shared" si="377"/>
        <v>0</v>
      </c>
      <c r="M1987" s="2264">
        <f t="shared" si="378"/>
        <v>0</v>
      </c>
      <c r="N1987" s="2264">
        <f t="shared" si="380"/>
        <v>0</v>
      </c>
      <c r="O1987" s="2264">
        <f t="shared" si="379"/>
        <v>0</v>
      </c>
      <c r="P1987" s="2449"/>
      <c r="Q1987" s="2266"/>
      <c r="R1987" s="2266"/>
      <c r="S1987" s="2266"/>
    </row>
    <row r="1988" spans="1:255" s="2105" customFormat="1" outlineLevel="1">
      <c r="A1988" s="2182" t="str">
        <f>IF(G1988&lt;&gt;0,1,"")</f>
        <v/>
      </c>
      <c r="B1988" s="2252" t="s">
        <v>1437</v>
      </c>
      <c r="C1988" s="2258"/>
      <c r="D1988" s="2152" t="s">
        <v>5346</v>
      </c>
      <c r="E1988" s="2194" t="s">
        <v>5347</v>
      </c>
      <c r="F1988" s="2152" t="s">
        <v>2532</v>
      </c>
      <c r="G1988" s="2454">
        <f>G1968/0.224</f>
        <v>0</v>
      </c>
      <c r="H1988" s="2264">
        <v>0</v>
      </c>
      <c r="I1988" s="2264"/>
      <c r="J1988" s="2264">
        <v>8070.7000000000007</v>
      </c>
      <c r="K1988" s="2264">
        <v>2044.9974999999999</v>
      </c>
      <c r="L1988" s="2264">
        <f t="shared" si="377"/>
        <v>0</v>
      </c>
      <c r="M1988" s="2264">
        <f t="shared" si="378"/>
        <v>0</v>
      </c>
      <c r="N1988" s="2264">
        <f t="shared" si="380"/>
        <v>0</v>
      </c>
      <c r="O1988" s="2264">
        <f t="shared" si="379"/>
        <v>0</v>
      </c>
      <c r="P1988" s="2441"/>
      <c r="Q1988" s="2266"/>
      <c r="R1988" s="2266"/>
      <c r="S1988" s="2266"/>
    </row>
    <row r="1989" spans="1:255" s="2105" customFormat="1" outlineLevel="1">
      <c r="A1989" s="2182" t="str">
        <f>IF(G1989&lt;&gt;0,1,"")</f>
        <v/>
      </c>
      <c r="B1989" s="2252"/>
      <c r="C1989" s="2258">
        <f>IF(G1989&gt;0,C1966+1,C1966)</f>
        <v>0</v>
      </c>
      <c r="D1989" s="2259"/>
      <c r="E1989" s="2376" t="s">
        <v>6209</v>
      </c>
      <c r="F1989" s="2258" t="s">
        <v>2385</v>
      </c>
      <c r="G1989" s="2451">
        <f>G1901*2</f>
        <v>0</v>
      </c>
      <c r="H1989" s="2264"/>
      <c r="I1989" s="2264"/>
      <c r="J1989" s="2264"/>
      <c r="K1989" s="2264"/>
      <c r="L1989" s="2264">
        <f t="shared" si="377"/>
        <v>0</v>
      </c>
      <c r="M1989" s="2264">
        <f t="shared" si="378"/>
        <v>0</v>
      </c>
      <c r="N1989" s="2264">
        <f t="shared" si="380"/>
        <v>0</v>
      </c>
      <c r="O1989" s="2264">
        <f t="shared" si="379"/>
        <v>0</v>
      </c>
      <c r="P1989" s="2441"/>
      <c r="Q1989" s="2266"/>
      <c r="R1989" s="2266"/>
      <c r="S1989" s="2266"/>
    </row>
    <row r="1990" spans="1:255" s="2105" customFormat="1" ht="14.4" outlineLevel="1">
      <c r="A1990" s="2182" t="str">
        <f>A1989</f>
        <v/>
      </c>
      <c r="B1990" s="2252"/>
      <c r="C1990" s="2258"/>
      <c r="D1990" s="2259"/>
      <c r="E1990" s="2267" t="s">
        <v>6133</v>
      </c>
      <c r="F1990" s="2268"/>
      <c r="G1990" s="2450"/>
      <c r="H1990" s="2264"/>
      <c r="I1990" s="2264"/>
      <c r="J1990" s="2264"/>
      <c r="K1990" s="2264"/>
      <c r="L1990" s="2264">
        <f t="shared" si="377"/>
        <v>0</v>
      </c>
      <c r="M1990" s="2264">
        <f t="shared" si="378"/>
        <v>0</v>
      </c>
      <c r="N1990" s="2264">
        <f t="shared" si="380"/>
        <v>0</v>
      </c>
      <c r="O1990" s="2264">
        <f t="shared" si="379"/>
        <v>0</v>
      </c>
      <c r="P1990" s="2441"/>
      <c r="Q1990" s="2266"/>
      <c r="R1990" s="2266"/>
      <c r="S1990" s="2266"/>
    </row>
    <row r="1991" spans="1:255" s="2105" customFormat="1" outlineLevel="1">
      <c r="A1991" s="2182" t="str">
        <f>IF(G1991&lt;&gt;0,1,"")</f>
        <v/>
      </c>
      <c r="B1991" s="2252" t="s">
        <v>5643</v>
      </c>
      <c r="C1991" s="2268"/>
      <c r="D1991" s="2152" t="s">
        <v>5633</v>
      </c>
      <c r="E1991" s="2194" t="s">
        <v>5644</v>
      </c>
      <c r="F1991" s="2152" t="s">
        <v>2555</v>
      </c>
      <c r="G1991" s="2450">
        <f>G1989</f>
        <v>0</v>
      </c>
      <c r="H1991" s="2264">
        <v>2112489</v>
      </c>
      <c r="I1991" s="2264"/>
      <c r="J1991" s="2264">
        <v>690091</v>
      </c>
      <c r="K1991" s="2264">
        <v>97369</v>
      </c>
      <c r="L1991" s="2264">
        <f t="shared" si="377"/>
        <v>0</v>
      </c>
      <c r="M1991" s="2264">
        <f t="shared" si="378"/>
        <v>0</v>
      </c>
      <c r="N1991" s="2264">
        <f t="shared" si="380"/>
        <v>0</v>
      </c>
      <c r="O1991" s="2264">
        <f t="shared" si="379"/>
        <v>0</v>
      </c>
      <c r="P1991" s="2441"/>
      <c r="Q1991" s="2266"/>
      <c r="R1991" s="2266"/>
      <c r="S1991" s="2266"/>
    </row>
    <row r="1992" spans="1:255" s="2105" customFormat="1" outlineLevel="1">
      <c r="A1992" s="2182" t="str">
        <f>IF(G1992&lt;&gt;0,1,"")</f>
        <v/>
      </c>
      <c r="B1992" s="2252" t="s">
        <v>880</v>
      </c>
      <c r="C1992" s="2258"/>
      <c r="D1992" s="2152">
        <v>0</v>
      </c>
      <c r="E1992" s="2194" t="s">
        <v>5799</v>
      </c>
      <c r="F1992" s="2152" t="s">
        <v>2555</v>
      </c>
      <c r="G1992" s="2450">
        <f>G1989</f>
        <v>0</v>
      </c>
      <c r="H1992" s="2264">
        <v>284000</v>
      </c>
      <c r="I1992" s="2264"/>
      <c r="J1992" s="2264">
        <v>5404</v>
      </c>
      <c r="K1992" s="2264">
        <v>0</v>
      </c>
      <c r="L1992" s="2264">
        <f t="shared" si="377"/>
        <v>0</v>
      </c>
      <c r="M1992" s="2264">
        <f t="shared" si="378"/>
        <v>0</v>
      </c>
      <c r="N1992" s="2264">
        <f t="shared" si="380"/>
        <v>0</v>
      </c>
      <c r="O1992" s="2264">
        <f t="shared" si="379"/>
        <v>0</v>
      </c>
      <c r="P1992" s="2441"/>
      <c r="Q1992" s="2266"/>
      <c r="R1992" s="2266"/>
      <c r="S1992" s="2266"/>
    </row>
    <row r="1993" spans="1:255" s="2105" customFormat="1" outlineLevel="1">
      <c r="A1993" s="2182" t="str">
        <f>IF(G1993&lt;&gt;0,1,"")</f>
        <v/>
      </c>
      <c r="B1993" s="2252" t="s">
        <v>289</v>
      </c>
      <c r="C1993" s="2268"/>
      <c r="D1993" s="2152">
        <v>0</v>
      </c>
      <c r="E1993" s="2194" t="s">
        <v>5712</v>
      </c>
      <c r="F1993" s="2152" t="s">
        <v>2555</v>
      </c>
      <c r="G1993" s="2450">
        <f>G1989*1/2</f>
        <v>0</v>
      </c>
      <c r="H1993" s="2264">
        <v>300000</v>
      </c>
      <c r="I1993" s="2264"/>
      <c r="J1993" s="2264">
        <v>0</v>
      </c>
      <c r="K1993" s="2264">
        <v>0</v>
      </c>
      <c r="L1993" s="2264">
        <f t="shared" si="377"/>
        <v>0</v>
      </c>
      <c r="M1993" s="2264">
        <f t="shared" si="378"/>
        <v>0</v>
      </c>
      <c r="N1993" s="2264">
        <f t="shared" si="380"/>
        <v>0</v>
      </c>
      <c r="O1993" s="2264">
        <f t="shared" si="379"/>
        <v>0</v>
      </c>
      <c r="P1993" s="2389"/>
      <c r="Q1993" s="2266"/>
      <c r="R1993" s="2266"/>
      <c r="S1993" s="2266"/>
    </row>
    <row r="1994" spans="1:255" s="2105" customFormat="1" outlineLevel="1">
      <c r="A1994" s="2182" t="str">
        <f>IF(G1994&lt;&gt;0,1,"")</f>
        <v/>
      </c>
      <c r="B1994" s="2252" t="s">
        <v>588</v>
      </c>
      <c r="C1994" s="2268"/>
      <c r="D1994" s="2152">
        <v>0</v>
      </c>
      <c r="E1994" s="2194" t="s">
        <v>2982</v>
      </c>
      <c r="F1994" s="2152" t="s">
        <v>2439</v>
      </c>
      <c r="G1994" s="2450">
        <f>G1989*2</f>
        <v>0</v>
      </c>
      <c r="H1994" s="2264">
        <v>168000</v>
      </c>
      <c r="I1994" s="2264"/>
      <c r="J1994" s="2264">
        <v>0</v>
      </c>
      <c r="K1994" s="2264">
        <v>0</v>
      </c>
      <c r="L1994" s="2264">
        <f>H1994*G1994</f>
        <v>0</v>
      </c>
      <c r="M1994" s="2264">
        <f>I1994*G1994</f>
        <v>0</v>
      </c>
      <c r="N1994" s="2264">
        <f>J1994*G1994</f>
        <v>0</v>
      </c>
      <c r="O1994" s="2264">
        <f>K1994*G1994</f>
        <v>0</v>
      </c>
      <c r="P1994" s="2441"/>
      <c r="Q1994" s="2266"/>
      <c r="R1994" s="2266"/>
      <c r="S1994" s="2266"/>
    </row>
    <row r="1995" spans="1:255" s="2288" customFormat="1" outlineLevel="1">
      <c r="A1995" s="2182" t="str">
        <f>IF(G1995&lt;&gt;0,1,"")</f>
        <v/>
      </c>
      <c r="B1995" s="2252"/>
      <c r="C1995" s="2258">
        <f>IF(G1995&gt;0,C1989+1,C1989)</f>
        <v>0</v>
      </c>
      <c r="D1995" s="2259"/>
      <c r="E1995" s="2376" t="s">
        <v>6246</v>
      </c>
      <c r="F1995" s="2258" t="s">
        <v>2385</v>
      </c>
      <c r="G1995" s="2451">
        <f>G1901</f>
        <v>0</v>
      </c>
      <c r="H1995" s="2264"/>
      <c r="I1995" s="2264"/>
      <c r="J1995" s="2264"/>
      <c r="K1995" s="2264"/>
      <c r="L1995" s="2264"/>
      <c r="M1995" s="2264"/>
      <c r="N1995" s="2264"/>
      <c r="O1995" s="2264"/>
      <c r="P1995" s="2441"/>
      <c r="Q1995" s="2266"/>
      <c r="R1995" s="2266"/>
      <c r="S1995" s="2105"/>
      <c r="T1995" s="2105"/>
      <c r="U1995" s="2105"/>
      <c r="V1995" s="2105"/>
      <c r="W1995" s="2105"/>
      <c r="X1995" s="2105"/>
      <c r="Y1995" s="2105"/>
      <c r="Z1995" s="2105"/>
      <c r="AA1995" s="2105"/>
      <c r="AB1995" s="2105"/>
      <c r="AC1995" s="2105"/>
      <c r="AD1995" s="2105"/>
      <c r="AE1995" s="2105"/>
      <c r="AF1995" s="2105"/>
      <c r="AG1995" s="2105"/>
      <c r="AH1995" s="2105"/>
      <c r="AI1995" s="2105"/>
      <c r="AJ1995" s="2105"/>
      <c r="AK1995" s="2105"/>
      <c r="AL1995" s="2105"/>
      <c r="AM1995" s="2105"/>
      <c r="AN1995" s="2105"/>
      <c r="AO1995" s="2105"/>
      <c r="AP1995" s="2105"/>
      <c r="AQ1995" s="2105"/>
      <c r="AR1995" s="2105"/>
      <c r="AS1995" s="2105"/>
      <c r="AT1995" s="2105"/>
      <c r="AU1995" s="2105"/>
      <c r="AV1995" s="2105"/>
      <c r="AW1995" s="2105"/>
      <c r="AX1995" s="2105"/>
      <c r="AY1995" s="2105"/>
      <c r="AZ1995" s="2105"/>
      <c r="BA1995" s="2105"/>
      <c r="BB1995" s="2105"/>
      <c r="BC1995" s="2105"/>
      <c r="BD1995" s="2105"/>
      <c r="BE1995" s="2105"/>
      <c r="BF1995" s="2105"/>
      <c r="BG1995" s="2105"/>
      <c r="BH1995" s="2105"/>
      <c r="BI1995" s="2105"/>
      <c r="BJ1995" s="2105"/>
      <c r="BK1995" s="2105"/>
      <c r="BL1995" s="2105"/>
      <c r="BM1995" s="2105"/>
      <c r="BN1995" s="2105"/>
      <c r="BO1995" s="2105"/>
      <c r="BP1995" s="2105"/>
      <c r="BQ1995" s="2105"/>
      <c r="BR1995" s="2105"/>
      <c r="BS1995" s="2105"/>
      <c r="BT1995" s="2105"/>
      <c r="BU1995" s="2105"/>
      <c r="BV1995" s="2105"/>
      <c r="BW1995" s="2105"/>
      <c r="BX1995" s="2105"/>
      <c r="BY1995" s="2105"/>
      <c r="BZ1995" s="2105"/>
      <c r="CA1995" s="2105"/>
      <c r="CB1995" s="2105"/>
      <c r="CC1995" s="2105"/>
      <c r="CD1995" s="2105"/>
      <c r="CE1995" s="2105"/>
      <c r="CF1995" s="2105"/>
      <c r="CG1995" s="2105"/>
      <c r="CH1995" s="2105"/>
      <c r="CI1995" s="2105"/>
      <c r="CJ1995" s="2105"/>
      <c r="CK1995" s="2105"/>
      <c r="CL1995" s="2105"/>
      <c r="CM1995" s="2105"/>
      <c r="CN1995" s="2105"/>
      <c r="CO1995" s="2105"/>
      <c r="CP1995" s="2105"/>
      <c r="CQ1995" s="2105"/>
      <c r="CR1995" s="2105"/>
      <c r="CS1995" s="2105"/>
      <c r="CT1995" s="2105"/>
      <c r="CU1995" s="2105"/>
      <c r="CV1995" s="2105"/>
      <c r="CW1995" s="2105"/>
      <c r="CX1995" s="2105"/>
      <c r="CY1995" s="2105"/>
      <c r="CZ1995" s="2105"/>
      <c r="DA1995" s="2105"/>
      <c r="DB1995" s="2105"/>
      <c r="DC1995" s="2105"/>
      <c r="DD1995" s="2105"/>
      <c r="DE1995" s="2105"/>
      <c r="DF1995" s="2105"/>
      <c r="DG1995" s="2105"/>
      <c r="DH1995" s="2105"/>
      <c r="DI1995" s="2105"/>
      <c r="DJ1995" s="2105"/>
      <c r="DK1995" s="2105"/>
      <c r="DL1995" s="2105"/>
      <c r="DM1995" s="2105"/>
      <c r="DN1995" s="2105"/>
      <c r="DO1995" s="2105"/>
      <c r="DP1995" s="2105"/>
      <c r="DQ1995" s="2105"/>
      <c r="DR1995" s="2105"/>
      <c r="DS1995" s="2105"/>
      <c r="DT1995" s="2105"/>
      <c r="DU1995" s="2105"/>
      <c r="DV1995" s="2105"/>
      <c r="DW1995" s="2105"/>
      <c r="DX1995" s="2105"/>
      <c r="DY1995" s="2105"/>
      <c r="DZ1995" s="2105"/>
      <c r="EA1995" s="2105"/>
      <c r="EB1995" s="2105"/>
      <c r="EC1995" s="2105"/>
      <c r="ED1995" s="2105"/>
      <c r="EE1995" s="2105"/>
      <c r="EF1995" s="2105"/>
      <c r="EG1995" s="2105"/>
      <c r="EH1995" s="2105"/>
      <c r="EI1995" s="2105"/>
      <c r="EJ1995" s="2105"/>
      <c r="EK1995" s="2105"/>
      <c r="EL1995" s="2105"/>
      <c r="EM1995" s="2105"/>
      <c r="EN1995" s="2105"/>
      <c r="EO1995" s="2105"/>
      <c r="EP1995" s="2105"/>
      <c r="EQ1995" s="2105"/>
      <c r="ER1995" s="2105"/>
      <c r="ES1995" s="2105"/>
      <c r="ET1995" s="2105"/>
      <c r="EU1995" s="2105"/>
      <c r="EV1995" s="2105"/>
      <c r="EW1995" s="2105"/>
      <c r="EX1995" s="2105"/>
      <c r="EY1995" s="2105"/>
      <c r="EZ1995" s="2105"/>
      <c r="FA1995" s="2105"/>
      <c r="FB1995" s="2105"/>
      <c r="FC1995" s="2105"/>
      <c r="FD1995" s="2105"/>
      <c r="FE1995" s="2105"/>
      <c r="FF1995" s="2105"/>
      <c r="FG1995" s="2105"/>
      <c r="FH1995" s="2105"/>
      <c r="FI1995" s="2105"/>
      <c r="FJ1995" s="2105"/>
      <c r="FK1995" s="2105"/>
      <c r="FL1995" s="2105"/>
      <c r="FM1995" s="2105"/>
      <c r="FN1995" s="2105"/>
      <c r="FO1995" s="2105"/>
      <c r="FP1995" s="2105"/>
      <c r="FQ1995" s="2105"/>
      <c r="FR1995" s="2105"/>
      <c r="FS1995" s="2105"/>
      <c r="FT1995" s="2105"/>
      <c r="FU1995" s="2105"/>
      <c r="FV1995" s="2105"/>
      <c r="FW1995" s="2105"/>
      <c r="FX1995" s="2105"/>
      <c r="FY1995" s="2105"/>
      <c r="FZ1995" s="2105"/>
      <c r="GA1995" s="2105"/>
      <c r="GB1995" s="2105"/>
      <c r="GC1995" s="2105"/>
      <c r="GD1995" s="2105"/>
      <c r="GE1995" s="2105"/>
      <c r="GF1995" s="2105"/>
      <c r="GG1995" s="2105"/>
      <c r="GH1995" s="2105"/>
      <c r="GI1995" s="2105"/>
      <c r="GJ1995" s="2105"/>
      <c r="GK1995" s="2105"/>
      <c r="GL1995" s="2105"/>
      <c r="GM1995" s="2105"/>
      <c r="GN1995" s="2105"/>
      <c r="GO1995" s="2105"/>
      <c r="GP1995" s="2105"/>
      <c r="GQ1995" s="2105"/>
      <c r="GR1995" s="2105"/>
      <c r="GS1995" s="2105"/>
      <c r="GT1995" s="2105"/>
      <c r="GU1995" s="2105"/>
      <c r="GV1995" s="2105"/>
      <c r="GW1995" s="2105"/>
      <c r="GX1995" s="2105"/>
      <c r="GY1995" s="2105"/>
      <c r="GZ1995" s="2105"/>
      <c r="HA1995" s="2105"/>
      <c r="HB1995" s="2105"/>
      <c r="HC1995" s="2105"/>
      <c r="HD1995" s="2105"/>
      <c r="HE1995" s="2105"/>
      <c r="HF1995" s="2105"/>
      <c r="HG1995" s="2105"/>
      <c r="HH1995" s="2105"/>
      <c r="HI1995" s="2105"/>
      <c r="HJ1995" s="2105"/>
      <c r="HK1995" s="2105"/>
      <c r="HL1995" s="2105"/>
      <c r="HM1995" s="2105"/>
      <c r="HN1995" s="2105"/>
      <c r="HO1995" s="2105"/>
      <c r="HP1995" s="2105"/>
      <c r="HQ1995" s="2105"/>
      <c r="HR1995" s="2105"/>
      <c r="HS1995" s="2105"/>
      <c r="HT1995" s="2105"/>
      <c r="HU1995" s="2105"/>
      <c r="HV1995" s="2105"/>
      <c r="HW1995" s="2105"/>
      <c r="HX1995" s="2105"/>
      <c r="HY1995" s="2105"/>
      <c r="HZ1995" s="2105"/>
      <c r="IA1995" s="2105"/>
      <c r="IB1995" s="2105"/>
      <c r="IC1995" s="2105"/>
      <c r="ID1995" s="2105"/>
      <c r="IE1995" s="2105"/>
      <c r="IF1995" s="2105"/>
      <c r="IG1995" s="2105"/>
      <c r="IH1995" s="2105"/>
      <c r="II1995" s="2105"/>
      <c r="IJ1995" s="2105"/>
      <c r="IK1995" s="2105"/>
      <c r="IL1995" s="2105"/>
      <c r="IM1995" s="2105"/>
      <c r="IN1995" s="2105"/>
      <c r="IO1995" s="2105"/>
      <c r="IP1995" s="2105"/>
      <c r="IQ1995" s="2105"/>
      <c r="IR1995" s="2105"/>
      <c r="IS1995" s="2105"/>
      <c r="IT1995" s="2105"/>
      <c r="IU1995" s="2105"/>
    </row>
    <row r="1996" spans="1:255" s="2499" customFormat="1" ht="14.4" outlineLevel="1">
      <c r="A1996" s="2491" t="str">
        <f>A1995</f>
        <v/>
      </c>
      <c r="B1996" s="2252"/>
      <c r="C1996" s="2492"/>
      <c r="D1996" s="2493"/>
      <c r="E1996" s="2494" t="s">
        <v>6133</v>
      </c>
      <c r="F1996" s="2493"/>
      <c r="G1996" s="2495"/>
      <c r="H1996" s="2496"/>
      <c r="I1996" s="2496"/>
      <c r="J1996" s="2496"/>
      <c r="K1996" s="2496"/>
      <c r="L1996" s="2496"/>
      <c r="M1996" s="2496"/>
      <c r="N1996" s="2496"/>
      <c r="O1996" s="2496"/>
      <c r="P1996" s="2497"/>
      <c r="Q1996" s="2498"/>
      <c r="R1996" s="2266"/>
      <c r="S1996" s="2498"/>
    </row>
    <row r="1997" spans="1:255" s="2105" customFormat="1" outlineLevel="1">
      <c r="A1997" s="2182" t="str">
        <f>IF(G1997&lt;&gt;0,1,"")</f>
        <v/>
      </c>
      <c r="B1997" s="2252" t="s">
        <v>6247</v>
      </c>
      <c r="C1997" s="2268"/>
      <c r="D1997" s="2152" t="s">
        <v>5655</v>
      </c>
      <c r="E1997" s="2194" t="s">
        <v>5659</v>
      </c>
      <c r="F1997" s="2152" t="s">
        <v>2555</v>
      </c>
      <c r="G1997" s="2450">
        <f>G1995</f>
        <v>0</v>
      </c>
      <c r="H1997" s="2264">
        <v>783952</v>
      </c>
      <c r="I1997" s="2264"/>
      <c r="J1997" s="2264">
        <v>599038</v>
      </c>
      <c r="K1997" s="2264">
        <v>97369</v>
      </c>
      <c r="L1997" s="2264">
        <f>H1997*G1997</f>
        <v>0</v>
      </c>
      <c r="M1997" s="2264">
        <f>I1997*G1997</f>
        <v>0</v>
      </c>
      <c r="N1997" s="2264">
        <f>J1997*G1997</f>
        <v>0</v>
      </c>
      <c r="O1997" s="2264">
        <f>K1997*G1997</f>
        <v>0</v>
      </c>
      <c r="P1997" s="2441"/>
      <c r="Q1997" s="2266"/>
      <c r="R1997" s="2266"/>
      <c r="S1997" s="2266"/>
    </row>
    <row r="1998" spans="1:255" s="2105" customFormat="1" outlineLevel="1">
      <c r="A1998" s="2182" t="str">
        <f t="shared" ref="A1998:A2012" si="381">IF(G1998&lt;&gt;0,1,"")</f>
        <v/>
      </c>
      <c r="B1998" s="2252" t="s">
        <v>880</v>
      </c>
      <c r="C1998" s="2268"/>
      <c r="D1998" s="2152">
        <v>0</v>
      </c>
      <c r="E1998" s="2194" t="s">
        <v>5799</v>
      </c>
      <c r="F1998" s="2152" t="s">
        <v>2555</v>
      </c>
      <c r="G1998" s="2450">
        <f>G1997</f>
        <v>0</v>
      </c>
      <c r="H1998" s="2264">
        <v>284000</v>
      </c>
      <c r="I1998" s="2264"/>
      <c r="J1998" s="2264">
        <v>5404</v>
      </c>
      <c r="K1998" s="2264">
        <v>0</v>
      </c>
      <c r="L1998" s="2264">
        <f t="shared" ref="L1998:L2012" si="382">H1998*G1998</f>
        <v>0</v>
      </c>
      <c r="M1998" s="2264">
        <f t="shared" ref="M1998:M2012" si="383">I1998*G1998</f>
        <v>0</v>
      </c>
      <c r="N1998" s="2264">
        <f t="shared" ref="N1998:N2012" si="384">J1998*G1998</f>
        <v>0</v>
      </c>
      <c r="O1998" s="2264">
        <f t="shared" ref="O1998:O2012" si="385">K1998*G1998</f>
        <v>0</v>
      </c>
      <c r="P1998" s="2441"/>
      <c r="Q1998" s="2266"/>
      <c r="R1998" s="2266"/>
      <c r="S1998" s="2266"/>
    </row>
    <row r="1999" spans="1:255" s="2105" customFormat="1" outlineLevel="1">
      <c r="A1999" s="2182" t="str">
        <f t="shared" si="381"/>
        <v/>
      </c>
      <c r="B1999" s="2252" t="s">
        <v>289</v>
      </c>
      <c r="C1999" s="2268"/>
      <c r="D1999" s="2152">
        <v>0</v>
      </c>
      <c r="E1999" s="2194" t="s">
        <v>5712</v>
      </c>
      <c r="F1999" s="2152" t="s">
        <v>2555</v>
      </c>
      <c r="G1999" s="2450">
        <f>G1995</f>
        <v>0</v>
      </c>
      <c r="H1999" s="2264">
        <v>300000</v>
      </c>
      <c r="I1999" s="2264"/>
      <c r="J1999" s="2264">
        <v>0</v>
      </c>
      <c r="K1999" s="2264">
        <v>0</v>
      </c>
      <c r="L1999" s="2264">
        <f t="shared" si="382"/>
        <v>0</v>
      </c>
      <c r="M1999" s="2264">
        <f t="shared" si="383"/>
        <v>0</v>
      </c>
      <c r="N1999" s="2264">
        <f t="shared" si="384"/>
        <v>0</v>
      </c>
      <c r="O1999" s="2264">
        <f t="shared" si="385"/>
        <v>0</v>
      </c>
      <c r="P1999" s="2441"/>
      <c r="Q1999" s="2266"/>
      <c r="R1999" s="2266"/>
      <c r="S1999" s="2266"/>
    </row>
    <row r="2000" spans="1:255" s="2105" customFormat="1" outlineLevel="1">
      <c r="A2000" s="2182" t="str">
        <f t="shared" si="381"/>
        <v/>
      </c>
      <c r="B2000" s="2252" t="s">
        <v>588</v>
      </c>
      <c r="C2000" s="2268"/>
      <c r="D2000" s="2152">
        <v>0</v>
      </c>
      <c r="E2000" s="2194" t="s">
        <v>2982</v>
      </c>
      <c r="F2000" s="2152" t="s">
        <v>2439</v>
      </c>
      <c r="G2000" s="2450">
        <f>G1997*2</f>
        <v>0</v>
      </c>
      <c r="H2000" s="2264">
        <v>168000</v>
      </c>
      <c r="I2000" s="2264"/>
      <c r="J2000" s="2264">
        <v>0</v>
      </c>
      <c r="K2000" s="2264">
        <v>0</v>
      </c>
      <c r="L2000" s="2264">
        <f t="shared" si="382"/>
        <v>0</v>
      </c>
      <c r="M2000" s="2264">
        <f t="shared" si="383"/>
        <v>0</v>
      </c>
      <c r="N2000" s="2264">
        <f t="shared" si="384"/>
        <v>0</v>
      </c>
      <c r="O2000" s="2264">
        <f t="shared" si="385"/>
        <v>0</v>
      </c>
      <c r="P2000" s="2441"/>
      <c r="Q2000" s="2266"/>
      <c r="R2000" s="2266"/>
      <c r="S2000" s="2266"/>
    </row>
    <row r="2001" spans="1:19" s="2105" customFormat="1" outlineLevel="1">
      <c r="A2001" s="2182" t="str">
        <f t="shared" si="381"/>
        <v/>
      </c>
      <c r="B2001" s="2261" t="s">
        <v>1822</v>
      </c>
      <c r="C2001" s="2268"/>
      <c r="D2001" s="2152" t="s">
        <v>1527</v>
      </c>
      <c r="E2001" s="2194" t="s">
        <v>2784</v>
      </c>
      <c r="F2001" s="2152" t="s">
        <v>2532</v>
      </c>
      <c r="G2001" s="2450">
        <f>G1995*6</f>
        <v>0</v>
      </c>
      <c r="H2001" s="2264">
        <v>28200</v>
      </c>
      <c r="I2001" s="2264"/>
      <c r="J2001" s="2264">
        <v>0</v>
      </c>
      <c r="K2001" s="2264">
        <v>0</v>
      </c>
      <c r="L2001" s="2264">
        <f t="shared" si="382"/>
        <v>0</v>
      </c>
      <c r="M2001" s="2264">
        <f t="shared" si="383"/>
        <v>0</v>
      </c>
      <c r="N2001" s="2264">
        <f t="shared" si="384"/>
        <v>0</v>
      </c>
      <c r="O2001" s="2264">
        <f t="shared" si="385"/>
        <v>0</v>
      </c>
      <c r="P2001" s="2441"/>
      <c r="Q2001" s="2266"/>
      <c r="R2001" s="2266"/>
      <c r="S2001" s="2266"/>
    </row>
    <row r="2002" spans="1:19" s="2105" customFormat="1" outlineLevel="1">
      <c r="A2002" s="2182" t="str">
        <f t="shared" si="381"/>
        <v/>
      </c>
      <c r="B2002" s="2261" t="s">
        <v>1865</v>
      </c>
      <c r="C2002" s="2268"/>
      <c r="D2002" s="2152">
        <v>0</v>
      </c>
      <c r="E2002" s="2194" t="s">
        <v>3471</v>
      </c>
      <c r="F2002" s="2152" t="s">
        <v>2555</v>
      </c>
      <c r="G2002" s="2450">
        <f>G1995*4*2</f>
        <v>0</v>
      </c>
      <c r="H2002" s="2264">
        <v>1700</v>
      </c>
      <c r="I2002" s="2264"/>
      <c r="J2002" s="2264">
        <v>0</v>
      </c>
      <c r="K2002" s="2264">
        <v>0</v>
      </c>
      <c r="L2002" s="2264">
        <f t="shared" si="382"/>
        <v>0</v>
      </c>
      <c r="M2002" s="2264">
        <f t="shared" si="383"/>
        <v>0</v>
      </c>
      <c r="N2002" s="2264">
        <f t="shared" si="384"/>
        <v>0</v>
      </c>
      <c r="O2002" s="2264">
        <f t="shared" si="385"/>
        <v>0</v>
      </c>
      <c r="P2002" s="2441"/>
      <c r="Q2002" s="2266"/>
      <c r="R2002" s="2266"/>
      <c r="S2002" s="2266"/>
    </row>
    <row r="2003" spans="1:19" s="2105" customFormat="1" outlineLevel="1">
      <c r="A2003" s="2182" t="str">
        <f t="shared" si="381"/>
        <v/>
      </c>
      <c r="B2003" s="2261" t="s">
        <v>2141</v>
      </c>
      <c r="C2003" s="2268"/>
      <c r="D2003" s="2152">
        <v>0</v>
      </c>
      <c r="E2003" s="2194" t="s">
        <v>3535</v>
      </c>
      <c r="F2003" s="2152" t="s">
        <v>1823</v>
      </c>
      <c r="G2003" s="2450">
        <f>G1998*4</f>
        <v>0</v>
      </c>
      <c r="H2003" s="2264">
        <v>16100</v>
      </c>
      <c r="I2003" s="2264"/>
      <c r="J2003" s="2264">
        <v>0</v>
      </c>
      <c r="K2003" s="2264">
        <v>0</v>
      </c>
      <c r="L2003" s="2264">
        <f t="shared" si="382"/>
        <v>0</v>
      </c>
      <c r="M2003" s="2264">
        <f t="shared" si="383"/>
        <v>0</v>
      </c>
      <c r="N2003" s="2264">
        <f t="shared" si="384"/>
        <v>0</v>
      </c>
      <c r="O2003" s="2264">
        <f t="shared" si="385"/>
        <v>0</v>
      </c>
      <c r="P2003" s="2441"/>
      <c r="Q2003" s="2266"/>
      <c r="R2003" s="2266"/>
      <c r="S2003" s="2266"/>
    </row>
    <row r="2004" spans="1:19" s="2105" customFormat="1" outlineLevel="1">
      <c r="A2004" s="2182" t="str">
        <f t="shared" si="381"/>
        <v/>
      </c>
      <c r="B2004" s="2261" t="s">
        <v>6248</v>
      </c>
      <c r="C2004" s="2268"/>
      <c r="D2004" s="2152">
        <v>0</v>
      </c>
      <c r="E2004" s="2194" t="s">
        <v>3542</v>
      </c>
      <c r="F2004" s="2152" t="s">
        <v>2555</v>
      </c>
      <c r="G2004" s="2450">
        <f>G1995</f>
        <v>0</v>
      </c>
      <c r="H2004" s="2264">
        <v>11400</v>
      </c>
      <c r="I2004" s="2264"/>
      <c r="J2004" s="2264">
        <v>0</v>
      </c>
      <c r="K2004" s="2264">
        <v>0</v>
      </c>
      <c r="L2004" s="2264">
        <f t="shared" si="382"/>
        <v>0</v>
      </c>
      <c r="M2004" s="2264">
        <f t="shared" si="383"/>
        <v>0</v>
      </c>
      <c r="N2004" s="2264">
        <f t="shared" si="384"/>
        <v>0</v>
      </c>
      <c r="O2004" s="2264">
        <f t="shared" si="385"/>
        <v>0</v>
      </c>
      <c r="P2004" s="2441"/>
      <c r="Q2004" s="2266"/>
      <c r="R2004" s="2266"/>
      <c r="S2004" s="2266"/>
    </row>
    <row r="2005" spans="1:19" s="2105" customFormat="1" outlineLevel="1">
      <c r="A2005" s="2182" t="str">
        <f t="shared" si="381"/>
        <v/>
      </c>
      <c r="B2005" s="2261" t="s">
        <v>203</v>
      </c>
      <c r="C2005" s="2268"/>
      <c r="D2005" s="2152">
        <v>0</v>
      </c>
      <c r="E2005" s="2194" t="s">
        <v>2979</v>
      </c>
      <c r="F2005" s="2152" t="s">
        <v>2439</v>
      </c>
      <c r="G2005" s="2450">
        <f>G1995*2</f>
        <v>0</v>
      </c>
      <c r="H2005" s="2264">
        <v>34000</v>
      </c>
      <c r="I2005" s="2264"/>
      <c r="J2005" s="2264">
        <v>0</v>
      </c>
      <c r="K2005" s="2264">
        <v>0</v>
      </c>
      <c r="L2005" s="2264">
        <f t="shared" si="382"/>
        <v>0</v>
      </c>
      <c r="M2005" s="2264">
        <f t="shared" si="383"/>
        <v>0</v>
      </c>
      <c r="N2005" s="2264">
        <f t="shared" si="384"/>
        <v>0</v>
      </c>
      <c r="O2005" s="2264">
        <f t="shared" si="385"/>
        <v>0</v>
      </c>
      <c r="P2005" s="2441"/>
      <c r="Q2005" s="2266"/>
      <c r="R2005" s="2266"/>
      <c r="S2005" s="2266"/>
    </row>
    <row r="2006" spans="1:19" s="2105" customFormat="1" outlineLevel="1">
      <c r="A2006" s="2182" t="str">
        <f t="shared" si="381"/>
        <v/>
      </c>
      <c r="B2006" s="2261" t="s">
        <v>6249</v>
      </c>
      <c r="C2006" s="2268"/>
      <c r="D2006" s="2152">
        <v>0</v>
      </c>
      <c r="E2006" s="2194" t="s">
        <v>3573</v>
      </c>
      <c r="F2006" s="2152" t="s">
        <v>2555</v>
      </c>
      <c r="G2006" s="2450">
        <f>G1995*2</f>
        <v>0</v>
      </c>
      <c r="H2006" s="2264">
        <v>5000</v>
      </c>
      <c r="I2006" s="2264"/>
      <c r="J2006" s="2264">
        <v>0</v>
      </c>
      <c r="K2006" s="2264">
        <v>0</v>
      </c>
      <c r="L2006" s="2264">
        <f t="shared" si="382"/>
        <v>0</v>
      </c>
      <c r="M2006" s="2264">
        <f t="shared" si="383"/>
        <v>0</v>
      </c>
      <c r="N2006" s="2264">
        <f t="shared" si="384"/>
        <v>0</v>
      </c>
      <c r="O2006" s="2264">
        <f t="shared" si="385"/>
        <v>0</v>
      </c>
      <c r="P2006" s="2441"/>
      <c r="Q2006" s="2266"/>
      <c r="R2006" s="2266"/>
      <c r="S2006" s="2266"/>
    </row>
    <row r="2007" spans="1:19" s="2105" customFormat="1" outlineLevel="1">
      <c r="A2007" s="2182" t="str">
        <f t="shared" si="381"/>
        <v/>
      </c>
      <c r="B2007" s="2261" t="s">
        <v>6250</v>
      </c>
      <c r="C2007" s="2268"/>
      <c r="D2007" s="2152">
        <v>0</v>
      </c>
      <c r="E2007" s="2194" t="s">
        <v>3577</v>
      </c>
      <c r="F2007" s="2152" t="s">
        <v>2555</v>
      </c>
      <c r="G2007" s="2450">
        <f>G2006</f>
        <v>0</v>
      </c>
      <c r="H2007" s="2264">
        <v>5200</v>
      </c>
      <c r="I2007" s="2264"/>
      <c r="J2007" s="2264">
        <v>0</v>
      </c>
      <c r="K2007" s="2264">
        <v>0</v>
      </c>
      <c r="L2007" s="2264">
        <f t="shared" si="382"/>
        <v>0</v>
      </c>
      <c r="M2007" s="2264">
        <f t="shared" si="383"/>
        <v>0</v>
      </c>
      <c r="N2007" s="2264">
        <f t="shared" si="384"/>
        <v>0</v>
      </c>
      <c r="O2007" s="2264">
        <f t="shared" si="385"/>
        <v>0</v>
      </c>
      <c r="P2007" s="2441"/>
      <c r="Q2007" s="2266"/>
      <c r="R2007" s="2266"/>
      <c r="S2007" s="2266"/>
    </row>
    <row r="2008" spans="1:19" s="2105" customFormat="1" outlineLevel="1">
      <c r="A2008" s="2182" t="str">
        <f t="shared" si="381"/>
        <v/>
      </c>
      <c r="B2008" s="2261" t="s">
        <v>2274</v>
      </c>
      <c r="C2008" s="2268"/>
      <c r="D2008" s="2152">
        <v>0</v>
      </c>
      <c r="E2008" s="2194" t="s">
        <v>3539</v>
      </c>
      <c r="F2008" s="2152" t="s">
        <v>1823</v>
      </c>
      <c r="G2008" s="2450">
        <f>G1995*1.5</f>
        <v>0</v>
      </c>
      <c r="H2008" s="2264">
        <v>3100</v>
      </c>
      <c r="I2008" s="2264"/>
      <c r="J2008" s="2264">
        <v>0</v>
      </c>
      <c r="K2008" s="2264">
        <v>0</v>
      </c>
      <c r="L2008" s="2264">
        <f t="shared" si="382"/>
        <v>0</v>
      </c>
      <c r="M2008" s="2264">
        <f t="shared" si="383"/>
        <v>0</v>
      </c>
      <c r="N2008" s="2264">
        <f t="shared" si="384"/>
        <v>0</v>
      </c>
      <c r="O2008" s="2264">
        <f t="shared" si="385"/>
        <v>0</v>
      </c>
      <c r="P2008" s="2441"/>
      <c r="Q2008" s="2266"/>
      <c r="R2008" s="2266"/>
      <c r="S2008" s="2266"/>
    </row>
    <row r="2009" spans="1:19" s="2105" customFormat="1" outlineLevel="1">
      <c r="A2009" s="2182" t="str">
        <f t="shared" si="381"/>
        <v/>
      </c>
      <c r="B2009" s="2261" t="s">
        <v>2074</v>
      </c>
      <c r="C2009" s="2268"/>
      <c r="D2009" s="2152">
        <v>0</v>
      </c>
      <c r="E2009" s="2194" t="s">
        <v>3570</v>
      </c>
      <c r="F2009" s="2152" t="s">
        <v>3571</v>
      </c>
      <c r="G2009" s="2450">
        <f>G1995*1</f>
        <v>0</v>
      </c>
      <c r="H2009" s="2264">
        <v>11500</v>
      </c>
      <c r="I2009" s="2264"/>
      <c r="J2009" s="2264">
        <v>0</v>
      </c>
      <c r="K2009" s="2264">
        <v>0</v>
      </c>
      <c r="L2009" s="2264">
        <f t="shared" si="382"/>
        <v>0</v>
      </c>
      <c r="M2009" s="2264">
        <f t="shared" si="383"/>
        <v>0</v>
      </c>
      <c r="N2009" s="2264">
        <f t="shared" si="384"/>
        <v>0</v>
      </c>
      <c r="O2009" s="2264">
        <f t="shared" si="385"/>
        <v>0</v>
      </c>
      <c r="P2009" s="2441"/>
      <c r="Q2009" s="2266"/>
      <c r="R2009" s="2266"/>
      <c r="S2009" s="2266"/>
    </row>
    <row r="2010" spans="1:19" s="2105" customFormat="1" outlineLevel="1">
      <c r="A2010" s="2182" t="str">
        <f t="shared" si="381"/>
        <v/>
      </c>
      <c r="B2010" s="2261" t="s">
        <v>6</v>
      </c>
      <c r="C2010" s="2268"/>
      <c r="D2010" s="2152">
        <v>0</v>
      </c>
      <c r="E2010" s="2194" t="s">
        <v>3567</v>
      </c>
      <c r="F2010" s="2152" t="s">
        <v>5806</v>
      </c>
      <c r="G2010" s="2450">
        <f>G1995*1</f>
        <v>0</v>
      </c>
      <c r="H2010" s="2264">
        <v>45000</v>
      </c>
      <c r="I2010" s="2264"/>
      <c r="J2010" s="2264">
        <v>0</v>
      </c>
      <c r="K2010" s="2264">
        <v>0</v>
      </c>
      <c r="L2010" s="2264">
        <f t="shared" si="382"/>
        <v>0</v>
      </c>
      <c r="M2010" s="2264">
        <f t="shared" si="383"/>
        <v>0</v>
      </c>
      <c r="N2010" s="2264">
        <f t="shared" si="384"/>
        <v>0</v>
      </c>
      <c r="O2010" s="2264">
        <f t="shared" si="385"/>
        <v>0</v>
      </c>
      <c r="P2010" s="2441"/>
      <c r="Q2010" s="2266"/>
      <c r="R2010" s="2266"/>
      <c r="S2010" s="2266"/>
    </row>
    <row r="2011" spans="1:19" s="2105" customFormat="1" outlineLevel="1">
      <c r="A2011" s="2182" t="str">
        <f t="shared" si="381"/>
        <v/>
      </c>
      <c r="B2011" s="2261" t="s">
        <v>672</v>
      </c>
      <c r="C2011" s="2268"/>
      <c r="D2011" s="2152">
        <v>0</v>
      </c>
      <c r="E2011" s="2194" t="s">
        <v>5801</v>
      </c>
      <c r="F2011" s="2152" t="s">
        <v>3566</v>
      </c>
      <c r="G2011" s="2450">
        <f>G1995*2</f>
        <v>0</v>
      </c>
      <c r="H2011" s="2264">
        <v>6500</v>
      </c>
      <c r="I2011" s="2264"/>
      <c r="J2011" s="2264">
        <v>0</v>
      </c>
      <c r="K2011" s="2264">
        <v>0</v>
      </c>
      <c r="L2011" s="2264">
        <f t="shared" si="382"/>
        <v>0</v>
      </c>
      <c r="M2011" s="2264">
        <f t="shared" si="383"/>
        <v>0</v>
      </c>
      <c r="N2011" s="2264">
        <f t="shared" si="384"/>
        <v>0</v>
      </c>
      <c r="O2011" s="2264">
        <f t="shared" si="385"/>
        <v>0</v>
      </c>
      <c r="P2011" s="2441"/>
      <c r="Q2011" s="2266"/>
      <c r="R2011" s="2266"/>
      <c r="S2011" s="2266"/>
    </row>
    <row r="2012" spans="1:19" s="2105" customFormat="1" outlineLevel="1">
      <c r="A2012" s="2182" t="str">
        <f t="shared" si="381"/>
        <v/>
      </c>
      <c r="B2012" s="2261" t="s">
        <v>1525</v>
      </c>
      <c r="C2012" s="2268"/>
      <c r="D2012" s="2152" t="s">
        <v>5571</v>
      </c>
      <c r="E2012" s="2194" t="s">
        <v>3292</v>
      </c>
      <c r="F2012" s="2152" t="s">
        <v>1823</v>
      </c>
      <c r="G2012" s="2450">
        <f>G2003*2</f>
        <v>0</v>
      </c>
      <c r="H2012" s="2264">
        <v>0</v>
      </c>
      <c r="I2012" s="2264"/>
      <c r="J2012" s="2264">
        <v>13915</v>
      </c>
      <c r="K2012" s="2264">
        <v>0</v>
      </c>
      <c r="L2012" s="2264">
        <f t="shared" si="382"/>
        <v>0</v>
      </c>
      <c r="M2012" s="2264">
        <f t="shared" si="383"/>
        <v>0</v>
      </c>
      <c r="N2012" s="2264">
        <f t="shared" si="384"/>
        <v>0</v>
      </c>
      <c r="O2012" s="2264">
        <f t="shared" si="385"/>
        <v>0</v>
      </c>
      <c r="P2012" s="2441"/>
      <c r="Q2012" s="2266"/>
      <c r="R2012" s="2266"/>
      <c r="S2012" s="2266"/>
    </row>
    <row r="2013" spans="1:19" s="2105" customFormat="1" outlineLevel="1">
      <c r="A2013" s="2182" t="str">
        <f>IF(G2013&lt;&gt;0,1,"")</f>
        <v/>
      </c>
      <c r="B2013" s="2261"/>
      <c r="C2013" s="2258">
        <f>IF(G2013&gt;0,C1995+1,C1995)</f>
        <v>0</v>
      </c>
      <c r="D2013" s="2259"/>
      <c r="E2013" s="2260" t="s">
        <v>6263</v>
      </c>
      <c r="F2013" s="2258" t="s">
        <v>2385</v>
      </c>
      <c r="G2013" s="2451">
        <f>G1901</f>
        <v>0</v>
      </c>
      <c r="H2013" s="2264"/>
      <c r="I2013" s="2264"/>
      <c r="J2013" s="2264"/>
      <c r="K2013" s="2264"/>
      <c r="L2013" s="2264"/>
      <c r="M2013" s="2264"/>
      <c r="N2013" s="2264"/>
      <c r="O2013" s="2264"/>
      <c r="P2013" s="2441"/>
      <c r="Q2013" s="2266"/>
      <c r="R2013" s="2266"/>
      <c r="S2013" s="2266"/>
    </row>
    <row r="2014" spans="1:19" s="2105" customFormat="1" ht="14.4" outlineLevel="1">
      <c r="A2014" s="2182" t="str">
        <f>A2013</f>
        <v/>
      </c>
      <c r="B2014" s="2261"/>
      <c r="C2014" s="2258"/>
      <c r="D2014" s="2259"/>
      <c r="E2014" s="2274" t="s">
        <v>6133</v>
      </c>
      <c r="F2014" s="2258"/>
      <c r="G2014" s="2451"/>
      <c r="H2014" s="2264"/>
      <c r="I2014" s="2264"/>
      <c r="J2014" s="2264"/>
      <c r="K2014" s="2264"/>
      <c r="L2014" s="2264"/>
      <c r="M2014" s="2264"/>
      <c r="N2014" s="2264"/>
      <c r="O2014" s="2264"/>
      <c r="P2014" s="2441"/>
      <c r="Q2014" s="2266"/>
      <c r="R2014" s="2266"/>
      <c r="S2014" s="2266"/>
    </row>
    <row r="2015" spans="1:19" s="2105" customFormat="1" outlineLevel="1">
      <c r="A2015" s="2182" t="str">
        <f t="shared" ref="A2015:A2026" si="386">IF(G2015&lt;&gt;0,1,"")</f>
        <v/>
      </c>
      <c r="B2015" s="2252" t="s">
        <v>697</v>
      </c>
      <c r="C2015" s="2268"/>
      <c r="D2015" s="2152">
        <v>0</v>
      </c>
      <c r="E2015" s="2194" t="s">
        <v>5087</v>
      </c>
      <c r="F2015" s="2152" t="s">
        <v>2532</v>
      </c>
      <c r="G2015" s="2450">
        <f>G2013*(7)*3</f>
        <v>0</v>
      </c>
      <c r="H2015" s="2264">
        <v>50996</v>
      </c>
      <c r="I2015" s="2264"/>
      <c r="J2015" s="2264">
        <v>0</v>
      </c>
      <c r="K2015" s="2264">
        <v>0</v>
      </c>
      <c r="L2015" s="2264">
        <f t="shared" ref="L2015:L2025" si="387">H2015*G2015</f>
        <v>0</v>
      </c>
      <c r="M2015" s="2264">
        <f>I2015*G2015</f>
        <v>0</v>
      </c>
      <c r="N2015" s="2264">
        <f t="shared" ref="N2015:N2025" si="388">J2015*G2015</f>
        <v>0</v>
      </c>
      <c r="O2015" s="2264">
        <f t="shared" ref="O2015:O2025" si="389">K2015*G2015</f>
        <v>0</v>
      </c>
      <c r="P2015" s="2441"/>
      <c r="Q2015" s="2266"/>
      <c r="R2015" s="2266"/>
      <c r="S2015" s="2266"/>
    </row>
    <row r="2016" spans="1:19" s="2105" customFormat="1" outlineLevel="1">
      <c r="A2016" s="2182" t="str">
        <f t="shared" si="386"/>
        <v/>
      </c>
      <c r="B2016" s="2357" t="s">
        <v>1479</v>
      </c>
      <c r="C2016" s="2268"/>
      <c r="D2016" s="2152">
        <v>0</v>
      </c>
      <c r="E2016" s="2194" t="s">
        <v>3791</v>
      </c>
      <c r="F2016" s="2152" t="s">
        <v>2555</v>
      </c>
      <c r="G2016" s="2450">
        <f>G2013*3</f>
        <v>0</v>
      </c>
      <c r="H2016" s="2264">
        <v>46000</v>
      </c>
      <c r="I2016" s="2264"/>
      <c r="J2016" s="2264">
        <v>0</v>
      </c>
      <c r="K2016" s="2264">
        <v>0</v>
      </c>
      <c r="L2016" s="2264">
        <f t="shared" si="387"/>
        <v>0</v>
      </c>
      <c r="M2016" s="2264">
        <f t="shared" ref="M2016:M2025" si="390">I2016*G2016</f>
        <v>0</v>
      </c>
      <c r="N2016" s="2264">
        <f t="shared" si="388"/>
        <v>0</v>
      </c>
      <c r="O2016" s="2264">
        <f t="shared" si="389"/>
        <v>0</v>
      </c>
      <c r="P2016" s="2441"/>
      <c r="Q2016" s="2266"/>
      <c r="R2016" s="2266"/>
      <c r="S2016" s="2266"/>
    </row>
    <row r="2017" spans="1:19" s="2105" customFormat="1" outlineLevel="1">
      <c r="A2017" s="2182" t="str">
        <f t="shared" si="386"/>
        <v/>
      </c>
      <c r="B2017" s="2357" t="s">
        <v>1477</v>
      </c>
      <c r="C2017" s="2268"/>
      <c r="D2017" s="2152">
        <v>0</v>
      </c>
      <c r="E2017" s="2194" t="s">
        <v>6346</v>
      </c>
      <c r="F2017" s="2152" t="s">
        <v>2555</v>
      </c>
      <c r="G2017" s="2450">
        <f>G2016</f>
        <v>0</v>
      </c>
      <c r="H2017" s="2264">
        <v>77000</v>
      </c>
      <c r="I2017" s="2264"/>
      <c r="J2017" s="2264">
        <v>0</v>
      </c>
      <c r="K2017" s="2264">
        <v>0</v>
      </c>
      <c r="L2017" s="2264">
        <f t="shared" si="387"/>
        <v>0</v>
      </c>
      <c r="M2017" s="2264">
        <f t="shared" si="390"/>
        <v>0</v>
      </c>
      <c r="N2017" s="2264">
        <f t="shared" si="388"/>
        <v>0</v>
      </c>
      <c r="O2017" s="2264">
        <f t="shared" si="389"/>
        <v>0</v>
      </c>
      <c r="P2017" s="2441"/>
      <c r="Q2017" s="2266"/>
      <c r="R2017" s="2266"/>
      <c r="S2017" s="2266"/>
    </row>
    <row r="2018" spans="1:19" s="2105" customFormat="1" outlineLevel="1">
      <c r="A2018" s="2182" t="str">
        <f t="shared" si="386"/>
        <v/>
      </c>
      <c r="B2018" s="2357" t="s">
        <v>5699</v>
      </c>
      <c r="C2018" s="2268"/>
      <c r="D2018" s="2152">
        <v>0</v>
      </c>
      <c r="E2018" s="2194" t="s">
        <v>5700</v>
      </c>
      <c r="F2018" s="2152" t="s">
        <v>2555</v>
      </c>
      <c r="G2018" s="2450">
        <f>+G2013*3</f>
        <v>0</v>
      </c>
      <c r="H2018" s="2264">
        <v>218200</v>
      </c>
      <c r="I2018" s="2264"/>
      <c r="J2018" s="2264">
        <v>0</v>
      </c>
      <c r="K2018" s="2264">
        <v>0</v>
      </c>
      <c r="L2018" s="2264">
        <f t="shared" si="387"/>
        <v>0</v>
      </c>
      <c r="M2018" s="2264">
        <f t="shared" si="390"/>
        <v>0</v>
      </c>
      <c r="N2018" s="2264">
        <f t="shared" si="388"/>
        <v>0</v>
      </c>
      <c r="O2018" s="2264">
        <f t="shared" si="389"/>
        <v>0</v>
      </c>
      <c r="P2018" s="2449"/>
      <c r="Q2018" s="2266"/>
      <c r="R2018" s="2266"/>
      <c r="S2018" s="2266"/>
    </row>
    <row r="2019" spans="1:19" s="2105" customFormat="1" outlineLevel="1">
      <c r="A2019" s="2182" t="str">
        <f t="shared" si="386"/>
        <v/>
      </c>
      <c r="B2019" s="2357" t="s">
        <v>5705</v>
      </c>
      <c r="C2019" s="2268"/>
      <c r="D2019" s="2152">
        <v>0</v>
      </c>
      <c r="E2019" s="2194" t="s">
        <v>5706</v>
      </c>
      <c r="F2019" s="2152" t="s">
        <v>2555</v>
      </c>
      <c r="G2019" s="2450">
        <f>+G2013*3</f>
        <v>0</v>
      </c>
      <c r="H2019" s="2264">
        <v>39100</v>
      </c>
      <c r="I2019" s="2264"/>
      <c r="J2019" s="2264">
        <v>0</v>
      </c>
      <c r="K2019" s="2264">
        <v>0</v>
      </c>
      <c r="L2019" s="2264">
        <f t="shared" si="387"/>
        <v>0</v>
      </c>
      <c r="M2019" s="2264">
        <f t="shared" si="390"/>
        <v>0</v>
      </c>
      <c r="N2019" s="2264">
        <f t="shared" si="388"/>
        <v>0</v>
      </c>
      <c r="O2019" s="2264">
        <f t="shared" si="389"/>
        <v>0</v>
      </c>
      <c r="P2019" s="2449"/>
      <c r="Q2019" s="2266"/>
      <c r="R2019" s="2266"/>
      <c r="S2019" s="2266"/>
    </row>
    <row r="2020" spans="1:19" s="2105" customFormat="1" outlineLevel="1">
      <c r="A2020" s="2182" t="str">
        <f t="shared" si="386"/>
        <v/>
      </c>
      <c r="B2020" s="2357" t="s">
        <v>5707</v>
      </c>
      <c r="C2020" s="2268"/>
      <c r="D2020" s="2152">
        <v>0</v>
      </c>
      <c r="E2020" s="2194" t="s">
        <v>5708</v>
      </c>
      <c r="F2020" s="2152" t="s">
        <v>2555</v>
      </c>
      <c r="G2020" s="2450">
        <f>+G2013*3</f>
        <v>0</v>
      </c>
      <c r="H2020" s="2264">
        <v>56700</v>
      </c>
      <c r="I2020" s="2264"/>
      <c r="J2020" s="2264">
        <v>0</v>
      </c>
      <c r="K2020" s="2264">
        <v>0</v>
      </c>
      <c r="L2020" s="2264">
        <f t="shared" si="387"/>
        <v>0</v>
      </c>
      <c r="M2020" s="2264">
        <f t="shared" si="390"/>
        <v>0</v>
      </c>
      <c r="N2020" s="2264">
        <f t="shared" si="388"/>
        <v>0</v>
      </c>
      <c r="O2020" s="2264">
        <f t="shared" si="389"/>
        <v>0</v>
      </c>
      <c r="P2020" s="2449"/>
      <c r="Q2020" s="2266"/>
      <c r="R2020" s="2266"/>
      <c r="S2020" s="2266"/>
    </row>
    <row r="2021" spans="1:19" s="2105" customFormat="1" outlineLevel="1">
      <c r="A2021" s="2182" t="str">
        <f t="shared" si="386"/>
        <v/>
      </c>
      <c r="B2021" s="2357" t="s">
        <v>6264</v>
      </c>
      <c r="C2021" s="2268"/>
      <c r="D2021" s="2152"/>
      <c r="E2021" s="2194" t="s">
        <v>5698</v>
      </c>
      <c r="F2021" s="2152" t="s">
        <v>3445</v>
      </c>
      <c r="G2021" s="2450">
        <f>G2013*3*3</f>
        <v>0</v>
      </c>
      <c r="H2021" s="2264">
        <v>25000</v>
      </c>
      <c r="I2021" s="2264"/>
      <c r="J2021" s="2264">
        <v>0</v>
      </c>
      <c r="K2021" s="2264">
        <v>0</v>
      </c>
      <c r="L2021" s="2264">
        <f t="shared" si="387"/>
        <v>0</v>
      </c>
      <c r="M2021" s="2264">
        <f t="shared" si="390"/>
        <v>0</v>
      </c>
      <c r="N2021" s="2264">
        <f t="shared" si="388"/>
        <v>0</v>
      </c>
      <c r="O2021" s="2264">
        <f t="shared" si="389"/>
        <v>0</v>
      </c>
      <c r="P2021" s="2449"/>
      <c r="Q2021" s="2266"/>
      <c r="R2021" s="2266"/>
      <c r="S2021" s="2266"/>
    </row>
    <row r="2022" spans="1:19" s="2105" customFormat="1" outlineLevel="1">
      <c r="A2022" s="2182" t="str">
        <f t="shared" si="386"/>
        <v/>
      </c>
      <c r="B2022" s="2252" t="s">
        <v>696</v>
      </c>
      <c r="C2022" s="2389"/>
      <c r="D2022" s="2152">
        <v>0</v>
      </c>
      <c r="E2022" s="2194" t="s">
        <v>2936</v>
      </c>
      <c r="F2022" s="2152" t="s">
        <v>2555</v>
      </c>
      <c r="G2022" s="2450">
        <f>G2013*3</f>
        <v>0</v>
      </c>
      <c r="H2022" s="2264">
        <v>205000</v>
      </c>
      <c r="I2022" s="2264"/>
      <c r="J2022" s="2264">
        <v>0</v>
      </c>
      <c r="K2022" s="2264">
        <v>0</v>
      </c>
      <c r="L2022" s="2264">
        <f t="shared" si="387"/>
        <v>0</v>
      </c>
      <c r="M2022" s="2264">
        <f t="shared" si="390"/>
        <v>0</v>
      </c>
      <c r="N2022" s="2264">
        <f t="shared" si="388"/>
        <v>0</v>
      </c>
      <c r="O2022" s="2264">
        <f t="shared" si="389"/>
        <v>0</v>
      </c>
      <c r="P2022" s="2441"/>
      <c r="Q2022" s="2266"/>
      <c r="R2022" s="2266"/>
      <c r="S2022" s="2266"/>
    </row>
    <row r="2023" spans="1:19" s="2105" customFormat="1" outlineLevel="1">
      <c r="A2023" s="2182" t="str">
        <f t="shared" si="386"/>
        <v/>
      </c>
      <c r="B2023" s="2252" t="s">
        <v>1265</v>
      </c>
      <c r="C2023" s="2268"/>
      <c r="D2023" s="2152">
        <v>0</v>
      </c>
      <c r="E2023" s="2194" t="s">
        <v>2823</v>
      </c>
      <c r="F2023" s="2152" t="s">
        <v>2555</v>
      </c>
      <c r="G2023" s="2450">
        <f>G2022</f>
        <v>0</v>
      </c>
      <c r="H2023" s="2264">
        <v>65000</v>
      </c>
      <c r="I2023" s="2264"/>
      <c r="J2023" s="2264">
        <v>0</v>
      </c>
      <c r="K2023" s="2264">
        <v>0</v>
      </c>
      <c r="L2023" s="2264">
        <f t="shared" si="387"/>
        <v>0</v>
      </c>
      <c r="M2023" s="2264">
        <f t="shared" si="390"/>
        <v>0</v>
      </c>
      <c r="N2023" s="2264">
        <f t="shared" si="388"/>
        <v>0</v>
      </c>
      <c r="O2023" s="2264">
        <f t="shared" si="389"/>
        <v>0</v>
      </c>
      <c r="P2023" s="2441"/>
      <c r="Q2023" s="2266"/>
      <c r="R2023" s="2266"/>
      <c r="S2023" s="2266"/>
    </row>
    <row r="2024" spans="1:19" s="2105" customFormat="1" outlineLevel="1">
      <c r="A2024" s="2182" t="str">
        <f t="shared" si="386"/>
        <v/>
      </c>
      <c r="B2024" s="2252" t="s">
        <v>1565</v>
      </c>
      <c r="C2024" s="2268"/>
      <c r="D2024" s="2152" t="s">
        <v>5560</v>
      </c>
      <c r="E2024" s="2194" t="s">
        <v>3271</v>
      </c>
      <c r="F2024" s="2152" t="s">
        <v>2439</v>
      </c>
      <c r="G2024" s="2450">
        <f>G2023</f>
        <v>0</v>
      </c>
      <c r="H2024" s="2264"/>
      <c r="I2024" s="2264"/>
      <c r="J2024" s="2264">
        <v>58277.49</v>
      </c>
      <c r="K2024" s="2264"/>
      <c r="L2024" s="2264">
        <f t="shared" si="387"/>
        <v>0</v>
      </c>
      <c r="M2024" s="2264">
        <f t="shared" si="390"/>
        <v>0</v>
      </c>
      <c r="N2024" s="2264">
        <f t="shared" si="388"/>
        <v>0</v>
      </c>
      <c r="O2024" s="2264">
        <f t="shared" si="389"/>
        <v>0</v>
      </c>
      <c r="P2024" s="2441"/>
      <c r="Q2024" s="2266"/>
      <c r="R2024" s="2266"/>
      <c r="S2024" s="2266"/>
    </row>
    <row r="2025" spans="1:19" s="2105" customFormat="1" outlineLevel="1">
      <c r="A2025" s="2182" t="str">
        <f t="shared" si="386"/>
        <v/>
      </c>
      <c r="B2025" s="2252" t="s">
        <v>1525</v>
      </c>
      <c r="C2025" s="2268"/>
      <c r="D2025" s="2152" t="s">
        <v>5571</v>
      </c>
      <c r="E2025" s="2194" t="s">
        <v>3292</v>
      </c>
      <c r="F2025" s="2152" t="s">
        <v>1823</v>
      </c>
      <c r="G2025" s="2450">
        <f>G2015</f>
        <v>0</v>
      </c>
      <c r="H2025" s="2264"/>
      <c r="I2025" s="2264"/>
      <c r="J2025" s="2264">
        <v>13915</v>
      </c>
      <c r="K2025" s="2264"/>
      <c r="L2025" s="2264">
        <f t="shared" si="387"/>
        <v>0</v>
      </c>
      <c r="M2025" s="2264">
        <f t="shared" si="390"/>
        <v>0</v>
      </c>
      <c r="N2025" s="2264">
        <f t="shared" si="388"/>
        <v>0</v>
      </c>
      <c r="O2025" s="2264">
        <f t="shared" si="389"/>
        <v>0</v>
      </c>
      <c r="P2025" s="2441"/>
      <c r="Q2025" s="2266"/>
      <c r="R2025" s="2266"/>
      <c r="S2025" s="2266"/>
    </row>
    <row r="2026" spans="1:19" s="2105" customFormat="1" outlineLevel="1">
      <c r="A2026" s="2182" t="str">
        <f t="shared" si="386"/>
        <v/>
      </c>
      <c r="B2026" s="2261"/>
      <c r="C2026" s="2258">
        <f>IF(G2026&gt;0,C2013+1,C2013)</f>
        <v>0</v>
      </c>
      <c r="D2026" s="2259"/>
      <c r="E2026" s="2260" t="s">
        <v>3708</v>
      </c>
      <c r="F2026" s="2258" t="s">
        <v>2385</v>
      </c>
      <c r="G2026" s="2451">
        <f>G1931*0</f>
        <v>0</v>
      </c>
      <c r="H2026" s="2264"/>
      <c r="I2026" s="2264"/>
      <c r="J2026" s="2264"/>
      <c r="K2026" s="2264"/>
      <c r="L2026" s="2264"/>
      <c r="M2026" s="2264"/>
      <c r="N2026" s="2264"/>
      <c r="O2026" s="2264"/>
      <c r="P2026" s="2265"/>
      <c r="Q2026" s="2266"/>
      <c r="R2026" s="2266"/>
      <c r="S2026" s="2266"/>
    </row>
    <row r="2027" spans="1:19" s="2105" customFormat="1" ht="14.4" outlineLevel="1">
      <c r="A2027" s="2182" t="str">
        <f>A2026</f>
        <v/>
      </c>
      <c r="B2027" s="2261"/>
      <c r="C2027" s="2258"/>
      <c r="D2027" s="2259"/>
      <c r="E2027" s="2274" t="s">
        <v>6133</v>
      </c>
      <c r="F2027" s="2258"/>
      <c r="G2027" s="2451"/>
      <c r="H2027" s="2264"/>
      <c r="I2027" s="2264"/>
      <c r="J2027" s="2264"/>
      <c r="K2027" s="2264"/>
      <c r="L2027" s="2264"/>
      <c r="M2027" s="2264"/>
      <c r="N2027" s="2264"/>
      <c r="O2027" s="2264"/>
      <c r="P2027" s="2265"/>
      <c r="Q2027" s="2266"/>
      <c r="R2027" s="2266"/>
      <c r="S2027" s="2266"/>
    </row>
    <row r="2028" spans="1:19" s="2105" customFormat="1" outlineLevel="1">
      <c r="A2028" s="2182" t="str">
        <f>IF(G2028&lt;&gt;0,1,"")</f>
        <v/>
      </c>
      <c r="B2028" s="2261" t="s">
        <v>1489</v>
      </c>
      <c r="C2028" s="2268"/>
      <c r="D2028" s="2152">
        <v>0</v>
      </c>
      <c r="E2028" s="2194" t="s">
        <v>3532</v>
      </c>
      <c r="F2028" s="2152" t="s">
        <v>1823</v>
      </c>
      <c r="G2028" s="2450">
        <f>G2026*2</f>
        <v>0</v>
      </c>
      <c r="H2028" s="2264">
        <v>63200</v>
      </c>
      <c r="I2028" s="2264"/>
      <c r="J2028" s="2264">
        <v>0</v>
      </c>
      <c r="K2028" s="2264">
        <v>0</v>
      </c>
      <c r="L2028" s="2264">
        <f>H2028*G2028</f>
        <v>0</v>
      </c>
      <c r="M2028" s="2264">
        <f>I2028*G2028</f>
        <v>0</v>
      </c>
      <c r="N2028" s="2264">
        <f>J2028*G2028</f>
        <v>0</v>
      </c>
      <c r="O2028" s="2264">
        <f>K2028*G2028</f>
        <v>0</v>
      </c>
      <c r="P2028" s="2265"/>
      <c r="Q2028" s="2266"/>
      <c r="R2028" s="2266"/>
      <c r="S2028" s="2266"/>
    </row>
    <row r="2029" spans="1:19" s="2105" customFormat="1" outlineLevel="1">
      <c r="A2029" s="2182" t="str">
        <f>IF(G2029&lt;&gt;0,1,"")</f>
        <v/>
      </c>
      <c r="B2029" s="2261" t="s">
        <v>86</v>
      </c>
      <c r="C2029" s="2268"/>
      <c r="D2029" s="2152">
        <v>0</v>
      </c>
      <c r="E2029" s="2194" t="s">
        <v>5797</v>
      </c>
      <c r="F2029" s="2152" t="s">
        <v>2555</v>
      </c>
      <c r="G2029" s="2450">
        <f>G2026</f>
        <v>0</v>
      </c>
      <c r="H2029" s="2264">
        <v>45400</v>
      </c>
      <c r="I2029" s="2264"/>
      <c r="J2029" s="2264">
        <v>0</v>
      </c>
      <c r="K2029" s="2264">
        <v>0</v>
      </c>
      <c r="L2029" s="2264">
        <f>H2029*G2029</f>
        <v>0</v>
      </c>
      <c r="M2029" s="2264">
        <f>I2029*G2029</f>
        <v>0</v>
      </c>
      <c r="N2029" s="2264">
        <f>J2029*G2029</f>
        <v>0</v>
      </c>
      <c r="O2029" s="2264">
        <f>K2029*G2029</f>
        <v>0</v>
      </c>
      <c r="P2029" s="2265"/>
      <c r="Q2029" s="2266"/>
      <c r="R2029" s="2266"/>
      <c r="S2029" s="2266"/>
    </row>
    <row r="2030" spans="1:19" s="2105" customFormat="1" outlineLevel="1">
      <c r="A2030" s="2182" t="str">
        <f>IF(G2030&lt;&gt;0,1,"")</f>
        <v/>
      </c>
      <c r="B2030" s="2261" t="s">
        <v>931</v>
      </c>
      <c r="C2030" s="2268"/>
      <c r="D2030" s="2152">
        <v>0</v>
      </c>
      <c r="E2030" s="2194" t="s">
        <v>3574</v>
      </c>
      <c r="F2030" s="2152" t="s">
        <v>2555</v>
      </c>
      <c r="G2030" s="2450">
        <f>G2026*2</f>
        <v>0</v>
      </c>
      <c r="H2030" s="2264">
        <v>25800</v>
      </c>
      <c r="I2030" s="2264"/>
      <c r="J2030" s="2264">
        <v>0</v>
      </c>
      <c r="K2030" s="2264">
        <v>0</v>
      </c>
      <c r="L2030" s="2264">
        <f>H2030*G2030</f>
        <v>0</v>
      </c>
      <c r="M2030" s="2264">
        <f>I2030*G2030</f>
        <v>0</v>
      </c>
      <c r="N2030" s="2264">
        <f>J2030*G2030</f>
        <v>0</v>
      </c>
      <c r="O2030" s="2264">
        <f>K2030*G2030</f>
        <v>0</v>
      </c>
      <c r="P2030" s="2265"/>
      <c r="Q2030" s="2266"/>
      <c r="R2030" s="2266"/>
      <c r="S2030" s="2266"/>
    </row>
    <row r="2031" spans="1:19" s="2105" customFormat="1" outlineLevel="1">
      <c r="A2031" s="2182" t="str">
        <f>IF(G2031&lt;&gt;0,1,"")</f>
        <v/>
      </c>
      <c r="B2031" s="2261" t="s">
        <v>930</v>
      </c>
      <c r="C2031" s="2268"/>
      <c r="D2031" s="2152">
        <v>0</v>
      </c>
      <c r="E2031" s="2194" t="s">
        <v>3578</v>
      </c>
      <c r="F2031" s="2152" t="s">
        <v>2555</v>
      </c>
      <c r="G2031" s="2450">
        <f>G2030</f>
        <v>0</v>
      </c>
      <c r="H2031" s="2264">
        <v>21500</v>
      </c>
      <c r="I2031" s="2264"/>
      <c r="J2031" s="2264">
        <v>0</v>
      </c>
      <c r="K2031" s="2264">
        <v>0</v>
      </c>
      <c r="L2031" s="2264">
        <f>H2031*G2031</f>
        <v>0</v>
      </c>
      <c r="M2031" s="2264">
        <f>I2031*G2031</f>
        <v>0</v>
      </c>
      <c r="N2031" s="2264">
        <f>J2031*G2031</f>
        <v>0</v>
      </c>
      <c r="O2031" s="2264">
        <f>K2031*G2031</f>
        <v>0</v>
      </c>
      <c r="P2031" s="2265"/>
      <c r="Q2031" s="2266"/>
      <c r="R2031" s="2266"/>
      <c r="S2031" s="2266"/>
    </row>
    <row r="2032" spans="1:19" s="2105" customFormat="1" outlineLevel="1">
      <c r="A2032" s="2182" t="str">
        <f>IF(G2032&lt;&gt;0,1,"")</f>
        <v/>
      </c>
      <c r="B2032" s="2252"/>
      <c r="C2032" s="2258">
        <f>IF(G2032&gt;0,C2026+1,C2026)</f>
        <v>0</v>
      </c>
      <c r="D2032" s="2259"/>
      <c r="E2032" s="2260" t="s">
        <v>6265</v>
      </c>
      <c r="F2032" s="2258" t="s">
        <v>2385</v>
      </c>
      <c r="G2032" s="2450">
        <f>G1989</f>
        <v>0</v>
      </c>
      <c r="H2032" s="2264"/>
      <c r="I2032" s="2264"/>
      <c r="J2032" s="2264"/>
      <c r="K2032" s="2264"/>
      <c r="L2032" s="2264"/>
      <c r="M2032" s="2264"/>
      <c r="N2032" s="2264"/>
      <c r="O2032" s="2264"/>
      <c r="P2032" s="2441"/>
      <c r="Q2032" s="2266"/>
      <c r="R2032" s="2266"/>
      <c r="S2032" s="2266"/>
    </row>
    <row r="2033" spans="1:19" s="2105" customFormat="1" ht="14.4" outlineLevel="1">
      <c r="A2033" s="2182" t="str">
        <f>A2032</f>
        <v/>
      </c>
      <c r="B2033" s="2252"/>
      <c r="C2033" s="2258"/>
      <c r="D2033" s="2259"/>
      <c r="E2033" s="2274" t="s">
        <v>6133</v>
      </c>
      <c r="F2033" s="2258"/>
      <c r="G2033" s="2450"/>
      <c r="H2033" s="2264"/>
      <c r="I2033" s="2264"/>
      <c r="J2033" s="2264"/>
      <c r="K2033" s="2264"/>
      <c r="L2033" s="2264"/>
      <c r="M2033" s="2264"/>
      <c r="N2033" s="2264"/>
      <c r="O2033" s="2264"/>
      <c r="P2033" s="2441"/>
      <c r="Q2033" s="2266"/>
      <c r="R2033" s="2266"/>
      <c r="S2033" s="2266"/>
    </row>
    <row r="2034" spans="1:19" s="2105" customFormat="1" outlineLevel="1">
      <c r="A2034" s="2182" t="str">
        <f>IF(G2034&lt;&gt;0,1,"")</f>
        <v/>
      </c>
      <c r="B2034" s="2261" t="s">
        <v>32</v>
      </c>
      <c r="C2034" s="2268"/>
      <c r="D2034" s="2152">
        <v>0</v>
      </c>
      <c r="E2034" s="2194" t="s">
        <v>2795</v>
      </c>
      <c r="F2034" s="2152" t="s">
        <v>2532</v>
      </c>
      <c r="G2034" s="2450">
        <f>G2032*7</f>
        <v>0</v>
      </c>
      <c r="H2034" s="2264">
        <v>236300</v>
      </c>
      <c r="I2034" s="2264"/>
      <c r="J2034" s="2264">
        <v>0</v>
      </c>
      <c r="K2034" s="2264">
        <v>0</v>
      </c>
      <c r="L2034" s="2264">
        <f>H2034*G2034</f>
        <v>0</v>
      </c>
      <c r="M2034" s="2264">
        <f>I2034*G2034</f>
        <v>0</v>
      </c>
      <c r="N2034" s="2264">
        <f>J2034*G2034</f>
        <v>0</v>
      </c>
      <c r="O2034" s="2264">
        <f>K2034*G2034</f>
        <v>0</v>
      </c>
      <c r="P2034" s="2441"/>
      <c r="Q2034" s="2266"/>
      <c r="R2034" s="2266"/>
      <c r="S2034" s="2266"/>
    </row>
    <row r="2035" spans="1:19" s="2105" customFormat="1" outlineLevel="1">
      <c r="A2035" s="2182" t="str">
        <f>IF(G2035&lt;&gt;0,1,"")</f>
        <v/>
      </c>
      <c r="B2035" s="2261" t="s">
        <v>1571</v>
      </c>
      <c r="C2035" s="2268"/>
      <c r="D2035" s="2152">
        <v>0</v>
      </c>
      <c r="E2035" s="2194" t="s">
        <v>2799</v>
      </c>
      <c r="F2035" s="2152" t="s">
        <v>2532</v>
      </c>
      <c r="G2035" s="2450">
        <f>(7*3)*G2032</f>
        <v>0</v>
      </c>
      <c r="H2035" s="2264">
        <v>567100</v>
      </c>
      <c r="I2035" s="2264"/>
      <c r="J2035" s="2264">
        <v>0</v>
      </c>
      <c r="K2035" s="2264">
        <v>0</v>
      </c>
      <c r="L2035" s="2264">
        <f>H2035*G2035</f>
        <v>0</v>
      </c>
      <c r="M2035" s="2264">
        <f>I2035*G2035</f>
        <v>0</v>
      </c>
      <c r="N2035" s="2264">
        <f>J2035*G2035</f>
        <v>0</v>
      </c>
      <c r="O2035" s="2264">
        <f>K2035*G2035</f>
        <v>0</v>
      </c>
      <c r="P2035" s="2441"/>
      <c r="Q2035" s="2266"/>
      <c r="R2035" s="2266"/>
      <c r="S2035" s="2266"/>
    </row>
    <row r="2036" spans="1:19" s="2105" customFormat="1" outlineLevel="1">
      <c r="A2036" s="2182" t="str">
        <f>IF(G2036&lt;&gt;0,1,"")</f>
        <v/>
      </c>
      <c r="B2036" s="2261" t="s">
        <v>1305</v>
      </c>
      <c r="C2036" s="2268"/>
      <c r="D2036" s="2152" t="s">
        <v>5728</v>
      </c>
      <c r="E2036" s="2194" t="s">
        <v>3482</v>
      </c>
      <c r="F2036" s="2152" t="s">
        <v>2555</v>
      </c>
      <c r="G2036" s="2450">
        <f>G2032</f>
        <v>0</v>
      </c>
      <c r="H2036" s="2264">
        <v>27000</v>
      </c>
      <c r="I2036" s="2264"/>
      <c r="J2036" s="2264">
        <v>27280.17</v>
      </c>
      <c r="K2036" s="2264">
        <v>3887.8325465000003</v>
      </c>
      <c r="L2036" s="2264">
        <f>H2036*G2036</f>
        <v>0</v>
      </c>
      <c r="M2036" s="2264">
        <f>I2036*G2036</f>
        <v>0</v>
      </c>
      <c r="N2036" s="2264">
        <f>J2036*G2036</f>
        <v>0</v>
      </c>
      <c r="O2036" s="2264">
        <f>K2036*G2036</f>
        <v>0</v>
      </c>
      <c r="P2036" s="2441"/>
      <c r="Q2036" s="2266"/>
      <c r="R2036" s="2266"/>
      <c r="S2036" s="2266"/>
    </row>
    <row r="2037" spans="1:19" s="2105" customFormat="1" outlineLevel="1">
      <c r="A2037" s="2182" t="str">
        <f>IF(G2037&lt;&gt;0,1,"")</f>
        <v/>
      </c>
      <c r="B2037" s="2261" t="s">
        <v>2156</v>
      </c>
      <c r="C2037" s="2268"/>
      <c r="D2037" s="2152" t="s">
        <v>5731</v>
      </c>
      <c r="E2037" s="2194" t="s">
        <v>3486</v>
      </c>
      <c r="F2037" s="2152" t="s">
        <v>2555</v>
      </c>
      <c r="G2037" s="2450">
        <f>G2032*3</f>
        <v>0</v>
      </c>
      <c r="H2037" s="2264">
        <v>70000</v>
      </c>
      <c r="I2037" s="2264"/>
      <c r="J2037" s="2264">
        <v>50013.645000000004</v>
      </c>
      <c r="K2037" s="2264">
        <v>5554.0464950000005</v>
      </c>
      <c r="L2037" s="2264">
        <f>H2037*G2037</f>
        <v>0</v>
      </c>
      <c r="M2037" s="2264">
        <f>I2037*G2037</f>
        <v>0</v>
      </c>
      <c r="N2037" s="2264">
        <f>J2037*G2037</f>
        <v>0</v>
      </c>
      <c r="O2037" s="2264">
        <f>K2037*G2037</f>
        <v>0</v>
      </c>
      <c r="P2037" s="2441"/>
      <c r="Q2037" s="2266"/>
      <c r="R2037" s="2266"/>
      <c r="S2037" s="2266"/>
    </row>
    <row r="2038" spans="1:19" s="2105" customFormat="1" outlineLevel="1">
      <c r="A2038" s="2182" t="str">
        <f t="shared" ref="A2038:A2050" si="391">IF(G2038&lt;&gt;0,1,"")</f>
        <v/>
      </c>
      <c r="B2038" s="2261" t="s">
        <v>93</v>
      </c>
      <c r="C2038" s="2268"/>
      <c r="D2038" s="2152">
        <v>0</v>
      </c>
      <c r="E2038" s="2194" t="s">
        <v>3496</v>
      </c>
      <c r="F2038" s="2152" t="s">
        <v>2555</v>
      </c>
      <c r="G2038" s="2450">
        <f>G2036</f>
        <v>0</v>
      </c>
      <c r="H2038" s="2264">
        <v>4000</v>
      </c>
      <c r="I2038" s="2264"/>
      <c r="J2038" s="2264">
        <v>0</v>
      </c>
      <c r="K2038" s="2264">
        <v>0</v>
      </c>
      <c r="L2038" s="2264">
        <f t="shared" ref="L2038:L2050" si="392">H2038*G2038</f>
        <v>0</v>
      </c>
      <c r="M2038" s="2264">
        <f t="shared" ref="M2038:M2050" si="393">I2038*G2038</f>
        <v>0</v>
      </c>
      <c r="N2038" s="2264">
        <f t="shared" ref="N2038:N2050" si="394">J2038*G2038</f>
        <v>0</v>
      </c>
      <c r="O2038" s="2264">
        <f t="shared" ref="O2038:O2050" si="395">K2038*G2038</f>
        <v>0</v>
      </c>
      <c r="P2038" s="2441"/>
      <c r="Q2038" s="2266"/>
      <c r="R2038" s="2266"/>
      <c r="S2038" s="2266"/>
    </row>
    <row r="2039" spans="1:19" s="2105" customFormat="1" outlineLevel="1">
      <c r="A2039" s="2182" t="str">
        <f t="shared" si="391"/>
        <v/>
      </c>
      <c r="B2039" s="2261" t="s">
        <v>90</v>
      </c>
      <c r="C2039" s="2268"/>
      <c r="D2039" s="2152">
        <v>0</v>
      </c>
      <c r="E2039" s="2194" t="s">
        <v>3500</v>
      </c>
      <c r="F2039" s="2152" t="s">
        <v>2555</v>
      </c>
      <c r="G2039" s="2450">
        <f>G2037</f>
        <v>0</v>
      </c>
      <c r="H2039" s="2264">
        <v>6000</v>
      </c>
      <c r="I2039" s="2264"/>
      <c r="J2039" s="2264">
        <v>0</v>
      </c>
      <c r="K2039" s="2264">
        <v>0</v>
      </c>
      <c r="L2039" s="2264">
        <f t="shared" si="392"/>
        <v>0</v>
      </c>
      <c r="M2039" s="2264">
        <f t="shared" si="393"/>
        <v>0</v>
      </c>
      <c r="N2039" s="2264">
        <f t="shared" si="394"/>
        <v>0</v>
      </c>
      <c r="O2039" s="2264">
        <f t="shared" si="395"/>
        <v>0</v>
      </c>
      <c r="P2039" s="2441"/>
      <c r="Q2039" s="2266"/>
      <c r="R2039" s="2266"/>
      <c r="S2039" s="2266"/>
    </row>
    <row r="2040" spans="1:19" s="2105" customFormat="1" outlineLevel="1">
      <c r="A2040" s="2182" t="str">
        <f t="shared" si="391"/>
        <v/>
      </c>
      <c r="B2040" s="2261" t="s">
        <v>282</v>
      </c>
      <c r="C2040" s="2268"/>
      <c r="D2040" s="2152">
        <v>0</v>
      </c>
      <c r="E2040" s="2194" t="s">
        <v>3532</v>
      </c>
      <c r="F2040" s="2152" t="s">
        <v>1823</v>
      </c>
      <c r="G2040" s="2450">
        <f>+G2032*5</f>
        <v>0</v>
      </c>
      <c r="H2040" s="2264">
        <v>63200</v>
      </c>
      <c r="I2040" s="2264"/>
      <c r="J2040" s="2264">
        <v>0</v>
      </c>
      <c r="K2040" s="2264">
        <v>0</v>
      </c>
      <c r="L2040" s="2264">
        <f t="shared" si="392"/>
        <v>0</v>
      </c>
      <c r="M2040" s="2264">
        <f t="shared" si="393"/>
        <v>0</v>
      </c>
      <c r="N2040" s="2264">
        <f t="shared" si="394"/>
        <v>0</v>
      </c>
      <c r="O2040" s="2264">
        <f t="shared" si="395"/>
        <v>0</v>
      </c>
      <c r="P2040" s="2441"/>
      <c r="Q2040" s="2266"/>
      <c r="R2040" s="2266"/>
      <c r="S2040" s="2266"/>
    </row>
    <row r="2041" spans="1:19" s="2105" customFormat="1" outlineLevel="1">
      <c r="A2041" s="2182" t="str">
        <f t="shared" si="391"/>
        <v/>
      </c>
      <c r="B2041" s="2261" t="s">
        <v>86</v>
      </c>
      <c r="C2041" s="2268"/>
      <c r="D2041" s="2152">
        <v>0</v>
      </c>
      <c r="E2041" s="2194" t="s">
        <v>5797</v>
      </c>
      <c r="F2041" s="2152" t="s">
        <v>2555</v>
      </c>
      <c r="G2041" s="2450">
        <f>G2032</f>
        <v>0</v>
      </c>
      <c r="H2041" s="2264">
        <v>45400</v>
      </c>
      <c r="I2041" s="2264"/>
      <c r="J2041" s="2264">
        <v>0</v>
      </c>
      <c r="K2041" s="2264">
        <v>0</v>
      </c>
      <c r="L2041" s="2264">
        <f t="shared" si="392"/>
        <v>0</v>
      </c>
      <c r="M2041" s="2264">
        <f t="shared" si="393"/>
        <v>0</v>
      </c>
      <c r="N2041" s="2264">
        <f t="shared" si="394"/>
        <v>0</v>
      </c>
      <c r="O2041" s="2264">
        <f t="shared" si="395"/>
        <v>0</v>
      </c>
      <c r="P2041" s="2441"/>
      <c r="Q2041" s="2266"/>
      <c r="R2041" s="2266"/>
      <c r="S2041" s="2266"/>
    </row>
    <row r="2042" spans="1:19" s="2105" customFormat="1" outlineLevel="1">
      <c r="A2042" s="2182" t="str">
        <f t="shared" si="391"/>
        <v/>
      </c>
      <c r="B2042" s="2261" t="s">
        <v>1990</v>
      </c>
      <c r="C2042" s="2268"/>
      <c r="D2042" s="2152">
        <v>0</v>
      </c>
      <c r="E2042" s="2194" t="s">
        <v>5257</v>
      </c>
      <c r="F2042" s="2152" t="s">
        <v>2439</v>
      </c>
      <c r="G2042" s="2450">
        <f>G2032*2</f>
        <v>0</v>
      </c>
      <c r="H2042" s="2264">
        <v>49000</v>
      </c>
      <c r="I2042" s="2264"/>
      <c r="J2042" s="2264">
        <v>0</v>
      </c>
      <c r="K2042" s="2264">
        <v>0</v>
      </c>
      <c r="L2042" s="2264">
        <f t="shared" si="392"/>
        <v>0</v>
      </c>
      <c r="M2042" s="2264">
        <f t="shared" si="393"/>
        <v>0</v>
      </c>
      <c r="N2042" s="2264">
        <f t="shared" si="394"/>
        <v>0</v>
      </c>
      <c r="O2042" s="2264">
        <f t="shared" si="395"/>
        <v>0</v>
      </c>
      <c r="P2042" s="2441"/>
      <c r="Q2042" s="2266"/>
      <c r="R2042" s="2266"/>
      <c r="S2042" s="2266"/>
    </row>
    <row r="2043" spans="1:19" s="2105" customFormat="1" outlineLevel="1">
      <c r="A2043" s="2182" t="str">
        <f t="shared" si="391"/>
        <v/>
      </c>
      <c r="B2043" s="2261" t="s">
        <v>2153</v>
      </c>
      <c r="C2043" s="2268"/>
      <c r="D2043" s="2152">
        <v>0</v>
      </c>
      <c r="E2043" s="2194" t="s">
        <v>3574</v>
      </c>
      <c r="F2043" s="2152" t="s">
        <v>2555</v>
      </c>
      <c r="G2043" s="2450">
        <f>G2032*2</f>
        <v>0</v>
      </c>
      <c r="H2043" s="2264">
        <v>25800</v>
      </c>
      <c r="I2043" s="2264"/>
      <c r="J2043" s="2264">
        <v>0</v>
      </c>
      <c r="K2043" s="2264">
        <v>0</v>
      </c>
      <c r="L2043" s="2264">
        <f t="shared" si="392"/>
        <v>0</v>
      </c>
      <c r="M2043" s="2264">
        <f t="shared" si="393"/>
        <v>0</v>
      </c>
      <c r="N2043" s="2264">
        <f t="shared" si="394"/>
        <v>0</v>
      </c>
      <c r="O2043" s="2264">
        <f t="shared" si="395"/>
        <v>0</v>
      </c>
      <c r="P2043" s="2441"/>
      <c r="Q2043" s="2266"/>
      <c r="R2043" s="2266"/>
      <c r="S2043" s="2266"/>
    </row>
    <row r="2044" spans="1:19" s="2105" customFormat="1" outlineLevel="1">
      <c r="A2044" s="2182" t="str">
        <f t="shared" si="391"/>
        <v/>
      </c>
      <c r="B2044" s="2261" t="s">
        <v>2154</v>
      </c>
      <c r="C2044" s="2268"/>
      <c r="D2044" s="2152">
        <v>0</v>
      </c>
      <c r="E2044" s="2194" t="s">
        <v>3578</v>
      </c>
      <c r="F2044" s="2152" t="s">
        <v>2555</v>
      </c>
      <c r="G2044" s="2450">
        <f>G2043</f>
        <v>0</v>
      </c>
      <c r="H2044" s="2264">
        <v>21500</v>
      </c>
      <c r="I2044" s="2264"/>
      <c r="J2044" s="2264">
        <v>0</v>
      </c>
      <c r="K2044" s="2264">
        <v>0</v>
      </c>
      <c r="L2044" s="2264">
        <f t="shared" si="392"/>
        <v>0</v>
      </c>
      <c r="M2044" s="2264">
        <f t="shared" si="393"/>
        <v>0</v>
      </c>
      <c r="N2044" s="2264">
        <f t="shared" si="394"/>
        <v>0</v>
      </c>
      <c r="O2044" s="2264">
        <f t="shared" si="395"/>
        <v>0</v>
      </c>
      <c r="P2044" s="2441"/>
      <c r="Q2044" s="2266"/>
      <c r="R2044" s="2266"/>
      <c r="S2044" s="2266"/>
    </row>
    <row r="2045" spans="1:19" s="2105" customFormat="1" outlineLevel="1">
      <c r="A2045" s="2182" t="str">
        <f t="shared" si="391"/>
        <v/>
      </c>
      <c r="B2045" s="2261" t="s">
        <v>5793</v>
      </c>
      <c r="C2045" s="2268"/>
      <c r="D2045" s="2152">
        <v>0</v>
      </c>
      <c r="E2045" s="2194" t="s">
        <v>5794</v>
      </c>
      <c r="F2045" s="2152" t="s">
        <v>1823</v>
      </c>
      <c r="G2045" s="2450">
        <f>G2032*1.5</f>
        <v>0</v>
      </c>
      <c r="H2045" s="2264">
        <v>50000</v>
      </c>
      <c r="I2045" s="2264"/>
      <c r="J2045" s="2264">
        <v>0</v>
      </c>
      <c r="K2045" s="2264">
        <v>0</v>
      </c>
      <c r="L2045" s="2264">
        <f t="shared" si="392"/>
        <v>0</v>
      </c>
      <c r="M2045" s="2264">
        <f t="shared" si="393"/>
        <v>0</v>
      </c>
      <c r="N2045" s="2264">
        <f t="shared" si="394"/>
        <v>0</v>
      </c>
      <c r="O2045" s="2264">
        <f t="shared" si="395"/>
        <v>0</v>
      </c>
      <c r="P2045" s="2441"/>
      <c r="Q2045" s="2266"/>
      <c r="R2045" s="2266"/>
      <c r="S2045" s="2266"/>
    </row>
    <row r="2046" spans="1:19" s="2105" customFormat="1" outlineLevel="1">
      <c r="A2046" s="2182" t="str">
        <f t="shared" si="391"/>
        <v/>
      </c>
      <c r="B2046" s="2261" t="s">
        <v>2074</v>
      </c>
      <c r="C2046" s="2268"/>
      <c r="D2046" s="2152">
        <v>0</v>
      </c>
      <c r="E2046" s="2194" t="s">
        <v>3570</v>
      </c>
      <c r="F2046" s="2152" t="s">
        <v>3571</v>
      </c>
      <c r="G2046" s="2450">
        <f>G2032</f>
        <v>0</v>
      </c>
      <c r="H2046" s="2264">
        <v>11500</v>
      </c>
      <c r="I2046" s="2264"/>
      <c r="J2046" s="2264">
        <v>0</v>
      </c>
      <c r="K2046" s="2264">
        <v>0</v>
      </c>
      <c r="L2046" s="2264">
        <f t="shared" si="392"/>
        <v>0</v>
      </c>
      <c r="M2046" s="2264">
        <f t="shared" si="393"/>
        <v>0</v>
      </c>
      <c r="N2046" s="2264">
        <f t="shared" si="394"/>
        <v>0</v>
      </c>
      <c r="O2046" s="2264">
        <f t="shared" si="395"/>
        <v>0</v>
      </c>
      <c r="P2046" s="2441"/>
      <c r="Q2046" s="2266"/>
      <c r="R2046" s="2266"/>
      <c r="S2046" s="2266"/>
    </row>
    <row r="2047" spans="1:19" s="2105" customFormat="1" outlineLevel="1">
      <c r="A2047" s="2182" t="str">
        <f t="shared" si="391"/>
        <v/>
      </c>
      <c r="B2047" s="2261" t="s">
        <v>6</v>
      </c>
      <c r="C2047" s="2268"/>
      <c r="D2047" s="2152">
        <v>0</v>
      </c>
      <c r="E2047" s="2194" t="s">
        <v>3567</v>
      </c>
      <c r="F2047" s="2152" t="s">
        <v>5806</v>
      </c>
      <c r="G2047" s="2450">
        <f>G2046</f>
        <v>0</v>
      </c>
      <c r="H2047" s="2264">
        <v>45000</v>
      </c>
      <c r="I2047" s="2264"/>
      <c r="J2047" s="2264">
        <v>0</v>
      </c>
      <c r="K2047" s="2264">
        <v>0</v>
      </c>
      <c r="L2047" s="2264">
        <f t="shared" si="392"/>
        <v>0</v>
      </c>
      <c r="M2047" s="2264">
        <f t="shared" si="393"/>
        <v>0</v>
      </c>
      <c r="N2047" s="2264">
        <f t="shared" si="394"/>
        <v>0</v>
      </c>
      <c r="O2047" s="2264">
        <f t="shared" si="395"/>
        <v>0</v>
      </c>
      <c r="P2047" s="2441"/>
      <c r="Q2047" s="2266"/>
      <c r="R2047" s="2266"/>
      <c r="S2047" s="2266"/>
    </row>
    <row r="2048" spans="1:19" s="2105" customFormat="1" outlineLevel="1">
      <c r="A2048" s="2182" t="str">
        <f t="shared" si="391"/>
        <v/>
      </c>
      <c r="B2048" s="2261" t="s">
        <v>672</v>
      </c>
      <c r="C2048" s="2268"/>
      <c r="D2048" s="2152">
        <v>0</v>
      </c>
      <c r="E2048" s="2194" t="s">
        <v>5801</v>
      </c>
      <c r="F2048" s="2152" t="s">
        <v>3566</v>
      </c>
      <c r="G2048" s="2450">
        <f>G2047*2</f>
        <v>0</v>
      </c>
      <c r="H2048" s="2264">
        <v>6500</v>
      </c>
      <c r="I2048" s="2264"/>
      <c r="J2048" s="2264">
        <v>0</v>
      </c>
      <c r="K2048" s="2264">
        <v>0</v>
      </c>
      <c r="L2048" s="2264">
        <f t="shared" si="392"/>
        <v>0</v>
      </c>
      <c r="M2048" s="2264">
        <f t="shared" si="393"/>
        <v>0</v>
      </c>
      <c r="N2048" s="2264">
        <f t="shared" si="394"/>
        <v>0</v>
      </c>
      <c r="O2048" s="2264">
        <f t="shared" si="395"/>
        <v>0</v>
      </c>
      <c r="P2048" s="2441"/>
      <c r="Q2048" s="2266"/>
      <c r="R2048" s="2266"/>
      <c r="S2048" s="2266"/>
    </row>
    <row r="2049" spans="1:19" s="2105" customFormat="1" outlineLevel="1">
      <c r="A2049" s="2182" t="str">
        <f>IF(G2049&lt;&gt;0,1,"")</f>
        <v/>
      </c>
      <c r="B2049" s="2261" t="s">
        <v>2006</v>
      </c>
      <c r="C2049" s="2268"/>
      <c r="D2049" s="2152" t="s">
        <v>5572</v>
      </c>
      <c r="E2049" s="2194" t="s">
        <v>3293</v>
      </c>
      <c r="F2049" s="2152" t="s">
        <v>1823</v>
      </c>
      <c r="G2049" s="2450">
        <f>G2034</f>
        <v>0</v>
      </c>
      <c r="H2049" s="2264">
        <v>0</v>
      </c>
      <c r="I2049" s="2264"/>
      <c r="J2049" s="2264">
        <v>33396</v>
      </c>
      <c r="K2049" s="2264">
        <v>0</v>
      </c>
      <c r="L2049" s="2264">
        <f>H2049*G2049</f>
        <v>0</v>
      </c>
      <c r="M2049" s="2264">
        <f>I2049*G2049</f>
        <v>0</v>
      </c>
      <c r="N2049" s="2264">
        <f>J2049*G2049</f>
        <v>0</v>
      </c>
      <c r="O2049" s="2264">
        <f>K2049*G2049</f>
        <v>0</v>
      </c>
      <c r="P2049" s="2441"/>
      <c r="Q2049" s="2266"/>
      <c r="R2049" s="2266"/>
      <c r="S2049" s="2266"/>
    </row>
    <row r="2050" spans="1:19" s="2105" customFormat="1" outlineLevel="1">
      <c r="A2050" s="2182" t="str">
        <f t="shared" si="391"/>
        <v/>
      </c>
      <c r="B2050" s="2261" t="s">
        <v>247</v>
      </c>
      <c r="C2050" s="2268"/>
      <c r="D2050" s="2152" t="s">
        <v>5573</v>
      </c>
      <c r="E2050" s="2194" t="s">
        <v>5574</v>
      </c>
      <c r="F2050" s="2152" t="s">
        <v>1823</v>
      </c>
      <c r="G2050" s="2450">
        <f>G2035</f>
        <v>0</v>
      </c>
      <c r="H2050" s="2264">
        <v>0</v>
      </c>
      <c r="I2050" s="2264"/>
      <c r="J2050" s="2264">
        <v>47311</v>
      </c>
      <c r="K2050" s="2264">
        <v>0</v>
      </c>
      <c r="L2050" s="2264">
        <f t="shared" si="392"/>
        <v>0</v>
      </c>
      <c r="M2050" s="2264">
        <f t="shared" si="393"/>
        <v>0</v>
      </c>
      <c r="N2050" s="2264">
        <f t="shared" si="394"/>
        <v>0</v>
      </c>
      <c r="O2050" s="2264">
        <f t="shared" si="395"/>
        <v>0</v>
      </c>
      <c r="P2050" s="2441"/>
      <c r="Q2050" s="2266"/>
      <c r="R2050" s="2266"/>
      <c r="S2050" s="2266"/>
    </row>
    <row r="2051" spans="1:19" s="2105" customFormat="1" outlineLevel="1">
      <c r="A2051" s="2182">
        <f>A1899</f>
        <v>0</v>
      </c>
      <c r="B2051" s="2357"/>
      <c r="C2051" s="2532" t="s">
        <v>6131</v>
      </c>
      <c r="D2051" s="2532"/>
      <c r="E2051" s="2532"/>
      <c r="F2051" s="2532"/>
      <c r="G2051" s="2532"/>
      <c r="H2051" s="2532"/>
      <c r="I2051" s="2532"/>
      <c r="J2051" s="2532"/>
      <c r="K2051" s="2532"/>
      <c r="L2051" s="2425">
        <f>SUM(L1913:L2050)</f>
        <v>0</v>
      </c>
      <c r="M2051" s="2425">
        <f>SUM(M1913:M2050)</f>
        <v>0</v>
      </c>
      <c r="N2051" s="2425">
        <f>SUM(N1913:N2050)</f>
        <v>0</v>
      </c>
      <c r="O2051" s="2425">
        <f>SUM(O1913:O2050)</f>
        <v>0</v>
      </c>
      <c r="P2051" s="2533"/>
      <c r="Q2051" s="2266"/>
      <c r="R2051" s="2266"/>
      <c r="S2051" s="2266"/>
    </row>
    <row r="2052" spans="1:19" s="2105" customFormat="1" outlineLevel="1">
      <c r="A2052" s="2182">
        <f>A2053</f>
        <v>0</v>
      </c>
      <c r="B2052" s="2357"/>
      <c r="C2052" s="2433"/>
      <c r="D2052" s="2433"/>
      <c r="E2052" s="2534"/>
      <c r="F2052" s="2433"/>
      <c r="G2052" s="2645"/>
      <c r="H2052" s="2645"/>
      <c r="I2052" s="2645"/>
      <c r="J2052" s="2528"/>
      <c r="K2052" s="2528"/>
      <c r="L2052" s="2529"/>
      <c r="M2052" s="2529"/>
      <c r="N2052" s="2529"/>
      <c r="O2052" s="2529"/>
      <c r="P2052" s="2535"/>
      <c r="Q2052" s="2266"/>
      <c r="R2052" s="2266"/>
      <c r="S2052" s="2266"/>
    </row>
    <row r="2053" spans="1:19" s="2105" customFormat="1" outlineLevel="1">
      <c r="A2053" s="2182">
        <f>A2069</f>
        <v>0</v>
      </c>
      <c r="B2053" s="2387"/>
      <c r="C2053" s="2624" t="str">
        <f>"BẢNG TỔNG HỢP VẬT LIỆU, NHÂN CÔNG, MÁY THI CÔNG: "&amp;G2057&amp;" TRẠM NGỒI 3P_400KVA -TỔ 6-3 KP9 TÂN BIÊN"</f>
        <v>BẢNG TỔNG HỢP VẬT LIỆU, NHÂN CÔNG, MÁY THI CÔNG:  TRẠM NGỒI 3P_400KVA -TỔ 6-3 KP9 TÂN BIÊN</v>
      </c>
      <c r="D2053" s="2639"/>
      <c r="E2053" s="2639"/>
      <c r="F2053" s="2639"/>
      <c r="G2053" s="2639"/>
      <c r="H2053" s="2640"/>
      <c r="I2053" s="2640"/>
      <c r="J2053" s="2640"/>
      <c r="K2053" s="2640"/>
      <c r="L2053" s="2640"/>
      <c r="M2053" s="2640"/>
      <c r="N2053" s="2640"/>
      <c r="O2053" s="2640"/>
      <c r="P2053" s="2641"/>
      <c r="Q2053" s="2266"/>
      <c r="R2053" s="2266"/>
      <c r="S2053" s="2266"/>
    </row>
    <row r="2054" spans="1:19" s="2105" customFormat="1" outlineLevel="1">
      <c r="A2054" s="2182">
        <f>A2053</f>
        <v>0</v>
      </c>
      <c r="B2054" s="2261" t="s">
        <v>6112</v>
      </c>
      <c r="C2054" s="2648" t="s">
        <v>1708</v>
      </c>
      <c r="D2054" s="2649" t="s">
        <v>2597</v>
      </c>
      <c r="E2054" s="2651" t="s">
        <v>2598</v>
      </c>
      <c r="F2054" s="2648" t="s">
        <v>2593</v>
      </c>
      <c r="G2054" s="2109" t="s">
        <v>6113</v>
      </c>
      <c r="H2054" s="2112" t="s">
        <v>6114</v>
      </c>
      <c r="I2054" s="2619"/>
      <c r="J2054" s="2619"/>
      <c r="K2054" s="2620"/>
      <c r="L2054" s="2112" t="s">
        <v>6115</v>
      </c>
      <c r="M2054" s="2619"/>
      <c r="N2054" s="2619"/>
      <c r="O2054" s="2620"/>
      <c r="P2054" s="2533" t="s">
        <v>2599</v>
      </c>
      <c r="Q2054" s="2266"/>
      <c r="R2054" s="2266"/>
      <c r="S2054" s="2266"/>
    </row>
    <row r="2055" spans="1:19" s="2105" customFormat="1" outlineLevel="1">
      <c r="A2055" s="2182">
        <f>A2054</f>
        <v>0</v>
      </c>
      <c r="B2055" s="2261"/>
      <c r="C2055" s="2648"/>
      <c r="D2055" s="2650"/>
      <c r="E2055" s="2652"/>
      <c r="F2055" s="2648"/>
      <c r="G2055" s="2111" t="s">
        <v>2286</v>
      </c>
      <c r="H2055" s="2112" t="s">
        <v>6116</v>
      </c>
      <c r="I2055" s="2112" t="s">
        <v>6117</v>
      </c>
      <c r="J2055" s="2112" t="s">
        <v>6118</v>
      </c>
      <c r="K2055" s="2112" t="s">
        <v>6119</v>
      </c>
      <c r="L2055" s="2112" t="s">
        <v>6116</v>
      </c>
      <c r="M2055" s="2112" t="s">
        <v>6117</v>
      </c>
      <c r="N2055" s="2112" t="s">
        <v>6118</v>
      </c>
      <c r="O2055" s="2112" t="s">
        <v>6119</v>
      </c>
      <c r="P2055" s="2533"/>
      <c r="Q2055" s="2266"/>
      <c r="R2055" s="2266"/>
      <c r="S2055" s="2266"/>
    </row>
    <row r="2056" spans="1:19" s="2105" customFormat="1" outlineLevel="1">
      <c r="A2056" s="2182">
        <f>A2069</f>
        <v>0</v>
      </c>
      <c r="B2056" s="2261"/>
      <c r="C2056" s="2113"/>
      <c r="D2056" s="2114"/>
      <c r="E2056" s="2115" t="s">
        <v>3672</v>
      </c>
      <c r="F2056" s="2116"/>
      <c r="G2056" s="2116"/>
      <c r="H2056" s="2116"/>
      <c r="I2056" s="2116"/>
      <c r="J2056" s="2116"/>
      <c r="K2056" s="2116"/>
      <c r="L2056" s="2116"/>
      <c r="M2056" s="2116"/>
      <c r="N2056" s="2116"/>
      <c r="O2056" s="2114"/>
      <c r="P2056" s="2354"/>
      <c r="Q2056" s="2266"/>
      <c r="R2056" s="2266"/>
      <c r="S2056" s="2266"/>
    </row>
    <row r="2057" spans="1:19" s="2105" customFormat="1" outlineLevel="1">
      <c r="A2057" s="2182" t="str">
        <f>IF(G2057&lt;&gt;0,1,"")</f>
        <v/>
      </c>
      <c r="B2057" s="2252" t="str">
        <f>IF($F$8=15,"tr400","tr4001")</f>
        <v>tr4001</v>
      </c>
      <c r="C2057" s="2268">
        <f>IF(G2057&gt;0,1,0)</f>
        <v>0</v>
      </c>
      <c r="D2057" s="2152" t="s">
        <v>5592</v>
      </c>
      <c r="E2057" s="2194" t="s">
        <v>3331</v>
      </c>
      <c r="F2057" s="2152" t="s">
        <v>3300</v>
      </c>
      <c r="G2057" s="2456"/>
      <c r="H2057" s="2359">
        <v>388431450</v>
      </c>
      <c r="I2057" s="2359"/>
      <c r="J2057" s="2359">
        <v>1660532</v>
      </c>
      <c r="K2057" s="2359">
        <v>361106</v>
      </c>
      <c r="L2057" s="2360">
        <f t="shared" ref="L2057:L2063" si="396">H2057*G2057</f>
        <v>0</v>
      </c>
      <c r="M2057" s="2360">
        <f t="shared" ref="M2057:M2063" si="397">I2057*G2057</f>
        <v>0</v>
      </c>
      <c r="N2057" s="2360">
        <f t="shared" ref="N2057:N2063" si="398">J2057*G2057</f>
        <v>0</v>
      </c>
      <c r="O2057" s="2361">
        <f t="shared" ref="O2057:O2063" si="399">K2057*G2057</f>
        <v>0</v>
      </c>
      <c r="P2057" s="2440"/>
      <c r="Q2057" s="2266"/>
      <c r="R2057" s="2266"/>
      <c r="S2057" s="2266"/>
    </row>
    <row r="2058" spans="1:19" s="2105" customFormat="1" outlineLevel="1">
      <c r="A2058" s="2182" t="str">
        <f>IF(G2058&lt;&gt;0,1,"")</f>
        <v/>
      </c>
      <c r="B2058" s="2118" t="str">
        <f>"FCO100-"&amp;$F$8</f>
        <v>FCO100-22</v>
      </c>
      <c r="C2058" s="2268">
        <f>IF(G2058&gt;0,C2057+1,C2057)</f>
        <v>0</v>
      </c>
      <c r="D2058" s="2152" t="s">
        <v>5598</v>
      </c>
      <c r="E2058" s="2194" t="s">
        <v>95</v>
      </c>
      <c r="F2058" s="2152" t="s">
        <v>2555</v>
      </c>
      <c r="G2058" s="2450">
        <f>G2057*1</f>
        <v>0</v>
      </c>
      <c r="H2058" s="2264">
        <v>2244280</v>
      </c>
      <c r="I2058" s="2264">
        <v>0</v>
      </c>
      <c r="J2058" s="2264">
        <v>222639.99999999997</v>
      </c>
      <c r="K2058" s="2264">
        <v>0</v>
      </c>
      <c r="L2058" s="2264">
        <f t="shared" si="396"/>
        <v>0</v>
      </c>
      <c r="M2058" s="2264">
        <f t="shared" si="397"/>
        <v>0</v>
      </c>
      <c r="N2058" s="2264">
        <f t="shared" si="398"/>
        <v>0</v>
      </c>
      <c r="O2058" s="2264">
        <f t="shared" si="399"/>
        <v>0</v>
      </c>
      <c r="P2058" s="2441"/>
      <c r="Q2058" s="2266"/>
      <c r="R2058" s="2266"/>
      <c r="S2058" s="2266"/>
    </row>
    <row r="2059" spans="1:19" s="2353" customFormat="1" outlineLevel="1">
      <c r="A2059" s="2530" t="str">
        <f>IF(G2059&lt;&gt;0,1,"")</f>
        <v/>
      </c>
      <c r="B2059" s="2536" t="str">
        <f>"FCO100-"&amp;$F$8</f>
        <v>FCO100-22</v>
      </c>
      <c r="C2059" s="2537">
        <f>IF(G2059&gt;0,C2058+1,C2058)</f>
        <v>0</v>
      </c>
      <c r="D2059" s="2538" t="s">
        <v>5598</v>
      </c>
      <c r="E2059" s="2539" t="s">
        <v>95</v>
      </c>
      <c r="F2059" s="2538" t="s">
        <v>2555</v>
      </c>
      <c r="G2059" s="2540">
        <f>G2057*2</f>
        <v>0</v>
      </c>
      <c r="H2059" s="2541"/>
      <c r="I2059" s="2541">
        <v>0</v>
      </c>
      <c r="J2059" s="2541">
        <v>222639.99999999997</v>
      </c>
      <c r="K2059" s="2541">
        <v>0</v>
      </c>
      <c r="L2059" s="2541">
        <f>H2059*G2059</f>
        <v>0</v>
      </c>
      <c r="M2059" s="2541">
        <f>I2059*G2059</f>
        <v>0</v>
      </c>
      <c r="N2059" s="2541">
        <f>J2059*G2059</f>
        <v>0</v>
      </c>
      <c r="O2059" s="2541">
        <f>K2059*G2059</f>
        <v>0</v>
      </c>
      <c r="P2059" s="2441" t="s">
        <v>6235</v>
      </c>
      <c r="Q2059" s="2438"/>
      <c r="R2059" s="2438"/>
      <c r="S2059" s="2438"/>
    </row>
    <row r="2060" spans="1:19" s="2105" customFormat="1" outlineLevel="1">
      <c r="A2060" s="2182" t="str">
        <f t="shared" ref="A2060:A2068" si="400">IF(G2060&lt;&gt;0,1,"")</f>
        <v/>
      </c>
      <c r="B2060" s="2252" t="str">
        <f>IF($F$8=15,"chi25k","chi15k")</f>
        <v>chi15k</v>
      </c>
      <c r="C2060" s="2268">
        <f>IF(G2060&gt;0,C2058+1,C2058)</f>
        <v>0</v>
      </c>
      <c r="D2060" s="2152">
        <v>0</v>
      </c>
      <c r="E2060" s="2194" t="s">
        <v>3427</v>
      </c>
      <c r="F2060" s="2152" t="s">
        <v>2600</v>
      </c>
      <c r="G2060" s="2450">
        <f>G2057*3</f>
        <v>0</v>
      </c>
      <c r="H2060" s="2264">
        <v>103000</v>
      </c>
      <c r="I2060" s="2264">
        <v>0</v>
      </c>
      <c r="J2060" s="2264">
        <v>0</v>
      </c>
      <c r="K2060" s="2264">
        <v>0</v>
      </c>
      <c r="L2060" s="2264">
        <f t="shared" si="396"/>
        <v>0</v>
      </c>
      <c r="M2060" s="2264">
        <f t="shared" si="397"/>
        <v>0</v>
      </c>
      <c r="N2060" s="2264">
        <f t="shared" si="398"/>
        <v>0</v>
      </c>
      <c r="O2060" s="2264">
        <f t="shared" si="399"/>
        <v>0</v>
      </c>
      <c r="P2060" s="2441"/>
      <c r="Q2060" s="2266"/>
      <c r="R2060" s="2266"/>
      <c r="S2060" s="2266"/>
    </row>
    <row r="2061" spans="1:19" s="2105" customFormat="1" outlineLevel="1">
      <c r="A2061" s="2182" t="str">
        <f t="shared" si="400"/>
        <v/>
      </c>
      <c r="B2061" s="2261" t="str">
        <f>"LA"&amp;$F$6</f>
        <v>LA18</v>
      </c>
      <c r="C2061" s="2268">
        <f t="shared" ref="C2061:C2068" si="401">IF(G2061&gt;0,C2060+1,C2060)</f>
        <v>0</v>
      </c>
      <c r="D2061" s="2152" t="s">
        <v>5602</v>
      </c>
      <c r="E2061" s="2194" t="s">
        <v>1193</v>
      </c>
      <c r="F2061" s="2152" t="s">
        <v>2555</v>
      </c>
      <c r="G2061" s="2450">
        <f>G2057*1</f>
        <v>0</v>
      </c>
      <c r="H2061" s="2264">
        <v>1106000</v>
      </c>
      <c r="I2061" s="2264">
        <v>0</v>
      </c>
      <c r="J2061" s="2264">
        <v>83490</v>
      </c>
      <c r="K2061" s="2264">
        <v>0</v>
      </c>
      <c r="L2061" s="2264">
        <f t="shared" si="396"/>
        <v>0</v>
      </c>
      <c r="M2061" s="2264">
        <f t="shared" si="397"/>
        <v>0</v>
      </c>
      <c r="N2061" s="2264">
        <f t="shared" si="398"/>
        <v>0</v>
      </c>
      <c r="O2061" s="2264">
        <f t="shared" si="399"/>
        <v>0</v>
      </c>
      <c r="P2061" s="2441"/>
      <c r="Q2061" s="2266"/>
      <c r="R2061" s="2266"/>
      <c r="S2061" s="2266"/>
    </row>
    <row r="2062" spans="1:19" s="2353" customFormat="1" outlineLevel="1">
      <c r="A2062" s="2530" t="str">
        <f>IF(G2062&lt;&gt;0,1,"")</f>
        <v/>
      </c>
      <c r="B2062" s="2542" t="str">
        <f>"LA"&amp;$F$6</f>
        <v>LA18</v>
      </c>
      <c r="C2062" s="2537">
        <f>IF(G2062&gt;0,C2061+1,C2061)</f>
        <v>0</v>
      </c>
      <c r="D2062" s="2538" t="s">
        <v>5602</v>
      </c>
      <c r="E2062" s="2539" t="s">
        <v>1193</v>
      </c>
      <c r="F2062" s="2538" t="s">
        <v>2555</v>
      </c>
      <c r="G2062" s="2540">
        <f>G2058*2</f>
        <v>0</v>
      </c>
      <c r="H2062" s="2541"/>
      <c r="I2062" s="2541">
        <v>0</v>
      </c>
      <c r="J2062" s="2541">
        <v>83490</v>
      </c>
      <c r="K2062" s="2541">
        <v>0</v>
      </c>
      <c r="L2062" s="2541">
        <f>H2062*G2062</f>
        <v>0</v>
      </c>
      <c r="M2062" s="2541">
        <f>I2062*G2062</f>
        <v>0</v>
      </c>
      <c r="N2062" s="2541">
        <f>J2062*G2062</f>
        <v>0</v>
      </c>
      <c r="O2062" s="2541">
        <f>K2062*G2062</f>
        <v>0</v>
      </c>
      <c r="P2062" s="2441" t="s">
        <v>6235</v>
      </c>
      <c r="Q2062" s="2438"/>
      <c r="R2062" s="2438"/>
      <c r="S2062" s="2438"/>
    </row>
    <row r="2063" spans="1:19" s="2105" customFormat="1" outlineLevel="1">
      <c r="A2063" s="2182" t="str">
        <f t="shared" si="400"/>
        <v/>
      </c>
      <c r="B2063" s="2357" t="s">
        <v>1462</v>
      </c>
      <c r="C2063" s="2268">
        <f>IF(G2063&gt;0,C2061+1,C2061)</f>
        <v>0</v>
      </c>
      <c r="D2063" s="2152" t="s">
        <v>5688</v>
      </c>
      <c r="E2063" s="2194" t="s">
        <v>5689</v>
      </c>
      <c r="F2063" s="2152" t="s">
        <v>2555</v>
      </c>
      <c r="G2063" s="2270">
        <f>G2057*0</f>
        <v>0</v>
      </c>
      <c r="H2063" s="2264">
        <v>25594000</v>
      </c>
      <c r="I2063" s="2264">
        <v>0</v>
      </c>
      <c r="J2063" s="2264">
        <v>1391500</v>
      </c>
      <c r="K2063" s="2264">
        <v>0</v>
      </c>
      <c r="L2063" s="2264">
        <f t="shared" si="396"/>
        <v>0</v>
      </c>
      <c r="M2063" s="2264">
        <f t="shared" si="397"/>
        <v>0</v>
      </c>
      <c r="N2063" s="2264">
        <f t="shared" si="398"/>
        <v>0</v>
      </c>
      <c r="O2063" s="2264">
        <f t="shared" si="399"/>
        <v>0</v>
      </c>
      <c r="P2063" s="2389"/>
      <c r="Q2063" s="2266"/>
      <c r="R2063" s="2266"/>
      <c r="S2063" s="2266"/>
    </row>
    <row r="2064" spans="1:19" s="2105" customFormat="1" outlineLevel="1">
      <c r="A2064" s="2182" t="str">
        <f t="shared" si="400"/>
        <v/>
      </c>
      <c r="B2064" s="2357" t="s">
        <v>953</v>
      </c>
      <c r="C2064" s="2268">
        <f t="shared" si="401"/>
        <v>0</v>
      </c>
      <c r="D2064" s="2152" t="s">
        <v>5685</v>
      </c>
      <c r="E2064" s="2194" t="s">
        <v>5686</v>
      </c>
      <c r="F2064" s="2152" t="s">
        <v>2555</v>
      </c>
      <c r="G2064" s="2450">
        <f>G2057*2</f>
        <v>0</v>
      </c>
      <c r="H2064" s="2264">
        <v>7180000</v>
      </c>
      <c r="I2064" s="2264">
        <v>0</v>
      </c>
      <c r="J2064" s="2264">
        <v>974050</v>
      </c>
      <c r="K2064" s="2264">
        <v>0</v>
      </c>
      <c r="L2064" s="2264">
        <f>H2064*G2064</f>
        <v>0</v>
      </c>
      <c r="M2064" s="2264">
        <f>I2064*G2064</f>
        <v>0</v>
      </c>
      <c r="N2064" s="2264">
        <f>J2064*G2064</f>
        <v>0</v>
      </c>
      <c r="O2064" s="2264">
        <f>K2064*G2064</f>
        <v>0</v>
      </c>
      <c r="P2064" s="2441"/>
      <c r="Q2064" s="2266"/>
      <c r="R2064" s="2266"/>
      <c r="S2064" s="2266"/>
    </row>
    <row r="2065" spans="1:19" s="2105" customFormat="1" outlineLevel="1">
      <c r="A2065" s="2182" t="str">
        <f t="shared" si="400"/>
        <v/>
      </c>
      <c r="B2065" s="2357" t="s">
        <v>1461</v>
      </c>
      <c r="C2065" s="2268">
        <f t="shared" si="401"/>
        <v>0</v>
      </c>
      <c r="D2065" s="2152" t="s">
        <v>5621</v>
      </c>
      <c r="E2065" s="2194" t="s">
        <v>3378</v>
      </c>
      <c r="F2065" s="2152" t="s">
        <v>3370</v>
      </c>
      <c r="G2065" s="2270">
        <f>G2057*0</f>
        <v>0</v>
      </c>
      <c r="H2065" s="2264">
        <v>20800000</v>
      </c>
      <c r="I2065" s="2264">
        <v>310.8</v>
      </c>
      <c r="J2065" s="2264">
        <v>20659.099999999999</v>
      </c>
      <c r="K2065" s="2264">
        <v>5769.4</v>
      </c>
      <c r="L2065" s="2264">
        <f>H2065*G2065</f>
        <v>0</v>
      </c>
      <c r="M2065" s="2264">
        <f>I2065*G2065</f>
        <v>0</v>
      </c>
      <c r="N2065" s="2264">
        <f>J2065*G2065</f>
        <v>0</v>
      </c>
      <c r="O2065" s="2264">
        <f>K2065*G2065</f>
        <v>0</v>
      </c>
      <c r="P2065" s="2389"/>
      <c r="Q2065" s="2266"/>
      <c r="R2065" s="2266"/>
      <c r="S2065" s="2266"/>
    </row>
    <row r="2066" spans="1:19" s="2105" customFormat="1" outlineLevel="1">
      <c r="A2066" s="2182" t="str">
        <f t="shared" si="400"/>
        <v/>
      </c>
      <c r="B2066" s="2252" t="s">
        <v>64</v>
      </c>
      <c r="C2066" s="2268">
        <f t="shared" si="401"/>
        <v>0</v>
      </c>
      <c r="D2066" s="2152">
        <v>0</v>
      </c>
      <c r="E2066" s="2194" t="s">
        <v>3364</v>
      </c>
      <c r="F2066" s="2152" t="s">
        <v>2555</v>
      </c>
      <c r="G2066" s="2531">
        <f>G2057*3*0</f>
        <v>0</v>
      </c>
      <c r="H2066" s="2264">
        <v>0</v>
      </c>
      <c r="I2066" s="2264">
        <v>0</v>
      </c>
      <c r="J2066" s="2264">
        <v>0</v>
      </c>
      <c r="K2066" s="2264">
        <v>0</v>
      </c>
      <c r="L2066" s="2264">
        <f>H2066*G2066</f>
        <v>0</v>
      </c>
      <c r="M2066" s="2264">
        <f>I2066*G2066</f>
        <v>0</v>
      </c>
      <c r="N2066" s="2264">
        <f>J2066*G2066</f>
        <v>0</v>
      </c>
      <c r="O2066" s="2264">
        <f>K2066*G2066</f>
        <v>0</v>
      </c>
      <c r="P2066" s="2391" t="s">
        <v>2601</v>
      </c>
      <c r="Q2066" s="2266"/>
      <c r="R2066" s="2266"/>
      <c r="S2066" s="2266"/>
    </row>
    <row r="2067" spans="1:19" s="2105" customFormat="1" outlineLevel="1">
      <c r="A2067" s="2182" t="str">
        <f t="shared" si="400"/>
        <v/>
      </c>
      <c r="B2067" s="2252" t="s">
        <v>64</v>
      </c>
      <c r="C2067" s="2268">
        <f t="shared" si="401"/>
        <v>0</v>
      </c>
      <c r="D2067" s="2152">
        <v>0</v>
      </c>
      <c r="E2067" s="2194" t="s">
        <v>3364</v>
      </c>
      <c r="F2067" s="2152" t="s">
        <v>2555</v>
      </c>
      <c r="G2067" s="2459">
        <f>G2057*3</f>
        <v>0</v>
      </c>
      <c r="H2067" s="2264">
        <v>0</v>
      </c>
      <c r="I2067" s="2264">
        <v>0</v>
      </c>
      <c r="J2067" s="2264">
        <v>0</v>
      </c>
      <c r="K2067" s="2264">
        <v>0</v>
      </c>
      <c r="L2067" s="2264">
        <f>H2067*G2067</f>
        <v>0</v>
      </c>
      <c r="M2067" s="2264">
        <f>I2067*G2067</f>
        <v>0</v>
      </c>
      <c r="N2067" s="2264">
        <f>J2067*G2067</f>
        <v>0</v>
      </c>
      <c r="O2067" s="2264">
        <f>K2067*G2067</f>
        <v>0</v>
      </c>
      <c r="P2067" s="2443" t="s">
        <v>2601</v>
      </c>
      <c r="Q2067" s="2266"/>
      <c r="R2067" s="2266"/>
      <c r="S2067" s="2266"/>
    </row>
    <row r="2068" spans="1:19" s="2105" customFormat="1" outlineLevel="1">
      <c r="A2068" s="2182" t="str">
        <f t="shared" si="400"/>
        <v/>
      </c>
      <c r="B2068" s="2252" t="s">
        <v>1460</v>
      </c>
      <c r="C2068" s="2268">
        <f t="shared" si="401"/>
        <v>0</v>
      </c>
      <c r="D2068" s="2152">
        <v>0</v>
      </c>
      <c r="E2068" s="2194" t="s">
        <v>3441</v>
      </c>
      <c r="F2068" s="2152" t="s">
        <v>2555</v>
      </c>
      <c r="G2068" s="2459">
        <f>G2057</f>
        <v>0</v>
      </c>
      <c r="H2068" s="2264">
        <v>0</v>
      </c>
      <c r="I2068" s="2264">
        <v>0</v>
      </c>
      <c r="J2068" s="2264">
        <v>0</v>
      </c>
      <c r="K2068" s="2264">
        <v>0</v>
      </c>
      <c r="L2068" s="2264">
        <f>H2068*G2068</f>
        <v>0</v>
      </c>
      <c r="M2068" s="2360">
        <f>I2068*G2068</f>
        <v>0</v>
      </c>
      <c r="N2068" s="2360">
        <f>J2068*G2068</f>
        <v>0</v>
      </c>
      <c r="O2068" s="2361">
        <f>K2068*G2068</f>
        <v>0</v>
      </c>
      <c r="P2068" s="2444" t="s">
        <v>2601</v>
      </c>
      <c r="Q2068" s="2266"/>
      <c r="R2068" s="2266"/>
      <c r="S2068" s="2266"/>
    </row>
    <row r="2069" spans="1:19" s="2105" customFormat="1" outlineLevel="1">
      <c r="A2069" s="2182">
        <f>IF(SUM(L2069:O2069)&gt;0,1,)</f>
        <v>0</v>
      </c>
      <c r="B2069" s="2261"/>
      <c r="C2069" s="2393"/>
      <c r="D2069" s="2394"/>
      <c r="E2069" s="2395"/>
      <c r="F2069" s="2393"/>
      <c r="G2069" s="2445"/>
      <c r="H2069" s="2393"/>
      <c r="I2069" s="2393"/>
      <c r="J2069" s="2117" t="s">
        <v>6121</v>
      </c>
      <c r="K2069" s="2393"/>
      <c r="L2069" s="2395">
        <f>SUM(L2057:L2068)</f>
        <v>0</v>
      </c>
      <c r="M2069" s="2395">
        <f>SUM(M2057:M2068)</f>
        <v>0</v>
      </c>
      <c r="N2069" s="2395">
        <f>SUM(N2057:N2068)</f>
        <v>0</v>
      </c>
      <c r="O2069" s="2395">
        <f>SUM(O2057:O2068)</f>
        <v>0</v>
      </c>
      <c r="P2069" s="2446"/>
      <c r="Q2069" s="2266"/>
      <c r="R2069" s="2266"/>
      <c r="S2069" s="2266"/>
    </row>
    <row r="2070" spans="1:19" s="2105" customFormat="1" outlineLevel="1">
      <c r="A2070" s="2182">
        <f>A2051</f>
        <v>0</v>
      </c>
      <c r="B2070" s="2261"/>
      <c r="C2070" s="2397"/>
      <c r="D2070" s="2398"/>
      <c r="E2070" s="2399" t="s">
        <v>3673</v>
      </c>
      <c r="F2070" s="2399"/>
      <c r="G2070" s="2447"/>
      <c r="H2070" s="2399"/>
      <c r="I2070" s="2399"/>
      <c r="J2070" s="2399"/>
      <c r="K2070" s="2399"/>
      <c r="L2070" s="2399"/>
      <c r="M2070" s="2399"/>
      <c r="N2070" s="2399"/>
      <c r="O2070" s="2398"/>
      <c r="P2070" s="2446"/>
      <c r="Q2070" s="2266"/>
      <c r="R2070" s="2266"/>
      <c r="S2070" s="2266"/>
    </row>
    <row r="2071" spans="1:19" s="2105" customFormat="1" outlineLevel="1">
      <c r="A2071" s="2182" t="str">
        <f t="shared" ref="A2071:A2089" si="402">IF(G2071&lt;&gt;0,1,"")</f>
        <v/>
      </c>
      <c r="B2071" s="2401"/>
      <c r="C2071" s="2402">
        <f>IF(G2071&gt;0,1,0)</f>
        <v>0</v>
      </c>
      <c r="D2071" s="2152"/>
      <c r="E2071" s="2403" t="s">
        <v>6122</v>
      </c>
      <c r="F2071" s="2404" t="s">
        <v>2277</v>
      </c>
      <c r="G2071" s="2461"/>
      <c r="H2071" s="2404"/>
      <c r="I2071" s="2404"/>
      <c r="J2071" s="2404"/>
      <c r="K2071" s="2404"/>
      <c r="L2071" s="2405"/>
      <c r="M2071" s="2405"/>
      <c r="N2071" s="2405"/>
      <c r="O2071" s="2406"/>
      <c r="P2071" s="2389"/>
      <c r="Q2071" s="2266"/>
      <c r="R2071" s="2266"/>
      <c r="S2071" s="2266"/>
    </row>
    <row r="2072" spans="1:19" s="2105" customFormat="1" outlineLevel="1">
      <c r="A2072" s="2182" t="str">
        <f t="shared" si="402"/>
        <v/>
      </c>
      <c r="B2072" s="2357" t="s">
        <v>115</v>
      </c>
      <c r="C2072" s="2407"/>
      <c r="D2072" s="2152"/>
      <c r="E2072" s="2408" t="s">
        <v>2992</v>
      </c>
      <c r="F2072" s="2152" t="s">
        <v>2831</v>
      </c>
      <c r="G2072" s="2462">
        <f>G2071</f>
        <v>0</v>
      </c>
      <c r="H2072" s="2359">
        <v>4400000</v>
      </c>
      <c r="I2072" s="2258"/>
      <c r="J2072" s="2359"/>
      <c r="K2072" s="2258"/>
      <c r="L2072" s="2360">
        <f>H2072*G2072</f>
        <v>0</v>
      </c>
      <c r="M2072" s="2360">
        <f>I2072*G2072</f>
        <v>0</v>
      </c>
      <c r="N2072" s="2360">
        <f>J2072*G2072</f>
        <v>0</v>
      </c>
      <c r="O2072" s="2360">
        <f>K2072*G2072</f>
        <v>0</v>
      </c>
      <c r="P2072" s="2389"/>
      <c r="Q2072" s="2266"/>
      <c r="R2072" s="2266"/>
      <c r="S2072" s="2266"/>
    </row>
    <row r="2073" spans="1:19" s="2105" customFormat="1" outlineLevel="1">
      <c r="A2073" s="2182" t="str">
        <f t="shared" si="402"/>
        <v/>
      </c>
      <c r="B2073" s="2357" t="s">
        <v>1814</v>
      </c>
      <c r="C2073" s="2407"/>
      <c r="D2073" s="2152"/>
      <c r="E2073" s="2408" t="s">
        <v>2830</v>
      </c>
      <c r="F2073" s="2152" t="s">
        <v>2831</v>
      </c>
      <c r="G2073" s="2462">
        <f>G2072</f>
        <v>0</v>
      </c>
      <c r="H2073" s="2359">
        <v>17400</v>
      </c>
      <c r="I2073" s="2359"/>
      <c r="J2073" s="2258"/>
      <c r="K2073" s="2258"/>
      <c r="L2073" s="2360">
        <f>H2073*G2073</f>
        <v>0</v>
      </c>
      <c r="M2073" s="2360">
        <f>I2073*G2073</f>
        <v>0</v>
      </c>
      <c r="N2073" s="2360">
        <f>J2073*G2073</f>
        <v>0</v>
      </c>
      <c r="O2073" s="2360">
        <f>K2073*G2073</f>
        <v>0</v>
      </c>
      <c r="P2073" s="2389"/>
      <c r="Q2073" s="2266"/>
      <c r="R2073" s="2266"/>
      <c r="S2073" s="2266"/>
    </row>
    <row r="2074" spans="1:19" s="2105" customFormat="1" outlineLevel="1">
      <c r="A2074" s="2182" t="str">
        <f t="shared" si="402"/>
        <v/>
      </c>
      <c r="B2074" s="2357" t="s">
        <v>643</v>
      </c>
      <c r="C2074" s="2407"/>
      <c r="D2074" s="2152" t="s">
        <v>2127</v>
      </c>
      <c r="E2074" s="2408" t="s">
        <v>3167</v>
      </c>
      <c r="F2074" s="2152" t="s">
        <v>2831</v>
      </c>
      <c r="G2074" s="2462">
        <f>G2072</f>
        <v>0</v>
      </c>
      <c r="H2074" s="2408"/>
      <c r="I2074" s="2359"/>
      <c r="J2074" s="2359">
        <v>112286</v>
      </c>
      <c r="K2074" s="2359">
        <v>105970</v>
      </c>
      <c r="L2074" s="2360">
        <f>H2074*G2074</f>
        <v>0</v>
      </c>
      <c r="M2074" s="2360">
        <f>I2074*G2074</f>
        <v>0</v>
      </c>
      <c r="N2074" s="2360">
        <f>J2074*G2074</f>
        <v>0</v>
      </c>
      <c r="O2074" s="2360">
        <f>K2074*G2074</f>
        <v>0</v>
      </c>
      <c r="P2074" s="2389"/>
      <c r="Q2074" s="2266"/>
      <c r="R2074" s="2266"/>
      <c r="S2074" s="2266"/>
    </row>
    <row r="2075" spans="1:19" s="2105" customFormat="1" outlineLevel="1">
      <c r="A2075" s="2182" t="str">
        <f t="shared" si="402"/>
        <v/>
      </c>
      <c r="B2075" s="2401"/>
      <c r="C2075" s="2402">
        <f>IF(G2075&gt;0,1,0)</f>
        <v>0</v>
      </c>
      <c r="D2075" s="2152"/>
      <c r="E2075" s="2403" t="s">
        <v>6217</v>
      </c>
      <c r="F2075" s="2404" t="s">
        <v>2277</v>
      </c>
      <c r="G2075" s="2461">
        <f>G2057*1*0</f>
        <v>0</v>
      </c>
      <c r="H2075" s="2404"/>
      <c r="I2075" s="2404"/>
      <c r="J2075" s="2404"/>
      <c r="K2075" s="2404"/>
      <c r="L2075" s="2405"/>
      <c r="M2075" s="2405"/>
      <c r="N2075" s="2405"/>
      <c r="O2075" s="2406"/>
      <c r="P2075" s="2265"/>
      <c r="Q2075" s="2266"/>
      <c r="R2075" s="2266"/>
      <c r="S2075" s="2266"/>
    </row>
    <row r="2076" spans="1:19" s="2105" customFormat="1" outlineLevel="1">
      <c r="A2076" s="2182" t="str">
        <f t="shared" si="402"/>
        <v/>
      </c>
      <c r="B2076" s="2357" t="s">
        <v>114</v>
      </c>
      <c r="C2076" s="2407"/>
      <c r="D2076" s="2152"/>
      <c r="E2076" s="2408" t="s">
        <v>2991</v>
      </c>
      <c r="F2076" s="2152" t="s">
        <v>2831</v>
      </c>
      <c r="G2076" s="2462">
        <f>G2075</f>
        <v>0</v>
      </c>
      <c r="H2076" s="2359">
        <v>4200000</v>
      </c>
      <c r="I2076" s="2258"/>
      <c r="J2076" s="2359"/>
      <c r="K2076" s="2258"/>
      <c r="L2076" s="2360">
        <f>H2076*G2076</f>
        <v>0</v>
      </c>
      <c r="M2076" s="2360">
        <f>I2076*G2076</f>
        <v>0</v>
      </c>
      <c r="N2076" s="2360">
        <f>J2076*G2076</f>
        <v>0</v>
      </c>
      <c r="O2076" s="2360">
        <f>K2076*G2076</f>
        <v>0</v>
      </c>
      <c r="P2076" s="2265"/>
      <c r="Q2076" s="2266"/>
      <c r="R2076" s="2266"/>
      <c r="S2076" s="2266"/>
    </row>
    <row r="2077" spans="1:19" s="2105" customFormat="1" outlineLevel="1">
      <c r="A2077" s="2182" t="str">
        <f t="shared" si="402"/>
        <v/>
      </c>
      <c r="B2077" s="2357" t="s">
        <v>1814</v>
      </c>
      <c r="C2077" s="2407"/>
      <c r="D2077" s="2152"/>
      <c r="E2077" s="2408" t="s">
        <v>2830</v>
      </c>
      <c r="F2077" s="2152" t="s">
        <v>2831</v>
      </c>
      <c r="G2077" s="2462">
        <f>G2076</f>
        <v>0</v>
      </c>
      <c r="H2077" s="2359">
        <v>17400</v>
      </c>
      <c r="I2077" s="2359"/>
      <c r="J2077" s="2258"/>
      <c r="K2077" s="2258"/>
      <c r="L2077" s="2360">
        <f>H2077*G2077</f>
        <v>0</v>
      </c>
      <c r="M2077" s="2360">
        <f>I2077*G2077</f>
        <v>0</v>
      </c>
      <c r="N2077" s="2360">
        <f>J2077*G2077</f>
        <v>0</v>
      </c>
      <c r="O2077" s="2360">
        <f>K2077*G2077</f>
        <v>0</v>
      </c>
      <c r="P2077" s="2265"/>
      <c r="Q2077" s="2266"/>
      <c r="R2077" s="2266"/>
      <c r="S2077" s="2266"/>
    </row>
    <row r="2078" spans="1:19" s="2105" customFormat="1" outlineLevel="1">
      <c r="A2078" s="2182" t="str">
        <f t="shared" si="402"/>
        <v/>
      </c>
      <c r="B2078" s="2357" t="s">
        <v>644</v>
      </c>
      <c r="C2078" s="2407"/>
      <c r="D2078" s="2152" t="s">
        <v>2127</v>
      </c>
      <c r="E2078" s="2408" t="s">
        <v>3168</v>
      </c>
      <c r="F2078" s="2152" t="s">
        <v>2831</v>
      </c>
      <c r="G2078" s="2462">
        <f>G2076</f>
        <v>0</v>
      </c>
      <c r="H2078" s="2408"/>
      <c r="I2078" s="2359"/>
      <c r="J2078" s="2359">
        <v>112286</v>
      </c>
      <c r="K2078" s="2359">
        <v>105970</v>
      </c>
      <c r="L2078" s="2360">
        <f>H2078*G2078</f>
        <v>0</v>
      </c>
      <c r="M2078" s="2360">
        <f>I2078*G2078</f>
        <v>0</v>
      </c>
      <c r="N2078" s="2360">
        <f>J2078*G2078</f>
        <v>0</v>
      </c>
      <c r="O2078" s="2360">
        <f>K2078*G2078</f>
        <v>0</v>
      </c>
      <c r="P2078" s="2265"/>
      <c r="Q2078" s="2266"/>
      <c r="R2078" s="2266"/>
      <c r="S2078" s="2266"/>
    </row>
    <row r="2079" spans="1:19" s="2105" customFormat="1" outlineLevel="1">
      <c r="A2079" s="2182" t="str">
        <f t="shared" si="402"/>
        <v/>
      </c>
      <c r="B2079" s="2357"/>
      <c r="C2079" s="2258">
        <f>IF(G2079&gt;0,C2071+1,C2071)</f>
        <v>0</v>
      </c>
      <c r="D2079" s="2152"/>
      <c r="E2079" s="2403" t="s">
        <v>2352</v>
      </c>
      <c r="F2079" s="2404" t="s">
        <v>2327</v>
      </c>
      <c r="G2079" s="2461">
        <f>G2071</f>
        <v>0</v>
      </c>
      <c r="H2079" s="2258"/>
      <c r="I2079" s="2258"/>
      <c r="J2079" s="2258"/>
      <c r="K2079" s="2258"/>
      <c r="L2079" s="2258"/>
      <c r="M2079" s="2258"/>
      <c r="N2079" s="2258"/>
      <c r="O2079" s="2410"/>
      <c r="P2079" s="2389"/>
      <c r="Q2079" s="2266"/>
      <c r="R2079" s="2266"/>
      <c r="S2079" s="2266"/>
    </row>
    <row r="2080" spans="1:19" s="2105" customFormat="1" outlineLevel="1">
      <c r="A2080" s="2182" t="str">
        <f t="shared" si="402"/>
        <v/>
      </c>
      <c r="B2080" s="2357" t="s">
        <v>636</v>
      </c>
      <c r="C2080" s="2407"/>
      <c r="D2080" s="2152" t="s">
        <v>5047</v>
      </c>
      <c r="E2080" s="2408" t="s">
        <v>2607</v>
      </c>
      <c r="F2080" s="2152" t="s">
        <v>2555</v>
      </c>
      <c r="G2080" s="2462">
        <f>G2079</f>
        <v>0</v>
      </c>
      <c r="H2080" s="2359">
        <v>354545</v>
      </c>
      <c r="I2080" s="2359"/>
      <c r="J2080" s="2359">
        <v>37220.25</v>
      </c>
      <c r="K2080" s="2258"/>
      <c r="L2080" s="2360">
        <f>H2080*G2080</f>
        <v>0</v>
      </c>
      <c r="M2080" s="2360">
        <f>I2080*G2080</f>
        <v>0</v>
      </c>
      <c r="N2080" s="2360">
        <f>J2080*G2080</f>
        <v>0</v>
      </c>
      <c r="O2080" s="2360">
        <f>K2080*G2080</f>
        <v>0</v>
      </c>
      <c r="P2080" s="2389"/>
      <c r="Q2080" s="2266"/>
      <c r="R2080" s="2266"/>
      <c r="S2080" s="2266"/>
    </row>
    <row r="2081" spans="1:19" s="2105" customFormat="1" outlineLevel="1">
      <c r="A2081" s="2182" t="str">
        <f t="shared" si="402"/>
        <v/>
      </c>
      <c r="B2081" s="2357" t="s">
        <v>566</v>
      </c>
      <c r="C2081" s="2407"/>
      <c r="D2081" s="2152"/>
      <c r="E2081" s="2408" t="s">
        <v>5072</v>
      </c>
      <c r="F2081" s="2152" t="s">
        <v>2439</v>
      </c>
      <c r="G2081" s="2270">
        <f>G2080</f>
        <v>0</v>
      </c>
      <c r="H2081" s="2359">
        <v>92200</v>
      </c>
      <c r="I2081" s="2408"/>
      <c r="J2081" s="2408"/>
      <c r="K2081" s="2258"/>
      <c r="L2081" s="2360">
        <f>H2081*G2081</f>
        <v>0</v>
      </c>
      <c r="M2081" s="2360">
        <f>I2081*G2081</f>
        <v>0</v>
      </c>
      <c r="N2081" s="2360">
        <f>J2081*G2081</f>
        <v>0</v>
      </c>
      <c r="O2081" s="2360">
        <f>K2081*G2081</f>
        <v>0</v>
      </c>
      <c r="P2081" s="2389"/>
      <c r="Q2081" s="2266"/>
      <c r="R2081" s="2266"/>
      <c r="S2081" s="2266"/>
    </row>
    <row r="2082" spans="1:19" s="2105" customFormat="1" outlineLevel="1">
      <c r="A2082" s="2182" t="str">
        <f t="shared" si="402"/>
        <v/>
      </c>
      <c r="B2082" s="2357" t="s">
        <v>639</v>
      </c>
      <c r="C2082" s="2407"/>
      <c r="D2082" s="2152" t="s">
        <v>1747</v>
      </c>
      <c r="E2082" s="2408" t="s">
        <v>5324</v>
      </c>
      <c r="F2082" s="2152" t="s">
        <v>856</v>
      </c>
      <c r="G2082" s="2270">
        <f>1.45*G2080</f>
        <v>0</v>
      </c>
      <c r="H2082" s="2359">
        <v>0</v>
      </c>
      <c r="I2082" s="2359"/>
      <c r="J2082" s="2359">
        <v>296500.89999999997</v>
      </c>
      <c r="K2082" s="2258"/>
      <c r="L2082" s="2360">
        <f>H2082*G2082</f>
        <v>0</v>
      </c>
      <c r="M2082" s="2360">
        <f>I2082*G2082</f>
        <v>0</v>
      </c>
      <c r="N2082" s="2360">
        <f>J2082*G2082</f>
        <v>0</v>
      </c>
      <c r="O2082" s="2360">
        <f>K2082*G2082</f>
        <v>0</v>
      </c>
      <c r="P2082" s="2389"/>
      <c r="Q2082" s="2266"/>
      <c r="R2082" s="2266"/>
      <c r="S2082" s="2266"/>
    </row>
    <row r="2083" spans="1:19" s="2105" customFormat="1" outlineLevel="1">
      <c r="A2083" s="2182" t="str">
        <f t="shared" si="402"/>
        <v/>
      </c>
      <c r="B2083" s="2357" t="s">
        <v>21</v>
      </c>
      <c r="C2083" s="2407"/>
      <c r="D2083" s="2152" t="s">
        <v>5325</v>
      </c>
      <c r="E2083" s="2408" t="s">
        <v>5326</v>
      </c>
      <c r="F2083" s="2152" t="s">
        <v>856</v>
      </c>
      <c r="G2083" s="2270">
        <f>1.37*G2079</f>
        <v>0</v>
      </c>
      <c r="H2083" s="2359">
        <v>0</v>
      </c>
      <c r="I2083" s="2359"/>
      <c r="J2083" s="2359">
        <v>117703.6</v>
      </c>
      <c r="K2083" s="2258"/>
      <c r="L2083" s="2360">
        <f>H2083*G2083</f>
        <v>0</v>
      </c>
      <c r="M2083" s="2360">
        <f>I2083*G2083</f>
        <v>0</v>
      </c>
      <c r="N2083" s="2360">
        <f>J2083*G2083</f>
        <v>0</v>
      </c>
      <c r="O2083" s="2360">
        <f>K2083*G2083</f>
        <v>0</v>
      </c>
      <c r="P2083" s="2389"/>
      <c r="Q2083" s="2266"/>
      <c r="R2083" s="2266"/>
      <c r="S2083" s="2266"/>
    </row>
    <row r="2084" spans="1:19" s="2105" customFormat="1" outlineLevel="1">
      <c r="A2084" s="2182" t="str">
        <f t="shared" si="402"/>
        <v/>
      </c>
      <c r="B2084" s="2357"/>
      <c r="C2084" s="2258">
        <f>IF(G2084&gt;0,C2076+1,C2076)</f>
        <v>0</v>
      </c>
      <c r="D2084" s="2152"/>
      <c r="E2084" s="2403" t="s">
        <v>3713</v>
      </c>
      <c r="F2084" s="2404" t="s">
        <v>2327</v>
      </c>
      <c r="G2084" s="2461">
        <f>G2075</f>
        <v>0</v>
      </c>
      <c r="H2084" s="2258"/>
      <c r="I2084" s="2258"/>
      <c r="J2084" s="2258"/>
      <c r="K2084" s="2258"/>
      <c r="L2084" s="2258"/>
      <c r="M2084" s="2258"/>
      <c r="N2084" s="2258"/>
      <c r="O2084" s="2410"/>
      <c r="P2084" s="2265"/>
      <c r="Q2084" s="2266"/>
      <c r="R2084" s="2266"/>
      <c r="S2084" s="2266"/>
    </row>
    <row r="2085" spans="1:19" s="2105" customFormat="1" outlineLevel="1">
      <c r="A2085" s="2182" t="str">
        <f t="shared" si="402"/>
        <v/>
      </c>
      <c r="B2085" s="2357" t="s">
        <v>636</v>
      </c>
      <c r="C2085" s="2407"/>
      <c r="D2085" s="2152" t="s">
        <v>5047</v>
      </c>
      <c r="E2085" s="2408" t="s">
        <v>2607</v>
      </c>
      <c r="F2085" s="2152" t="s">
        <v>2555</v>
      </c>
      <c r="G2085" s="2462">
        <f>G2084</f>
        <v>0</v>
      </c>
      <c r="H2085" s="2359">
        <v>354545</v>
      </c>
      <c r="I2085" s="2359"/>
      <c r="J2085" s="2359">
        <v>37220.25</v>
      </c>
      <c r="K2085" s="2258"/>
      <c r="L2085" s="2360">
        <f>H2085*G2085</f>
        <v>0</v>
      </c>
      <c r="M2085" s="2360">
        <f>I2085*G2085</f>
        <v>0</v>
      </c>
      <c r="N2085" s="2360">
        <f>J2085*G2085</f>
        <v>0</v>
      </c>
      <c r="O2085" s="2360">
        <f>K2085*G2085</f>
        <v>0</v>
      </c>
      <c r="P2085" s="2265"/>
      <c r="Q2085" s="2266"/>
      <c r="R2085" s="2266"/>
      <c r="S2085" s="2266"/>
    </row>
    <row r="2086" spans="1:19" s="2105" customFormat="1" outlineLevel="1">
      <c r="A2086" s="2182" t="str">
        <f t="shared" si="402"/>
        <v/>
      </c>
      <c r="B2086" s="2357" t="s">
        <v>566</v>
      </c>
      <c r="C2086" s="2407"/>
      <c r="D2086" s="2152"/>
      <c r="E2086" s="2408" t="s">
        <v>5072</v>
      </c>
      <c r="F2086" s="2152" t="s">
        <v>2439</v>
      </c>
      <c r="G2086" s="2462">
        <f>G2085</f>
        <v>0</v>
      </c>
      <c r="H2086" s="2359">
        <v>92200</v>
      </c>
      <c r="I2086" s="2408"/>
      <c r="J2086" s="2408"/>
      <c r="K2086" s="2258"/>
      <c r="L2086" s="2360">
        <f>H2086*G2086</f>
        <v>0</v>
      </c>
      <c r="M2086" s="2360">
        <f>I2086*G2086</f>
        <v>0</v>
      </c>
      <c r="N2086" s="2360">
        <f>J2086*G2086</f>
        <v>0</v>
      </c>
      <c r="O2086" s="2360">
        <f>K2086*G2086</f>
        <v>0</v>
      </c>
      <c r="P2086" s="2265"/>
      <c r="Q2086" s="2266"/>
      <c r="R2086" s="2266"/>
      <c r="S2086" s="2266"/>
    </row>
    <row r="2087" spans="1:19" s="2105" customFormat="1" outlineLevel="1">
      <c r="A2087" s="2182" t="str">
        <f t="shared" si="402"/>
        <v/>
      </c>
      <c r="B2087" s="2357" t="s">
        <v>639</v>
      </c>
      <c r="C2087" s="2407"/>
      <c r="D2087" s="2152" t="s">
        <v>1747</v>
      </c>
      <c r="E2087" s="2408" t="s">
        <v>5324</v>
      </c>
      <c r="F2087" s="2152" t="s">
        <v>856</v>
      </c>
      <c r="G2087" s="2270">
        <f>1.48*G2085</f>
        <v>0</v>
      </c>
      <c r="H2087" s="2359">
        <v>0</v>
      </c>
      <c r="I2087" s="2359"/>
      <c r="J2087" s="2359">
        <v>296500.89999999997</v>
      </c>
      <c r="K2087" s="2258"/>
      <c r="L2087" s="2360">
        <f>H2087*G2087</f>
        <v>0</v>
      </c>
      <c r="M2087" s="2360">
        <f>I2087*G2087</f>
        <v>0</v>
      </c>
      <c r="N2087" s="2360">
        <f>J2087*G2087</f>
        <v>0</v>
      </c>
      <c r="O2087" s="2360">
        <f>K2087*G2087</f>
        <v>0</v>
      </c>
      <c r="P2087" s="2265"/>
      <c r="Q2087" s="2266"/>
      <c r="R2087" s="2266"/>
      <c r="S2087" s="2266"/>
    </row>
    <row r="2088" spans="1:19" s="2105" customFormat="1" outlineLevel="1">
      <c r="A2088" s="2182" t="str">
        <f t="shared" si="402"/>
        <v/>
      </c>
      <c r="B2088" s="2357" t="s">
        <v>21</v>
      </c>
      <c r="C2088" s="2407"/>
      <c r="D2088" s="2152" t="s">
        <v>5325</v>
      </c>
      <c r="E2088" s="2408" t="s">
        <v>5326</v>
      </c>
      <c r="F2088" s="2152" t="s">
        <v>856</v>
      </c>
      <c r="G2088" s="2270">
        <f>1.39*G2084</f>
        <v>0</v>
      </c>
      <c r="H2088" s="2359">
        <v>0</v>
      </c>
      <c r="I2088" s="2359"/>
      <c r="J2088" s="2359">
        <v>117703.6</v>
      </c>
      <c r="K2088" s="2258"/>
      <c r="L2088" s="2360">
        <f>H2088*G2088</f>
        <v>0</v>
      </c>
      <c r="M2088" s="2360">
        <f>I2088*G2088</f>
        <v>0</v>
      </c>
      <c r="N2088" s="2360">
        <f>J2088*G2088</f>
        <v>0</v>
      </c>
      <c r="O2088" s="2360">
        <f>K2088*G2088</f>
        <v>0</v>
      </c>
      <c r="P2088" s="2265"/>
      <c r="Q2088" s="2266"/>
      <c r="R2088" s="2266"/>
      <c r="S2088" s="2266"/>
    </row>
    <row r="2089" spans="1:19" s="2105" customFormat="1" outlineLevel="1">
      <c r="A2089" s="2182" t="str">
        <f t="shared" si="402"/>
        <v/>
      </c>
      <c r="B2089" s="2261"/>
      <c r="C2089" s="2258">
        <f>IF(G2089&gt;0,C2079+1,C2079)</f>
        <v>0</v>
      </c>
      <c r="D2089" s="2411"/>
      <c r="E2089" s="2403" t="s">
        <v>3714</v>
      </c>
      <c r="F2089" s="2402" t="s">
        <v>2385</v>
      </c>
      <c r="G2089" s="2448">
        <f>G2057*1</f>
        <v>0</v>
      </c>
      <c r="H2089" s="2413"/>
      <c r="I2089" s="2413"/>
      <c r="J2089" s="2413"/>
      <c r="K2089" s="2413"/>
      <c r="L2089" s="2413"/>
      <c r="M2089" s="2413"/>
      <c r="N2089" s="2413"/>
      <c r="O2089" s="2413"/>
      <c r="P2089" s="2449"/>
      <c r="Q2089" s="2266"/>
      <c r="R2089" s="2266"/>
      <c r="S2089" s="2266"/>
    </row>
    <row r="2090" spans="1:19" s="2105" customFormat="1" ht="14.4" outlineLevel="1">
      <c r="A2090" s="2182" t="str">
        <f>A2089</f>
        <v/>
      </c>
      <c r="B2090" s="2261"/>
      <c r="C2090" s="2258"/>
      <c r="D2090" s="2414"/>
      <c r="E2090" s="2267" t="s">
        <v>6133</v>
      </c>
      <c r="F2090" s="2268"/>
      <c r="G2090" s="2450"/>
      <c r="H2090" s="2415"/>
      <c r="I2090" s="2415"/>
      <c r="J2090" s="2415"/>
      <c r="K2090" s="2415"/>
      <c r="L2090" s="2415"/>
      <c r="M2090" s="2415"/>
      <c r="N2090" s="2415"/>
      <c r="O2090" s="2415"/>
      <c r="P2090" s="2449"/>
      <c r="Q2090" s="2266"/>
      <c r="R2090" s="2266"/>
      <c r="S2090" s="2266"/>
    </row>
    <row r="2091" spans="1:19" s="2105" customFormat="1" outlineLevel="1">
      <c r="A2091" s="2182" t="str">
        <f t="shared" ref="A2091:A2107" si="403">IF(G2091&lt;&gt;0,1,"")</f>
        <v/>
      </c>
      <c r="B2091" s="2252" t="s">
        <v>5841</v>
      </c>
      <c r="C2091" s="2258"/>
      <c r="D2091" s="2152">
        <v>0</v>
      </c>
      <c r="E2091" s="2194" t="s">
        <v>5842</v>
      </c>
      <c r="F2091" s="2152" t="s">
        <v>2248</v>
      </c>
      <c r="G2091" s="2450">
        <f>+G2089*2.033*2*18.4</f>
        <v>0</v>
      </c>
      <c r="H2091" s="2359">
        <v>31625</v>
      </c>
      <c r="I2091" s="2416"/>
      <c r="J2091" s="2359"/>
      <c r="K2091" s="2359">
        <v>0</v>
      </c>
      <c r="L2091" s="2360">
        <f t="shared" ref="L2091:L2106" si="404">H2091*G2091</f>
        <v>0</v>
      </c>
      <c r="M2091" s="2360">
        <f t="shared" ref="M2091:M2115" si="405">I2091*G2091</f>
        <v>0</v>
      </c>
      <c r="N2091" s="2359"/>
      <c r="O2091" s="2360">
        <f t="shared" ref="O2091:O2115" si="406">K2091*G2091</f>
        <v>0</v>
      </c>
      <c r="P2091" s="2449"/>
      <c r="Q2091" s="2266">
        <f>L2091/2</f>
        <v>0</v>
      </c>
      <c r="R2091" s="2266"/>
      <c r="S2091" s="2266"/>
    </row>
    <row r="2092" spans="1:19" s="2105" customFormat="1" outlineLevel="1">
      <c r="A2092" s="2182" t="str">
        <f t="shared" si="403"/>
        <v/>
      </c>
      <c r="B2092" s="2252" t="s">
        <v>5843</v>
      </c>
      <c r="C2092" s="2258"/>
      <c r="D2092" s="2152">
        <v>0</v>
      </c>
      <c r="E2092" s="2194" t="s">
        <v>5844</v>
      </c>
      <c r="F2092" s="2152" t="s">
        <v>2248</v>
      </c>
      <c r="G2092" s="2450">
        <f>+G2089*0.4*2*8.59</f>
        <v>0</v>
      </c>
      <c r="H2092" s="2359">
        <v>31625</v>
      </c>
      <c r="I2092" s="2416"/>
      <c r="J2092" s="2359"/>
      <c r="K2092" s="2359">
        <v>0</v>
      </c>
      <c r="L2092" s="2360">
        <f t="shared" si="404"/>
        <v>0</v>
      </c>
      <c r="M2092" s="2360">
        <f t="shared" si="405"/>
        <v>0</v>
      </c>
      <c r="N2092" s="2359"/>
      <c r="O2092" s="2360">
        <f t="shared" si="406"/>
        <v>0</v>
      </c>
      <c r="P2092" s="2449"/>
      <c r="Q2092" s="2266">
        <f t="shared" ref="Q2092:Q2105" si="407">L2092/2</f>
        <v>0</v>
      </c>
      <c r="R2092" s="2266"/>
      <c r="S2092" s="2266"/>
    </row>
    <row r="2093" spans="1:19" s="2105" customFormat="1" outlineLevel="1">
      <c r="A2093" s="2182" t="str">
        <f t="shared" si="403"/>
        <v/>
      </c>
      <c r="B2093" s="2252" t="s">
        <v>5847</v>
      </c>
      <c r="C2093" s="2258"/>
      <c r="D2093" s="2152">
        <v>0</v>
      </c>
      <c r="E2093" s="2194" t="s">
        <v>5848</v>
      </c>
      <c r="F2093" s="2152" t="s">
        <v>2248</v>
      </c>
      <c r="G2093" s="2450">
        <f>+G2089*1.428*1*18.4</f>
        <v>0</v>
      </c>
      <c r="H2093" s="2359">
        <v>31625</v>
      </c>
      <c r="I2093" s="2416"/>
      <c r="J2093" s="2359"/>
      <c r="K2093" s="2359">
        <v>0</v>
      </c>
      <c r="L2093" s="2360">
        <f t="shared" si="404"/>
        <v>0</v>
      </c>
      <c r="M2093" s="2360">
        <f t="shared" si="405"/>
        <v>0</v>
      </c>
      <c r="N2093" s="2359"/>
      <c r="O2093" s="2360">
        <f t="shared" si="406"/>
        <v>0</v>
      </c>
      <c r="P2093" s="2449"/>
      <c r="Q2093" s="2266">
        <f t="shared" si="407"/>
        <v>0</v>
      </c>
      <c r="R2093" s="2266"/>
      <c r="S2093" s="2266"/>
    </row>
    <row r="2094" spans="1:19" s="2105" customFormat="1" outlineLevel="1">
      <c r="A2094" s="2182" t="str">
        <f t="shared" si="403"/>
        <v/>
      </c>
      <c r="B2094" s="2252" t="s">
        <v>5849</v>
      </c>
      <c r="C2094" s="2258"/>
      <c r="D2094" s="2152">
        <v>0</v>
      </c>
      <c r="E2094" s="2194" t="s">
        <v>5850</v>
      </c>
      <c r="F2094" s="2152" t="s">
        <v>2248</v>
      </c>
      <c r="G2094" s="2450">
        <f>+G2089*0.75*1*8.59</f>
        <v>0</v>
      </c>
      <c r="H2094" s="2359">
        <v>31625</v>
      </c>
      <c r="I2094" s="2416"/>
      <c r="J2094" s="2359"/>
      <c r="K2094" s="2359">
        <v>0</v>
      </c>
      <c r="L2094" s="2360">
        <f t="shared" si="404"/>
        <v>0</v>
      </c>
      <c r="M2094" s="2360">
        <f t="shared" si="405"/>
        <v>0</v>
      </c>
      <c r="N2094" s="2359"/>
      <c r="O2094" s="2360">
        <f t="shared" si="406"/>
        <v>0</v>
      </c>
      <c r="P2094" s="2449"/>
      <c r="Q2094" s="2266">
        <f t="shared" si="407"/>
        <v>0</v>
      </c>
      <c r="R2094" s="2266"/>
      <c r="S2094" s="2266"/>
    </row>
    <row r="2095" spans="1:19" s="2105" customFormat="1" outlineLevel="1">
      <c r="A2095" s="2182" t="str">
        <f t="shared" si="403"/>
        <v/>
      </c>
      <c r="B2095" s="2252" t="s">
        <v>5851</v>
      </c>
      <c r="C2095" s="2258"/>
      <c r="D2095" s="2152">
        <v>0</v>
      </c>
      <c r="E2095" s="2194" t="s">
        <v>5852</v>
      </c>
      <c r="F2095" s="2152" t="s">
        <v>2248</v>
      </c>
      <c r="G2095" s="2450">
        <f>+G2089*0.75*1*8.59</f>
        <v>0</v>
      </c>
      <c r="H2095" s="2359">
        <v>31625</v>
      </c>
      <c r="I2095" s="2416"/>
      <c r="J2095" s="2359"/>
      <c r="K2095" s="2359">
        <v>0</v>
      </c>
      <c r="L2095" s="2360">
        <f t="shared" si="404"/>
        <v>0</v>
      </c>
      <c r="M2095" s="2360">
        <f t="shared" si="405"/>
        <v>0</v>
      </c>
      <c r="N2095" s="2359"/>
      <c r="O2095" s="2360">
        <f t="shared" si="406"/>
        <v>0</v>
      </c>
      <c r="P2095" s="2449"/>
      <c r="Q2095" s="2266">
        <f t="shared" si="407"/>
        <v>0</v>
      </c>
      <c r="R2095" s="2266"/>
      <c r="S2095" s="2266"/>
    </row>
    <row r="2096" spans="1:19" s="2105" customFormat="1" outlineLevel="1">
      <c r="A2096" s="2182" t="str">
        <f t="shared" si="403"/>
        <v/>
      </c>
      <c r="B2096" s="2252" t="s">
        <v>5855</v>
      </c>
      <c r="C2096" s="2258"/>
      <c r="D2096" s="2152">
        <v>0</v>
      </c>
      <c r="E2096" s="2194" t="s">
        <v>5856</v>
      </c>
      <c r="F2096" s="2152" t="s">
        <v>2248</v>
      </c>
      <c r="G2096" s="2450">
        <f>+G2089*1.5*2*18.4</f>
        <v>0</v>
      </c>
      <c r="H2096" s="2359">
        <v>31625</v>
      </c>
      <c r="I2096" s="2416"/>
      <c r="J2096" s="2359"/>
      <c r="K2096" s="2359">
        <v>0</v>
      </c>
      <c r="L2096" s="2360">
        <f t="shared" si="404"/>
        <v>0</v>
      </c>
      <c r="M2096" s="2360">
        <f t="shared" si="405"/>
        <v>0</v>
      </c>
      <c r="N2096" s="2359"/>
      <c r="O2096" s="2360">
        <f t="shared" si="406"/>
        <v>0</v>
      </c>
      <c r="P2096" s="2449"/>
      <c r="Q2096" s="2266">
        <f t="shared" si="407"/>
        <v>0</v>
      </c>
      <c r="R2096" s="2266"/>
      <c r="S2096" s="2266"/>
    </row>
    <row r="2097" spans="1:19" s="2105" customFormat="1" outlineLevel="1">
      <c r="A2097" s="2182" t="str">
        <f t="shared" si="403"/>
        <v/>
      </c>
      <c r="B2097" s="2252" t="s">
        <v>5857</v>
      </c>
      <c r="C2097" s="2258"/>
      <c r="D2097" s="2152">
        <v>0</v>
      </c>
      <c r="E2097" s="2194" t="s">
        <v>5858</v>
      </c>
      <c r="F2097" s="2152" t="s">
        <v>2248</v>
      </c>
      <c r="G2097" s="2450">
        <f>+G2089*0.7*2*8.59</f>
        <v>0</v>
      </c>
      <c r="H2097" s="2359">
        <v>31625</v>
      </c>
      <c r="I2097" s="2416"/>
      <c r="J2097" s="2359"/>
      <c r="K2097" s="2359">
        <v>0</v>
      </c>
      <c r="L2097" s="2360">
        <f t="shared" si="404"/>
        <v>0</v>
      </c>
      <c r="M2097" s="2360">
        <f t="shared" si="405"/>
        <v>0</v>
      </c>
      <c r="N2097" s="2359"/>
      <c r="O2097" s="2360">
        <f t="shared" si="406"/>
        <v>0</v>
      </c>
      <c r="P2097" s="2449"/>
      <c r="Q2097" s="2266">
        <f t="shared" si="407"/>
        <v>0</v>
      </c>
      <c r="R2097" s="2266"/>
      <c r="S2097" s="2266"/>
    </row>
    <row r="2098" spans="1:19" s="2105" customFormat="1" outlineLevel="1">
      <c r="A2098" s="2182" t="str">
        <f t="shared" si="403"/>
        <v/>
      </c>
      <c r="B2098" s="2252" t="s">
        <v>5861</v>
      </c>
      <c r="C2098" s="2258"/>
      <c r="D2098" s="2152">
        <v>0</v>
      </c>
      <c r="E2098" s="2194" t="s">
        <v>5862</v>
      </c>
      <c r="F2098" s="2152" t="s">
        <v>2248</v>
      </c>
      <c r="G2098" s="2450">
        <f>+G2089*0.8*1*18.4</f>
        <v>0</v>
      </c>
      <c r="H2098" s="2359">
        <v>31625</v>
      </c>
      <c r="I2098" s="2416"/>
      <c r="J2098" s="2359"/>
      <c r="K2098" s="2359">
        <v>0</v>
      </c>
      <c r="L2098" s="2360">
        <f t="shared" si="404"/>
        <v>0</v>
      </c>
      <c r="M2098" s="2360">
        <f t="shared" si="405"/>
        <v>0</v>
      </c>
      <c r="N2098" s="2359"/>
      <c r="O2098" s="2360">
        <f t="shared" si="406"/>
        <v>0</v>
      </c>
      <c r="P2098" s="2449"/>
      <c r="Q2098" s="2266">
        <f t="shared" si="407"/>
        <v>0</v>
      </c>
      <c r="R2098" s="2266"/>
      <c r="S2098" s="2266"/>
    </row>
    <row r="2099" spans="1:19" s="2105" customFormat="1" outlineLevel="1">
      <c r="A2099" s="2182" t="str">
        <f t="shared" si="403"/>
        <v/>
      </c>
      <c r="B2099" s="2252" t="s">
        <v>5863</v>
      </c>
      <c r="C2099" s="2258"/>
      <c r="D2099" s="2152">
        <v>0</v>
      </c>
      <c r="E2099" s="2194" t="s">
        <v>5864</v>
      </c>
      <c r="F2099" s="2152" t="s">
        <v>2248</v>
      </c>
      <c r="G2099" s="2450">
        <f>+G2089*0.7*1*8.59</f>
        <v>0</v>
      </c>
      <c r="H2099" s="2359">
        <v>31625</v>
      </c>
      <c r="I2099" s="2416"/>
      <c r="J2099" s="2359"/>
      <c r="K2099" s="2359">
        <v>0</v>
      </c>
      <c r="L2099" s="2360">
        <f t="shared" si="404"/>
        <v>0</v>
      </c>
      <c r="M2099" s="2360">
        <f t="shared" si="405"/>
        <v>0</v>
      </c>
      <c r="N2099" s="2359"/>
      <c r="O2099" s="2360">
        <f t="shared" si="406"/>
        <v>0</v>
      </c>
      <c r="P2099" s="2449"/>
      <c r="Q2099" s="2266">
        <f t="shared" si="407"/>
        <v>0</v>
      </c>
      <c r="R2099" s="2266"/>
      <c r="S2099" s="2266"/>
    </row>
    <row r="2100" spans="1:19" s="2105" customFormat="1" outlineLevel="1">
      <c r="A2100" s="2182" t="str">
        <f t="shared" si="403"/>
        <v/>
      </c>
      <c r="B2100" s="2252" t="s">
        <v>5867</v>
      </c>
      <c r="C2100" s="2258"/>
      <c r="D2100" s="2152">
        <v>0</v>
      </c>
      <c r="E2100" s="2194" t="s">
        <v>5868</v>
      </c>
      <c r="F2100" s="2152" t="s">
        <v>2248</v>
      </c>
      <c r="G2100" s="2450">
        <f>G2089*0.8*1*18.4</f>
        <v>0</v>
      </c>
      <c r="H2100" s="2359">
        <v>31625</v>
      </c>
      <c r="I2100" s="2416"/>
      <c r="J2100" s="2359"/>
      <c r="K2100" s="2359">
        <v>0</v>
      </c>
      <c r="L2100" s="2360">
        <f t="shared" si="404"/>
        <v>0</v>
      </c>
      <c r="M2100" s="2360">
        <f t="shared" si="405"/>
        <v>0</v>
      </c>
      <c r="N2100" s="2359"/>
      <c r="O2100" s="2360">
        <f t="shared" si="406"/>
        <v>0</v>
      </c>
      <c r="P2100" s="2449"/>
      <c r="Q2100" s="2266">
        <f t="shared" si="407"/>
        <v>0</v>
      </c>
      <c r="R2100" s="2266"/>
      <c r="S2100" s="2266"/>
    </row>
    <row r="2101" spans="1:19" s="2105" customFormat="1" outlineLevel="1">
      <c r="A2101" s="2182" t="str">
        <f t="shared" si="403"/>
        <v/>
      </c>
      <c r="B2101" s="2252" t="s">
        <v>4838</v>
      </c>
      <c r="C2101" s="2258"/>
      <c r="D2101" s="2152">
        <v>0</v>
      </c>
      <c r="E2101" s="2194" t="s">
        <v>5065</v>
      </c>
      <c r="F2101" s="2152" t="s">
        <v>2439</v>
      </c>
      <c r="G2101" s="2450">
        <f>+G2089*9</f>
        <v>0</v>
      </c>
      <c r="H2101" s="2359">
        <v>109000</v>
      </c>
      <c r="I2101" s="2416"/>
      <c r="J2101" s="2359"/>
      <c r="K2101" s="2359">
        <v>0</v>
      </c>
      <c r="L2101" s="2360">
        <f t="shared" si="404"/>
        <v>0</v>
      </c>
      <c r="M2101" s="2360">
        <f t="shared" si="405"/>
        <v>0</v>
      </c>
      <c r="N2101" s="2359"/>
      <c r="O2101" s="2360">
        <f t="shared" si="406"/>
        <v>0</v>
      </c>
      <c r="P2101" s="2449"/>
      <c r="Q2101" s="2266">
        <f t="shared" si="407"/>
        <v>0</v>
      </c>
      <c r="R2101" s="2266"/>
      <c r="S2101" s="2266"/>
    </row>
    <row r="2102" spans="1:19" s="2105" customFormat="1" outlineLevel="1">
      <c r="A2102" s="2182" t="str">
        <f t="shared" si="403"/>
        <v/>
      </c>
      <c r="B2102" s="2252" t="s">
        <v>5060</v>
      </c>
      <c r="C2102" s="2258"/>
      <c r="D2102" s="2152">
        <v>0</v>
      </c>
      <c r="E2102" s="2194" t="s">
        <v>5061</v>
      </c>
      <c r="F2102" s="2152" t="s">
        <v>2439</v>
      </c>
      <c r="G2102" s="2450">
        <f>+G2089*2</f>
        <v>0</v>
      </c>
      <c r="H2102" s="2359">
        <v>42400</v>
      </c>
      <c r="I2102" s="2416"/>
      <c r="J2102" s="2359"/>
      <c r="K2102" s="2359">
        <v>0</v>
      </c>
      <c r="L2102" s="2360">
        <f t="shared" si="404"/>
        <v>0</v>
      </c>
      <c r="M2102" s="2360">
        <f t="shared" si="405"/>
        <v>0</v>
      </c>
      <c r="N2102" s="2359"/>
      <c r="O2102" s="2360">
        <f t="shared" si="406"/>
        <v>0</v>
      </c>
      <c r="P2102" s="2449"/>
      <c r="Q2102" s="2266">
        <f t="shared" si="407"/>
        <v>0</v>
      </c>
      <c r="R2102" s="2266"/>
      <c r="S2102" s="2266"/>
    </row>
    <row r="2103" spans="1:19" s="2105" customFormat="1" outlineLevel="1">
      <c r="A2103" s="2182" t="str">
        <f t="shared" si="403"/>
        <v/>
      </c>
      <c r="B2103" s="2252" t="s">
        <v>1781</v>
      </c>
      <c r="C2103" s="2258"/>
      <c r="D2103" s="2152">
        <v>0</v>
      </c>
      <c r="E2103" s="2194" t="s">
        <v>2662</v>
      </c>
      <c r="F2103" s="2152" t="s">
        <v>2439</v>
      </c>
      <c r="G2103" s="2450">
        <f>+G2089*4</f>
        <v>0</v>
      </c>
      <c r="H2103" s="2359">
        <v>34800</v>
      </c>
      <c r="I2103" s="2416"/>
      <c r="J2103" s="2359"/>
      <c r="K2103" s="2359">
        <v>0</v>
      </c>
      <c r="L2103" s="2360">
        <f t="shared" si="404"/>
        <v>0</v>
      </c>
      <c r="M2103" s="2360">
        <f t="shared" si="405"/>
        <v>0</v>
      </c>
      <c r="N2103" s="2359"/>
      <c r="O2103" s="2360">
        <f t="shared" si="406"/>
        <v>0</v>
      </c>
      <c r="P2103" s="2449"/>
      <c r="Q2103" s="2266">
        <f t="shared" si="407"/>
        <v>0</v>
      </c>
      <c r="R2103" s="2266"/>
      <c r="S2103" s="2266"/>
    </row>
    <row r="2104" spans="1:19" s="2105" customFormat="1" outlineLevel="1">
      <c r="A2104" s="2182" t="str">
        <f t="shared" si="403"/>
        <v/>
      </c>
      <c r="B2104" s="2252" t="s">
        <v>1609</v>
      </c>
      <c r="C2104" s="2258"/>
      <c r="D2104" s="2152">
        <v>0</v>
      </c>
      <c r="E2104" s="2194" t="s">
        <v>2645</v>
      </c>
      <c r="F2104" s="2152" t="s">
        <v>2439</v>
      </c>
      <c r="G2104" s="2450">
        <f>+G2089*6</f>
        <v>0</v>
      </c>
      <c r="H2104" s="2359">
        <v>13400</v>
      </c>
      <c r="I2104" s="2416"/>
      <c r="J2104" s="2359"/>
      <c r="K2104" s="2359">
        <v>0</v>
      </c>
      <c r="L2104" s="2360">
        <f t="shared" si="404"/>
        <v>0</v>
      </c>
      <c r="M2104" s="2360">
        <f t="shared" si="405"/>
        <v>0</v>
      </c>
      <c r="N2104" s="2359"/>
      <c r="O2104" s="2360">
        <f t="shared" si="406"/>
        <v>0</v>
      </c>
      <c r="P2104" s="2449"/>
      <c r="Q2104" s="2266">
        <f t="shared" si="407"/>
        <v>0</v>
      </c>
      <c r="R2104" s="2266"/>
      <c r="S2104" s="2266"/>
    </row>
    <row r="2105" spans="1:19" s="2105" customFormat="1" outlineLevel="1">
      <c r="A2105" s="2182" t="str">
        <f t="shared" si="403"/>
        <v/>
      </c>
      <c r="B2105" s="2252" t="s">
        <v>1786</v>
      </c>
      <c r="C2105" s="2258"/>
      <c r="D2105" s="2152">
        <v>0</v>
      </c>
      <c r="E2105" s="2194" t="s">
        <v>2639</v>
      </c>
      <c r="F2105" s="2152" t="s">
        <v>2439</v>
      </c>
      <c r="G2105" s="2450">
        <f>+G2089*12</f>
        <v>0</v>
      </c>
      <c r="H2105" s="2359">
        <v>12400</v>
      </c>
      <c r="I2105" s="2416"/>
      <c r="J2105" s="2359"/>
      <c r="K2105" s="2359">
        <v>0</v>
      </c>
      <c r="L2105" s="2360">
        <f t="shared" si="404"/>
        <v>0</v>
      </c>
      <c r="M2105" s="2360">
        <f t="shared" si="405"/>
        <v>0</v>
      </c>
      <c r="N2105" s="2359"/>
      <c r="O2105" s="2360">
        <f t="shared" si="406"/>
        <v>0</v>
      </c>
      <c r="P2105" s="2449"/>
      <c r="Q2105" s="2266">
        <f t="shared" si="407"/>
        <v>0</v>
      </c>
      <c r="R2105" s="2266"/>
      <c r="S2105" s="2266"/>
    </row>
    <row r="2106" spans="1:19" s="2105" customFormat="1" outlineLevel="1">
      <c r="A2106" s="2182" t="str">
        <f t="shared" si="403"/>
        <v/>
      </c>
      <c r="B2106" s="2252" t="s">
        <v>1083</v>
      </c>
      <c r="C2106" s="2258"/>
      <c r="D2106" s="2152">
        <v>0</v>
      </c>
      <c r="E2106" s="2194" t="s">
        <v>2652</v>
      </c>
      <c r="F2106" s="2152" t="s">
        <v>2439</v>
      </c>
      <c r="G2106" s="2450"/>
      <c r="H2106" s="2359">
        <v>29900</v>
      </c>
      <c r="I2106" s="2416"/>
      <c r="J2106" s="2359"/>
      <c r="K2106" s="2359">
        <v>0</v>
      </c>
      <c r="L2106" s="2360">
        <f t="shared" si="404"/>
        <v>0</v>
      </c>
      <c r="M2106" s="2360">
        <f t="shared" si="405"/>
        <v>0</v>
      </c>
      <c r="N2106" s="2359"/>
      <c r="O2106" s="2360">
        <f t="shared" si="406"/>
        <v>0</v>
      </c>
      <c r="P2106" s="2449"/>
      <c r="Q2106" s="2266">
        <f>L2106/4</f>
        <v>0</v>
      </c>
      <c r="R2106" s="2266"/>
      <c r="S2106" s="2266"/>
    </row>
    <row r="2107" spans="1:19" s="2105" customFormat="1" outlineLevel="1">
      <c r="A2107" s="2182" t="str">
        <f t="shared" si="403"/>
        <v/>
      </c>
      <c r="B2107" s="2252" t="s">
        <v>1079</v>
      </c>
      <c r="C2107" s="2258"/>
      <c r="D2107" s="2152">
        <v>0</v>
      </c>
      <c r="E2107" s="2194" t="s">
        <v>2651</v>
      </c>
      <c r="F2107" s="2152" t="s">
        <v>2439</v>
      </c>
      <c r="G2107" s="2450"/>
      <c r="H2107" s="2359">
        <v>27900</v>
      </c>
      <c r="I2107" s="2416"/>
      <c r="J2107" s="2359"/>
      <c r="K2107" s="2359">
        <v>0</v>
      </c>
      <c r="L2107" s="2360">
        <f>H2107*G2107</f>
        <v>0</v>
      </c>
      <c r="M2107" s="2360">
        <f t="shared" si="405"/>
        <v>0</v>
      </c>
      <c r="N2107" s="2359"/>
      <c r="O2107" s="2360">
        <f t="shared" si="406"/>
        <v>0</v>
      </c>
      <c r="P2107" s="2449"/>
      <c r="Q2107" s="2266"/>
      <c r="R2107" s="2266"/>
      <c r="S2107" s="2266"/>
    </row>
    <row r="2108" spans="1:19" s="2105" customFormat="1" outlineLevel="1">
      <c r="A2108" s="2182" t="str">
        <f>IF(G2108&lt;&gt;0,1,"")</f>
        <v/>
      </c>
      <c r="B2108" s="2121" t="s">
        <v>5425</v>
      </c>
      <c r="C2108" s="2258"/>
      <c r="D2108" s="2152" t="s">
        <v>5426</v>
      </c>
      <c r="E2108" s="2194" t="s">
        <v>5427</v>
      </c>
      <c r="F2108" s="2152" t="s">
        <v>2248</v>
      </c>
      <c r="G2108" s="2450">
        <f>SUM(G2091:G2100)</f>
        <v>0</v>
      </c>
      <c r="H2108" s="2359">
        <v>0</v>
      </c>
      <c r="I2108" s="2416"/>
      <c r="J2108" s="2359">
        <v>2025</v>
      </c>
      <c r="K2108" s="2359">
        <v>0</v>
      </c>
      <c r="L2108" s="2360">
        <f>H2108*G2108</f>
        <v>0</v>
      </c>
      <c r="M2108" s="2360">
        <f t="shared" si="405"/>
        <v>0</v>
      </c>
      <c r="N2108" s="2264">
        <f>J2108*G2108</f>
        <v>0</v>
      </c>
      <c r="O2108" s="2360">
        <f t="shared" si="406"/>
        <v>0</v>
      </c>
      <c r="P2108" s="2449"/>
      <c r="Q2108" s="2266"/>
      <c r="R2108" s="2266"/>
      <c r="S2108" s="2266"/>
    </row>
    <row r="2109" spans="1:19" s="2105" customFormat="1" outlineLevel="1">
      <c r="A2109" s="2182" t="str">
        <f>IF(G2109&lt;&gt;0,1,"")</f>
        <v/>
      </c>
      <c r="B2109" s="2261"/>
      <c r="C2109" s="2258">
        <f>IF(G2109&gt;0,C2089+1,C2085)</f>
        <v>0</v>
      </c>
      <c r="D2109" s="2259"/>
      <c r="E2109" s="2417" t="s">
        <v>6237</v>
      </c>
      <c r="F2109" s="2258" t="s">
        <v>2385</v>
      </c>
      <c r="G2109" s="2451">
        <f>+G2057*1</f>
        <v>0</v>
      </c>
      <c r="H2109" s="2416"/>
      <c r="I2109" s="2416"/>
      <c r="J2109" s="2416"/>
      <c r="K2109" s="2416"/>
      <c r="L2109" s="2360">
        <f t="shared" ref="L2109:L2135" si="408">H2109*G2109</f>
        <v>0</v>
      </c>
      <c r="M2109" s="2360">
        <f t="shared" si="405"/>
        <v>0</v>
      </c>
      <c r="N2109" s="2360">
        <f t="shared" ref="N2109:N2135" si="409">J2109*G2109</f>
        <v>0</v>
      </c>
      <c r="O2109" s="2360">
        <f t="shared" si="406"/>
        <v>0</v>
      </c>
      <c r="P2109" s="2449"/>
      <c r="Q2109" s="2266"/>
      <c r="R2109" s="2266"/>
      <c r="S2109" s="2266"/>
    </row>
    <row r="2110" spans="1:19" s="2105" customFormat="1" ht="14.4" outlineLevel="1">
      <c r="A2110" s="2182" t="str">
        <f>A2109</f>
        <v/>
      </c>
      <c r="B2110" s="2261"/>
      <c r="C2110" s="2258"/>
      <c r="D2110" s="2259"/>
      <c r="E2110" s="2267" t="s">
        <v>6133</v>
      </c>
      <c r="F2110" s="2268"/>
      <c r="G2110" s="2450"/>
      <c r="H2110" s="2416"/>
      <c r="I2110" s="2416"/>
      <c r="J2110" s="2416"/>
      <c r="K2110" s="2416"/>
      <c r="L2110" s="2360">
        <f t="shared" si="408"/>
        <v>0</v>
      </c>
      <c r="M2110" s="2360">
        <f t="shared" si="405"/>
        <v>0</v>
      </c>
      <c r="N2110" s="2360">
        <f t="shared" si="409"/>
        <v>0</v>
      </c>
      <c r="O2110" s="2360">
        <f t="shared" si="406"/>
        <v>0</v>
      </c>
      <c r="P2110" s="2449"/>
      <c r="Q2110" s="2266"/>
      <c r="R2110" s="2266"/>
      <c r="S2110" s="2266"/>
    </row>
    <row r="2111" spans="1:19" s="2105" customFormat="1" outlineLevel="1">
      <c r="A2111" s="2182" t="str">
        <f t="shared" ref="A2111:A2117" si="410">IF(G2111&lt;&gt;0,1,"")</f>
        <v/>
      </c>
      <c r="B2111" s="2133" t="s">
        <v>5151</v>
      </c>
      <c r="C2111" s="2258"/>
      <c r="D2111" s="2152">
        <v>0</v>
      </c>
      <c r="E2111" s="2194" t="s">
        <v>5152</v>
      </c>
      <c r="F2111" s="2152" t="s">
        <v>2590</v>
      </c>
      <c r="G2111" s="2450">
        <f>+G2109*1</f>
        <v>0</v>
      </c>
      <c r="H2111" s="2359">
        <v>960000</v>
      </c>
      <c r="I2111" s="2359"/>
      <c r="J2111" s="2359">
        <v>0</v>
      </c>
      <c r="K2111" s="2359">
        <v>0</v>
      </c>
      <c r="L2111" s="2360">
        <f t="shared" si="408"/>
        <v>0</v>
      </c>
      <c r="M2111" s="2360">
        <f t="shared" si="405"/>
        <v>0</v>
      </c>
      <c r="N2111" s="2360">
        <f t="shared" si="409"/>
        <v>0</v>
      </c>
      <c r="O2111" s="2360">
        <f t="shared" si="406"/>
        <v>0</v>
      </c>
      <c r="P2111" s="2449"/>
      <c r="Q2111" s="2266"/>
      <c r="R2111" s="2266"/>
      <c r="S2111" s="2266"/>
    </row>
    <row r="2112" spans="1:19" s="2105" customFormat="1" outlineLevel="1">
      <c r="A2112" s="2182" t="str">
        <f t="shared" si="410"/>
        <v/>
      </c>
      <c r="B2112" s="2133" t="s">
        <v>5158</v>
      </c>
      <c r="C2112" s="2258"/>
      <c r="D2112" s="2152">
        <v>0</v>
      </c>
      <c r="E2112" s="2194" t="s">
        <v>5159</v>
      </c>
      <c r="F2112" s="2152" t="s">
        <v>5160</v>
      </c>
      <c r="G2112" s="2450">
        <f>+G2109*2</f>
        <v>0</v>
      </c>
      <c r="H2112" s="2359">
        <v>140000</v>
      </c>
      <c r="I2112" s="2359"/>
      <c r="J2112" s="2359">
        <v>0</v>
      </c>
      <c r="K2112" s="2359">
        <v>0</v>
      </c>
      <c r="L2112" s="2360">
        <f t="shared" si="408"/>
        <v>0</v>
      </c>
      <c r="M2112" s="2360">
        <f t="shared" si="405"/>
        <v>0</v>
      </c>
      <c r="N2112" s="2360">
        <f t="shared" si="409"/>
        <v>0</v>
      </c>
      <c r="O2112" s="2360">
        <f t="shared" si="406"/>
        <v>0</v>
      </c>
      <c r="P2112" s="2449"/>
      <c r="Q2112" s="2266"/>
      <c r="R2112" s="2266"/>
      <c r="S2112" s="2266"/>
    </row>
    <row r="2113" spans="1:19" s="2105" customFormat="1" outlineLevel="1">
      <c r="A2113" s="2182" t="str">
        <f t="shared" si="410"/>
        <v/>
      </c>
      <c r="B2113" s="2130" t="s">
        <v>488</v>
      </c>
      <c r="C2113" s="2258"/>
      <c r="D2113" s="2152">
        <v>0</v>
      </c>
      <c r="E2113" s="2194" t="s">
        <v>5078</v>
      </c>
      <c r="F2113" s="2152" t="s">
        <v>2439</v>
      </c>
      <c r="G2113" s="2450">
        <f>+G2109*3</f>
        <v>0</v>
      </c>
      <c r="H2113" s="2359">
        <v>65000</v>
      </c>
      <c r="I2113" s="2359">
        <v>0</v>
      </c>
      <c r="J2113" s="2359">
        <v>0</v>
      </c>
      <c r="K2113" s="2359">
        <v>0</v>
      </c>
      <c r="L2113" s="2360">
        <f t="shared" si="408"/>
        <v>0</v>
      </c>
      <c r="M2113" s="2360">
        <f t="shared" si="405"/>
        <v>0</v>
      </c>
      <c r="N2113" s="2360">
        <f t="shared" si="409"/>
        <v>0</v>
      </c>
      <c r="O2113" s="2360">
        <f t="shared" si="406"/>
        <v>0</v>
      </c>
      <c r="P2113" s="2449"/>
      <c r="Q2113" s="2266"/>
      <c r="R2113" s="2266"/>
      <c r="S2113" s="2266"/>
    </row>
    <row r="2114" spans="1:19" s="2105" customFormat="1" outlineLevel="1">
      <c r="A2114" s="2182" t="str">
        <f t="shared" si="410"/>
        <v/>
      </c>
      <c r="B2114" s="2261" t="s">
        <v>6260</v>
      </c>
      <c r="C2114" s="2258"/>
      <c r="D2114" s="2152">
        <v>0</v>
      </c>
      <c r="E2114" s="2194" t="s">
        <v>2652</v>
      </c>
      <c r="F2114" s="2152" t="s">
        <v>2439</v>
      </c>
      <c r="G2114" s="2450">
        <f>+G2109*2</f>
        <v>0</v>
      </c>
      <c r="H2114" s="2359">
        <v>29900</v>
      </c>
      <c r="I2114" s="2416"/>
      <c r="J2114" s="2359">
        <v>0</v>
      </c>
      <c r="K2114" s="2359">
        <v>0</v>
      </c>
      <c r="L2114" s="2360">
        <f t="shared" si="408"/>
        <v>0</v>
      </c>
      <c r="M2114" s="2360">
        <f t="shared" si="405"/>
        <v>0</v>
      </c>
      <c r="N2114" s="2360">
        <f t="shared" si="409"/>
        <v>0</v>
      </c>
      <c r="O2114" s="2360">
        <f t="shared" si="406"/>
        <v>0</v>
      </c>
      <c r="P2114" s="2449"/>
      <c r="Q2114" s="2266"/>
      <c r="R2114" s="2266"/>
      <c r="S2114" s="2266"/>
    </row>
    <row r="2115" spans="1:19" s="2105" customFormat="1" outlineLevel="1">
      <c r="A2115" s="2182" t="str">
        <f t="shared" si="410"/>
        <v/>
      </c>
      <c r="B2115" s="2261" t="s">
        <v>6261</v>
      </c>
      <c r="C2115" s="2258"/>
      <c r="D2115" s="2152">
        <v>0</v>
      </c>
      <c r="E2115" s="2194" t="s">
        <v>2640</v>
      </c>
      <c r="F2115" s="2152" t="s">
        <v>2439</v>
      </c>
      <c r="G2115" s="2450">
        <f>+G2109*2</f>
        <v>0</v>
      </c>
      <c r="H2115" s="2359">
        <v>17400</v>
      </c>
      <c r="I2115" s="2416"/>
      <c r="J2115" s="2359">
        <v>0</v>
      </c>
      <c r="K2115" s="2359">
        <v>0</v>
      </c>
      <c r="L2115" s="2360">
        <f t="shared" si="408"/>
        <v>0</v>
      </c>
      <c r="M2115" s="2360">
        <f t="shared" si="405"/>
        <v>0</v>
      </c>
      <c r="N2115" s="2360">
        <f t="shared" si="409"/>
        <v>0</v>
      </c>
      <c r="O2115" s="2360">
        <f t="shared" si="406"/>
        <v>0</v>
      </c>
      <c r="P2115" s="2449"/>
      <c r="Q2115" s="2266"/>
      <c r="R2115" s="2266"/>
      <c r="S2115" s="2266"/>
    </row>
    <row r="2116" spans="1:19" s="2105" customFormat="1" outlineLevel="1">
      <c r="A2116" s="2182" t="str">
        <f t="shared" si="410"/>
        <v/>
      </c>
      <c r="B2116" s="2121" t="s">
        <v>6241</v>
      </c>
      <c r="C2116" s="2258"/>
      <c r="D2116" s="2152" t="s">
        <v>5148</v>
      </c>
      <c r="E2116" s="2194" t="s">
        <v>5377</v>
      </c>
      <c r="F2116" s="2152" t="s">
        <v>2439</v>
      </c>
      <c r="G2116" s="2450">
        <f>+G2109</f>
        <v>0</v>
      </c>
      <c r="H2116" s="2264">
        <v>0</v>
      </c>
      <c r="I2116" s="2359"/>
      <c r="J2116" s="2359">
        <v>131511.15</v>
      </c>
      <c r="K2116" s="2359"/>
      <c r="L2116" s="2360">
        <f t="shared" si="408"/>
        <v>0</v>
      </c>
      <c r="M2116" s="2360"/>
      <c r="N2116" s="2264">
        <f t="shared" si="409"/>
        <v>0</v>
      </c>
      <c r="O2116" s="2360"/>
      <c r="P2116" s="2449"/>
      <c r="Q2116" s="2266"/>
      <c r="R2116" s="2266"/>
      <c r="S2116" s="2266"/>
    </row>
    <row r="2117" spans="1:19" s="2105" customFormat="1" outlineLevel="1">
      <c r="A2117" s="2182" t="str">
        <f t="shared" si="410"/>
        <v/>
      </c>
      <c r="B2117" s="2261"/>
      <c r="C2117" s="2258">
        <f>IF(G2117&gt;0,C2089+2,C2089)</f>
        <v>0</v>
      </c>
      <c r="D2117" s="2259"/>
      <c r="E2117" s="2417" t="s">
        <v>6262</v>
      </c>
      <c r="F2117" s="2258" t="s">
        <v>2385</v>
      </c>
      <c r="G2117" s="2451">
        <f>G2057*1</f>
        <v>0</v>
      </c>
      <c r="H2117" s="2416"/>
      <c r="I2117" s="2416"/>
      <c r="J2117" s="2416"/>
      <c r="K2117" s="2416"/>
      <c r="L2117" s="2360">
        <f t="shared" si="408"/>
        <v>0</v>
      </c>
      <c r="M2117" s="2360">
        <f t="shared" ref="M2117:M2122" si="411">I2117*G2117</f>
        <v>0</v>
      </c>
      <c r="N2117" s="2360">
        <f t="shared" si="409"/>
        <v>0</v>
      </c>
      <c r="O2117" s="2360">
        <f t="shared" ref="O2117:O2122" si="412">K2117*G2117</f>
        <v>0</v>
      </c>
      <c r="P2117" s="2449"/>
      <c r="Q2117" s="2266"/>
      <c r="R2117" s="2266"/>
      <c r="S2117" s="2266"/>
    </row>
    <row r="2118" spans="1:19" s="2105" customFormat="1" ht="14.4" outlineLevel="1">
      <c r="A2118" s="2182" t="str">
        <f>A2117</f>
        <v/>
      </c>
      <c r="B2118" s="2261"/>
      <c r="C2118" s="2258"/>
      <c r="D2118" s="2259"/>
      <c r="E2118" s="2267" t="s">
        <v>6133</v>
      </c>
      <c r="F2118" s="2268"/>
      <c r="G2118" s="2450"/>
      <c r="H2118" s="2416"/>
      <c r="I2118" s="2416"/>
      <c r="J2118" s="2416"/>
      <c r="K2118" s="2416"/>
      <c r="L2118" s="2360">
        <f t="shared" si="408"/>
        <v>0</v>
      </c>
      <c r="M2118" s="2360">
        <f t="shared" si="411"/>
        <v>0</v>
      </c>
      <c r="N2118" s="2360">
        <f t="shared" si="409"/>
        <v>0</v>
      </c>
      <c r="O2118" s="2360">
        <f t="shared" si="412"/>
        <v>0</v>
      </c>
      <c r="P2118" s="2449"/>
      <c r="Q2118" s="2266"/>
      <c r="R2118" s="2266"/>
      <c r="S2118" s="2266"/>
    </row>
    <row r="2119" spans="1:19" s="2105" customFormat="1" outlineLevel="1">
      <c r="A2119" s="2182" t="str">
        <f t="shared" ref="A2119:A2124" si="413">IF(G2119&lt;&gt;0,1,"")</f>
        <v/>
      </c>
      <c r="B2119" s="2252" t="s">
        <v>2022</v>
      </c>
      <c r="C2119" s="2258"/>
      <c r="D2119" s="2152">
        <v>0</v>
      </c>
      <c r="E2119" s="2194" t="s">
        <v>2437</v>
      </c>
      <c r="F2119" s="2152" t="s">
        <v>2248</v>
      </c>
      <c r="G2119" s="2450">
        <f>G2117*9.02*(2.2+4*0.07)</f>
        <v>0</v>
      </c>
      <c r="H2119" s="2264">
        <v>31625</v>
      </c>
      <c r="I2119" s="2359"/>
      <c r="J2119" s="2359">
        <v>0</v>
      </c>
      <c r="K2119" s="2359">
        <v>0</v>
      </c>
      <c r="L2119" s="2360">
        <f t="shared" si="408"/>
        <v>0</v>
      </c>
      <c r="M2119" s="2360">
        <f t="shared" si="411"/>
        <v>0</v>
      </c>
      <c r="N2119" s="2360">
        <f t="shared" si="409"/>
        <v>0</v>
      </c>
      <c r="O2119" s="2360">
        <f t="shared" si="412"/>
        <v>0</v>
      </c>
      <c r="P2119" s="2449"/>
      <c r="Q2119" s="2266"/>
      <c r="R2119" s="2266"/>
      <c r="S2119" s="2266"/>
    </row>
    <row r="2120" spans="1:19" s="2105" customFormat="1" outlineLevel="1">
      <c r="A2120" s="2182" t="str">
        <f t="shared" si="413"/>
        <v/>
      </c>
      <c r="B2120" s="2252" t="s">
        <v>1035</v>
      </c>
      <c r="C2120" s="2258"/>
      <c r="D2120" s="2152">
        <v>0</v>
      </c>
      <c r="E2120" s="2194" t="s">
        <v>2956</v>
      </c>
      <c r="F2120" s="2152" t="s">
        <v>2248</v>
      </c>
      <c r="G2120" s="2450">
        <f>G2117*3.77*0.92*2</f>
        <v>0</v>
      </c>
      <c r="H2120" s="2264">
        <v>31625</v>
      </c>
      <c r="I2120" s="2359"/>
      <c r="J2120" s="2359">
        <v>0</v>
      </c>
      <c r="K2120" s="2359">
        <v>0</v>
      </c>
      <c r="L2120" s="2360">
        <f t="shared" si="408"/>
        <v>0</v>
      </c>
      <c r="M2120" s="2360">
        <f t="shared" si="411"/>
        <v>0</v>
      </c>
      <c r="N2120" s="2360">
        <f t="shared" si="409"/>
        <v>0</v>
      </c>
      <c r="O2120" s="2360">
        <f t="shared" si="412"/>
        <v>0</v>
      </c>
      <c r="P2120" s="2449"/>
      <c r="Q2120" s="2266"/>
      <c r="R2120" s="2266"/>
      <c r="S2120" s="2266"/>
    </row>
    <row r="2121" spans="1:19" s="2105" customFormat="1" outlineLevel="1">
      <c r="A2121" s="2182" t="str">
        <f t="shared" si="413"/>
        <v/>
      </c>
      <c r="B2121" s="2252" t="s">
        <v>1610</v>
      </c>
      <c r="C2121" s="2258"/>
      <c r="D2121" s="2152">
        <v>0</v>
      </c>
      <c r="E2121" s="2194" t="s">
        <v>2649</v>
      </c>
      <c r="F2121" s="2152" t="s">
        <v>2439</v>
      </c>
      <c r="G2121" s="2450">
        <f>+G2117*2</f>
        <v>0</v>
      </c>
      <c r="H2121" s="2264">
        <v>25400</v>
      </c>
      <c r="I2121" s="2359"/>
      <c r="J2121" s="2359">
        <v>0</v>
      </c>
      <c r="K2121" s="2359">
        <v>0</v>
      </c>
      <c r="L2121" s="2360">
        <f t="shared" si="408"/>
        <v>0</v>
      </c>
      <c r="M2121" s="2360">
        <f t="shared" si="411"/>
        <v>0</v>
      </c>
      <c r="N2121" s="2360">
        <f t="shared" si="409"/>
        <v>0</v>
      </c>
      <c r="O2121" s="2360">
        <f t="shared" si="412"/>
        <v>0</v>
      </c>
      <c r="P2121" s="2449"/>
      <c r="Q2121" s="2266"/>
      <c r="R2121" s="2266"/>
      <c r="S2121" s="2266"/>
    </row>
    <row r="2122" spans="1:19" s="2105" customFormat="1" outlineLevel="1">
      <c r="A2122" s="2182" t="str">
        <f t="shared" si="413"/>
        <v/>
      </c>
      <c r="B2122" s="2252" t="s">
        <v>1786</v>
      </c>
      <c r="C2122" s="2258"/>
      <c r="D2122" s="2152">
        <v>0</v>
      </c>
      <c r="E2122" s="2194" t="s">
        <v>2639</v>
      </c>
      <c r="F2122" s="2152" t="s">
        <v>2439</v>
      </c>
      <c r="G2122" s="2450">
        <f>G2117*2</f>
        <v>0</v>
      </c>
      <c r="H2122" s="2264">
        <v>12400</v>
      </c>
      <c r="I2122" s="2359"/>
      <c r="J2122" s="2359">
        <v>0</v>
      </c>
      <c r="K2122" s="2359">
        <v>0</v>
      </c>
      <c r="L2122" s="2360">
        <f t="shared" si="408"/>
        <v>0</v>
      </c>
      <c r="M2122" s="2360">
        <f t="shared" si="411"/>
        <v>0</v>
      </c>
      <c r="N2122" s="2360">
        <f t="shared" si="409"/>
        <v>0</v>
      </c>
      <c r="O2122" s="2360">
        <f t="shared" si="412"/>
        <v>0</v>
      </c>
      <c r="P2122" s="2449"/>
      <c r="Q2122" s="2266"/>
      <c r="R2122" s="2266"/>
      <c r="S2122" s="2266"/>
    </row>
    <row r="2123" spans="1:19" s="2105" customFormat="1" outlineLevel="1">
      <c r="A2123" s="2182" t="str">
        <f t="shared" si="413"/>
        <v/>
      </c>
      <c r="B2123" s="2121" t="s">
        <v>5425</v>
      </c>
      <c r="C2123" s="2258"/>
      <c r="D2123" s="2152" t="s">
        <v>5426</v>
      </c>
      <c r="E2123" s="2194" t="s">
        <v>5427</v>
      </c>
      <c r="F2123" s="2152" t="s">
        <v>2248</v>
      </c>
      <c r="G2123" s="2450">
        <f>SUM(G2119:G2120)</f>
        <v>0</v>
      </c>
      <c r="H2123" s="2264">
        <v>0</v>
      </c>
      <c r="I2123" s="2359"/>
      <c r="J2123" s="2359">
        <v>2025</v>
      </c>
      <c r="K2123" s="2359"/>
      <c r="L2123" s="2360">
        <f t="shared" si="408"/>
        <v>0</v>
      </c>
      <c r="M2123" s="2360"/>
      <c r="N2123" s="2264">
        <f t="shared" si="409"/>
        <v>0</v>
      </c>
      <c r="O2123" s="2360"/>
      <c r="P2123" s="2449"/>
      <c r="Q2123" s="2266"/>
      <c r="R2123" s="2266"/>
      <c r="S2123" s="2266"/>
    </row>
    <row r="2124" spans="1:19" s="2105" customFormat="1" outlineLevel="1">
      <c r="A2124" s="2182" t="str">
        <f t="shared" si="413"/>
        <v/>
      </c>
      <c r="B2124" s="2261"/>
      <c r="C2124" s="2258">
        <f>IF(G2124&gt;0,C2117+1,C2117)</f>
        <v>0</v>
      </c>
      <c r="D2124" s="2259"/>
      <c r="E2124" s="2417" t="s">
        <v>3720</v>
      </c>
      <c r="F2124" s="2258" t="s">
        <v>2385</v>
      </c>
      <c r="G2124" s="2451">
        <f>G2057</f>
        <v>0</v>
      </c>
      <c r="H2124" s="2264"/>
      <c r="I2124" s="2264"/>
      <c r="J2124" s="2264"/>
      <c r="K2124" s="2264"/>
      <c r="L2124" s="2264">
        <f t="shared" si="408"/>
        <v>0</v>
      </c>
      <c r="M2124" s="2264">
        <f>I2124*G2124</f>
        <v>0</v>
      </c>
      <c r="N2124" s="2264">
        <f t="shared" si="409"/>
        <v>0</v>
      </c>
      <c r="O2124" s="2264">
        <f>K2124*G2124</f>
        <v>0</v>
      </c>
      <c r="P2124" s="2441"/>
      <c r="Q2124" s="2266"/>
      <c r="R2124" s="2266"/>
      <c r="S2124" s="2266"/>
    </row>
    <row r="2125" spans="1:19" s="2105" customFormat="1" ht="14.4" outlineLevel="1">
      <c r="A2125" s="2182" t="str">
        <f>+A2124</f>
        <v/>
      </c>
      <c r="B2125" s="2418"/>
      <c r="C2125" s="2258"/>
      <c r="D2125" s="2259"/>
      <c r="E2125" s="2267" t="s">
        <v>6133</v>
      </c>
      <c r="F2125" s="2268"/>
      <c r="G2125" s="2450"/>
      <c r="H2125" s="2264"/>
      <c r="I2125" s="2264"/>
      <c r="J2125" s="2264"/>
      <c r="K2125" s="2264"/>
      <c r="L2125" s="2264">
        <f t="shared" si="408"/>
        <v>0</v>
      </c>
      <c r="M2125" s="2264">
        <f>I2125*G2125</f>
        <v>0</v>
      </c>
      <c r="N2125" s="2264">
        <f t="shared" si="409"/>
        <v>0</v>
      </c>
      <c r="O2125" s="2264">
        <f>K2125*G2125</f>
        <v>0</v>
      </c>
      <c r="P2125" s="2441"/>
      <c r="Q2125" s="2266"/>
      <c r="R2125" s="2266"/>
      <c r="S2125" s="2266"/>
    </row>
    <row r="2126" spans="1:19" s="2105" customFormat="1" outlineLevel="1">
      <c r="A2126" s="2182" t="str">
        <f t="shared" ref="A2126:A2135" si="414">IF(G2126&lt;&gt;0,1,"")</f>
        <v/>
      </c>
      <c r="B2126" s="2261" t="s">
        <v>1033</v>
      </c>
      <c r="C2126" s="2258"/>
      <c r="D2126" s="2152">
        <v>0</v>
      </c>
      <c r="E2126" s="2194" t="s">
        <v>2700</v>
      </c>
      <c r="F2126" s="2152" t="s">
        <v>2248</v>
      </c>
      <c r="G2126" s="2450">
        <f>($H$3+20)*0.224*G2124</f>
        <v>0</v>
      </c>
      <c r="H2126" s="2264">
        <v>255500</v>
      </c>
      <c r="I2126" s="2264"/>
      <c r="J2126" s="2264">
        <v>0</v>
      </c>
      <c r="K2126" s="2264">
        <v>0</v>
      </c>
      <c r="L2126" s="2264">
        <f t="shared" si="408"/>
        <v>0</v>
      </c>
      <c r="M2126" s="2264">
        <f>I2126*G2126</f>
        <v>0</v>
      </c>
      <c r="N2126" s="2264">
        <f t="shared" si="409"/>
        <v>0</v>
      </c>
      <c r="O2126" s="2264">
        <f>K2126*G2126</f>
        <v>0</v>
      </c>
      <c r="P2126" s="2441"/>
      <c r="Q2126" s="2266"/>
      <c r="R2126" s="2266"/>
      <c r="S2126" s="2266"/>
    </row>
    <row r="2127" spans="1:19" s="2105" customFormat="1" outlineLevel="1">
      <c r="A2127" s="2182" t="str">
        <f t="shared" si="414"/>
        <v/>
      </c>
      <c r="B2127" s="2252" t="s">
        <v>1508</v>
      </c>
      <c r="C2127" s="2258"/>
      <c r="D2127" s="2152">
        <v>0</v>
      </c>
      <c r="E2127" s="2194" t="s">
        <v>5163</v>
      </c>
      <c r="F2127" s="2152" t="s">
        <v>2439</v>
      </c>
      <c r="G2127" s="2450">
        <f>$H$2*G2124</f>
        <v>0</v>
      </c>
      <c r="H2127" s="2264">
        <v>160000</v>
      </c>
      <c r="I2127" s="2264"/>
      <c r="J2127" s="2264">
        <v>0</v>
      </c>
      <c r="K2127" s="2264">
        <v>0</v>
      </c>
      <c r="L2127" s="2264">
        <f t="shared" si="408"/>
        <v>0</v>
      </c>
      <c r="M2127" s="2264">
        <f>I2127*G2127</f>
        <v>0</v>
      </c>
      <c r="N2127" s="2264">
        <f t="shared" si="409"/>
        <v>0</v>
      </c>
      <c r="O2127" s="2264">
        <f>K2127*G2127</f>
        <v>0</v>
      </c>
      <c r="P2127" s="2441"/>
      <c r="Q2127" s="2266"/>
      <c r="R2127" s="2266"/>
      <c r="S2127" s="2266"/>
    </row>
    <row r="2128" spans="1:19" s="2105" customFormat="1" outlineLevel="1">
      <c r="A2128" s="2182" t="str">
        <f t="shared" si="414"/>
        <v/>
      </c>
      <c r="B2128" s="2252" t="s">
        <v>1490</v>
      </c>
      <c r="C2128" s="2258"/>
      <c r="D2128" s="2152">
        <v>0</v>
      </c>
      <c r="E2128" s="2194" t="s">
        <v>3536</v>
      </c>
      <c r="F2128" s="2152" t="s">
        <v>1823</v>
      </c>
      <c r="G2128" s="2450">
        <f>G2124*8*0</f>
        <v>0</v>
      </c>
      <c r="H2128" s="2264">
        <v>6200</v>
      </c>
      <c r="I2128" s="2264"/>
      <c r="J2128" s="2264">
        <v>0</v>
      </c>
      <c r="K2128" s="2264">
        <v>0</v>
      </c>
      <c r="L2128" s="2264">
        <f t="shared" si="408"/>
        <v>0</v>
      </c>
      <c r="M2128" s="2264">
        <f>I2128*G2128</f>
        <v>0</v>
      </c>
      <c r="N2128" s="2264">
        <f t="shared" si="409"/>
        <v>0</v>
      </c>
      <c r="O2128" s="2264">
        <f>K2128*G2128</f>
        <v>0</v>
      </c>
      <c r="P2128" s="2449"/>
      <c r="Q2128" s="2266"/>
      <c r="R2128" s="2266"/>
      <c r="S2128" s="2266"/>
    </row>
    <row r="2129" spans="1:19" s="2105" customFormat="1" outlineLevel="1">
      <c r="A2129" s="2182" t="str">
        <f t="shared" si="414"/>
        <v/>
      </c>
      <c r="B2129" s="2261" t="s">
        <v>1579</v>
      </c>
      <c r="C2129" s="2258"/>
      <c r="D2129" s="2152">
        <v>0</v>
      </c>
      <c r="E2129" s="2194" t="s">
        <v>2873</v>
      </c>
      <c r="F2129" s="2152" t="s">
        <v>2555</v>
      </c>
      <c r="G2129" s="2450">
        <f>2*G2124</f>
        <v>0</v>
      </c>
      <c r="H2129" s="2264">
        <v>8000</v>
      </c>
      <c r="I2129" s="2264"/>
      <c r="J2129" s="2264">
        <v>0</v>
      </c>
      <c r="K2129" s="2264"/>
      <c r="L2129" s="2264">
        <f t="shared" si="408"/>
        <v>0</v>
      </c>
      <c r="M2129" s="2264"/>
      <c r="N2129" s="2264">
        <f t="shared" si="409"/>
        <v>0</v>
      </c>
      <c r="O2129" s="2264"/>
      <c r="P2129" s="2441"/>
      <c r="Q2129" s="2266"/>
      <c r="R2129" s="2266"/>
      <c r="S2129" s="2266"/>
    </row>
    <row r="2130" spans="1:19" s="2105" customFormat="1" outlineLevel="1">
      <c r="A2130" s="2182" t="str">
        <f t="shared" si="414"/>
        <v/>
      </c>
      <c r="B2130" s="2261" t="s">
        <v>6208</v>
      </c>
      <c r="C2130" s="2258"/>
      <c r="D2130" s="2152" t="s">
        <v>5725</v>
      </c>
      <c r="E2130" s="2194" t="s">
        <v>3479</v>
      </c>
      <c r="F2130" s="2152" t="s">
        <v>2555</v>
      </c>
      <c r="G2130" s="2450">
        <f>G2124*14</f>
        <v>0</v>
      </c>
      <c r="H2130" s="2264">
        <v>9100</v>
      </c>
      <c r="I2130" s="2264"/>
      <c r="J2130" s="2264">
        <v>10608.955000000002</v>
      </c>
      <c r="K2130" s="2264"/>
      <c r="L2130" s="2264">
        <f t="shared" si="408"/>
        <v>0</v>
      </c>
      <c r="M2130" s="2264"/>
      <c r="N2130" s="2264">
        <f t="shared" si="409"/>
        <v>0</v>
      </c>
      <c r="O2130" s="2264"/>
      <c r="P2130" s="2441"/>
      <c r="Q2130" s="2266"/>
      <c r="R2130" s="2266"/>
      <c r="S2130" s="2266"/>
    </row>
    <row r="2131" spans="1:19" s="2105" customFormat="1" outlineLevel="1">
      <c r="A2131" s="2182" t="str">
        <f t="shared" si="414"/>
        <v/>
      </c>
      <c r="B2131" s="2261" t="s">
        <v>816</v>
      </c>
      <c r="C2131" s="2419"/>
      <c r="D2131" s="2152">
        <v>0</v>
      </c>
      <c r="E2131" s="2194" t="s">
        <v>3581</v>
      </c>
      <c r="F2131" s="2152" t="s">
        <v>2555</v>
      </c>
      <c r="G2131" s="2450">
        <f>IF(G2128&lt;=12,15,21)*G2124</f>
        <v>0</v>
      </c>
      <c r="H2131" s="2264">
        <v>17600</v>
      </c>
      <c r="I2131" s="2264"/>
      <c r="J2131" s="2264">
        <v>0</v>
      </c>
      <c r="K2131" s="2264"/>
      <c r="L2131" s="2264">
        <f t="shared" si="408"/>
        <v>0</v>
      </c>
      <c r="M2131" s="2264">
        <f>I2131*G2131</f>
        <v>0</v>
      </c>
      <c r="N2131" s="2264">
        <f t="shared" si="409"/>
        <v>0</v>
      </c>
      <c r="O2131" s="2264">
        <f>K2131*G2131</f>
        <v>0</v>
      </c>
      <c r="P2131" s="2441"/>
      <c r="Q2131" s="2266"/>
      <c r="R2131" s="2266"/>
      <c r="S2131" s="2266"/>
    </row>
    <row r="2132" spans="1:19" s="2105" customFormat="1" outlineLevel="1">
      <c r="A2132" s="2182" t="str">
        <f t="shared" si="414"/>
        <v/>
      </c>
      <c r="B2132" s="2252" t="s">
        <v>525</v>
      </c>
      <c r="C2132" s="2419"/>
      <c r="D2132" s="2152">
        <v>0</v>
      </c>
      <c r="E2132" s="2194" t="s">
        <v>5252</v>
      </c>
      <c r="F2132" s="2152" t="s">
        <v>2439</v>
      </c>
      <c r="G2132" s="2450">
        <f>+G2124*4*0</f>
        <v>0</v>
      </c>
      <c r="H2132" s="2264">
        <v>43000</v>
      </c>
      <c r="I2132" s="2264"/>
      <c r="J2132" s="2264">
        <v>0</v>
      </c>
      <c r="K2132" s="2264"/>
      <c r="L2132" s="2264">
        <f t="shared" si="408"/>
        <v>0</v>
      </c>
      <c r="M2132" s="2264">
        <f>I2132*G2132</f>
        <v>0</v>
      </c>
      <c r="N2132" s="2264">
        <f t="shared" si="409"/>
        <v>0</v>
      </c>
      <c r="O2132" s="2264">
        <f>K2132*G2132</f>
        <v>0</v>
      </c>
      <c r="P2132" s="2441"/>
      <c r="Q2132" s="2266"/>
      <c r="R2132" s="2266"/>
      <c r="S2132" s="2266"/>
    </row>
    <row r="2133" spans="1:19" s="2105" customFormat="1" outlineLevel="1">
      <c r="A2133" s="2182" t="str">
        <f t="shared" si="414"/>
        <v/>
      </c>
      <c r="B2133" s="2252" t="s">
        <v>1585</v>
      </c>
      <c r="C2133" s="2419"/>
      <c r="D2133" s="2152">
        <v>0</v>
      </c>
      <c r="E2133" s="2194" t="s">
        <v>5713</v>
      </c>
      <c r="F2133" s="2152" t="s">
        <v>3445</v>
      </c>
      <c r="G2133" s="2450">
        <f>G2124*2</f>
        <v>0</v>
      </c>
      <c r="H2133" s="2264">
        <v>0</v>
      </c>
      <c r="I2133" s="2264"/>
      <c r="J2133" s="2264">
        <v>1500000</v>
      </c>
      <c r="K2133" s="2264"/>
      <c r="L2133" s="2264">
        <f t="shared" si="408"/>
        <v>0</v>
      </c>
      <c r="M2133" s="2264">
        <f>I2133*G2133</f>
        <v>0</v>
      </c>
      <c r="N2133" s="2264">
        <f t="shared" si="409"/>
        <v>0</v>
      </c>
      <c r="O2133" s="2264">
        <f>K2133*G2133</f>
        <v>0</v>
      </c>
      <c r="P2133" s="2441"/>
      <c r="Q2133" s="2266"/>
      <c r="R2133" s="2266"/>
      <c r="S2133" s="2266"/>
    </row>
    <row r="2134" spans="1:19" s="2105" customFormat="1" outlineLevel="1">
      <c r="A2134" s="2182" t="str">
        <f t="shared" si="414"/>
        <v/>
      </c>
      <c r="B2134" s="2252" t="s">
        <v>5164</v>
      </c>
      <c r="C2134" s="2419"/>
      <c r="D2134" s="2152">
        <v>0</v>
      </c>
      <c r="E2134" s="2194" t="s">
        <v>5165</v>
      </c>
      <c r="F2134" s="2152" t="s">
        <v>2248</v>
      </c>
      <c r="G2134" s="2450">
        <f>5*16*G2133</f>
        <v>0</v>
      </c>
      <c r="H2134" s="2264">
        <v>31625</v>
      </c>
      <c r="I2134" s="2264"/>
      <c r="J2134" s="2264">
        <v>0</v>
      </c>
      <c r="K2134" s="2264"/>
      <c r="L2134" s="2264">
        <f t="shared" si="408"/>
        <v>0</v>
      </c>
      <c r="M2134" s="2264">
        <f>I2134*G2134</f>
        <v>0</v>
      </c>
      <c r="N2134" s="2264">
        <f t="shared" si="409"/>
        <v>0</v>
      </c>
      <c r="O2134" s="2264">
        <f>K2134*G2134</f>
        <v>0</v>
      </c>
      <c r="P2134" s="2441"/>
      <c r="Q2134" s="2266"/>
      <c r="R2134" s="2266"/>
      <c r="S2134" s="2266"/>
    </row>
    <row r="2135" spans="1:19" s="2105" customFormat="1" outlineLevel="1">
      <c r="A2135" s="2182" t="str">
        <f t="shared" si="414"/>
        <v/>
      </c>
      <c r="B2135" s="2252" t="s">
        <v>5168</v>
      </c>
      <c r="C2135" s="2419"/>
      <c r="D2135" s="2152" t="s">
        <v>5169</v>
      </c>
      <c r="E2135" s="2194" t="s">
        <v>5170</v>
      </c>
      <c r="F2135" s="2152" t="s">
        <v>5171</v>
      </c>
      <c r="G2135" s="2450">
        <f>G2124*4*G2133</f>
        <v>0</v>
      </c>
      <c r="H2135" s="2264">
        <v>0</v>
      </c>
      <c r="I2135" s="2264"/>
      <c r="J2135" s="2264">
        <v>55638</v>
      </c>
      <c r="K2135" s="2264"/>
      <c r="L2135" s="2264">
        <f t="shared" si="408"/>
        <v>0</v>
      </c>
      <c r="M2135" s="2264">
        <f>I2135*G2135</f>
        <v>0</v>
      </c>
      <c r="N2135" s="2264">
        <f t="shared" si="409"/>
        <v>0</v>
      </c>
      <c r="O2135" s="2264">
        <f>K2135*G2135</f>
        <v>0</v>
      </c>
      <c r="P2135" s="2441"/>
      <c r="Q2135" s="2266"/>
      <c r="R2135" s="2266"/>
      <c r="S2135" s="2266"/>
    </row>
    <row r="2136" spans="1:19" s="2105" customFormat="1" outlineLevel="1">
      <c r="A2136" s="2182"/>
      <c r="B2136" s="2252"/>
      <c r="C2136" s="2419"/>
      <c r="D2136" s="2152"/>
      <c r="E2136" s="2194"/>
      <c r="F2136" s="2152"/>
      <c r="G2136" s="2450"/>
      <c r="H2136" s="2264"/>
      <c r="I2136" s="2264"/>
      <c r="J2136" s="2264"/>
      <c r="K2136" s="2264"/>
      <c r="L2136" s="2264"/>
      <c r="M2136" s="2264"/>
      <c r="N2136" s="2264"/>
      <c r="O2136" s="2264"/>
      <c r="P2136" s="2389"/>
      <c r="Q2136" s="2266"/>
      <c r="R2136" s="2266"/>
      <c r="S2136" s="2266"/>
    </row>
    <row r="2137" spans="1:19" s="2105" customFormat="1" outlineLevel="1">
      <c r="A2137" s="2182" t="str">
        <f>IF(G2137&lt;&gt;0,1,"")</f>
        <v/>
      </c>
      <c r="B2137" s="2252" t="s">
        <v>5175</v>
      </c>
      <c r="C2137" s="2419"/>
      <c r="D2137" s="2152">
        <v>0</v>
      </c>
      <c r="E2137" s="2194" t="s">
        <v>5176</v>
      </c>
      <c r="F2137" s="2152" t="s">
        <v>5174</v>
      </c>
      <c r="G2137" s="2450">
        <f>G2124*6</f>
        <v>0</v>
      </c>
      <c r="H2137" s="2264">
        <v>38105</v>
      </c>
      <c r="I2137" s="2264"/>
      <c r="J2137" s="2264">
        <v>0</v>
      </c>
      <c r="K2137" s="2264"/>
      <c r="L2137" s="2264">
        <f>H2137*G2137</f>
        <v>0</v>
      </c>
      <c r="M2137" s="2264">
        <f>I2137*G2137</f>
        <v>0</v>
      </c>
      <c r="N2137" s="2264">
        <f>J2137*G2137</f>
        <v>0</v>
      </c>
      <c r="O2137" s="2264">
        <f>K2137*G2137</f>
        <v>0</v>
      </c>
      <c r="P2137" s="2441"/>
      <c r="Q2137" s="2266"/>
      <c r="R2137" s="2266"/>
      <c r="S2137" s="2266"/>
    </row>
    <row r="2138" spans="1:19" s="2105" customFormat="1" outlineLevel="1">
      <c r="A2138" s="2182"/>
      <c r="B2138" s="2252"/>
      <c r="C2138" s="2419"/>
      <c r="D2138" s="2152"/>
      <c r="E2138" s="2194"/>
      <c r="F2138" s="2152"/>
      <c r="G2138" s="2450"/>
      <c r="H2138" s="2264"/>
      <c r="I2138" s="2264"/>
      <c r="J2138" s="2264"/>
      <c r="K2138" s="2264"/>
      <c r="L2138" s="2264"/>
      <c r="M2138" s="2264"/>
      <c r="N2138" s="2264"/>
      <c r="O2138" s="2264"/>
      <c r="P2138" s="2389"/>
      <c r="Q2138" s="2266"/>
      <c r="R2138" s="2266"/>
      <c r="S2138" s="2266"/>
    </row>
    <row r="2139" spans="1:19" s="2105" customFormat="1" outlineLevel="1">
      <c r="A2139" s="2182" t="str">
        <f t="shared" ref="A2139:A2144" si="415">IF(G2139&lt;&gt;0,1,"")</f>
        <v/>
      </c>
      <c r="B2139" s="2252" t="s">
        <v>5179</v>
      </c>
      <c r="C2139" s="2419"/>
      <c r="D2139" s="2152">
        <v>0</v>
      </c>
      <c r="E2139" s="2194" t="s">
        <v>5180</v>
      </c>
      <c r="F2139" s="2152" t="s">
        <v>5174</v>
      </c>
      <c r="G2139" s="2450">
        <f>G2124*2</f>
        <v>0</v>
      </c>
      <c r="H2139" s="2264">
        <v>53008</v>
      </c>
      <c r="I2139" s="2264"/>
      <c r="J2139" s="2264">
        <v>0</v>
      </c>
      <c r="K2139" s="2264"/>
      <c r="L2139" s="2264">
        <f t="shared" ref="L2139:L2152" si="416">H2139*G2139</f>
        <v>0</v>
      </c>
      <c r="M2139" s="2264">
        <f t="shared" ref="M2139:M2152" si="417">I2139*G2139</f>
        <v>0</v>
      </c>
      <c r="N2139" s="2264">
        <f t="shared" ref="N2139:N2152" si="418">J2139*G2139</f>
        <v>0</v>
      </c>
      <c r="O2139" s="2264">
        <f t="shared" ref="O2139:O2152" si="419">K2139*G2139</f>
        <v>0</v>
      </c>
      <c r="P2139" s="2441"/>
      <c r="Q2139" s="2266"/>
      <c r="R2139" s="2266"/>
      <c r="S2139" s="2266"/>
    </row>
    <row r="2140" spans="1:19" s="2105" customFormat="1" outlineLevel="1">
      <c r="A2140" s="2182" t="str">
        <f t="shared" si="415"/>
        <v/>
      </c>
      <c r="B2140" s="2252" t="s">
        <v>6234</v>
      </c>
      <c r="C2140" s="2419"/>
      <c r="D2140" s="2152">
        <v>0</v>
      </c>
      <c r="E2140" s="2194" t="s">
        <v>5051</v>
      </c>
      <c r="F2140" s="2152" t="s">
        <v>2439</v>
      </c>
      <c r="G2140" s="2450">
        <f>G2124*20</f>
        <v>0</v>
      </c>
      <c r="H2140" s="2264">
        <v>8400</v>
      </c>
      <c r="I2140" s="2264"/>
      <c r="J2140" s="2264">
        <v>0</v>
      </c>
      <c r="K2140" s="2264"/>
      <c r="L2140" s="2264">
        <f t="shared" si="416"/>
        <v>0</v>
      </c>
      <c r="M2140" s="2264">
        <f t="shared" si="417"/>
        <v>0</v>
      </c>
      <c r="N2140" s="2264">
        <f t="shared" si="418"/>
        <v>0</v>
      </c>
      <c r="O2140" s="2264">
        <f t="shared" si="419"/>
        <v>0</v>
      </c>
      <c r="P2140" s="2441"/>
      <c r="Q2140" s="2266"/>
      <c r="R2140" s="2266"/>
      <c r="S2140" s="2266"/>
    </row>
    <row r="2141" spans="1:19" s="2105" customFormat="1" outlineLevel="1">
      <c r="A2141" s="2182" t="str">
        <f t="shared" si="415"/>
        <v/>
      </c>
      <c r="B2141" s="2252" t="s">
        <v>5181</v>
      </c>
      <c r="C2141" s="2419"/>
      <c r="D2141" s="2152">
        <v>0</v>
      </c>
      <c r="E2141" s="2194" t="s">
        <v>5182</v>
      </c>
      <c r="F2141" s="2152" t="s">
        <v>2532</v>
      </c>
      <c r="G2141" s="2450">
        <f>G2137+G2139</f>
        <v>0</v>
      </c>
      <c r="H2141" s="2264">
        <v>11000</v>
      </c>
      <c r="I2141" s="2264"/>
      <c r="J2141" s="2264">
        <v>0</v>
      </c>
      <c r="K2141" s="2264"/>
      <c r="L2141" s="2264">
        <f t="shared" si="416"/>
        <v>0</v>
      </c>
      <c r="M2141" s="2264">
        <f t="shared" si="417"/>
        <v>0</v>
      </c>
      <c r="N2141" s="2264">
        <f t="shared" si="418"/>
        <v>0</v>
      </c>
      <c r="O2141" s="2264">
        <f t="shared" si="419"/>
        <v>0</v>
      </c>
      <c r="P2141" s="2441"/>
      <c r="Q2141" s="2266"/>
      <c r="R2141" s="2266"/>
      <c r="S2141" s="2266"/>
    </row>
    <row r="2142" spans="1:19" s="2105" customFormat="1" outlineLevel="1">
      <c r="A2142" s="2182" t="str">
        <f t="shared" si="415"/>
        <v/>
      </c>
      <c r="B2142" s="2252" t="s">
        <v>5183</v>
      </c>
      <c r="C2142" s="2419"/>
      <c r="D2142" s="2152">
        <v>0</v>
      </c>
      <c r="E2142" s="2194" t="s">
        <v>5184</v>
      </c>
      <c r="F2142" s="2152" t="s">
        <v>2555</v>
      </c>
      <c r="G2142" s="2450">
        <f>G2141</f>
        <v>0</v>
      </c>
      <c r="H2142" s="2264">
        <v>4000</v>
      </c>
      <c r="I2142" s="2264"/>
      <c r="J2142" s="2264">
        <v>0</v>
      </c>
      <c r="K2142" s="2264"/>
      <c r="L2142" s="2264">
        <f t="shared" si="416"/>
        <v>0</v>
      </c>
      <c r="M2142" s="2264">
        <f t="shared" si="417"/>
        <v>0</v>
      </c>
      <c r="N2142" s="2264">
        <f t="shared" si="418"/>
        <v>0</v>
      </c>
      <c r="O2142" s="2264">
        <f t="shared" si="419"/>
        <v>0</v>
      </c>
      <c r="P2142" s="2441"/>
      <c r="Q2142" s="2266"/>
      <c r="R2142" s="2266"/>
      <c r="S2142" s="2266"/>
    </row>
    <row r="2143" spans="1:19" s="2105" customFormat="1" outlineLevel="1">
      <c r="A2143" s="2182" t="str">
        <f t="shared" si="415"/>
        <v/>
      </c>
      <c r="B2143" s="2252" t="s">
        <v>794</v>
      </c>
      <c r="C2143" s="2419"/>
      <c r="D2143" s="2152" t="s">
        <v>5336</v>
      </c>
      <c r="E2143" s="2194" t="s">
        <v>3068</v>
      </c>
      <c r="F2143" s="2152" t="s">
        <v>856</v>
      </c>
      <c r="G2143" s="2450">
        <f>G2124*(52+20)*0.3*0.5</f>
        <v>0</v>
      </c>
      <c r="H2143" s="2264">
        <v>0</v>
      </c>
      <c r="I2143" s="2264"/>
      <c r="J2143" s="2264">
        <v>283749.75</v>
      </c>
      <c r="K2143" s="2264"/>
      <c r="L2143" s="2264">
        <f t="shared" si="416"/>
        <v>0</v>
      </c>
      <c r="M2143" s="2264">
        <f t="shared" si="417"/>
        <v>0</v>
      </c>
      <c r="N2143" s="2264">
        <f t="shared" si="418"/>
        <v>0</v>
      </c>
      <c r="O2143" s="2264">
        <f t="shared" si="419"/>
        <v>0</v>
      </c>
      <c r="P2143" s="2441"/>
      <c r="Q2143" s="2266"/>
      <c r="R2143" s="2266"/>
      <c r="S2143" s="2266"/>
    </row>
    <row r="2144" spans="1:19" s="2105" customFormat="1" outlineLevel="1">
      <c r="A2144" s="2182" t="str">
        <f t="shared" si="415"/>
        <v/>
      </c>
      <c r="B2144" s="2252" t="s">
        <v>798</v>
      </c>
      <c r="C2144" s="2419"/>
      <c r="D2144" s="2152" t="s">
        <v>5325</v>
      </c>
      <c r="E2144" s="2194" t="s">
        <v>5337</v>
      </c>
      <c r="F2144" s="2152" t="s">
        <v>856</v>
      </c>
      <c r="G2144" s="2450">
        <f>G2143</f>
        <v>0</v>
      </c>
      <c r="H2144" s="2264">
        <v>0</v>
      </c>
      <c r="I2144" s="2264"/>
      <c r="J2144" s="2264">
        <v>117703.6</v>
      </c>
      <c r="K2144" s="2264"/>
      <c r="L2144" s="2264">
        <f t="shared" si="416"/>
        <v>0</v>
      </c>
      <c r="M2144" s="2264">
        <f t="shared" si="417"/>
        <v>0</v>
      </c>
      <c r="N2144" s="2264">
        <f t="shared" si="418"/>
        <v>0</v>
      </c>
      <c r="O2144" s="2264">
        <f t="shared" si="419"/>
        <v>0</v>
      </c>
      <c r="P2144" s="2441"/>
      <c r="Q2144" s="2266"/>
      <c r="R2144" s="2266"/>
      <c r="S2144" s="2266"/>
    </row>
    <row r="2145" spans="1:255" s="2105" customFormat="1" outlineLevel="1">
      <c r="A2145" s="2182" t="str">
        <f>IF(G2145&lt;&gt;0,1,"")</f>
        <v/>
      </c>
      <c r="B2145" s="2252" t="s">
        <v>902</v>
      </c>
      <c r="C2145" s="2258"/>
      <c r="D2145" s="2152" t="s">
        <v>5351</v>
      </c>
      <c r="E2145" s="2194" t="s">
        <v>5352</v>
      </c>
      <c r="F2145" s="2152" t="s">
        <v>2385</v>
      </c>
      <c r="G2145" s="2454">
        <f>G2127</f>
        <v>0</v>
      </c>
      <c r="H2145" s="2264">
        <v>0</v>
      </c>
      <c r="I2145" s="2264"/>
      <c r="J2145" s="2264">
        <v>90355.896000000008</v>
      </c>
      <c r="K2145" s="2264">
        <v>1573.075</v>
      </c>
      <c r="L2145" s="2264">
        <f t="shared" si="416"/>
        <v>0</v>
      </c>
      <c r="M2145" s="2264">
        <f t="shared" si="417"/>
        <v>0</v>
      </c>
      <c r="N2145" s="2264">
        <f t="shared" si="418"/>
        <v>0</v>
      </c>
      <c r="O2145" s="2264">
        <f t="shared" si="419"/>
        <v>0</v>
      </c>
      <c r="P2145" s="2449"/>
      <c r="Q2145" s="2266"/>
      <c r="R2145" s="2266"/>
      <c r="S2145" s="2266"/>
    </row>
    <row r="2146" spans="1:255" s="2105" customFormat="1" outlineLevel="1">
      <c r="A2146" s="2182" t="str">
        <f>IF(G2146&lt;&gt;0,1,"")</f>
        <v/>
      </c>
      <c r="B2146" s="2252" t="s">
        <v>1437</v>
      </c>
      <c r="C2146" s="2258"/>
      <c r="D2146" s="2152" t="s">
        <v>5346</v>
      </c>
      <c r="E2146" s="2194" t="s">
        <v>5347</v>
      </c>
      <c r="F2146" s="2152" t="s">
        <v>2532</v>
      </c>
      <c r="G2146" s="2454">
        <f>G2126/0.224</f>
        <v>0</v>
      </c>
      <c r="H2146" s="2264">
        <v>0</v>
      </c>
      <c r="I2146" s="2264"/>
      <c r="J2146" s="2264">
        <v>8070.7000000000007</v>
      </c>
      <c r="K2146" s="2264">
        <v>2044.9974999999999</v>
      </c>
      <c r="L2146" s="2264">
        <f t="shared" si="416"/>
        <v>0</v>
      </c>
      <c r="M2146" s="2264">
        <f t="shared" si="417"/>
        <v>0</v>
      </c>
      <c r="N2146" s="2264">
        <f t="shared" si="418"/>
        <v>0</v>
      </c>
      <c r="O2146" s="2264">
        <f t="shared" si="419"/>
        <v>0</v>
      </c>
      <c r="P2146" s="2441"/>
      <c r="Q2146" s="2266"/>
      <c r="R2146" s="2266"/>
      <c r="S2146" s="2266"/>
    </row>
    <row r="2147" spans="1:255" s="2105" customFormat="1" outlineLevel="1">
      <c r="A2147" s="2182" t="str">
        <f>IF(G2147&lt;&gt;0,1,"")</f>
        <v/>
      </c>
      <c r="B2147" s="2252"/>
      <c r="C2147" s="2258">
        <f>IF(G2147&gt;0,C2124+1,C2124)</f>
        <v>0</v>
      </c>
      <c r="D2147" s="2259"/>
      <c r="E2147" s="2376" t="s">
        <v>6209</v>
      </c>
      <c r="F2147" s="2258" t="s">
        <v>2385</v>
      </c>
      <c r="G2147" s="2451">
        <f>G2057*2</f>
        <v>0</v>
      </c>
      <c r="H2147" s="2264"/>
      <c r="I2147" s="2264"/>
      <c r="J2147" s="2264"/>
      <c r="K2147" s="2264"/>
      <c r="L2147" s="2264">
        <f t="shared" si="416"/>
        <v>0</v>
      </c>
      <c r="M2147" s="2264">
        <f t="shared" si="417"/>
        <v>0</v>
      </c>
      <c r="N2147" s="2264">
        <f t="shared" si="418"/>
        <v>0</v>
      </c>
      <c r="O2147" s="2264">
        <f t="shared" si="419"/>
        <v>0</v>
      </c>
      <c r="P2147" s="2441"/>
      <c r="Q2147" s="2266"/>
      <c r="R2147" s="2266"/>
      <c r="S2147" s="2266"/>
    </row>
    <row r="2148" spans="1:255" s="2105" customFormat="1" ht="14.4" outlineLevel="1">
      <c r="A2148" s="2182" t="str">
        <f>A2147</f>
        <v/>
      </c>
      <c r="B2148" s="2252"/>
      <c r="C2148" s="2258"/>
      <c r="D2148" s="2259"/>
      <c r="E2148" s="2267" t="s">
        <v>6133</v>
      </c>
      <c r="F2148" s="2268"/>
      <c r="G2148" s="2450"/>
      <c r="H2148" s="2264"/>
      <c r="I2148" s="2264"/>
      <c r="J2148" s="2264"/>
      <c r="K2148" s="2264"/>
      <c r="L2148" s="2264">
        <f t="shared" si="416"/>
        <v>0</v>
      </c>
      <c r="M2148" s="2264">
        <f t="shared" si="417"/>
        <v>0</v>
      </c>
      <c r="N2148" s="2264">
        <f t="shared" si="418"/>
        <v>0</v>
      </c>
      <c r="O2148" s="2264">
        <f t="shared" si="419"/>
        <v>0</v>
      </c>
      <c r="P2148" s="2441"/>
      <c r="Q2148" s="2266"/>
      <c r="R2148" s="2266"/>
      <c r="S2148" s="2266"/>
    </row>
    <row r="2149" spans="1:255" s="2105" customFormat="1" outlineLevel="1">
      <c r="A2149" s="2182" t="str">
        <f>IF(G2149&lt;&gt;0,1,"")</f>
        <v/>
      </c>
      <c r="B2149" s="2252" t="s">
        <v>5643</v>
      </c>
      <c r="C2149" s="2268"/>
      <c r="D2149" s="2152" t="s">
        <v>5633</v>
      </c>
      <c r="E2149" s="2194" t="s">
        <v>5644</v>
      </c>
      <c r="F2149" s="2152" t="s">
        <v>2555</v>
      </c>
      <c r="G2149" s="2450">
        <f>G2147</f>
        <v>0</v>
      </c>
      <c r="H2149" s="2264">
        <v>2112489</v>
      </c>
      <c r="I2149" s="2264"/>
      <c r="J2149" s="2264">
        <v>690091</v>
      </c>
      <c r="K2149" s="2264">
        <v>97369</v>
      </c>
      <c r="L2149" s="2264">
        <f t="shared" si="416"/>
        <v>0</v>
      </c>
      <c r="M2149" s="2264">
        <f t="shared" si="417"/>
        <v>0</v>
      </c>
      <c r="N2149" s="2264">
        <f t="shared" si="418"/>
        <v>0</v>
      </c>
      <c r="O2149" s="2264">
        <f t="shared" si="419"/>
        <v>0</v>
      </c>
      <c r="P2149" s="2441"/>
      <c r="Q2149" s="2266"/>
      <c r="R2149" s="2266"/>
      <c r="S2149" s="2266"/>
    </row>
    <row r="2150" spans="1:255" s="2105" customFormat="1" outlineLevel="1">
      <c r="A2150" s="2182" t="str">
        <f>IF(G2150&lt;&gt;0,1,"")</f>
        <v/>
      </c>
      <c r="B2150" s="2252" t="s">
        <v>880</v>
      </c>
      <c r="C2150" s="2258"/>
      <c r="D2150" s="2152">
        <v>0</v>
      </c>
      <c r="E2150" s="2194" t="s">
        <v>5799</v>
      </c>
      <c r="F2150" s="2152" t="s">
        <v>2555</v>
      </c>
      <c r="G2150" s="2450">
        <f>G2147</f>
        <v>0</v>
      </c>
      <c r="H2150" s="2264">
        <v>284000</v>
      </c>
      <c r="I2150" s="2264"/>
      <c r="J2150" s="2264">
        <v>5404</v>
      </c>
      <c r="K2150" s="2264">
        <v>0</v>
      </c>
      <c r="L2150" s="2264">
        <f t="shared" si="416"/>
        <v>0</v>
      </c>
      <c r="M2150" s="2264">
        <f t="shared" si="417"/>
        <v>0</v>
      </c>
      <c r="N2150" s="2264">
        <f t="shared" si="418"/>
        <v>0</v>
      </c>
      <c r="O2150" s="2264">
        <f t="shared" si="419"/>
        <v>0</v>
      </c>
      <c r="P2150" s="2441"/>
      <c r="Q2150" s="2266"/>
      <c r="R2150" s="2266"/>
      <c r="S2150" s="2266"/>
    </row>
    <row r="2151" spans="1:255" s="2105" customFormat="1" outlineLevel="1">
      <c r="A2151" s="2182" t="str">
        <f>IF(G2151&lt;&gt;0,1,"")</f>
        <v/>
      </c>
      <c r="B2151" s="2252" t="s">
        <v>289</v>
      </c>
      <c r="C2151" s="2268"/>
      <c r="D2151" s="2152">
        <v>0</v>
      </c>
      <c r="E2151" s="2194" t="s">
        <v>5712</v>
      </c>
      <c r="F2151" s="2152" t="s">
        <v>2555</v>
      </c>
      <c r="G2151" s="2450">
        <f>G2147*1/2</f>
        <v>0</v>
      </c>
      <c r="H2151" s="2264">
        <v>300000</v>
      </c>
      <c r="I2151" s="2264"/>
      <c r="J2151" s="2264">
        <v>0</v>
      </c>
      <c r="K2151" s="2264">
        <v>0</v>
      </c>
      <c r="L2151" s="2264">
        <f t="shared" si="416"/>
        <v>0</v>
      </c>
      <c r="M2151" s="2264">
        <f t="shared" si="417"/>
        <v>0</v>
      </c>
      <c r="N2151" s="2264">
        <f t="shared" si="418"/>
        <v>0</v>
      </c>
      <c r="O2151" s="2264">
        <f t="shared" si="419"/>
        <v>0</v>
      </c>
      <c r="P2151" s="2389"/>
      <c r="Q2151" s="2266"/>
      <c r="R2151" s="2266"/>
      <c r="S2151" s="2266"/>
    </row>
    <row r="2152" spans="1:255" s="2105" customFormat="1" outlineLevel="1">
      <c r="A2152" s="2182" t="str">
        <f>IF(G2152&lt;&gt;0,1,"")</f>
        <v/>
      </c>
      <c r="B2152" s="2252" t="s">
        <v>588</v>
      </c>
      <c r="C2152" s="2268"/>
      <c r="D2152" s="2152">
        <v>0</v>
      </c>
      <c r="E2152" s="2194" t="s">
        <v>2982</v>
      </c>
      <c r="F2152" s="2152" t="s">
        <v>2439</v>
      </c>
      <c r="G2152" s="2450">
        <f>G2147*2</f>
        <v>0</v>
      </c>
      <c r="H2152" s="2264">
        <v>168000</v>
      </c>
      <c r="I2152" s="2264"/>
      <c r="J2152" s="2264">
        <v>0</v>
      </c>
      <c r="K2152" s="2264">
        <v>0</v>
      </c>
      <c r="L2152" s="2264">
        <f t="shared" si="416"/>
        <v>0</v>
      </c>
      <c r="M2152" s="2264">
        <f t="shared" si="417"/>
        <v>0</v>
      </c>
      <c r="N2152" s="2264">
        <f t="shared" si="418"/>
        <v>0</v>
      </c>
      <c r="O2152" s="2264">
        <f t="shared" si="419"/>
        <v>0</v>
      </c>
      <c r="P2152" s="2441"/>
      <c r="Q2152" s="2266"/>
      <c r="R2152" s="2266"/>
      <c r="S2152" s="2266"/>
    </row>
    <row r="2153" spans="1:255" s="2288" customFormat="1" outlineLevel="1">
      <c r="A2153" s="2182" t="str">
        <f>IF(G2153&lt;&gt;0,1,"")</f>
        <v/>
      </c>
      <c r="B2153" s="2252"/>
      <c r="C2153" s="2258">
        <f>IF(G2153&gt;0,C2147+1,C2147)</f>
        <v>0</v>
      </c>
      <c r="D2153" s="2259"/>
      <c r="E2153" s="2376" t="s">
        <v>6246</v>
      </c>
      <c r="F2153" s="2258" t="s">
        <v>2385</v>
      </c>
      <c r="G2153" s="2451">
        <f>G2057</f>
        <v>0</v>
      </c>
      <c r="H2153" s="2264"/>
      <c r="I2153" s="2264"/>
      <c r="J2153" s="2264"/>
      <c r="K2153" s="2264"/>
      <c r="L2153" s="2264"/>
      <c r="M2153" s="2264"/>
      <c r="N2153" s="2264"/>
      <c r="O2153" s="2264"/>
      <c r="P2153" s="2441"/>
      <c r="Q2153" s="2266"/>
      <c r="R2153" s="2266"/>
      <c r="S2153" s="2105"/>
      <c r="T2153" s="2105"/>
      <c r="U2153" s="2105"/>
      <c r="V2153" s="2105"/>
      <c r="W2153" s="2105"/>
      <c r="X2153" s="2105"/>
      <c r="Y2153" s="2105"/>
      <c r="Z2153" s="2105"/>
      <c r="AA2153" s="2105"/>
      <c r="AB2153" s="2105"/>
      <c r="AC2153" s="2105"/>
      <c r="AD2153" s="2105"/>
      <c r="AE2153" s="2105"/>
      <c r="AF2153" s="2105"/>
      <c r="AG2153" s="2105"/>
      <c r="AH2153" s="2105"/>
      <c r="AI2153" s="2105"/>
      <c r="AJ2153" s="2105"/>
      <c r="AK2153" s="2105"/>
      <c r="AL2153" s="2105"/>
      <c r="AM2153" s="2105"/>
      <c r="AN2153" s="2105"/>
      <c r="AO2153" s="2105"/>
      <c r="AP2153" s="2105"/>
      <c r="AQ2153" s="2105"/>
      <c r="AR2153" s="2105"/>
      <c r="AS2153" s="2105"/>
      <c r="AT2153" s="2105"/>
      <c r="AU2153" s="2105"/>
      <c r="AV2153" s="2105"/>
      <c r="AW2153" s="2105"/>
      <c r="AX2153" s="2105"/>
      <c r="AY2153" s="2105"/>
      <c r="AZ2153" s="2105"/>
      <c r="BA2153" s="2105"/>
      <c r="BB2153" s="2105"/>
      <c r="BC2153" s="2105"/>
      <c r="BD2153" s="2105"/>
      <c r="BE2153" s="2105"/>
      <c r="BF2153" s="2105"/>
      <c r="BG2153" s="2105"/>
      <c r="BH2153" s="2105"/>
      <c r="BI2153" s="2105"/>
      <c r="BJ2153" s="2105"/>
      <c r="BK2153" s="2105"/>
      <c r="BL2153" s="2105"/>
      <c r="BM2153" s="2105"/>
      <c r="BN2153" s="2105"/>
      <c r="BO2153" s="2105"/>
      <c r="BP2153" s="2105"/>
      <c r="BQ2153" s="2105"/>
      <c r="BR2153" s="2105"/>
      <c r="BS2153" s="2105"/>
      <c r="BT2153" s="2105"/>
      <c r="BU2153" s="2105"/>
      <c r="BV2153" s="2105"/>
      <c r="BW2153" s="2105"/>
      <c r="BX2153" s="2105"/>
      <c r="BY2153" s="2105"/>
      <c r="BZ2153" s="2105"/>
      <c r="CA2153" s="2105"/>
      <c r="CB2153" s="2105"/>
      <c r="CC2153" s="2105"/>
      <c r="CD2153" s="2105"/>
      <c r="CE2153" s="2105"/>
      <c r="CF2153" s="2105"/>
      <c r="CG2153" s="2105"/>
      <c r="CH2153" s="2105"/>
      <c r="CI2153" s="2105"/>
      <c r="CJ2153" s="2105"/>
      <c r="CK2153" s="2105"/>
      <c r="CL2153" s="2105"/>
      <c r="CM2153" s="2105"/>
      <c r="CN2153" s="2105"/>
      <c r="CO2153" s="2105"/>
      <c r="CP2153" s="2105"/>
      <c r="CQ2153" s="2105"/>
      <c r="CR2153" s="2105"/>
      <c r="CS2153" s="2105"/>
      <c r="CT2153" s="2105"/>
      <c r="CU2153" s="2105"/>
      <c r="CV2153" s="2105"/>
      <c r="CW2153" s="2105"/>
      <c r="CX2153" s="2105"/>
      <c r="CY2153" s="2105"/>
      <c r="CZ2153" s="2105"/>
      <c r="DA2153" s="2105"/>
      <c r="DB2153" s="2105"/>
      <c r="DC2153" s="2105"/>
      <c r="DD2153" s="2105"/>
      <c r="DE2153" s="2105"/>
      <c r="DF2153" s="2105"/>
      <c r="DG2153" s="2105"/>
      <c r="DH2153" s="2105"/>
      <c r="DI2153" s="2105"/>
      <c r="DJ2153" s="2105"/>
      <c r="DK2153" s="2105"/>
      <c r="DL2153" s="2105"/>
      <c r="DM2153" s="2105"/>
      <c r="DN2153" s="2105"/>
      <c r="DO2153" s="2105"/>
      <c r="DP2153" s="2105"/>
      <c r="DQ2153" s="2105"/>
      <c r="DR2153" s="2105"/>
      <c r="DS2153" s="2105"/>
      <c r="DT2153" s="2105"/>
      <c r="DU2153" s="2105"/>
      <c r="DV2153" s="2105"/>
      <c r="DW2153" s="2105"/>
      <c r="DX2153" s="2105"/>
      <c r="DY2153" s="2105"/>
      <c r="DZ2153" s="2105"/>
      <c r="EA2153" s="2105"/>
      <c r="EB2153" s="2105"/>
      <c r="EC2153" s="2105"/>
      <c r="ED2153" s="2105"/>
      <c r="EE2153" s="2105"/>
      <c r="EF2153" s="2105"/>
      <c r="EG2153" s="2105"/>
      <c r="EH2153" s="2105"/>
      <c r="EI2153" s="2105"/>
      <c r="EJ2153" s="2105"/>
      <c r="EK2153" s="2105"/>
      <c r="EL2153" s="2105"/>
      <c r="EM2153" s="2105"/>
      <c r="EN2153" s="2105"/>
      <c r="EO2153" s="2105"/>
      <c r="EP2153" s="2105"/>
      <c r="EQ2153" s="2105"/>
      <c r="ER2153" s="2105"/>
      <c r="ES2153" s="2105"/>
      <c r="ET2153" s="2105"/>
      <c r="EU2153" s="2105"/>
      <c r="EV2153" s="2105"/>
      <c r="EW2153" s="2105"/>
      <c r="EX2153" s="2105"/>
      <c r="EY2153" s="2105"/>
      <c r="EZ2153" s="2105"/>
      <c r="FA2153" s="2105"/>
      <c r="FB2153" s="2105"/>
      <c r="FC2153" s="2105"/>
      <c r="FD2153" s="2105"/>
      <c r="FE2153" s="2105"/>
      <c r="FF2153" s="2105"/>
      <c r="FG2153" s="2105"/>
      <c r="FH2153" s="2105"/>
      <c r="FI2153" s="2105"/>
      <c r="FJ2153" s="2105"/>
      <c r="FK2153" s="2105"/>
      <c r="FL2153" s="2105"/>
      <c r="FM2153" s="2105"/>
      <c r="FN2153" s="2105"/>
      <c r="FO2153" s="2105"/>
      <c r="FP2153" s="2105"/>
      <c r="FQ2153" s="2105"/>
      <c r="FR2153" s="2105"/>
      <c r="FS2153" s="2105"/>
      <c r="FT2153" s="2105"/>
      <c r="FU2153" s="2105"/>
      <c r="FV2153" s="2105"/>
      <c r="FW2153" s="2105"/>
      <c r="FX2153" s="2105"/>
      <c r="FY2153" s="2105"/>
      <c r="FZ2153" s="2105"/>
      <c r="GA2153" s="2105"/>
      <c r="GB2153" s="2105"/>
      <c r="GC2153" s="2105"/>
      <c r="GD2153" s="2105"/>
      <c r="GE2153" s="2105"/>
      <c r="GF2153" s="2105"/>
      <c r="GG2153" s="2105"/>
      <c r="GH2153" s="2105"/>
      <c r="GI2153" s="2105"/>
      <c r="GJ2153" s="2105"/>
      <c r="GK2153" s="2105"/>
      <c r="GL2153" s="2105"/>
      <c r="GM2153" s="2105"/>
      <c r="GN2153" s="2105"/>
      <c r="GO2153" s="2105"/>
      <c r="GP2153" s="2105"/>
      <c r="GQ2153" s="2105"/>
      <c r="GR2153" s="2105"/>
      <c r="GS2153" s="2105"/>
      <c r="GT2153" s="2105"/>
      <c r="GU2153" s="2105"/>
      <c r="GV2153" s="2105"/>
      <c r="GW2153" s="2105"/>
      <c r="GX2153" s="2105"/>
      <c r="GY2153" s="2105"/>
      <c r="GZ2153" s="2105"/>
      <c r="HA2153" s="2105"/>
      <c r="HB2153" s="2105"/>
      <c r="HC2153" s="2105"/>
      <c r="HD2153" s="2105"/>
      <c r="HE2153" s="2105"/>
      <c r="HF2153" s="2105"/>
      <c r="HG2153" s="2105"/>
      <c r="HH2153" s="2105"/>
      <c r="HI2153" s="2105"/>
      <c r="HJ2153" s="2105"/>
      <c r="HK2153" s="2105"/>
      <c r="HL2153" s="2105"/>
      <c r="HM2153" s="2105"/>
      <c r="HN2153" s="2105"/>
      <c r="HO2153" s="2105"/>
      <c r="HP2153" s="2105"/>
      <c r="HQ2153" s="2105"/>
      <c r="HR2153" s="2105"/>
      <c r="HS2153" s="2105"/>
      <c r="HT2153" s="2105"/>
      <c r="HU2153" s="2105"/>
      <c r="HV2153" s="2105"/>
      <c r="HW2153" s="2105"/>
      <c r="HX2153" s="2105"/>
      <c r="HY2153" s="2105"/>
      <c r="HZ2153" s="2105"/>
      <c r="IA2153" s="2105"/>
      <c r="IB2153" s="2105"/>
      <c r="IC2153" s="2105"/>
      <c r="ID2153" s="2105"/>
      <c r="IE2153" s="2105"/>
      <c r="IF2153" s="2105"/>
      <c r="IG2153" s="2105"/>
      <c r="IH2153" s="2105"/>
      <c r="II2153" s="2105"/>
      <c r="IJ2153" s="2105"/>
      <c r="IK2153" s="2105"/>
      <c r="IL2153" s="2105"/>
      <c r="IM2153" s="2105"/>
      <c r="IN2153" s="2105"/>
      <c r="IO2153" s="2105"/>
      <c r="IP2153" s="2105"/>
      <c r="IQ2153" s="2105"/>
      <c r="IR2153" s="2105"/>
      <c r="IS2153" s="2105"/>
      <c r="IT2153" s="2105"/>
      <c r="IU2153" s="2105"/>
    </row>
    <row r="2154" spans="1:255" s="2499" customFormat="1" ht="14.4" outlineLevel="1">
      <c r="A2154" s="2491" t="str">
        <f>A2153</f>
        <v/>
      </c>
      <c r="B2154" s="2252"/>
      <c r="C2154" s="2492"/>
      <c r="D2154" s="2493"/>
      <c r="E2154" s="2494" t="s">
        <v>6133</v>
      </c>
      <c r="F2154" s="2493"/>
      <c r="G2154" s="2495"/>
      <c r="H2154" s="2496"/>
      <c r="I2154" s="2496"/>
      <c r="J2154" s="2496"/>
      <c r="K2154" s="2496"/>
      <c r="L2154" s="2496"/>
      <c r="M2154" s="2496"/>
      <c r="N2154" s="2496"/>
      <c r="O2154" s="2496"/>
      <c r="P2154" s="2497"/>
      <c r="Q2154" s="2498"/>
      <c r="R2154" s="2266"/>
      <c r="S2154" s="2498"/>
    </row>
    <row r="2155" spans="1:255" s="2105" customFormat="1" outlineLevel="1">
      <c r="A2155" s="2182" t="str">
        <f t="shared" ref="A2155:A2170" si="420">IF(G2155&lt;&gt;0,1,"")</f>
        <v/>
      </c>
      <c r="B2155" s="2252" t="s">
        <v>6247</v>
      </c>
      <c r="C2155" s="2268"/>
      <c r="D2155" s="2152" t="s">
        <v>5655</v>
      </c>
      <c r="E2155" s="2194" t="s">
        <v>5659</v>
      </c>
      <c r="F2155" s="2152" t="s">
        <v>2555</v>
      </c>
      <c r="G2155" s="2450">
        <f>G2153</f>
        <v>0</v>
      </c>
      <c r="H2155" s="2264">
        <v>783952</v>
      </c>
      <c r="I2155" s="2264"/>
      <c r="J2155" s="2264">
        <v>599038</v>
      </c>
      <c r="K2155" s="2264">
        <v>97369</v>
      </c>
      <c r="L2155" s="2264">
        <f t="shared" ref="L2155:L2170" si="421">H2155*G2155</f>
        <v>0</v>
      </c>
      <c r="M2155" s="2264">
        <f t="shared" ref="M2155:M2170" si="422">I2155*G2155</f>
        <v>0</v>
      </c>
      <c r="N2155" s="2264">
        <f t="shared" ref="N2155:N2170" si="423">J2155*G2155</f>
        <v>0</v>
      </c>
      <c r="O2155" s="2264">
        <f t="shared" ref="O2155:O2170" si="424">K2155*G2155</f>
        <v>0</v>
      </c>
      <c r="P2155" s="2441"/>
      <c r="Q2155" s="2266"/>
      <c r="R2155" s="2266"/>
      <c r="S2155" s="2266"/>
    </row>
    <row r="2156" spans="1:255" s="2105" customFormat="1" outlineLevel="1">
      <c r="A2156" s="2182" t="str">
        <f t="shared" si="420"/>
        <v/>
      </c>
      <c r="B2156" s="2252" t="s">
        <v>880</v>
      </c>
      <c r="C2156" s="2268"/>
      <c r="D2156" s="2152">
        <v>0</v>
      </c>
      <c r="E2156" s="2194" t="s">
        <v>5799</v>
      </c>
      <c r="F2156" s="2152" t="s">
        <v>2555</v>
      </c>
      <c r="G2156" s="2450">
        <f>G2155</f>
        <v>0</v>
      </c>
      <c r="H2156" s="2264">
        <v>284000</v>
      </c>
      <c r="I2156" s="2264"/>
      <c r="J2156" s="2264">
        <v>5404</v>
      </c>
      <c r="K2156" s="2264">
        <v>0</v>
      </c>
      <c r="L2156" s="2264">
        <f t="shared" si="421"/>
        <v>0</v>
      </c>
      <c r="M2156" s="2264">
        <f t="shared" si="422"/>
        <v>0</v>
      </c>
      <c r="N2156" s="2264">
        <f t="shared" si="423"/>
        <v>0</v>
      </c>
      <c r="O2156" s="2264">
        <f t="shared" si="424"/>
        <v>0</v>
      </c>
      <c r="P2156" s="2441"/>
      <c r="Q2156" s="2266"/>
      <c r="R2156" s="2266"/>
      <c r="S2156" s="2266"/>
    </row>
    <row r="2157" spans="1:255" s="2105" customFormat="1" outlineLevel="1">
      <c r="A2157" s="2182" t="str">
        <f t="shared" si="420"/>
        <v/>
      </c>
      <c r="B2157" s="2252" t="s">
        <v>289</v>
      </c>
      <c r="C2157" s="2268"/>
      <c r="D2157" s="2152">
        <v>0</v>
      </c>
      <c r="E2157" s="2194" t="s">
        <v>5712</v>
      </c>
      <c r="F2157" s="2152" t="s">
        <v>2555</v>
      </c>
      <c r="G2157" s="2450">
        <f>G2153</f>
        <v>0</v>
      </c>
      <c r="H2157" s="2264">
        <v>300000</v>
      </c>
      <c r="I2157" s="2264"/>
      <c r="J2157" s="2264">
        <v>0</v>
      </c>
      <c r="K2157" s="2264">
        <v>0</v>
      </c>
      <c r="L2157" s="2264">
        <f t="shared" si="421"/>
        <v>0</v>
      </c>
      <c r="M2157" s="2264">
        <f t="shared" si="422"/>
        <v>0</v>
      </c>
      <c r="N2157" s="2264">
        <f t="shared" si="423"/>
        <v>0</v>
      </c>
      <c r="O2157" s="2264">
        <f t="shared" si="424"/>
        <v>0</v>
      </c>
      <c r="P2157" s="2441"/>
      <c r="Q2157" s="2266"/>
      <c r="R2157" s="2266"/>
      <c r="S2157" s="2266"/>
    </row>
    <row r="2158" spans="1:255" s="2105" customFormat="1" outlineLevel="1">
      <c r="A2158" s="2182" t="str">
        <f t="shared" si="420"/>
        <v/>
      </c>
      <c r="B2158" s="2252" t="s">
        <v>588</v>
      </c>
      <c r="C2158" s="2268"/>
      <c r="D2158" s="2152">
        <v>0</v>
      </c>
      <c r="E2158" s="2194" t="s">
        <v>2982</v>
      </c>
      <c r="F2158" s="2152" t="s">
        <v>2439</v>
      </c>
      <c r="G2158" s="2450">
        <f>G2155*2</f>
        <v>0</v>
      </c>
      <c r="H2158" s="2264">
        <v>168000</v>
      </c>
      <c r="I2158" s="2264"/>
      <c r="J2158" s="2264">
        <v>0</v>
      </c>
      <c r="K2158" s="2264">
        <v>0</v>
      </c>
      <c r="L2158" s="2264">
        <f t="shared" si="421"/>
        <v>0</v>
      </c>
      <c r="M2158" s="2264">
        <f t="shared" si="422"/>
        <v>0</v>
      </c>
      <c r="N2158" s="2264">
        <f t="shared" si="423"/>
        <v>0</v>
      </c>
      <c r="O2158" s="2264">
        <f t="shared" si="424"/>
        <v>0</v>
      </c>
      <c r="P2158" s="2441"/>
      <c r="Q2158" s="2266"/>
      <c r="R2158" s="2266"/>
      <c r="S2158" s="2266"/>
    </row>
    <row r="2159" spans="1:255" s="2105" customFormat="1" outlineLevel="1">
      <c r="A2159" s="2182" t="str">
        <f t="shared" si="420"/>
        <v/>
      </c>
      <c r="B2159" s="2261" t="s">
        <v>1822</v>
      </c>
      <c r="C2159" s="2268"/>
      <c r="D2159" s="2152" t="s">
        <v>1527</v>
      </c>
      <c r="E2159" s="2194" t="s">
        <v>2784</v>
      </c>
      <c r="F2159" s="2152" t="s">
        <v>2532</v>
      </c>
      <c r="G2159" s="2450">
        <f>G2153*6</f>
        <v>0</v>
      </c>
      <c r="H2159" s="2264">
        <v>28200</v>
      </c>
      <c r="I2159" s="2264"/>
      <c r="J2159" s="2264">
        <v>0</v>
      </c>
      <c r="K2159" s="2264">
        <v>0</v>
      </c>
      <c r="L2159" s="2264">
        <f t="shared" si="421"/>
        <v>0</v>
      </c>
      <c r="M2159" s="2264">
        <f t="shared" si="422"/>
        <v>0</v>
      </c>
      <c r="N2159" s="2264">
        <f t="shared" si="423"/>
        <v>0</v>
      </c>
      <c r="O2159" s="2264">
        <f t="shared" si="424"/>
        <v>0</v>
      </c>
      <c r="P2159" s="2441"/>
      <c r="Q2159" s="2266"/>
      <c r="R2159" s="2266"/>
      <c r="S2159" s="2266"/>
    </row>
    <row r="2160" spans="1:255" s="2105" customFormat="1" outlineLevel="1">
      <c r="A2160" s="2182" t="str">
        <f t="shared" si="420"/>
        <v/>
      </c>
      <c r="B2160" s="2261" t="s">
        <v>1865</v>
      </c>
      <c r="C2160" s="2268"/>
      <c r="D2160" s="2152">
        <v>0</v>
      </c>
      <c r="E2160" s="2194" t="s">
        <v>3471</v>
      </c>
      <c r="F2160" s="2152" t="s">
        <v>2555</v>
      </c>
      <c r="G2160" s="2450">
        <f>G2153*4*2</f>
        <v>0</v>
      </c>
      <c r="H2160" s="2264">
        <v>1700</v>
      </c>
      <c r="I2160" s="2264"/>
      <c r="J2160" s="2264">
        <v>0</v>
      </c>
      <c r="K2160" s="2264">
        <v>0</v>
      </c>
      <c r="L2160" s="2264">
        <f t="shared" si="421"/>
        <v>0</v>
      </c>
      <c r="M2160" s="2264">
        <f t="shared" si="422"/>
        <v>0</v>
      </c>
      <c r="N2160" s="2264">
        <f t="shared" si="423"/>
        <v>0</v>
      </c>
      <c r="O2160" s="2264">
        <f t="shared" si="424"/>
        <v>0</v>
      </c>
      <c r="P2160" s="2441"/>
      <c r="Q2160" s="2266"/>
      <c r="R2160" s="2266"/>
      <c r="S2160" s="2266"/>
    </row>
    <row r="2161" spans="1:19" s="2105" customFormat="1" outlineLevel="1">
      <c r="A2161" s="2182" t="str">
        <f t="shared" si="420"/>
        <v/>
      </c>
      <c r="B2161" s="2261" t="s">
        <v>2141</v>
      </c>
      <c r="C2161" s="2268"/>
      <c r="D2161" s="2152">
        <v>0</v>
      </c>
      <c r="E2161" s="2194" t="s">
        <v>3535</v>
      </c>
      <c r="F2161" s="2152" t="s">
        <v>1823</v>
      </c>
      <c r="G2161" s="2450">
        <f>G2156*4</f>
        <v>0</v>
      </c>
      <c r="H2161" s="2264">
        <v>16100</v>
      </c>
      <c r="I2161" s="2264"/>
      <c r="J2161" s="2264">
        <v>0</v>
      </c>
      <c r="K2161" s="2264">
        <v>0</v>
      </c>
      <c r="L2161" s="2264">
        <f t="shared" si="421"/>
        <v>0</v>
      </c>
      <c r="M2161" s="2264">
        <f t="shared" si="422"/>
        <v>0</v>
      </c>
      <c r="N2161" s="2264">
        <f t="shared" si="423"/>
        <v>0</v>
      </c>
      <c r="O2161" s="2264">
        <f t="shared" si="424"/>
        <v>0</v>
      </c>
      <c r="P2161" s="2441"/>
      <c r="Q2161" s="2266"/>
      <c r="R2161" s="2266"/>
      <c r="S2161" s="2266"/>
    </row>
    <row r="2162" spans="1:19" s="2105" customFormat="1" outlineLevel="1">
      <c r="A2162" s="2182" t="str">
        <f t="shared" si="420"/>
        <v/>
      </c>
      <c r="B2162" s="2261" t="s">
        <v>6248</v>
      </c>
      <c r="C2162" s="2268"/>
      <c r="D2162" s="2152">
        <v>0</v>
      </c>
      <c r="E2162" s="2194" t="s">
        <v>3542</v>
      </c>
      <c r="F2162" s="2152" t="s">
        <v>2555</v>
      </c>
      <c r="G2162" s="2450">
        <f>G2153</f>
        <v>0</v>
      </c>
      <c r="H2162" s="2264">
        <v>11400</v>
      </c>
      <c r="I2162" s="2264"/>
      <c r="J2162" s="2264">
        <v>0</v>
      </c>
      <c r="K2162" s="2264">
        <v>0</v>
      </c>
      <c r="L2162" s="2264">
        <f t="shared" si="421"/>
        <v>0</v>
      </c>
      <c r="M2162" s="2264">
        <f t="shared" si="422"/>
        <v>0</v>
      </c>
      <c r="N2162" s="2264">
        <f t="shared" si="423"/>
        <v>0</v>
      </c>
      <c r="O2162" s="2264">
        <f t="shared" si="424"/>
        <v>0</v>
      </c>
      <c r="P2162" s="2441"/>
      <c r="Q2162" s="2266"/>
      <c r="R2162" s="2266"/>
      <c r="S2162" s="2266"/>
    </row>
    <row r="2163" spans="1:19" s="2105" customFormat="1" outlineLevel="1">
      <c r="A2163" s="2182" t="str">
        <f t="shared" si="420"/>
        <v/>
      </c>
      <c r="B2163" s="2261" t="s">
        <v>203</v>
      </c>
      <c r="C2163" s="2268"/>
      <c r="D2163" s="2152">
        <v>0</v>
      </c>
      <c r="E2163" s="2194" t="s">
        <v>2979</v>
      </c>
      <c r="F2163" s="2152" t="s">
        <v>2439</v>
      </c>
      <c r="G2163" s="2450">
        <f>G2153*2</f>
        <v>0</v>
      </c>
      <c r="H2163" s="2264">
        <v>34000</v>
      </c>
      <c r="I2163" s="2264"/>
      <c r="J2163" s="2264">
        <v>0</v>
      </c>
      <c r="K2163" s="2264">
        <v>0</v>
      </c>
      <c r="L2163" s="2264">
        <f t="shared" si="421"/>
        <v>0</v>
      </c>
      <c r="M2163" s="2264">
        <f t="shared" si="422"/>
        <v>0</v>
      </c>
      <c r="N2163" s="2264">
        <f t="shared" si="423"/>
        <v>0</v>
      </c>
      <c r="O2163" s="2264">
        <f t="shared" si="424"/>
        <v>0</v>
      </c>
      <c r="P2163" s="2441"/>
      <c r="Q2163" s="2266"/>
      <c r="R2163" s="2266"/>
      <c r="S2163" s="2266"/>
    </row>
    <row r="2164" spans="1:19" s="2105" customFormat="1" outlineLevel="1">
      <c r="A2164" s="2182" t="str">
        <f t="shared" si="420"/>
        <v/>
      </c>
      <c r="B2164" s="2261" t="s">
        <v>6249</v>
      </c>
      <c r="C2164" s="2268"/>
      <c r="D2164" s="2152">
        <v>0</v>
      </c>
      <c r="E2164" s="2194" t="s">
        <v>3573</v>
      </c>
      <c r="F2164" s="2152" t="s">
        <v>2555</v>
      </c>
      <c r="G2164" s="2450">
        <f>G2153*2</f>
        <v>0</v>
      </c>
      <c r="H2164" s="2264">
        <v>5000</v>
      </c>
      <c r="I2164" s="2264"/>
      <c r="J2164" s="2264">
        <v>0</v>
      </c>
      <c r="K2164" s="2264">
        <v>0</v>
      </c>
      <c r="L2164" s="2264">
        <f t="shared" si="421"/>
        <v>0</v>
      </c>
      <c r="M2164" s="2264">
        <f t="shared" si="422"/>
        <v>0</v>
      </c>
      <c r="N2164" s="2264">
        <f t="shared" si="423"/>
        <v>0</v>
      </c>
      <c r="O2164" s="2264">
        <f t="shared" si="424"/>
        <v>0</v>
      </c>
      <c r="P2164" s="2441"/>
      <c r="Q2164" s="2266"/>
      <c r="R2164" s="2266"/>
      <c r="S2164" s="2266"/>
    </row>
    <row r="2165" spans="1:19" s="2105" customFormat="1" outlineLevel="1">
      <c r="A2165" s="2182" t="str">
        <f t="shared" si="420"/>
        <v/>
      </c>
      <c r="B2165" s="2261" t="s">
        <v>6250</v>
      </c>
      <c r="C2165" s="2268"/>
      <c r="D2165" s="2152">
        <v>0</v>
      </c>
      <c r="E2165" s="2194" t="s">
        <v>3577</v>
      </c>
      <c r="F2165" s="2152" t="s">
        <v>2555</v>
      </c>
      <c r="G2165" s="2450">
        <f>G2164</f>
        <v>0</v>
      </c>
      <c r="H2165" s="2264">
        <v>5200</v>
      </c>
      <c r="I2165" s="2264"/>
      <c r="J2165" s="2264">
        <v>0</v>
      </c>
      <c r="K2165" s="2264">
        <v>0</v>
      </c>
      <c r="L2165" s="2264">
        <f t="shared" si="421"/>
        <v>0</v>
      </c>
      <c r="M2165" s="2264">
        <f t="shared" si="422"/>
        <v>0</v>
      </c>
      <c r="N2165" s="2264">
        <f t="shared" si="423"/>
        <v>0</v>
      </c>
      <c r="O2165" s="2264">
        <f t="shared" si="424"/>
        <v>0</v>
      </c>
      <c r="P2165" s="2441"/>
      <c r="Q2165" s="2266"/>
      <c r="R2165" s="2266"/>
      <c r="S2165" s="2266"/>
    </row>
    <row r="2166" spans="1:19" s="2105" customFormat="1" outlineLevel="1">
      <c r="A2166" s="2182" t="str">
        <f t="shared" si="420"/>
        <v/>
      </c>
      <c r="B2166" s="2261" t="s">
        <v>2274</v>
      </c>
      <c r="C2166" s="2268"/>
      <c r="D2166" s="2152">
        <v>0</v>
      </c>
      <c r="E2166" s="2194" t="s">
        <v>3539</v>
      </c>
      <c r="F2166" s="2152" t="s">
        <v>1823</v>
      </c>
      <c r="G2166" s="2450">
        <f>G2153*1.5</f>
        <v>0</v>
      </c>
      <c r="H2166" s="2264">
        <v>3100</v>
      </c>
      <c r="I2166" s="2264"/>
      <c r="J2166" s="2264">
        <v>0</v>
      </c>
      <c r="K2166" s="2264">
        <v>0</v>
      </c>
      <c r="L2166" s="2264">
        <f t="shared" si="421"/>
        <v>0</v>
      </c>
      <c r="M2166" s="2264">
        <f t="shared" si="422"/>
        <v>0</v>
      </c>
      <c r="N2166" s="2264">
        <f t="shared" si="423"/>
        <v>0</v>
      </c>
      <c r="O2166" s="2264">
        <f t="shared" si="424"/>
        <v>0</v>
      </c>
      <c r="P2166" s="2441"/>
      <c r="Q2166" s="2266"/>
      <c r="R2166" s="2266"/>
      <c r="S2166" s="2266"/>
    </row>
    <row r="2167" spans="1:19" s="2105" customFormat="1" outlineLevel="1">
      <c r="A2167" s="2182" t="str">
        <f t="shared" si="420"/>
        <v/>
      </c>
      <c r="B2167" s="2261" t="s">
        <v>2074</v>
      </c>
      <c r="C2167" s="2268"/>
      <c r="D2167" s="2152">
        <v>0</v>
      </c>
      <c r="E2167" s="2194" t="s">
        <v>3570</v>
      </c>
      <c r="F2167" s="2152" t="s">
        <v>3571</v>
      </c>
      <c r="G2167" s="2450">
        <f>G2153*1</f>
        <v>0</v>
      </c>
      <c r="H2167" s="2264">
        <v>11500</v>
      </c>
      <c r="I2167" s="2264"/>
      <c r="J2167" s="2264">
        <v>0</v>
      </c>
      <c r="K2167" s="2264">
        <v>0</v>
      </c>
      <c r="L2167" s="2264">
        <f t="shared" si="421"/>
        <v>0</v>
      </c>
      <c r="M2167" s="2264">
        <f t="shared" si="422"/>
        <v>0</v>
      </c>
      <c r="N2167" s="2264">
        <f t="shared" si="423"/>
        <v>0</v>
      </c>
      <c r="O2167" s="2264">
        <f t="shared" si="424"/>
        <v>0</v>
      </c>
      <c r="P2167" s="2441"/>
      <c r="Q2167" s="2266"/>
      <c r="R2167" s="2266"/>
      <c r="S2167" s="2266"/>
    </row>
    <row r="2168" spans="1:19" s="2105" customFormat="1" outlineLevel="1">
      <c r="A2168" s="2182" t="str">
        <f t="shared" si="420"/>
        <v/>
      </c>
      <c r="B2168" s="2261" t="s">
        <v>6</v>
      </c>
      <c r="C2168" s="2268"/>
      <c r="D2168" s="2152">
        <v>0</v>
      </c>
      <c r="E2168" s="2194" t="s">
        <v>3567</v>
      </c>
      <c r="F2168" s="2152" t="s">
        <v>5806</v>
      </c>
      <c r="G2168" s="2450">
        <f>G2153*1</f>
        <v>0</v>
      </c>
      <c r="H2168" s="2264">
        <v>45000</v>
      </c>
      <c r="I2168" s="2264"/>
      <c r="J2168" s="2264">
        <v>0</v>
      </c>
      <c r="K2168" s="2264">
        <v>0</v>
      </c>
      <c r="L2168" s="2264">
        <f t="shared" si="421"/>
        <v>0</v>
      </c>
      <c r="M2168" s="2264">
        <f t="shared" si="422"/>
        <v>0</v>
      </c>
      <c r="N2168" s="2264">
        <f t="shared" si="423"/>
        <v>0</v>
      </c>
      <c r="O2168" s="2264">
        <f t="shared" si="424"/>
        <v>0</v>
      </c>
      <c r="P2168" s="2441"/>
      <c r="Q2168" s="2266"/>
      <c r="R2168" s="2266"/>
      <c r="S2168" s="2266"/>
    </row>
    <row r="2169" spans="1:19" s="2105" customFormat="1" outlineLevel="1">
      <c r="A2169" s="2182" t="str">
        <f t="shared" si="420"/>
        <v/>
      </c>
      <c r="B2169" s="2261" t="s">
        <v>672</v>
      </c>
      <c r="C2169" s="2268"/>
      <c r="D2169" s="2152">
        <v>0</v>
      </c>
      <c r="E2169" s="2194" t="s">
        <v>5801</v>
      </c>
      <c r="F2169" s="2152" t="s">
        <v>3566</v>
      </c>
      <c r="G2169" s="2450">
        <f>G2153*2</f>
        <v>0</v>
      </c>
      <c r="H2169" s="2264">
        <v>6500</v>
      </c>
      <c r="I2169" s="2264"/>
      <c r="J2169" s="2264">
        <v>0</v>
      </c>
      <c r="K2169" s="2264">
        <v>0</v>
      </c>
      <c r="L2169" s="2264">
        <f t="shared" si="421"/>
        <v>0</v>
      </c>
      <c r="M2169" s="2264">
        <f t="shared" si="422"/>
        <v>0</v>
      </c>
      <c r="N2169" s="2264">
        <f t="shared" si="423"/>
        <v>0</v>
      </c>
      <c r="O2169" s="2264">
        <f t="shared" si="424"/>
        <v>0</v>
      </c>
      <c r="P2169" s="2441"/>
      <c r="Q2169" s="2266"/>
      <c r="R2169" s="2266"/>
      <c r="S2169" s="2266"/>
    </row>
    <row r="2170" spans="1:19" s="2105" customFormat="1" outlineLevel="1">
      <c r="A2170" s="2182" t="str">
        <f t="shared" si="420"/>
        <v/>
      </c>
      <c r="B2170" s="2261" t="s">
        <v>1525</v>
      </c>
      <c r="C2170" s="2268"/>
      <c r="D2170" s="2152" t="s">
        <v>5571</v>
      </c>
      <c r="E2170" s="2194" t="s">
        <v>3292</v>
      </c>
      <c r="F2170" s="2152" t="s">
        <v>1823</v>
      </c>
      <c r="G2170" s="2450">
        <f>G2161*2</f>
        <v>0</v>
      </c>
      <c r="H2170" s="2264">
        <v>0</v>
      </c>
      <c r="I2170" s="2264"/>
      <c r="J2170" s="2264">
        <v>13915</v>
      </c>
      <c r="K2170" s="2264">
        <v>0</v>
      </c>
      <c r="L2170" s="2264">
        <f t="shared" si="421"/>
        <v>0</v>
      </c>
      <c r="M2170" s="2264">
        <f t="shared" si="422"/>
        <v>0</v>
      </c>
      <c r="N2170" s="2264">
        <f t="shared" si="423"/>
        <v>0</v>
      </c>
      <c r="O2170" s="2264">
        <f t="shared" si="424"/>
        <v>0</v>
      </c>
      <c r="P2170" s="2441"/>
      <c r="Q2170" s="2266"/>
      <c r="R2170" s="2266"/>
      <c r="S2170" s="2266"/>
    </row>
    <row r="2171" spans="1:19" s="2105" customFormat="1" outlineLevel="1">
      <c r="A2171" s="2182" t="str">
        <f>IF(G2171&lt;&gt;0,1,"")</f>
        <v/>
      </c>
      <c r="B2171" s="2261"/>
      <c r="C2171" s="2258">
        <f>IF(G2171&gt;0,C2153+1,C2153)</f>
        <v>0</v>
      </c>
      <c r="D2171" s="2259"/>
      <c r="E2171" s="2260" t="s">
        <v>6263</v>
      </c>
      <c r="F2171" s="2258" t="s">
        <v>2385</v>
      </c>
      <c r="G2171" s="2451">
        <f>G2057</f>
        <v>0</v>
      </c>
      <c r="H2171" s="2264"/>
      <c r="I2171" s="2264"/>
      <c r="J2171" s="2264"/>
      <c r="K2171" s="2264"/>
      <c r="L2171" s="2264"/>
      <c r="M2171" s="2264"/>
      <c r="N2171" s="2264"/>
      <c r="O2171" s="2264"/>
      <c r="P2171" s="2441"/>
      <c r="Q2171" s="2266"/>
      <c r="R2171" s="2266"/>
      <c r="S2171" s="2266"/>
    </row>
    <row r="2172" spans="1:19" s="2105" customFormat="1" ht="14.4" outlineLevel="1">
      <c r="A2172" s="2182" t="str">
        <f>A2171</f>
        <v/>
      </c>
      <c r="B2172" s="2261"/>
      <c r="C2172" s="2258"/>
      <c r="D2172" s="2259"/>
      <c r="E2172" s="2274" t="s">
        <v>6133</v>
      </c>
      <c r="F2172" s="2258"/>
      <c r="G2172" s="2451"/>
      <c r="H2172" s="2264"/>
      <c r="I2172" s="2264"/>
      <c r="J2172" s="2264"/>
      <c r="K2172" s="2264"/>
      <c r="L2172" s="2264"/>
      <c r="M2172" s="2264"/>
      <c r="N2172" s="2264"/>
      <c r="O2172" s="2264"/>
      <c r="P2172" s="2441"/>
      <c r="Q2172" s="2266"/>
      <c r="R2172" s="2266"/>
      <c r="S2172" s="2266"/>
    </row>
    <row r="2173" spans="1:19" s="2105" customFormat="1" outlineLevel="1">
      <c r="A2173" s="2182" t="str">
        <f t="shared" ref="A2173:A2184" si="425">IF(G2173&lt;&gt;0,1,"")</f>
        <v/>
      </c>
      <c r="B2173" s="2252" t="s">
        <v>697</v>
      </c>
      <c r="C2173" s="2268"/>
      <c r="D2173" s="2152">
        <v>0</v>
      </c>
      <c r="E2173" s="2194" t="s">
        <v>5087</v>
      </c>
      <c r="F2173" s="2152" t="s">
        <v>2532</v>
      </c>
      <c r="G2173" s="2450">
        <f>G2171*(7)*3</f>
        <v>0</v>
      </c>
      <c r="H2173" s="2264">
        <v>50996</v>
      </c>
      <c r="I2173" s="2264"/>
      <c r="J2173" s="2264">
        <v>0</v>
      </c>
      <c r="K2173" s="2264">
        <v>0</v>
      </c>
      <c r="L2173" s="2264">
        <f t="shared" ref="L2173:L2183" si="426">H2173*G2173</f>
        <v>0</v>
      </c>
      <c r="M2173" s="2264">
        <f>I2173*G2173</f>
        <v>0</v>
      </c>
      <c r="N2173" s="2264">
        <f t="shared" ref="N2173:N2183" si="427">J2173*G2173</f>
        <v>0</v>
      </c>
      <c r="O2173" s="2264">
        <f t="shared" ref="O2173:O2183" si="428">K2173*G2173</f>
        <v>0</v>
      </c>
      <c r="P2173" s="2441"/>
      <c r="Q2173" s="2266"/>
      <c r="R2173" s="2266"/>
      <c r="S2173" s="2266"/>
    </row>
    <row r="2174" spans="1:19" s="2105" customFormat="1" outlineLevel="1">
      <c r="A2174" s="2182" t="str">
        <f t="shared" si="425"/>
        <v/>
      </c>
      <c r="B2174" s="2357" t="s">
        <v>1479</v>
      </c>
      <c r="C2174" s="2268"/>
      <c r="D2174" s="2152">
        <v>0</v>
      </c>
      <c r="E2174" s="2194" t="s">
        <v>3791</v>
      </c>
      <c r="F2174" s="2152" t="s">
        <v>2555</v>
      </c>
      <c r="G2174" s="2450">
        <f>G2171*3</f>
        <v>0</v>
      </c>
      <c r="H2174" s="2264">
        <v>46000</v>
      </c>
      <c r="I2174" s="2264"/>
      <c r="J2174" s="2264">
        <v>0</v>
      </c>
      <c r="K2174" s="2264">
        <v>0</v>
      </c>
      <c r="L2174" s="2264">
        <f t="shared" si="426"/>
        <v>0</v>
      </c>
      <c r="M2174" s="2264">
        <f t="shared" ref="M2174:M2183" si="429">I2174*G2174</f>
        <v>0</v>
      </c>
      <c r="N2174" s="2264">
        <f t="shared" si="427"/>
        <v>0</v>
      </c>
      <c r="O2174" s="2264">
        <f t="shared" si="428"/>
        <v>0</v>
      </c>
      <c r="P2174" s="2441"/>
      <c r="Q2174" s="2266"/>
      <c r="R2174" s="2266"/>
      <c r="S2174" s="2266"/>
    </row>
    <row r="2175" spans="1:19" s="2105" customFormat="1" outlineLevel="1">
      <c r="A2175" s="2182" t="str">
        <f t="shared" si="425"/>
        <v/>
      </c>
      <c r="B2175" s="2357" t="s">
        <v>1477</v>
      </c>
      <c r="C2175" s="2268"/>
      <c r="D2175" s="2152">
        <v>0</v>
      </c>
      <c r="E2175" s="2194" t="s">
        <v>6346</v>
      </c>
      <c r="F2175" s="2152" t="s">
        <v>2555</v>
      </c>
      <c r="G2175" s="2450">
        <f>G2174</f>
        <v>0</v>
      </c>
      <c r="H2175" s="2264">
        <v>77000</v>
      </c>
      <c r="I2175" s="2264"/>
      <c r="J2175" s="2264">
        <v>0</v>
      </c>
      <c r="K2175" s="2264">
        <v>0</v>
      </c>
      <c r="L2175" s="2264">
        <f t="shared" si="426"/>
        <v>0</v>
      </c>
      <c r="M2175" s="2264">
        <f t="shared" si="429"/>
        <v>0</v>
      </c>
      <c r="N2175" s="2264">
        <f t="shared" si="427"/>
        <v>0</v>
      </c>
      <c r="O2175" s="2264">
        <f t="shared" si="428"/>
        <v>0</v>
      </c>
      <c r="P2175" s="2441"/>
      <c r="Q2175" s="2266"/>
      <c r="R2175" s="2266"/>
      <c r="S2175" s="2266"/>
    </row>
    <row r="2176" spans="1:19" s="2105" customFormat="1" outlineLevel="1">
      <c r="A2176" s="2182" t="str">
        <f t="shared" si="425"/>
        <v/>
      </c>
      <c r="B2176" s="2357" t="s">
        <v>5699</v>
      </c>
      <c r="C2176" s="2268"/>
      <c r="D2176" s="2152">
        <v>0</v>
      </c>
      <c r="E2176" s="2194" t="s">
        <v>5700</v>
      </c>
      <c r="F2176" s="2152" t="s">
        <v>2555</v>
      </c>
      <c r="G2176" s="2450">
        <f>+G2171*3</f>
        <v>0</v>
      </c>
      <c r="H2176" s="2264">
        <v>218200</v>
      </c>
      <c r="I2176" s="2264"/>
      <c r="J2176" s="2264">
        <v>0</v>
      </c>
      <c r="K2176" s="2264">
        <v>0</v>
      </c>
      <c r="L2176" s="2264">
        <f t="shared" si="426"/>
        <v>0</v>
      </c>
      <c r="M2176" s="2264">
        <f t="shared" si="429"/>
        <v>0</v>
      </c>
      <c r="N2176" s="2264">
        <f t="shared" si="427"/>
        <v>0</v>
      </c>
      <c r="O2176" s="2264">
        <f t="shared" si="428"/>
        <v>0</v>
      </c>
      <c r="P2176" s="2449"/>
      <c r="Q2176" s="2266"/>
      <c r="R2176" s="2266"/>
      <c r="S2176" s="2266"/>
    </row>
    <row r="2177" spans="1:19" s="2105" customFormat="1" outlineLevel="1">
      <c r="A2177" s="2182" t="str">
        <f t="shared" si="425"/>
        <v/>
      </c>
      <c r="B2177" s="2357" t="s">
        <v>5705</v>
      </c>
      <c r="C2177" s="2268"/>
      <c r="D2177" s="2152">
        <v>0</v>
      </c>
      <c r="E2177" s="2194" t="s">
        <v>5706</v>
      </c>
      <c r="F2177" s="2152" t="s">
        <v>2555</v>
      </c>
      <c r="G2177" s="2450">
        <f>+G2171*3</f>
        <v>0</v>
      </c>
      <c r="H2177" s="2264">
        <v>39100</v>
      </c>
      <c r="I2177" s="2264"/>
      <c r="J2177" s="2264">
        <v>0</v>
      </c>
      <c r="K2177" s="2264">
        <v>0</v>
      </c>
      <c r="L2177" s="2264">
        <f t="shared" si="426"/>
        <v>0</v>
      </c>
      <c r="M2177" s="2264">
        <f t="shared" si="429"/>
        <v>0</v>
      </c>
      <c r="N2177" s="2264">
        <f t="shared" si="427"/>
        <v>0</v>
      </c>
      <c r="O2177" s="2264">
        <f t="shared" si="428"/>
        <v>0</v>
      </c>
      <c r="P2177" s="2449"/>
      <c r="Q2177" s="2266"/>
      <c r="R2177" s="2266"/>
      <c r="S2177" s="2266"/>
    </row>
    <row r="2178" spans="1:19" s="2105" customFormat="1" outlineLevel="1">
      <c r="A2178" s="2182" t="str">
        <f t="shared" si="425"/>
        <v/>
      </c>
      <c r="B2178" s="2357" t="s">
        <v>5707</v>
      </c>
      <c r="C2178" s="2268"/>
      <c r="D2178" s="2152">
        <v>0</v>
      </c>
      <c r="E2178" s="2194" t="s">
        <v>5708</v>
      </c>
      <c r="F2178" s="2152" t="s">
        <v>2555</v>
      </c>
      <c r="G2178" s="2450">
        <f>+G2171*3</f>
        <v>0</v>
      </c>
      <c r="H2178" s="2264">
        <v>56700</v>
      </c>
      <c r="I2178" s="2264"/>
      <c r="J2178" s="2264">
        <v>0</v>
      </c>
      <c r="K2178" s="2264">
        <v>0</v>
      </c>
      <c r="L2178" s="2264">
        <f t="shared" si="426"/>
        <v>0</v>
      </c>
      <c r="M2178" s="2264">
        <f t="shared" si="429"/>
        <v>0</v>
      </c>
      <c r="N2178" s="2264">
        <f t="shared" si="427"/>
        <v>0</v>
      </c>
      <c r="O2178" s="2264">
        <f t="shared" si="428"/>
        <v>0</v>
      </c>
      <c r="P2178" s="2449"/>
      <c r="Q2178" s="2266"/>
      <c r="R2178" s="2266"/>
      <c r="S2178" s="2266"/>
    </row>
    <row r="2179" spans="1:19" s="2105" customFormat="1" outlineLevel="1">
      <c r="A2179" s="2182" t="str">
        <f t="shared" si="425"/>
        <v/>
      </c>
      <c r="B2179" s="2357" t="s">
        <v>6264</v>
      </c>
      <c r="C2179" s="2268"/>
      <c r="D2179" s="2152"/>
      <c r="E2179" s="2194" t="s">
        <v>5698</v>
      </c>
      <c r="F2179" s="2152" t="s">
        <v>3445</v>
      </c>
      <c r="G2179" s="2450">
        <f>G2171*3*3</f>
        <v>0</v>
      </c>
      <c r="H2179" s="2264">
        <v>25000</v>
      </c>
      <c r="I2179" s="2264"/>
      <c r="J2179" s="2264">
        <v>0</v>
      </c>
      <c r="K2179" s="2264">
        <v>0</v>
      </c>
      <c r="L2179" s="2264">
        <f t="shared" si="426"/>
        <v>0</v>
      </c>
      <c r="M2179" s="2264">
        <f t="shared" si="429"/>
        <v>0</v>
      </c>
      <c r="N2179" s="2264">
        <f t="shared" si="427"/>
        <v>0</v>
      </c>
      <c r="O2179" s="2264">
        <f t="shared" si="428"/>
        <v>0</v>
      </c>
      <c r="P2179" s="2449"/>
      <c r="Q2179" s="2266"/>
      <c r="R2179" s="2266"/>
      <c r="S2179" s="2266"/>
    </row>
    <row r="2180" spans="1:19" s="2105" customFormat="1" outlineLevel="1">
      <c r="A2180" s="2182" t="str">
        <f t="shared" si="425"/>
        <v/>
      </c>
      <c r="B2180" s="2252" t="s">
        <v>696</v>
      </c>
      <c r="C2180" s="2389"/>
      <c r="D2180" s="2152">
        <v>0</v>
      </c>
      <c r="E2180" s="2194" t="s">
        <v>2936</v>
      </c>
      <c r="F2180" s="2152" t="s">
        <v>2555</v>
      </c>
      <c r="G2180" s="2450">
        <f>G2171*3</f>
        <v>0</v>
      </c>
      <c r="H2180" s="2264">
        <v>205000</v>
      </c>
      <c r="I2180" s="2264"/>
      <c r="J2180" s="2264">
        <v>0</v>
      </c>
      <c r="K2180" s="2264">
        <v>0</v>
      </c>
      <c r="L2180" s="2264">
        <f t="shared" si="426"/>
        <v>0</v>
      </c>
      <c r="M2180" s="2264">
        <f t="shared" si="429"/>
        <v>0</v>
      </c>
      <c r="N2180" s="2264">
        <f t="shared" si="427"/>
        <v>0</v>
      </c>
      <c r="O2180" s="2264">
        <f t="shared" si="428"/>
        <v>0</v>
      </c>
      <c r="P2180" s="2441"/>
      <c r="Q2180" s="2266"/>
      <c r="R2180" s="2266"/>
      <c r="S2180" s="2266"/>
    </row>
    <row r="2181" spans="1:19" s="2105" customFormat="1" outlineLevel="1">
      <c r="A2181" s="2182" t="str">
        <f t="shared" si="425"/>
        <v/>
      </c>
      <c r="B2181" s="2252" t="s">
        <v>1265</v>
      </c>
      <c r="C2181" s="2268"/>
      <c r="D2181" s="2152">
        <v>0</v>
      </c>
      <c r="E2181" s="2194" t="s">
        <v>2823</v>
      </c>
      <c r="F2181" s="2152" t="s">
        <v>2555</v>
      </c>
      <c r="G2181" s="2450">
        <f>G2180</f>
        <v>0</v>
      </c>
      <c r="H2181" s="2264">
        <v>65000</v>
      </c>
      <c r="I2181" s="2264"/>
      <c r="J2181" s="2264">
        <v>0</v>
      </c>
      <c r="K2181" s="2264">
        <v>0</v>
      </c>
      <c r="L2181" s="2264">
        <f t="shared" si="426"/>
        <v>0</v>
      </c>
      <c r="M2181" s="2264">
        <f t="shared" si="429"/>
        <v>0</v>
      </c>
      <c r="N2181" s="2264">
        <f t="shared" si="427"/>
        <v>0</v>
      </c>
      <c r="O2181" s="2264">
        <f t="shared" si="428"/>
        <v>0</v>
      </c>
      <c r="P2181" s="2441"/>
      <c r="Q2181" s="2266"/>
      <c r="R2181" s="2266"/>
      <c r="S2181" s="2266"/>
    </row>
    <row r="2182" spans="1:19" s="2105" customFormat="1" outlineLevel="1">
      <c r="A2182" s="2182" t="str">
        <f t="shared" si="425"/>
        <v/>
      </c>
      <c r="B2182" s="2252" t="s">
        <v>1565</v>
      </c>
      <c r="C2182" s="2268"/>
      <c r="D2182" s="2152" t="s">
        <v>5560</v>
      </c>
      <c r="E2182" s="2194" t="s">
        <v>3271</v>
      </c>
      <c r="F2182" s="2152" t="s">
        <v>2439</v>
      </c>
      <c r="G2182" s="2450">
        <f>G2181</f>
        <v>0</v>
      </c>
      <c r="H2182" s="2264"/>
      <c r="I2182" s="2264"/>
      <c r="J2182" s="2264">
        <v>58277.49</v>
      </c>
      <c r="K2182" s="2264"/>
      <c r="L2182" s="2264">
        <f t="shared" si="426"/>
        <v>0</v>
      </c>
      <c r="M2182" s="2264">
        <f t="shared" si="429"/>
        <v>0</v>
      </c>
      <c r="N2182" s="2264">
        <f t="shared" si="427"/>
        <v>0</v>
      </c>
      <c r="O2182" s="2264">
        <f t="shared" si="428"/>
        <v>0</v>
      </c>
      <c r="P2182" s="2441"/>
      <c r="Q2182" s="2266"/>
      <c r="R2182" s="2266"/>
      <c r="S2182" s="2266"/>
    </row>
    <row r="2183" spans="1:19" s="2105" customFormat="1" outlineLevel="1">
      <c r="A2183" s="2182" t="str">
        <f t="shared" si="425"/>
        <v/>
      </c>
      <c r="B2183" s="2252" t="s">
        <v>1525</v>
      </c>
      <c r="C2183" s="2268"/>
      <c r="D2183" s="2152" t="s">
        <v>5571</v>
      </c>
      <c r="E2183" s="2194" t="s">
        <v>3292</v>
      </c>
      <c r="F2183" s="2152" t="s">
        <v>1823</v>
      </c>
      <c r="G2183" s="2450">
        <f>G2173</f>
        <v>0</v>
      </c>
      <c r="H2183" s="2264"/>
      <c r="I2183" s="2264"/>
      <c r="J2183" s="2264">
        <v>13915</v>
      </c>
      <c r="K2183" s="2264"/>
      <c r="L2183" s="2264">
        <f t="shared" si="426"/>
        <v>0</v>
      </c>
      <c r="M2183" s="2264">
        <f t="shared" si="429"/>
        <v>0</v>
      </c>
      <c r="N2183" s="2264">
        <f t="shared" si="427"/>
        <v>0</v>
      </c>
      <c r="O2183" s="2264">
        <f t="shared" si="428"/>
        <v>0</v>
      </c>
      <c r="P2183" s="2441"/>
      <c r="Q2183" s="2266"/>
      <c r="R2183" s="2266"/>
      <c r="S2183" s="2266"/>
    </row>
    <row r="2184" spans="1:19" s="2105" customFormat="1" outlineLevel="1">
      <c r="A2184" s="2182" t="str">
        <f t="shared" si="425"/>
        <v/>
      </c>
      <c r="B2184" s="2261"/>
      <c r="C2184" s="2258">
        <f>IF(G2184&gt;0,C2171+1,C2171)</f>
        <v>0</v>
      </c>
      <c r="D2184" s="2259"/>
      <c r="E2184" s="2260" t="s">
        <v>3708</v>
      </c>
      <c r="F2184" s="2258" t="s">
        <v>2385</v>
      </c>
      <c r="G2184" s="2451">
        <f>G2089*0</f>
        <v>0</v>
      </c>
      <c r="H2184" s="2264"/>
      <c r="I2184" s="2264"/>
      <c r="J2184" s="2264"/>
      <c r="K2184" s="2264"/>
      <c r="L2184" s="2264"/>
      <c r="M2184" s="2264"/>
      <c r="N2184" s="2264"/>
      <c r="O2184" s="2264"/>
      <c r="P2184" s="2265"/>
      <c r="Q2184" s="2266"/>
      <c r="R2184" s="2266"/>
      <c r="S2184" s="2266"/>
    </row>
    <row r="2185" spans="1:19" s="2105" customFormat="1" ht="14.4" outlineLevel="1">
      <c r="A2185" s="2182" t="str">
        <f>A2184</f>
        <v/>
      </c>
      <c r="B2185" s="2261"/>
      <c r="C2185" s="2258"/>
      <c r="D2185" s="2259"/>
      <c r="E2185" s="2274" t="s">
        <v>6133</v>
      </c>
      <c r="F2185" s="2258"/>
      <c r="G2185" s="2451"/>
      <c r="H2185" s="2264"/>
      <c r="I2185" s="2264"/>
      <c r="J2185" s="2264"/>
      <c r="K2185" s="2264"/>
      <c r="L2185" s="2264"/>
      <c r="M2185" s="2264"/>
      <c r="N2185" s="2264"/>
      <c r="O2185" s="2264"/>
      <c r="P2185" s="2265"/>
      <c r="Q2185" s="2266"/>
      <c r="R2185" s="2266"/>
      <c r="S2185" s="2266"/>
    </row>
    <row r="2186" spans="1:19" s="2105" customFormat="1" outlineLevel="1">
      <c r="A2186" s="2182" t="str">
        <f>IF(G2186&lt;&gt;0,1,"")</f>
        <v/>
      </c>
      <c r="B2186" s="2261" t="s">
        <v>1489</v>
      </c>
      <c r="C2186" s="2268"/>
      <c r="D2186" s="2152">
        <v>0</v>
      </c>
      <c r="E2186" s="2194" t="s">
        <v>3532</v>
      </c>
      <c r="F2186" s="2152" t="s">
        <v>1823</v>
      </c>
      <c r="G2186" s="2450">
        <f>G2184*2</f>
        <v>0</v>
      </c>
      <c r="H2186" s="2264">
        <v>63200</v>
      </c>
      <c r="I2186" s="2264"/>
      <c r="J2186" s="2264">
        <v>0</v>
      </c>
      <c r="K2186" s="2264">
        <v>0</v>
      </c>
      <c r="L2186" s="2264">
        <f>H2186*G2186</f>
        <v>0</v>
      </c>
      <c r="M2186" s="2264">
        <f>I2186*G2186</f>
        <v>0</v>
      </c>
      <c r="N2186" s="2264">
        <f>J2186*G2186</f>
        <v>0</v>
      </c>
      <c r="O2186" s="2264">
        <f>K2186*G2186</f>
        <v>0</v>
      </c>
      <c r="P2186" s="2265"/>
      <c r="Q2186" s="2266"/>
      <c r="R2186" s="2266"/>
      <c r="S2186" s="2266"/>
    </row>
    <row r="2187" spans="1:19" s="2105" customFormat="1" outlineLevel="1">
      <c r="A2187" s="2182" t="str">
        <f>IF(G2187&lt;&gt;0,1,"")</f>
        <v/>
      </c>
      <c r="B2187" s="2261" t="s">
        <v>86</v>
      </c>
      <c r="C2187" s="2268"/>
      <c r="D2187" s="2152">
        <v>0</v>
      </c>
      <c r="E2187" s="2194" t="s">
        <v>5797</v>
      </c>
      <c r="F2187" s="2152" t="s">
        <v>2555</v>
      </c>
      <c r="G2187" s="2450">
        <f>G2184</f>
        <v>0</v>
      </c>
      <c r="H2187" s="2264">
        <v>45400</v>
      </c>
      <c r="I2187" s="2264"/>
      <c r="J2187" s="2264">
        <v>0</v>
      </c>
      <c r="K2187" s="2264">
        <v>0</v>
      </c>
      <c r="L2187" s="2264">
        <f>H2187*G2187</f>
        <v>0</v>
      </c>
      <c r="M2187" s="2264">
        <f>I2187*G2187</f>
        <v>0</v>
      </c>
      <c r="N2187" s="2264">
        <f>J2187*G2187</f>
        <v>0</v>
      </c>
      <c r="O2187" s="2264">
        <f>K2187*G2187</f>
        <v>0</v>
      </c>
      <c r="P2187" s="2265"/>
      <c r="Q2187" s="2266"/>
      <c r="R2187" s="2266"/>
      <c r="S2187" s="2266"/>
    </row>
    <row r="2188" spans="1:19" s="2105" customFormat="1" outlineLevel="1">
      <c r="A2188" s="2182" t="str">
        <f>IF(G2188&lt;&gt;0,1,"")</f>
        <v/>
      </c>
      <c r="B2188" s="2261" t="s">
        <v>931</v>
      </c>
      <c r="C2188" s="2268"/>
      <c r="D2188" s="2152">
        <v>0</v>
      </c>
      <c r="E2188" s="2194" t="s">
        <v>3574</v>
      </c>
      <c r="F2188" s="2152" t="s">
        <v>2555</v>
      </c>
      <c r="G2188" s="2450">
        <f>G2184*2</f>
        <v>0</v>
      </c>
      <c r="H2188" s="2264">
        <v>25800</v>
      </c>
      <c r="I2188" s="2264"/>
      <c r="J2188" s="2264">
        <v>0</v>
      </c>
      <c r="K2188" s="2264">
        <v>0</v>
      </c>
      <c r="L2188" s="2264">
        <f>H2188*G2188</f>
        <v>0</v>
      </c>
      <c r="M2188" s="2264">
        <f>I2188*G2188</f>
        <v>0</v>
      </c>
      <c r="N2188" s="2264">
        <f>J2188*G2188</f>
        <v>0</v>
      </c>
      <c r="O2188" s="2264">
        <f>K2188*G2188</f>
        <v>0</v>
      </c>
      <c r="P2188" s="2265"/>
      <c r="Q2188" s="2266"/>
      <c r="R2188" s="2266"/>
      <c r="S2188" s="2266"/>
    </row>
    <row r="2189" spans="1:19" s="2105" customFormat="1" outlineLevel="1">
      <c r="A2189" s="2182" t="str">
        <f>IF(G2189&lt;&gt;0,1,"")</f>
        <v/>
      </c>
      <c r="B2189" s="2261" t="s">
        <v>930</v>
      </c>
      <c r="C2189" s="2268"/>
      <c r="D2189" s="2152">
        <v>0</v>
      </c>
      <c r="E2189" s="2194" t="s">
        <v>3578</v>
      </c>
      <c r="F2189" s="2152" t="s">
        <v>2555</v>
      </c>
      <c r="G2189" s="2450">
        <f>G2188</f>
        <v>0</v>
      </c>
      <c r="H2189" s="2264">
        <v>21500</v>
      </c>
      <c r="I2189" s="2264"/>
      <c r="J2189" s="2264">
        <v>0</v>
      </c>
      <c r="K2189" s="2264">
        <v>0</v>
      </c>
      <c r="L2189" s="2264">
        <f>H2189*G2189</f>
        <v>0</v>
      </c>
      <c r="M2189" s="2264">
        <f>I2189*G2189</f>
        <v>0</v>
      </c>
      <c r="N2189" s="2264">
        <f>J2189*G2189</f>
        <v>0</v>
      </c>
      <c r="O2189" s="2264">
        <f>K2189*G2189</f>
        <v>0</v>
      </c>
      <c r="P2189" s="2265"/>
      <c r="Q2189" s="2266"/>
      <c r="R2189" s="2266"/>
      <c r="S2189" s="2266"/>
    </row>
    <row r="2190" spans="1:19" s="2105" customFormat="1" outlineLevel="1">
      <c r="A2190" s="2182" t="str">
        <f>IF(G2190&lt;&gt;0,1,"")</f>
        <v/>
      </c>
      <c r="B2190" s="2252"/>
      <c r="C2190" s="2258">
        <f>IF(G2190&gt;0,C2184+1,C2184)</f>
        <v>0</v>
      </c>
      <c r="D2190" s="2259"/>
      <c r="E2190" s="2260" t="s">
        <v>6265</v>
      </c>
      <c r="F2190" s="2258" t="s">
        <v>2385</v>
      </c>
      <c r="G2190" s="2450">
        <f>G2147</f>
        <v>0</v>
      </c>
      <c r="H2190" s="2264"/>
      <c r="I2190" s="2264"/>
      <c r="J2190" s="2264"/>
      <c r="K2190" s="2264"/>
      <c r="L2190" s="2264"/>
      <c r="M2190" s="2264"/>
      <c r="N2190" s="2264"/>
      <c r="O2190" s="2264"/>
      <c r="P2190" s="2441"/>
      <c r="Q2190" s="2266"/>
      <c r="R2190" s="2266"/>
      <c r="S2190" s="2266"/>
    </row>
    <row r="2191" spans="1:19" s="2105" customFormat="1" ht="14.4" outlineLevel="1">
      <c r="A2191" s="2182" t="str">
        <f>A2190</f>
        <v/>
      </c>
      <c r="B2191" s="2252"/>
      <c r="C2191" s="2258"/>
      <c r="D2191" s="2259"/>
      <c r="E2191" s="2274" t="s">
        <v>6133</v>
      </c>
      <c r="F2191" s="2258"/>
      <c r="G2191" s="2450"/>
      <c r="H2191" s="2264"/>
      <c r="I2191" s="2264"/>
      <c r="J2191" s="2264"/>
      <c r="K2191" s="2264"/>
      <c r="L2191" s="2264"/>
      <c r="M2191" s="2264"/>
      <c r="N2191" s="2264"/>
      <c r="O2191" s="2264"/>
      <c r="P2191" s="2441"/>
      <c r="Q2191" s="2266"/>
      <c r="R2191" s="2266"/>
      <c r="S2191" s="2266"/>
    </row>
    <row r="2192" spans="1:19" s="2105" customFormat="1" outlineLevel="1">
      <c r="A2192" s="2182" t="str">
        <f>IF(G2192&lt;&gt;0,1,"")</f>
        <v/>
      </c>
      <c r="B2192" s="2261" t="s">
        <v>32</v>
      </c>
      <c r="C2192" s="2268"/>
      <c r="D2192" s="2152">
        <v>0</v>
      </c>
      <c r="E2192" s="2194" t="s">
        <v>2795</v>
      </c>
      <c r="F2192" s="2152" t="s">
        <v>2532</v>
      </c>
      <c r="G2192" s="2450">
        <f>G2190*7</f>
        <v>0</v>
      </c>
      <c r="H2192" s="2264">
        <v>236300</v>
      </c>
      <c r="I2192" s="2264"/>
      <c r="J2192" s="2264">
        <v>0</v>
      </c>
      <c r="K2192" s="2264">
        <v>0</v>
      </c>
      <c r="L2192" s="2264">
        <f>H2192*G2192</f>
        <v>0</v>
      </c>
      <c r="M2192" s="2264">
        <f>I2192*G2192</f>
        <v>0</v>
      </c>
      <c r="N2192" s="2264">
        <f>J2192*G2192</f>
        <v>0</v>
      </c>
      <c r="O2192" s="2264">
        <f>K2192*G2192</f>
        <v>0</v>
      </c>
      <c r="P2192" s="2441"/>
      <c r="Q2192" s="2266"/>
      <c r="R2192" s="2266"/>
      <c r="S2192" s="2266"/>
    </row>
    <row r="2193" spans="1:19" s="2105" customFormat="1" outlineLevel="1">
      <c r="A2193" s="2182" t="str">
        <f>IF(G2193&lt;&gt;0,1,"")</f>
        <v/>
      </c>
      <c r="B2193" s="2261" t="s">
        <v>1571</v>
      </c>
      <c r="C2193" s="2268"/>
      <c r="D2193" s="2152">
        <v>0</v>
      </c>
      <c r="E2193" s="2194" t="s">
        <v>2799</v>
      </c>
      <c r="F2193" s="2152" t="s">
        <v>2532</v>
      </c>
      <c r="G2193" s="2450">
        <f>(7*3)*G2190</f>
        <v>0</v>
      </c>
      <c r="H2193" s="2264">
        <v>567100</v>
      </c>
      <c r="I2193" s="2264"/>
      <c r="J2193" s="2264">
        <v>0</v>
      </c>
      <c r="K2193" s="2264">
        <v>0</v>
      </c>
      <c r="L2193" s="2264">
        <f>H2193*G2193</f>
        <v>0</v>
      </c>
      <c r="M2193" s="2264">
        <f>I2193*G2193</f>
        <v>0</v>
      </c>
      <c r="N2193" s="2264">
        <f>J2193*G2193</f>
        <v>0</v>
      </c>
      <c r="O2193" s="2264">
        <f>K2193*G2193</f>
        <v>0</v>
      </c>
      <c r="P2193" s="2441"/>
      <c r="Q2193" s="2266"/>
      <c r="R2193" s="2266"/>
      <c r="S2193" s="2266"/>
    </row>
    <row r="2194" spans="1:19" s="2105" customFormat="1" outlineLevel="1">
      <c r="A2194" s="2182" t="str">
        <f>IF(G2194&lt;&gt;0,1,"")</f>
        <v/>
      </c>
      <c r="B2194" s="2261" t="s">
        <v>1305</v>
      </c>
      <c r="C2194" s="2268"/>
      <c r="D2194" s="2152" t="s">
        <v>5728</v>
      </c>
      <c r="E2194" s="2194" t="s">
        <v>3482</v>
      </c>
      <c r="F2194" s="2152" t="s">
        <v>2555</v>
      </c>
      <c r="G2194" s="2450">
        <f>G2190</f>
        <v>0</v>
      </c>
      <c r="H2194" s="2264">
        <v>27000</v>
      </c>
      <c r="I2194" s="2264"/>
      <c r="J2194" s="2264">
        <v>27280.17</v>
      </c>
      <c r="K2194" s="2264">
        <v>3887.8325465000003</v>
      </c>
      <c r="L2194" s="2264">
        <f>H2194*G2194</f>
        <v>0</v>
      </c>
      <c r="M2194" s="2264">
        <f>I2194*G2194</f>
        <v>0</v>
      </c>
      <c r="N2194" s="2264">
        <f>J2194*G2194</f>
        <v>0</v>
      </c>
      <c r="O2194" s="2264">
        <f>K2194*G2194</f>
        <v>0</v>
      </c>
      <c r="P2194" s="2441"/>
      <c r="Q2194" s="2266"/>
      <c r="R2194" s="2266"/>
      <c r="S2194" s="2266"/>
    </row>
    <row r="2195" spans="1:19" s="2105" customFormat="1" outlineLevel="1">
      <c r="A2195" s="2182" t="str">
        <f>IF(G2195&lt;&gt;0,1,"")</f>
        <v/>
      </c>
      <c r="B2195" s="2261" t="s">
        <v>2156</v>
      </c>
      <c r="C2195" s="2268"/>
      <c r="D2195" s="2152" t="s">
        <v>5731</v>
      </c>
      <c r="E2195" s="2194" t="s">
        <v>3486</v>
      </c>
      <c r="F2195" s="2152" t="s">
        <v>2555</v>
      </c>
      <c r="G2195" s="2450">
        <f>G2190*3</f>
        <v>0</v>
      </c>
      <c r="H2195" s="2264">
        <v>70000</v>
      </c>
      <c r="I2195" s="2264"/>
      <c r="J2195" s="2264">
        <v>50013.645000000004</v>
      </c>
      <c r="K2195" s="2264">
        <v>5554.0464950000005</v>
      </c>
      <c r="L2195" s="2264">
        <f>H2195*G2195</f>
        <v>0</v>
      </c>
      <c r="M2195" s="2264">
        <f>I2195*G2195</f>
        <v>0</v>
      </c>
      <c r="N2195" s="2264">
        <f>J2195*G2195</f>
        <v>0</v>
      </c>
      <c r="O2195" s="2264">
        <f>K2195*G2195</f>
        <v>0</v>
      </c>
      <c r="P2195" s="2441"/>
      <c r="Q2195" s="2266"/>
      <c r="R2195" s="2266"/>
      <c r="S2195" s="2266"/>
    </row>
    <row r="2196" spans="1:19" s="2105" customFormat="1" outlineLevel="1">
      <c r="A2196" s="2182" t="str">
        <f t="shared" ref="A2196:A2208" si="430">IF(G2196&lt;&gt;0,1,"")</f>
        <v/>
      </c>
      <c r="B2196" s="2261" t="s">
        <v>93</v>
      </c>
      <c r="C2196" s="2268"/>
      <c r="D2196" s="2152">
        <v>0</v>
      </c>
      <c r="E2196" s="2194" t="s">
        <v>3496</v>
      </c>
      <c r="F2196" s="2152" t="s">
        <v>2555</v>
      </c>
      <c r="G2196" s="2450">
        <f>G2194</f>
        <v>0</v>
      </c>
      <c r="H2196" s="2264">
        <v>4000</v>
      </c>
      <c r="I2196" s="2264"/>
      <c r="J2196" s="2264">
        <v>0</v>
      </c>
      <c r="K2196" s="2264">
        <v>0</v>
      </c>
      <c r="L2196" s="2264">
        <f t="shared" ref="L2196:L2208" si="431">H2196*G2196</f>
        <v>0</v>
      </c>
      <c r="M2196" s="2264">
        <f t="shared" ref="M2196:M2208" si="432">I2196*G2196</f>
        <v>0</v>
      </c>
      <c r="N2196" s="2264">
        <f t="shared" ref="N2196:N2208" si="433">J2196*G2196</f>
        <v>0</v>
      </c>
      <c r="O2196" s="2264">
        <f t="shared" ref="O2196:O2208" si="434">K2196*G2196</f>
        <v>0</v>
      </c>
      <c r="P2196" s="2441"/>
      <c r="Q2196" s="2266"/>
      <c r="R2196" s="2266"/>
      <c r="S2196" s="2266"/>
    </row>
    <row r="2197" spans="1:19" s="2105" customFormat="1" outlineLevel="1">
      <c r="A2197" s="2182" t="str">
        <f t="shared" si="430"/>
        <v/>
      </c>
      <c r="B2197" s="2261" t="s">
        <v>90</v>
      </c>
      <c r="C2197" s="2268"/>
      <c r="D2197" s="2152">
        <v>0</v>
      </c>
      <c r="E2197" s="2194" t="s">
        <v>3500</v>
      </c>
      <c r="F2197" s="2152" t="s">
        <v>2555</v>
      </c>
      <c r="G2197" s="2450">
        <f>G2195</f>
        <v>0</v>
      </c>
      <c r="H2197" s="2264">
        <v>6000</v>
      </c>
      <c r="I2197" s="2264"/>
      <c r="J2197" s="2264">
        <v>0</v>
      </c>
      <c r="K2197" s="2264">
        <v>0</v>
      </c>
      <c r="L2197" s="2264">
        <f t="shared" si="431"/>
        <v>0</v>
      </c>
      <c r="M2197" s="2264">
        <f t="shared" si="432"/>
        <v>0</v>
      </c>
      <c r="N2197" s="2264">
        <f t="shared" si="433"/>
        <v>0</v>
      </c>
      <c r="O2197" s="2264">
        <f t="shared" si="434"/>
        <v>0</v>
      </c>
      <c r="P2197" s="2441"/>
      <c r="Q2197" s="2266"/>
      <c r="R2197" s="2266"/>
      <c r="S2197" s="2266"/>
    </row>
    <row r="2198" spans="1:19" s="2105" customFormat="1" outlineLevel="1">
      <c r="A2198" s="2182" t="str">
        <f t="shared" si="430"/>
        <v/>
      </c>
      <c r="B2198" s="2261" t="s">
        <v>282</v>
      </c>
      <c r="C2198" s="2268"/>
      <c r="D2198" s="2152">
        <v>0</v>
      </c>
      <c r="E2198" s="2194" t="s">
        <v>3532</v>
      </c>
      <c r="F2198" s="2152" t="s">
        <v>1823</v>
      </c>
      <c r="G2198" s="2450">
        <f>+G2190*5</f>
        <v>0</v>
      </c>
      <c r="H2198" s="2264">
        <v>63200</v>
      </c>
      <c r="I2198" s="2264"/>
      <c r="J2198" s="2264">
        <v>0</v>
      </c>
      <c r="K2198" s="2264">
        <v>0</v>
      </c>
      <c r="L2198" s="2264">
        <f t="shared" si="431"/>
        <v>0</v>
      </c>
      <c r="M2198" s="2264">
        <f t="shared" si="432"/>
        <v>0</v>
      </c>
      <c r="N2198" s="2264">
        <f t="shared" si="433"/>
        <v>0</v>
      </c>
      <c r="O2198" s="2264">
        <f t="shared" si="434"/>
        <v>0</v>
      </c>
      <c r="P2198" s="2441"/>
      <c r="Q2198" s="2266"/>
      <c r="R2198" s="2266"/>
      <c r="S2198" s="2266"/>
    </row>
    <row r="2199" spans="1:19" s="2105" customFormat="1" outlineLevel="1">
      <c r="A2199" s="2182" t="str">
        <f t="shared" si="430"/>
        <v/>
      </c>
      <c r="B2199" s="2261" t="s">
        <v>86</v>
      </c>
      <c r="C2199" s="2268"/>
      <c r="D2199" s="2152">
        <v>0</v>
      </c>
      <c r="E2199" s="2194" t="s">
        <v>5797</v>
      </c>
      <c r="F2199" s="2152" t="s">
        <v>2555</v>
      </c>
      <c r="G2199" s="2450">
        <f>G2190</f>
        <v>0</v>
      </c>
      <c r="H2199" s="2264">
        <v>45400</v>
      </c>
      <c r="I2199" s="2264"/>
      <c r="J2199" s="2264">
        <v>0</v>
      </c>
      <c r="K2199" s="2264">
        <v>0</v>
      </c>
      <c r="L2199" s="2264">
        <f t="shared" si="431"/>
        <v>0</v>
      </c>
      <c r="M2199" s="2264">
        <f t="shared" si="432"/>
        <v>0</v>
      </c>
      <c r="N2199" s="2264">
        <f t="shared" si="433"/>
        <v>0</v>
      </c>
      <c r="O2199" s="2264">
        <f t="shared" si="434"/>
        <v>0</v>
      </c>
      <c r="P2199" s="2441"/>
      <c r="Q2199" s="2266"/>
      <c r="R2199" s="2266"/>
      <c r="S2199" s="2266"/>
    </row>
    <row r="2200" spans="1:19" s="2105" customFormat="1" outlineLevel="1">
      <c r="A2200" s="2182" t="str">
        <f t="shared" si="430"/>
        <v/>
      </c>
      <c r="B2200" s="2261" t="s">
        <v>1990</v>
      </c>
      <c r="C2200" s="2268"/>
      <c r="D2200" s="2152">
        <v>0</v>
      </c>
      <c r="E2200" s="2194" t="s">
        <v>5257</v>
      </c>
      <c r="F2200" s="2152" t="s">
        <v>2439</v>
      </c>
      <c r="G2200" s="2450">
        <f>G2190*2</f>
        <v>0</v>
      </c>
      <c r="H2200" s="2264">
        <v>49000</v>
      </c>
      <c r="I2200" s="2264"/>
      <c r="J2200" s="2264">
        <v>0</v>
      </c>
      <c r="K2200" s="2264">
        <v>0</v>
      </c>
      <c r="L2200" s="2264">
        <f t="shared" si="431"/>
        <v>0</v>
      </c>
      <c r="M2200" s="2264">
        <f t="shared" si="432"/>
        <v>0</v>
      </c>
      <c r="N2200" s="2264">
        <f t="shared" si="433"/>
        <v>0</v>
      </c>
      <c r="O2200" s="2264">
        <f t="shared" si="434"/>
        <v>0</v>
      </c>
      <c r="P2200" s="2441"/>
      <c r="Q2200" s="2266"/>
      <c r="R2200" s="2266"/>
      <c r="S2200" s="2266"/>
    </row>
    <row r="2201" spans="1:19" s="2105" customFormat="1" outlineLevel="1">
      <c r="A2201" s="2182" t="str">
        <f t="shared" si="430"/>
        <v/>
      </c>
      <c r="B2201" s="2261" t="s">
        <v>2153</v>
      </c>
      <c r="C2201" s="2268"/>
      <c r="D2201" s="2152">
        <v>0</v>
      </c>
      <c r="E2201" s="2194" t="s">
        <v>3574</v>
      </c>
      <c r="F2201" s="2152" t="s">
        <v>2555</v>
      </c>
      <c r="G2201" s="2450">
        <f>G2190*2</f>
        <v>0</v>
      </c>
      <c r="H2201" s="2264">
        <v>25800</v>
      </c>
      <c r="I2201" s="2264"/>
      <c r="J2201" s="2264">
        <v>0</v>
      </c>
      <c r="K2201" s="2264">
        <v>0</v>
      </c>
      <c r="L2201" s="2264">
        <f t="shared" si="431"/>
        <v>0</v>
      </c>
      <c r="M2201" s="2264">
        <f t="shared" si="432"/>
        <v>0</v>
      </c>
      <c r="N2201" s="2264">
        <f t="shared" si="433"/>
        <v>0</v>
      </c>
      <c r="O2201" s="2264">
        <f t="shared" si="434"/>
        <v>0</v>
      </c>
      <c r="P2201" s="2441"/>
      <c r="Q2201" s="2266"/>
      <c r="R2201" s="2266"/>
      <c r="S2201" s="2266"/>
    </row>
    <row r="2202" spans="1:19" s="2105" customFormat="1" outlineLevel="1">
      <c r="A2202" s="2182" t="str">
        <f t="shared" si="430"/>
        <v/>
      </c>
      <c r="B2202" s="2261" t="s">
        <v>2154</v>
      </c>
      <c r="C2202" s="2268"/>
      <c r="D2202" s="2152">
        <v>0</v>
      </c>
      <c r="E2202" s="2194" t="s">
        <v>3578</v>
      </c>
      <c r="F2202" s="2152" t="s">
        <v>2555</v>
      </c>
      <c r="G2202" s="2450">
        <f>G2201</f>
        <v>0</v>
      </c>
      <c r="H2202" s="2264">
        <v>21500</v>
      </c>
      <c r="I2202" s="2264"/>
      <c r="J2202" s="2264">
        <v>0</v>
      </c>
      <c r="K2202" s="2264">
        <v>0</v>
      </c>
      <c r="L2202" s="2264">
        <f t="shared" si="431"/>
        <v>0</v>
      </c>
      <c r="M2202" s="2264">
        <f t="shared" si="432"/>
        <v>0</v>
      </c>
      <c r="N2202" s="2264">
        <f t="shared" si="433"/>
        <v>0</v>
      </c>
      <c r="O2202" s="2264">
        <f t="shared" si="434"/>
        <v>0</v>
      </c>
      <c r="P2202" s="2441"/>
      <c r="Q2202" s="2266"/>
      <c r="R2202" s="2266"/>
      <c r="S2202" s="2266"/>
    </row>
    <row r="2203" spans="1:19" s="2105" customFormat="1" outlineLevel="1">
      <c r="A2203" s="2182" t="str">
        <f t="shared" si="430"/>
        <v/>
      </c>
      <c r="B2203" s="2261" t="s">
        <v>5793</v>
      </c>
      <c r="C2203" s="2268"/>
      <c r="D2203" s="2152">
        <v>0</v>
      </c>
      <c r="E2203" s="2194" t="s">
        <v>5794</v>
      </c>
      <c r="F2203" s="2152" t="s">
        <v>1823</v>
      </c>
      <c r="G2203" s="2450">
        <f>G2190*1.5</f>
        <v>0</v>
      </c>
      <c r="H2203" s="2264">
        <v>50000</v>
      </c>
      <c r="I2203" s="2264"/>
      <c r="J2203" s="2264">
        <v>0</v>
      </c>
      <c r="K2203" s="2264">
        <v>0</v>
      </c>
      <c r="L2203" s="2264">
        <f t="shared" si="431"/>
        <v>0</v>
      </c>
      <c r="M2203" s="2264">
        <f t="shared" si="432"/>
        <v>0</v>
      </c>
      <c r="N2203" s="2264">
        <f t="shared" si="433"/>
        <v>0</v>
      </c>
      <c r="O2203" s="2264">
        <f t="shared" si="434"/>
        <v>0</v>
      </c>
      <c r="P2203" s="2441"/>
      <c r="Q2203" s="2266"/>
      <c r="R2203" s="2266"/>
      <c r="S2203" s="2266"/>
    </row>
    <row r="2204" spans="1:19" s="2105" customFormat="1" outlineLevel="1">
      <c r="A2204" s="2182" t="str">
        <f t="shared" si="430"/>
        <v/>
      </c>
      <c r="B2204" s="2261" t="s">
        <v>2074</v>
      </c>
      <c r="C2204" s="2268"/>
      <c r="D2204" s="2152">
        <v>0</v>
      </c>
      <c r="E2204" s="2194" t="s">
        <v>3570</v>
      </c>
      <c r="F2204" s="2152" t="s">
        <v>3571</v>
      </c>
      <c r="G2204" s="2450">
        <f>G2190</f>
        <v>0</v>
      </c>
      <c r="H2204" s="2264">
        <v>11500</v>
      </c>
      <c r="I2204" s="2264"/>
      <c r="J2204" s="2264">
        <v>0</v>
      </c>
      <c r="K2204" s="2264">
        <v>0</v>
      </c>
      <c r="L2204" s="2264">
        <f t="shared" si="431"/>
        <v>0</v>
      </c>
      <c r="M2204" s="2264">
        <f t="shared" si="432"/>
        <v>0</v>
      </c>
      <c r="N2204" s="2264">
        <f t="shared" si="433"/>
        <v>0</v>
      </c>
      <c r="O2204" s="2264">
        <f t="shared" si="434"/>
        <v>0</v>
      </c>
      <c r="P2204" s="2441"/>
      <c r="Q2204" s="2266"/>
      <c r="R2204" s="2266"/>
      <c r="S2204" s="2266"/>
    </row>
    <row r="2205" spans="1:19" s="2105" customFormat="1" outlineLevel="1">
      <c r="A2205" s="2182" t="str">
        <f t="shared" si="430"/>
        <v/>
      </c>
      <c r="B2205" s="2261" t="s">
        <v>6</v>
      </c>
      <c r="C2205" s="2268"/>
      <c r="D2205" s="2152">
        <v>0</v>
      </c>
      <c r="E2205" s="2194" t="s">
        <v>3567</v>
      </c>
      <c r="F2205" s="2152" t="s">
        <v>5806</v>
      </c>
      <c r="G2205" s="2450">
        <f>G2204</f>
        <v>0</v>
      </c>
      <c r="H2205" s="2264">
        <v>45000</v>
      </c>
      <c r="I2205" s="2264"/>
      <c r="J2205" s="2264">
        <v>0</v>
      </c>
      <c r="K2205" s="2264">
        <v>0</v>
      </c>
      <c r="L2205" s="2264">
        <f t="shared" si="431"/>
        <v>0</v>
      </c>
      <c r="M2205" s="2264">
        <f t="shared" si="432"/>
        <v>0</v>
      </c>
      <c r="N2205" s="2264">
        <f t="shared" si="433"/>
        <v>0</v>
      </c>
      <c r="O2205" s="2264">
        <f t="shared" si="434"/>
        <v>0</v>
      </c>
      <c r="P2205" s="2441"/>
      <c r="Q2205" s="2266"/>
      <c r="R2205" s="2266"/>
      <c r="S2205" s="2266"/>
    </row>
    <row r="2206" spans="1:19" s="2105" customFormat="1" outlineLevel="1">
      <c r="A2206" s="2182" t="str">
        <f t="shared" si="430"/>
        <v/>
      </c>
      <c r="B2206" s="2261" t="s">
        <v>672</v>
      </c>
      <c r="C2206" s="2268"/>
      <c r="D2206" s="2152">
        <v>0</v>
      </c>
      <c r="E2206" s="2194" t="s">
        <v>5801</v>
      </c>
      <c r="F2206" s="2152" t="s">
        <v>3566</v>
      </c>
      <c r="G2206" s="2450">
        <f>G2205*2</f>
        <v>0</v>
      </c>
      <c r="H2206" s="2264">
        <v>6500</v>
      </c>
      <c r="I2206" s="2264"/>
      <c r="J2206" s="2264">
        <v>0</v>
      </c>
      <c r="K2206" s="2264">
        <v>0</v>
      </c>
      <c r="L2206" s="2264">
        <f t="shared" si="431"/>
        <v>0</v>
      </c>
      <c r="M2206" s="2264">
        <f t="shared" si="432"/>
        <v>0</v>
      </c>
      <c r="N2206" s="2264">
        <f t="shared" si="433"/>
        <v>0</v>
      </c>
      <c r="O2206" s="2264">
        <f t="shared" si="434"/>
        <v>0</v>
      </c>
      <c r="P2206" s="2441"/>
      <c r="Q2206" s="2266"/>
      <c r="R2206" s="2266"/>
      <c r="S2206" s="2266"/>
    </row>
    <row r="2207" spans="1:19" s="2105" customFormat="1" outlineLevel="1">
      <c r="A2207" s="2182" t="str">
        <f t="shared" si="430"/>
        <v/>
      </c>
      <c r="B2207" s="2261" t="s">
        <v>2006</v>
      </c>
      <c r="C2207" s="2268"/>
      <c r="D2207" s="2152" t="s">
        <v>5572</v>
      </c>
      <c r="E2207" s="2194" t="s">
        <v>3293</v>
      </c>
      <c r="F2207" s="2152" t="s">
        <v>1823</v>
      </c>
      <c r="G2207" s="2450">
        <f>G2192</f>
        <v>0</v>
      </c>
      <c r="H2207" s="2264">
        <v>0</v>
      </c>
      <c r="I2207" s="2264"/>
      <c r="J2207" s="2264">
        <v>33396</v>
      </c>
      <c r="K2207" s="2264">
        <v>0</v>
      </c>
      <c r="L2207" s="2264">
        <f t="shared" si="431"/>
        <v>0</v>
      </c>
      <c r="M2207" s="2264">
        <f t="shared" si="432"/>
        <v>0</v>
      </c>
      <c r="N2207" s="2264">
        <f t="shared" si="433"/>
        <v>0</v>
      </c>
      <c r="O2207" s="2264">
        <f t="shared" si="434"/>
        <v>0</v>
      </c>
      <c r="P2207" s="2441"/>
      <c r="Q2207" s="2266"/>
      <c r="R2207" s="2266"/>
      <c r="S2207" s="2266"/>
    </row>
    <row r="2208" spans="1:19" s="2105" customFormat="1" outlineLevel="1">
      <c r="A2208" s="2182" t="str">
        <f t="shared" si="430"/>
        <v/>
      </c>
      <c r="B2208" s="2261" t="s">
        <v>247</v>
      </c>
      <c r="C2208" s="2268"/>
      <c r="D2208" s="2152" t="s">
        <v>5573</v>
      </c>
      <c r="E2208" s="2194" t="s">
        <v>5574</v>
      </c>
      <c r="F2208" s="2152" t="s">
        <v>1823</v>
      </c>
      <c r="G2208" s="2450">
        <f>G2193</f>
        <v>0</v>
      </c>
      <c r="H2208" s="2264">
        <v>0</v>
      </c>
      <c r="I2208" s="2264"/>
      <c r="J2208" s="2264">
        <v>47311</v>
      </c>
      <c r="K2208" s="2264">
        <v>0</v>
      </c>
      <c r="L2208" s="2264">
        <f t="shared" si="431"/>
        <v>0</v>
      </c>
      <c r="M2208" s="2264">
        <f t="shared" si="432"/>
        <v>0</v>
      </c>
      <c r="N2208" s="2264">
        <f t="shared" si="433"/>
        <v>0</v>
      </c>
      <c r="O2208" s="2264">
        <f t="shared" si="434"/>
        <v>0</v>
      </c>
      <c r="P2208" s="2441"/>
      <c r="Q2208" s="2266"/>
      <c r="R2208" s="2266"/>
      <c r="S2208" s="2266"/>
    </row>
    <row r="2209" spans="1:19" s="2105" customFormat="1" outlineLevel="1">
      <c r="A2209" s="2182">
        <f>A2055</f>
        <v>0</v>
      </c>
      <c r="B2209" s="2357"/>
      <c r="C2209" s="2532" t="s">
        <v>6131</v>
      </c>
      <c r="D2209" s="2532"/>
      <c r="E2209" s="2532"/>
      <c r="F2209" s="2532"/>
      <c r="G2209" s="2532"/>
      <c r="H2209" s="2532"/>
      <c r="I2209" s="2532"/>
      <c r="J2209" s="2532"/>
      <c r="K2209" s="2532"/>
      <c r="L2209" s="2425">
        <f>SUM(L2071:L2208)</f>
        <v>0</v>
      </c>
      <c r="M2209" s="2425">
        <f>SUM(M2071:M2208)</f>
        <v>0</v>
      </c>
      <c r="N2209" s="2425">
        <f>SUM(N2071:N2208)</f>
        <v>0</v>
      </c>
      <c r="O2209" s="2425">
        <f>SUM(O2071:O2208)</f>
        <v>0</v>
      </c>
      <c r="P2209" s="2533"/>
      <c r="Q2209" s="2266"/>
      <c r="R2209" s="2266"/>
      <c r="S2209" s="2266"/>
    </row>
    <row r="2210" spans="1:19" s="2105" customFormat="1" outlineLevel="1">
      <c r="A2210" s="2182"/>
      <c r="B2210" s="2357"/>
      <c r="C2210" s="2433"/>
      <c r="D2210" s="2433"/>
      <c r="E2210" s="2534"/>
      <c r="F2210" s="2433"/>
      <c r="G2210" s="2645"/>
      <c r="H2210" s="2645"/>
      <c r="I2210" s="2645"/>
      <c r="J2210" s="2528"/>
      <c r="K2210" s="2528"/>
      <c r="L2210" s="2529"/>
      <c r="M2210" s="2529"/>
      <c r="N2210" s="2529"/>
      <c r="O2210" s="2529"/>
      <c r="P2210" s="2535"/>
      <c r="Q2210" s="2266"/>
      <c r="R2210" s="2266"/>
      <c r="S2210" s="2266"/>
    </row>
    <row r="2211" spans="1:19" s="2105" customFormat="1" outlineLevel="1">
      <c r="A2211" s="2182"/>
      <c r="B2211" s="2357"/>
      <c r="C2211" s="2433"/>
      <c r="D2211" s="2433"/>
      <c r="E2211" s="2534"/>
      <c r="F2211" s="2433"/>
      <c r="G2211" s="2645"/>
      <c r="H2211" s="2645"/>
      <c r="I2211" s="2645"/>
      <c r="J2211" s="2528"/>
      <c r="K2211" s="2528"/>
      <c r="L2211" s="2529"/>
      <c r="M2211" s="2529"/>
      <c r="N2211" s="2529"/>
      <c r="O2211" s="2529"/>
      <c r="P2211" s="2535"/>
      <c r="Q2211" s="2266"/>
      <c r="R2211" s="2266"/>
      <c r="S2211" s="2266"/>
    </row>
    <row r="2212" spans="1:19" s="2105" customFormat="1" outlineLevel="1">
      <c r="A2212" s="2182"/>
      <c r="B2212" s="2357"/>
      <c r="C2212" s="2433"/>
      <c r="D2212" s="2433"/>
      <c r="E2212" s="2534"/>
      <c r="F2212" s="2433"/>
      <c r="G2212" s="2645"/>
      <c r="H2212" s="2645"/>
      <c r="I2212" s="2645"/>
      <c r="J2212" s="2528"/>
      <c r="K2212" s="2528"/>
      <c r="L2212" s="2529"/>
      <c r="M2212" s="2529"/>
      <c r="N2212" s="2529"/>
      <c r="O2212" s="2529"/>
      <c r="P2212" s="2535"/>
      <c r="Q2212" s="2266"/>
      <c r="R2212" s="2266"/>
      <c r="S2212" s="2266"/>
    </row>
    <row r="2213" spans="1:19" s="2105" customFormat="1" outlineLevel="1">
      <c r="A2213" s="2182"/>
      <c r="B2213" s="2357"/>
      <c r="C2213" s="2433"/>
      <c r="D2213" s="2433"/>
      <c r="E2213" s="2534"/>
      <c r="F2213" s="2433"/>
      <c r="G2213" s="2645"/>
      <c r="H2213" s="2645"/>
      <c r="I2213" s="2645"/>
      <c r="J2213" s="2528"/>
      <c r="K2213" s="2528"/>
      <c r="L2213" s="2529"/>
      <c r="M2213" s="2529"/>
      <c r="N2213" s="2529"/>
      <c r="O2213" s="2529"/>
      <c r="P2213" s="2535"/>
      <c r="Q2213" s="2266"/>
      <c r="R2213" s="2266"/>
      <c r="S2213" s="2266"/>
    </row>
    <row r="2214" spans="1:19" s="2105" customFormat="1" outlineLevel="1">
      <c r="A2214" s="2182"/>
      <c r="B2214" s="2357"/>
      <c r="C2214" s="2433"/>
      <c r="D2214" s="2433"/>
      <c r="E2214" s="2534"/>
      <c r="F2214" s="2433"/>
      <c r="G2214" s="2645"/>
      <c r="H2214" s="2645"/>
      <c r="I2214" s="2645"/>
      <c r="J2214" s="2528"/>
      <c r="K2214" s="2528"/>
      <c r="L2214" s="2529"/>
      <c r="M2214" s="2529"/>
      <c r="N2214" s="2529"/>
      <c r="O2214" s="2529"/>
      <c r="P2214" s="2535"/>
      <c r="Q2214" s="2266"/>
      <c r="R2214" s="2266"/>
      <c r="S2214" s="2266"/>
    </row>
    <row r="2215" spans="1:19" s="2105" customFormat="1" outlineLevel="1">
      <c r="A2215" s="2182"/>
      <c r="B2215" s="2357"/>
      <c r="C2215" s="2433"/>
      <c r="D2215" s="2433"/>
      <c r="E2215" s="2534"/>
      <c r="F2215" s="2433"/>
      <c r="G2215" s="2645"/>
      <c r="H2215" s="2645"/>
      <c r="I2215" s="2645"/>
      <c r="J2215" s="2528"/>
      <c r="K2215" s="2528"/>
      <c r="L2215" s="2529"/>
      <c r="M2215" s="2529"/>
      <c r="N2215" s="2529"/>
      <c r="O2215" s="2529"/>
      <c r="P2215" s="2535"/>
      <c r="Q2215" s="2266"/>
      <c r="R2215" s="2266"/>
      <c r="S2215" s="2266"/>
    </row>
    <row r="2216" spans="1:19" s="2105" customFormat="1" outlineLevel="1">
      <c r="A2216" s="2182"/>
      <c r="B2216" s="2357"/>
      <c r="C2216" s="2433"/>
      <c r="D2216" s="2433"/>
      <c r="E2216" s="2534"/>
      <c r="F2216" s="2433"/>
      <c r="G2216" s="2645"/>
      <c r="H2216" s="2645"/>
      <c r="I2216" s="2645"/>
      <c r="J2216" s="2528"/>
      <c r="K2216" s="2528"/>
      <c r="L2216" s="2529"/>
      <c r="M2216" s="2529"/>
      <c r="N2216" s="2529"/>
      <c r="O2216" s="2529"/>
      <c r="P2216" s="2535"/>
      <c r="Q2216" s="2266"/>
      <c r="R2216" s="2266"/>
      <c r="S2216" s="2266"/>
    </row>
    <row r="2217" spans="1:19" s="2105" customFormat="1" outlineLevel="1">
      <c r="A2217" s="2182"/>
      <c r="B2217" s="2357"/>
      <c r="C2217" s="2433"/>
      <c r="D2217" s="2433"/>
      <c r="E2217" s="2534"/>
      <c r="F2217" s="2433"/>
      <c r="G2217" s="2645"/>
      <c r="H2217" s="2645"/>
      <c r="I2217" s="2645"/>
      <c r="J2217" s="2528"/>
      <c r="K2217" s="2528"/>
      <c r="L2217" s="2529"/>
      <c r="M2217" s="2529"/>
      <c r="N2217" s="2529"/>
      <c r="O2217" s="2529"/>
      <c r="P2217" s="2535"/>
      <c r="Q2217" s="2266"/>
      <c r="R2217" s="2266"/>
      <c r="S2217" s="2266"/>
    </row>
    <row r="2218" spans="1:19" s="2105" customFormat="1" outlineLevel="1">
      <c r="A2218" s="2182"/>
      <c r="B2218" s="2357"/>
      <c r="C2218" s="2433"/>
      <c r="D2218" s="2433"/>
      <c r="E2218" s="2534"/>
      <c r="F2218" s="2433"/>
      <c r="G2218" s="2645"/>
      <c r="H2218" s="2645"/>
      <c r="I2218" s="2645"/>
      <c r="J2218" s="2528"/>
      <c r="K2218" s="2528"/>
      <c r="L2218" s="2529"/>
      <c r="M2218" s="2529"/>
      <c r="N2218" s="2529"/>
      <c r="O2218" s="2529"/>
      <c r="P2218" s="2535"/>
      <c r="Q2218" s="2266"/>
      <c r="R2218" s="2266"/>
      <c r="S2218" s="2266"/>
    </row>
    <row r="2219" spans="1:19" s="2105" customFormat="1" outlineLevel="1">
      <c r="A2219" s="2182"/>
      <c r="B2219" s="2357"/>
      <c r="C2219" s="2433"/>
      <c r="D2219" s="2433"/>
      <c r="E2219" s="2534"/>
      <c r="F2219" s="2433"/>
      <c r="G2219" s="2645"/>
      <c r="H2219" s="2645"/>
      <c r="I2219" s="2645"/>
      <c r="J2219" s="2528"/>
      <c r="K2219" s="2528"/>
      <c r="L2219" s="2529"/>
      <c r="M2219" s="2529"/>
      <c r="N2219" s="2529"/>
      <c r="O2219" s="2529"/>
      <c r="P2219" s="2535"/>
      <c r="Q2219" s="2266"/>
      <c r="R2219" s="2266"/>
      <c r="S2219" s="2266"/>
    </row>
    <row r="2220" spans="1:19" s="2105" customFormat="1" outlineLevel="1">
      <c r="A2220" s="2182"/>
      <c r="B2220" s="2357"/>
      <c r="C2220" s="2433"/>
      <c r="D2220" s="2433"/>
      <c r="E2220" s="2534"/>
      <c r="F2220" s="2433"/>
      <c r="G2220" s="2645"/>
      <c r="H2220" s="2645"/>
      <c r="I2220" s="2645"/>
      <c r="J2220" s="2528"/>
      <c r="K2220" s="2528"/>
      <c r="L2220" s="2529"/>
      <c r="M2220" s="2529"/>
      <c r="N2220" s="2529"/>
      <c r="O2220" s="2529"/>
      <c r="P2220" s="2535"/>
      <c r="Q2220" s="2266"/>
      <c r="R2220" s="2266"/>
      <c r="S2220" s="2266"/>
    </row>
    <row r="2221" spans="1:19" s="2105" customFormat="1" outlineLevel="1">
      <c r="A2221" s="2182"/>
      <c r="B2221" s="2357"/>
      <c r="C2221" s="2433"/>
      <c r="D2221" s="2433"/>
      <c r="E2221" s="2534"/>
      <c r="F2221" s="2433"/>
      <c r="G2221" s="2645"/>
      <c r="H2221" s="2645"/>
      <c r="I2221" s="2645"/>
      <c r="J2221" s="2528"/>
      <c r="K2221" s="2528"/>
      <c r="L2221" s="2529"/>
      <c r="M2221" s="2529"/>
      <c r="N2221" s="2529"/>
      <c r="O2221" s="2529"/>
      <c r="P2221" s="2535"/>
      <c r="Q2221" s="2266"/>
      <c r="R2221" s="2266"/>
      <c r="S2221" s="2266"/>
    </row>
    <row r="2222" spans="1:19" s="2105" customFormat="1" outlineLevel="1">
      <c r="A2222" s="2182"/>
      <c r="B2222" s="2357"/>
      <c r="C2222" s="2433"/>
      <c r="D2222" s="2433"/>
      <c r="E2222" s="2534"/>
      <c r="F2222" s="2433"/>
      <c r="G2222" s="2645"/>
      <c r="H2222" s="2645"/>
      <c r="I2222" s="2645"/>
      <c r="J2222" s="2528"/>
      <c r="K2222" s="2528"/>
      <c r="L2222" s="2529"/>
      <c r="M2222" s="2529"/>
      <c r="N2222" s="2529"/>
      <c r="O2222" s="2529"/>
      <c r="P2222" s="2535"/>
      <c r="Q2222" s="2266"/>
      <c r="R2222" s="2266"/>
      <c r="S2222" s="2266"/>
    </row>
    <row r="2223" spans="1:19" s="2105" customFormat="1" outlineLevel="1">
      <c r="A2223" s="2182"/>
      <c r="B2223" s="2357"/>
      <c r="C2223" s="2433"/>
      <c r="D2223" s="2433"/>
      <c r="E2223" s="2534"/>
      <c r="F2223" s="2433"/>
      <c r="G2223" s="2645"/>
      <c r="H2223" s="2645"/>
      <c r="I2223" s="2645"/>
      <c r="J2223" s="2528"/>
      <c r="K2223" s="2528"/>
      <c r="L2223" s="2529"/>
      <c r="M2223" s="2529"/>
      <c r="N2223" s="2529"/>
      <c r="O2223" s="2529"/>
      <c r="P2223" s="2535"/>
      <c r="Q2223" s="2266"/>
      <c r="R2223" s="2266"/>
      <c r="S2223" s="2266"/>
    </row>
    <row r="2224" spans="1:19" s="2105" customFormat="1" outlineLevel="1">
      <c r="A2224" s="2182"/>
      <c r="B2224" s="2357"/>
      <c r="C2224" s="2433"/>
      <c r="D2224" s="2433"/>
      <c r="E2224" s="2534"/>
      <c r="F2224" s="2433"/>
      <c r="G2224" s="2645"/>
      <c r="H2224" s="2645"/>
      <c r="I2224" s="2645"/>
      <c r="J2224" s="2528"/>
      <c r="K2224" s="2528"/>
      <c r="L2224" s="2529"/>
      <c r="M2224" s="2529"/>
      <c r="N2224" s="2529"/>
      <c r="O2224" s="2529"/>
      <c r="P2224" s="2535"/>
      <c r="Q2224" s="2266"/>
      <c r="R2224" s="2266"/>
      <c r="S2224" s="2266"/>
    </row>
    <row r="2225" spans="1:19" s="2105" customFormat="1" outlineLevel="1">
      <c r="A2225" s="2182"/>
      <c r="B2225" s="2357"/>
      <c r="C2225" s="2433"/>
      <c r="D2225" s="2433"/>
      <c r="E2225" s="2534"/>
      <c r="F2225" s="2433"/>
      <c r="G2225" s="2645"/>
      <c r="H2225" s="2645"/>
      <c r="I2225" s="2645"/>
      <c r="J2225" s="2528"/>
      <c r="K2225" s="2528"/>
      <c r="L2225" s="2529"/>
      <c r="M2225" s="2529"/>
      <c r="N2225" s="2529"/>
      <c r="O2225" s="2529"/>
      <c r="P2225" s="2535"/>
      <c r="Q2225" s="2266"/>
      <c r="R2225" s="2266"/>
      <c r="S2225" s="2266"/>
    </row>
    <row r="2226" spans="1:19" s="2105" customFormat="1" outlineLevel="1">
      <c r="A2226" s="2182"/>
      <c r="B2226" s="2357"/>
      <c r="C2226" s="2433"/>
      <c r="D2226" s="2433"/>
      <c r="E2226" s="2534"/>
      <c r="F2226" s="2433"/>
      <c r="G2226" s="2645"/>
      <c r="H2226" s="2645"/>
      <c r="I2226" s="2645"/>
      <c r="J2226" s="2528"/>
      <c r="K2226" s="2528"/>
      <c r="L2226" s="2529"/>
      <c r="M2226" s="2529"/>
      <c r="N2226" s="2529"/>
      <c r="O2226" s="2529"/>
      <c r="P2226" s="2535"/>
      <c r="Q2226" s="2266"/>
      <c r="R2226" s="2266"/>
      <c r="S2226" s="2266"/>
    </row>
    <row r="2227" spans="1:19" s="2105" customFormat="1" outlineLevel="1">
      <c r="A2227" s="2182"/>
      <c r="B2227" s="2357"/>
      <c r="C2227" s="2433"/>
      <c r="D2227" s="2433"/>
      <c r="E2227" s="2534"/>
      <c r="F2227" s="2433"/>
      <c r="G2227" s="2645"/>
      <c r="H2227" s="2645"/>
      <c r="I2227" s="2645"/>
      <c r="J2227" s="2528"/>
      <c r="K2227" s="2528"/>
      <c r="L2227" s="2529"/>
      <c r="M2227" s="2529"/>
      <c r="N2227" s="2529"/>
      <c r="O2227" s="2529"/>
      <c r="P2227" s="2535"/>
      <c r="Q2227" s="2266"/>
      <c r="R2227" s="2266"/>
      <c r="S2227" s="2266"/>
    </row>
    <row r="2228" spans="1:19" s="2105" customFormat="1" outlineLevel="1">
      <c r="A2228" s="2182"/>
      <c r="B2228" s="2357"/>
      <c r="C2228" s="2433"/>
      <c r="D2228" s="2433"/>
      <c r="E2228" s="2534"/>
      <c r="F2228" s="2433"/>
      <c r="G2228" s="2645"/>
      <c r="H2228" s="2645"/>
      <c r="I2228" s="2645"/>
      <c r="J2228" s="2528"/>
      <c r="K2228" s="2528"/>
      <c r="L2228" s="2529"/>
      <c r="M2228" s="2529"/>
      <c r="N2228" s="2529"/>
      <c r="O2228" s="2529"/>
      <c r="P2228" s="2535"/>
      <c r="Q2228" s="2266"/>
      <c r="R2228" s="2266"/>
      <c r="S2228" s="2266"/>
    </row>
    <row r="2229" spans="1:19" s="2105" customFormat="1" outlineLevel="1">
      <c r="A2229" s="2182"/>
      <c r="B2229" s="2357"/>
      <c r="C2229" s="2433"/>
      <c r="D2229" s="2433"/>
      <c r="E2229" s="2534"/>
      <c r="F2229" s="2433"/>
      <c r="G2229" s="2645"/>
      <c r="H2229" s="2645"/>
      <c r="I2229" s="2645"/>
      <c r="J2229" s="2528"/>
      <c r="K2229" s="2528"/>
      <c r="L2229" s="2529"/>
      <c r="M2229" s="2529"/>
      <c r="N2229" s="2529"/>
      <c r="O2229" s="2529"/>
      <c r="P2229" s="2535"/>
      <c r="Q2229" s="2266"/>
      <c r="R2229" s="2266"/>
      <c r="S2229" s="2266"/>
    </row>
    <row r="2230" spans="1:19" s="2105" customFormat="1" outlineLevel="1">
      <c r="A2230" s="2182"/>
      <c r="B2230" s="2357"/>
      <c r="C2230" s="2433"/>
      <c r="D2230" s="2433"/>
      <c r="E2230" s="2534"/>
      <c r="F2230" s="2433"/>
      <c r="G2230" s="2645"/>
      <c r="H2230" s="2645"/>
      <c r="I2230" s="2645"/>
      <c r="J2230" s="2528"/>
      <c r="K2230" s="2528"/>
      <c r="L2230" s="2529"/>
      <c r="M2230" s="2529"/>
      <c r="N2230" s="2529"/>
      <c r="O2230" s="2529"/>
      <c r="P2230" s="2535"/>
      <c r="Q2230" s="2266"/>
      <c r="R2230" s="2266"/>
      <c r="S2230" s="2266"/>
    </row>
    <row r="2231" spans="1:19" s="2105" customFormat="1" outlineLevel="1">
      <c r="A2231" s="2182"/>
      <c r="B2231" s="2357"/>
      <c r="C2231" s="2433"/>
      <c r="D2231" s="2433"/>
      <c r="E2231" s="2534"/>
      <c r="F2231" s="2433"/>
      <c r="G2231" s="2645"/>
      <c r="H2231" s="2645"/>
      <c r="I2231" s="2645"/>
      <c r="J2231" s="2528"/>
      <c r="K2231" s="2528"/>
      <c r="L2231" s="2529"/>
      <c r="M2231" s="2529"/>
      <c r="N2231" s="2529"/>
      <c r="O2231" s="2529"/>
      <c r="P2231" s="2535"/>
      <c r="Q2231" s="2266"/>
      <c r="R2231" s="2266"/>
      <c r="S2231" s="2266"/>
    </row>
    <row r="2232" spans="1:19" s="2105" customFormat="1" outlineLevel="1">
      <c r="A2232" s="2182"/>
      <c r="B2232" s="2357"/>
      <c r="C2232" s="2433"/>
      <c r="D2232" s="2433"/>
      <c r="E2232" s="2534"/>
      <c r="F2232" s="2433"/>
      <c r="G2232" s="2645"/>
      <c r="H2232" s="2645"/>
      <c r="I2232" s="2645"/>
      <c r="J2232" s="2528"/>
      <c r="K2232" s="2528"/>
      <c r="L2232" s="2529"/>
      <c r="M2232" s="2529"/>
      <c r="N2232" s="2529"/>
      <c r="O2232" s="2529"/>
      <c r="P2232" s="2535"/>
      <c r="Q2232" s="2266"/>
      <c r="R2232" s="2266"/>
      <c r="S2232" s="2266"/>
    </row>
    <row r="2233" spans="1:19" s="2105" customFormat="1" outlineLevel="1">
      <c r="A2233" s="2182"/>
      <c r="B2233" s="2357"/>
      <c r="C2233" s="2433"/>
      <c r="D2233" s="2433"/>
      <c r="E2233" s="2534"/>
      <c r="F2233" s="2433"/>
      <c r="G2233" s="2645"/>
      <c r="H2233" s="2645"/>
      <c r="I2233" s="2645"/>
      <c r="J2233" s="2528"/>
      <c r="K2233" s="2528"/>
      <c r="L2233" s="2529"/>
      <c r="M2233" s="2529"/>
      <c r="N2233" s="2529"/>
      <c r="O2233" s="2529"/>
      <c r="P2233" s="2535"/>
      <c r="Q2233" s="2266"/>
      <c r="R2233" s="2266"/>
      <c r="S2233" s="2266"/>
    </row>
    <row r="2234" spans="1:19" s="2105" customFormat="1" outlineLevel="1">
      <c r="A2234" s="2182"/>
      <c r="B2234" s="2357"/>
      <c r="C2234" s="2433"/>
      <c r="D2234" s="2433"/>
      <c r="E2234" s="2534"/>
      <c r="F2234" s="2433"/>
      <c r="G2234" s="2645"/>
      <c r="H2234" s="2645"/>
      <c r="I2234" s="2645"/>
      <c r="J2234" s="2528"/>
      <c r="K2234" s="2528"/>
      <c r="L2234" s="2529"/>
      <c r="M2234" s="2529"/>
      <c r="N2234" s="2529"/>
      <c r="O2234" s="2529"/>
      <c r="P2234" s="2535"/>
      <c r="Q2234" s="2266"/>
      <c r="R2234" s="2266"/>
      <c r="S2234" s="2266"/>
    </row>
    <row r="2235" spans="1:19" s="2105" customFormat="1" outlineLevel="1">
      <c r="A2235" s="2182"/>
      <c r="B2235" s="2357"/>
      <c r="C2235" s="2433"/>
      <c r="D2235" s="2433"/>
      <c r="E2235" s="2534"/>
      <c r="F2235" s="2433"/>
      <c r="G2235" s="2645"/>
      <c r="H2235" s="2645"/>
      <c r="I2235" s="2645"/>
      <c r="J2235" s="2528"/>
      <c r="K2235" s="2528"/>
      <c r="L2235" s="2529"/>
      <c r="M2235" s="2529"/>
      <c r="N2235" s="2529"/>
      <c r="O2235" s="2529"/>
      <c r="P2235" s="2535"/>
      <c r="Q2235" s="2266"/>
      <c r="R2235" s="2266"/>
      <c r="S2235" s="2266"/>
    </row>
    <row r="2236" spans="1:19" s="2105" customFormat="1" outlineLevel="1">
      <c r="A2236" s="2182"/>
      <c r="B2236" s="2357"/>
      <c r="C2236" s="2433"/>
      <c r="D2236" s="2433"/>
      <c r="E2236" s="2534"/>
      <c r="F2236" s="2433"/>
      <c r="G2236" s="2645"/>
      <c r="H2236" s="2645"/>
      <c r="I2236" s="2645"/>
      <c r="J2236" s="2528"/>
      <c r="K2236" s="2528"/>
      <c r="L2236" s="2529"/>
      <c r="M2236" s="2529"/>
      <c r="N2236" s="2529"/>
      <c r="O2236" s="2529"/>
      <c r="P2236" s="2535"/>
      <c r="Q2236" s="2266"/>
      <c r="R2236" s="2266"/>
      <c r="S2236" s="2266"/>
    </row>
    <row r="2237" spans="1:19" s="2105" customFormat="1" outlineLevel="1">
      <c r="A2237" s="2182"/>
      <c r="B2237" s="2357"/>
      <c r="C2237" s="2433"/>
      <c r="D2237" s="2433"/>
      <c r="E2237" s="2534"/>
      <c r="F2237" s="2433"/>
      <c r="G2237" s="2645"/>
      <c r="H2237" s="2645"/>
      <c r="I2237" s="2645"/>
      <c r="J2237" s="2528"/>
      <c r="K2237" s="2528"/>
      <c r="L2237" s="2529"/>
      <c r="M2237" s="2529"/>
      <c r="N2237" s="2529"/>
      <c r="O2237" s="2529"/>
      <c r="P2237" s="2535"/>
      <c r="Q2237" s="2266"/>
      <c r="R2237" s="2266"/>
      <c r="S2237" s="2266"/>
    </row>
    <row r="2238" spans="1:19" s="2105" customFormat="1" ht="3" customHeight="1" outlineLevel="1">
      <c r="A2238" s="2182"/>
      <c r="B2238" s="2357"/>
      <c r="C2238" s="2433"/>
      <c r="D2238" s="2433"/>
      <c r="E2238" s="2534"/>
      <c r="F2238" s="2433"/>
      <c r="G2238" s="2645"/>
      <c r="H2238" s="2645"/>
      <c r="I2238" s="2645"/>
      <c r="J2238" s="2528"/>
      <c r="K2238" s="2528"/>
      <c r="L2238" s="2529"/>
      <c r="M2238" s="2529"/>
      <c r="N2238" s="2529"/>
      <c r="O2238" s="2529"/>
      <c r="P2238" s="2535"/>
      <c r="Q2238" s="2266"/>
      <c r="R2238" s="2266"/>
      <c r="S2238" s="2266"/>
    </row>
    <row r="2239" spans="1:19" s="2105" customFormat="1" ht="24" customHeight="1" outlineLevel="1">
      <c r="A2239" s="2182">
        <f>A2257</f>
        <v>0</v>
      </c>
      <c r="B2239" s="2387"/>
      <c r="C2239" s="2653" t="str">
        <f>"BẢNG TỔNG HỢP VẬT LIỆU, NHÂN CÔNG, MÁY THI CÔNG: "&amp;K14&amp;" TRẠM 3P_560KVA"</f>
        <v>BẢNG TỔNG HỢP VẬT LIỆU, NHÂN CÔNG, MÁY THI CÔNG: 0 TRẠM 3P_560KVA</v>
      </c>
      <c r="D2239" s="2646"/>
      <c r="E2239" s="2653"/>
      <c r="F2239" s="2653"/>
      <c r="G2239" s="2653"/>
      <c r="H2239" s="2653"/>
      <c r="I2239" s="2653"/>
      <c r="J2239" s="2653"/>
      <c r="K2239" s="2653"/>
      <c r="L2239" s="2653"/>
      <c r="M2239" s="2653"/>
      <c r="N2239" s="2653"/>
      <c r="O2239" s="2653"/>
      <c r="P2239" s="2653"/>
      <c r="Q2239" s="2266"/>
      <c r="R2239" s="2266"/>
      <c r="S2239" s="2266"/>
    </row>
    <row r="2240" spans="1:19" s="2105" customFormat="1" outlineLevel="1">
      <c r="A2240" s="2182">
        <f>A2257</f>
        <v>0</v>
      </c>
      <c r="B2240" s="2261" t="s">
        <v>6112</v>
      </c>
      <c r="C2240" s="2648" t="s">
        <v>1708</v>
      </c>
      <c r="D2240" s="2649" t="s">
        <v>2597</v>
      </c>
      <c r="E2240" s="2651" t="s">
        <v>2598</v>
      </c>
      <c r="F2240" s="2648" t="s">
        <v>2593</v>
      </c>
      <c r="G2240" s="2109" t="s">
        <v>6113</v>
      </c>
      <c r="H2240" s="2112" t="s">
        <v>6114</v>
      </c>
      <c r="I2240" s="2619"/>
      <c r="J2240" s="2619"/>
      <c r="K2240" s="2620"/>
      <c r="L2240" s="2112" t="s">
        <v>6115</v>
      </c>
      <c r="M2240" s="2619"/>
      <c r="N2240" s="2619"/>
      <c r="O2240" s="2620"/>
      <c r="P2240" s="2654" t="s">
        <v>2599</v>
      </c>
      <c r="Q2240" s="2266"/>
      <c r="R2240" s="2266"/>
      <c r="S2240" s="2266"/>
    </row>
    <row r="2241" spans="1:19" s="2105" customFormat="1" outlineLevel="1">
      <c r="A2241" s="2182">
        <f>A2257</f>
        <v>0</v>
      </c>
      <c r="B2241" s="2261"/>
      <c r="C2241" s="2648"/>
      <c r="D2241" s="2650"/>
      <c r="E2241" s="2652"/>
      <c r="F2241" s="2648"/>
      <c r="G2241" s="2111" t="s">
        <v>2286</v>
      </c>
      <c r="H2241" s="2112" t="s">
        <v>6116</v>
      </c>
      <c r="I2241" s="2112" t="s">
        <v>6117</v>
      </c>
      <c r="J2241" s="2112" t="s">
        <v>6118</v>
      </c>
      <c r="K2241" s="2112" t="s">
        <v>6119</v>
      </c>
      <c r="L2241" s="2112" t="s">
        <v>6116</v>
      </c>
      <c r="M2241" s="2112" t="s">
        <v>6117</v>
      </c>
      <c r="N2241" s="2112" t="s">
        <v>6118</v>
      </c>
      <c r="O2241" s="2112" t="s">
        <v>6119</v>
      </c>
      <c r="P2241" s="2655"/>
      <c r="Q2241" s="2266"/>
      <c r="R2241" s="2266"/>
      <c r="S2241" s="2266"/>
    </row>
    <row r="2242" spans="1:19" s="2105" customFormat="1" outlineLevel="1">
      <c r="A2242" s="2182">
        <f>A2257</f>
        <v>0</v>
      </c>
      <c r="B2242" s="2261"/>
      <c r="C2242" s="2113"/>
      <c r="D2242" s="2114"/>
      <c r="E2242" s="2115" t="s">
        <v>3672</v>
      </c>
      <c r="F2242" s="2116"/>
      <c r="G2242" s="2116"/>
      <c r="H2242" s="2116"/>
      <c r="I2242" s="2116"/>
      <c r="J2242" s="2116"/>
      <c r="K2242" s="2116"/>
      <c r="L2242" s="2116"/>
      <c r="M2242" s="2116"/>
      <c r="N2242" s="2116"/>
      <c r="O2242" s="2114"/>
      <c r="P2242" s="2354"/>
      <c r="Q2242" s="2266"/>
      <c r="R2242" s="2266"/>
      <c r="S2242" s="2266"/>
    </row>
    <row r="2243" spans="1:19" s="2105" customFormat="1" outlineLevel="1">
      <c r="A2243" s="2182" t="str">
        <f t="shared" ref="A2243:A2256" si="435">IF(G2243&lt;&gt;0,1,"")</f>
        <v/>
      </c>
      <c r="B2243" s="2252" t="str">
        <f>IF($F$8=15,"tr560","tr5601")</f>
        <v>tr5601</v>
      </c>
      <c r="C2243" s="2268">
        <f>IF(G2243&gt;0,1,0)</f>
        <v>0</v>
      </c>
      <c r="D2243" s="2152" t="s">
        <v>5592</v>
      </c>
      <c r="E2243" s="2194" t="s">
        <v>3332</v>
      </c>
      <c r="F2243" s="2152" t="s">
        <v>3300</v>
      </c>
      <c r="G2243" s="2543">
        <f>$K$14</f>
        <v>0</v>
      </c>
      <c r="H2243" s="2359">
        <v>372166000</v>
      </c>
      <c r="I2243" s="2359"/>
      <c r="J2243" s="2359">
        <v>1660532</v>
      </c>
      <c r="K2243" s="2359">
        <v>361106</v>
      </c>
      <c r="L2243" s="2360">
        <f t="shared" ref="L2243:L2256" si="436">H2243*G2243</f>
        <v>0</v>
      </c>
      <c r="M2243" s="2360">
        <f t="shared" ref="M2243:M2256" si="437">I2243*G2243</f>
        <v>0</v>
      </c>
      <c r="N2243" s="2360">
        <f t="shared" ref="N2243:N2256" si="438">J2243*G2243</f>
        <v>0</v>
      </c>
      <c r="O2243" s="2361">
        <f t="shared" ref="O2243:O2256" si="439">K2243*G2243</f>
        <v>0</v>
      </c>
      <c r="P2243" s="2440"/>
      <c r="Q2243" s="2266"/>
      <c r="R2243" s="2266"/>
      <c r="S2243" s="2266"/>
    </row>
    <row r="2244" spans="1:19" s="2105" customFormat="1" outlineLevel="1">
      <c r="A2244" s="2182" t="str">
        <f t="shared" si="435"/>
        <v/>
      </c>
      <c r="B2244" s="2118" t="str">
        <f>"FCO100-"&amp;$F$8</f>
        <v>FCO100-22</v>
      </c>
      <c r="C2244" s="2268">
        <f t="shared" ref="C2244:C2252" si="440">IF(G2244&gt;0,C2243+1,C2243)</f>
        <v>0</v>
      </c>
      <c r="D2244" s="2152" t="s">
        <v>5598</v>
      </c>
      <c r="E2244" s="2194" t="s">
        <v>95</v>
      </c>
      <c r="F2244" s="2152" t="s">
        <v>2555</v>
      </c>
      <c r="G2244" s="2358">
        <f>G2243*3</f>
        <v>0</v>
      </c>
      <c r="H2244" s="2264">
        <v>2244280</v>
      </c>
      <c r="I2244" s="2264">
        <v>0</v>
      </c>
      <c r="J2244" s="2264">
        <v>222639.99999999997</v>
      </c>
      <c r="K2244" s="2264">
        <v>0</v>
      </c>
      <c r="L2244" s="2264">
        <f t="shared" si="436"/>
        <v>0</v>
      </c>
      <c r="M2244" s="2264">
        <f t="shared" si="437"/>
        <v>0</v>
      </c>
      <c r="N2244" s="2264">
        <f t="shared" si="438"/>
        <v>0</v>
      </c>
      <c r="O2244" s="2264">
        <f t="shared" si="439"/>
        <v>0</v>
      </c>
      <c r="P2244" s="2441"/>
      <c r="Q2244" s="2266"/>
      <c r="R2244" s="2266"/>
      <c r="S2244" s="2266"/>
    </row>
    <row r="2245" spans="1:19" s="2105" customFormat="1" outlineLevel="1">
      <c r="A2245" s="2182" t="str">
        <f t="shared" si="435"/>
        <v/>
      </c>
      <c r="B2245" s="2252" t="str">
        <f>IF($F$8=15,"chi30k","chi25k")</f>
        <v>chi25k</v>
      </c>
      <c r="C2245" s="2268">
        <f t="shared" si="440"/>
        <v>0</v>
      </c>
      <c r="D2245" s="2152">
        <v>0</v>
      </c>
      <c r="E2245" s="2194" t="s">
        <v>3429</v>
      </c>
      <c r="F2245" s="2152" t="s">
        <v>2600</v>
      </c>
      <c r="G2245" s="2358">
        <f>G2244</f>
        <v>0</v>
      </c>
      <c r="H2245" s="2264">
        <v>116000</v>
      </c>
      <c r="I2245" s="2264">
        <v>0</v>
      </c>
      <c r="J2245" s="2264">
        <v>0</v>
      </c>
      <c r="K2245" s="2264">
        <v>0</v>
      </c>
      <c r="L2245" s="2264">
        <f t="shared" si="436"/>
        <v>0</v>
      </c>
      <c r="M2245" s="2264">
        <f t="shared" si="437"/>
        <v>0</v>
      </c>
      <c r="N2245" s="2264">
        <f t="shared" si="438"/>
        <v>0</v>
      </c>
      <c r="O2245" s="2264">
        <f t="shared" si="439"/>
        <v>0</v>
      </c>
      <c r="P2245" s="2441"/>
      <c r="Q2245" s="2266"/>
      <c r="R2245" s="2266"/>
      <c r="S2245" s="2266"/>
    </row>
    <row r="2246" spans="1:19" s="2105" customFormat="1" outlineLevel="1">
      <c r="A2246" s="2182" t="str">
        <f t="shared" si="435"/>
        <v/>
      </c>
      <c r="B2246" s="2261" t="str">
        <f>"LA"&amp;$F$6</f>
        <v>LA18</v>
      </c>
      <c r="C2246" s="2268">
        <f t="shared" si="440"/>
        <v>0</v>
      </c>
      <c r="D2246" s="2152" t="s">
        <v>5602</v>
      </c>
      <c r="E2246" s="2194" t="s">
        <v>1193</v>
      </c>
      <c r="F2246" s="2152" t="s">
        <v>2555</v>
      </c>
      <c r="G2246" s="2358">
        <f>G2244</f>
        <v>0</v>
      </c>
      <c r="H2246" s="2264">
        <v>1106000</v>
      </c>
      <c r="I2246" s="2264">
        <v>0</v>
      </c>
      <c r="J2246" s="2264">
        <v>83490</v>
      </c>
      <c r="K2246" s="2264">
        <v>0</v>
      </c>
      <c r="L2246" s="2264">
        <f t="shared" si="436"/>
        <v>0</v>
      </c>
      <c r="M2246" s="2264">
        <f t="shared" si="437"/>
        <v>0</v>
      </c>
      <c r="N2246" s="2264">
        <f t="shared" si="438"/>
        <v>0</v>
      </c>
      <c r="O2246" s="2264">
        <f t="shared" si="439"/>
        <v>0</v>
      </c>
      <c r="P2246" s="2441"/>
      <c r="Q2246" s="2266"/>
      <c r="R2246" s="2266"/>
      <c r="S2246" s="2266"/>
    </row>
    <row r="2247" spans="1:19" s="2105" customFormat="1" outlineLevel="1">
      <c r="A2247" s="2182" t="str">
        <f t="shared" si="435"/>
        <v/>
      </c>
      <c r="B2247" s="2357" t="s">
        <v>882</v>
      </c>
      <c r="C2247" s="2268">
        <f t="shared" si="440"/>
        <v>0</v>
      </c>
      <c r="D2247" s="2152">
        <v>0</v>
      </c>
      <c r="E2247" s="2194" t="s">
        <v>3410</v>
      </c>
      <c r="F2247" s="2152" t="s">
        <v>2555</v>
      </c>
      <c r="G2247" s="2269">
        <f>G2243*0</f>
        <v>0</v>
      </c>
      <c r="H2247" s="2264">
        <v>64843000</v>
      </c>
      <c r="I2247" s="2264">
        <v>0</v>
      </c>
      <c r="J2247" s="2264">
        <v>0</v>
      </c>
      <c r="K2247" s="2264">
        <v>0</v>
      </c>
      <c r="L2247" s="2264">
        <f t="shared" si="436"/>
        <v>0</v>
      </c>
      <c r="M2247" s="2264">
        <f t="shared" si="437"/>
        <v>0</v>
      </c>
      <c r="N2247" s="2264">
        <f t="shared" si="438"/>
        <v>0</v>
      </c>
      <c r="O2247" s="2264">
        <f t="shared" si="439"/>
        <v>0</v>
      </c>
      <c r="P2247" s="2389"/>
      <c r="Q2247" s="2266"/>
      <c r="R2247" s="2266"/>
      <c r="S2247" s="2266"/>
    </row>
    <row r="2248" spans="1:19" s="2105" customFormat="1" outlineLevel="1">
      <c r="A2248" s="2182" t="str">
        <f>IF(G2248&lt;&gt;0,1,"")</f>
        <v/>
      </c>
      <c r="B2248" s="2357" t="s">
        <v>1462</v>
      </c>
      <c r="C2248" s="2268">
        <f>IF(G2248&gt;0,C2247+1,C2247)</f>
        <v>0</v>
      </c>
      <c r="D2248" s="2152" t="s">
        <v>5688</v>
      </c>
      <c r="E2248" s="2194" t="s">
        <v>5689</v>
      </c>
      <c r="F2248" s="2152" t="s">
        <v>2555</v>
      </c>
      <c r="G2248" s="2358">
        <f>G2243*2</f>
        <v>0</v>
      </c>
      <c r="H2248" s="2264">
        <v>25594000</v>
      </c>
      <c r="I2248" s="2264">
        <v>0</v>
      </c>
      <c r="J2248" s="2264">
        <v>1391500</v>
      </c>
      <c r="K2248" s="2264">
        <v>0</v>
      </c>
      <c r="L2248" s="2264">
        <f>H2248*G2248</f>
        <v>0</v>
      </c>
      <c r="M2248" s="2264">
        <f>I2248*G2248</f>
        <v>0</v>
      </c>
      <c r="N2248" s="2264">
        <f>J2248*G2248</f>
        <v>0</v>
      </c>
      <c r="O2248" s="2264">
        <f>K2248*G2248</f>
        <v>0</v>
      </c>
      <c r="P2248" s="2441"/>
      <c r="Q2248" s="2266"/>
      <c r="R2248" s="2266"/>
      <c r="S2248" s="2266"/>
    </row>
    <row r="2249" spans="1:19" s="2105" customFormat="1" outlineLevel="1">
      <c r="A2249" s="2182" t="str">
        <f>IF(G2249&lt;&gt;0,1,"")</f>
        <v/>
      </c>
      <c r="B2249" s="2357" t="s">
        <v>1220</v>
      </c>
      <c r="C2249" s="2268">
        <f>IF(G2249&gt;0,C2247+1,C2247)</f>
        <v>0</v>
      </c>
      <c r="D2249" s="2152">
        <v>0</v>
      </c>
      <c r="E2249" s="2194" t="s">
        <v>3409</v>
      </c>
      <c r="F2249" s="2152" t="s">
        <v>2555</v>
      </c>
      <c r="G2249" s="2269"/>
      <c r="H2249" s="2264">
        <v>28075000</v>
      </c>
      <c r="I2249" s="2264">
        <v>0</v>
      </c>
      <c r="J2249" s="2264">
        <v>0</v>
      </c>
      <c r="K2249" s="2264">
        <v>0</v>
      </c>
      <c r="L2249" s="2264">
        <f>H2249*G2249</f>
        <v>0</v>
      </c>
      <c r="M2249" s="2264">
        <f>I2249*G2249</f>
        <v>0</v>
      </c>
      <c r="N2249" s="2264">
        <f>J2249*G2249</f>
        <v>0</v>
      </c>
      <c r="O2249" s="2264">
        <f>K2249*G2249</f>
        <v>0</v>
      </c>
      <c r="P2249" s="2389"/>
      <c r="Q2249" s="2266"/>
      <c r="R2249" s="2266"/>
      <c r="S2249" s="2266"/>
    </row>
    <row r="2250" spans="1:19" s="2105" customFormat="1" outlineLevel="1">
      <c r="A2250" s="2182" t="str">
        <f>IF(G2250&lt;&gt;0,1,"")</f>
        <v/>
      </c>
      <c r="B2250" s="2357" t="s">
        <v>201</v>
      </c>
      <c r="C2250" s="2268">
        <f t="shared" si="440"/>
        <v>0</v>
      </c>
      <c r="D2250" s="2152">
        <v>0</v>
      </c>
      <c r="E2250" s="2194" t="s">
        <v>3404</v>
      </c>
      <c r="F2250" s="2152" t="s">
        <v>2555</v>
      </c>
      <c r="G2250" s="2269"/>
      <c r="H2250" s="2264">
        <v>1750000</v>
      </c>
      <c r="I2250" s="2264">
        <v>0</v>
      </c>
      <c r="J2250" s="2264">
        <v>0</v>
      </c>
      <c r="K2250" s="2264">
        <v>0</v>
      </c>
      <c r="L2250" s="2264">
        <f>H2250*G2250</f>
        <v>0</v>
      </c>
      <c r="M2250" s="2264">
        <f>I2250*G2250</f>
        <v>0</v>
      </c>
      <c r="N2250" s="2264">
        <f>J2250*G2250</f>
        <v>0</v>
      </c>
      <c r="O2250" s="2264">
        <f>K2250*G2250</f>
        <v>0</v>
      </c>
      <c r="P2250" s="2389"/>
      <c r="Q2250" s="2266"/>
      <c r="R2250" s="2266"/>
      <c r="S2250" s="2266"/>
    </row>
    <row r="2251" spans="1:19" s="2105" customFormat="1" outlineLevel="1">
      <c r="A2251" s="2182" t="str">
        <f>IF(G2251&lt;&gt;0,1,"")</f>
        <v/>
      </c>
      <c r="B2251" s="2357" t="s">
        <v>936</v>
      </c>
      <c r="C2251" s="2268">
        <f t="shared" si="440"/>
        <v>0</v>
      </c>
      <c r="D2251" s="2152">
        <v>0</v>
      </c>
      <c r="E2251" s="2194" t="s">
        <v>5679</v>
      </c>
      <c r="F2251" s="2152" t="s">
        <v>2555</v>
      </c>
      <c r="G2251" s="2269"/>
      <c r="H2251" s="2264">
        <v>2616000</v>
      </c>
      <c r="I2251" s="2264">
        <v>0</v>
      </c>
      <c r="J2251" s="2264">
        <v>0</v>
      </c>
      <c r="K2251" s="2264">
        <v>0</v>
      </c>
      <c r="L2251" s="2264">
        <f>H2251*G2251</f>
        <v>0</v>
      </c>
      <c r="M2251" s="2264">
        <f>I2251*G2251</f>
        <v>0</v>
      </c>
      <c r="N2251" s="2264">
        <f>J2251*G2251</f>
        <v>0</v>
      </c>
      <c r="O2251" s="2264">
        <f>K2251*G2251</f>
        <v>0</v>
      </c>
      <c r="P2251" s="2389"/>
      <c r="Q2251" s="2266"/>
      <c r="R2251" s="2266"/>
      <c r="S2251" s="2266"/>
    </row>
    <row r="2252" spans="1:19" s="2105" customFormat="1" outlineLevel="1">
      <c r="A2252" s="2182" t="str">
        <f>IF(G2252&lt;&gt;0,1,"")</f>
        <v/>
      </c>
      <c r="B2252" s="2357" t="s">
        <v>1221</v>
      </c>
      <c r="C2252" s="2268">
        <f t="shared" si="440"/>
        <v>0</v>
      </c>
      <c r="D2252" s="2152">
        <v>0</v>
      </c>
      <c r="E2252" s="2194" t="s">
        <v>5676</v>
      </c>
      <c r="F2252" s="2152" t="s">
        <v>2555</v>
      </c>
      <c r="G2252" s="2269"/>
      <c r="H2252" s="2264">
        <v>2616000</v>
      </c>
      <c r="I2252" s="2264">
        <v>0</v>
      </c>
      <c r="J2252" s="2264">
        <v>0</v>
      </c>
      <c r="K2252" s="2264">
        <v>0</v>
      </c>
      <c r="L2252" s="2264">
        <f>H2252*G2252</f>
        <v>0</v>
      </c>
      <c r="M2252" s="2264">
        <f>I2252*G2252</f>
        <v>0</v>
      </c>
      <c r="N2252" s="2264">
        <f>J2252*G2252</f>
        <v>0</v>
      </c>
      <c r="O2252" s="2264">
        <f>K2252*G2252</f>
        <v>0</v>
      </c>
      <c r="P2252" s="2389"/>
      <c r="Q2252" s="2266"/>
      <c r="R2252" s="2266"/>
      <c r="S2252" s="2266"/>
    </row>
    <row r="2253" spans="1:19" s="2105" customFormat="1" outlineLevel="1">
      <c r="A2253" s="2182" t="str">
        <f t="shared" si="435"/>
        <v/>
      </c>
      <c r="B2253" s="2357" t="s">
        <v>883</v>
      </c>
      <c r="C2253" s="2268">
        <f>IF(G2253&gt;0,C2247+1,C2247)</f>
        <v>0</v>
      </c>
      <c r="D2253" s="2152" t="s">
        <v>1025</v>
      </c>
      <c r="E2253" s="2194" t="s">
        <v>3377</v>
      </c>
      <c r="F2253" s="2152" t="s">
        <v>3370</v>
      </c>
      <c r="G2253" s="2269">
        <f>G2243*0</f>
        <v>0</v>
      </c>
      <c r="H2253" s="2264">
        <v>25700880</v>
      </c>
      <c r="I2253" s="2264">
        <v>0</v>
      </c>
      <c r="J2253" s="2264">
        <v>98101</v>
      </c>
      <c r="K2253" s="2264">
        <v>59254</v>
      </c>
      <c r="L2253" s="2264">
        <f t="shared" si="436"/>
        <v>0</v>
      </c>
      <c r="M2253" s="2264">
        <f t="shared" si="437"/>
        <v>0</v>
      </c>
      <c r="N2253" s="2264">
        <f t="shared" si="438"/>
        <v>0</v>
      </c>
      <c r="O2253" s="2264">
        <f t="shared" si="439"/>
        <v>0</v>
      </c>
      <c r="P2253" s="2389"/>
      <c r="Q2253" s="2266"/>
      <c r="R2253" s="2266"/>
      <c r="S2253" s="2266"/>
    </row>
    <row r="2254" spans="1:19" s="2105" customFormat="1" outlineLevel="1">
      <c r="A2254" s="2182" t="str">
        <f t="shared" si="435"/>
        <v/>
      </c>
      <c r="B2254" s="2252" t="s">
        <v>2042</v>
      </c>
      <c r="C2254" s="2268">
        <f>IF(G2254&gt;0,C2253+1,C2253)</f>
        <v>0</v>
      </c>
      <c r="D2254" s="2152">
        <v>0</v>
      </c>
      <c r="E2254" s="2194" t="s">
        <v>3365</v>
      </c>
      <c r="F2254" s="2152" t="s">
        <v>2555</v>
      </c>
      <c r="G2254" s="2390">
        <f>G2243*3*0</f>
        <v>0</v>
      </c>
      <c r="H2254" s="2264">
        <v>0</v>
      </c>
      <c r="I2254" s="2264">
        <v>0</v>
      </c>
      <c r="J2254" s="2264">
        <v>0</v>
      </c>
      <c r="K2254" s="2264">
        <v>0</v>
      </c>
      <c r="L2254" s="2264">
        <f t="shared" si="436"/>
        <v>0</v>
      </c>
      <c r="M2254" s="2264">
        <f t="shared" si="437"/>
        <v>0</v>
      </c>
      <c r="N2254" s="2264">
        <f t="shared" si="438"/>
        <v>0</v>
      </c>
      <c r="O2254" s="2264">
        <f t="shared" si="439"/>
        <v>0</v>
      </c>
      <c r="P2254" s="2391" t="s">
        <v>2601</v>
      </c>
      <c r="Q2254" s="2266"/>
      <c r="R2254" s="2266"/>
      <c r="S2254" s="2266"/>
    </row>
    <row r="2255" spans="1:19" s="2105" customFormat="1" outlineLevel="1">
      <c r="A2255" s="2182" t="str">
        <f>IF(G2255&lt;&gt;0,1,"")</f>
        <v/>
      </c>
      <c r="B2255" s="2252" t="s">
        <v>2042</v>
      </c>
      <c r="C2255" s="2268">
        <f>IF(G2255&gt;0,C2254+1,C2254)</f>
        <v>0</v>
      </c>
      <c r="D2255" s="2152">
        <v>0</v>
      </c>
      <c r="E2255" s="2194" t="s">
        <v>3365</v>
      </c>
      <c r="F2255" s="2152" t="s">
        <v>2555</v>
      </c>
      <c r="G2255" s="2544">
        <f>G2243*3</f>
        <v>0</v>
      </c>
      <c r="H2255" s="2264">
        <v>0</v>
      </c>
      <c r="I2255" s="2264">
        <v>0</v>
      </c>
      <c r="J2255" s="2264">
        <v>0</v>
      </c>
      <c r="K2255" s="2264">
        <v>0</v>
      </c>
      <c r="L2255" s="2264">
        <f>H2255*G2255</f>
        <v>0</v>
      </c>
      <c r="M2255" s="2264">
        <f>I2255*G2255</f>
        <v>0</v>
      </c>
      <c r="N2255" s="2264">
        <f>J2255*G2255</f>
        <v>0</v>
      </c>
      <c r="O2255" s="2264">
        <f>K2255*G2255</f>
        <v>0</v>
      </c>
      <c r="P2255" s="2443" t="s">
        <v>2601</v>
      </c>
      <c r="Q2255" s="2266"/>
      <c r="R2255" s="2266"/>
      <c r="S2255" s="2266"/>
    </row>
    <row r="2256" spans="1:19" s="2105" customFormat="1" outlineLevel="1">
      <c r="A2256" s="2182" t="str">
        <f t="shared" si="435"/>
        <v/>
      </c>
      <c r="B2256" s="2252" t="s">
        <v>1460</v>
      </c>
      <c r="C2256" s="2268">
        <f>IF(G2256&gt;0,C2254+1,C2254)</f>
        <v>0</v>
      </c>
      <c r="D2256" s="2152">
        <v>0</v>
      </c>
      <c r="E2256" s="2194" t="s">
        <v>3441</v>
      </c>
      <c r="F2256" s="2152" t="s">
        <v>2555</v>
      </c>
      <c r="G2256" s="2544">
        <f>G2243</f>
        <v>0</v>
      </c>
      <c r="H2256" s="2264">
        <v>0</v>
      </c>
      <c r="I2256" s="2264">
        <v>0</v>
      </c>
      <c r="J2256" s="2264">
        <v>0</v>
      </c>
      <c r="K2256" s="2264">
        <v>0</v>
      </c>
      <c r="L2256" s="2264">
        <f t="shared" si="436"/>
        <v>0</v>
      </c>
      <c r="M2256" s="2360">
        <f t="shared" si="437"/>
        <v>0</v>
      </c>
      <c r="N2256" s="2360">
        <f t="shared" si="438"/>
        <v>0</v>
      </c>
      <c r="O2256" s="2361">
        <f t="shared" si="439"/>
        <v>0</v>
      </c>
      <c r="P2256" s="2444" t="s">
        <v>2601</v>
      </c>
      <c r="Q2256" s="2266"/>
      <c r="R2256" s="2266"/>
      <c r="S2256" s="2266"/>
    </row>
    <row r="2257" spans="1:20" s="2105" customFormat="1" outlineLevel="1">
      <c r="A2257" s="2182">
        <f>IF(SUM(L2257:O2257)&lt;&gt;0,1,)</f>
        <v>0</v>
      </c>
      <c r="B2257" s="2261"/>
      <c r="C2257" s="2393"/>
      <c r="D2257" s="2394"/>
      <c r="E2257" s="2395"/>
      <c r="F2257" s="2393"/>
      <c r="G2257" s="2445"/>
      <c r="H2257" s="2393"/>
      <c r="I2257" s="2393"/>
      <c r="J2257" s="2117" t="s">
        <v>6121</v>
      </c>
      <c r="K2257" s="2393"/>
      <c r="L2257" s="2395">
        <f>SUM(L2243:L2256)</f>
        <v>0</v>
      </c>
      <c r="M2257" s="2395">
        <f>SUM(M2243:M2256)</f>
        <v>0</v>
      </c>
      <c r="N2257" s="2395">
        <f>SUM(N2243:N2256)</f>
        <v>0</v>
      </c>
      <c r="O2257" s="2395">
        <f>SUM(O2243:O2256)</f>
        <v>0</v>
      </c>
      <c r="P2257" s="2446"/>
      <c r="Q2257" s="2266">
        <f>L2257+L1644+L1369</f>
        <v>0</v>
      </c>
      <c r="R2257" s="2266">
        <f>M2257+M1644+M1369</f>
        <v>0</v>
      </c>
      <c r="S2257" s="2266">
        <f>N2257+N1644+N1369</f>
        <v>0</v>
      </c>
      <c r="T2257" s="2266">
        <f>O2257+O1644+O1369</f>
        <v>0</v>
      </c>
    </row>
    <row r="2258" spans="1:20" s="2105" customFormat="1" outlineLevel="1">
      <c r="A2258" s="2182"/>
      <c r="B2258" s="2261"/>
      <c r="C2258" s="2397"/>
      <c r="D2258" s="2398"/>
      <c r="E2258" s="2399" t="s">
        <v>3673</v>
      </c>
      <c r="F2258" s="2399"/>
      <c r="G2258" s="2447"/>
      <c r="H2258" s="2399"/>
      <c r="I2258" s="2399"/>
      <c r="J2258" s="2399"/>
      <c r="K2258" s="2399"/>
      <c r="L2258" s="2399"/>
      <c r="M2258" s="2399"/>
      <c r="N2258" s="2399"/>
      <c r="O2258" s="2398"/>
      <c r="P2258" s="2446"/>
      <c r="Q2258" s="2266"/>
      <c r="R2258" s="2266"/>
      <c r="S2258" s="2266"/>
    </row>
    <row r="2259" spans="1:20" s="2105" customFormat="1" outlineLevel="1">
      <c r="A2259" s="2182" t="str">
        <f t="shared" ref="A2259:A2277" si="441">IF(G2259&lt;&gt;0,1,"")</f>
        <v/>
      </c>
      <c r="B2259" s="2401"/>
      <c r="C2259" s="2402">
        <f>IF(G2259&gt;0,1,0)</f>
        <v>0</v>
      </c>
      <c r="D2259" s="2152"/>
      <c r="E2259" s="2403" t="s">
        <v>6122</v>
      </c>
      <c r="F2259" s="2404" t="s">
        <v>2277</v>
      </c>
      <c r="G2259" s="2405">
        <f>G2243*2*0</f>
        <v>0</v>
      </c>
      <c r="H2259" s="2404"/>
      <c r="I2259" s="2404"/>
      <c r="J2259" s="2404"/>
      <c r="K2259" s="2404"/>
      <c r="L2259" s="2405"/>
      <c r="M2259" s="2405"/>
      <c r="N2259" s="2405"/>
      <c r="O2259" s="2406"/>
      <c r="P2259" s="2389"/>
      <c r="Q2259" s="2266"/>
      <c r="R2259" s="2266"/>
      <c r="S2259" s="2266"/>
    </row>
    <row r="2260" spans="1:20" s="2105" customFormat="1" outlineLevel="1">
      <c r="A2260" s="2182" t="str">
        <f t="shared" si="441"/>
        <v/>
      </c>
      <c r="B2260" s="2357" t="s">
        <v>115</v>
      </c>
      <c r="C2260" s="2407"/>
      <c r="D2260" s="2152"/>
      <c r="E2260" s="2408" t="s">
        <v>2992</v>
      </c>
      <c r="F2260" s="2152" t="s">
        <v>2831</v>
      </c>
      <c r="G2260" s="2152">
        <f>G2259</f>
        <v>0</v>
      </c>
      <c r="H2260" s="2359">
        <v>4400000</v>
      </c>
      <c r="I2260" s="2258"/>
      <c r="J2260" s="2359"/>
      <c r="K2260" s="2258"/>
      <c r="L2260" s="2360">
        <f>H2260*G2260</f>
        <v>0</v>
      </c>
      <c r="M2260" s="2360">
        <f>I2260*G2260</f>
        <v>0</v>
      </c>
      <c r="N2260" s="2360">
        <f>J2260*G2260</f>
        <v>0</v>
      </c>
      <c r="O2260" s="2360">
        <f>K2260*G2260</f>
        <v>0</v>
      </c>
      <c r="P2260" s="2389"/>
      <c r="Q2260" s="2266"/>
      <c r="R2260" s="2266"/>
      <c r="S2260" s="2266"/>
    </row>
    <row r="2261" spans="1:20" s="2105" customFormat="1" outlineLevel="1">
      <c r="A2261" s="2182" t="str">
        <f t="shared" si="441"/>
        <v/>
      </c>
      <c r="B2261" s="2357" t="s">
        <v>1814</v>
      </c>
      <c r="C2261" s="2407"/>
      <c r="D2261" s="2152"/>
      <c r="E2261" s="2408" t="s">
        <v>2830</v>
      </c>
      <c r="F2261" s="2152" t="s">
        <v>2831</v>
      </c>
      <c r="G2261" s="2152">
        <f>G2260</f>
        <v>0</v>
      </c>
      <c r="H2261" s="2359">
        <v>17400</v>
      </c>
      <c r="I2261" s="2359"/>
      <c r="J2261" s="2258"/>
      <c r="K2261" s="2258"/>
      <c r="L2261" s="2360">
        <f>H2261*G2261</f>
        <v>0</v>
      </c>
      <c r="M2261" s="2360">
        <f>I2261*G2261</f>
        <v>0</v>
      </c>
      <c r="N2261" s="2360">
        <f>J2261*G2261</f>
        <v>0</v>
      </c>
      <c r="O2261" s="2360">
        <f>K2261*G2261</f>
        <v>0</v>
      </c>
      <c r="P2261" s="2389"/>
      <c r="Q2261" s="2266"/>
      <c r="R2261" s="2266"/>
      <c r="S2261" s="2266"/>
    </row>
    <row r="2262" spans="1:20" s="2105" customFormat="1" outlineLevel="1">
      <c r="A2262" s="2182" t="str">
        <f t="shared" si="441"/>
        <v/>
      </c>
      <c r="B2262" s="2357" t="s">
        <v>643</v>
      </c>
      <c r="C2262" s="2407"/>
      <c r="D2262" s="2152" t="s">
        <v>2127</v>
      </c>
      <c r="E2262" s="2408" t="s">
        <v>3167</v>
      </c>
      <c r="F2262" s="2152" t="s">
        <v>2831</v>
      </c>
      <c r="G2262" s="2152">
        <f>G2260</f>
        <v>0</v>
      </c>
      <c r="H2262" s="2408"/>
      <c r="I2262" s="2359"/>
      <c r="J2262" s="2359">
        <v>112286</v>
      </c>
      <c r="K2262" s="2359">
        <v>105970</v>
      </c>
      <c r="L2262" s="2360">
        <f>H2262*G2262</f>
        <v>0</v>
      </c>
      <c r="M2262" s="2360">
        <f>I2262*G2262</f>
        <v>0</v>
      </c>
      <c r="N2262" s="2360">
        <f>J2262*G2262</f>
        <v>0</v>
      </c>
      <c r="O2262" s="2360">
        <f>K2262*G2262</f>
        <v>0</v>
      </c>
      <c r="P2262" s="2389"/>
      <c r="Q2262" s="2266"/>
      <c r="R2262" s="2266"/>
      <c r="S2262" s="2266"/>
    </row>
    <row r="2263" spans="1:20" s="2105" customFormat="1" outlineLevel="1">
      <c r="A2263" s="2182" t="str">
        <f t="shared" si="441"/>
        <v/>
      </c>
      <c r="B2263" s="2401"/>
      <c r="C2263" s="2402">
        <f>IF(G2263&gt;0,1,0)</f>
        <v>0</v>
      </c>
      <c r="D2263" s="2152"/>
      <c r="E2263" s="2403" t="s">
        <v>6217</v>
      </c>
      <c r="F2263" s="2404" t="s">
        <v>2277</v>
      </c>
      <c r="G2263" s="2405">
        <f>G2243*2*0</f>
        <v>0</v>
      </c>
      <c r="H2263" s="2404"/>
      <c r="I2263" s="2404"/>
      <c r="J2263" s="2404"/>
      <c r="K2263" s="2404"/>
      <c r="L2263" s="2405"/>
      <c r="M2263" s="2405"/>
      <c r="N2263" s="2405"/>
      <c r="O2263" s="2406"/>
      <c r="P2263" s="2265"/>
      <c r="Q2263" s="2266"/>
      <c r="R2263" s="2266"/>
      <c r="S2263" s="2266"/>
    </row>
    <row r="2264" spans="1:20" s="2105" customFormat="1" outlineLevel="1">
      <c r="A2264" s="2182" t="str">
        <f t="shared" si="441"/>
        <v/>
      </c>
      <c r="B2264" s="2357" t="s">
        <v>114</v>
      </c>
      <c r="C2264" s="2407"/>
      <c r="D2264" s="2152"/>
      <c r="E2264" s="2408" t="s">
        <v>2991</v>
      </c>
      <c r="F2264" s="2152" t="s">
        <v>2831</v>
      </c>
      <c r="G2264" s="2152">
        <f>G2263</f>
        <v>0</v>
      </c>
      <c r="H2264" s="2359">
        <v>4200000</v>
      </c>
      <c r="I2264" s="2258"/>
      <c r="J2264" s="2359"/>
      <c r="K2264" s="2258"/>
      <c r="L2264" s="2360">
        <f>H2264*G2264</f>
        <v>0</v>
      </c>
      <c r="M2264" s="2360">
        <f>I2264*G2264</f>
        <v>0</v>
      </c>
      <c r="N2264" s="2360">
        <f>J2264*G2264</f>
        <v>0</v>
      </c>
      <c r="O2264" s="2360">
        <f>K2264*G2264</f>
        <v>0</v>
      </c>
      <c r="P2264" s="2265"/>
      <c r="Q2264" s="2266"/>
      <c r="R2264" s="2266"/>
      <c r="S2264" s="2266"/>
    </row>
    <row r="2265" spans="1:20" s="2105" customFormat="1" outlineLevel="1">
      <c r="A2265" s="2182" t="str">
        <f t="shared" si="441"/>
        <v/>
      </c>
      <c r="B2265" s="2357" t="s">
        <v>1814</v>
      </c>
      <c r="C2265" s="2407"/>
      <c r="D2265" s="2152"/>
      <c r="E2265" s="2408" t="s">
        <v>2830</v>
      </c>
      <c r="F2265" s="2152" t="s">
        <v>2831</v>
      </c>
      <c r="G2265" s="2152">
        <f>G2264</f>
        <v>0</v>
      </c>
      <c r="H2265" s="2359">
        <v>17400</v>
      </c>
      <c r="I2265" s="2359"/>
      <c r="J2265" s="2258"/>
      <c r="K2265" s="2258"/>
      <c r="L2265" s="2360">
        <f>H2265*G2265</f>
        <v>0</v>
      </c>
      <c r="M2265" s="2360">
        <f>I2265*G2265</f>
        <v>0</v>
      </c>
      <c r="N2265" s="2360">
        <f>J2265*G2265</f>
        <v>0</v>
      </c>
      <c r="O2265" s="2360">
        <f>K2265*G2265</f>
        <v>0</v>
      </c>
      <c r="P2265" s="2265"/>
      <c r="Q2265" s="2266"/>
      <c r="R2265" s="2266"/>
      <c r="S2265" s="2266"/>
    </row>
    <row r="2266" spans="1:20" s="2105" customFormat="1" outlineLevel="1">
      <c r="A2266" s="2182" t="str">
        <f t="shared" si="441"/>
        <v/>
      </c>
      <c r="B2266" s="2357" t="s">
        <v>644</v>
      </c>
      <c r="C2266" s="2407"/>
      <c r="D2266" s="2152" t="s">
        <v>2127</v>
      </c>
      <c r="E2266" s="2408" t="s">
        <v>3168</v>
      </c>
      <c r="F2266" s="2152" t="s">
        <v>2831</v>
      </c>
      <c r="G2266" s="2152">
        <f>G2264</f>
        <v>0</v>
      </c>
      <c r="H2266" s="2408"/>
      <c r="I2266" s="2359"/>
      <c r="J2266" s="2359">
        <v>112286</v>
      </c>
      <c r="K2266" s="2359">
        <v>105970</v>
      </c>
      <c r="L2266" s="2360">
        <f>H2266*G2266</f>
        <v>0</v>
      </c>
      <c r="M2266" s="2360">
        <f>I2266*G2266</f>
        <v>0</v>
      </c>
      <c r="N2266" s="2360">
        <f>J2266*G2266</f>
        <v>0</v>
      </c>
      <c r="O2266" s="2360">
        <f>K2266*G2266</f>
        <v>0</v>
      </c>
      <c r="P2266" s="2265"/>
      <c r="Q2266" s="2266"/>
      <c r="R2266" s="2266"/>
      <c r="S2266" s="2266"/>
    </row>
    <row r="2267" spans="1:20" s="2105" customFormat="1" outlineLevel="1">
      <c r="A2267" s="2182" t="str">
        <f t="shared" si="441"/>
        <v/>
      </c>
      <c r="B2267" s="2357"/>
      <c r="C2267" s="2258">
        <f>IF(G2267&gt;0,C2259+1,C2259)</f>
        <v>0</v>
      </c>
      <c r="D2267" s="2152"/>
      <c r="E2267" s="2403" t="s">
        <v>2354</v>
      </c>
      <c r="F2267" s="2404" t="s">
        <v>2327</v>
      </c>
      <c r="G2267" s="2409">
        <f>G2259</f>
        <v>0</v>
      </c>
      <c r="H2267" s="2258"/>
      <c r="I2267" s="2258"/>
      <c r="J2267" s="2258"/>
      <c r="K2267" s="2258"/>
      <c r="L2267" s="2258"/>
      <c r="M2267" s="2258"/>
      <c r="N2267" s="2258"/>
      <c r="O2267" s="2410"/>
      <c r="P2267" s="2389"/>
      <c r="Q2267" s="2266"/>
      <c r="R2267" s="2266"/>
      <c r="S2267" s="2266"/>
    </row>
    <row r="2268" spans="1:20" s="2105" customFormat="1" outlineLevel="1">
      <c r="A2268" s="2182" t="str">
        <f t="shared" si="441"/>
        <v/>
      </c>
      <c r="B2268" s="2357" t="s">
        <v>636</v>
      </c>
      <c r="C2268" s="2407"/>
      <c r="D2268" s="2152" t="s">
        <v>5047</v>
      </c>
      <c r="E2268" s="2408" t="s">
        <v>2607</v>
      </c>
      <c r="F2268" s="2152" t="s">
        <v>2555</v>
      </c>
      <c r="G2268" s="2545">
        <f>G2267*2</f>
        <v>0</v>
      </c>
      <c r="H2268" s="2359">
        <v>354545</v>
      </c>
      <c r="I2268" s="2359"/>
      <c r="J2268" s="2359">
        <v>37220.25</v>
      </c>
      <c r="K2268" s="2258"/>
      <c r="L2268" s="2360">
        <f>H2268*G2268</f>
        <v>0</v>
      </c>
      <c r="M2268" s="2360">
        <f>I2268*G2268</f>
        <v>0</v>
      </c>
      <c r="N2268" s="2360">
        <f>J2268*G2268</f>
        <v>0</v>
      </c>
      <c r="O2268" s="2360">
        <f>K2268*G2268</f>
        <v>0</v>
      </c>
      <c r="P2268" s="2389"/>
      <c r="Q2268" s="2266"/>
      <c r="R2268" s="2266"/>
      <c r="S2268" s="2266"/>
    </row>
    <row r="2269" spans="1:20" s="2105" customFormat="1" outlineLevel="1">
      <c r="A2269" s="2182" t="str">
        <f t="shared" si="441"/>
        <v/>
      </c>
      <c r="B2269" s="2357" t="s">
        <v>566</v>
      </c>
      <c r="C2269" s="2407"/>
      <c r="D2269" s="2152"/>
      <c r="E2269" s="2408" t="s">
        <v>5072</v>
      </c>
      <c r="F2269" s="2152" t="s">
        <v>2439</v>
      </c>
      <c r="G2269" s="2545">
        <f>G2268</f>
        <v>0</v>
      </c>
      <c r="H2269" s="2359">
        <v>92200</v>
      </c>
      <c r="I2269" s="2408"/>
      <c r="J2269" s="2408"/>
      <c r="K2269" s="2258"/>
      <c r="L2269" s="2360">
        <f>H2269*G2269</f>
        <v>0</v>
      </c>
      <c r="M2269" s="2360">
        <f>I2269*G2269</f>
        <v>0</v>
      </c>
      <c r="N2269" s="2360">
        <f>J2269*G2269</f>
        <v>0</v>
      </c>
      <c r="O2269" s="2360">
        <f>K2269*G2269</f>
        <v>0</v>
      </c>
      <c r="P2269" s="2389"/>
      <c r="Q2269" s="2266"/>
      <c r="R2269" s="2266"/>
      <c r="S2269" s="2266"/>
    </row>
    <row r="2270" spans="1:20" s="2105" customFormat="1" outlineLevel="1">
      <c r="A2270" s="2182" t="str">
        <f t="shared" si="441"/>
        <v/>
      </c>
      <c r="B2270" s="2357" t="s">
        <v>639</v>
      </c>
      <c r="C2270" s="2407"/>
      <c r="D2270" s="2152" t="s">
        <v>1747</v>
      </c>
      <c r="E2270" s="2408" t="s">
        <v>5324</v>
      </c>
      <c r="F2270" s="2152" t="s">
        <v>856</v>
      </c>
      <c r="G2270" s="2270">
        <f>1.45*G2267</f>
        <v>0</v>
      </c>
      <c r="H2270" s="2359">
        <v>0</v>
      </c>
      <c r="I2270" s="2359"/>
      <c r="J2270" s="2359">
        <v>296500.89999999997</v>
      </c>
      <c r="K2270" s="2258"/>
      <c r="L2270" s="2360">
        <f>H2270*G2270</f>
        <v>0</v>
      </c>
      <c r="M2270" s="2360">
        <f>I2270*G2270</f>
        <v>0</v>
      </c>
      <c r="N2270" s="2360">
        <f>J2270*G2270</f>
        <v>0</v>
      </c>
      <c r="O2270" s="2360">
        <f>K2270*G2270</f>
        <v>0</v>
      </c>
      <c r="P2270" s="2389"/>
      <c r="Q2270" s="2266"/>
      <c r="R2270" s="2266"/>
      <c r="S2270" s="2266"/>
    </row>
    <row r="2271" spans="1:20" s="2105" customFormat="1" outlineLevel="1">
      <c r="A2271" s="2182" t="str">
        <f t="shared" si="441"/>
        <v/>
      </c>
      <c r="B2271" s="2357" t="s">
        <v>21</v>
      </c>
      <c r="C2271" s="2407"/>
      <c r="D2271" s="2152" t="s">
        <v>5325</v>
      </c>
      <c r="E2271" s="2408" t="s">
        <v>5326</v>
      </c>
      <c r="F2271" s="2152" t="s">
        <v>856</v>
      </c>
      <c r="G2271" s="2270">
        <f>1.37*G2267</f>
        <v>0</v>
      </c>
      <c r="H2271" s="2359">
        <v>0</v>
      </c>
      <c r="I2271" s="2359"/>
      <c r="J2271" s="2359">
        <v>117703.6</v>
      </c>
      <c r="K2271" s="2258"/>
      <c r="L2271" s="2360">
        <f>H2271*G2271</f>
        <v>0</v>
      </c>
      <c r="M2271" s="2360">
        <f>I2271*G2271</f>
        <v>0</v>
      </c>
      <c r="N2271" s="2360">
        <f>J2271*G2271</f>
        <v>0</v>
      </c>
      <c r="O2271" s="2360">
        <f>K2271*G2271</f>
        <v>0</v>
      </c>
      <c r="P2271" s="2389"/>
      <c r="Q2271" s="2266"/>
      <c r="R2271" s="2266"/>
      <c r="S2271" s="2266"/>
    </row>
    <row r="2272" spans="1:20" s="2105" customFormat="1" outlineLevel="1">
      <c r="A2272" s="2182" t="str">
        <f t="shared" si="441"/>
        <v/>
      </c>
      <c r="B2272" s="2357"/>
      <c r="C2272" s="2258">
        <f>IF(G2272&gt;0,C2264+1,C2264)</f>
        <v>0</v>
      </c>
      <c r="D2272" s="2152"/>
      <c r="E2272" s="2403" t="s">
        <v>3713</v>
      </c>
      <c r="F2272" s="2404" t="s">
        <v>2327</v>
      </c>
      <c r="G2272" s="2409">
        <f>G2263</f>
        <v>0</v>
      </c>
      <c r="H2272" s="2258"/>
      <c r="I2272" s="2258"/>
      <c r="J2272" s="2258"/>
      <c r="K2272" s="2258"/>
      <c r="L2272" s="2258"/>
      <c r="M2272" s="2258"/>
      <c r="N2272" s="2258"/>
      <c r="O2272" s="2410"/>
      <c r="P2272" s="2265"/>
      <c r="Q2272" s="2266"/>
      <c r="R2272" s="2266"/>
      <c r="S2272" s="2266"/>
    </row>
    <row r="2273" spans="1:19" s="2105" customFormat="1" outlineLevel="1">
      <c r="A2273" s="2182" t="str">
        <f t="shared" si="441"/>
        <v/>
      </c>
      <c r="B2273" s="2357" t="s">
        <v>636</v>
      </c>
      <c r="C2273" s="2407"/>
      <c r="D2273" s="2152" t="s">
        <v>5047</v>
      </c>
      <c r="E2273" s="2408" t="s">
        <v>2607</v>
      </c>
      <c r="F2273" s="2152" t="s">
        <v>2555</v>
      </c>
      <c r="G2273" s="2152">
        <f>G2272</f>
        <v>0</v>
      </c>
      <c r="H2273" s="2359">
        <v>354545</v>
      </c>
      <c r="I2273" s="2359"/>
      <c r="J2273" s="2359">
        <v>37220.25</v>
      </c>
      <c r="K2273" s="2258"/>
      <c r="L2273" s="2360">
        <f>H2273*G2273</f>
        <v>0</v>
      </c>
      <c r="M2273" s="2360">
        <f>I2273*G2273</f>
        <v>0</v>
      </c>
      <c r="N2273" s="2360">
        <f>J2273*G2273</f>
        <v>0</v>
      </c>
      <c r="O2273" s="2360">
        <f>K2273*G2273</f>
        <v>0</v>
      </c>
      <c r="P2273" s="2265"/>
      <c r="Q2273" s="2266"/>
      <c r="R2273" s="2266"/>
      <c r="S2273" s="2266"/>
    </row>
    <row r="2274" spans="1:19" s="2105" customFormat="1" outlineLevel="1">
      <c r="A2274" s="2182" t="str">
        <f t="shared" si="441"/>
        <v/>
      </c>
      <c r="B2274" s="2357" t="s">
        <v>566</v>
      </c>
      <c r="C2274" s="2407"/>
      <c r="D2274" s="2152"/>
      <c r="E2274" s="2408" t="s">
        <v>5072</v>
      </c>
      <c r="F2274" s="2152" t="s">
        <v>2439</v>
      </c>
      <c r="G2274" s="2152">
        <f>G2273</f>
        <v>0</v>
      </c>
      <c r="H2274" s="2359">
        <v>92200</v>
      </c>
      <c r="I2274" s="2408"/>
      <c r="J2274" s="2408"/>
      <c r="K2274" s="2258"/>
      <c r="L2274" s="2360">
        <f>H2274*G2274</f>
        <v>0</v>
      </c>
      <c r="M2274" s="2360">
        <f>I2274*G2274</f>
        <v>0</v>
      </c>
      <c r="N2274" s="2360">
        <f>J2274*G2274</f>
        <v>0</v>
      </c>
      <c r="O2274" s="2360">
        <f>K2274*G2274</f>
        <v>0</v>
      </c>
      <c r="P2274" s="2265"/>
      <c r="Q2274" s="2266"/>
      <c r="R2274" s="2266"/>
      <c r="S2274" s="2266"/>
    </row>
    <row r="2275" spans="1:19" s="2105" customFormat="1" outlineLevel="1">
      <c r="A2275" s="2182" t="str">
        <f t="shared" si="441"/>
        <v/>
      </c>
      <c r="B2275" s="2357" t="s">
        <v>639</v>
      </c>
      <c r="C2275" s="2407"/>
      <c r="D2275" s="2152" t="s">
        <v>1747</v>
      </c>
      <c r="E2275" s="2408" t="s">
        <v>5324</v>
      </c>
      <c r="F2275" s="2152" t="s">
        <v>856</v>
      </c>
      <c r="G2275" s="2270">
        <f>1.48*G2273</f>
        <v>0</v>
      </c>
      <c r="H2275" s="2359">
        <v>0</v>
      </c>
      <c r="I2275" s="2359"/>
      <c r="J2275" s="2359">
        <v>296500.89999999997</v>
      </c>
      <c r="K2275" s="2258"/>
      <c r="L2275" s="2360">
        <f>H2275*G2275</f>
        <v>0</v>
      </c>
      <c r="M2275" s="2360">
        <f>I2275*G2275</f>
        <v>0</v>
      </c>
      <c r="N2275" s="2360">
        <f>J2275*G2275</f>
        <v>0</v>
      </c>
      <c r="O2275" s="2360">
        <f>K2275*G2275</f>
        <v>0</v>
      </c>
      <c r="P2275" s="2265"/>
      <c r="Q2275" s="2266"/>
      <c r="R2275" s="2266"/>
      <c r="S2275" s="2266"/>
    </row>
    <row r="2276" spans="1:19" s="2105" customFormat="1" outlineLevel="1">
      <c r="A2276" s="2182" t="str">
        <f t="shared" si="441"/>
        <v/>
      </c>
      <c r="B2276" s="2357" t="s">
        <v>21</v>
      </c>
      <c r="C2276" s="2407"/>
      <c r="D2276" s="2152" t="s">
        <v>5325</v>
      </c>
      <c r="E2276" s="2408" t="s">
        <v>5326</v>
      </c>
      <c r="F2276" s="2152" t="s">
        <v>856</v>
      </c>
      <c r="G2276" s="2270">
        <f>1.39*G2272</f>
        <v>0</v>
      </c>
      <c r="H2276" s="2359">
        <v>0</v>
      </c>
      <c r="I2276" s="2359"/>
      <c r="J2276" s="2359">
        <v>117703.6</v>
      </c>
      <c r="K2276" s="2258"/>
      <c r="L2276" s="2360">
        <f>H2276*G2276</f>
        <v>0</v>
      </c>
      <c r="M2276" s="2360">
        <f>I2276*G2276</f>
        <v>0</v>
      </c>
      <c r="N2276" s="2360">
        <f>J2276*G2276</f>
        <v>0</v>
      </c>
      <c r="O2276" s="2360">
        <f>K2276*G2276</f>
        <v>0</v>
      </c>
      <c r="P2276" s="2265"/>
      <c r="Q2276" s="2266"/>
      <c r="R2276" s="2266"/>
      <c r="S2276" s="2266"/>
    </row>
    <row r="2277" spans="1:19" s="2105" customFormat="1" outlineLevel="1">
      <c r="A2277" s="2182" t="str">
        <f t="shared" si="441"/>
        <v/>
      </c>
      <c r="B2277" s="2261"/>
      <c r="C2277" s="2258">
        <f>IF(G2277&gt;0,C2267+1,C2267)</f>
        <v>0</v>
      </c>
      <c r="D2277" s="2411"/>
      <c r="E2277" s="2403" t="s">
        <v>3714</v>
      </c>
      <c r="F2277" s="2402" t="s">
        <v>2385</v>
      </c>
      <c r="G2277" s="2546">
        <f>G2243*1</f>
        <v>0</v>
      </c>
      <c r="H2277" s="2413"/>
      <c r="I2277" s="2413"/>
      <c r="J2277" s="2413"/>
      <c r="K2277" s="2413"/>
      <c r="L2277" s="2413"/>
      <c r="M2277" s="2413"/>
      <c r="N2277" s="2413"/>
      <c r="O2277" s="2413"/>
      <c r="P2277" s="2449"/>
      <c r="Q2277" s="2266"/>
      <c r="R2277" s="2266"/>
      <c r="S2277" s="2266"/>
    </row>
    <row r="2278" spans="1:19" s="2105" customFormat="1" ht="14.4" outlineLevel="1">
      <c r="A2278" s="2182" t="str">
        <f>A2277</f>
        <v/>
      </c>
      <c r="B2278" s="2261"/>
      <c r="C2278" s="2258"/>
      <c r="D2278" s="2414"/>
      <c r="E2278" s="2267" t="s">
        <v>6133</v>
      </c>
      <c r="F2278" s="2268"/>
      <c r="G2278" s="2378"/>
      <c r="H2278" s="2415"/>
      <c r="I2278" s="2415"/>
      <c r="J2278" s="2415"/>
      <c r="K2278" s="2415"/>
      <c r="L2278" s="2415"/>
      <c r="M2278" s="2415"/>
      <c r="N2278" s="2415"/>
      <c r="O2278" s="2415"/>
      <c r="P2278" s="2449"/>
      <c r="Q2278" s="2266"/>
      <c r="R2278" s="2266"/>
      <c r="S2278" s="2266"/>
    </row>
    <row r="2279" spans="1:19" s="2105" customFormat="1" outlineLevel="1">
      <c r="A2279" s="2182" t="str">
        <f t="shared" ref="A2279:A2284" si="442">IF(G2279&lt;&gt;0,1,"")</f>
        <v/>
      </c>
      <c r="B2279" s="2252" t="s">
        <v>1408</v>
      </c>
      <c r="C2279" s="2258"/>
      <c r="D2279" s="2152">
        <v>0</v>
      </c>
      <c r="E2279" s="2194" t="s">
        <v>6353</v>
      </c>
      <c r="F2279" s="2152" t="s">
        <v>2248</v>
      </c>
      <c r="G2279" s="2378">
        <f>19.8*2.8*2*G2277</f>
        <v>0</v>
      </c>
      <c r="H2279" s="2359">
        <v>31625</v>
      </c>
      <c r="I2279" s="2416"/>
      <c r="J2279" s="2359"/>
      <c r="K2279" s="2359">
        <v>0</v>
      </c>
      <c r="L2279" s="2360">
        <f t="shared" ref="L2279:L2303" si="443">H2279*G2279</f>
        <v>0</v>
      </c>
      <c r="M2279" s="2360">
        <f t="shared" ref="M2279:M2286" si="444">I2279*G2279</f>
        <v>0</v>
      </c>
      <c r="N2279" s="2359"/>
      <c r="O2279" s="2360">
        <f t="shared" ref="O2279:O2286" si="445">K2279*G2279</f>
        <v>0</v>
      </c>
      <c r="P2279" s="2449"/>
      <c r="Q2279" s="2266"/>
      <c r="R2279" s="2266"/>
      <c r="S2279" s="2266"/>
    </row>
    <row r="2280" spans="1:19" s="2105" customFormat="1" outlineLevel="1">
      <c r="A2280" s="2182" t="str">
        <f t="shared" si="442"/>
        <v/>
      </c>
      <c r="B2280" s="2252" t="s">
        <v>1137</v>
      </c>
      <c r="C2280" s="2258"/>
      <c r="D2280" s="2152">
        <v>0</v>
      </c>
      <c r="E2280" s="2194" t="s">
        <v>6339</v>
      </c>
      <c r="F2280" s="2152" t="s">
        <v>2248</v>
      </c>
      <c r="G2280" s="2378">
        <f>8.59*0.4*4*G2277</f>
        <v>0</v>
      </c>
      <c r="H2280" s="2359">
        <v>31625</v>
      </c>
      <c r="I2280" s="2416"/>
      <c r="J2280" s="2359"/>
      <c r="K2280" s="2359">
        <v>0</v>
      </c>
      <c r="L2280" s="2360">
        <f t="shared" si="443"/>
        <v>0</v>
      </c>
      <c r="M2280" s="2360">
        <f t="shared" si="444"/>
        <v>0</v>
      </c>
      <c r="N2280" s="2359"/>
      <c r="O2280" s="2360">
        <f t="shared" si="445"/>
        <v>0</v>
      </c>
      <c r="P2280" s="2449"/>
      <c r="Q2280" s="2266"/>
      <c r="R2280" s="2266"/>
      <c r="S2280" s="2266"/>
    </row>
    <row r="2281" spans="1:19" s="2105" customFormat="1" outlineLevel="1">
      <c r="A2281" s="2182" t="str">
        <f t="shared" si="442"/>
        <v/>
      </c>
      <c r="B2281" s="2252" t="s">
        <v>1138</v>
      </c>
      <c r="C2281" s="2258"/>
      <c r="D2281" s="2152">
        <v>0</v>
      </c>
      <c r="E2281" s="2194" t="s">
        <v>6340</v>
      </c>
      <c r="F2281" s="2152" t="s">
        <v>2248</v>
      </c>
      <c r="G2281" s="2378">
        <f>8.59*0.8*2*G2277</f>
        <v>0</v>
      </c>
      <c r="H2281" s="2359">
        <v>31625</v>
      </c>
      <c r="I2281" s="2416"/>
      <c r="J2281" s="2359"/>
      <c r="K2281" s="2359">
        <v>0</v>
      </c>
      <c r="L2281" s="2360">
        <f t="shared" si="443"/>
        <v>0</v>
      </c>
      <c r="M2281" s="2360">
        <f t="shared" si="444"/>
        <v>0</v>
      </c>
      <c r="N2281" s="2359"/>
      <c r="O2281" s="2360">
        <f t="shared" si="445"/>
        <v>0</v>
      </c>
      <c r="P2281" s="2449"/>
      <c r="Q2281" s="2266"/>
      <c r="R2281" s="2266"/>
      <c r="S2281" s="2266"/>
    </row>
    <row r="2282" spans="1:19" s="2105" customFormat="1" outlineLevel="1">
      <c r="A2282" s="2182" t="str">
        <f t="shared" si="442"/>
        <v/>
      </c>
      <c r="B2282" s="2261" t="s">
        <v>1781</v>
      </c>
      <c r="C2282" s="2258"/>
      <c r="D2282" s="2152">
        <v>0</v>
      </c>
      <c r="E2282" s="2194" t="s">
        <v>2662</v>
      </c>
      <c r="F2282" s="2152" t="s">
        <v>2439</v>
      </c>
      <c r="G2282" s="2358">
        <f>G2277*10</f>
        <v>0</v>
      </c>
      <c r="H2282" s="2359">
        <v>34800</v>
      </c>
      <c r="I2282" s="2416"/>
      <c r="J2282" s="2359">
        <v>0</v>
      </c>
      <c r="K2282" s="2359">
        <v>0</v>
      </c>
      <c r="L2282" s="2360">
        <f t="shared" si="443"/>
        <v>0</v>
      </c>
      <c r="M2282" s="2360">
        <f t="shared" si="444"/>
        <v>0</v>
      </c>
      <c r="N2282" s="2360">
        <f>J2282*G2282</f>
        <v>0</v>
      </c>
      <c r="O2282" s="2360">
        <f t="shared" si="445"/>
        <v>0</v>
      </c>
      <c r="P2282" s="2449"/>
      <c r="Q2282" s="2266"/>
      <c r="R2282" s="2266"/>
      <c r="S2282" s="2266"/>
    </row>
    <row r="2283" spans="1:19" s="2105" customFormat="1" outlineLevel="1">
      <c r="A2283" s="2182" t="str">
        <f t="shared" si="442"/>
        <v/>
      </c>
      <c r="B2283" s="2261" t="s">
        <v>1083</v>
      </c>
      <c r="C2283" s="2258"/>
      <c r="D2283" s="2152">
        <v>0</v>
      </c>
      <c r="E2283" s="2194" t="s">
        <v>2652</v>
      </c>
      <c r="F2283" s="2152" t="s">
        <v>2439</v>
      </c>
      <c r="G2283" s="2358">
        <f>G2277*2</f>
        <v>0</v>
      </c>
      <c r="H2283" s="2359">
        <v>29900</v>
      </c>
      <c r="I2283" s="2416"/>
      <c r="J2283" s="2359">
        <v>0</v>
      </c>
      <c r="K2283" s="2359">
        <v>0</v>
      </c>
      <c r="L2283" s="2360">
        <f t="shared" si="443"/>
        <v>0</v>
      </c>
      <c r="M2283" s="2360">
        <f t="shared" si="444"/>
        <v>0</v>
      </c>
      <c r="N2283" s="2360">
        <f>J2283*G2283</f>
        <v>0</v>
      </c>
      <c r="O2283" s="2360">
        <f t="shared" si="445"/>
        <v>0</v>
      </c>
      <c r="P2283" s="2449"/>
      <c r="Q2283" s="2266"/>
      <c r="R2283" s="2266"/>
      <c r="S2283" s="2266"/>
    </row>
    <row r="2284" spans="1:19" s="2105" customFormat="1" outlineLevel="1">
      <c r="A2284" s="2182" t="str">
        <f t="shared" si="442"/>
        <v/>
      </c>
      <c r="B2284" s="2261" t="s">
        <v>1079</v>
      </c>
      <c r="C2284" s="2258"/>
      <c r="D2284" s="2152">
        <v>0</v>
      </c>
      <c r="E2284" s="2194" t="s">
        <v>2651</v>
      </c>
      <c r="F2284" s="2152" t="s">
        <v>2439</v>
      </c>
      <c r="G2284" s="2358">
        <f>G2277*12</f>
        <v>0</v>
      </c>
      <c r="H2284" s="2359">
        <v>27900</v>
      </c>
      <c r="I2284" s="2416"/>
      <c r="J2284" s="2359">
        <v>0</v>
      </c>
      <c r="K2284" s="2359">
        <v>0</v>
      </c>
      <c r="L2284" s="2360">
        <f t="shared" si="443"/>
        <v>0</v>
      </c>
      <c r="M2284" s="2360">
        <f t="shared" si="444"/>
        <v>0</v>
      </c>
      <c r="N2284" s="2360">
        <f>J2284*G2284</f>
        <v>0</v>
      </c>
      <c r="O2284" s="2360">
        <f t="shared" si="445"/>
        <v>0</v>
      </c>
      <c r="P2284" s="2449"/>
      <c r="Q2284" s="2266"/>
      <c r="R2284" s="2266"/>
      <c r="S2284" s="2266"/>
    </row>
    <row r="2285" spans="1:19" s="2105" customFormat="1" outlineLevel="1">
      <c r="A2285" s="2182" t="str">
        <f>IF(G2285&lt;&gt;0,1,"")</f>
        <v/>
      </c>
      <c r="B2285" s="2121" t="s">
        <v>5425</v>
      </c>
      <c r="C2285" s="2258"/>
      <c r="D2285" s="2152" t="s">
        <v>5426</v>
      </c>
      <c r="E2285" s="2194" t="s">
        <v>5427</v>
      </c>
      <c r="F2285" s="2152" t="s">
        <v>2248</v>
      </c>
      <c r="G2285" s="2378">
        <f>SUM(G2279:G2281)</f>
        <v>0</v>
      </c>
      <c r="H2285" s="2359">
        <v>0</v>
      </c>
      <c r="I2285" s="2416"/>
      <c r="J2285" s="2359">
        <v>2025</v>
      </c>
      <c r="K2285" s="2359">
        <v>0</v>
      </c>
      <c r="L2285" s="2360">
        <f>H2285*G2285</f>
        <v>0</v>
      </c>
      <c r="M2285" s="2360">
        <f t="shared" si="444"/>
        <v>0</v>
      </c>
      <c r="N2285" s="2359">
        <v>0</v>
      </c>
      <c r="O2285" s="2360">
        <f t="shared" si="445"/>
        <v>0</v>
      </c>
      <c r="P2285" s="2449"/>
      <c r="Q2285" s="2266"/>
      <c r="R2285" s="2266"/>
      <c r="S2285" s="2266"/>
    </row>
    <row r="2286" spans="1:19" s="2105" customFormat="1" outlineLevel="1">
      <c r="A2286" s="2182" t="str">
        <f>IF(G2286&lt;&gt;0,1,"")</f>
        <v/>
      </c>
      <c r="B2286" s="2252" t="s">
        <v>6218</v>
      </c>
      <c r="C2286" s="2258"/>
      <c r="D2286" s="2152" t="s">
        <v>5378</v>
      </c>
      <c r="E2286" s="2194" t="s">
        <v>5379</v>
      </c>
      <c r="F2286" s="2152" t="s">
        <v>2439</v>
      </c>
      <c r="G2286" s="2269"/>
      <c r="H2286" s="2359">
        <v>0</v>
      </c>
      <c r="I2286" s="2416"/>
      <c r="J2286" s="2359" t="s">
        <v>6344</v>
      </c>
      <c r="K2286" s="2359">
        <v>0</v>
      </c>
      <c r="L2286" s="2360">
        <f>H2286*G2286</f>
        <v>0</v>
      </c>
      <c r="M2286" s="2360">
        <f t="shared" si="444"/>
        <v>0</v>
      </c>
      <c r="N2286" s="2359">
        <v>0</v>
      </c>
      <c r="O2286" s="2360">
        <f t="shared" si="445"/>
        <v>0</v>
      </c>
      <c r="P2286" s="2265"/>
      <c r="Q2286" s="2266"/>
      <c r="R2286" s="2266"/>
      <c r="S2286" s="2266"/>
    </row>
    <row r="2287" spans="1:19" s="2105" customFormat="1" outlineLevel="1">
      <c r="A2287" s="2182" t="str">
        <f>IF(G2287&lt;&gt;0,1,"")</f>
        <v/>
      </c>
      <c r="B2287" s="2261"/>
      <c r="C2287" s="2258">
        <f>IF(G2287&gt;0,C2277+1,C2273)</f>
        <v>0</v>
      </c>
      <c r="D2287" s="2259"/>
      <c r="E2287" s="2417" t="s">
        <v>6219</v>
      </c>
      <c r="F2287" s="2258" t="s">
        <v>2385</v>
      </c>
      <c r="G2287" s="2377">
        <f>+G2243*1</f>
        <v>0</v>
      </c>
      <c r="H2287" s="2416"/>
      <c r="I2287" s="2416"/>
      <c r="J2287" s="2416"/>
      <c r="K2287" s="2416"/>
      <c r="L2287" s="2360">
        <f t="shared" si="443"/>
        <v>0</v>
      </c>
      <c r="M2287" s="2360">
        <f>I2287*G2287</f>
        <v>0</v>
      </c>
      <c r="N2287" s="2360">
        <f>J2287*G2287</f>
        <v>0</v>
      </c>
      <c r="O2287" s="2360">
        <f>K2287*G2287</f>
        <v>0</v>
      </c>
      <c r="P2287" s="2449"/>
      <c r="Q2287" s="2266"/>
      <c r="R2287" s="2266"/>
      <c r="S2287" s="2266"/>
    </row>
    <row r="2288" spans="1:19" s="2105" customFormat="1" ht="14.4" outlineLevel="1">
      <c r="A2288" s="2182" t="str">
        <f>A2287</f>
        <v/>
      </c>
      <c r="B2288" s="2261"/>
      <c r="C2288" s="2258"/>
      <c r="D2288" s="2259"/>
      <c r="E2288" s="2267" t="s">
        <v>6133</v>
      </c>
      <c r="F2288" s="2268"/>
      <c r="G2288" s="2378"/>
      <c r="H2288" s="2416"/>
      <c r="I2288" s="2416"/>
      <c r="J2288" s="2416"/>
      <c r="K2288" s="2416"/>
      <c r="L2288" s="2360">
        <f t="shared" si="443"/>
        <v>0</v>
      </c>
      <c r="M2288" s="2360">
        <f>I2288*G2288</f>
        <v>0</v>
      </c>
      <c r="N2288" s="2360">
        <f>J2288*G2288</f>
        <v>0</v>
      </c>
      <c r="O2288" s="2360">
        <f>K2288*G2288</f>
        <v>0</v>
      </c>
      <c r="P2288" s="2449"/>
      <c r="Q2288" s="2266"/>
      <c r="R2288" s="2266"/>
      <c r="S2288" s="2266"/>
    </row>
    <row r="2289" spans="1:19" s="2105" customFormat="1" outlineLevel="1">
      <c r="A2289" s="2182" t="str">
        <f>IF(G2289&lt;&gt;0,1,"")</f>
        <v/>
      </c>
      <c r="B2289" s="2133" t="s">
        <v>5155</v>
      </c>
      <c r="C2289" s="2258"/>
      <c r="D2289" s="2152">
        <v>0</v>
      </c>
      <c r="E2289" s="2194" t="s">
        <v>5156</v>
      </c>
      <c r="F2289" s="2152" t="s">
        <v>2590</v>
      </c>
      <c r="G2289" s="2358">
        <f>+G2287*1</f>
        <v>0</v>
      </c>
      <c r="H2289" s="2359">
        <v>878000</v>
      </c>
      <c r="I2289" s="2359"/>
      <c r="J2289" s="2359">
        <v>0</v>
      </c>
      <c r="K2289" s="2359">
        <v>0</v>
      </c>
      <c r="L2289" s="2360">
        <f t="shared" si="443"/>
        <v>0</v>
      </c>
      <c r="M2289" s="2360">
        <f>I2289*G2289</f>
        <v>0</v>
      </c>
      <c r="N2289" s="2360">
        <f>J2289*G2289</f>
        <v>0</v>
      </c>
      <c r="O2289" s="2360">
        <f>K2289*G2289</f>
        <v>0</v>
      </c>
      <c r="P2289" s="2449"/>
      <c r="Q2289" s="2266"/>
      <c r="R2289" s="2266"/>
      <c r="S2289" s="2266"/>
    </row>
    <row r="2290" spans="1:19" s="2105" customFormat="1" outlineLevel="1">
      <c r="A2290" s="2182" t="str">
        <f>IF(G2290&lt;&gt;0,1,"")</f>
        <v/>
      </c>
      <c r="B2290" s="2130" t="s">
        <v>488</v>
      </c>
      <c r="C2290" s="2258"/>
      <c r="D2290" s="2152">
        <v>0</v>
      </c>
      <c r="E2290" s="2194" t="s">
        <v>5078</v>
      </c>
      <c r="F2290" s="2152" t="s">
        <v>2439</v>
      </c>
      <c r="G2290" s="2358">
        <f>+G2287*3</f>
        <v>0</v>
      </c>
      <c r="H2290" s="2359">
        <v>65000</v>
      </c>
      <c r="I2290" s="2359">
        <v>0</v>
      </c>
      <c r="J2290" s="2359">
        <v>0</v>
      </c>
      <c r="K2290" s="2359">
        <v>0</v>
      </c>
      <c r="L2290" s="2360">
        <f t="shared" si="443"/>
        <v>0</v>
      </c>
      <c r="M2290" s="2360">
        <f>I2290*G2290</f>
        <v>0</v>
      </c>
      <c r="N2290" s="2360">
        <f>J2290*G2290</f>
        <v>0</v>
      </c>
      <c r="O2290" s="2360">
        <f>K2290*G2290</f>
        <v>0</v>
      </c>
      <c r="P2290" s="2449"/>
      <c r="Q2290" s="2266"/>
      <c r="R2290" s="2266"/>
      <c r="S2290" s="2266"/>
    </row>
    <row r="2291" spans="1:19" s="2105" customFormat="1" outlineLevel="1">
      <c r="A2291" s="2182" t="str">
        <f>IF(G2291&lt;&gt;0,1,"")</f>
        <v/>
      </c>
      <c r="B2291" s="2261" t="s">
        <v>1079</v>
      </c>
      <c r="C2291" s="2258"/>
      <c r="D2291" s="2152">
        <v>0</v>
      </c>
      <c r="E2291" s="2194" t="s">
        <v>2651</v>
      </c>
      <c r="F2291" s="2152" t="s">
        <v>2439</v>
      </c>
      <c r="G2291" s="2358">
        <f>+G2287*2</f>
        <v>0</v>
      </c>
      <c r="H2291" s="2359">
        <v>27900</v>
      </c>
      <c r="I2291" s="2416"/>
      <c r="J2291" s="2359">
        <v>0</v>
      </c>
      <c r="K2291" s="2359">
        <v>0</v>
      </c>
      <c r="L2291" s="2360">
        <f t="shared" si="443"/>
        <v>0</v>
      </c>
      <c r="M2291" s="2360">
        <f>I2291*G2291</f>
        <v>0</v>
      </c>
      <c r="N2291" s="2360">
        <f>J2291*G2291</f>
        <v>0</v>
      </c>
      <c r="O2291" s="2360">
        <f>K2291*G2291</f>
        <v>0</v>
      </c>
      <c r="P2291" s="2449"/>
      <c r="Q2291" s="2266"/>
      <c r="R2291" s="2266"/>
      <c r="S2291" s="2266"/>
    </row>
    <row r="2292" spans="1:19" s="2105" customFormat="1" outlineLevel="1">
      <c r="A2292" s="2182" t="str">
        <f>IF(G2292&lt;&gt;0,1,"")</f>
        <v/>
      </c>
      <c r="B2292" s="2252" t="s">
        <v>6266</v>
      </c>
      <c r="C2292" s="2258"/>
      <c r="D2292" s="2152" t="s">
        <v>5148</v>
      </c>
      <c r="E2292" s="2194" t="s">
        <v>5377</v>
      </c>
      <c r="F2292" s="2152" t="s">
        <v>2439</v>
      </c>
      <c r="G2292" s="2358">
        <f>+G2287</f>
        <v>0</v>
      </c>
      <c r="H2292" s="2264">
        <v>0</v>
      </c>
      <c r="I2292" s="2359"/>
      <c r="J2292" s="2359" t="s">
        <v>6354</v>
      </c>
      <c r="K2292" s="2359"/>
      <c r="L2292" s="2360">
        <f t="shared" si="443"/>
        <v>0</v>
      </c>
      <c r="M2292" s="2360"/>
      <c r="N2292" s="2359">
        <v>0</v>
      </c>
      <c r="O2292" s="2360"/>
      <c r="P2292" s="2449"/>
      <c r="Q2292" s="2266"/>
      <c r="R2292" s="2266"/>
      <c r="S2292" s="2266"/>
    </row>
    <row r="2293" spans="1:19" s="2105" customFormat="1" outlineLevel="1">
      <c r="A2293" s="2182" t="str">
        <f>IF(G2293&lt;&gt;0,1,"")</f>
        <v/>
      </c>
      <c r="B2293" s="2261"/>
      <c r="C2293" s="2258">
        <f>IF(G2293&gt;0,C2277+2,C2277)</f>
        <v>0</v>
      </c>
      <c r="D2293" s="2259"/>
      <c r="E2293" s="2417" t="s">
        <v>4452</v>
      </c>
      <c r="F2293" s="2258" t="s">
        <v>2385</v>
      </c>
      <c r="G2293" s="2377">
        <f>G2243*1</f>
        <v>0</v>
      </c>
      <c r="H2293" s="2416"/>
      <c r="I2293" s="2416"/>
      <c r="J2293" s="2416"/>
      <c r="K2293" s="2416"/>
      <c r="L2293" s="2360">
        <f t="shared" si="443"/>
        <v>0</v>
      </c>
      <c r="M2293" s="2360">
        <f>I2293*G2293</f>
        <v>0</v>
      </c>
      <c r="N2293" s="2360">
        <f>J2293*G2293</f>
        <v>0</v>
      </c>
      <c r="O2293" s="2360">
        <f>K2293*G2293</f>
        <v>0</v>
      </c>
      <c r="P2293" s="2449"/>
      <c r="Q2293" s="2266"/>
      <c r="R2293" s="2266"/>
      <c r="S2293" s="2266"/>
    </row>
    <row r="2294" spans="1:19" s="2105" customFormat="1" ht="14.4" outlineLevel="1">
      <c r="A2294" s="2182" t="str">
        <f>A2293</f>
        <v/>
      </c>
      <c r="B2294" s="2261"/>
      <c r="C2294" s="2258"/>
      <c r="D2294" s="2259"/>
      <c r="E2294" s="2267" t="s">
        <v>6133</v>
      </c>
      <c r="F2294" s="2268"/>
      <c r="G2294" s="2378"/>
      <c r="H2294" s="2416"/>
      <c r="I2294" s="2416"/>
      <c r="J2294" s="2416"/>
      <c r="K2294" s="2416"/>
      <c r="L2294" s="2360">
        <f t="shared" si="443"/>
        <v>0</v>
      </c>
      <c r="M2294" s="2360">
        <f>I2294*G2294</f>
        <v>0</v>
      </c>
      <c r="N2294" s="2360">
        <f>J2294*G2294</f>
        <v>0</v>
      </c>
      <c r="O2294" s="2360">
        <f>K2294*G2294</f>
        <v>0</v>
      </c>
      <c r="P2294" s="2449"/>
      <c r="Q2294" s="2266"/>
      <c r="R2294" s="2266"/>
      <c r="S2294" s="2266"/>
    </row>
    <row r="2295" spans="1:19" s="2105" customFormat="1" outlineLevel="1">
      <c r="A2295" s="2182" t="str">
        <f>IF(G2295&lt;&gt;0,1,"")</f>
        <v/>
      </c>
      <c r="B2295" s="2252" t="s">
        <v>2022</v>
      </c>
      <c r="C2295" s="2258"/>
      <c r="D2295" s="2152">
        <v>0</v>
      </c>
      <c r="E2295" s="2194" t="s">
        <v>2437</v>
      </c>
      <c r="F2295" s="2152" t="s">
        <v>2248</v>
      </c>
      <c r="G2295" s="2378">
        <f>G2293*9.02*(2.6+3*0.07)</f>
        <v>0</v>
      </c>
      <c r="H2295" s="2264">
        <v>31625</v>
      </c>
      <c r="I2295" s="2359"/>
      <c r="J2295" s="2359">
        <v>0</v>
      </c>
      <c r="K2295" s="2359">
        <v>0</v>
      </c>
      <c r="L2295" s="2360">
        <f t="shared" si="443"/>
        <v>0</v>
      </c>
      <c r="M2295" s="2360">
        <f>I2295*G2295</f>
        <v>0</v>
      </c>
      <c r="N2295" s="2360">
        <f>J2295*G2295</f>
        <v>0</v>
      </c>
      <c r="O2295" s="2360">
        <f>K2295*G2295</f>
        <v>0</v>
      </c>
      <c r="P2295" s="2449"/>
      <c r="Q2295" s="2266"/>
      <c r="R2295" s="2266"/>
      <c r="S2295" s="2266"/>
    </row>
    <row r="2296" spans="1:19" s="2105" customFormat="1" outlineLevel="1">
      <c r="A2296" s="2182" t="str">
        <f>IF(G2296&lt;&gt;0,1,"")</f>
        <v/>
      </c>
      <c r="B2296" s="2261" t="s">
        <v>1610</v>
      </c>
      <c r="C2296" s="2258"/>
      <c r="D2296" s="2152">
        <v>0</v>
      </c>
      <c r="E2296" s="2194" t="s">
        <v>2649</v>
      </c>
      <c r="F2296" s="2152" t="s">
        <v>2439</v>
      </c>
      <c r="G2296" s="2358">
        <f>G2293*2</f>
        <v>0</v>
      </c>
      <c r="H2296" s="2264">
        <v>25400</v>
      </c>
      <c r="I2296" s="2359">
        <v>0</v>
      </c>
      <c r="J2296" s="2359">
        <v>0</v>
      </c>
      <c r="K2296" s="2359">
        <v>0</v>
      </c>
      <c r="L2296" s="2360">
        <f t="shared" si="443"/>
        <v>0</v>
      </c>
      <c r="M2296" s="2360">
        <f>I2296*G2296</f>
        <v>0</v>
      </c>
      <c r="N2296" s="2360">
        <f>J2296*G2296</f>
        <v>0</v>
      </c>
      <c r="O2296" s="2360">
        <f>K2296*G2296</f>
        <v>0</v>
      </c>
      <c r="P2296" s="2449"/>
      <c r="Q2296" s="2266"/>
      <c r="R2296" s="2266"/>
      <c r="S2296" s="2266"/>
    </row>
    <row r="2297" spans="1:19" s="2105" customFormat="1" outlineLevel="1">
      <c r="A2297" s="2182" t="str">
        <f>IF(G2297&lt;&gt;0,1,"")</f>
        <v/>
      </c>
      <c r="B2297" s="2121" t="s">
        <v>5425</v>
      </c>
      <c r="C2297" s="2258"/>
      <c r="D2297" s="2152" t="s">
        <v>5426</v>
      </c>
      <c r="E2297" s="2194" t="s">
        <v>5427</v>
      </c>
      <c r="F2297" s="2152" t="s">
        <v>2248</v>
      </c>
      <c r="G2297" s="2378">
        <f>G2295</f>
        <v>0</v>
      </c>
      <c r="H2297" s="2264"/>
      <c r="I2297" s="2359"/>
      <c r="J2297" s="2359">
        <v>2025</v>
      </c>
      <c r="K2297" s="2359"/>
      <c r="L2297" s="2360">
        <f t="shared" si="443"/>
        <v>0</v>
      </c>
      <c r="M2297" s="2360"/>
      <c r="N2297" s="2359">
        <v>0</v>
      </c>
      <c r="O2297" s="2360"/>
      <c r="P2297" s="2449"/>
      <c r="Q2297" s="2266"/>
      <c r="R2297" s="2266"/>
      <c r="S2297" s="2266"/>
    </row>
    <row r="2298" spans="1:19" s="2105" customFormat="1" outlineLevel="1">
      <c r="A2298" s="2182" t="str">
        <f>IF(G2298&lt;&gt;0,1,"")</f>
        <v/>
      </c>
      <c r="B2298" s="2261"/>
      <c r="C2298" s="2258">
        <f>IF(G2298&gt;0,C2293+1,C2293)</f>
        <v>0</v>
      </c>
      <c r="D2298" s="2259"/>
      <c r="E2298" s="2417" t="s">
        <v>6221</v>
      </c>
      <c r="F2298" s="2258" t="s">
        <v>2385</v>
      </c>
      <c r="G2298" s="2263">
        <f>G2243*2*0</f>
        <v>0</v>
      </c>
      <c r="H2298" s="2416"/>
      <c r="I2298" s="2416"/>
      <c r="J2298" s="2416"/>
      <c r="K2298" s="2416"/>
      <c r="L2298" s="2360">
        <f t="shared" si="443"/>
        <v>0</v>
      </c>
      <c r="M2298" s="2360">
        <f>I2298*G2298</f>
        <v>0</v>
      </c>
      <c r="N2298" s="2360">
        <f>J2298*G2298</f>
        <v>0</v>
      </c>
      <c r="O2298" s="2360">
        <f>K2298*G2298</f>
        <v>0</v>
      </c>
      <c r="P2298" s="2265"/>
      <c r="Q2298" s="2266"/>
      <c r="R2298" s="2266"/>
      <c r="S2298" s="2266"/>
    </row>
    <row r="2299" spans="1:19" s="2105" customFormat="1" ht="14.4" outlineLevel="1">
      <c r="A2299" s="2182" t="str">
        <f>A2298</f>
        <v/>
      </c>
      <c r="B2299" s="2261"/>
      <c r="C2299" s="2258"/>
      <c r="D2299" s="2259"/>
      <c r="E2299" s="2267" t="s">
        <v>6133</v>
      </c>
      <c r="F2299" s="2268"/>
      <c r="G2299" s="2269"/>
      <c r="H2299" s="2416"/>
      <c r="I2299" s="2416"/>
      <c r="J2299" s="2416"/>
      <c r="K2299" s="2416"/>
      <c r="L2299" s="2360">
        <f t="shared" si="443"/>
        <v>0</v>
      </c>
      <c r="M2299" s="2360">
        <f>I2299*G2299</f>
        <v>0</v>
      </c>
      <c r="N2299" s="2360">
        <f>J2299*G2299</f>
        <v>0</v>
      </c>
      <c r="O2299" s="2360">
        <f>K2299*G2299</f>
        <v>0</v>
      </c>
      <c r="P2299" s="2265"/>
      <c r="Q2299" s="2266"/>
      <c r="R2299" s="2266"/>
      <c r="S2299" s="2266"/>
    </row>
    <row r="2300" spans="1:19" s="2105" customFormat="1" outlineLevel="1">
      <c r="A2300" s="2182" t="str">
        <f>IF(G2300&lt;&gt;0,1,"")</f>
        <v/>
      </c>
      <c r="B2300" s="2261" t="s">
        <v>2022</v>
      </c>
      <c r="C2300" s="2258"/>
      <c r="D2300" s="2152">
        <v>0</v>
      </c>
      <c r="E2300" s="2194" t="s">
        <v>2437</v>
      </c>
      <c r="F2300" s="2152" t="s">
        <v>2248</v>
      </c>
      <c r="G2300" s="2270">
        <f>G2298*9.02*2.6</f>
        <v>0</v>
      </c>
      <c r="H2300" s="2264">
        <v>31625</v>
      </c>
      <c r="I2300" s="2359"/>
      <c r="J2300" s="2359">
        <v>0</v>
      </c>
      <c r="K2300" s="2359"/>
      <c r="L2300" s="2360">
        <f t="shared" si="443"/>
        <v>0</v>
      </c>
      <c r="M2300" s="2360"/>
      <c r="N2300" s="2360"/>
      <c r="O2300" s="2360"/>
      <c r="P2300" s="2265"/>
      <c r="Q2300" s="2266"/>
      <c r="R2300" s="2266"/>
      <c r="S2300" s="2266"/>
    </row>
    <row r="2301" spans="1:19" s="2105" customFormat="1" outlineLevel="1">
      <c r="A2301" s="2182" t="str">
        <f>IF(G2301&lt;&gt;0,1,"")</f>
        <v/>
      </c>
      <c r="B2301" s="2261" t="s">
        <v>1083</v>
      </c>
      <c r="C2301" s="2258"/>
      <c r="D2301" s="2152">
        <v>0</v>
      </c>
      <c r="E2301" s="2194" t="s">
        <v>2652</v>
      </c>
      <c r="F2301" s="2152" t="s">
        <v>2439</v>
      </c>
      <c r="G2301" s="2269">
        <f>G2298*2</f>
        <v>0</v>
      </c>
      <c r="H2301" s="2264">
        <v>29900</v>
      </c>
      <c r="I2301" s="2359">
        <v>0</v>
      </c>
      <c r="J2301" s="2359">
        <v>0</v>
      </c>
      <c r="K2301" s="2359"/>
      <c r="L2301" s="2360">
        <f t="shared" si="443"/>
        <v>0</v>
      </c>
      <c r="M2301" s="2360"/>
      <c r="N2301" s="2360"/>
      <c r="O2301" s="2360"/>
      <c r="P2301" s="2265"/>
      <c r="Q2301" s="2266"/>
      <c r="R2301" s="2266"/>
      <c r="S2301" s="2266"/>
    </row>
    <row r="2302" spans="1:19" s="2105" customFormat="1" outlineLevel="1">
      <c r="A2302" s="2182" t="str">
        <f>IF(G2302&lt;&gt;0,1,"")</f>
        <v/>
      </c>
      <c r="B2302" s="2261" t="s">
        <v>138</v>
      </c>
      <c r="C2302" s="2258"/>
      <c r="D2302" s="2152">
        <v>0</v>
      </c>
      <c r="E2302" s="2194" t="s">
        <v>2627</v>
      </c>
      <c r="F2302" s="2152" t="s">
        <v>2439</v>
      </c>
      <c r="G2302" s="2269">
        <f>G2298*2</f>
        <v>0</v>
      </c>
      <c r="H2302" s="2264">
        <v>8500</v>
      </c>
      <c r="I2302" s="2359">
        <v>0</v>
      </c>
      <c r="J2302" s="2359">
        <v>0</v>
      </c>
      <c r="K2302" s="2359"/>
      <c r="L2302" s="2360">
        <f t="shared" si="443"/>
        <v>0</v>
      </c>
      <c r="M2302" s="2360"/>
      <c r="N2302" s="2360"/>
      <c r="O2302" s="2360"/>
      <c r="P2302" s="2265"/>
      <c r="Q2302" s="2266"/>
      <c r="R2302" s="2266"/>
      <c r="S2302" s="2266"/>
    </row>
    <row r="2303" spans="1:19" s="2105" customFormat="1" outlineLevel="1">
      <c r="A2303" s="2182" t="str">
        <f>IF(G2303&lt;&gt;0,1,"")</f>
        <v/>
      </c>
      <c r="B2303" s="2121" t="s">
        <v>5425</v>
      </c>
      <c r="C2303" s="2258"/>
      <c r="D2303" s="2152" t="s">
        <v>5426</v>
      </c>
      <c r="E2303" s="2194" t="s">
        <v>5427</v>
      </c>
      <c r="F2303" s="2152" t="s">
        <v>2248</v>
      </c>
      <c r="G2303" s="2269">
        <f>G2300</f>
        <v>0</v>
      </c>
      <c r="H2303" s="2264"/>
      <c r="I2303" s="2359"/>
      <c r="J2303" s="2359">
        <v>2025</v>
      </c>
      <c r="K2303" s="2359"/>
      <c r="L2303" s="2360">
        <f t="shared" si="443"/>
        <v>0</v>
      </c>
      <c r="M2303" s="2360"/>
      <c r="N2303" s="2359">
        <v>0</v>
      </c>
      <c r="O2303" s="2360"/>
      <c r="P2303" s="2265"/>
      <c r="Q2303" s="2266"/>
      <c r="R2303" s="2266"/>
      <c r="S2303" s="2266"/>
    </row>
    <row r="2304" spans="1:19" s="2105" customFormat="1" outlineLevel="1">
      <c r="A2304" s="2182" t="str">
        <f>IF(G2304&lt;&gt;0,1,"")</f>
        <v/>
      </c>
      <c r="B2304" s="2261"/>
      <c r="C2304" s="2258">
        <f>IF(G2304&gt;0,C2298+1,C2298)</f>
        <v>0</v>
      </c>
      <c r="D2304" s="2259"/>
      <c r="E2304" s="2417" t="s">
        <v>3720</v>
      </c>
      <c r="F2304" s="2258" t="s">
        <v>2385</v>
      </c>
      <c r="G2304" s="2377">
        <f>G2243</f>
        <v>0</v>
      </c>
      <c r="H2304" s="2264"/>
      <c r="I2304" s="2264"/>
      <c r="J2304" s="2264"/>
      <c r="K2304" s="2264"/>
      <c r="L2304" s="2264">
        <f>H2304*G2304</f>
        <v>0</v>
      </c>
      <c r="M2304" s="2264">
        <f>I2304*G2304</f>
        <v>0</v>
      </c>
      <c r="N2304" s="2264">
        <f>J2304*G2304</f>
        <v>0</v>
      </c>
      <c r="O2304" s="2264">
        <f>K2304*G2304</f>
        <v>0</v>
      </c>
      <c r="P2304" s="2441"/>
      <c r="Q2304" s="2266"/>
      <c r="R2304" s="2266"/>
      <c r="S2304" s="2266"/>
    </row>
    <row r="2305" spans="1:19" s="2105" customFormat="1" ht="14.4" outlineLevel="1">
      <c r="A2305" s="2182" t="str">
        <f>+A2304</f>
        <v/>
      </c>
      <c r="B2305" s="2418"/>
      <c r="C2305" s="2258"/>
      <c r="D2305" s="2259"/>
      <c r="E2305" s="2267" t="s">
        <v>6133</v>
      </c>
      <c r="F2305" s="2268"/>
      <c r="G2305" s="2378"/>
      <c r="H2305" s="2264"/>
      <c r="I2305" s="2264"/>
      <c r="J2305" s="2264"/>
      <c r="K2305" s="2264"/>
      <c r="L2305" s="2264">
        <f>H2305*G2305</f>
        <v>0</v>
      </c>
      <c r="M2305" s="2264">
        <f>I2305*G2305</f>
        <v>0</v>
      </c>
      <c r="N2305" s="2264">
        <f>J2305*G2305</f>
        <v>0</v>
      </c>
      <c r="O2305" s="2264">
        <f>K2305*G2305</f>
        <v>0</v>
      </c>
      <c r="P2305" s="2441"/>
      <c r="Q2305" s="2266"/>
      <c r="R2305" s="2266"/>
      <c r="S2305" s="2266"/>
    </row>
    <row r="2306" spans="1:19" s="2105" customFormat="1" outlineLevel="1">
      <c r="A2306" s="2182" t="str">
        <f t="shared" ref="A2306:A2322" si="446">IF(G2306&lt;&gt;0,1,"")</f>
        <v/>
      </c>
      <c r="B2306" s="2261" t="s">
        <v>1033</v>
      </c>
      <c r="C2306" s="2258"/>
      <c r="D2306" s="2152">
        <v>0</v>
      </c>
      <c r="E2306" s="2194" t="s">
        <v>2700</v>
      </c>
      <c r="F2306" s="2152" t="s">
        <v>2248</v>
      </c>
      <c r="G2306" s="2378">
        <f>($H$3+20)*0.224*G2304</f>
        <v>0</v>
      </c>
      <c r="H2306" s="2264">
        <v>255500</v>
      </c>
      <c r="I2306" s="2264"/>
      <c r="J2306" s="2264">
        <v>0</v>
      </c>
      <c r="K2306" s="2264">
        <v>0</v>
      </c>
      <c r="L2306" s="2264">
        <f t="shared" ref="L2306:L2314" si="447">H2306*G2306</f>
        <v>0</v>
      </c>
      <c r="M2306" s="2264">
        <f t="shared" ref="M2306:M2314" si="448">I2306*G2306</f>
        <v>0</v>
      </c>
      <c r="N2306" s="2264">
        <f t="shared" ref="N2306:N2314" si="449">J2306*G2306</f>
        <v>0</v>
      </c>
      <c r="O2306" s="2264">
        <f t="shared" ref="O2306:O2314" si="450">K2306*G2306</f>
        <v>0</v>
      </c>
      <c r="P2306" s="2441"/>
      <c r="Q2306" s="2266"/>
      <c r="R2306" s="2266"/>
      <c r="S2306" s="2266"/>
    </row>
    <row r="2307" spans="1:19" s="2105" customFormat="1" outlineLevel="1">
      <c r="A2307" s="2182" t="str">
        <f t="shared" si="446"/>
        <v/>
      </c>
      <c r="B2307" s="2261" t="s">
        <v>1508</v>
      </c>
      <c r="C2307" s="2258"/>
      <c r="D2307" s="2152">
        <v>0</v>
      </c>
      <c r="E2307" s="2194" t="s">
        <v>5163</v>
      </c>
      <c r="F2307" s="2152" t="s">
        <v>2439</v>
      </c>
      <c r="G2307" s="2358">
        <f>$H$2*G2304</f>
        <v>0</v>
      </c>
      <c r="H2307" s="2264">
        <v>160000</v>
      </c>
      <c r="I2307" s="2264"/>
      <c r="J2307" s="2264">
        <v>0</v>
      </c>
      <c r="K2307" s="2264">
        <v>0</v>
      </c>
      <c r="L2307" s="2264">
        <f t="shared" si="447"/>
        <v>0</v>
      </c>
      <c r="M2307" s="2264">
        <f t="shared" si="448"/>
        <v>0</v>
      </c>
      <c r="N2307" s="2264">
        <f t="shared" si="449"/>
        <v>0</v>
      </c>
      <c r="O2307" s="2264">
        <f t="shared" si="450"/>
        <v>0</v>
      </c>
      <c r="P2307" s="2441"/>
      <c r="Q2307" s="2266"/>
      <c r="R2307" s="2266"/>
      <c r="S2307" s="2266"/>
    </row>
    <row r="2308" spans="1:19" s="2105" customFormat="1" outlineLevel="1">
      <c r="A2308" s="2182" t="str">
        <f t="shared" si="446"/>
        <v/>
      </c>
      <c r="B2308" s="2261" t="s">
        <v>1490</v>
      </c>
      <c r="C2308" s="2258"/>
      <c r="D2308" s="2152">
        <v>0</v>
      </c>
      <c r="E2308" s="2194" t="s">
        <v>3536</v>
      </c>
      <c r="F2308" s="2152" t="s">
        <v>1823</v>
      </c>
      <c r="G2308" s="2378">
        <f>G2304*8*0</f>
        <v>0</v>
      </c>
      <c r="H2308" s="2264">
        <v>6200</v>
      </c>
      <c r="I2308" s="2264"/>
      <c r="J2308" s="2264">
        <v>0</v>
      </c>
      <c r="K2308" s="2264">
        <v>0</v>
      </c>
      <c r="L2308" s="2264">
        <f t="shared" si="447"/>
        <v>0</v>
      </c>
      <c r="M2308" s="2264">
        <f t="shared" si="448"/>
        <v>0</v>
      </c>
      <c r="N2308" s="2264">
        <f t="shared" si="449"/>
        <v>0</v>
      </c>
      <c r="O2308" s="2264">
        <f t="shared" si="450"/>
        <v>0</v>
      </c>
      <c r="P2308" s="2441"/>
      <c r="Q2308" s="2266"/>
      <c r="R2308" s="2266"/>
      <c r="S2308" s="2266"/>
    </row>
    <row r="2309" spans="1:19" s="2105" customFormat="1" outlineLevel="1">
      <c r="A2309" s="2182" t="str">
        <f t="shared" si="446"/>
        <v/>
      </c>
      <c r="B2309" s="2261" t="s">
        <v>1579</v>
      </c>
      <c r="C2309" s="2258"/>
      <c r="D2309" s="2152">
        <v>0</v>
      </c>
      <c r="E2309" s="2194" t="s">
        <v>2873</v>
      </c>
      <c r="F2309" s="2152" t="s">
        <v>2555</v>
      </c>
      <c r="G2309" s="2358">
        <f>2*G2304</f>
        <v>0</v>
      </c>
      <c r="H2309" s="2264">
        <v>8000</v>
      </c>
      <c r="I2309" s="2264"/>
      <c r="J2309" s="2264">
        <v>0</v>
      </c>
      <c r="K2309" s="2264">
        <v>0</v>
      </c>
      <c r="L2309" s="2264">
        <f t="shared" si="447"/>
        <v>0</v>
      </c>
      <c r="M2309" s="2264">
        <f t="shared" si="448"/>
        <v>0</v>
      </c>
      <c r="N2309" s="2264">
        <f t="shared" si="449"/>
        <v>0</v>
      </c>
      <c r="O2309" s="2264">
        <f t="shared" si="450"/>
        <v>0</v>
      </c>
      <c r="P2309" s="2441"/>
      <c r="Q2309" s="2266"/>
      <c r="R2309" s="2266"/>
      <c r="S2309" s="2266"/>
    </row>
    <row r="2310" spans="1:19" s="2105" customFormat="1" outlineLevel="1">
      <c r="A2310" s="2182" t="str">
        <f>IF(G2310&lt;&gt;0,1,"")</f>
        <v/>
      </c>
      <c r="B2310" s="2261" t="s">
        <v>6208</v>
      </c>
      <c r="C2310" s="2258"/>
      <c r="D2310" s="2152" t="s">
        <v>5725</v>
      </c>
      <c r="E2310" s="2194" t="s">
        <v>3479</v>
      </c>
      <c r="F2310" s="2152" t="s">
        <v>2555</v>
      </c>
      <c r="G2310" s="2358">
        <f>G2304*14</f>
        <v>0</v>
      </c>
      <c r="H2310" s="2264">
        <v>9100</v>
      </c>
      <c r="I2310" s="2264"/>
      <c r="J2310" s="2264">
        <v>10608.955000000002</v>
      </c>
      <c r="K2310" s="2264">
        <v>2777.0232475000003</v>
      </c>
      <c r="L2310" s="2264">
        <f>H2310*G2310</f>
        <v>0</v>
      </c>
      <c r="M2310" s="2264">
        <f>I2310*G2310</f>
        <v>0</v>
      </c>
      <c r="N2310" s="2264">
        <f>J2310*G2310</f>
        <v>0</v>
      </c>
      <c r="O2310" s="2264">
        <f>K2310*G2310</f>
        <v>0</v>
      </c>
      <c r="P2310" s="2441"/>
      <c r="Q2310" s="2266"/>
      <c r="R2310" s="2266"/>
      <c r="S2310" s="2266"/>
    </row>
    <row r="2311" spans="1:19" s="2105" customFormat="1" outlineLevel="1">
      <c r="A2311" s="2182" t="str">
        <f t="shared" si="446"/>
        <v/>
      </c>
      <c r="B2311" s="2261" t="s">
        <v>816</v>
      </c>
      <c r="C2311" s="2258"/>
      <c r="D2311" s="2152">
        <v>0</v>
      </c>
      <c r="E2311" s="2194" t="s">
        <v>3581</v>
      </c>
      <c r="F2311" s="2152" t="s">
        <v>2555</v>
      </c>
      <c r="G2311" s="2358">
        <f>IF(G2308&lt;=12,15,21)*G2304</f>
        <v>0</v>
      </c>
      <c r="H2311" s="2264">
        <v>17600</v>
      </c>
      <c r="I2311" s="2264"/>
      <c r="J2311" s="2264">
        <v>0</v>
      </c>
      <c r="K2311" s="2264">
        <v>0</v>
      </c>
      <c r="L2311" s="2264">
        <f t="shared" si="447"/>
        <v>0</v>
      </c>
      <c r="M2311" s="2264">
        <f t="shared" si="448"/>
        <v>0</v>
      </c>
      <c r="N2311" s="2264">
        <f t="shared" si="449"/>
        <v>0</v>
      </c>
      <c r="O2311" s="2264">
        <f t="shared" si="450"/>
        <v>0</v>
      </c>
      <c r="P2311" s="2441"/>
      <c r="Q2311" s="2266"/>
      <c r="R2311" s="2266"/>
      <c r="S2311" s="2266"/>
    </row>
    <row r="2312" spans="1:19" s="2105" customFormat="1" outlineLevel="1">
      <c r="A2312" s="2182" t="str">
        <f t="shared" si="446"/>
        <v/>
      </c>
      <c r="B2312" s="2261" t="s">
        <v>525</v>
      </c>
      <c r="C2312" s="2258"/>
      <c r="D2312" s="2152">
        <v>0</v>
      </c>
      <c r="E2312" s="2194" t="s">
        <v>5252</v>
      </c>
      <c r="F2312" s="2152" t="s">
        <v>2439</v>
      </c>
      <c r="G2312" s="2378">
        <f>+G2304*4*0</f>
        <v>0</v>
      </c>
      <c r="H2312" s="2264">
        <v>43000</v>
      </c>
      <c r="I2312" s="2264"/>
      <c r="J2312" s="2264">
        <v>0</v>
      </c>
      <c r="K2312" s="2264">
        <v>0</v>
      </c>
      <c r="L2312" s="2264">
        <f t="shared" si="447"/>
        <v>0</v>
      </c>
      <c r="M2312" s="2264">
        <f t="shared" si="448"/>
        <v>0</v>
      </c>
      <c r="N2312" s="2264">
        <f t="shared" si="449"/>
        <v>0</v>
      </c>
      <c r="O2312" s="2264">
        <f t="shared" si="450"/>
        <v>0</v>
      </c>
      <c r="P2312" s="2441"/>
      <c r="Q2312" s="2266"/>
      <c r="R2312" s="2266"/>
      <c r="S2312" s="2266"/>
    </row>
    <row r="2313" spans="1:19" s="2105" customFormat="1" outlineLevel="1">
      <c r="A2313" s="2182" t="str">
        <f t="shared" si="446"/>
        <v/>
      </c>
      <c r="B2313" s="2261" t="s">
        <v>1585</v>
      </c>
      <c r="C2313" s="2258"/>
      <c r="D2313" s="2152">
        <v>0</v>
      </c>
      <c r="E2313" s="2194" t="s">
        <v>5713</v>
      </c>
      <c r="F2313" s="2152" t="s">
        <v>3445</v>
      </c>
      <c r="G2313" s="2358">
        <f>G2304*2</f>
        <v>0</v>
      </c>
      <c r="H2313" s="2264">
        <v>0</v>
      </c>
      <c r="I2313" s="2264"/>
      <c r="J2313" s="2264">
        <v>1500000</v>
      </c>
      <c r="K2313" s="2264">
        <v>0</v>
      </c>
      <c r="L2313" s="2264">
        <f t="shared" si="447"/>
        <v>0</v>
      </c>
      <c r="M2313" s="2264">
        <f t="shared" si="448"/>
        <v>0</v>
      </c>
      <c r="N2313" s="2264">
        <f t="shared" si="449"/>
        <v>0</v>
      </c>
      <c r="O2313" s="2264">
        <f t="shared" si="450"/>
        <v>0</v>
      </c>
      <c r="P2313" s="2441"/>
      <c r="Q2313" s="2266"/>
      <c r="R2313" s="2266"/>
      <c r="S2313" s="2266"/>
    </row>
    <row r="2314" spans="1:19" s="2105" customFormat="1" outlineLevel="1">
      <c r="A2314" s="2182" t="str">
        <f t="shared" si="446"/>
        <v/>
      </c>
      <c r="B2314" s="2261" t="s">
        <v>5164</v>
      </c>
      <c r="C2314" s="2258"/>
      <c r="D2314" s="2152">
        <v>0</v>
      </c>
      <c r="E2314" s="2194" t="s">
        <v>5165</v>
      </c>
      <c r="F2314" s="2152" t="s">
        <v>2248</v>
      </c>
      <c r="G2314" s="2358">
        <f>5*16*G2313</f>
        <v>0</v>
      </c>
      <c r="H2314" s="2264">
        <v>31625</v>
      </c>
      <c r="I2314" s="2264"/>
      <c r="J2314" s="2264">
        <v>0</v>
      </c>
      <c r="K2314" s="2264">
        <v>0</v>
      </c>
      <c r="L2314" s="2264">
        <f t="shared" si="447"/>
        <v>0</v>
      </c>
      <c r="M2314" s="2264">
        <f t="shared" si="448"/>
        <v>0</v>
      </c>
      <c r="N2314" s="2264">
        <f t="shared" si="449"/>
        <v>0</v>
      </c>
      <c r="O2314" s="2264">
        <f t="shared" si="450"/>
        <v>0</v>
      </c>
      <c r="P2314" s="2441"/>
      <c r="Q2314" s="2266"/>
      <c r="R2314" s="2266"/>
      <c r="S2314" s="2266"/>
    </row>
    <row r="2315" spans="1:19" s="2105" customFormat="1" outlineLevel="1">
      <c r="A2315" s="2182" t="str">
        <f t="shared" si="446"/>
        <v/>
      </c>
      <c r="B2315" s="2261" t="s">
        <v>5168</v>
      </c>
      <c r="C2315" s="2258"/>
      <c r="D2315" s="2152" t="s">
        <v>5169</v>
      </c>
      <c r="E2315" s="2194" t="s">
        <v>5170</v>
      </c>
      <c r="F2315" s="2152" t="s">
        <v>5171</v>
      </c>
      <c r="G2315" s="2358">
        <f>G2304*4*G2313</f>
        <v>0</v>
      </c>
      <c r="H2315" s="2264">
        <v>0</v>
      </c>
      <c r="I2315" s="2264"/>
      <c r="J2315" s="2264">
        <v>55638</v>
      </c>
      <c r="K2315" s="2264">
        <v>134918</v>
      </c>
      <c r="L2315" s="2264">
        <f>H2315*G2315</f>
        <v>0</v>
      </c>
      <c r="M2315" s="2264">
        <f>I2315*G2315</f>
        <v>0</v>
      </c>
      <c r="N2315" s="2264">
        <f>J2315*G2315</f>
        <v>0</v>
      </c>
      <c r="O2315" s="2264">
        <f>K2315*G2315</f>
        <v>0</v>
      </c>
      <c r="P2315" s="2441"/>
      <c r="Q2315" s="2266"/>
      <c r="R2315" s="2266"/>
      <c r="S2315" s="2266"/>
    </row>
    <row r="2316" spans="1:19" s="2105" customFormat="1" outlineLevel="1">
      <c r="A2316" s="2182"/>
      <c r="B2316" s="2252"/>
      <c r="C2316" s="2258"/>
      <c r="D2316" s="2152"/>
      <c r="E2316" s="2194"/>
      <c r="F2316" s="2152"/>
      <c r="G2316" s="2378"/>
      <c r="H2316" s="2264"/>
      <c r="I2316" s="2264"/>
      <c r="J2316" s="2264"/>
      <c r="K2316" s="2264"/>
      <c r="L2316" s="2264"/>
      <c r="M2316" s="2264"/>
      <c r="N2316" s="2264"/>
      <c r="O2316" s="2264"/>
      <c r="P2316" s="2389"/>
      <c r="Q2316" s="2266"/>
      <c r="R2316" s="2266"/>
      <c r="S2316" s="2266"/>
    </row>
    <row r="2317" spans="1:19" s="2105" customFormat="1" outlineLevel="1">
      <c r="A2317" s="2182" t="str">
        <f t="shared" si="446"/>
        <v/>
      </c>
      <c r="B2317" s="2252" t="s">
        <v>5175</v>
      </c>
      <c r="C2317" s="2258"/>
      <c r="D2317" s="2152">
        <v>0</v>
      </c>
      <c r="E2317" s="2194" t="s">
        <v>5176</v>
      </c>
      <c r="F2317" s="2152" t="s">
        <v>5174</v>
      </c>
      <c r="G2317" s="2358">
        <f>G2304*6</f>
        <v>0</v>
      </c>
      <c r="H2317" s="2264">
        <v>38105</v>
      </c>
      <c r="I2317" s="2264"/>
      <c r="J2317" s="2264">
        <v>0</v>
      </c>
      <c r="K2317" s="2264">
        <v>0</v>
      </c>
      <c r="L2317" s="2264">
        <f>H2317*G2317</f>
        <v>0</v>
      </c>
      <c r="M2317" s="2264">
        <f>I2317*G2317</f>
        <v>0</v>
      </c>
      <c r="N2317" s="2264">
        <f>J2317*G2317</f>
        <v>0</v>
      </c>
      <c r="O2317" s="2264">
        <f>K2317*G2317</f>
        <v>0</v>
      </c>
      <c r="P2317" s="2449"/>
      <c r="Q2317" s="2266"/>
      <c r="R2317" s="2266"/>
      <c r="S2317" s="2266"/>
    </row>
    <row r="2318" spans="1:19" s="2105" customFormat="1" outlineLevel="1">
      <c r="A2318" s="2182"/>
      <c r="B2318" s="2261"/>
      <c r="C2318" s="2258"/>
      <c r="D2318" s="2152"/>
      <c r="E2318" s="2194"/>
      <c r="F2318" s="2152"/>
      <c r="G2318" s="2378"/>
      <c r="H2318" s="2264"/>
      <c r="I2318" s="2264"/>
      <c r="J2318" s="2264"/>
      <c r="K2318" s="2264"/>
      <c r="L2318" s="2264"/>
      <c r="M2318" s="2264"/>
      <c r="N2318" s="2264"/>
      <c r="O2318" s="2264"/>
      <c r="P2318" s="2389"/>
      <c r="Q2318" s="2266"/>
      <c r="R2318" s="2266"/>
      <c r="S2318" s="2266"/>
    </row>
    <row r="2319" spans="1:19" s="2105" customFormat="1" outlineLevel="1">
      <c r="A2319" s="2182" t="str">
        <f t="shared" si="446"/>
        <v/>
      </c>
      <c r="B2319" s="2261" t="s">
        <v>5179</v>
      </c>
      <c r="C2319" s="2419"/>
      <c r="D2319" s="2152">
        <v>0</v>
      </c>
      <c r="E2319" s="2194" t="s">
        <v>5180</v>
      </c>
      <c r="F2319" s="2152" t="s">
        <v>5174</v>
      </c>
      <c r="G2319" s="2358">
        <f>G2304*2</f>
        <v>0</v>
      </c>
      <c r="H2319" s="2264">
        <v>53008</v>
      </c>
      <c r="I2319" s="2264"/>
      <c r="J2319" s="2264">
        <v>0</v>
      </c>
      <c r="K2319" s="2264"/>
      <c r="L2319" s="2264">
        <f>H2319*G2319</f>
        <v>0</v>
      </c>
      <c r="M2319" s="2264">
        <f>I2319*G2319</f>
        <v>0</v>
      </c>
      <c r="N2319" s="2264">
        <f>J2319*G2319</f>
        <v>0</v>
      </c>
      <c r="O2319" s="2264">
        <f>K2319*G2319</f>
        <v>0</v>
      </c>
      <c r="P2319" s="2441"/>
      <c r="Q2319" s="2266"/>
      <c r="R2319" s="2266"/>
      <c r="S2319" s="2266"/>
    </row>
    <row r="2320" spans="1:19" s="2105" customFormat="1" outlineLevel="1">
      <c r="A2320" s="2182" t="str">
        <f>IF(G2320&lt;&gt;0,1,"")</f>
        <v/>
      </c>
      <c r="B2320" s="2261" t="s">
        <v>6234</v>
      </c>
      <c r="C2320" s="2419"/>
      <c r="D2320" s="2152">
        <v>0</v>
      </c>
      <c r="E2320" s="2194" t="s">
        <v>5051</v>
      </c>
      <c r="F2320" s="2152" t="s">
        <v>2439</v>
      </c>
      <c r="G2320" s="2358">
        <f>G2304*20</f>
        <v>0</v>
      </c>
      <c r="H2320" s="2264">
        <v>8400</v>
      </c>
      <c r="I2320" s="2264"/>
      <c r="J2320" s="2264">
        <v>0</v>
      </c>
      <c r="K2320" s="2264"/>
      <c r="L2320" s="2264">
        <f>H2320*G2320</f>
        <v>0</v>
      </c>
      <c r="M2320" s="2264">
        <f>I2320*G2320</f>
        <v>0</v>
      </c>
      <c r="N2320" s="2264">
        <f>J2320*G2320</f>
        <v>0</v>
      </c>
      <c r="O2320" s="2264">
        <f>K2320*G2320</f>
        <v>0</v>
      </c>
      <c r="P2320" s="2441"/>
      <c r="Q2320" s="2266"/>
      <c r="R2320" s="2266"/>
      <c r="S2320" s="2266"/>
    </row>
    <row r="2321" spans="1:20" s="2105" customFormat="1" outlineLevel="1">
      <c r="A2321" s="2182" t="str">
        <f t="shared" si="446"/>
        <v/>
      </c>
      <c r="B2321" s="2252" t="s">
        <v>5181</v>
      </c>
      <c r="C2321" s="2258"/>
      <c r="D2321" s="2152">
        <v>0</v>
      </c>
      <c r="E2321" s="2194" t="s">
        <v>5182</v>
      </c>
      <c r="F2321" s="2152" t="s">
        <v>2532</v>
      </c>
      <c r="G2321" s="2358">
        <f>G2317+G2319</f>
        <v>0</v>
      </c>
      <c r="H2321" s="2264">
        <v>11000</v>
      </c>
      <c r="I2321" s="2264"/>
      <c r="J2321" s="2264">
        <v>0</v>
      </c>
      <c r="K2321" s="2264">
        <v>0</v>
      </c>
      <c r="L2321" s="2264">
        <f>H2321*G2321</f>
        <v>0</v>
      </c>
      <c r="M2321" s="2264">
        <f>I2321*G2321</f>
        <v>0</v>
      </c>
      <c r="N2321" s="2264">
        <f>J2321*G2321</f>
        <v>0</v>
      </c>
      <c r="O2321" s="2264">
        <f>K2321*G2321</f>
        <v>0</v>
      </c>
      <c r="P2321" s="2449"/>
      <c r="Q2321" s="2266"/>
      <c r="R2321" s="2266"/>
      <c r="S2321" s="2266"/>
    </row>
    <row r="2322" spans="1:20" s="2105" customFormat="1" outlineLevel="1">
      <c r="A2322" s="2182" t="str">
        <f t="shared" si="446"/>
        <v/>
      </c>
      <c r="B2322" s="2252" t="s">
        <v>5183</v>
      </c>
      <c r="C2322" s="2258"/>
      <c r="D2322" s="2152">
        <v>0</v>
      </c>
      <c r="E2322" s="2194" t="s">
        <v>5184</v>
      </c>
      <c r="F2322" s="2152" t="s">
        <v>2555</v>
      </c>
      <c r="G2322" s="2358">
        <f>G2321</f>
        <v>0</v>
      </c>
      <c r="H2322" s="2264">
        <v>4000</v>
      </c>
      <c r="I2322" s="2264"/>
      <c r="J2322" s="2264">
        <v>0</v>
      </c>
      <c r="K2322" s="2264">
        <v>0</v>
      </c>
      <c r="L2322" s="2264">
        <f>H2322*G2322</f>
        <v>0</v>
      </c>
      <c r="M2322" s="2264">
        <f>I2322*G2322</f>
        <v>0</v>
      </c>
      <c r="N2322" s="2264">
        <f>J2322*G2322</f>
        <v>0</v>
      </c>
      <c r="O2322" s="2264">
        <f>K2322*G2322</f>
        <v>0</v>
      </c>
      <c r="P2322" s="2441"/>
      <c r="Q2322" s="2266"/>
      <c r="R2322" s="2266"/>
      <c r="S2322" s="2266"/>
    </row>
    <row r="2323" spans="1:20" s="2105" customFormat="1" outlineLevel="1">
      <c r="A2323" s="2182">
        <f>IF(G2323=0,0,1)</f>
        <v>0</v>
      </c>
      <c r="B2323" s="2252" t="s">
        <v>794</v>
      </c>
      <c r="C2323" s="2268"/>
      <c r="D2323" s="2152" t="s">
        <v>5336</v>
      </c>
      <c r="E2323" s="2194" t="s">
        <v>3068</v>
      </c>
      <c r="F2323" s="2152" t="s">
        <v>856</v>
      </c>
      <c r="G2323" s="2547">
        <f>(52+20)*G2304*0.3*0.5</f>
        <v>0</v>
      </c>
      <c r="H2323" s="2264">
        <v>0</v>
      </c>
      <c r="I2323" s="2264"/>
      <c r="J2323" s="2264">
        <v>283749.75</v>
      </c>
      <c r="K2323" s="2264">
        <v>0</v>
      </c>
      <c r="L2323" s="2264">
        <f t="shared" ref="L2323:O2324" si="451">H2323*$G2323</f>
        <v>0</v>
      </c>
      <c r="M2323" s="2264">
        <f t="shared" si="451"/>
        <v>0</v>
      </c>
      <c r="N2323" s="2264">
        <f t="shared" si="451"/>
        <v>0</v>
      </c>
      <c r="O2323" s="2264">
        <f t="shared" si="451"/>
        <v>0</v>
      </c>
      <c r="P2323" s="2441"/>
      <c r="Q2323" s="2266"/>
      <c r="R2323" s="2266"/>
      <c r="S2323" s="2266"/>
    </row>
    <row r="2324" spans="1:20" s="2105" customFormat="1" outlineLevel="1">
      <c r="A2324" s="2182">
        <f>IF(G2324=0,0,1)</f>
        <v>0</v>
      </c>
      <c r="B2324" s="2252" t="s">
        <v>798</v>
      </c>
      <c r="C2324" s="2268"/>
      <c r="D2324" s="2152" t="s">
        <v>5325</v>
      </c>
      <c r="E2324" s="2194" t="s">
        <v>5337</v>
      </c>
      <c r="F2324" s="2152" t="s">
        <v>856</v>
      </c>
      <c r="G2324" s="2547">
        <f>G2323</f>
        <v>0</v>
      </c>
      <c r="H2324" s="2264">
        <v>0</v>
      </c>
      <c r="I2324" s="2264"/>
      <c r="J2324" s="2264">
        <v>117703.6</v>
      </c>
      <c r="K2324" s="2264">
        <v>0</v>
      </c>
      <c r="L2324" s="2264">
        <f t="shared" si="451"/>
        <v>0</v>
      </c>
      <c r="M2324" s="2264">
        <f t="shared" si="451"/>
        <v>0</v>
      </c>
      <c r="N2324" s="2264">
        <f t="shared" si="451"/>
        <v>0</v>
      </c>
      <c r="O2324" s="2264">
        <f t="shared" si="451"/>
        <v>0</v>
      </c>
      <c r="P2324" s="2441"/>
      <c r="Q2324" s="2266"/>
      <c r="R2324" s="2266"/>
      <c r="S2324" s="2266"/>
    </row>
    <row r="2325" spans="1:20" s="2105" customFormat="1" outlineLevel="1">
      <c r="A2325" s="2182">
        <f>IF(G2325=0,0,1)</f>
        <v>0</v>
      </c>
      <c r="B2325" s="2252" t="s">
        <v>902</v>
      </c>
      <c r="C2325" s="2268"/>
      <c r="D2325" s="2152" t="s">
        <v>5351</v>
      </c>
      <c r="E2325" s="2194" t="s">
        <v>5352</v>
      </c>
      <c r="F2325" s="2152" t="s">
        <v>2385</v>
      </c>
      <c r="G2325" s="2548">
        <f>G2307</f>
        <v>0</v>
      </c>
      <c r="H2325" s="2264">
        <v>0</v>
      </c>
      <c r="I2325" s="2264"/>
      <c r="J2325" s="2264" t="s">
        <v>6312</v>
      </c>
      <c r="K2325" s="2264">
        <v>0</v>
      </c>
      <c r="L2325" s="2264">
        <f>H2325*$G2325</f>
        <v>0</v>
      </c>
      <c r="M2325" s="2264">
        <f>I2325*$G2325</f>
        <v>0</v>
      </c>
      <c r="N2325" s="2264">
        <v>0</v>
      </c>
      <c r="O2325" s="2264">
        <f>K2325*$G2325</f>
        <v>0</v>
      </c>
      <c r="P2325" s="2441"/>
      <c r="Q2325" s="2266"/>
      <c r="R2325" s="2266"/>
      <c r="S2325" s="2266"/>
    </row>
    <row r="2326" spans="1:20" s="2105" customFormat="1" outlineLevel="1">
      <c r="A2326" s="2182" t="str">
        <f>IF(G2326&lt;&gt;0,1,"")</f>
        <v/>
      </c>
      <c r="B2326" s="2252" t="s">
        <v>1437</v>
      </c>
      <c r="C2326" s="2258"/>
      <c r="D2326" s="2152" t="s">
        <v>5346</v>
      </c>
      <c r="E2326" s="2194" t="s">
        <v>5347</v>
      </c>
      <c r="F2326" s="2152" t="s">
        <v>2532</v>
      </c>
      <c r="G2326" s="2358">
        <f>G2306/0.224</f>
        <v>0</v>
      </c>
      <c r="H2326" s="2264">
        <v>0</v>
      </c>
      <c r="I2326" s="2264"/>
      <c r="J2326" s="2264">
        <v>8070.7000000000007</v>
      </c>
      <c r="K2326" s="2264">
        <v>2044.9974999999999</v>
      </c>
      <c r="L2326" s="2264">
        <f>H2326*G2326</f>
        <v>0</v>
      </c>
      <c r="M2326" s="2264">
        <f>I2326*G2326</f>
        <v>0</v>
      </c>
      <c r="N2326" s="2264">
        <f>J2326*G2326</f>
        <v>0</v>
      </c>
      <c r="O2326" s="2264">
        <f>K2326*G2326</f>
        <v>0</v>
      </c>
      <c r="P2326" s="2441"/>
      <c r="Q2326" s="2266"/>
      <c r="R2326" s="2266"/>
      <c r="S2326" s="2266"/>
    </row>
    <row r="2327" spans="1:20" s="2105" customFormat="1" outlineLevel="1">
      <c r="A2327" s="2182" t="str">
        <f>IF(G2327&lt;&gt;0,1,"")</f>
        <v/>
      </c>
      <c r="B2327" s="2261"/>
      <c r="C2327" s="2258">
        <f>IF(G2327&gt;0,C2304+1,C2304)</f>
        <v>0</v>
      </c>
      <c r="D2327" s="2259"/>
      <c r="E2327" s="2262" t="s">
        <v>6267</v>
      </c>
      <c r="F2327" s="2258" t="s">
        <v>2385</v>
      </c>
      <c r="G2327" s="2263">
        <f>G2253</f>
        <v>0</v>
      </c>
      <c r="H2327" s="2264"/>
      <c r="I2327" s="2264"/>
      <c r="J2327" s="2264"/>
      <c r="K2327" s="2264"/>
      <c r="L2327" s="2264">
        <f t="shared" ref="L2327:L2332" si="452">H2327*G2327</f>
        <v>0</v>
      </c>
      <c r="M2327" s="2264">
        <f t="shared" ref="M2327:M2332" si="453">I2327*G2327</f>
        <v>0</v>
      </c>
      <c r="N2327" s="2264">
        <f t="shared" ref="N2327:N2332" si="454">J2327*G2327</f>
        <v>0</v>
      </c>
      <c r="O2327" s="2264">
        <f t="shared" ref="O2327:O2332" si="455">K2327*G2327</f>
        <v>0</v>
      </c>
      <c r="P2327" s="2265"/>
      <c r="Q2327" s="2266"/>
      <c r="R2327" s="2266"/>
      <c r="S2327" s="2266"/>
    </row>
    <row r="2328" spans="1:20" s="2105" customFormat="1" ht="14.4" outlineLevel="1">
      <c r="A2328" s="2182" t="str">
        <f>A2327</f>
        <v/>
      </c>
      <c r="B2328" s="2261"/>
      <c r="C2328" s="2258"/>
      <c r="D2328" s="2259"/>
      <c r="E2328" s="2267" t="s">
        <v>6133</v>
      </c>
      <c r="F2328" s="2268"/>
      <c r="G2328" s="2269"/>
      <c r="H2328" s="2264"/>
      <c r="I2328" s="2264"/>
      <c r="J2328" s="2264"/>
      <c r="K2328" s="2264"/>
      <c r="L2328" s="2264">
        <f t="shared" si="452"/>
        <v>0</v>
      </c>
      <c r="M2328" s="2264">
        <f t="shared" si="453"/>
        <v>0</v>
      </c>
      <c r="N2328" s="2264">
        <f t="shared" si="454"/>
        <v>0</v>
      </c>
      <c r="O2328" s="2264">
        <f t="shared" si="455"/>
        <v>0</v>
      </c>
      <c r="P2328" s="2265"/>
      <c r="Q2328" s="2266"/>
      <c r="R2328" s="2266"/>
      <c r="S2328" s="2266"/>
    </row>
    <row r="2329" spans="1:20" s="2105" customFormat="1" outlineLevel="1">
      <c r="A2329" s="2182" t="str">
        <f>IF(G2329&lt;&gt;0,1,"")</f>
        <v/>
      </c>
      <c r="B2329" s="2261" t="s">
        <v>653</v>
      </c>
      <c r="C2329" s="2268"/>
      <c r="D2329" s="2152">
        <v>0</v>
      </c>
      <c r="E2329" s="2194" t="s">
        <v>5289</v>
      </c>
      <c r="F2329" s="2152" t="s">
        <v>2248</v>
      </c>
      <c r="G2329" s="2270">
        <f>+G2332*296</f>
        <v>0</v>
      </c>
      <c r="H2329" s="2264">
        <v>1740</v>
      </c>
      <c r="I2329" s="2264"/>
      <c r="J2329" s="2264">
        <v>0</v>
      </c>
      <c r="K2329" s="2264">
        <v>0</v>
      </c>
      <c r="L2329" s="2264">
        <f t="shared" si="452"/>
        <v>0</v>
      </c>
      <c r="M2329" s="2264">
        <f t="shared" si="453"/>
        <v>0</v>
      </c>
      <c r="N2329" s="2264">
        <f t="shared" si="454"/>
        <v>0</v>
      </c>
      <c r="O2329" s="2264">
        <f t="shared" si="455"/>
        <v>0</v>
      </c>
      <c r="P2329" s="2265"/>
      <c r="Q2329" s="2266"/>
      <c r="R2329" s="2266"/>
      <c r="S2329" s="2266"/>
    </row>
    <row r="2330" spans="1:20" s="2105" customFormat="1" outlineLevel="1">
      <c r="A2330" s="2182" t="str">
        <f>IF(G2330&lt;&gt;0,1,"")</f>
        <v/>
      </c>
      <c r="B2330" s="2261" t="s">
        <v>752</v>
      </c>
      <c r="C2330" s="2258"/>
      <c r="D2330" s="2152">
        <v>0</v>
      </c>
      <c r="E2330" s="2194" t="s">
        <v>3004</v>
      </c>
      <c r="F2330" s="2152" t="s">
        <v>856</v>
      </c>
      <c r="G2330" s="2270">
        <f>G2332*0.475</f>
        <v>0</v>
      </c>
      <c r="H2330" s="2264">
        <v>512000</v>
      </c>
      <c r="I2330" s="2264"/>
      <c r="J2330" s="2264">
        <v>0</v>
      </c>
      <c r="K2330" s="2264">
        <v>0</v>
      </c>
      <c r="L2330" s="2264">
        <f t="shared" si="452"/>
        <v>0</v>
      </c>
      <c r="M2330" s="2264">
        <f t="shared" si="453"/>
        <v>0</v>
      </c>
      <c r="N2330" s="2264">
        <f t="shared" si="454"/>
        <v>0</v>
      </c>
      <c r="O2330" s="2264">
        <f t="shared" si="455"/>
        <v>0</v>
      </c>
      <c r="P2330" s="2265"/>
      <c r="Q2330" s="2266"/>
      <c r="R2330" s="2266"/>
      <c r="S2330" s="2266"/>
    </row>
    <row r="2331" spans="1:20" s="2105" customFormat="1" outlineLevel="1">
      <c r="A2331" s="2182" t="str">
        <f>IF(G2331&lt;&gt;0,1,"")</f>
        <v/>
      </c>
      <c r="B2331" s="2261" t="s">
        <v>216</v>
      </c>
      <c r="C2331" s="2258"/>
      <c r="D2331" s="2152">
        <v>0</v>
      </c>
      <c r="E2331" s="2194" t="s">
        <v>3000</v>
      </c>
      <c r="F2331" s="2152" t="s">
        <v>856</v>
      </c>
      <c r="G2331" s="2270">
        <f>G2332*0.881</f>
        <v>0</v>
      </c>
      <c r="H2331" s="2264">
        <v>335000</v>
      </c>
      <c r="I2331" s="2264"/>
      <c r="J2331" s="2264">
        <v>0</v>
      </c>
      <c r="K2331" s="2264">
        <v>0</v>
      </c>
      <c r="L2331" s="2264">
        <f t="shared" si="452"/>
        <v>0</v>
      </c>
      <c r="M2331" s="2264">
        <f t="shared" si="453"/>
        <v>0</v>
      </c>
      <c r="N2331" s="2264">
        <f t="shared" si="454"/>
        <v>0</v>
      </c>
      <c r="O2331" s="2264">
        <f t="shared" si="455"/>
        <v>0</v>
      </c>
      <c r="P2331" s="2265"/>
      <c r="Q2331" s="2266"/>
      <c r="R2331" s="2266"/>
      <c r="S2331" s="2266"/>
    </row>
    <row r="2332" spans="1:20" s="2105" customFormat="1" outlineLevel="1">
      <c r="A2332" s="2182" t="str">
        <f>IF(G2332&lt;&gt;0,1,"")</f>
        <v/>
      </c>
      <c r="B2332" s="2261" t="s">
        <v>654</v>
      </c>
      <c r="C2332" s="2268"/>
      <c r="D2332" s="2152" t="s">
        <v>5471</v>
      </c>
      <c r="E2332" s="2194" t="s">
        <v>5474</v>
      </c>
      <c r="F2332" s="2152" t="s">
        <v>856</v>
      </c>
      <c r="G2332" s="2270">
        <f>G2327*(0.4*3*1-2*3.14*0.15^2*0.4)</f>
        <v>0</v>
      </c>
      <c r="H2332" s="2264"/>
      <c r="I2332" s="2264"/>
      <c r="J2332" s="2264">
        <v>466397.5</v>
      </c>
      <c r="K2332" s="2264">
        <v>0</v>
      </c>
      <c r="L2332" s="2264">
        <f t="shared" si="452"/>
        <v>0</v>
      </c>
      <c r="M2332" s="2264">
        <f t="shared" si="453"/>
        <v>0</v>
      </c>
      <c r="N2332" s="2264">
        <f t="shared" si="454"/>
        <v>0</v>
      </c>
      <c r="O2332" s="2264">
        <f t="shared" si="455"/>
        <v>0</v>
      </c>
      <c r="P2332" s="2265"/>
      <c r="Q2332" s="2272">
        <f>1.025*361</f>
        <v>370.02499999999998</v>
      </c>
      <c r="R2332" s="2272">
        <f>1.025*0.45</f>
        <v>0.46124999999999999</v>
      </c>
      <c r="S2332" s="2272">
        <f>1.025*0.866</f>
        <v>0.88764999999999994</v>
      </c>
      <c r="T2332" s="2273"/>
    </row>
    <row r="2333" spans="1:20" s="2105" customFormat="1" outlineLevel="1">
      <c r="A2333" s="2182" t="str">
        <f>IF(G2333&lt;&gt;0,1,"")</f>
        <v/>
      </c>
      <c r="B2333" s="2261"/>
      <c r="C2333" s="2258">
        <f>IF(G2333&gt;0,C2327+1,C2327)</f>
        <v>0</v>
      </c>
      <c r="D2333" s="2259"/>
      <c r="E2333" s="2376" t="s">
        <v>6209</v>
      </c>
      <c r="F2333" s="2258" t="s">
        <v>2385</v>
      </c>
      <c r="G2333" s="2377">
        <f>G2243*2</f>
        <v>0</v>
      </c>
      <c r="H2333" s="2264"/>
      <c r="I2333" s="2264"/>
      <c r="J2333" s="2264"/>
      <c r="K2333" s="2264"/>
      <c r="L2333" s="2264">
        <f>H2333*G2333</f>
        <v>0</v>
      </c>
      <c r="M2333" s="2264">
        <f>I2333*G2333</f>
        <v>0</v>
      </c>
      <c r="N2333" s="2264">
        <f>J2333*G2333</f>
        <v>0</v>
      </c>
      <c r="O2333" s="2264">
        <f>K2333*G2333</f>
        <v>0</v>
      </c>
      <c r="P2333" s="2441"/>
      <c r="Q2333" s="2266"/>
      <c r="R2333" s="2266"/>
      <c r="S2333" s="2266"/>
    </row>
    <row r="2334" spans="1:20" s="2105" customFormat="1" ht="14.4" outlineLevel="1">
      <c r="A2334" s="2182" t="str">
        <f>A2333</f>
        <v/>
      </c>
      <c r="B2334" s="2261"/>
      <c r="C2334" s="2258"/>
      <c r="D2334" s="2259"/>
      <c r="E2334" s="2267" t="s">
        <v>6133</v>
      </c>
      <c r="F2334" s="2268"/>
      <c r="G2334" s="2358"/>
      <c r="H2334" s="2264"/>
      <c r="I2334" s="2264"/>
      <c r="J2334" s="2264"/>
      <c r="K2334" s="2264"/>
      <c r="L2334" s="2264">
        <f>H2334*G2334</f>
        <v>0</v>
      </c>
      <c r="M2334" s="2264">
        <f>I2334*G2334</f>
        <v>0</v>
      </c>
      <c r="N2334" s="2264">
        <f>J2334*G2334</f>
        <v>0</v>
      </c>
      <c r="O2334" s="2264">
        <f>K2334*G2334</f>
        <v>0</v>
      </c>
      <c r="P2334" s="2441"/>
      <c r="Q2334" s="2266"/>
      <c r="R2334" s="2266"/>
      <c r="S2334" s="2266"/>
    </row>
    <row r="2335" spans="1:20" s="2105" customFormat="1" outlineLevel="1">
      <c r="A2335" s="2182" t="str">
        <f>IF(G2335&lt;&gt;0,1,"")</f>
        <v/>
      </c>
      <c r="B2335" s="2121" t="s">
        <v>5643</v>
      </c>
      <c r="C2335" s="2268"/>
      <c r="D2335" s="2152" t="s">
        <v>5633</v>
      </c>
      <c r="E2335" s="2194" t="s">
        <v>5644</v>
      </c>
      <c r="F2335" s="2152" t="s">
        <v>2555</v>
      </c>
      <c r="G2335" s="2358">
        <f>G2333</f>
        <v>0</v>
      </c>
      <c r="H2335" s="2264">
        <v>2112489</v>
      </c>
      <c r="I2335" s="2264"/>
      <c r="J2335" s="2264">
        <v>690091</v>
      </c>
      <c r="K2335" s="2264">
        <v>97369</v>
      </c>
      <c r="L2335" s="2264">
        <f>H2335*G2335</f>
        <v>0</v>
      </c>
      <c r="M2335" s="2264">
        <f>I2335*G2335</f>
        <v>0</v>
      </c>
      <c r="N2335" s="2264">
        <f>J2335*G2335</f>
        <v>0</v>
      </c>
      <c r="O2335" s="2264">
        <f>K2335*G2335</f>
        <v>0</v>
      </c>
      <c r="P2335" s="2441"/>
      <c r="Q2335" s="2266"/>
      <c r="R2335" s="2266"/>
      <c r="S2335" s="2266"/>
    </row>
    <row r="2336" spans="1:20" s="2105" customFormat="1" outlineLevel="1">
      <c r="A2336" s="2182" t="str">
        <f>IF(G2336&lt;&gt;0,1,"")</f>
        <v/>
      </c>
      <c r="B2336" s="2261" t="s">
        <v>880</v>
      </c>
      <c r="C2336" s="2258"/>
      <c r="D2336" s="2152">
        <v>0</v>
      </c>
      <c r="E2336" s="2194" t="s">
        <v>5799</v>
      </c>
      <c r="F2336" s="2152" t="s">
        <v>2555</v>
      </c>
      <c r="G2336" s="2358">
        <f>G2333*1*0</f>
        <v>0</v>
      </c>
      <c r="H2336" s="2264">
        <v>284000</v>
      </c>
      <c r="I2336" s="2264"/>
      <c r="J2336" s="2264">
        <v>5404</v>
      </c>
      <c r="K2336" s="2264">
        <v>0</v>
      </c>
      <c r="L2336" s="2264">
        <f>H2336*G2336</f>
        <v>0</v>
      </c>
      <c r="M2336" s="2264">
        <f>I2336*G2336</f>
        <v>0</v>
      </c>
      <c r="N2336" s="2264">
        <f>J2336*G2336</f>
        <v>0</v>
      </c>
      <c r="O2336" s="2264">
        <f>K2336*G2336</f>
        <v>0</v>
      </c>
      <c r="P2336" s="2441"/>
      <c r="Q2336" s="2266"/>
      <c r="R2336" s="2266"/>
      <c r="S2336" s="2266"/>
    </row>
    <row r="2337" spans="1:19" s="2105" customFormat="1" outlineLevel="1">
      <c r="A2337" s="2182" t="str">
        <f>IF(G2337&lt;&gt;0,1,"")</f>
        <v/>
      </c>
      <c r="B2337" s="2261" t="s">
        <v>289</v>
      </c>
      <c r="C2337" s="2268"/>
      <c r="D2337" s="2152">
        <v>0</v>
      </c>
      <c r="E2337" s="2194" t="s">
        <v>5712</v>
      </c>
      <c r="F2337" s="2152" t="s">
        <v>2555</v>
      </c>
      <c r="G2337" s="2378"/>
      <c r="H2337" s="2264">
        <v>300000</v>
      </c>
      <c r="I2337" s="2264"/>
      <c r="J2337" s="2264">
        <v>0</v>
      </c>
      <c r="K2337" s="2264">
        <v>0</v>
      </c>
      <c r="L2337" s="2264">
        <f>H2337*G2337</f>
        <v>0</v>
      </c>
      <c r="M2337" s="2264">
        <f>I2337*G2337</f>
        <v>0</v>
      </c>
      <c r="N2337" s="2264">
        <f>J2337*G2337</f>
        <v>0</v>
      </c>
      <c r="O2337" s="2264">
        <f>K2337*G2337</f>
        <v>0</v>
      </c>
      <c r="P2337" s="2389"/>
      <c r="Q2337" s="2266"/>
      <c r="R2337" s="2266"/>
      <c r="S2337" s="2266"/>
    </row>
    <row r="2338" spans="1:19" s="2105" customFormat="1" outlineLevel="1">
      <c r="A2338" s="2182" t="str">
        <f t="shared" ref="A2338:A2344" si="456">IF(G2338&lt;&gt;0,1,"")</f>
        <v/>
      </c>
      <c r="B2338" s="2121" t="s">
        <v>588</v>
      </c>
      <c r="C2338" s="2268"/>
      <c r="D2338" s="2152">
        <v>0</v>
      </c>
      <c r="E2338" s="2194" t="s">
        <v>2982</v>
      </c>
      <c r="F2338" s="2152" t="s">
        <v>2439</v>
      </c>
      <c r="G2338" s="2358">
        <f>G2335*2*0</f>
        <v>0</v>
      </c>
      <c r="H2338" s="2264">
        <v>168000</v>
      </c>
      <c r="I2338" s="2264"/>
      <c r="J2338" s="2264">
        <v>0</v>
      </c>
      <c r="K2338" s="2264">
        <v>0</v>
      </c>
      <c r="L2338" s="2264">
        <f t="shared" ref="L2338:L2344" si="457">H2338*G2338</f>
        <v>0</v>
      </c>
      <c r="M2338" s="2264">
        <f t="shared" ref="M2338:M2344" si="458">I2338*G2338</f>
        <v>0</v>
      </c>
      <c r="N2338" s="2264">
        <f t="shared" ref="N2338:N2344" si="459">J2338*G2338</f>
        <v>0</v>
      </c>
      <c r="O2338" s="2264">
        <f t="shared" ref="O2338:O2344" si="460">K2338*G2338</f>
        <v>0</v>
      </c>
      <c r="P2338" s="2441"/>
      <c r="Q2338" s="2266"/>
      <c r="R2338" s="2266"/>
      <c r="S2338" s="2266"/>
    </row>
    <row r="2339" spans="1:19" s="2105" customFormat="1" outlineLevel="1">
      <c r="A2339" s="2182" t="str">
        <f t="shared" si="456"/>
        <v/>
      </c>
      <c r="B2339" s="2261"/>
      <c r="C2339" s="2258"/>
      <c r="D2339" s="2259"/>
      <c r="E2339" s="2376" t="s">
        <v>6210</v>
      </c>
      <c r="F2339" s="2258" t="s">
        <v>2385</v>
      </c>
      <c r="G2339" s="2377">
        <f>G2243</f>
        <v>0</v>
      </c>
      <c r="H2339" s="2264"/>
      <c r="I2339" s="2264"/>
      <c r="J2339" s="2264"/>
      <c r="K2339" s="2264"/>
      <c r="L2339" s="2264"/>
      <c r="M2339" s="2264"/>
      <c r="N2339" s="2264"/>
      <c r="O2339" s="2264"/>
      <c r="P2339" s="2441"/>
      <c r="Q2339" s="2266"/>
      <c r="R2339" s="2266"/>
      <c r="S2339" s="2266"/>
    </row>
    <row r="2340" spans="1:19" s="2105" customFormat="1" ht="14.4" outlineLevel="1">
      <c r="A2340" s="2182" t="str">
        <f>A2339</f>
        <v/>
      </c>
      <c r="B2340" s="2549"/>
      <c r="C2340" s="2492"/>
      <c r="D2340" s="2493"/>
      <c r="E2340" s="2494" t="s">
        <v>6133</v>
      </c>
      <c r="F2340" s="2493"/>
      <c r="G2340" s="2550"/>
      <c r="H2340" s="2264"/>
      <c r="I2340" s="2264"/>
      <c r="J2340" s="2264"/>
      <c r="K2340" s="2264"/>
      <c r="L2340" s="2264"/>
      <c r="M2340" s="2264"/>
      <c r="N2340" s="2264"/>
      <c r="O2340" s="2264"/>
      <c r="P2340" s="2441"/>
      <c r="Q2340" s="2266"/>
      <c r="R2340" s="2266"/>
      <c r="S2340" s="2266"/>
    </row>
    <row r="2341" spans="1:19" s="2105" customFormat="1" outlineLevel="1">
      <c r="A2341" s="2182" t="str">
        <f t="shared" si="456"/>
        <v/>
      </c>
      <c r="B2341" s="2261" t="s">
        <v>6247</v>
      </c>
      <c r="C2341" s="2268"/>
      <c r="D2341" s="2152" t="s">
        <v>5655</v>
      </c>
      <c r="E2341" s="2194" t="s">
        <v>5659</v>
      </c>
      <c r="F2341" s="2152" t="s">
        <v>2555</v>
      </c>
      <c r="G2341" s="2358">
        <f>G2339</f>
        <v>0</v>
      </c>
      <c r="H2341" s="2264">
        <v>783952</v>
      </c>
      <c r="I2341" s="2264"/>
      <c r="J2341" s="2264">
        <v>599038</v>
      </c>
      <c r="K2341" s="2264">
        <v>97369</v>
      </c>
      <c r="L2341" s="2264">
        <f t="shared" si="457"/>
        <v>0</v>
      </c>
      <c r="M2341" s="2264">
        <f t="shared" si="458"/>
        <v>0</v>
      </c>
      <c r="N2341" s="2264">
        <f t="shared" si="459"/>
        <v>0</v>
      </c>
      <c r="O2341" s="2264">
        <f t="shared" si="460"/>
        <v>0</v>
      </c>
      <c r="P2341" s="2441"/>
      <c r="Q2341" s="2266"/>
      <c r="R2341" s="2266"/>
      <c r="S2341" s="2266"/>
    </row>
    <row r="2342" spans="1:19" s="2105" customFormat="1" outlineLevel="1">
      <c r="A2342" s="2182" t="str">
        <f t="shared" si="456"/>
        <v/>
      </c>
      <c r="B2342" s="2261" t="s">
        <v>880</v>
      </c>
      <c r="C2342" s="2268"/>
      <c r="D2342" s="2152">
        <v>0</v>
      </c>
      <c r="E2342" s="2194" t="s">
        <v>5799</v>
      </c>
      <c r="F2342" s="2152" t="s">
        <v>2555</v>
      </c>
      <c r="G2342" s="2358">
        <f>G2341</f>
        <v>0</v>
      </c>
      <c r="H2342" s="2264">
        <v>284000</v>
      </c>
      <c r="I2342" s="2264"/>
      <c r="J2342" s="2264">
        <v>5404</v>
      </c>
      <c r="K2342" s="2264">
        <v>0</v>
      </c>
      <c r="L2342" s="2264">
        <f t="shared" si="457"/>
        <v>0</v>
      </c>
      <c r="M2342" s="2264">
        <f t="shared" si="458"/>
        <v>0</v>
      </c>
      <c r="N2342" s="2264">
        <f t="shared" si="459"/>
        <v>0</v>
      </c>
      <c r="O2342" s="2264">
        <f t="shared" si="460"/>
        <v>0</v>
      </c>
      <c r="P2342" s="2441"/>
      <c r="Q2342" s="2266"/>
      <c r="R2342" s="2266"/>
      <c r="S2342" s="2266"/>
    </row>
    <row r="2343" spans="1:19" s="2105" customFormat="1" outlineLevel="1">
      <c r="A2343" s="2182" t="str">
        <f t="shared" si="456"/>
        <v/>
      </c>
      <c r="B2343" s="2261" t="s">
        <v>289</v>
      </c>
      <c r="C2343" s="2268"/>
      <c r="D2343" s="2152">
        <v>0</v>
      </c>
      <c r="E2343" s="2194" t="s">
        <v>5712</v>
      </c>
      <c r="F2343" s="2152" t="s">
        <v>2555</v>
      </c>
      <c r="G2343" s="2358">
        <f>G2339</f>
        <v>0</v>
      </c>
      <c r="H2343" s="2264">
        <v>300000</v>
      </c>
      <c r="I2343" s="2264"/>
      <c r="J2343" s="2264">
        <v>0</v>
      </c>
      <c r="K2343" s="2264">
        <v>0</v>
      </c>
      <c r="L2343" s="2264">
        <f t="shared" si="457"/>
        <v>0</v>
      </c>
      <c r="M2343" s="2264">
        <f t="shared" si="458"/>
        <v>0</v>
      </c>
      <c r="N2343" s="2264">
        <f t="shared" si="459"/>
        <v>0</v>
      </c>
      <c r="O2343" s="2264">
        <f t="shared" si="460"/>
        <v>0</v>
      </c>
      <c r="P2343" s="2441"/>
      <c r="Q2343" s="2266"/>
      <c r="R2343" s="2266"/>
      <c r="S2343" s="2266"/>
    </row>
    <row r="2344" spans="1:19" s="2105" customFormat="1" outlineLevel="1">
      <c r="A2344" s="2182" t="str">
        <f t="shared" si="456"/>
        <v/>
      </c>
      <c r="B2344" s="2121" t="s">
        <v>588</v>
      </c>
      <c r="C2344" s="2268"/>
      <c r="D2344" s="2152">
        <v>0</v>
      </c>
      <c r="E2344" s="2194" t="s">
        <v>2982</v>
      </c>
      <c r="F2344" s="2152" t="s">
        <v>2439</v>
      </c>
      <c r="G2344" s="2358">
        <f>G2341*0</f>
        <v>0</v>
      </c>
      <c r="H2344" s="2264">
        <v>168000</v>
      </c>
      <c r="I2344" s="2264"/>
      <c r="J2344" s="2264">
        <v>0</v>
      </c>
      <c r="K2344" s="2264">
        <v>0</v>
      </c>
      <c r="L2344" s="2264">
        <f t="shared" si="457"/>
        <v>0</v>
      </c>
      <c r="M2344" s="2264">
        <f t="shared" si="458"/>
        <v>0</v>
      </c>
      <c r="N2344" s="2264">
        <f t="shared" si="459"/>
        <v>0</v>
      </c>
      <c r="O2344" s="2264">
        <f t="shared" si="460"/>
        <v>0</v>
      </c>
      <c r="P2344" s="2441"/>
      <c r="Q2344" s="2266"/>
      <c r="R2344" s="2266"/>
      <c r="S2344" s="2266"/>
    </row>
    <row r="2345" spans="1:19" s="2105" customFormat="1" outlineLevel="1">
      <c r="A2345" s="2182" t="str">
        <f>IF(G2345&lt;&gt;0,1,"")</f>
        <v/>
      </c>
      <c r="B2345" s="2261"/>
      <c r="C2345" s="2258">
        <f>IF(G2345&gt;0,C2333+1,C2333)</f>
        <v>0</v>
      </c>
      <c r="D2345" s="2259"/>
      <c r="E2345" s="2260" t="s">
        <v>6263</v>
      </c>
      <c r="F2345" s="2258" t="s">
        <v>2385</v>
      </c>
      <c r="G2345" s="2377">
        <f>G2243</f>
        <v>0</v>
      </c>
      <c r="H2345" s="2264"/>
      <c r="I2345" s="2264"/>
      <c r="J2345" s="2264"/>
      <c r="K2345" s="2264"/>
      <c r="L2345" s="2264"/>
      <c r="M2345" s="2264"/>
      <c r="N2345" s="2264"/>
      <c r="O2345" s="2264"/>
      <c r="P2345" s="2441"/>
      <c r="Q2345" s="2266"/>
      <c r="R2345" s="2266"/>
      <c r="S2345" s="2266"/>
    </row>
    <row r="2346" spans="1:19" s="2105" customFormat="1" ht="14.4" outlineLevel="1">
      <c r="A2346" s="2182" t="str">
        <f>A2345</f>
        <v/>
      </c>
      <c r="B2346" s="2261"/>
      <c r="C2346" s="2258"/>
      <c r="D2346" s="2259"/>
      <c r="E2346" s="2274" t="s">
        <v>6133</v>
      </c>
      <c r="F2346" s="2258"/>
      <c r="G2346" s="2377"/>
      <c r="H2346" s="2264"/>
      <c r="I2346" s="2264"/>
      <c r="J2346" s="2264"/>
      <c r="K2346" s="2264"/>
      <c r="L2346" s="2264"/>
      <c r="M2346" s="2264"/>
      <c r="N2346" s="2264"/>
      <c r="O2346" s="2264"/>
      <c r="P2346" s="2441"/>
      <c r="Q2346" s="2266"/>
      <c r="R2346" s="2266"/>
      <c r="S2346" s="2266"/>
    </row>
    <row r="2347" spans="1:19" s="2105" customFormat="1" outlineLevel="1">
      <c r="A2347" s="2182" t="str">
        <f>IF(G2347&lt;&gt;0,1,"")</f>
        <v/>
      </c>
      <c r="B2347" s="2252" t="s">
        <v>697</v>
      </c>
      <c r="C2347" s="2268"/>
      <c r="D2347" s="2152">
        <v>0</v>
      </c>
      <c r="E2347" s="2194" t="s">
        <v>5087</v>
      </c>
      <c r="F2347" s="2152" t="s">
        <v>2532</v>
      </c>
      <c r="G2347" s="2358">
        <f>G2345*(7)*3</f>
        <v>0</v>
      </c>
      <c r="H2347" s="2264">
        <v>50996</v>
      </c>
      <c r="I2347" s="2264"/>
      <c r="J2347" s="2264">
        <v>0</v>
      </c>
      <c r="K2347" s="2264">
        <v>0</v>
      </c>
      <c r="L2347" s="2264">
        <f t="shared" ref="L2347:L2357" si="461">H2347*G2347</f>
        <v>0</v>
      </c>
      <c r="M2347" s="2264">
        <f>I2347*G2347</f>
        <v>0</v>
      </c>
      <c r="N2347" s="2264">
        <f t="shared" ref="N2347:N2357" si="462">J2347*G2347</f>
        <v>0</v>
      </c>
      <c r="O2347" s="2264">
        <f t="shared" ref="O2347:O2357" si="463">K2347*G2347</f>
        <v>0</v>
      </c>
      <c r="P2347" s="2441"/>
      <c r="Q2347" s="2266"/>
      <c r="R2347" s="2266"/>
      <c r="S2347" s="2266"/>
    </row>
    <row r="2348" spans="1:19" s="2105" customFormat="1" outlineLevel="1">
      <c r="A2348" s="2182" t="str">
        <f>IF(G2348&lt;&gt;0,1,"")</f>
        <v/>
      </c>
      <c r="B2348" s="2357" t="s">
        <v>5699</v>
      </c>
      <c r="C2348" s="2268"/>
      <c r="D2348" s="2152">
        <v>0</v>
      </c>
      <c r="E2348" s="2194" t="s">
        <v>5700</v>
      </c>
      <c r="F2348" s="2152" t="s">
        <v>2555</v>
      </c>
      <c r="G2348" s="2358">
        <f>+G2345*3</f>
        <v>0</v>
      </c>
      <c r="H2348" s="2264">
        <v>218200</v>
      </c>
      <c r="I2348" s="2264"/>
      <c r="J2348" s="2264">
        <v>0</v>
      </c>
      <c r="K2348" s="2264">
        <v>0</v>
      </c>
      <c r="L2348" s="2264">
        <f>H2348*G2348</f>
        <v>0</v>
      </c>
      <c r="M2348" s="2264">
        <f>I2348*G2348</f>
        <v>0</v>
      </c>
      <c r="N2348" s="2264">
        <f>J2348*G2348</f>
        <v>0</v>
      </c>
      <c r="O2348" s="2264">
        <f>K2348*G2348</f>
        <v>0</v>
      </c>
      <c r="P2348" s="2449"/>
      <c r="Q2348" s="2266"/>
      <c r="R2348" s="2266"/>
      <c r="S2348" s="2266"/>
    </row>
    <row r="2349" spans="1:19" s="2105" customFormat="1" outlineLevel="1">
      <c r="A2349" s="2182" t="str">
        <f>IF(G2349&lt;&gt;0,1,"")</f>
        <v/>
      </c>
      <c r="B2349" s="2357" t="s">
        <v>5705</v>
      </c>
      <c r="C2349" s="2268"/>
      <c r="D2349" s="2152">
        <v>0</v>
      </c>
      <c r="E2349" s="2194" t="s">
        <v>5706</v>
      </c>
      <c r="F2349" s="2152" t="s">
        <v>2555</v>
      </c>
      <c r="G2349" s="2358">
        <f>+G2345*3</f>
        <v>0</v>
      </c>
      <c r="H2349" s="2264">
        <v>39100</v>
      </c>
      <c r="I2349" s="2264"/>
      <c r="J2349" s="2264">
        <v>0</v>
      </c>
      <c r="K2349" s="2264">
        <v>0</v>
      </c>
      <c r="L2349" s="2264">
        <f>H2349*G2349</f>
        <v>0</v>
      </c>
      <c r="M2349" s="2264">
        <f>I2349*G2349</f>
        <v>0</v>
      </c>
      <c r="N2349" s="2264">
        <f>J2349*G2349</f>
        <v>0</v>
      </c>
      <c r="O2349" s="2264">
        <f>K2349*G2349</f>
        <v>0</v>
      </c>
      <c r="P2349" s="2449"/>
      <c r="Q2349" s="2266"/>
      <c r="R2349" s="2266"/>
      <c r="S2349" s="2266"/>
    </row>
    <row r="2350" spans="1:19" s="2105" customFormat="1" outlineLevel="1">
      <c r="A2350" s="2182" t="str">
        <f>IF(G2350&lt;&gt;0,1,"")</f>
        <v/>
      </c>
      <c r="B2350" s="2357" t="s">
        <v>5707</v>
      </c>
      <c r="C2350" s="2268"/>
      <c r="D2350" s="2152">
        <v>0</v>
      </c>
      <c r="E2350" s="2194" t="s">
        <v>5708</v>
      </c>
      <c r="F2350" s="2152" t="s">
        <v>2555</v>
      </c>
      <c r="G2350" s="2358">
        <f>+G2345*3</f>
        <v>0</v>
      </c>
      <c r="H2350" s="2264">
        <v>56700</v>
      </c>
      <c r="I2350" s="2264"/>
      <c r="J2350" s="2264">
        <v>0</v>
      </c>
      <c r="K2350" s="2264">
        <v>0</v>
      </c>
      <c r="L2350" s="2264">
        <f>H2350*G2350</f>
        <v>0</v>
      </c>
      <c r="M2350" s="2264">
        <f>I2350*G2350</f>
        <v>0</v>
      </c>
      <c r="N2350" s="2264">
        <f>J2350*G2350</f>
        <v>0</v>
      </c>
      <c r="O2350" s="2264">
        <f>K2350*G2350</f>
        <v>0</v>
      </c>
      <c r="P2350" s="2449"/>
      <c r="Q2350" s="2266"/>
      <c r="R2350" s="2266"/>
      <c r="S2350" s="2266"/>
    </row>
    <row r="2351" spans="1:19" s="2105" customFormat="1" outlineLevel="1">
      <c r="A2351" s="2182" t="str">
        <f>IF(G2351&lt;&gt;0,1,"")</f>
        <v/>
      </c>
      <c r="B2351" s="2357" t="s">
        <v>6264</v>
      </c>
      <c r="C2351" s="2268"/>
      <c r="D2351" s="2152"/>
      <c r="E2351" s="2194" t="s">
        <v>5698</v>
      </c>
      <c r="F2351" s="2152" t="s">
        <v>3445</v>
      </c>
      <c r="G2351" s="2358"/>
      <c r="H2351" s="2264">
        <v>25000</v>
      </c>
      <c r="I2351" s="2264"/>
      <c r="J2351" s="2264">
        <v>0</v>
      </c>
      <c r="K2351" s="2264">
        <v>0</v>
      </c>
      <c r="L2351" s="2264">
        <f>H2351*G2351</f>
        <v>0</v>
      </c>
      <c r="M2351" s="2264">
        <f>I2351*G2351</f>
        <v>0</v>
      </c>
      <c r="N2351" s="2264">
        <f>J2351*G2351</f>
        <v>0</v>
      </c>
      <c r="O2351" s="2264">
        <f>K2351*G2351</f>
        <v>0</v>
      </c>
      <c r="P2351" s="2449"/>
      <c r="Q2351" s="2266"/>
      <c r="R2351" s="2266"/>
      <c r="S2351" s="2266"/>
    </row>
    <row r="2352" spans="1:19" s="2105" customFormat="1" outlineLevel="1">
      <c r="A2352" s="2182" t="str">
        <f t="shared" ref="A2352:A2358" si="464">IF(G2352&lt;&gt;0,1,"")</f>
        <v/>
      </c>
      <c r="B2352" s="2357" t="s">
        <v>1479</v>
      </c>
      <c r="C2352" s="2268"/>
      <c r="D2352" s="2152">
        <v>0</v>
      </c>
      <c r="E2352" s="2194" t="s">
        <v>3791</v>
      </c>
      <c r="F2352" s="2152" t="s">
        <v>2555</v>
      </c>
      <c r="G2352" s="2358">
        <f>G2345*3</f>
        <v>0</v>
      </c>
      <c r="H2352" s="2264">
        <v>46000</v>
      </c>
      <c r="I2352" s="2264"/>
      <c r="J2352" s="2264">
        <v>0</v>
      </c>
      <c r="K2352" s="2264">
        <v>0</v>
      </c>
      <c r="L2352" s="2264">
        <f t="shared" si="461"/>
        <v>0</v>
      </c>
      <c r="M2352" s="2264">
        <f t="shared" ref="M2352:M2357" si="465">I2352*G2352</f>
        <v>0</v>
      </c>
      <c r="N2352" s="2264">
        <f t="shared" si="462"/>
        <v>0</v>
      </c>
      <c r="O2352" s="2264">
        <f t="shared" si="463"/>
        <v>0</v>
      </c>
      <c r="P2352" s="2441"/>
      <c r="Q2352" s="2266"/>
      <c r="R2352" s="2266"/>
      <c r="S2352" s="2266"/>
    </row>
    <row r="2353" spans="1:19" s="2105" customFormat="1" outlineLevel="1">
      <c r="A2353" s="2182" t="str">
        <f t="shared" si="464"/>
        <v/>
      </c>
      <c r="B2353" s="2357" t="s">
        <v>1477</v>
      </c>
      <c r="C2353" s="2268"/>
      <c r="D2353" s="2152">
        <v>0</v>
      </c>
      <c r="E2353" s="2194" t="s">
        <v>6346</v>
      </c>
      <c r="F2353" s="2152" t="s">
        <v>2555</v>
      </c>
      <c r="G2353" s="2358">
        <f>G2352</f>
        <v>0</v>
      </c>
      <c r="H2353" s="2264">
        <v>77000</v>
      </c>
      <c r="I2353" s="2264"/>
      <c r="J2353" s="2264">
        <v>0</v>
      </c>
      <c r="K2353" s="2264">
        <v>0</v>
      </c>
      <c r="L2353" s="2264">
        <f t="shared" si="461"/>
        <v>0</v>
      </c>
      <c r="M2353" s="2264">
        <f t="shared" si="465"/>
        <v>0</v>
      </c>
      <c r="N2353" s="2264">
        <f t="shared" si="462"/>
        <v>0</v>
      </c>
      <c r="O2353" s="2264">
        <f t="shared" si="463"/>
        <v>0</v>
      </c>
      <c r="P2353" s="2441"/>
      <c r="Q2353" s="2266"/>
      <c r="R2353" s="2266"/>
      <c r="S2353" s="2266"/>
    </row>
    <row r="2354" spans="1:19" s="2105" customFormat="1" outlineLevel="1">
      <c r="A2354" s="2182" t="str">
        <f t="shared" si="464"/>
        <v/>
      </c>
      <c r="B2354" s="2252" t="s">
        <v>696</v>
      </c>
      <c r="C2354" s="2389"/>
      <c r="D2354" s="2152">
        <v>0</v>
      </c>
      <c r="E2354" s="2194" t="s">
        <v>2936</v>
      </c>
      <c r="F2354" s="2152" t="s">
        <v>2555</v>
      </c>
      <c r="G2354" s="2358">
        <f>G2345*3</f>
        <v>0</v>
      </c>
      <c r="H2354" s="2264">
        <v>205000</v>
      </c>
      <c r="I2354" s="2264"/>
      <c r="J2354" s="2264">
        <v>0</v>
      </c>
      <c r="K2354" s="2264">
        <v>0</v>
      </c>
      <c r="L2354" s="2264">
        <f t="shared" si="461"/>
        <v>0</v>
      </c>
      <c r="M2354" s="2264">
        <f t="shared" si="465"/>
        <v>0</v>
      </c>
      <c r="N2354" s="2264">
        <f t="shared" si="462"/>
        <v>0</v>
      </c>
      <c r="O2354" s="2264">
        <f t="shared" si="463"/>
        <v>0</v>
      </c>
      <c r="P2354" s="2441"/>
      <c r="Q2354" s="2266"/>
      <c r="R2354" s="2266"/>
      <c r="S2354" s="2266"/>
    </row>
    <row r="2355" spans="1:19" s="2105" customFormat="1" outlineLevel="1">
      <c r="A2355" s="2182" t="str">
        <f t="shared" si="464"/>
        <v/>
      </c>
      <c r="B2355" s="2252" t="s">
        <v>1265</v>
      </c>
      <c r="C2355" s="2268"/>
      <c r="D2355" s="2152">
        <v>0</v>
      </c>
      <c r="E2355" s="2194" t="s">
        <v>2823</v>
      </c>
      <c r="F2355" s="2152" t="s">
        <v>2555</v>
      </c>
      <c r="G2355" s="2358">
        <f>G2354</f>
        <v>0</v>
      </c>
      <c r="H2355" s="2264">
        <v>65000</v>
      </c>
      <c r="I2355" s="2264"/>
      <c r="J2355" s="2264">
        <v>0</v>
      </c>
      <c r="K2355" s="2264">
        <v>0</v>
      </c>
      <c r="L2355" s="2264">
        <f t="shared" si="461"/>
        <v>0</v>
      </c>
      <c r="M2355" s="2264">
        <f t="shared" si="465"/>
        <v>0</v>
      </c>
      <c r="N2355" s="2264">
        <f t="shared" si="462"/>
        <v>0</v>
      </c>
      <c r="O2355" s="2264">
        <f t="shared" si="463"/>
        <v>0</v>
      </c>
      <c r="P2355" s="2441"/>
      <c r="Q2355" s="2266"/>
      <c r="R2355" s="2266"/>
      <c r="S2355" s="2266"/>
    </row>
    <row r="2356" spans="1:19" s="2105" customFormat="1" outlineLevel="1">
      <c r="A2356" s="2182" t="str">
        <f t="shared" si="464"/>
        <v/>
      </c>
      <c r="B2356" s="2252" t="s">
        <v>1565</v>
      </c>
      <c r="C2356" s="2268"/>
      <c r="D2356" s="2152" t="s">
        <v>5560</v>
      </c>
      <c r="E2356" s="2194" t="s">
        <v>3271</v>
      </c>
      <c r="F2356" s="2152" t="s">
        <v>2439</v>
      </c>
      <c r="G2356" s="2358">
        <f>G2355</f>
        <v>0</v>
      </c>
      <c r="H2356" s="2264"/>
      <c r="I2356" s="2264"/>
      <c r="J2356" s="2264">
        <v>58277.49</v>
      </c>
      <c r="K2356" s="2264"/>
      <c r="L2356" s="2264">
        <f t="shared" si="461"/>
        <v>0</v>
      </c>
      <c r="M2356" s="2264">
        <f t="shared" si="465"/>
        <v>0</v>
      </c>
      <c r="N2356" s="2264">
        <f t="shared" si="462"/>
        <v>0</v>
      </c>
      <c r="O2356" s="2264">
        <f t="shared" si="463"/>
        <v>0</v>
      </c>
      <c r="P2356" s="2441"/>
      <c r="Q2356" s="2266"/>
      <c r="R2356" s="2266"/>
      <c r="S2356" s="2266"/>
    </row>
    <row r="2357" spans="1:19" s="2105" customFormat="1" outlineLevel="1">
      <c r="A2357" s="2182" t="str">
        <f t="shared" si="464"/>
        <v/>
      </c>
      <c r="B2357" s="2252" t="s">
        <v>1525</v>
      </c>
      <c r="C2357" s="2268"/>
      <c r="D2357" s="2152" t="s">
        <v>5571</v>
      </c>
      <c r="E2357" s="2194" t="s">
        <v>3292</v>
      </c>
      <c r="F2357" s="2152" t="s">
        <v>1823</v>
      </c>
      <c r="G2357" s="2358">
        <f>G2347</f>
        <v>0</v>
      </c>
      <c r="H2357" s="2264"/>
      <c r="I2357" s="2264"/>
      <c r="J2357" s="2264">
        <v>13915</v>
      </c>
      <c r="K2357" s="2264"/>
      <c r="L2357" s="2264">
        <f t="shared" si="461"/>
        <v>0</v>
      </c>
      <c r="M2357" s="2264">
        <f t="shared" si="465"/>
        <v>0</v>
      </c>
      <c r="N2357" s="2264">
        <f t="shared" si="462"/>
        <v>0</v>
      </c>
      <c r="O2357" s="2264">
        <f t="shared" si="463"/>
        <v>0</v>
      </c>
      <c r="P2357" s="2441"/>
      <c r="Q2357" s="2266"/>
      <c r="R2357" s="2266"/>
      <c r="S2357" s="2266"/>
    </row>
    <row r="2358" spans="1:19" s="2105" customFormat="1" outlineLevel="1">
      <c r="A2358" s="2182" t="str">
        <f t="shared" si="464"/>
        <v/>
      </c>
      <c r="B2358" s="2261"/>
      <c r="C2358" s="2258">
        <f>IF(G2358&gt;0,C2345+1,C2345)</f>
        <v>0</v>
      </c>
      <c r="D2358" s="2259"/>
      <c r="E2358" s="2260" t="s">
        <v>3708</v>
      </c>
      <c r="F2358" s="2258" t="s">
        <v>2385</v>
      </c>
      <c r="G2358" s="2263">
        <f>G2277*0</f>
        <v>0</v>
      </c>
      <c r="H2358" s="2264"/>
      <c r="I2358" s="2264"/>
      <c r="J2358" s="2264"/>
      <c r="K2358" s="2264"/>
      <c r="L2358" s="2264"/>
      <c r="M2358" s="2264"/>
      <c r="N2358" s="2264"/>
      <c r="O2358" s="2264"/>
      <c r="P2358" s="2265"/>
      <c r="Q2358" s="2266"/>
      <c r="R2358" s="2266"/>
      <c r="S2358" s="2266"/>
    </row>
    <row r="2359" spans="1:19" s="2105" customFormat="1" ht="14.4" outlineLevel="1">
      <c r="A2359" s="2182" t="str">
        <f>A2358</f>
        <v/>
      </c>
      <c r="B2359" s="2261"/>
      <c r="C2359" s="2258"/>
      <c r="D2359" s="2259"/>
      <c r="E2359" s="2274" t="s">
        <v>6133</v>
      </c>
      <c r="F2359" s="2258"/>
      <c r="G2359" s="2263"/>
      <c r="H2359" s="2264"/>
      <c r="I2359" s="2264"/>
      <c r="J2359" s="2264"/>
      <c r="K2359" s="2264"/>
      <c r="L2359" s="2264"/>
      <c r="M2359" s="2264"/>
      <c r="N2359" s="2264"/>
      <c r="O2359" s="2264"/>
      <c r="P2359" s="2265"/>
      <c r="Q2359" s="2266"/>
      <c r="R2359" s="2266"/>
      <c r="S2359" s="2266"/>
    </row>
    <row r="2360" spans="1:19" s="2105" customFormat="1" outlineLevel="1">
      <c r="A2360" s="2182" t="str">
        <f>IF(G2360&lt;&gt;0,1,"")</f>
        <v/>
      </c>
      <c r="B2360" s="2261" t="s">
        <v>1489</v>
      </c>
      <c r="C2360" s="2268"/>
      <c r="D2360" s="2152">
        <v>0</v>
      </c>
      <c r="E2360" s="2194" t="s">
        <v>3532</v>
      </c>
      <c r="F2360" s="2152" t="s">
        <v>1823</v>
      </c>
      <c r="G2360" s="2269">
        <f>G2358*2</f>
        <v>0</v>
      </c>
      <c r="H2360" s="2264">
        <v>63200</v>
      </c>
      <c r="I2360" s="2264"/>
      <c r="J2360" s="2264">
        <v>0</v>
      </c>
      <c r="K2360" s="2264">
        <v>0</v>
      </c>
      <c r="L2360" s="2264">
        <f>H2360*G2360</f>
        <v>0</v>
      </c>
      <c r="M2360" s="2264">
        <f>I2360*G2360</f>
        <v>0</v>
      </c>
      <c r="N2360" s="2264">
        <f>J2360*G2360</f>
        <v>0</v>
      </c>
      <c r="O2360" s="2264">
        <f>K2360*G2360</f>
        <v>0</v>
      </c>
      <c r="P2360" s="2265"/>
      <c r="Q2360" s="2266"/>
      <c r="R2360" s="2266"/>
      <c r="S2360" s="2266"/>
    </row>
    <row r="2361" spans="1:19" s="2105" customFormat="1" outlineLevel="1">
      <c r="A2361" s="2182" t="str">
        <f>IF(G2361&lt;&gt;0,1,"")</f>
        <v/>
      </c>
      <c r="B2361" s="2261" t="s">
        <v>86</v>
      </c>
      <c r="C2361" s="2268"/>
      <c r="D2361" s="2152">
        <v>0</v>
      </c>
      <c r="E2361" s="2194" t="s">
        <v>5797</v>
      </c>
      <c r="F2361" s="2152" t="s">
        <v>2555</v>
      </c>
      <c r="G2361" s="2269">
        <f>G2358*2</f>
        <v>0</v>
      </c>
      <c r="H2361" s="2264">
        <v>45400</v>
      </c>
      <c r="I2361" s="2264"/>
      <c r="J2361" s="2264">
        <v>0</v>
      </c>
      <c r="K2361" s="2264">
        <v>0</v>
      </c>
      <c r="L2361" s="2264">
        <f>H2361*G2361</f>
        <v>0</v>
      </c>
      <c r="M2361" s="2264">
        <f>I2361*G2361</f>
        <v>0</v>
      </c>
      <c r="N2361" s="2264">
        <f>J2361*G2361</f>
        <v>0</v>
      </c>
      <c r="O2361" s="2264">
        <f>K2361*G2361</f>
        <v>0</v>
      </c>
      <c r="P2361" s="2265"/>
      <c r="Q2361" s="2266"/>
      <c r="R2361" s="2266"/>
      <c r="S2361" s="2266"/>
    </row>
    <row r="2362" spans="1:19" s="2105" customFormat="1" outlineLevel="1">
      <c r="A2362" s="2182" t="str">
        <f>IF(G2362&lt;&gt;0,1,"")</f>
        <v/>
      </c>
      <c r="B2362" s="2261" t="s">
        <v>931</v>
      </c>
      <c r="C2362" s="2268"/>
      <c r="D2362" s="2152">
        <v>0</v>
      </c>
      <c r="E2362" s="2194" t="s">
        <v>3574</v>
      </c>
      <c r="F2362" s="2152" t="s">
        <v>2555</v>
      </c>
      <c r="G2362" s="2269">
        <f>G2358*1*0</f>
        <v>0</v>
      </c>
      <c r="H2362" s="2264">
        <v>25800</v>
      </c>
      <c r="I2362" s="2264"/>
      <c r="J2362" s="2264">
        <v>0</v>
      </c>
      <c r="K2362" s="2264">
        <v>0</v>
      </c>
      <c r="L2362" s="2264">
        <f>H2362*G2362</f>
        <v>0</v>
      </c>
      <c r="M2362" s="2264">
        <f>I2362*G2362</f>
        <v>0</v>
      </c>
      <c r="N2362" s="2264">
        <f>J2362*G2362</f>
        <v>0</v>
      </c>
      <c r="O2362" s="2264">
        <f>K2362*G2362</f>
        <v>0</v>
      </c>
      <c r="P2362" s="2265"/>
      <c r="Q2362" s="2266"/>
      <c r="R2362" s="2266"/>
      <c r="S2362" s="2266"/>
    </row>
    <row r="2363" spans="1:19" s="2105" customFormat="1" outlineLevel="1">
      <c r="A2363" s="2182" t="str">
        <f>IF(G2363&lt;&gt;0,1,"")</f>
        <v/>
      </c>
      <c r="B2363" s="2261" t="s">
        <v>930</v>
      </c>
      <c r="C2363" s="2268"/>
      <c r="D2363" s="2152">
        <v>0</v>
      </c>
      <c r="E2363" s="2194" t="s">
        <v>3578</v>
      </c>
      <c r="F2363" s="2152" t="s">
        <v>2555</v>
      </c>
      <c r="G2363" s="2269">
        <f>G2362</f>
        <v>0</v>
      </c>
      <c r="H2363" s="2264">
        <v>21500</v>
      </c>
      <c r="I2363" s="2264"/>
      <c r="J2363" s="2264">
        <v>0</v>
      </c>
      <c r="K2363" s="2264">
        <v>0</v>
      </c>
      <c r="L2363" s="2264">
        <f>H2363*G2363</f>
        <v>0</v>
      </c>
      <c r="M2363" s="2264">
        <f>I2363*G2363</f>
        <v>0</v>
      </c>
      <c r="N2363" s="2264">
        <f>J2363*G2363</f>
        <v>0</v>
      </c>
      <c r="O2363" s="2264">
        <f>K2363*G2363</f>
        <v>0</v>
      </c>
      <c r="P2363" s="2265"/>
      <c r="Q2363" s="2266"/>
      <c r="R2363" s="2266"/>
      <c r="S2363" s="2266"/>
    </row>
    <row r="2364" spans="1:19" s="2105" customFormat="1" outlineLevel="1">
      <c r="A2364" s="2182" t="str">
        <f>IF(G2364&lt;&gt;0,1,"")</f>
        <v/>
      </c>
      <c r="B2364" s="2252"/>
      <c r="C2364" s="2258">
        <f>IF(G2364&gt;0,C2358+1,C2358)</f>
        <v>0</v>
      </c>
      <c r="D2364" s="2259"/>
      <c r="E2364" s="2260" t="s">
        <v>6265</v>
      </c>
      <c r="F2364" s="2258" t="s">
        <v>2385</v>
      </c>
      <c r="G2364" s="2358">
        <f>G2333</f>
        <v>0</v>
      </c>
      <c r="H2364" s="2264"/>
      <c r="I2364" s="2264"/>
      <c r="J2364" s="2264"/>
      <c r="K2364" s="2264"/>
      <c r="L2364" s="2264"/>
      <c r="M2364" s="2264"/>
      <c r="N2364" s="2264"/>
      <c r="O2364" s="2264"/>
      <c r="P2364" s="2441"/>
      <c r="Q2364" s="2266"/>
      <c r="R2364" s="2266"/>
      <c r="S2364" s="2266"/>
    </row>
    <row r="2365" spans="1:19" s="2105" customFormat="1" ht="14.4" outlineLevel="1">
      <c r="A2365" s="2182" t="str">
        <f>A2364</f>
        <v/>
      </c>
      <c r="B2365" s="2252"/>
      <c r="C2365" s="2258"/>
      <c r="D2365" s="2259"/>
      <c r="E2365" s="2274" t="s">
        <v>6133</v>
      </c>
      <c r="F2365" s="2258"/>
      <c r="G2365" s="2378"/>
      <c r="H2365" s="2264"/>
      <c r="I2365" s="2264"/>
      <c r="J2365" s="2264"/>
      <c r="K2365" s="2264"/>
      <c r="L2365" s="2264"/>
      <c r="M2365" s="2264"/>
      <c r="N2365" s="2264"/>
      <c r="O2365" s="2264"/>
      <c r="P2365" s="2441"/>
      <c r="Q2365" s="2266"/>
      <c r="R2365" s="2266"/>
      <c r="S2365" s="2266"/>
    </row>
    <row r="2366" spans="1:19" s="2105" customFormat="1" outlineLevel="1">
      <c r="A2366" s="2182" t="str">
        <f>IF(G2366&lt;&gt;0,1,"")</f>
        <v/>
      </c>
      <c r="B2366" s="2261" t="s">
        <v>6158</v>
      </c>
      <c r="C2366" s="2268"/>
      <c r="D2366" s="2152">
        <v>0</v>
      </c>
      <c r="E2366" s="2194" t="s">
        <v>2796</v>
      </c>
      <c r="F2366" s="2152" t="s">
        <v>2532</v>
      </c>
      <c r="G2366" s="2358">
        <f>G2364*7</f>
        <v>0</v>
      </c>
      <c r="H2366" s="2264">
        <v>194893</v>
      </c>
      <c r="I2366" s="2264"/>
      <c r="J2366" s="2264">
        <v>0</v>
      </c>
      <c r="K2366" s="2264">
        <v>0</v>
      </c>
      <c r="L2366" s="2264">
        <f t="shared" ref="L2366:L2371" si="466">H2366*G2366</f>
        <v>0</v>
      </c>
      <c r="M2366" s="2264">
        <f>I2366*G2366</f>
        <v>0</v>
      </c>
      <c r="N2366" s="2264">
        <f>J2366*G2366</f>
        <v>0</v>
      </c>
      <c r="O2366" s="2264">
        <f>K2366*G2366</f>
        <v>0</v>
      </c>
      <c r="P2366" s="2441"/>
      <c r="Q2366" s="2266"/>
      <c r="R2366" s="2266"/>
      <c r="S2366" s="2266"/>
    </row>
    <row r="2367" spans="1:19" s="2105" customFormat="1" outlineLevel="1">
      <c r="A2367" s="2182" t="str">
        <f t="shared" ref="A2367:A2384" si="467">IF(G2367&lt;&gt;0,1,"")</f>
        <v/>
      </c>
      <c r="B2367" s="2261" t="s">
        <v>1222</v>
      </c>
      <c r="C2367" s="2268"/>
      <c r="D2367" s="2152">
        <v>0</v>
      </c>
      <c r="E2367" s="2194" t="s">
        <v>2801</v>
      </c>
      <c r="F2367" s="2152" t="s">
        <v>2532</v>
      </c>
      <c r="G2367" s="2358">
        <f>+G2364*(7*3)</f>
        <v>0</v>
      </c>
      <c r="H2367" s="2264">
        <v>684900</v>
      </c>
      <c r="I2367" s="2264"/>
      <c r="J2367" s="2264">
        <v>0</v>
      </c>
      <c r="K2367" s="2264">
        <v>0</v>
      </c>
      <c r="L2367" s="2264">
        <f t="shared" si="466"/>
        <v>0</v>
      </c>
      <c r="M2367" s="2264">
        <f t="shared" ref="M2367:M2383" si="468">I2367*G2367</f>
        <v>0</v>
      </c>
      <c r="N2367" s="2264">
        <f t="shared" ref="N2367:N2383" si="469">J2367*G2367</f>
        <v>0</v>
      </c>
      <c r="O2367" s="2264">
        <f t="shared" ref="O2367:O2383" si="470">K2367*G2367</f>
        <v>0</v>
      </c>
      <c r="P2367" s="2441"/>
      <c r="Q2367" s="2266"/>
      <c r="R2367" s="2266"/>
      <c r="S2367" s="2266"/>
    </row>
    <row r="2368" spans="1:19" s="2105" customFormat="1" outlineLevel="1">
      <c r="A2368" s="2182" t="str">
        <f>IF(G2368&lt;&gt;0,1,"")</f>
        <v/>
      </c>
      <c r="B2368" s="2261" t="s">
        <v>0</v>
      </c>
      <c r="C2368" s="2268"/>
      <c r="D2368" s="2152" t="s">
        <v>5729</v>
      </c>
      <c r="E2368" s="2194" t="s">
        <v>3483</v>
      </c>
      <c r="F2368" s="2152" t="s">
        <v>2555</v>
      </c>
      <c r="G2368" s="2358">
        <f>G2364*2</f>
        <v>0</v>
      </c>
      <c r="H2368" s="2264">
        <v>36000</v>
      </c>
      <c r="I2368" s="2264"/>
      <c r="J2368" s="2264">
        <v>33342.43</v>
      </c>
      <c r="K2368" s="2264">
        <v>4443.237196</v>
      </c>
      <c r="L2368" s="2264">
        <f t="shared" si="466"/>
        <v>0</v>
      </c>
      <c r="M2368" s="2264">
        <f>I2368*G2368</f>
        <v>0</v>
      </c>
      <c r="N2368" s="2264">
        <f>J2368*G2368</f>
        <v>0</v>
      </c>
      <c r="O2368" s="2264">
        <f>K2368*G2368</f>
        <v>0</v>
      </c>
      <c r="P2368" s="2441"/>
      <c r="Q2368" s="2266"/>
      <c r="R2368" s="2266"/>
      <c r="S2368" s="2266"/>
    </row>
    <row r="2369" spans="1:19" s="2105" customFormat="1" outlineLevel="1">
      <c r="A2369" s="2182" t="str">
        <f>IF(G2369&lt;&gt;0,1,"")</f>
        <v/>
      </c>
      <c r="B2369" s="2261" t="s">
        <v>6268</v>
      </c>
      <c r="C2369" s="2268"/>
      <c r="D2369" s="2152" t="s">
        <v>5732</v>
      </c>
      <c r="E2369" s="2194" t="s">
        <v>3488</v>
      </c>
      <c r="F2369" s="2152" t="s">
        <v>2555</v>
      </c>
      <c r="G2369" s="2358">
        <f>G2364*8</f>
        <v>0</v>
      </c>
      <c r="H2369" s="2264">
        <v>108000</v>
      </c>
      <c r="I2369" s="2264"/>
      <c r="J2369" s="2264">
        <v>59410.148000000001</v>
      </c>
      <c r="K2369" s="2264">
        <v>7775.6650930000005</v>
      </c>
      <c r="L2369" s="2264">
        <f t="shared" si="466"/>
        <v>0</v>
      </c>
      <c r="M2369" s="2264">
        <f>I2369*G2369</f>
        <v>0</v>
      </c>
      <c r="N2369" s="2264">
        <f>J2369*G2369</f>
        <v>0</v>
      </c>
      <c r="O2369" s="2264">
        <f>K2369*G2369</f>
        <v>0</v>
      </c>
      <c r="P2369" s="2441"/>
      <c r="Q2369" s="2266"/>
      <c r="R2369" s="2266"/>
      <c r="S2369" s="2266"/>
    </row>
    <row r="2370" spans="1:19" s="2105" customFormat="1" outlineLevel="1">
      <c r="A2370" s="2182" t="str">
        <f>IF(G2370&lt;&gt;0,1,"")</f>
        <v/>
      </c>
      <c r="B2370" s="2261" t="s">
        <v>91</v>
      </c>
      <c r="C2370" s="2268"/>
      <c r="D2370" s="2152">
        <v>0</v>
      </c>
      <c r="E2370" s="2194" t="s">
        <v>3497</v>
      </c>
      <c r="F2370" s="2152" t="s">
        <v>2555</v>
      </c>
      <c r="G2370" s="2358">
        <f>G2368</f>
        <v>0</v>
      </c>
      <c r="H2370" s="2264">
        <v>5000</v>
      </c>
      <c r="I2370" s="2264"/>
      <c r="J2370" s="2264">
        <v>0</v>
      </c>
      <c r="K2370" s="2264">
        <v>0</v>
      </c>
      <c r="L2370" s="2264">
        <f t="shared" si="466"/>
        <v>0</v>
      </c>
      <c r="M2370" s="2264">
        <f>I2370*G2370</f>
        <v>0</v>
      </c>
      <c r="N2370" s="2264">
        <f>J2370*G2370</f>
        <v>0</v>
      </c>
      <c r="O2370" s="2264">
        <f>K2370*G2370</f>
        <v>0</v>
      </c>
      <c r="P2370" s="2441"/>
      <c r="Q2370" s="2266"/>
      <c r="R2370" s="2266"/>
      <c r="S2370" s="2266"/>
    </row>
    <row r="2371" spans="1:19" s="2105" customFormat="1" outlineLevel="1">
      <c r="A2371" s="2182" t="str">
        <f>IF(G2371&lt;&gt;0,1,"")</f>
        <v/>
      </c>
      <c r="B2371" s="2261" t="s">
        <v>975</v>
      </c>
      <c r="C2371" s="2268"/>
      <c r="D2371" s="2152">
        <v>0</v>
      </c>
      <c r="E2371" s="2194" t="s">
        <v>3502</v>
      </c>
      <c r="F2371" s="2152" t="s">
        <v>2555</v>
      </c>
      <c r="G2371" s="2358">
        <f>G2369</f>
        <v>0</v>
      </c>
      <c r="H2371" s="2264">
        <v>8000</v>
      </c>
      <c r="I2371" s="2264"/>
      <c r="J2371" s="2264">
        <v>0</v>
      </c>
      <c r="K2371" s="2264">
        <v>0</v>
      </c>
      <c r="L2371" s="2264">
        <f t="shared" si="466"/>
        <v>0</v>
      </c>
      <c r="M2371" s="2264">
        <f>I2371*G2371</f>
        <v>0</v>
      </c>
      <c r="N2371" s="2264">
        <f>J2371*G2371</f>
        <v>0</v>
      </c>
      <c r="O2371" s="2264">
        <f>K2371*G2371</f>
        <v>0</v>
      </c>
      <c r="P2371" s="2441"/>
      <c r="Q2371" s="2266"/>
      <c r="R2371" s="2266"/>
      <c r="S2371" s="2266"/>
    </row>
    <row r="2372" spans="1:19" s="2105" customFormat="1" outlineLevel="1">
      <c r="A2372" s="2182">
        <f>IF(G2372=0,0,1)</f>
        <v>0</v>
      </c>
      <c r="B2372" s="2261" t="s">
        <v>1822</v>
      </c>
      <c r="C2372" s="2389"/>
      <c r="D2372" s="2152" t="s">
        <v>1527</v>
      </c>
      <c r="E2372" s="2194" t="s">
        <v>2784</v>
      </c>
      <c r="F2372" s="2501" t="s">
        <v>2532</v>
      </c>
      <c r="G2372" s="2358">
        <f>G2364*10/2</f>
        <v>0</v>
      </c>
      <c r="H2372" s="2416">
        <v>28200</v>
      </c>
      <c r="I2372" s="2264"/>
      <c r="J2372" s="2416">
        <v>0</v>
      </c>
      <c r="K2372" s="2416">
        <v>0</v>
      </c>
      <c r="L2372" s="2416">
        <f t="shared" ref="L2372:O2373" si="471">H2372*$G2372</f>
        <v>0</v>
      </c>
      <c r="M2372" s="2264">
        <f t="shared" si="471"/>
        <v>0</v>
      </c>
      <c r="N2372" s="2416">
        <f t="shared" si="471"/>
        <v>0</v>
      </c>
      <c r="O2372" s="2416">
        <f t="shared" si="471"/>
        <v>0</v>
      </c>
      <c r="P2372" s="2441"/>
      <c r="Q2372" s="2266"/>
      <c r="R2372" s="2266"/>
      <c r="S2372" s="2266"/>
    </row>
    <row r="2373" spans="1:19" s="2105" customFormat="1" outlineLevel="1">
      <c r="A2373" s="2182">
        <f>IF(G2373=0,0,1)</f>
        <v>0</v>
      </c>
      <c r="B2373" s="2261" t="s">
        <v>6269</v>
      </c>
      <c r="C2373" s="2389"/>
      <c r="D2373" s="2152">
        <v>0</v>
      </c>
      <c r="E2373" s="2194" t="s">
        <v>3471</v>
      </c>
      <c r="F2373" s="2501" t="s">
        <v>2555</v>
      </c>
      <c r="G2373" s="2358">
        <f>G2364*8/2</f>
        <v>0</v>
      </c>
      <c r="H2373" s="2416">
        <v>1700</v>
      </c>
      <c r="I2373" s="2264"/>
      <c r="J2373" s="2416">
        <v>0</v>
      </c>
      <c r="K2373" s="2416">
        <v>0</v>
      </c>
      <c r="L2373" s="2416">
        <f t="shared" si="471"/>
        <v>0</v>
      </c>
      <c r="M2373" s="2264">
        <f t="shared" si="471"/>
        <v>0</v>
      </c>
      <c r="N2373" s="2416">
        <f t="shared" si="471"/>
        <v>0</v>
      </c>
      <c r="O2373" s="2416">
        <f t="shared" si="471"/>
        <v>0</v>
      </c>
      <c r="P2373" s="2441"/>
      <c r="Q2373" s="2266"/>
      <c r="R2373" s="2266"/>
      <c r="S2373" s="2266"/>
    </row>
    <row r="2374" spans="1:19" s="2105" customFormat="1" outlineLevel="1">
      <c r="A2374" s="2182" t="str">
        <f t="shared" si="467"/>
        <v/>
      </c>
      <c r="B2374" s="2261" t="s">
        <v>1042</v>
      </c>
      <c r="C2374" s="2268"/>
      <c r="D2374" s="2152">
        <v>0</v>
      </c>
      <c r="E2374" s="2194" t="s">
        <v>3531</v>
      </c>
      <c r="F2374" s="2152" t="s">
        <v>1823</v>
      </c>
      <c r="G2374" s="2358">
        <f>+G2364*4</f>
        <v>0</v>
      </c>
      <c r="H2374" s="2264">
        <v>103700</v>
      </c>
      <c r="I2374" s="2264"/>
      <c r="J2374" s="2264">
        <v>0</v>
      </c>
      <c r="K2374" s="2264">
        <v>0</v>
      </c>
      <c r="L2374" s="2264">
        <f t="shared" ref="L2374:L2383" si="472">H2374*G2374</f>
        <v>0</v>
      </c>
      <c r="M2374" s="2264">
        <f t="shared" si="468"/>
        <v>0</v>
      </c>
      <c r="N2374" s="2264">
        <f t="shared" si="469"/>
        <v>0</v>
      </c>
      <c r="O2374" s="2264">
        <f t="shared" si="470"/>
        <v>0</v>
      </c>
      <c r="P2374" s="2441"/>
      <c r="Q2374" s="2266"/>
      <c r="R2374" s="2266"/>
      <c r="S2374" s="2266"/>
    </row>
    <row r="2375" spans="1:19" s="2105" customFormat="1" outlineLevel="1">
      <c r="A2375" s="2182" t="str">
        <f t="shared" si="467"/>
        <v/>
      </c>
      <c r="B2375" s="2261" t="s">
        <v>4599</v>
      </c>
      <c r="C2375" s="2268"/>
      <c r="D2375" s="2152">
        <v>0</v>
      </c>
      <c r="E2375" s="2194" t="s">
        <v>5798</v>
      </c>
      <c r="F2375" s="2152" t="s">
        <v>2555</v>
      </c>
      <c r="G2375" s="2358"/>
      <c r="H2375" s="2264">
        <v>104800</v>
      </c>
      <c r="I2375" s="2264"/>
      <c r="J2375" s="2264">
        <v>0</v>
      </c>
      <c r="K2375" s="2264">
        <v>0</v>
      </c>
      <c r="L2375" s="2264">
        <f t="shared" si="472"/>
        <v>0</v>
      </c>
      <c r="M2375" s="2264">
        <f t="shared" si="468"/>
        <v>0</v>
      </c>
      <c r="N2375" s="2264">
        <f t="shared" si="469"/>
        <v>0</v>
      </c>
      <c r="O2375" s="2264">
        <f t="shared" si="470"/>
        <v>0</v>
      </c>
      <c r="P2375" s="2441"/>
      <c r="Q2375" s="2266"/>
      <c r="R2375" s="2266"/>
      <c r="S2375" s="2266"/>
    </row>
    <row r="2376" spans="1:19" s="2105" customFormat="1" outlineLevel="1">
      <c r="A2376" s="2182" t="str">
        <f t="shared" si="467"/>
        <v/>
      </c>
      <c r="B2376" s="2261" t="s">
        <v>1346</v>
      </c>
      <c r="C2376" s="2268"/>
      <c r="D2376" s="2152">
        <v>0</v>
      </c>
      <c r="E2376" s="2194" t="s">
        <v>3549</v>
      </c>
      <c r="F2376" s="2152" t="s">
        <v>2555</v>
      </c>
      <c r="G2376" s="2358"/>
      <c r="H2376" s="2264">
        <v>104800</v>
      </c>
      <c r="I2376" s="2264"/>
      <c r="J2376" s="2264">
        <v>0</v>
      </c>
      <c r="K2376" s="2264">
        <v>0</v>
      </c>
      <c r="L2376" s="2264">
        <f t="shared" si="472"/>
        <v>0</v>
      </c>
      <c r="M2376" s="2264">
        <f t="shared" si="468"/>
        <v>0</v>
      </c>
      <c r="N2376" s="2264">
        <f t="shared" si="469"/>
        <v>0</v>
      </c>
      <c r="O2376" s="2264">
        <f t="shared" si="470"/>
        <v>0</v>
      </c>
      <c r="P2376" s="2441"/>
      <c r="Q2376" s="2266"/>
      <c r="R2376" s="2266"/>
      <c r="S2376" s="2266"/>
    </row>
    <row r="2377" spans="1:19" s="2105" customFormat="1" outlineLevel="1">
      <c r="A2377" s="2182" t="str">
        <f t="shared" si="467"/>
        <v/>
      </c>
      <c r="B2377" s="2252" t="s">
        <v>6270</v>
      </c>
      <c r="C2377" s="2268"/>
      <c r="D2377" s="2152">
        <v>0</v>
      </c>
      <c r="E2377" s="2194" t="s">
        <v>5258</v>
      </c>
      <c r="F2377" s="2152" t="s">
        <v>2439</v>
      </c>
      <c r="G2377" s="2358">
        <f>G2364*2</f>
        <v>0</v>
      </c>
      <c r="H2377" s="2264">
        <v>50000</v>
      </c>
      <c r="I2377" s="2264"/>
      <c r="J2377" s="2264">
        <v>0</v>
      </c>
      <c r="K2377" s="2264">
        <v>0</v>
      </c>
      <c r="L2377" s="2264">
        <f t="shared" si="472"/>
        <v>0</v>
      </c>
      <c r="M2377" s="2264">
        <f t="shared" si="468"/>
        <v>0</v>
      </c>
      <c r="N2377" s="2264">
        <f t="shared" si="469"/>
        <v>0</v>
      </c>
      <c r="O2377" s="2264">
        <f t="shared" si="470"/>
        <v>0</v>
      </c>
      <c r="P2377" s="2441"/>
      <c r="Q2377" s="2422"/>
      <c r="R2377" s="2266"/>
      <c r="S2377" s="2266"/>
    </row>
    <row r="2378" spans="1:19" s="2105" customFormat="1" outlineLevel="1">
      <c r="A2378" s="2182" t="str">
        <f t="shared" si="467"/>
        <v/>
      </c>
      <c r="B2378" s="2261" t="s">
        <v>2167</v>
      </c>
      <c r="C2378" s="2268"/>
      <c r="D2378" s="2152">
        <v>0</v>
      </c>
      <c r="E2378" s="2194" t="s">
        <v>3575</v>
      </c>
      <c r="F2378" s="2152" t="s">
        <v>2555</v>
      </c>
      <c r="G2378" s="2358">
        <f>G2364</f>
        <v>0</v>
      </c>
      <c r="H2378" s="2264">
        <v>41900</v>
      </c>
      <c r="I2378" s="2264"/>
      <c r="J2378" s="2264">
        <v>0</v>
      </c>
      <c r="K2378" s="2264">
        <v>0</v>
      </c>
      <c r="L2378" s="2264">
        <f t="shared" si="472"/>
        <v>0</v>
      </c>
      <c r="M2378" s="2264">
        <f t="shared" si="468"/>
        <v>0</v>
      </c>
      <c r="N2378" s="2264">
        <f t="shared" si="469"/>
        <v>0</v>
      </c>
      <c r="O2378" s="2264">
        <f t="shared" si="470"/>
        <v>0</v>
      </c>
      <c r="P2378" s="2441"/>
      <c r="Q2378" s="2266"/>
      <c r="R2378" s="2266"/>
      <c r="S2378" s="2266"/>
    </row>
    <row r="2379" spans="1:19" s="2105" customFormat="1" outlineLevel="1">
      <c r="A2379" s="2182" t="str">
        <f t="shared" si="467"/>
        <v/>
      </c>
      <c r="B2379" s="2261" t="s">
        <v>2168</v>
      </c>
      <c r="C2379" s="2268"/>
      <c r="D2379" s="2152">
        <v>0</v>
      </c>
      <c r="E2379" s="2194" t="s">
        <v>3579</v>
      </c>
      <c r="F2379" s="2152" t="s">
        <v>2555</v>
      </c>
      <c r="G2379" s="2358">
        <f>G2378</f>
        <v>0</v>
      </c>
      <c r="H2379" s="2264">
        <v>41900</v>
      </c>
      <c r="I2379" s="2264"/>
      <c r="J2379" s="2264">
        <v>0</v>
      </c>
      <c r="K2379" s="2264">
        <v>0</v>
      </c>
      <c r="L2379" s="2264">
        <f t="shared" si="472"/>
        <v>0</v>
      </c>
      <c r="M2379" s="2264">
        <f t="shared" si="468"/>
        <v>0</v>
      </c>
      <c r="N2379" s="2264">
        <f t="shared" si="469"/>
        <v>0</v>
      </c>
      <c r="O2379" s="2264">
        <f t="shared" si="470"/>
        <v>0</v>
      </c>
      <c r="P2379" s="2441"/>
      <c r="Q2379" s="2266"/>
      <c r="R2379" s="2266"/>
      <c r="S2379" s="2266"/>
    </row>
    <row r="2380" spans="1:19" s="2105" customFormat="1" outlineLevel="1">
      <c r="A2380" s="2182" t="str">
        <f>IF(G2380&lt;&gt;0,1,"")</f>
        <v/>
      </c>
      <c r="B2380" s="2121" t="s">
        <v>1740</v>
      </c>
      <c r="C2380" s="2268"/>
      <c r="D2380" s="2152">
        <v>0</v>
      </c>
      <c r="E2380" s="2194" t="s">
        <v>5795</v>
      </c>
      <c r="F2380" s="2152" t="s">
        <v>1823</v>
      </c>
      <c r="G2380" s="2378">
        <f>G2364*1.2</f>
        <v>0</v>
      </c>
      <c r="H2380" s="2264">
        <v>58700</v>
      </c>
      <c r="I2380" s="2264"/>
      <c r="J2380" s="2264">
        <v>0</v>
      </c>
      <c r="K2380" s="2264">
        <v>0</v>
      </c>
      <c r="L2380" s="2264">
        <f>H2380*G2380</f>
        <v>0</v>
      </c>
      <c r="M2380" s="2264">
        <f>I2380*G2380</f>
        <v>0</v>
      </c>
      <c r="N2380" s="2264">
        <f>J2380*G2380</f>
        <v>0</v>
      </c>
      <c r="O2380" s="2264">
        <f>K2380*G2380</f>
        <v>0</v>
      </c>
      <c r="P2380" s="2441"/>
      <c r="Q2380" s="2266"/>
      <c r="R2380" s="2266"/>
      <c r="S2380" s="2266"/>
    </row>
    <row r="2381" spans="1:19" s="2105" customFormat="1" outlineLevel="1">
      <c r="A2381" s="2182" t="str">
        <f t="shared" si="467"/>
        <v/>
      </c>
      <c r="B2381" s="2261" t="s">
        <v>2074</v>
      </c>
      <c r="C2381" s="2268"/>
      <c r="D2381" s="2152">
        <v>0</v>
      </c>
      <c r="E2381" s="2194" t="s">
        <v>3570</v>
      </c>
      <c r="F2381" s="2152" t="s">
        <v>3571</v>
      </c>
      <c r="G2381" s="2358">
        <f>G2364</f>
        <v>0</v>
      </c>
      <c r="H2381" s="2264">
        <v>11500</v>
      </c>
      <c r="I2381" s="2264"/>
      <c r="J2381" s="2264">
        <v>0</v>
      </c>
      <c r="K2381" s="2264">
        <v>0</v>
      </c>
      <c r="L2381" s="2264">
        <f t="shared" si="472"/>
        <v>0</v>
      </c>
      <c r="M2381" s="2264">
        <f t="shared" si="468"/>
        <v>0</v>
      </c>
      <c r="N2381" s="2264">
        <f t="shared" si="469"/>
        <v>0</v>
      </c>
      <c r="O2381" s="2264">
        <f t="shared" si="470"/>
        <v>0</v>
      </c>
      <c r="P2381" s="2441"/>
      <c r="Q2381" s="2266"/>
      <c r="R2381" s="2266"/>
      <c r="S2381" s="2266"/>
    </row>
    <row r="2382" spans="1:19" s="2105" customFormat="1" outlineLevel="1">
      <c r="A2382" s="2182" t="str">
        <f t="shared" si="467"/>
        <v/>
      </c>
      <c r="B2382" s="2252" t="s">
        <v>6</v>
      </c>
      <c r="C2382" s="2268"/>
      <c r="D2382" s="2152"/>
      <c r="E2382" s="2194" t="s">
        <v>3567</v>
      </c>
      <c r="F2382" s="2152" t="s">
        <v>5806</v>
      </c>
      <c r="G2382" s="2358">
        <f>G2364</f>
        <v>0</v>
      </c>
      <c r="H2382" s="2264">
        <v>45000</v>
      </c>
      <c r="I2382" s="2264"/>
      <c r="J2382" s="2264"/>
      <c r="K2382" s="2264"/>
      <c r="L2382" s="2264">
        <f t="shared" si="472"/>
        <v>0</v>
      </c>
      <c r="M2382" s="2264">
        <f t="shared" si="468"/>
        <v>0</v>
      </c>
      <c r="N2382" s="2264">
        <f t="shared" si="469"/>
        <v>0</v>
      </c>
      <c r="O2382" s="2264">
        <f t="shared" si="470"/>
        <v>0</v>
      </c>
      <c r="P2382" s="2449"/>
      <c r="Q2382" s="2266"/>
      <c r="R2382" s="2266"/>
      <c r="S2382" s="2266"/>
    </row>
    <row r="2383" spans="1:19" s="2105" customFormat="1" outlineLevel="1">
      <c r="A2383" s="2182" t="str">
        <f t="shared" si="467"/>
        <v/>
      </c>
      <c r="B2383" s="2252" t="s">
        <v>672</v>
      </c>
      <c r="C2383" s="2268"/>
      <c r="D2383" s="2152">
        <v>0</v>
      </c>
      <c r="E2383" s="2194" t="s">
        <v>5801</v>
      </c>
      <c r="F2383" s="2152" t="s">
        <v>3566</v>
      </c>
      <c r="G2383" s="2358">
        <f>G2364*2</f>
        <v>0</v>
      </c>
      <c r="H2383" s="2264">
        <v>6500</v>
      </c>
      <c r="I2383" s="2264"/>
      <c r="J2383" s="2264">
        <v>0</v>
      </c>
      <c r="K2383" s="2264">
        <v>0</v>
      </c>
      <c r="L2383" s="2264">
        <f t="shared" si="472"/>
        <v>0</v>
      </c>
      <c r="M2383" s="2264">
        <f t="shared" si="468"/>
        <v>0</v>
      </c>
      <c r="N2383" s="2264">
        <f t="shared" si="469"/>
        <v>0</v>
      </c>
      <c r="O2383" s="2264">
        <f t="shared" si="470"/>
        <v>0</v>
      </c>
      <c r="P2383" s="2441"/>
      <c r="Q2383" s="2266"/>
      <c r="R2383" s="2266"/>
      <c r="S2383" s="2266"/>
    </row>
    <row r="2384" spans="1:19" s="2105" customFormat="1" outlineLevel="1">
      <c r="A2384" s="2182" t="str">
        <f t="shared" si="467"/>
        <v/>
      </c>
      <c r="B2384" s="2252" t="s">
        <v>247</v>
      </c>
      <c r="C2384" s="2268"/>
      <c r="D2384" s="2152" t="s">
        <v>5573</v>
      </c>
      <c r="E2384" s="2194" t="s">
        <v>5574</v>
      </c>
      <c r="F2384" s="2152" t="s">
        <v>1823</v>
      </c>
      <c r="G2384" s="2358">
        <f>G2367</f>
        <v>0</v>
      </c>
      <c r="H2384" s="2264">
        <v>0</v>
      </c>
      <c r="I2384" s="2264"/>
      <c r="J2384" s="2264">
        <v>47311</v>
      </c>
      <c r="K2384" s="2264">
        <v>0</v>
      </c>
      <c r="L2384" s="2264">
        <f>H2384*G2384</f>
        <v>0</v>
      </c>
      <c r="M2384" s="2264">
        <f>I2384*G2384</f>
        <v>0</v>
      </c>
      <c r="N2384" s="2264">
        <f>J2384*G2384</f>
        <v>0</v>
      </c>
      <c r="O2384" s="2264">
        <f>K2384*G2384</f>
        <v>0</v>
      </c>
      <c r="P2384" s="2441"/>
      <c r="Q2384" s="2266"/>
      <c r="R2384" s="2266"/>
      <c r="S2384" s="2266"/>
    </row>
    <row r="2385" spans="1:19" s="2105" customFormat="1" outlineLevel="1">
      <c r="A2385" s="2182"/>
      <c r="B2385" s="2357"/>
      <c r="C2385" s="2423"/>
      <c r="D2385" s="2424"/>
      <c r="E2385" s="2399"/>
      <c r="F2385" s="2637"/>
      <c r="G2385" s="2638"/>
      <c r="H2385" s="2637"/>
      <c r="I2385" s="2637"/>
      <c r="J2385" s="2647" t="s">
        <v>6131</v>
      </c>
      <c r="K2385" s="2647"/>
      <c r="L2385" s="2425">
        <f>SUM(L2260:L2384)</f>
        <v>0</v>
      </c>
      <c r="M2385" s="2425">
        <f>SUM(M2260:M2384)</f>
        <v>0</v>
      </c>
      <c r="N2385" s="2425">
        <f>SUM(N2260:N2384)</f>
        <v>0</v>
      </c>
      <c r="O2385" s="2425">
        <f>SUM(O2260:O2384)</f>
        <v>0</v>
      </c>
      <c r="P2385" s="2446"/>
      <c r="Q2385" s="2266"/>
      <c r="R2385" s="2266"/>
      <c r="S2385" s="2266"/>
    </row>
    <row r="2386" spans="1:19" s="2105" customFormat="1" ht="9.75" customHeight="1">
      <c r="A2386" s="2386">
        <f>IF(G2391&gt;0,1,)</f>
        <v>0</v>
      </c>
      <c r="B2386" s="2252"/>
      <c r="C2386" s="2266"/>
      <c r="D2386" s="2266"/>
      <c r="E2386" s="2436"/>
      <c r="F2386" s="2266"/>
      <c r="G2386" s="2437"/>
      <c r="H2386" s="2266"/>
      <c r="I2386" s="2266"/>
      <c r="J2386" s="2266"/>
      <c r="K2386" s="2266"/>
      <c r="L2386" s="2266"/>
      <c r="M2386" s="2266"/>
      <c r="N2386" s="2266"/>
      <c r="O2386" s="2266"/>
      <c r="P2386" s="2266"/>
      <c r="Q2386" s="2266"/>
      <c r="R2386" s="2266"/>
      <c r="S2386" s="2266"/>
    </row>
    <row r="2387" spans="1:19" s="2553" customFormat="1" ht="21" customHeight="1" outlineLevel="1">
      <c r="A2387" s="2551">
        <f>A2386</f>
        <v>0</v>
      </c>
      <c r="B2387" s="2552"/>
      <c r="C2387" s="2653" t="str">
        <f>"BẢNG TỔNG HỢP VẬT LIỆU, NHÂN CÔNG, MÁY THI CÔNG: "&amp;K15&amp;" TRẠM 3P_630KVA"</f>
        <v>BẢNG TỔNG HỢP VẬT LIỆU, NHÂN CÔNG, MÁY THI CÔNG: 0 TRẠM 3P_630KVA</v>
      </c>
      <c r="D2387" s="2646"/>
      <c r="E2387" s="2653"/>
      <c r="F2387" s="2653"/>
      <c r="G2387" s="2653"/>
      <c r="H2387" s="2653"/>
      <c r="I2387" s="2653"/>
      <c r="J2387" s="2653"/>
      <c r="K2387" s="2653"/>
      <c r="L2387" s="2653"/>
      <c r="M2387" s="2653"/>
      <c r="N2387" s="2653"/>
      <c r="O2387" s="2653"/>
      <c r="P2387" s="2653"/>
      <c r="R2387" s="2266"/>
    </row>
    <row r="2388" spans="1:19" s="2105" customFormat="1" outlineLevel="1">
      <c r="A2388" s="2182">
        <f>A2386</f>
        <v>0</v>
      </c>
      <c r="B2388" s="2261" t="s">
        <v>6112</v>
      </c>
      <c r="C2388" s="2648" t="s">
        <v>1708</v>
      </c>
      <c r="D2388" s="2649" t="s">
        <v>2597</v>
      </c>
      <c r="E2388" s="2651" t="s">
        <v>2598</v>
      </c>
      <c r="F2388" s="2648" t="s">
        <v>2593</v>
      </c>
      <c r="G2388" s="2109" t="s">
        <v>6113</v>
      </c>
      <c r="H2388" s="2112" t="s">
        <v>6114</v>
      </c>
      <c r="I2388" s="2619"/>
      <c r="J2388" s="2619"/>
      <c r="K2388" s="2620"/>
      <c r="L2388" s="2112" t="s">
        <v>6115</v>
      </c>
      <c r="M2388" s="2619"/>
      <c r="N2388" s="2619"/>
      <c r="O2388" s="2620"/>
      <c r="P2388" s="2648" t="s">
        <v>2599</v>
      </c>
      <c r="Q2388" s="2266"/>
      <c r="R2388" s="2266"/>
      <c r="S2388" s="2266"/>
    </row>
    <row r="2389" spans="1:19" s="2105" customFormat="1" outlineLevel="1">
      <c r="A2389" s="2182">
        <f>A2388</f>
        <v>0</v>
      </c>
      <c r="B2389" s="2261"/>
      <c r="C2389" s="2648"/>
      <c r="D2389" s="2650"/>
      <c r="E2389" s="2652"/>
      <c r="F2389" s="2648"/>
      <c r="G2389" s="2111" t="s">
        <v>2286</v>
      </c>
      <c r="H2389" s="2112" t="s">
        <v>6116</v>
      </c>
      <c r="I2389" s="2112" t="s">
        <v>6117</v>
      </c>
      <c r="J2389" s="2112" t="s">
        <v>6118</v>
      </c>
      <c r="K2389" s="2112" t="s">
        <v>6119</v>
      </c>
      <c r="L2389" s="2112" t="s">
        <v>6116</v>
      </c>
      <c r="M2389" s="2112" t="s">
        <v>6117</v>
      </c>
      <c r="N2389" s="2112" t="s">
        <v>6118</v>
      </c>
      <c r="O2389" s="2112" t="s">
        <v>6119</v>
      </c>
      <c r="P2389" s="2648"/>
      <c r="Q2389" s="2266"/>
      <c r="R2389" s="2266"/>
      <c r="S2389" s="2266"/>
    </row>
    <row r="2390" spans="1:19" s="2105" customFormat="1" outlineLevel="1">
      <c r="A2390" s="2182">
        <f>A2389</f>
        <v>0</v>
      </c>
      <c r="B2390" s="2261"/>
      <c r="C2390" s="2113"/>
      <c r="D2390" s="2114"/>
      <c r="E2390" s="2115" t="s">
        <v>3672</v>
      </c>
      <c r="F2390" s="2116"/>
      <c r="G2390" s="2116"/>
      <c r="H2390" s="2116"/>
      <c r="I2390" s="2116"/>
      <c r="J2390" s="2116"/>
      <c r="K2390" s="2116"/>
      <c r="L2390" s="2116"/>
      <c r="M2390" s="2116"/>
      <c r="N2390" s="2116"/>
      <c r="O2390" s="2114"/>
      <c r="P2390" s="2117"/>
      <c r="Q2390" s="2266"/>
      <c r="R2390" s="2266"/>
      <c r="S2390" s="2266"/>
    </row>
    <row r="2391" spans="1:19" s="2105" customFormat="1" outlineLevel="1">
      <c r="A2391" s="2182" t="str">
        <f t="shared" ref="A2391:A2402" si="473">IF(G2391&lt;&gt;0,1,"")</f>
        <v/>
      </c>
      <c r="B2391" s="2252" t="str">
        <f>IF($F$8=15,"tr630","tr6301")</f>
        <v>tr6301</v>
      </c>
      <c r="C2391" s="2268">
        <f>IF(G2391&gt;0,1,0)</f>
        <v>0</v>
      </c>
      <c r="D2391" s="2152" t="s">
        <v>5593</v>
      </c>
      <c r="E2391" s="2194" t="s">
        <v>6373</v>
      </c>
      <c r="F2391" s="2152" t="s">
        <v>3300</v>
      </c>
      <c r="G2391" s="2270">
        <f>$K$15</f>
        <v>0</v>
      </c>
      <c r="H2391" s="2359">
        <v>384573000</v>
      </c>
      <c r="I2391" s="2359"/>
      <c r="J2391" s="2359">
        <v>1797113</v>
      </c>
      <c r="K2391" s="2359">
        <v>393934</v>
      </c>
      <c r="L2391" s="2360">
        <f t="shared" ref="L2391:L2402" si="474">H2391*G2391</f>
        <v>0</v>
      </c>
      <c r="M2391" s="2360">
        <f t="shared" ref="M2391:M2402" si="475">I2391*G2391</f>
        <v>0</v>
      </c>
      <c r="N2391" s="2360">
        <f t="shared" ref="N2391:N2402" si="476">J2391*G2391</f>
        <v>0</v>
      </c>
      <c r="O2391" s="2361">
        <f t="shared" ref="O2391:O2402" si="477">K2391*G2391</f>
        <v>0</v>
      </c>
      <c r="P2391" s="2388"/>
      <c r="Q2391" s="2266"/>
      <c r="R2391" s="2266"/>
      <c r="S2391" s="2266"/>
    </row>
    <row r="2392" spans="1:19" s="2105" customFormat="1" outlineLevel="1">
      <c r="A2392" s="2182" t="str">
        <f t="shared" si="473"/>
        <v/>
      </c>
      <c r="B2392" s="2118" t="str">
        <f>"FCO100-"&amp;$F$8</f>
        <v>FCO100-22</v>
      </c>
      <c r="C2392" s="2268">
        <f t="shared" ref="C2392:C2397" si="478">IF(G2392&gt;0,C2391+1,C2391)</f>
        <v>0</v>
      </c>
      <c r="D2392" s="2152" t="s">
        <v>5598</v>
      </c>
      <c r="E2392" s="2194" t="s">
        <v>95</v>
      </c>
      <c r="F2392" s="2152" t="s">
        <v>2555</v>
      </c>
      <c r="G2392" s="2270">
        <f>G2391*3</f>
        <v>0</v>
      </c>
      <c r="H2392" s="2264">
        <v>2244280</v>
      </c>
      <c r="I2392" s="2264">
        <v>0</v>
      </c>
      <c r="J2392" s="2264">
        <v>222639.99999999997</v>
      </c>
      <c r="K2392" s="2264">
        <v>0</v>
      </c>
      <c r="L2392" s="2264">
        <f t="shared" si="474"/>
        <v>0</v>
      </c>
      <c r="M2392" s="2264">
        <f t="shared" si="475"/>
        <v>0</v>
      </c>
      <c r="N2392" s="2264">
        <f t="shared" si="476"/>
        <v>0</v>
      </c>
      <c r="O2392" s="2264">
        <f t="shared" si="477"/>
        <v>0</v>
      </c>
      <c r="P2392" s="2389"/>
      <c r="Q2392" s="2266"/>
      <c r="R2392" s="2266"/>
      <c r="S2392" s="2266"/>
    </row>
    <row r="2393" spans="1:19" s="2105" customFormat="1" outlineLevel="1">
      <c r="A2393" s="2182" t="str">
        <f t="shared" si="473"/>
        <v/>
      </c>
      <c r="B2393" s="2252" t="s">
        <v>4503</v>
      </c>
      <c r="C2393" s="2268">
        <f t="shared" si="478"/>
        <v>0</v>
      </c>
      <c r="D2393" s="2152">
        <v>0</v>
      </c>
      <c r="E2393" s="2194" t="s">
        <v>3429</v>
      </c>
      <c r="F2393" s="2152" t="s">
        <v>2600</v>
      </c>
      <c r="G2393" s="2270">
        <f>G2392</f>
        <v>0</v>
      </c>
      <c r="H2393" s="2264">
        <v>116000</v>
      </c>
      <c r="I2393" s="2264">
        <v>0</v>
      </c>
      <c r="J2393" s="2264">
        <v>0</v>
      </c>
      <c r="K2393" s="2264">
        <v>0</v>
      </c>
      <c r="L2393" s="2264">
        <f t="shared" si="474"/>
        <v>0</v>
      </c>
      <c r="M2393" s="2264">
        <f t="shared" si="475"/>
        <v>0</v>
      </c>
      <c r="N2393" s="2264">
        <f t="shared" si="476"/>
        <v>0</v>
      </c>
      <c r="O2393" s="2264">
        <f t="shared" si="477"/>
        <v>0</v>
      </c>
      <c r="P2393" s="2389"/>
      <c r="Q2393" s="2266"/>
      <c r="R2393" s="2266"/>
      <c r="S2393" s="2266"/>
    </row>
    <row r="2394" spans="1:19" s="2105" customFormat="1" outlineLevel="1">
      <c r="A2394" s="2182" t="str">
        <f t="shared" si="473"/>
        <v/>
      </c>
      <c r="B2394" s="2261" t="str">
        <f>"LA"&amp;$F$6</f>
        <v>LA18</v>
      </c>
      <c r="C2394" s="2268">
        <f t="shared" si="478"/>
        <v>0</v>
      </c>
      <c r="D2394" s="2152" t="s">
        <v>5602</v>
      </c>
      <c r="E2394" s="2194" t="s">
        <v>1193</v>
      </c>
      <c r="F2394" s="2152" t="s">
        <v>2555</v>
      </c>
      <c r="G2394" s="2270">
        <f>G2392</f>
        <v>0</v>
      </c>
      <c r="H2394" s="2264">
        <v>1106000</v>
      </c>
      <c r="I2394" s="2264">
        <v>0</v>
      </c>
      <c r="J2394" s="2264">
        <v>83490</v>
      </c>
      <c r="K2394" s="2264">
        <v>0</v>
      </c>
      <c r="L2394" s="2264">
        <f t="shared" si="474"/>
        <v>0</v>
      </c>
      <c r="M2394" s="2264">
        <f t="shared" si="475"/>
        <v>0</v>
      </c>
      <c r="N2394" s="2264">
        <f t="shared" si="476"/>
        <v>0</v>
      </c>
      <c r="O2394" s="2264">
        <f t="shared" si="477"/>
        <v>0</v>
      </c>
      <c r="P2394" s="2389"/>
      <c r="Q2394" s="2266"/>
      <c r="R2394" s="2266"/>
      <c r="S2394" s="2266"/>
    </row>
    <row r="2395" spans="1:19" s="2105" customFormat="1" outlineLevel="1">
      <c r="A2395" s="2182" t="str">
        <f t="shared" si="473"/>
        <v/>
      </c>
      <c r="B2395" s="2357" t="s">
        <v>882</v>
      </c>
      <c r="C2395" s="2268">
        <f t="shared" si="478"/>
        <v>0</v>
      </c>
      <c r="D2395" s="2152">
        <v>0</v>
      </c>
      <c r="E2395" s="2194" t="s">
        <v>3410</v>
      </c>
      <c r="F2395" s="2152" t="s">
        <v>2555</v>
      </c>
      <c r="G2395" s="2270">
        <f>G2391</f>
        <v>0</v>
      </c>
      <c r="H2395" s="2264">
        <v>64843000</v>
      </c>
      <c r="I2395" s="2264">
        <v>0</v>
      </c>
      <c r="J2395" s="2264">
        <v>0</v>
      </c>
      <c r="K2395" s="2264">
        <v>0</v>
      </c>
      <c r="L2395" s="2264">
        <f t="shared" si="474"/>
        <v>0</v>
      </c>
      <c r="M2395" s="2264">
        <f t="shared" si="475"/>
        <v>0</v>
      </c>
      <c r="N2395" s="2264">
        <f t="shared" si="476"/>
        <v>0</v>
      </c>
      <c r="O2395" s="2264">
        <f t="shared" si="477"/>
        <v>0</v>
      </c>
      <c r="P2395" s="2389"/>
      <c r="Q2395" s="2266"/>
      <c r="R2395" s="2266"/>
      <c r="S2395" s="2266"/>
    </row>
    <row r="2396" spans="1:19" s="2105" customFormat="1" outlineLevel="1">
      <c r="A2396" s="2182" t="str">
        <f>IF(G2396&lt;&gt;0,1,"")</f>
        <v/>
      </c>
      <c r="B2396" s="2357" t="s">
        <v>6216</v>
      </c>
      <c r="C2396" s="2268">
        <f t="shared" si="478"/>
        <v>0</v>
      </c>
      <c r="D2396" s="2152">
        <v>0</v>
      </c>
      <c r="E2396" s="2194" t="s">
        <v>5684</v>
      </c>
      <c r="F2396" s="2152" t="s">
        <v>2555</v>
      </c>
      <c r="G2396" s="2270"/>
      <c r="H2396" s="2264">
        <v>6780000</v>
      </c>
      <c r="I2396" s="2264">
        <v>0</v>
      </c>
      <c r="J2396" s="2264">
        <v>0</v>
      </c>
      <c r="K2396" s="2264">
        <v>0</v>
      </c>
      <c r="L2396" s="2264">
        <f>H2396*G2396</f>
        <v>0</v>
      </c>
      <c r="M2396" s="2264">
        <f>I2396*G2396</f>
        <v>0</v>
      </c>
      <c r="N2396" s="2264">
        <f>J2396*G2396</f>
        <v>0</v>
      </c>
      <c r="O2396" s="2264">
        <f>K2396*G2396</f>
        <v>0</v>
      </c>
      <c r="P2396" s="2389"/>
      <c r="Q2396" s="2266"/>
      <c r="R2396" s="2266"/>
      <c r="S2396" s="2266"/>
    </row>
    <row r="2397" spans="1:19" s="2105" customFormat="1" outlineLevel="1">
      <c r="A2397" s="2182" t="str">
        <f>IF(G2397&lt;&gt;0,1,"")</f>
        <v/>
      </c>
      <c r="B2397" s="2357" t="s">
        <v>710</v>
      </c>
      <c r="C2397" s="2268">
        <f t="shared" si="478"/>
        <v>0</v>
      </c>
      <c r="D2397" s="2152">
        <v>0</v>
      </c>
      <c r="E2397" s="2194" t="s">
        <v>5682</v>
      </c>
      <c r="F2397" s="2152" t="s">
        <v>2555</v>
      </c>
      <c r="G2397" s="2270"/>
      <c r="H2397" s="2264">
        <v>4990000</v>
      </c>
      <c r="I2397" s="2264">
        <v>0</v>
      </c>
      <c r="J2397" s="2264">
        <v>0</v>
      </c>
      <c r="K2397" s="2264">
        <v>0</v>
      </c>
      <c r="L2397" s="2264">
        <f>H2397*G2397</f>
        <v>0</v>
      </c>
      <c r="M2397" s="2264">
        <f>I2397*G2397</f>
        <v>0</v>
      </c>
      <c r="N2397" s="2264">
        <f>J2397*G2397</f>
        <v>0</v>
      </c>
      <c r="O2397" s="2264">
        <f>K2397*G2397</f>
        <v>0</v>
      </c>
      <c r="P2397" s="2389"/>
      <c r="Q2397" s="2266"/>
      <c r="R2397" s="2266"/>
      <c r="S2397" s="2266"/>
    </row>
    <row r="2398" spans="1:19" s="2105" customFormat="1" outlineLevel="1">
      <c r="A2398" s="2182" t="str">
        <f>IF(G2398&lt;&gt;0,1,"")</f>
        <v/>
      </c>
      <c r="B2398" s="2357" t="s">
        <v>201</v>
      </c>
      <c r="C2398" s="2268">
        <f>IF(G2398&gt;0,C2396+1,C2396)</f>
        <v>0</v>
      </c>
      <c r="D2398" s="2152">
        <v>0</v>
      </c>
      <c r="E2398" s="2194" t="s">
        <v>3404</v>
      </c>
      <c r="F2398" s="2152" t="s">
        <v>2555</v>
      </c>
      <c r="G2398" s="2270"/>
      <c r="H2398" s="2264">
        <v>1750000</v>
      </c>
      <c r="I2398" s="2264">
        <v>0</v>
      </c>
      <c r="J2398" s="2264">
        <v>0</v>
      </c>
      <c r="K2398" s="2264">
        <v>0</v>
      </c>
      <c r="L2398" s="2264">
        <f>H2398*G2398</f>
        <v>0</v>
      </c>
      <c r="M2398" s="2264">
        <f>I2398*G2398</f>
        <v>0</v>
      </c>
      <c r="N2398" s="2264">
        <f>J2398*G2398</f>
        <v>0</v>
      </c>
      <c r="O2398" s="2264">
        <f>K2398*G2398</f>
        <v>0</v>
      </c>
      <c r="P2398" s="2389"/>
      <c r="Q2398" s="2266"/>
      <c r="R2398" s="2266"/>
      <c r="S2398" s="2266"/>
    </row>
    <row r="2399" spans="1:19" s="2105" customFormat="1" outlineLevel="1">
      <c r="A2399" s="2182" t="str">
        <f t="shared" si="473"/>
        <v/>
      </c>
      <c r="B2399" s="2357" t="s">
        <v>1463</v>
      </c>
      <c r="C2399" s="2268">
        <f>IF(G2399&gt;0,C2395+1,C2395)</f>
        <v>0</v>
      </c>
      <c r="D2399" s="2152" t="s">
        <v>1025</v>
      </c>
      <c r="E2399" s="2194" t="s">
        <v>5620</v>
      </c>
      <c r="F2399" s="2152" t="s">
        <v>3370</v>
      </c>
      <c r="G2399" s="2270">
        <f>G2391</f>
        <v>0</v>
      </c>
      <c r="H2399" s="2264">
        <v>36000000</v>
      </c>
      <c r="I2399" s="2264">
        <v>0</v>
      </c>
      <c r="J2399" s="2264">
        <v>98101</v>
      </c>
      <c r="K2399" s="2264">
        <v>59254</v>
      </c>
      <c r="L2399" s="2264">
        <f t="shared" si="474"/>
        <v>0</v>
      </c>
      <c r="M2399" s="2264">
        <f t="shared" si="475"/>
        <v>0</v>
      </c>
      <c r="N2399" s="2264">
        <f t="shared" si="476"/>
        <v>0</v>
      </c>
      <c r="O2399" s="2264">
        <f t="shared" si="477"/>
        <v>0</v>
      </c>
      <c r="P2399" s="2389"/>
      <c r="Q2399" s="2266"/>
      <c r="R2399" s="2266"/>
      <c r="S2399" s="2266"/>
    </row>
    <row r="2400" spans="1:19" s="2105" customFormat="1" outlineLevel="1">
      <c r="A2400" s="2182" t="str">
        <f>IF(G2400&lt;&gt;0,1,"")</f>
        <v/>
      </c>
      <c r="B2400" s="2249" t="s">
        <v>1729</v>
      </c>
      <c r="C2400" s="2268">
        <f>IF(G2400&gt;0,C2398+1,C2398)</f>
        <v>0</v>
      </c>
      <c r="D2400" s="2152">
        <v>0</v>
      </c>
      <c r="E2400" s="2194" t="s">
        <v>3346</v>
      </c>
      <c r="F2400" s="2152" t="s">
        <v>2555</v>
      </c>
      <c r="G2400" s="2270">
        <f>G2391*3</f>
        <v>0</v>
      </c>
      <c r="H2400" s="2264">
        <v>0</v>
      </c>
      <c r="I2400" s="2264">
        <v>0</v>
      </c>
      <c r="J2400" s="2264">
        <v>0</v>
      </c>
      <c r="K2400" s="2264">
        <v>0</v>
      </c>
      <c r="L2400" s="2264">
        <f>H2400*G2400</f>
        <v>0</v>
      </c>
      <c r="M2400" s="2264">
        <f>I2400*G2400</f>
        <v>0</v>
      </c>
      <c r="N2400" s="2264">
        <f>J2400*G2400</f>
        <v>0</v>
      </c>
      <c r="O2400" s="2264">
        <f>K2400*G2400</f>
        <v>0</v>
      </c>
      <c r="P2400" s="2391" t="s">
        <v>2601</v>
      </c>
      <c r="Q2400" s="2266"/>
      <c r="R2400" s="2266"/>
      <c r="S2400" s="2266"/>
    </row>
    <row r="2401" spans="1:19" s="2105" customFormat="1" outlineLevel="1">
      <c r="A2401" s="2182" t="str">
        <f t="shared" si="473"/>
        <v/>
      </c>
      <c r="B2401" s="2249" t="s">
        <v>2187</v>
      </c>
      <c r="C2401" s="2268">
        <f>IF(G2401&gt;0,C2399+1,C2399)</f>
        <v>0</v>
      </c>
      <c r="D2401" s="2152">
        <v>0</v>
      </c>
      <c r="E2401" s="2194" t="s">
        <v>5611</v>
      </c>
      <c r="F2401" s="2152" t="s">
        <v>2555</v>
      </c>
      <c r="G2401" s="2270">
        <f>G2391*3</f>
        <v>0</v>
      </c>
      <c r="H2401" s="2264">
        <v>0</v>
      </c>
      <c r="I2401" s="2264">
        <v>0</v>
      </c>
      <c r="J2401" s="2264"/>
      <c r="K2401" s="2264"/>
      <c r="L2401" s="2264">
        <f t="shared" si="474"/>
        <v>0</v>
      </c>
      <c r="M2401" s="2264">
        <f t="shared" si="475"/>
        <v>0</v>
      </c>
      <c r="N2401" s="2264">
        <f t="shared" si="476"/>
        <v>0</v>
      </c>
      <c r="O2401" s="2264">
        <f t="shared" si="477"/>
        <v>0</v>
      </c>
      <c r="P2401" s="2391" t="s">
        <v>2601</v>
      </c>
      <c r="Q2401" s="2266"/>
      <c r="R2401" s="2266"/>
      <c r="S2401" s="2266"/>
    </row>
    <row r="2402" spans="1:19" s="2105" customFormat="1" outlineLevel="1">
      <c r="A2402" s="2182" t="str">
        <f t="shared" si="473"/>
        <v/>
      </c>
      <c r="B2402" s="2252" t="s">
        <v>288</v>
      </c>
      <c r="C2402" s="2268">
        <f>IF(G2402&gt;0,C2401+1,C2401)</f>
        <v>0</v>
      </c>
      <c r="D2402" s="2152">
        <v>0</v>
      </c>
      <c r="E2402" s="2194" t="s">
        <v>3441</v>
      </c>
      <c r="F2402" s="2152" t="s">
        <v>2555</v>
      </c>
      <c r="G2402" s="2270">
        <f>G2391</f>
        <v>0</v>
      </c>
      <c r="H2402" s="2264">
        <v>0</v>
      </c>
      <c r="I2402" s="2264">
        <v>0</v>
      </c>
      <c r="J2402" s="2264">
        <v>0</v>
      </c>
      <c r="K2402" s="2264">
        <v>0</v>
      </c>
      <c r="L2402" s="2264">
        <f t="shared" si="474"/>
        <v>0</v>
      </c>
      <c r="M2402" s="2360">
        <f t="shared" si="475"/>
        <v>0</v>
      </c>
      <c r="N2402" s="2360">
        <f t="shared" si="476"/>
        <v>0</v>
      </c>
      <c r="O2402" s="2361">
        <f t="shared" si="477"/>
        <v>0</v>
      </c>
      <c r="P2402" s="2392" t="s">
        <v>2601</v>
      </c>
      <c r="Q2402" s="2266"/>
      <c r="R2402" s="2266"/>
      <c r="S2402" s="2266"/>
    </row>
    <row r="2403" spans="1:19" s="2105" customFormat="1" outlineLevel="1">
      <c r="A2403" s="2182">
        <f>A2386</f>
        <v>0</v>
      </c>
      <c r="B2403" s="2261"/>
      <c r="C2403" s="2393"/>
      <c r="D2403" s="2394"/>
      <c r="E2403" s="2395"/>
      <c r="F2403" s="2393"/>
      <c r="G2403" s="2636"/>
      <c r="H2403" s="2393"/>
      <c r="I2403" s="2393"/>
      <c r="J2403" s="2117" t="s">
        <v>6121</v>
      </c>
      <c r="K2403" s="2393"/>
      <c r="L2403" s="2395">
        <f>SUM(L2391:L2402)</f>
        <v>0</v>
      </c>
      <c r="M2403" s="2395">
        <f>SUM(M2391:M2402)</f>
        <v>0</v>
      </c>
      <c r="N2403" s="2395">
        <f>SUM(N2391:N2402)</f>
        <v>0</v>
      </c>
      <c r="O2403" s="2395">
        <f>SUM(O2391:O2402)</f>
        <v>0</v>
      </c>
      <c r="P2403" s="2396"/>
      <c r="Q2403" s="2266"/>
      <c r="R2403" s="2266"/>
      <c r="S2403" s="2266"/>
    </row>
    <row r="2404" spans="1:19" s="2105" customFormat="1" outlineLevel="1">
      <c r="A2404" s="2182">
        <f>A2386</f>
        <v>0</v>
      </c>
      <c r="B2404" s="2261"/>
      <c r="C2404" s="2397"/>
      <c r="D2404" s="2398"/>
      <c r="E2404" s="2399" t="s">
        <v>3673</v>
      </c>
      <c r="F2404" s="2399"/>
      <c r="G2404" s="2400"/>
      <c r="H2404" s="2399"/>
      <c r="I2404" s="2399"/>
      <c r="J2404" s="2399"/>
      <c r="K2404" s="2399"/>
      <c r="L2404" s="2399"/>
      <c r="M2404" s="2399"/>
      <c r="N2404" s="2399"/>
      <c r="O2404" s="2398"/>
      <c r="P2404" s="2396"/>
      <c r="Q2404" s="2266"/>
      <c r="R2404" s="2266"/>
      <c r="S2404" s="2266"/>
    </row>
    <row r="2405" spans="1:19" s="2105" customFormat="1" outlineLevel="1">
      <c r="A2405" s="2182" t="str">
        <f t="shared" ref="A2405:A2423" si="479">IF(G2405&lt;&gt;0,1,"")</f>
        <v/>
      </c>
      <c r="B2405" s="2401"/>
      <c r="C2405" s="2402">
        <f>IF(G2405&gt;0,1,0)</f>
        <v>0</v>
      </c>
      <c r="D2405" s="2152"/>
      <c r="E2405" s="2403" t="s">
        <v>6122</v>
      </c>
      <c r="F2405" s="2404" t="s">
        <v>2277</v>
      </c>
      <c r="G2405" s="2405">
        <f>G2391*2*0</f>
        <v>0</v>
      </c>
      <c r="H2405" s="2404"/>
      <c r="I2405" s="2404"/>
      <c r="J2405" s="2404"/>
      <c r="K2405" s="2404"/>
      <c r="L2405" s="2405"/>
      <c r="M2405" s="2405"/>
      <c r="N2405" s="2405"/>
      <c r="O2405" s="2406"/>
      <c r="P2405" s="2389"/>
      <c r="Q2405" s="2266"/>
      <c r="R2405" s="2266"/>
      <c r="S2405" s="2266"/>
    </row>
    <row r="2406" spans="1:19" s="2105" customFormat="1" outlineLevel="1">
      <c r="A2406" s="2182" t="str">
        <f t="shared" si="479"/>
        <v/>
      </c>
      <c r="B2406" s="2357" t="s">
        <v>115</v>
      </c>
      <c r="C2406" s="2407"/>
      <c r="D2406" s="2152"/>
      <c r="E2406" s="2408" t="s">
        <v>2992</v>
      </c>
      <c r="F2406" s="2152" t="s">
        <v>2831</v>
      </c>
      <c r="G2406" s="2152">
        <f>G2405</f>
        <v>0</v>
      </c>
      <c r="H2406" s="2359">
        <v>4400000</v>
      </c>
      <c r="I2406" s="2258"/>
      <c r="J2406" s="2359"/>
      <c r="K2406" s="2258"/>
      <c r="L2406" s="2360">
        <f>H2406*G2406</f>
        <v>0</v>
      </c>
      <c r="M2406" s="2360">
        <f>I2406*G2406</f>
        <v>0</v>
      </c>
      <c r="N2406" s="2360">
        <f>J2406*G2406</f>
        <v>0</v>
      </c>
      <c r="O2406" s="2360">
        <f>K2406*G2406</f>
        <v>0</v>
      </c>
      <c r="P2406" s="2389"/>
      <c r="Q2406" s="2266"/>
      <c r="R2406" s="2266"/>
      <c r="S2406" s="2266"/>
    </row>
    <row r="2407" spans="1:19" s="2105" customFormat="1" outlineLevel="1">
      <c r="A2407" s="2182" t="str">
        <f t="shared" si="479"/>
        <v/>
      </c>
      <c r="B2407" s="2357" t="s">
        <v>1814</v>
      </c>
      <c r="C2407" s="2407"/>
      <c r="D2407" s="2152"/>
      <c r="E2407" s="2408" t="s">
        <v>2830</v>
      </c>
      <c r="F2407" s="2152" t="s">
        <v>2831</v>
      </c>
      <c r="G2407" s="2152">
        <f>G2406</f>
        <v>0</v>
      </c>
      <c r="H2407" s="2359">
        <v>17400</v>
      </c>
      <c r="I2407" s="2359"/>
      <c r="J2407" s="2258"/>
      <c r="K2407" s="2258"/>
      <c r="L2407" s="2360">
        <f>H2407*G2407</f>
        <v>0</v>
      </c>
      <c r="M2407" s="2360">
        <f>I2407*G2407</f>
        <v>0</v>
      </c>
      <c r="N2407" s="2360">
        <f>J2407*G2407</f>
        <v>0</v>
      </c>
      <c r="O2407" s="2360">
        <f>K2407*G2407</f>
        <v>0</v>
      </c>
      <c r="P2407" s="2389"/>
      <c r="Q2407" s="2266"/>
      <c r="R2407" s="2266"/>
      <c r="S2407" s="2266"/>
    </row>
    <row r="2408" spans="1:19" s="2105" customFormat="1" outlineLevel="1">
      <c r="A2408" s="2182" t="str">
        <f t="shared" si="479"/>
        <v/>
      </c>
      <c r="B2408" s="2357" t="s">
        <v>643</v>
      </c>
      <c r="C2408" s="2407"/>
      <c r="D2408" s="2152" t="s">
        <v>2127</v>
      </c>
      <c r="E2408" s="2408" t="s">
        <v>3167</v>
      </c>
      <c r="F2408" s="2152" t="s">
        <v>2831</v>
      </c>
      <c r="G2408" s="2152">
        <f>G2406</f>
        <v>0</v>
      </c>
      <c r="H2408" s="2408"/>
      <c r="I2408" s="2359"/>
      <c r="J2408" s="2359">
        <v>112286</v>
      </c>
      <c r="K2408" s="2359">
        <v>105970</v>
      </c>
      <c r="L2408" s="2360">
        <f>H2408*G2408</f>
        <v>0</v>
      </c>
      <c r="M2408" s="2360">
        <f>I2408*G2408</f>
        <v>0</v>
      </c>
      <c r="N2408" s="2360">
        <f>J2408*G2408</f>
        <v>0</v>
      </c>
      <c r="O2408" s="2360">
        <f>K2408*G2408</f>
        <v>0</v>
      </c>
      <c r="P2408" s="2389"/>
      <c r="Q2408" s="2266"/>
      <c r="R2408" s="2266"/>
      <c r="S2408" s="2266"/>
    </row>
    <row r="2409" spans="1:19" s="2105" customFormat="1" outlineLevel="1">
      <c r="A2409" s="2182" t="str">
        <f t="shared" si="479"/>
        <v/>
      </c>
      <c r="B2409" s="2401"/>
      <c r="C2409" s="2402">
        <f>IF(G2409&gt;0,1,0)</f>
        <v>0</v>
      </c>
      <c r="D2409" s="2152"/>
      <c r="E2409" s="2403" t="s">
        <v>6217</v>
      </c>
      <c r="F2409" s="2404" t="s">
        <v>2277</v>
      </c>
      <c r="G2409" s="2405"/>
      <c r="H2409" s="2404"/>
      <c r="I2409" s="2404"/>
      <c r="J2409" s="2404"/>
      <c r="K2409" s="2404"/>
      <c r="L2409" s="2405"/>
      <c r="M2409" s="2405"/>
      <c r="N2409" s="2405"/>
      <c r="O2409" s="2406"/>
      <c r="P2409" s="2265"/>
      <c r="Q2409" s="2266"/>
      <c r="R2409" s="2266"/>
      <c r="S2409" s="2266"/>
    </row>
    <row r="2410" spans="1:19" s="2105" customFormat="1" outlineLevel="1">
      <c r="A2410" s="2182" t="str">
        <f t="shared" si="479"/>
        <v/>
      </c>
      <c r="B2410" s="2357" t="s">
        <v>114</v>
      </c>
      <c r="C2410" s="2407"/>
      <c r="D2410" s="2152"/>
      <c r="E2410" s="2408" t="s">
        <v>2991</v>
      </c>
      <c r="F2410" s="2152" t="s">
        <v>2831</v>
      </c>
      <c r="G2410" s="2152">
        <f>G2409</f>
        <v>0</v>
      </c>
      <c r="H2410" s="2359">
        <v>4200000</v>
      </c>
      <c r="I2410" s="2258"/>
      <c r="J2410" s="2359"/>
      <c r="K2410" s="2258"/>
      <c r="L2410" s="2360">
        <f>H2410*G2410</f>
        <v>0</v>
      </c>
      <c r="M2410" s="2360">
        <f>I2410*G2410</f>
        <v>0</v>
      </c>
      <c r="N2410" s="2360">
        <f>J2410*G2410</f>
        <v>0</v>
      </c>
      <c r="O2410" s="2360">
        <f>K2410*G2410</f>
        <v>0</v>
      </c>
      <c r="P2410" s="2265"/>
      <c r="Q2410" s="2266"/>
      <c r="R2410" s="2266"/>
      <c r="S2410" s="2266"/>
    </row>
    <row r="2411" spans="1:19" s="2105" customFormat="1" outlineLevel="1">
      <c r="A2411" s="2182" t="str">
        <f t="shared" si="479"/>
        <v/>
      </c>
      <c r="B2411" s="2357" t="s">
        <v>1814</v>
      </c>
      <c r="C2411" s="2407"/>
      <c r="D2411" s="2152"/>
      <c r="E2411" s="2408" t="s">
        <v>2830</v>
      </c>
      <c r="F2411" s="2152" t="s">
        <v>2831</v>
      </c>
      <c r="G2411" s="2152">
        <f>G2410</f>
        <v>0</v>
      </c>
      <c r="H2411" s="2359">
        <v>17400</v>
      </c>
      <c r="I2411" s="2359"/>
      <c r="J2411" s="2258"/>
      <c r="K2411" s="2258"/>
      <c r="L2411" s="2360">
        <f>H2411*G2411</f>
        <v>0</v>
      </c>
      <c r="M2411" s="2360">
        <f>I2411*G2411</f>
        <v>0</v>
      </c>
      <c r="N2411" s="2360">
        <f>J2411*G2411</f>
        <v>0</v>
      </c>
      <c r="O2411" s="2360">
        <f>K2411*G2411</f>
        <v>0</v>
      </c>
      <c r="P2411" s="2265"/>
      <c r="Q2411" s="2266"/>
      <c r="R2411" s="2266"/>
      <c r="S2411" s="2266"/>
    </row>
    <row r="2412" spans="1:19" s="2105" customFormat="1" outlineLevel="1">
      <c r="A2412" s="2182" t="str">
        <f t="shared" si="479"/>
        <v/>
      </c>
      <c r="B2412" s="2357" t="s">
        <v>644</v>
      </c>
      <c r="C2412" s="2407"/>
      <c r="D2412" s="2152" t="s">
        <v>2127</v>
      </c>
      <c r="E2412" s="2408" t="s">
        <v>3168</v>
      </c>
      <c r="F2412" s="2152" t="s">
        <v>2831</v>
      </c>
      <c r="G2412" s="2152">
        <f>G2410</f>
        <v>0</v>
      </c>
      <c r="H2412" s="2408"/>
      <c r="I2412" s="2359"/>
      <c r="J2412" s="2359">
        <v>112286</v>
      </c>
      <c r="K2412" s="2359">
        <v>105970</v>
      </c>
      <c r="L2412" s="2360">
        <f>H2412*G2412</f>
        <v>0</v>
      </c>
      <c r="M2412" s="2360">
        <f>I2412*G2412</f>
        <v>0</v>
      </c>
      <c r="N2412" s="2360">
        <f>J2412*G2412</f>
        <v>0</v>
      </c>
      <c r="O2412" s="2360">
        <f>K2412*G2412</f>
        <v>0</v>
      </c>
      <c r="P2412" s="2265"/>
      <c r="Q2412" s="2266"/>
      <c r="R2412" s="2266"/>
      <c r="S2412" s="2266"/>
    </row>
    <row r="2413" spans="1:19" s="2105" customFormat="1" outlineLevel="1">
      <c r="A2413" s="2182" t="str">
        <f t="shared" si="479"/>
        <v/>
      </c>
      <c r="B2413" s="2357"/>
      <c r="C2413" s="2258">
        <f>IF(G2413&gt;0,C2405+1,C2405)</f>
        <v>0</v>
      </c>
      <c r="D2413" s="2152"/>
      <c r="E2413" s="2403" t="s">
        <v>2352</v>
      </c>
      <c r="F2413" s="2404" t="s">
        <v>2327</v>
      </c>
      <c r="G2413" s="2409"/>
      <c r="H2413" s="2258"/>
      <c r="I2413" s="2258"/>
      <c r="J2413" s="2258"/>
      <c r="K2413" s="2258"/>
      <c r="L2413" s="2258"/>
      <c r="M2413" s="2258"/>
      <c r="N2413" s="2258"/>
      <c r="O2413" s="2410"/>
      <c r="P2413" s="2389"/>
      <c r="Q2413" s="2266"/>
      <c r="R2413" s="2266"/>
      <c r="S2413" s="2266"/>
    </row>
    <row r="2414" spans="1:19" s="2105" customFormat="1" outlineLevel="1">
      <c r="A2414" s="2182" t="str">
        <f t="shared" si="479"/>
        <v/>
      </c>
      <c r="B2414" s="2357" t="s">
        <v>636</v>
      </c>
      <c r="C2414" s="2407"/>
      <c r="D2414" s="2152" t="s">
        <v>5047</v>
      </c>
      <c r="E2414" s="2408" t="s">
        <v>2607</v>
      </c>
      <c r="F2414" s="2152" t="s">
        <v>2555</v>
      </c>
      <c r="G2414" s="2152">
        <f>G2413</f>
        <v>0</v>
      </c>
      <c r="H2414" s="2359">
        <v>354545</v>
      </c>
      <c r="I2414" s="2359"/>
      <c r="J2414" s="2359">
        <v>37220.25</v>
      </c>
      <c r="K2414" s="2258"/>
      <c r="L2414" s="2360">
        <f>H2414*G2414</f>
        <v>0</v>
      </c>
      <c r="M2414" s="2360">
        <f>I2414*G2414</f>
        <v>0</v>
      </c>
      <c r="N2414" s="2360">
        <f>J2414*G2414</f>
        <v>0</v>
      </c>
      <c r="O2414" s="2360">
        <f>K2414*G2414</f>
        <v>0</v>
      </c>
      <c r="P2414" s="2389"/>
      <c r="Q2414" s="2266"/>
      <c r="R2414" s="2266"/>
      <c r="S2414" s="2266"/>
    </row>
    <row r="2415" spans="1:19" s="2105" customFormat="1" outlineLevel="1">
      <c r="A2415" s="2182" t="str">
        <f t="shared" si="479"/>
        <v/>
      </c>
      <c r="B2415" s="2357" t="s">
        <v>566</v>
      </c>
      <c r="C2415" s="2407"/>
      <c r="D2415" s="2152"/>
      <c r="E2415" s="2408" t="s">
        <v>5072</v>
      </c>
      <c r="F2415" s="2152" t="s">
        <v>2439</v>
      </c>
      <c r="G2415" s="2152">
        <f>G2414</f>
        <v>0</v>
      </c>
      <c r="H2415" s="2359">
        <v>92200</v>
      </c>
      <c r="I2415" s="2408"/>
      <c r="J2415" s="2408"/>
      <c r="K2415" s="2258"/>
      <c r="L2415" s="2360">
        <f>H2415*G2415</f>
        <v>0</v>
      </c>
      <c r="M2415" s="2360">
        <f>I2415*G2415</f>
        <v>0</v>
      </c>
      <c r="N2415" s="2360">
        <f>J2415*G2415</f>
        <v>0</v>
      </c>
      <c r="O2415" s="2360">
        <f>K2415*G2415</f>
        <v>0</v>
      </c>
      <c r="P2415" s="2389"/>
      <c r="Q2415" s="2266"/>
      <c r="R2415" s="2266"/>
      <c r="S2415" s="2266"/>
    </row>
    <row r="2416" spans="1:19" s="2105" customFormat="1" outlineLevel="1">
      <c r="A2416" s="2182" t="str">
        <f t="shared" si="479"/>
        <v/>
      </c>
      <c r="B2416" s="2357" t="s">
        <v>639</v>
      </c>
      <c r="C2416" s="2407"/>
      <c r="D2416" s="2152" t="s">
        <v>1747</v>
      </c>
      <c r="E2416" s="2408" t="s">
        <v>5324</v>
      </c>
      <c r="F2416" s="2152" t="s">
        <v>856</v>
      </c>
      <c r="G2416" s="2270">
        <f>1.45*G2414</f>
        <v>0</v>
      </c>
      <c r="H2416" s="2359">
        <v>0</v>
      </c>
      <c r="I2416" s="2359"/>
      <c r="J2416" s="2359">
        <v>296500.89999999997</v>
      </c>
      <c r="K2416" s="2258"/>
      <c r="L2416" s="2360">
        <f>H2416*G2416</f>
        <v>0</v>
      </c>
      <c r="M2416" s="2360">
        <f>I2416*G2416</f>
        <v>0</v>
      </c>
      <c r="N2416" s="2360">
        <f>J2416*G2416</f>
        <v>0</v>
      </c>
      <c r="O2416" s="2360">
        <f>K2416*G2416</f>
        <v>0</v>
      </c>
      <c r="P2416" s="2389"/>
      <c r="Q2416" s="2266"/>
      <c r="R2416" s="2266"/>
      <c r="S2416" s="2266"/>
    </row>
    <row r="2417" spans="1:19" s="2105" customFormat="1" outlineLevel="1">
      <c r="A2417" s="2182" t="str">
        <f t="shared" si="479"/>
        <v/>
      </c>
      <c r="B2417" s="2357" t="s">
        <v>21</v>
      </c>
      <c r="C2417" s="2407"/>
      <c r="D2417" s="2152" t="s">
        <v>5325</v>
      </c>
      <c r="E2417" s="2408" t="s">
        <v>5326</v>
      </c>
      <c r="F2417" s="2152" t="s">
        <v>856</v>
      </c>
      <c r="G2417" s="2270">
        <f>1.37*G2413</f>
        <v>0</v>
      </c>
      <c r="H2417" s="2359">
        <v>0</v>
      </c>
      <c r="I2417" s="2359"/>
      <c r="J2417" s="2359">
        <v>117703.6</v>
      </c>
      <c r="K2417" s="2258"/>
      <c r="L2417" s="2360">
        <f>H2417*G2417</f>
        <v>0</v>
      </c>
      <c r="M2417" s="2360">
        <f>I2417*G2417</f>
        <v>0</v>
      </c>
      <c r="N2417" s="2360">
        <f>J2417*G2417</f>
        <v>0</v>
      </c>
      <c r="O2417" s="2360">
        <f>K2417*G2417</f>
        <v>0</v>
      </c>
      <c r="P2417" s="2389"/>
      <c r="Q2417" s="2266"/>
      <c r="R2417" s="2266"/>
      <c r="S2417" s="2266"/>
    </row>
    <row r="2418" spans="1:19" s="2105" customFormat="1" outlineLevel="1">
      <c r="A2418" s="2182" t="str">
        <f t="shared" si="479"/>
        <v/>
      </c>
      <c r="B2418" s="2357"/>
      <c r="C2418" s="2258">
        <f>IF(G2418&gt;0,C2410+1,C2410)</f>
        <v>0</v>
      </c>
      <c r="D2418" s="2152"/>
      <c r="E2418" s="2403" t="s">
        <v>3713</v>
      </c>
      <c r="F2418" s="2404" t="s">
        <v>2327</v>
      </c>
      <c r="G2418" s="2409"/>
      <c r="H2418" s="2258"/>
      <c r="I2418" s="2258"/>
      <c r="J2418" s="2258"/>
      <c r="K2418" s="2258"/>
      <c r="L2418" s="2258"/>
      <c r="M2418" s="2258"/>
      <c r="N2418" s="2258"/>
      <c r="O2418" s="2410"/>
      <c r="P2418" s="2265"/>
      <c r="Q2418" s="2266"/>
      <c r="R2418" s="2266"/>
      <c r="S2418" s="2266"/>
    </row>
    <row r="2419" spans="1:19" s="2105" customFormat="1" outlineLevel="1">
      <c r="A2419" s="2182" t="str">
        <f t="shared" si="479"/>
        <v/>
      </c>
      <c r="B2419" s="2357" t="s">
        <v>636</v>
      </c>
      <c r="C2419" s="2407"/>
      <c r="D2419" s="2152" t="s">
        <v>5047</v>
      </c>
      <c r="E2419" s="2408" t="s">
        <v>2607</v>
      </c>
      <c r="F2419" s="2152" t="s">
        <v>2555</v>
      </c>
      <c r="G2419" s="2152">
        <f>G2418</f>
        <v>0</v>
      </c>
      <c r="H2419" s="2359">
        <v>354545</v>
      </c>
      <c r="I2419" s="2359"/>
      <c r="J2419" s="2359">
        <v>37220.25</v>
      </c>
      <c r="K2419" s="2258"/>
      <c r="L2419" s="2360">
        <f>H2419*G2419</f>
        <v>0</v>
      </c>
      <c r="M2419" s="2360">
        <f>I2419*G2419</f>
        <v>0</v>
      </c>
      <c r="N2419" s="2360">
        <f>J2419*G2419</f>
        <v>0</v>
      </c>
      <c r="O2419" s="2360">
        <f>K2419*G2419</f>
        <v>0</v>
      </c>
      <c r="P2419" s="2265"/>
      <c r="Q2419" s="2266"/>
      <c r="R2419" s="2266"/>
      <c r="S2419" s="2266"/>
    </row>
    <row r="2420" spans="1:19" s="2105" customFormat="1" outlineLevel="1">
      <c r="A2420" s="2182" t="str">
        <f t="shared" si="479"/>
        <v/>
      </c>
      <c r="B2420" s="2357" t="s">
        <v>566</v>
      </c>
      <c r="C2420" s="2407"/>
      <c r="D2420" s="2152"/>
      <c r="E2420" s="2408" t="s">
        <v>5072</v>
      </c>
      <c r="F2420" s="2152" t="s">
        <v>2439</v>
      </c>
      <c r="G2420" s="2152">
        <f>G2419</f>
        <v>0</v>
      </c>
      <c r="H2420" s="2359">
        <v>92200</v>
      </c>
      <c r="I2420" s="2408"/>
      <c r="J2420" s="2408"/>
      <c r="K2420" s="2258"/>
      <c r="L2420" s="2360">
        <f>H2420*G2420</f>
        <v>0</v>
      </c>
      <c r="M2420" s="2360">
        <f>I2420*G2420</f>
        <v>0</v>
      </c>
      <c r="N2420" s="2360">
        <f>J2420*G2420</f>
        <v>0</v>
      </c>
      <c r="O2420" s="2360">
        <f>K2420*G2420</f>
        <v>0</v>
      </c>
      <c r="P2420" s="2265"/>
      <c r="Q2420" s="2266"/>
      <c r="R2420" s="2266"/>
      <c r="S2420" s="2266"/>
    </row>
    <row r="2421" spans="1:19" s="2105" customFormat="1" outlineLevel="1">
      <c r="A2421" s="2182" t="str">
        <f t="shared" si="479"/>
        <v/>
      </c>
      <c r="B2421" s="2357" t="s">
        <v>639</v>
      </c>
      <c r="C2421" s="2407"/>
      <c r="D2421" s="2152" t="s">
        <v>1747</v>
      </c>
      <c r="E2421" s="2408" t="s">
        <v>5324</v>
      </c>
      <c r="F2421" s="2152" t="s">
        <v>856</v>
      </c>
      <c r="G2421" s="2270">
        <f>1.48*G2419</f>
        <v>0</v>
      </c>
      <c r="H2421" s="2359">
        <v>0</v>
      </c>
      <c r="I2421" s="2359"/>
      <c r="J2421" s="2359">
        <v>296500.89999999997</v>
      </c>
      <c r="K2421" s="2258"/>
      <c r="L2421" s="2360">
        <f>H2421*G2421</f>
        <v>0</v>
      </c>
      <c r="M2421" s="2360">
        <f>I2421*G2421</f>
        <v>0</v>
      </c>
      <c r="N2421" s="2360">
        <f>J2421*G2421</f>
        <v>0</v>
      </c>
      <c r="O2421" s="2360">
        <f>K2421*G2421</f>
        <v>0</v>
      </c>
      <c r="P2421" s="2265"/>
      <c r="Q2421" s="2266"/>
      <c r="R2421" s="2266"/>
      <c r="S2421" s="2266"/>
    </row>
    <row r="2422" spans="1:19" s="2105" customFormat="1" outlineLevel="1">
      <c r="A2422" s="2182" t="str">
        <f t="shared" si="479"/>
        <v/>
      </c>
      <c r="B2422" s="2357" t="s">
        <v>21</v>
      </c>
      <c r="C2422" s="2407"/>
      <c r="D2422" s="2152" t="s">
        <v>5325</v>
      </c>
      <c r="E2422" s="2408" t="s">
        <v>5326</v>
      </c>
      <c r="F2422" s="2152" t="s">
        <v>856</v>
      </c>
      <c r="G2422" s="2270">
        <f>1.39*G2418</f>
        <v>0</v>
      </c>
      <c r="H2422" s="2359">
        <v>0</v>
      </c>
      <c r="I2422" s="2359"/>
      <c r="J2422" s="2359">
        <v>117703.6</v>
      </c>
      <c r="K2422" s="2258"/>
      <c r="L2422" s="2360">
        <f>H2422*G2422</f>
        <v>0</v>
      </c>
      <c r="M2422" s="2360">
        <f>I2422*G2422</f>
        <v>0</v>
      </c>
      <c r="N2422" s="2360">
        <f>J2422*G2422</f>
        <v>0</v>
      </c>
      <c r="O2422" s="2360">
        <f>K2422*G2422</f>
        <v>0</v>
      </c>
      <c r="P2422" s="2265"/>
      <c r="Q2422" s="2266"/>
      <c r="R2422" s="2266"/>
      <c r="S2422" s="2266"/>
    </row>
    <row r="2423" spans="1:19" s="2105" customFormat="1" outlineLevel="1">
      <c r="A2423" s="2182" t="str">
        <f t="shared" si="479"/>
        <v/>
      </c>
      <c r="B2423" s="2261"/>
      <c r="C2423" s="2258">
        <f>IF(G2423&gt;0,C2413+1,C2413)</f>
        <v>0</v>
      </c>
      <c r="D2423" s="2411"/>
      <c r="E2423" s="2403" t="s">
        <v>3714</v>
      </c>
      <c r="F2423" s="2402" t="s">
        <v>2385</v>
      </c>
      <c r="G2423" s="2412">
        <f>G2391*1</f>
        <v>0</v>
      </c>
      <c r="H2423" s="2413"/>
      <c r="I2423" s="2413"/>
      <c r="J2423" s="2413"/>
      <c r="K2423" s="2413"/>
      <c r="L2423" s="2413"/>
      <c r="M2423" s="2413"/>
      <c r="N2423" s="2413"/>
      <c r="O2423" s="2413"/>
      <c r="P2423" s="2265"/>
      <c r="Q2423" s="2266"/>
      <c r="R2423" s="2266"/>
      <c r="S2423" s="2266"/>
    </row>
    <row r="2424" spans="1:19" s="2105" customFormat="1" ht="14.4" outlineLevel="1">
      <c r="A2424" s="2182" t="str">
        <f>A2423</f>
        <v/>
      </c>
      <c r="B2424" s="2261"/>
      <c r="C2424" s="2258"/>
      <c r="D2424" s="2414"/>
      <c r="E2424" s="2267" t="s">
        <v>6133</v>
      </c>
      <c r="F2424" s="2268"/>
      <c r="G2424" s="2269"/>
      <c r="H2424" s="2415"/>
      <c r="I2424" s="2415"/>
      <c r="J2424" s="2415"/>
      <c r="K2424" s="2415"/>
      <c r="L2424" s="2415"/>
      <c r="M2424" s="2415"/>
      <c r="N2424" s="2415"/>
      <c r="O2424" s="2415"/>
      <c r="P2424" s="2265"/>
      <c r="Q2424" s="2266"/>
      <c r="R2424" s="2266"/>
      <c r="S2424" s="2266"/>
    </row>
    <row r="2425" spans="1:19" s="2105" customFormat="1" outlineLevel="1">
      <c r="A2425" s="2182" t="str">
        <f t="shared" ref="A2425:A2433" si="480">IF(G2425&lt;&gt;0,1,"")</f>
        <v/>
      </c>
      <c r="B2425" s="2252" t="s">
        <v>1408</v>
      </c>
      <c r="C2425" s="2258"/>
      <c r="D2425" s="2152">
        <v>0</v>
      </c>
      <c r="E2425" s="2194" t="s">
        <v>6353</v>
      </c>
      <c r="F2425" s="2152" t="s">
        <v>2248</v>
      </c>
      <c r="G2425" s="2270">
        <f>18.4*2.8*2*G2423</f>
        <v>0</v>
      </c>
      <c r="H2425" s="2359">
        <v>31625</v>
      </c>
      <c r="I2425" s="2416"/>
      <c r="J2425" s="2359"/>
      <c r="K2425" s="2359">
        <v>0</v>
      </c>
      <c r="L2425" s="2360">
        <f t="shared" ref="L2425:L2482" si="481">H2425*G2425</f>
        <v>0</v>
      </c>
      <c r="M2425" s="2360">
        <f t="shared" ref="M2425:M2435" si="482">I2425*G2425</f>
        <v>0</v>
      </c>
      <c r="N2425" s="2264">
        <f t="shared" ref="N2425:N2439" si="483">J2425*G2425</f>
        <v>0</v>
      </c>
      <c r="O2425" s="2360">
        <f t="shared" ref="O2425:O2435" si="484">K2425*G2425</f>
        <v>0</v>
      </c>
      <c r="P2425" s="2265"/>
      <c r="Q2425" s="2266"/>
      <c r="R2425" s="2266"/>
      <c r="S2425" s="2266"/>
    </row>
    <row r="2426" spans="1:19" s="2105" customFormat="1" outlineLevel="1">
      <c r="A2426" s="2182" t="str">
        <f t="shared" si="480"/>
        <v/>
      </c>
      <c r="B2426" s="2252" t="s">
        <v>1137</v>
      </c>
      <c r="C2426" s="2258"/>
      <c r="D2426" s="2152">
        <v>0</v>
      </c>
      <c r="E2426" s="2194" t="s">
        <v>6339</v>
      </c>
      <c r="F2426" s="2152" t="s">
        <v>2248</v>
      </c>
      <c r="G2426" s="2270">
        <f>8.59*0.4*4*G2423</f>
        <v>0</v>
      </c>
      <c r="H2426" s="2359">
        <v>31625</v>
      </c>
      <c r="I2426" s="2416"/>
      <c r="J2426" s="2359"/>
      <c r="K2426" s="2359">
        <v>0</v>
      </c>
      <c r="L2426" s="2360">
        <f t="shared" si="481"/>
        <v>0</v>
      </c>
      <c r="M2426" s="2360">
        <f t="shared" si="482"/>
        <v>0</v>
      </c>
      <c r="N2426" s="2264">
        <f t="shared" si="483"/>
        <v>0</v>
      </c>
      <c r="O2426" s="2360">
        <f t="shared" si="484"/>
        <v>0</v>
      </c>
      <c r="P2426" s="2265"/>
      <c r="Q2426" s="2266"/>
      <c r="R2426" s="2266"/>
      <c r="S2426" s="2266"/>
    </row>
    <row r="2427" spans="1:19" s="2105" customFormat="1" outlineLevel="1">
      <c r="A2427" s="2182" t="str">
        <f t="shared" si="480"/>
        <v/>
      </c>
      <c r="B2427" s="2252" t="s">
        <v>1138</v>
      </c>
      <c r="C2427" s="2258"/>
      <c r="D2427" s="2152">
        <v>0</v>
      </c>
      <c r="E2427" s="2194" t="s">
        <v>6340</v>
      </c>
      <c r="F2427" s="2152" t="s">
        <v>2248</v>
      </c>
      <c r="G2427" s="2270">
        <f>8.59*0.8*2*G2423</f>
        <v>0</v>
      </c>
      <c r="H2427" s="2359">
        <v>31625</v>
      </c>
      <c r="I2427" s="2416"/>
      <c r="J2427" s="2359"/>
      <c r="K2427" s="2359">
        <v>0</v>
      </c>
      <c r="L2427" s="2360">
        <f t="shared" si="481"/>
        <v>0</v>
      </c>
      <c r="M2427" s="2360">
        <f t="shared" si="482"/>
        <v>0</v>
      </c>
      <c r="N2427" s="2264">
        <f t="shared" si="483"/>
        <v>0</v>
      </c>
      <c r="O2427" s="2360">
        <f t="shared" si="484"/>
        <v>0</v>
      </c>
      <c r="P2427" s="2265"/>
      <c r="Q2427" s="2266"/>
      <c r="R2427" s="2266"/>
      <c r="S2427" s="2266"/>
    </row>
    <row r="2428" spans="1:19" s="2105" customFormat="1" outlineLevel="1">
      <c r="A2428" s="2182" t="str">
        <f t="shared" si="480"/>
        <v/>
      </c>
      <c r="B2428" s="2261" t="s">
        <v>1781</v>
      </c>
      <c r="C2428" s="2258"/>
      <c r="D2428" s="2152">
        <v>0</v>
      </c>
      <c r="E2428" s="2194" t="s">
        <v>2662</v>
      </c>
      <c r="F2428" s="2152" t="s">
        <v>2439</v>
      </c>
      <c r="G2428" s="2270">
        <f>G2423*10</f>
        <v>0</v>
      </c>
      <c r="H2428" s="2359">
        <v>34800</v>
      </c>
      <c r="I2428" s="2416"/>
      <c r="J2428" s="2359">
        <v>0</v>
      </c>
      <c r="K2428" s="2359">
        <v>0</v>
      </c>
      <c r="L2428" s="2360">
        <f t="shared" si="481"/>
        <v>0</v>
      </c>
      <c r="M2428" s="2360">
        <f t="shared" si="482"/>
        <v>0</v>
      </c>
      <c r="N2428" s="2264">
        <f t="shared" si="483"/>
        <v>0</v>
      </c>
      <c r="O2428" s="2360">
        <f t="shared" si="484"/>
        <v>0</v>
      </c>
      <c r="P2428" s="2265"/>
      <c r="Q2428" s="2266"/>
      <c r="R2428" s="2266"/>
      <c r="S2428" s="2266"/>
    </row>
    <row r="2429" spans="1:19" s="2105" customFormat="1" outlineLevel="1">
      <c r="A2429" s="2182" t="str">
        <f t="shared" si="480"/>
        <v/>
      </c>
      <c r="B2429" s="2261" t="s">
        <v>1083</v>
      </c>
      <c r="C2429" s="2258"/>
      <c r="D2429" s="2152">
        <v>0</v>
      </c>
      <c r="E2429" s="2194" t="s">
        <v>2652</v>
      </c>
      <c r="F2429" s="2152" t="s">
        <v>2439</v>
      </c>
      <c r="G2429" s="2270">
        <f>G2423*2</f>
        <v>0</v>
      </c>
      <c r="H2429" s="2359">
        <v>29900</v>
      </c>
      <c r="I2429" s="2416"/>
      <c r="J2429" s="2359">
        <v>0</v>
      </c>
      <c r="K2429" s="2359">
        <v>0</v>
      </c>
      <c r="L2429" s="2360">
        <f t="shared" si="481"/>
        <v>0</v>
      </c>
      <c r="M2429" s="2360">
        <f t="shared" si="482"/>
        <v>0</v>
      </c>
      <c r="N2429" s="2264">
        <f t="shared" si="483"/>
        <v>0</v>
      </c>
      <c r="O2429" s="2360">
        <f t="shared" si="484"/>
        <v>0</v>
      </c>
      <c r="P2429" s="2265"/>
      <c r="Q2429" s="2266"/>
      <c r="R2429" s="2266"/>
      <c r="S2429" s="2266"/>
    </row>
    <row r="2430" spans="1:19" s="2105" customFormat="1" outlineLevel="1">
      <c r="A2430" s="2182" t="str">
        <f t="shared" si="480"/>
        <v/>
      </c>
      <c r="B2430" s="2261" t="s">
        <v>1079</v>
      </c>
      <c r="C2430" s="2258"/>
      <c r="D2430" s="2152">
        <v>0</v>
      </c>
      <c r="E2430" s="2194" t="s">
        <v>2651</v>
      </c>
      <c r="F2430" s="2152" t="s">
        <v>2439</v>
      </c>
      <c r="G2430" s="2270">
        <f>G2423*12</f>
        <v>0</v>
      </c>
      <c r="H2430" s="2359">
        <v>27900</v>
      </c>
      <c r="I2430" s="2416"/>
      <c r="J2430" s="2359">
        <v>0</v>
      </c>
      <c r="K2430" s="2359">
        <v>0</v>
      </c>
      <c r="L2430" s="2360">
        <f t="shared" si="481"/>
        <v>0</v>
      </c>
      <c r="M2430" s="2360">
        <f t="shared" si="482"/>
        <v>0</v>
      </c>
      <c r="N2430" s="2264">
        <f t="shared" si="483"/>
        <v>0</v>
      </c>
      <c r="O2430" s="2360">
        <f t="shared" si="484"/>
        <v>0</v>
      </c>
      <c r="P2430" s="2265"/>
      <c r="Q2430" s="2266"/>
      <c r="R2430" s="2266"/>
      <c r="S2430" s="2266"/>
    </row>
    <row r="2431" spans="1:19" s="2105" customFormat="1" outlineLevel="1">
      <c r="A2431" s="2182" t="str">
        <f>IF(G2431&lt;&gt;0,1,"")</f>
        <v/>
      </c>
      <c r="B2431" s="2252" t="s">
        <v>2242</v>
      </c>
      <c r="C2431" s="2258"/>
      <c r="D2431" s="2152" t="s">
        <v>5444</v>
      </c>
      <c r="E2431" s="2194" t="s">
        <v>6341</v>
      </c>
      <c r="F2431" s="2152" t="s">
        <v>2439</v>
      </c>
      <c r="G2431" s="2270">
        <f>+G2423*1</f>
        <v>0</v>
      </c>
      <c r="H2431" s="2359">
        <v>0</v>
      </c>
      <c r="I2431" s="2416"/>
      <c r="J2431" s="2359">
        <v>474961</v>
      </c>
      <c r="K2431" s="2359">
        <v>0</v>
      </c>
      <c r="L2431" s="2360">
        <f>H2431*G2431</f>
        <v>0</v>
      </c>
      <c r="M2431" s="2360">
        <f t="shared" si="482"/>
        <v>0</v>
      </c>
      <c r="N2431" s="2264">
        <f t="shared" si="483"/>
        <v>0</v>
      </c>
      <c r="O2431" s="2360">
        <f t="shared" si="484"/>
        <v>0</v>
      </c>
      <c r="P2431" s="2265"/>
      <c r="Q2431" s="2266"/>
      <c r="R2431" s="2266"/>
      <c r="S2431" s="2266"/>
    </row>
    <row r="2432" spans="1:19" s="2105" customFormat="1" outlineLevel="1">
      <c r="A2432" s="2182" t="str">
        <f>IF(G2432&lt;&gt;0,1,"")</f>
        <v/>
      </c>
      <c r="B2432" s="2252" t="s">
        <v>6218</v>
      </c>
      <c r="C2432" s="2258"/>
      <c r="D2432" s="2152" t="s">
        <v>5378</v>
      </c>
      <c r="E2432" s="2194" t="s">
        <v>6343</v>
      </c>
      <c r="F2432" s="2152" t="s">
        <v>2439</v>
      </c>
      <c r="G2432" s="2269"/>
      <c r="H2432" s="2359">
        <v>0</v>
      </c>
      <c r="I2432" s="2416"/>
      <c r="J2432" s="2359">
        <v>219185.25</v>
      </c>
      <c r="K2432" s="2359">
        <v>0</v>
      </c>
      <c r="L2432" s="2360">
        <f>H2432*G2432</f>
        <v>0</v>
      </c>
      <c r="M2432" s="2360">
        <f t="shared" si="482"/>
        <v>0</v>
      </c>
      <c r="N2432" s="2264">
        <f t="shared" si="483"/>
        <v>0</v>
      </c>
      <c r="O2432" s="2360">
        <f t="shared" si="484"/>
        <v>0</v>
      </c>
      <c r="P2432" s="2265"/>
      <c r="Q2432" s="2266"/>
      <c r="R2432" s="2266"/>
      <c r="S2432" s="2266"/>
    </row>
    <row r="2433" spans="1:19" s="2105" customFormat="1" outlineLevel="1">
      <c r="A2433" s="2182" t="str">
        <f t="shared" si="480"/>
        <v/>
      </c>
      <c r="B2433" s="2261"/>
      <c r="C2433" s="2258">
        <f>IF(G2433&gt;0,C2423+1,C2423)</f>
        <v>0</v>
      </c>
      <c r="D2433" s="2259"/>
      <c r="E2433" s="2417" t="s">
        <v>6271</v>
      </c>
      <c r="F2433" s="2258" t="s">
        <v>2385</v>
      </c>
      <c r="G2433" s="2263">
        <f>+G2391*2</f>
        <v>0</v>
      </c>
      <c r="H2433" s="2416"/>
      <c r="I2433" s="2416"/>
      <c r="J2433" s="2416"/>
      <c r="K2433" s="2416"/>
      <c r="L2433" s="2360">
        <f t="shared" si="481"/>
        <v>0</v>
      </c>
      <c r="M2433" s="2360">
        <f t="shared" si="482"/>
        <v>0</v>
      </c>
      <c r="N2433" s="2360">
        <f t="shared" si="483"/>
        <v>0</v>
      </c>
      <c r="O2433" s="2360">
        <f t="shared" si="484"/>
        <v>0</v>
      </c>
      <c r="P2433" s="2265"/>
      <c r="Q2433" s="2266"/>
      <c r="R2433" s="2266"/>
      <c r="S2433" s="2266"/>
    </row>
    <row r="2434" spans="1:19" s="2105" customFormat="1" ht="14.4" outlineLevel="1">
      <c r="A2434" s="2182" t="str">
        <f>A2433</f>
        <v/>
      </c>
      <c r="B2434" s="2261"/>
      <c r="C2434" s="2258"/>
      <c r="D2434" s="2152"/>
      <c r="E2434" s="2267" t="s">
        <v>6133</v>
      </c>
      <c r="F2434" s="2268"/>
      <c r="G2434" s="2269"/>
      <c r="H2434" s="2416"/>
      <c r="I2434" s="2416"/>
      <c r="J2434" s="2416"/>
      <c r="K2434" s="2416"/>
      <c r="L2434" s="2360">
        <f t="shared" si="481"/>
        <v>0</v>
      </c>
      <c r="M2434" s="2360">
        <f t="shared" si="482"/>
        <v>0</v>
      </c>
      <c r="N2434" s="2360">
        <f t="shared" si="483"/>
        <v>0</v>
      </c>
      <c r="O2434" s="2360">
        <f t="shared" si="484"/>
        <v>0</v>
      </c>
      <c r="P2434" s="2265"/>
      <c r="Q2434" s="2266"/>
      <c r="R2434" s="2266"/>
      <c r="S2434" s="2266"/>
    </row>
    <row r="2435" spans="1:19" s="2105" customFormat="1" outlineLevel="1">
      <c r="A2435" s="2182" t="str">
        <f t="shared" ref="A2435:A2446" si="485">IF(G2435&lt;&gt;0,1,"")</f>
        <v/>
      </c>
      <c r="B2435" s="2252" t="s">
        <v>2022</v>
      </c>
      <c r="C2435" s="2258"/>
      <c r="D2435" s="2152">
        <v>0</v>
      </c>
      <c r="E2435" s="2194" t="s">
        <v>2437</v>
      </c>
      <c r="F2435" s="2152" t="s">
        <v>2248</v>
      </c>
      <c r="G2435" s="2270">
        <f>G2433*9.02*(2.6+3*0.07)*2</f>
        <v>0</v>
      </c>
      <c r="H2435" s="2359">
        <v>31625</v>
      </c>
      <c r="I2435" s="2359"/>
      <c r="J2435" s="2359">
        <v>0</v>
      </c>
      <c r="K2435" s="2359">
        <v>0</v>
      </c>
      <c r="L2435" s="2360">
        <f t="shared" si="481"/>
        <v>0</v>
      </c>
      <c r="M2435" s="2360">
        <f t="shared" si="482"/>
        <v>0</v>
      </c>
      <c r="N2435" s="2264">
        <f t="shared" si="483"/>
        <v>0</v>
      </c>
      <c r="O2435" s="2360">
        <f t="shared" si="484"/>
        <v>0</v>
      </c>
      <c r="P2435" s="2265"/>
      <c r="Q2435" s="2266"/>
      <c r="R2435" s="2266"/>
      <c r="S2435" s="2266"/>
    </row>
    <row r="2436" spans="1:19" s="2105" customFormat="1" outlineLevel="1">
      <c r="A2436" s="2182" t="str">
        <f t="shared" si="485"/>
        <v/>
      </c>
      <c r="B2436" s="2261" t="s">
        <v>1784</v>
      </c>
      <c r="C2436" s="2258"/>
      <c r="D2436" s="2152">
        <v>0</v>
      </c>
      <c r="E2436" s="2194" t="s">
        <v>2660</v>
      </c>
      <c r="F2436" s="2152" t="s">
        <v>2439</v>
      </c>
      <c r="G2436" s="2270">
        <f>G2433*2</f>
        <v>0</v>
      </c>
      <c r="H2436" s="2359">
        <v>31800</v>
      </c>
      <c r="I2436" s="2359">
        <v>0</v>
      </c>
      <c r="J2436" s="2359">
        <v>0</v>
      </c>
      <c r="K2436" s="2359">
        <v>0</v>
      </c>
      <c r="L2436" s="2360">
        <f t="shared" si="481"/>
        <v>0</v>
      </c>
      <c r="M2436" s="2360">
        <f>I2436*G2436</f>
        <v>0</v>
      </c>
      <c r="N2436" s="2264">
        <f t="shared" si="483"/>
        <v>0</v>
      </c>
      <c r="O2436" s="2360">
        <f>K2436*G2436</f>
        <v>0</v>
      </c>
      <c r="P2436" s="2265"/>
      <c r="Q2436" s="2266"/>
      <c r="R2436" s="2266"/>
      <c r="S2436" s="2266"/>
    </row>
    <row r="2437" spans="1:19" s="2105" customFormat="1" outlineLevel="1">
      <c r="A2437" s="2182" t="str">
        <f t="shared" si="485"/>
        <v/>
      </c>
      <c r="B2437" s="2261" t="s">
        <v>1610</v>
      </c>
      <c r="C2437" s="2258"/>
      <c r="D2437" s="2152">
        <v>0</v>
      </c>
      <c r="E2437" s="2194" t="s">
        <v>2649</v>
      </c>
      <c r="F2437" s="2152" t="s">
        <v>2439</v>
      </c>
      <c r="G2437" s="2270">
        <f>G2433*2</f>
        <v>0</v>
      </c>
      <c r="H2437" s="2359">
        <v>25400</v>
      </c>
      <c r="I2437" s="2359">
        <v>0</v>
      </c>
      <c r="J2437" s="2359">
        <v>0</v>
      </c>
      <c r="K2437" s="2359">
        <v>0</v>
      </c>
      <c r="L2437" s="2360">
        <f t="shared" si="481"/>
        <v>0</v>
      </c>
      <c r="M2437" s="2360">
        <f>I2437*G2437</f>
        <v>0</v>
      </c>
      <c r="N2437" s="2264">
        <f t="shared" si="483"/>
        <v>0</v>
      </c>
      <c r="O2437" s="2360">
        <f>K2437*G2437</f>
        <v>0</v>
      </c>
      <c r="P2437" s="2265"/>
      <c r="Q2437" s="2266"/>
      <c r="R2437" s="2266"/>
      <c r="S2437" s="2266"/>
    </row>
    <row r="2438" spans="1:19" s="2105" customFormat="1" outlineLevel="1">
      <c r="A2438" s="2182" t="str">
        <f t="shared" si="485"/>
        <v/>
      </c>
      <c r="B2438" s="2261" t="s">
        <v>1609</v>
      </c>
      <c r="C2438" s="2258"/>
      <c r="D2438" s="2152">
        <v>0</v>
      </c>
      <c r="E2438" s="2194" t="s">
        <v>2645</v>
      </c>
      <c r="F2438" s="2152" t="s">
        <v>2439</v>
      </c>
      <c r="G2438" s="2270">
        <f>G2437</f>
        <v>0</v>
      </c>
      <c r="H2438" s="2359">
        <v>13400</v>
      </c>
      <c r="I2438" s="2359">
        <v>0</v>
      </c>
      <c r="J2438" s="2359">
        <v>0</v>
      </c>
      <c r="K2438" s="2359">
        <v>0</v>
      </c>
      <c r="L2438" s="2360">
        <f t="shared" si="481"/>
        <v>0</v>
      </c>
      <c r="M2438" s="2360">
        <f>I2438*G2438</f>
        <v>0</v>
      </c>
      <c r="N2438" s="2264">
        <f t="shared" si="483"/>
        <v>0</v>
      </c>
      <c r="O2438" s="2360">
        <f>K2438*G2438</f>
        <v>0</v>
      </c>
      <c r="P2438" s="2265"/>
      <c r="Q2438" s="2266"/>
      <c r="R2438" s="2266"/>
      <c r="S2438" s="2266"/>
    </row>
    <row r="2439" spans="1:19" s="2105" customFormat="1" outlineLevel="1">
      <c r="A2439" s="2182" t="str">
        <f t="shared" si="485"/>
        <v/>
      </c>
      <c r="B2439" s="2261" t="s">
        <v>2242</v>
      </c>
      <c r="C2439" s="2258"/>
      <c r="D2439" s="2152" t="s">
        <v>5444</v>
      </c>
      <c r="E2439" s="2194" t="s">
        <v>2440</v>
      </c>
      <c r="F2439" s="2152" t="s">
        <v>2439</v>
      </c>
      <c r="G2439" s="2270">
        <f>G2433</f>
        <v>0</v>
      </c>
      <c r="H2439" s="2359">
        <v>0</v>
      </c>
      <c r="I2439" s="2359"/>
      <c r="J2439" s="2359">
        <v>474961</v>
      </c>
      <c r="K2439" s="2359"/>
      <c r="L2439" s="2360">
        <f t="shared" si="481"/>
        <v>0</v>
      </c>
      <c r="M2439" s="2360"/>
      <c r="N2439" s="2264">
        <f t="shared" si="483"/>
        <v>0</v>
      </c>
      <c r="O2439" s="2360"/>
      <c r="P2439" s="2265"/>
      <c r="Q2439" s="2266"/>
      <c r="R2439" s="2266"/>
      <c r="S2439" s="2266"/>
    </row>
    <row r="2440" spans="1:19" s="2105" customFormat="1" outlineLevel="1">
      <c r="A2440" s="2182" t="str">
        <f>IF(G2440&lt;&gt;0,1,"")</f>
        <v/>
      </c>
      <c r="B2440" s="2261"/>
      <c r="C2440" s="2258">
        <f>IF(G2440&gt;0,C2433+1,C2433)</f>
        <v>0</v>
      </c>
      <c r="D2440" s="2259"/>
      <c r="E2440" s="2417" t="s">
        <v>6219</v>
      </c>
      <c r="F2440" s="2258" t="s">
        <v>2385</v>
      </c>
      <c r="G2440" s="2263">
        <f>+G2391*1</f>
        <v>0</v>
      </c>
      <c r="H2440" s="2416"/>
      <c r="I2440" s="2416"/>
      <c r="J2440" s="2416"/>
      <c r="K2440" s="2416"/>
      <c r="L2440" s="2360">
        <f t="shared" si="481"/>
        <v>0</v>
      </c>
      <c r="M2440" s="2360">
        <f>I2440*G2440</f>
        <v>0</v>
      </c>
      <c r="N2440" s="2360">
        <f>J2440*G2440</f>
        <v>0</v>
      </c>
      <c r="O2440" s="2360">
        <f>K2440*G2440</f>
        <v>0</v>
      </c>
      <c r="P2440" s="2265"/>
      <c r="Q2440" s="2266"/>
      <c r="R2440" s="2266"/>
      <c r="S2440" s="2266"/>
    </row>
    <row r="2441" spans="1:19" s="2105" customFormat="1" ht="14.4" outlineLevel="1">
      <c r="A2441" s="2182" t="str">
        <f>A2440</f>
        <v/>
      </c>
      <c r="B2441" s="2261"/>
      <c r="C2441" s="2258"/>
      <c r="D2441" s="2259"/>
      <c r="E2441" s="2267" t="s">
        <v>6133</v>
      </c>
      <c r="F2441" s="2268"/>
      <c r="G2441" s="2269"/>
      <c r="H2441" s="2416"/>
      <c r="I2441" s="2416"/>
      <c r="J2441" s="2416"/>
      <c r="K2441" s="2416"/>
      <c r="L2441" s="2360">
        <f t="shared" si="481"/>
        <v>0</v>
      </c>
      <c r="M2441" s="2360">
        <f>I2441*G2441</f>
        <v>0</v>
      </c>
      <c r="N2441" s="2360">
        <f>J2441*G2441</f>
        <v>0</v>
      </c>
      <c r="O2441" s="2360">
        <f>K2441*G2441</f>
        <v>0</v>
      </c>
      <c r="P2441" s="2265"/>
      <c r="Q2441" s="2266"/>
      <c r="R2441" s="2266"/>
      <c r="S2441" s="2266"/>
    </row>
    <row r="2442" spans="1:19" s="2105" customFormat="1" outlineLevel="1">
      <c r="A2442" s="2182" t="str">
        <f>IF(G2442&lt;&gt;0,1,"")</f>
        <v/>
      </c>
      <c r="B2442" s="2133" t="s">
        <v>5155</v>
      </c>
      <c r="C2442" s="2258"/>
      <c r="D2442" s="2152">
        <v>0</v>
      </c>
      <c r="E2442" s="2194" t="s">
        <v>5156</v>
      </c>
      <c r="F2442" s="2152" t="s">
        <v>2590</v>
      </c>
      <c r="G2442" s="2270">
        <f>+G2440*1</f>
        <v>0</v>
      </c>
      <c r="H2442" s="2359">
        <v>878000</v>
      </c>
      <c r="I2442" s="2359"/>
      <c r="J2442" s="2359">
        <v>0</v>
      </c>
      <c r="K2442" s="2359">
        <v>0</v>
      </c>
      <c r="L2442" s="2360">
        <f t="shared" si="481"/>
        <v>0</v>
      </c>
      <c r="M2442" s="2360">
        <f>I2442*G2442</f>
        <v>0</v>
      </c>
      <c r="N2442" s="2264">
        <f t="shared" ref="N2442:N2505" si="486">J2442*G2442</f>
        <v>0</v>
      </c>
      <c r="O2442" s="2360">
        <f>K2442*G2442</f>
        <v>0</v>
      </c>
      <c r="P2442" s="2389"/>
      <c r="Q2442" s="2266"/>
      <c r="R2442" s="2266"/>
      <c r="S2442" s="2266"/>
    </row>
    <row r="2443" spans="1:19" s="2105" customFormat="1" outlineLevel="1">
      <c r="A2443" s="2182" t="str">
        <f>IF(G2443&lt;&gt;0,1,"")</f>
        <v/>
      </c>
      <c r="B2443" s="2130" t="s">
        <v>488</v>
      </c>
      <c r="C2443" s="2258"/>
      <c r="D2443" s="2152">
        <v>0</v>
      </c>
      <c r="E2443" s="2194" t="s">
        <v>5078</v>
      </c>
      <c r="F2443" s="2152" t="s">
        <v>2439</v>
      </c>
      <c r="G2443" s="2270">
        <f>+G2440*3</f>
        <v>0</v>
      </c>
      <c r="H2443" s="2359">
        <v>65000</v>
      </c>
      <c r="I2443" s="2359">
        <v>0</v>
      </c>
      <c r="J2443" s="2359">
        <v>0</v>
      </c>
      <c r="K2443" s="2359">
        <v>0</v>
      </c>
      <c r="L2443" s="2360">
        <f t="shared" si="481"/>
        <v>0</v>
      </c>
      <c r="M2443" s="2360">
        <f>I2443*G2443</f>
        <v>0</v>
      </c>
      <c r="N2443" s="2264">
        <f t="shared" si="486"/>
        <v>0</v>
      </c>
      <c r="O2443" s="2360">
        <f>K2443*G2443</f>
        <v>0</v>
      </c>
      <c r="P2443" s="2265"/>
      <c r="Q2443" s="2266"/>
      <c r="R2443" s="2266"/>
      <c r="S2443" s="2266"/>
    </row>
    <row r="2444" spans="1:19" s="2105" customFormat="1" outlineLevel="1">
      <c r="A2444" s="2182" t="str">
        <f>IF(G2444&lt;&gt;0,1,"")</f>
        <v/>
      </c>
      <c r="B2444" s="2261" t="s">
        <v>1079</v>
      </c>
      <c r="C2444" s="2258"/>
      <c r="D2444" s="2152">
        <v>0</v>
      </c>
      <c r="E2444" s="2194" t="s">
        <v>2651</v>
      </c>
      <c r="F2444" s="2152" t="s">
        <v>2439</v>
      </c>
      <c r="G2444" s="2270">
        <f>+G2440*2</f>
        <v>0</v>
      </c>
      <c r="H2444" s="2359">
        <v>27900</v>
      </c>
      <c r="I2444" s="2416"/>
      <c r="J2444" s="2359">
        <v>0</v>
      </c>
      <c r="K2444" s="2359">
        <v>0</v>
      </c>
      <c r="L2444" s="2360">
        <f t="shared" si="481"/>
        <v>0</v>
      </c>
      <c r="M2444" s="2360">
        <f>I2444*G2444</f>
        <v>0</v>
      </c>
      <c r="N2444" s="2264">
        <f t="shared" si="486"/>
        <v>0</v>
      </c>
      <c r="O2444" s="2360">
        <f>K2444*G2444</f>
        <v>0</v>
      </c>
      <c r="P2444" s="2265"/>
      <c r="Q2444" s="2266"/>
      <c r="R2444" s="2266"/>
      <c r="S2444" s="2266"/>
    </row>
    <row r="2445" spans="1:19" s="2105" customFormat="1" outlineLevel="1">
      <c r="A2445" s="2182" t="str">
        <f>IF(G2445&lt;&gt;0,1,"")</f>
        <v/>
      </c>
      <c r="B2445" s="2252" t="s">
        <v>2242</v>
      </c>
      <c r="C2445" s="2258"/>
      <c r="D2445" s="2152" t="s">
        <v>5444</v>
      </c>
      <c r="E2445" s="2194" t="s">
        <v>2440</v>
      </c>
      <c r="F2445" s="2152" t="s">
        <v>2439</v>
      </c>
      <c r="G2445" s="2270">
        <f>+G2440</f>
        <v>0</v>
      </c>
      <c r="H2445" s="2264">
        <v>0</v>
      </c>
      <c r="I2445" s="2359"/>
      <c r="J2445" s="2359">
        <v>474961</v>
      </c>
      <c r="K2445" s="2359"/>
      <c r="L2445" s="2360">
        <f t="shared" si="481"/>
        <v>0</v>
      </c>
      <c r="M2445" s="2360"/>
      <c r="N2445" s="2264">
        <f t="shared" si="486"/>
        <v>0</v>
      </c>
      <c r="O2445" s="2360"/>
      <c r="P2445" s="2265"/>
      <c r="Q2445" s="2266"/>
      <c r="R2445" s="2266"/>
      <c r="S2445" s="2266"/>
    </row>
    <row r="2446" spans="1:19" s="2105" customFormat="1" outlineLevel="1">
      <c r="A2446" s="2182" t="str">
        <f t="shared" si="485"/>
        <v/>
      </c>
      <c r="B2446" s="2261"/>
      <c r="C2446" s="2258">
        <f>IF(G2446&gt;0,C2440+1,C2440)</f>
        <v>0</v>
      </c>
      <c r="D2446" s="2259"/>
      <c r="E2446" s="2417" t="s">
        <v>6220</v>
      </c>
      <c r="F2446" s="2258" t="s">
        <v>2385</v>
      </c>
      <c r="G2446" s="2263"/>
      <c r="H2446" s="2416"/>
      <c r="I2446" s="2416"/>
      <c r="J2446" s="2359"/>
      <c r="K2446" s="2416"/>
      <c r="L2446" s="2360">
        <f t="shared" si="481"/>
        <v>0</v>
      </c>
      <c r="M2446" s="2360">
        <f>I2446*G2446</f>
        <v>0</v>
      </c>
      <c r="N2446" s="2264">
        <f t="shared" si="486"/>
        <v>0</v>
      </c>
      <c r="O2446" s="2360">
        <f>K2446*G2446</f>
        <v>0</v>
      </c>
      <c r="P2446" s="2265"/>
      <c r="Q2446" s="2266"/>
      <c r="R2446" s="2266"/>
      <c r="S2446" s="2266"/>
    </row>
    <row r="2447" spans="1:19" s="2105" customFormat="1" ht="14.4" outlineLevel="1">
      <c r="A2447" s="2182" t="str">
        <f>A2446</f>
        <v/>
      </c>
      <c r="B2447" s="2261"/>
      <c r="C2447" s="2258"/>
      <c r="D2447" s="2259"/>
      <c r="E2447" s="2267" t="s">
        <v>6133</v>
      </c>
      <c r="F2447" s="2268"/>
      <c r="G2447" s="2269"/>
      <c r="H2447" s="2416"/>
      <c r="I2447" s="2416"/>
      <c r="J2447" s="2359"/>
      <c r="K2447" s="2416"/>
      <c r="L2447" s="2360">
        <f t="shared" si="481"/>
        <v>0</v>
      </c>
      <c r="M2447" s="2360">
        <f>I2447*G2447</f>
        <v>0</v>
      </c>
      <c r="N2447" s="2264">
        <f t="shared" si="486"/>
        <v>0</v>
      </c>
      <c r="O2447" s="2360">
        <f>K2447*G2447</f>
        <v>0</v>
      </c>
      <c r="P2447" s="2265"/>
      <c r="Q2447" s="2266"/>
      <c r="R2447" s="2266"/>
      <c r="S2447" s="2266"/>
    </row>
    <row r="2448" spans="1:19" s="2105" customFormat="1" outlineLevel="1">
      <c r="A2448" s="2182" t="str">
        <f>IF(G2448&lt;&gt;0,1,"")</f>
        <v/>
      </c>
      <c r="B2448" s="2252" t="s">
        <v>2022</v>
      </c>
      <c r="C2448" s="2258"/>
      <c r="D2448" s="2152">
        <v>0</v>
      </c>
      <c r="E2448" s="2194" t="s">
        <v>2437</v>
      </c>
      <c r="F2448" s="2152" t="s">
        <v>2248</v>
      </c>
      <c r="G2448" s="2270">
        <f>G2446*9.02*(2.6+3*0.07)</f>
        <v>0</v>
      </c>
      <c r="H2448" s="2264">
        <v>32074</v>
      </c>
      <c r="I2448" s="2359"/>
      <c r="J2448" s="2359">
        <v>0</v>
      </c>
      <c r="K2448" s="2359">
        <v>0</v>
      </c>
      <c r="L2448" s="2360">
        <f t="shared" si="481"/>
        <v>0</v>
      </c>
      <c r="M2448" s="2360">
        <f>I2448*G2448</f>
        <v>0</v>
      </c>
      <c r="N2448" s="2264">
        <f t="shared" si="486"/>
        <v>0</v>
      </c>
      <c r="O2448" s="2360">
        <f>K2448*G2448</f>
        <v>0</v>
      </c>
      <c r="P2448" s="2265"/>
      <c r="Q2448" s="2266"/>
      <c r="R2448" s="2266"/>
      <c r="S2448" s="2266"/>
    </row>
    <row r="2449" spans="1:19" s="2105" customFormat="1" outlineLevel="1">
      <c r="A2449" s="2182" t="str">
        <f>IF(G2449&lt;&gt;0,1,"")</f>
        <v/>
      </c>
      <c r="B2449" s="2261" t="s">
        <v>1610</v>
      </c>
      <c r="C2449" s="2258"/>
      <c r="D2449" s="2152">
        <v>0</v>
      </c>
      <c r="E2449" s="2194" t="s">
        <v>2649</v>
      </c>
      <c r="F2449" s="2152" t="s">
        <v>2439</v>
      </c>
      <c r="G2449" s="2269">
        <f>G2446*2</f>
        <v>0</v>
      </c>
      <c r="H2449" s="2264">
        <v>25400</v>
      </c>
      <c r="I2449" s="2359">
        <v>0</v>
      </c>
      <c r="J2449" s="2359">
        <v>0</v>
      </c>
      <c r="K2449" s="2359">
        <v>0</v>
      </c>
      <c r="L2449" s="2360">
        <f t="shared" si="481"/>
        <v>0</v>
      </c>
      <c r="M2449" s="2360">
        <f>I2449*G2449</f>
        <v>0</v>
      </c>
      <c r="N2449" s="2264">
        <f t="shared" si="486"/>
        <v>0</v>
      </c>
      <c r="O2449" s="2360">
        <f>K2449*G2449</f>
        <v>0</v>
      </c>
      <c r="P2449" s="2265"/>
      <c r="Q2449" s="2266"/>
      <c r="R2449" s="2266"/>
      <c r="S2449" s="2266"/>
    </row>
    <row r="2450" spans="1:19" s="2105" customFormat="1" outlineLevel="1">
      <c r="A2450" s="2182" t="str">
        <f>IF(G2450&lt;&gt;0,1,"")</f>
        <v/>
      </c>
      <c r="B2450" s="2261" t="s">
        <v>2242</v>
      </c>
      <c r="C2450" s="2258"/>
      <c r="D2450" s="2152" t="s">
        <v>5444</v>
      </c>
      <c r="E2450" s="2194" t="s">
        <v>2440</v>
      </c>
      <c r="F2450" s="2152" t="s">
        <v>2439</v>
      </c>
      <c r="G2450" s="2269">
        <f>+G2446</f>
        <v>0</v>
      </c>
      <c r="H2450" s="2264">
        <v>0</v>
      </c>
      <c r="I2450" s="2359"/>
      <c r="J2450" s="2359">
        <v>474961</v>
      </c>
      <c r="K2450" s="2359"/>
      <c r="L2450" s="2360">
        <f t="shared" si="481"/>
        <v>0</v>
      </c>
      <c r="M2450" s="2360"/>
      <c r="N2450" s="2264">
        <f t="shared" si="486"/>
        <v>0</v>
      </c>
      <c r="O2450" s="2360"/>
      <c r="P2450" s="2265"/>
      <c r="Q2450" s="2266"/>
      <c r="R2450" s="2266"/>
      <c r="S2450" s="2266"/>
    </row>
    <row r="2451" spans="1:19" s="2105" customFormat="1" outlineLevel="1">
      <c r="A2451" s="2182" t="str">
        <f>IF(G2451&lt;&gt;0,1,"")</f>
        <v/>
      </c>
      <c r="B2451" s="2261"/>
      <c r="C2451" s="2258">
        <f>IF(G2451&gt;0,C2446+1,C2446)</f>
        <v>0</v>
      </c>
      <c r="D2451" s="2259"/>
      <c r="E2451" s="2417" t="s">
        <v>6221</v>
      </c>
      <c r="F2451" s="2258" t="s">
        <v>2385</v>
      </c>
      <c r="G2451" s="2263">
        <f>G2391*2*G2423</f>
        <v>0</v>
      </c>
      <c r="H2451" s="2416"/>
      <c r="I2451" s="2416"/>
      <c r="J2451" s="2359"/>
      <c r="K2451" s="2416"/>
      <c r="L2451" s="2360">
        <f t="shared" si="481"/>
        <v>0</v>
      </c>
      <c r="M2451" s="2360">
        <f>I2451*G2451</f>
        <v>0</v>
      </c>
      <c r="N2451" s="2264">
        <f t="shared" si="486"/>
        <v>0</v>
      </c>
      <c r="O2451" s="2360">
        <f>K2451*G2451</f>
        <v>0</v>
      </c>
      <c r="P2451" s="2265"/>
      <c r="Q2451" s="2266"/>
      <c r="R2451" s="2266"/>
      <c r="S2451" s="2266"/>
    </row>
    <row r="2452" spans="1:19" s="2105" customFormat="1" ht="14.4" outlineLevel="1">
      <c r="A2452" s="2182" t="str">
        <f>A2451</f>
        <v/>
      </c>
      <c r="B2452" s="2261"/>
      <c r="C2452" s="2258"/>
      <c r="D2452" s="2259"/>
      <c r="E2452" s="2267" t="s">
        <v>6133</v>
      </c>
      <c r="F2452" s="2268"/>
      <c r="G2452" s="2269"/>
      <c r="H2452" s="2416"/>
      <c r="I2452" s="2416"/>
      <c r="J2452" s="2359"/>
      <c r="K2452" s="2416"/>
      <c r="L2452" s="2360">
        <f t="shared" si="481"/>
        <v>0</v>
      </c>
      <c r="M2452" s="2360">
        <f>I2452*G2452</f>
        <v>0</v>
      </c>
      <c r="N2452" s="2264">
        <f t="shared" si="486"/>
        <v>0</v>
      </c>
      <c r="O2452" s="2360">
        <f>K2452*G2452</f>
        <v>0</v>
      </c>
      <c r="P2452" s="2265"/>
      <c r="Q2452" s="2266"/>
      <c r="R2452" s="2266"/>
      <c r="S2452" s="2266"/>
    </row>
    <row r="2453" spans="1:19" s="2105" customFormat="1" outlineLevel="1">
      <c r="A2453" s="2182" t="str">
        <f>IF(G2453&lt;&gt;0,1,"")</f>
        <v/>
      </c>
      <c r="B2453" s="2261" t="s">
        <v>2022</v>
      </c>
      <c r="C2453" s="2258"/>
      <c r="D2453" s="2152">
        <v>0</v>
      </c>
      <c r="E2453" s="2194" t="s">
        <v>2437</v>
      </c>
      <c r="F2453" s="2152" t="s">
        <v>2248</v>
      </c>
      <c r="G2453" s="2270">
        <f>G2451*9.02*2.6</f>
        <v>0</v>
      </c>
      <c r="H2453" s="2264">
        <v>31625</v>
      </c>
      <c r="I2453" s="2359"/>
      <c r="J2453" s="2359">
        <v>0</v>
      </c>
      <c r="K2453" s="2359"/>
      <c r="L2453" s="2360">
        <f t="shared" si="481"/>
        <v>0</v>
      </c>
      <c r="M2453" s="2360"/>
      <c r="N2453" s="2264">
        <f t="shared" si="486"/>
        <v>0</v>
      </c>
      <c r="O2453" s="2360"/>
      <c r="P2453" s="2389"/>
      <c r="Q2453" s="2266"/>
      <c r="R2453" s="2266"/>
      <c r="S2453" s="2266"/>
    </row>
    <row r="2454" spans="1:19" s="2105" customFormat="1" outlineLevel="1">
      <c r="A2454" s="2182" t="str">
        <f>IF(G2454&lt;&gt;0,1,"")</f>
        <v/>
      </c>
      <c r="B2454" s="2261" t="s">
        <v>1083</v>
      </c>
      <c r="C2454" s="2258"/>
      <c r="D2454" s="2152">
        <v>0</v>
      </c>
      <c r="E2454" s="2194" t="s">
        <v>2652</v>
      </c>
      <c r="F2454" s="2152" t="s">
        <v>2439</v>
      </c>
      <c r="G2454" s="2270">
        <f>G2451*2</f>
        <v>0</v>
      </c>
      <c r="H2454" s="2264">
        <v>29900</v>
      </c>
      <c r="I2454" s="2359">
        <v>0</v>
      </c>
      <c r="J2454" s="2359">
        <v>0</v>
      </c>
      <c r="K2454" s="2359"/>
      <c r="L2454" s="2360">
        <f t="shared" si="481"/>
        <v>0</v>
      </c>
      <c r="M2454" s="2360"/>
      <c r="N2454" s="2264">
        <f t="shared" si="486"/>
        <v>0</v>
      </c>
      <c r="O2454" s="2360"/>
      <c r="P2454" s="2265"/>
      <c r="Q2454" s="2266"/>
      <c r="R2454" s="2266"/>
      <c r="S2454" s="2266"/>
    </row>
    <row r="2455" spans="1:19" s="2105" customFormat="1" outlineLevel="1">
      <c r="A2455" s="2182" t="str">
        <f>IF(G2455&lt;&gt;0,1,"")</f>
        <v/>
      </c>
      <c r="B2455" s="2261" t="s">
        <v>2242</v>
      </c>
      <c r="C2455" s="2258"/>
      <c r="D2455" s="2152" t="s">
        <v>5444</v>
      </c>
      <c r="E2455" s="2194" t="s">
        <v>2440</v>
      </c>
      <c r="F2455" s="2152" t="s">
        <v>2439</v>
      </c>
      <c r="G2455" s="2270">
        <f>G2451/2</f>
        <v>0</v>
      </c>
      <c r="H2455" s="2264">
        <v>0</v>
      </c>
      <c r="I2455" s="2359"/>
      <c r="J2455" s="2359">
        <v>474961</v>
      </c>
      <c r="K2455" s="2359"/>
      <c r="L2455" s="2360">
        <f t="shared" si="481"/>
        <v>0</v>
      </c>
      <c r="M2455" s="2360"/>
      <c r="N2455" s="2264">
        <f t="shared" si="486"/>
        <v>0</v>
      </c>
      <c r="O2455" s="2360"/>
      <c r="P2455" s="2265"/>
      <c r="Q2455" s="2266"/>
      <c r="R2455" s="2266"/>
      <c r="S2455" s="2266"/>
    </row>
    <row r="2456" spans="1:19" s="2105" customFormat="1" outlineLevel="1">
      <c r="A2456" s="2182" t="str">
        <f>IF(G2456&lt;&gt;0,1,"")</f>
        <v/>
      </c>
      <c r="B2456" s="2261" t="s">
        <v>217</v>
      </c>
      <c r="C2456" s="2258"/>
      <c r="D2456" s="2152" t="s">
        <v>5344</v>
      </c>
      <c r="E2456" s="2194" t="s">
        <v>2441</v>
      </c>
      <c r="F2456" s="2152" t="s">
        <v>2442</v>
      </c>
      <c r="G2456" s="2270">
        <f>0.05*0</f>
        <v>0</v>
      </c>
      <c r="H2456" s="2264">
        <v>0</v>
      </c>
      <c r="I2456" s="2359"/>
      <c r="J2456" s="2359">
        <v>32543</v>
      </c>
      <c r="K2456" s="2359"/>
      <c r="L2456" s="2360">
        <f t="shared" si="481"/>
        <v>0</v>
      </c>
      <c r="M2456" s="2360"/>
      <c r="N2456" s="2264">
        <f t="shared" si="486"/>
        <v>0</v>
      </c>
      <c r="O2456" s="2360"/>
      <c r="P2456" s="2265"/>
      <c r="Q2456" s="2266"/>
      <c r="R2456" s="2266"/>
      <c r="S2456" s="2266"/>
    </row>
    <row r="2457" spans="1:19" s="2105" customFormat="1" outlineLevel="1" collapsed="1">
      <c r="A2457" s="2182" t="str">
        <f>IF(G2457&lt;&gt;0,1,"")</f>
        <v/>
      </c>
      <c r="B2457" s="2261"/>
      <c r="C2457" s="2258">
        <f>IF(G2457&gt;0,C2451+1,C2451)</f>
        <v>0</v>
      </c>
      <c r="D2457" s="2259"/>
      <c r="E2457" s="2417" t="s">
        <v>3718</v>
      </c>
      <c r="F2457" s="2258" t="s">
        <v>2385</v>
      </c>
      <c r="G2457" s="2263"/>
      <c r="H2457" s="2264"/>
      <c r="I2457" s="2264"/>
      <c r="J2457" s="2264"/>
      <c r="K2457" s="2264"/>
      <c r="L2457" s="2264">
        <f t="shared" si="481"/>
        <v>0</v>
      </c>
      <c r="M2457" s="2264">
        <f>I2457*G2457</f>
        <v>0</v>
      </c>
      <c r="N2457" s="2264">
        <f t="shared" si="486"/>
        <v>0</v>
      </c>
      <c r="O2457" s="2264">
        <f>K2457*G2457</f>
        <v>0</v>
      </c>
      <c r="P2457" s="2389"/>
      <c r="Q2457" s="2266"/>
      <c r="R2457" s="2266"/>
      <c r="S2457" s="2266"/>
    </row>
    <row r="2458" spans="1:19" s="2105" customFormat="1" ht="14.4" outlineLevel="1">
      <c r="A2458" s="2182" t="str">
        <f>A2457</f>
        <v/>
      </c>
      <c r="B2458" s="2261"/>
      <c r="C2458" s="2258"/>
      <c r="D2458" s="2259"/>
      <c r="E2458" s="2267" t="s">
        <v>6133</v>
      </c>
      <c r="F2458" s="2268"/>
      <c r="G2458" s="2269"/>
      <c r="H2458" s="2264"/>
      <c r="I2458" s="2264"/>
      <c r="J2458" s="2264"/>
      <c r="K2458" s="2264"/>
      <c r="L2458" s="2264">
        <f t="shared" si="481"/>
        <v>0</v>
      </c>
      <c r="M2458" s="2264">
        <f>I2458*G2458</f>
        <v>0</v>
      </c>
      <c r="N2458" s="2264">
        <f t="shared" si="486"/>
        <v>0</v>
      </c>
      <c r="O2458" s="2264">
        <f>K2458*G2458</f>
        <v>0</v>
      </c>
      <c r="P2458" s="2389"/>
      <c r="Q2458" s="2266"/>
      <c r="R2458" s="2266"/>
      <c r="S2458" s="2266"/>
    </row>
    <row r="2459" spans="1:19" s="2105" customFormat="1" outlineLevel="1">
      <c r="A2459" s="2182" t="str">
        <f t="shared" ref="A2459:A2465" si="487">IF(G2459&lt;&gt;0,1,"")</f>
        <v/>
      </c>
      <c r="B2459" s="2261" t="s">
        <v>2022</v>
      </c>
      <c r="C2459" s="2258"/>
      <c r="D2459" s="2152">
        <v>0</v>
      </c>
      <c r="E2459" s="2194" t="s">
        <v>2437</v>
      </c>
      <c r="F2459" s="2152" t="s">
        <v>2248</v>
      </c>
      <c r="G2459" s="2270">
        <f>G2457*9.02*(2.4+4*0.07)*2</f>
        <v>0</v>
      </c>
      <c r="H2459" s="2264">
        <v>31625</v>
      </c>
      <c r="I2459" s="2264"/>
      <c r="J2459" s="2264">
        <v>0</v>
      </c>
      <c r="K2459" s="2264"/>
      <c r="L2459" s="2264">
        <f t="shared" si="481"/>
        <v>0</v>
      </c>
      <c r="M2459" s="2264"/>
      <c r="N2459" s="2264">
        <f t="shared" si="486"/>
        <v>0</v>
      </c>
      <c r="O2459" s="2264"/>
      <c r="P2459" s="2389"/>
      <c r="Q2459" s="2266"/>
      <c r="R2459" s="2266"/>
      <c r="S2459" s="2266"/>
    </row>
    <row r="2460" spans="1:19" s="2105" customFormat="1" outlineLevel="1">
      <c r="A2460" s="2182" t="str">
        <f t="shared" si="487"/>
        <v/>
      </c>
      <c r="B2460" s="2261" t="s">
        <v>1035</v>
      </c>
      <c r="C2460" s="2258"/>
      <c r="D2460" s="2152">
        <v>0</v>
      </c>
      <c r="E2460" s="2194" t="s">
        <v>6374</v>
      </c>
      <c r="F2460" s="2152" t="s">
        <v>2248</v>
      </c>
      <c r="G2460" s="2270">
        <f>G2457*3.77*0.81*4</f>
        <v>0</v>
      </c>
      <c r="H2460" s="2264">
        <v>31625</v>
      </c>
      <c r="I2460" s="2264"/>
      <c r="J2460" s="2264">
        <v>0</v>
      </c>
      <c r="K2460" s="2264"/>
      <c r="L2460" s="2264">
        <f t="shared" si="481"/>
        <v>0</v>
      </c>
      <c r="M2460" s="2264"/>
      <c r="N2460" s="2264">
        <f t="shared" si="486"/>
        <v>0</v>
      </c>
      <c r="O2460" s="2264"/>
      <c r="P2460" s="2389"/>
      <c r="Q2460" s="2266"/>
      <c r="R2460" s="2266"/>
      <c r="S2460" s="2266"/>
    </row>
    <row r="2461" spans="1:19" s="2105" customFormat="1" outlineLevel="1">
      <c r="A2461" s="2182" t="str">
        <f t="shared" si="487"/>
        <v/>
      </c>
      <c r="B2461" s="2261" t="s">
        <v>1610</v>
      </c>
      <c r="C2461" s="2258"/>
      <c r="D2461" s="2152">
        <v>0</v>
      </c>
      <c r="E2461" s="2194" t="s">
        <v>2649</v>
      </c>
      <c r="F2461" s="2152" t="s">
        <v>2385</v>
      </c>
      <c r="G2461" s="2269">
        <f>G2457*2</f>
        <v>0</v>
      </c>
      <c r="H2461" s="2264">
        <v>25400</v>
      </c>
      <c r="I2461" s="2264">
        <v>0</v>
      </c>
      <c r="J2461" s="2264">
        <v>0</v>
      </c>
      <c r="K2461" s="2264"/>
      <c r="L2461" s="2264">
        <f t="shared" si="481"/>
        <v>0</v>
      </c>
      <c r="M2461" s="2264"/>
      <c r="N2461" s="2264">
        <f t="shared" si="486"/>
        <v>0</v>
      </c>
      <c r="O2461" s="2264"/>
      <c r="P2461" s="2389"/>
      <c r="Q2461" s="2266"/>
      <c r="R2461" s="2266"/>
      <c r="S2461" s="2266"/>
    </row>
    <row r="2462" spans="1:19" s="2105" customFormat="1" outlineLevel="1">
      <c r="A2462" s="2182" t="str">
        <f t="shared" si="487"/>
        <v/>
      </c>
      <c r="B2462" s="2261" t="s">
        <v>1786</v>
      </c>
      <c r="C2462" s="2258"/>
      <c r="D2462" s="2152">
        <v>0</v>
      </c>
      <c r="E2462" s="2194" t="s">
        <v>2639</v>
      </c>
      <c r="F2462" s="2152" t="s">
        <v>2385</v>
      </c>
      <c r="G2462" s="2269">
        <f>G2457*4</f>
        <v>0</v>
      </c>
      <c r="H2462" s="2264">
        <v>12400</v>
      </c>
      <c r="I2462" s="2264">
        <v>0</v>
      </c>
      <c r="J2462" s="2264">
        <v>0</v>
      </c>
      <c r="K2462" s="2264"/>
      <c r="L2462" s="2264">
        <f t="shared" si="481"/>
        <v>0</v>
      </c>
      <c r="M2462" s="2264"/>
      <c r="N2462" s="2264">
        <f t="shared" si="486"/>
        <v>0</v>
      </c>
      <c r="O2462" s="2264"/>
      <c r="P2462" s="2389"/>
      <c r="Q2462" s="2266"/>
      <c r="R2462" s="2266"/>
      <c r="S2462" s="2266"/>
    </row>
    <row r="2463" spans="1:19" s="2105" customFormat="1" outlineLevel="1">
      <c r="A2463" s="2182" t="str">
        <f t="shared" si="487"/>
        <v/>
      </c>
      <c r="B2463" s="2261" t="s">
        <v>1784</v>
      </c>
      <c r="C2463" s="2258"/>
      <c r="D2463" s="2152">
        <v>0</v>
      </c>
      <c r="E2463" s="2194" t="s">
        <v>2660</v>
      </c>
      <c r="F2463" s="2152" t="s">
        <v>2385</v>
      </c>
      <c r="G2463" s="2269">
        <f>G2457*4</f>
        <v>0</v>
      </c>
      <c r="H2463" s="2264">
        <v>31800</v>
      </c>
      <c r="I2463" s="2264">
        <v>0</v>
      </c>
      <c r="J2463" s="2264">
        <v>0</v>
      </c>
      <c r="K2463" s="2264">
        <v>0</v>
      </c>
      <c r="L2463" s="2264">
        <f t="shared" si="481"/>
        <v>0</v>
      </c>
      <c r="M2463" s="2264">
        <f>I2463*G2463</f>
        <v>0</v>
      </c>
      <c r="N2463" s="2264">
        <f t="shared" si="486"/>
        <v>0</v>
      </c>
      <c r="O2463" s="2264">
        <f>K2463*G2463</f>
        <v>0</v>
      </c>
      <c r="P2463" s="2389"/>
      <c r="Q2463" s="2266"/>
      <c r="R2463" s="2266"/>
      <c r="S2463" s="2266"/>
    </row>
    <row r="2464" spans="1:19" s="2105" customFormat="1" outlineLevel="1">
      <c r="A2464" s="2182" t="str">
        <f t="shared" si="487"/>
        <v/>
      </c>
      <c r="B2464" s="2261" t="s">
        <v>517</v>
      </c>
      <c r="C2464" s="2258"/>
      <c r="D2464" s="2152" t="s">
        <v>5430</v>
      </c>
      <c r="E2464" s="2194" t="s">
        <v>3173</v>
      </c>
      <c r="F2464" s="2152" t="s">
        <v>2385</v>
      </c>
      <c r="G2464" s="2269">
        <f>G2457</f>
        <v>0</v>
      </c>
      <c r="H2464" s="2264">
        <v>0</v>
      </c>
      <c r="I2464" s="2264"/>
      <c r="J2464" s="2359">
        <v>296544.75</v>
      </c>
      <c r="K2464" s="2264"/>
      <c r="L2464" s="2264">
        <f t="shared" si="481"/>
        <v>0</v>
      </c>
      <c r="M2464" s="2264"/>
      <c r="N2464" s="2264">
        <f t="shared" si="486"/>
        <v>0</v>
      </c>
      <c r="O2464" s="2264"/>
      <c r="P2464" s="2389"/>
      <c r="Q2464" s="2266"/>
      <c r="R2464" s="2266"/>
      <c r="S2464" s="2266"/>
    </row>
    <row r="2465" spans="1:19" s="2105" customFormat="1" outlineLevel="1">
      <c r="A2465" s="2182" t="str">
        <f t="shared" si="487"/>
        <v/>
      </c>
      <c r="B2465" s="2261"/>
      <c r="C2465" s="2258">
        <f>IF(G2465&gt;0,C2457+1,C2457)</f>
        <v>0</v>
      </c>
      <c r="D2465" s="2259"/>
      <c r="E2465" s="2417" t="s">
        <v>6239</v>
      </c>
      <c r="F2465" s="2258" t="s">
        <v>2385</v>
      </c>
      <c r="G2465" s="2263"/>
      <c r="H2465" s="2264"/>
      <c r="I2465" s="2264"/>
      <c r="J2465" s="2264"/>
      <c r="K2465" s="2264"/>
      <c r="L2465" s="2264">
        <f t="shared" si="481"/>
        <v>0</v>
      </c>
      <c r="M2465" s="2264">
        <f>I2465*G2465</f>
        <v>0</v>
      </c>
      <c r="N2465" s="2264">
        <f t="shared" si="486"/>
        <v>0</v>
      </c>
      <c r="O2465" s="2264">
        <f>K2465*G2465</f>
        <v>0</v>
      </c>
      <c r="P2465" s="2389"/>
      <c r="Q2465" s="2266"/>
      <c r="R2465" s="2266"/>
      <c r="S2465" s="2266"/>
    </row>
    <row r="2466" spans="1:19" s="2105" customFormat="1" ht="14.4" outlineLevel="1">
      <c r="A2466" s="2182" t="str">
        <f>A2465</f>
        <v/>
      </c>
      <c r="B2466" s="2261"/>
      <c r="C2466" s="2258"/>
      <c r="D2466" s="2259"/>
      <c r="E2466" s="2267" t="s">
        <v>6133</v>
      </c>
      <c r="F2466" s="2268"/>
      <c r="G2466" s="2269"/>
      <c r="H2466" s="2264"/>
      <c r="I2466" s="2264"/>
      <c r="J2466" s="2264"/>
      <c r="K2466" s="2264"/>
      <c r="L2466" s="2264">
        <f t="shared" si="481"/>
        <v>0</v>
      </c>
      <c r="M2466" s="2264">
        <f>I2466*G2466</f>
        <v>0</v>
      </c>
      <c r="N2466" s="2264">
        <f t="shared" si="486"/>
        <v>0</v>
      </c>
      <c r="O2466" s="2264">
        <f>K2466*G2466</f>
        <v>0</v>
      </c>
      <c r="P2466" s="2389"/>
      <c r="Q2466" s="2266"/>
      <c r="R2466" s="2266"/>
      <c r="S2466" s="2266"/>
    </row>
    <row r="2467" spans="1:19" s="2105" customFormat="1" outlineLevel="1">
      <c r="A2467" s="2182" t="str">
        <f t="shared" ref="A2467:A2474" si="488">IF(G2467&lt;&gt;0,1,"")</f>
        <v/>
      </c>
      <c r="B2467" s="2261" t="s">
        <v>2022</v>
      </c>
      <c r="C2467" s="2258"/>
      <c r="D2467" s="2152">
        <v>0</v>
      </c>
      <c r="E2467" s="2194" t="s">
        <v>2437</v>
      </c>
      <c r="F2467" s="2152" t="s">
        <v>2248</v>
      </c>
      <c r="G2467" s="2270">
        <f>G2465*9.02*(2.4+4*0.07)</f>
        <v>0</v>
      </c>
      <c r="H2467" s="2264">
        <v>31625</v>
      </c>
      <c r="I2467" s="2264"/>
      <c r="J2467" s="2264">
        <v>0</v>
      </c>
      <c r="K2467" s="2264"/>
      <c r="L2467" s="2264">
        <f t="shared" si="481"/>
        <v>0</v>
      </c>
      <c r="M2467" s="2264"/>
      <c r="N2467" s="2264">
        <f t="shared" si="486"/>
        <v>0</v>
      </c>
      <c r="O2467" s="2264"/>
      <c r="P2467" s="2389"/>
      <c r="Q2467" s="2266"/>
      <c r="R2467" s="2266"/>
      <c r="S2467" s="2266"/>
    </row>
    <row r="2468" spans="1:19" s="2105" customFormat="1" outlineLevel="1">
      <c r="A2468" s="2182" t="str">
        <f t="shared" si="488"/>
        <v/>
      </c>
      <c r="B2468" s="2261" t="s">
        <v>1035</v>
      </c>
      <c r="C2468" s="2258"/>
      <c r="D2468" s="2152">
        <v>0</v>
      </c>
      <c r="E2468" s="2194" t="s">
        <v>6374</v>
      </c>
      <c r="F2468" s="2152" t="s">
        <v>2248</v>
      </c>
      <c r="G2468" s="2270">
        <f>G2465*3.77*0.81*2</f>
        <v>0</v>
      </c>
      <c r="H2468" s="2264">
        <v>31625</v>
      </c>
      <c r="I2468" s="2264"/>
      <c r="J2468" s="2264">
        <v>0</v>
      </c>
      <c r="K2468" s="2264"/>
      <c r="L2468" s="2264">
        <f t="shared" si="481"/>
        <v>0</v>
      </c>
      <c r="M2468" s="2264"/>
      <c r="N2468" s="2264">
        <f t="shared" si="486"/>
        <v>0</v>
      </c>
      <c r="O2468" s="2264"/>
      <c r="P2468" s="2389"/>
      <c r="Q2468" s="2266"/>
      <c r="R2468" s="2266"/>
      <c r="S2468" s="2266"/>
    </row>
    <row r="2469" spans="1:19" s="2105" customFormat="1" outlineLevel="1">
      <c r="A2469" s="2182" t="str">
        <f t="shared" si="488"/>
        <v/>
      </c>
      <c r="B2469" s="2261" t="s">
        <v>1079</v>
      </c>
      <c r="C2469" s="2258"/>
      <c r="D2469" s="2152">
        <v>0</v>
      </c>
      <c r="E2469" s="2194" t="s">
        <v>2651</v>
      </c>
      <c r="F2469" s="2152" t="s">
        <v>2385</v>
      </c>
      <c r="G2469" s="2269">
        <f>G2465*2</f>
        <v>0</v>
      </c>
      <c r="H2469" s="2264">
        <v>27900</v>
      </c>
      <c r="I2469" s="2264">
        <v>0</v>
      </c>
      <c r="J2469" s="2264">
        <v>0</v>
      </c>
      <c r="K2469" s="2264"/>
      <c r="L2469" s="2264">
        <f t="shared" si="481"/>
        <v>0</v>
      </c>
      <c r="M2469" s="2264"/>
      <c r="N2469" s="2264">
        <f t="shared" si="486"/>
        <v>0</v>
      </c>
      <c r="O2469" s="2264"/>
      <c r="P2469" s="2389"/>
      <c r="Q2469" s="2266"/>
      <c r="R2469" s="2266"/>
      <c r="S2469" s="2266"/>
    </row>
    <row r="2470" spans="1:19" s="2105" customFormat="1" outlineLevel="1">
      <c r="A2470" s="2182" t="str">
        <f t="shared" si="488"/>
        <v/>
      </c>
      <c r="B2470" s="2261" t="s">
        <v>1786</v>
      </c>
      <c r="C2470" s="2258"/>
      <c r="D2470" s="2152">
        <v>0</v>
      </c>
      <c r="E2470" s="2194" t="s">
        <v>2639</v>
      </c>
      <c r="F2470" s="2152" t="s">
        <v>2385</v>
      </c>
      <c r="G2470" s="2269">
        <f>G2465*2</f>
        <v>0</v>
      </c>
      <c r="H2470" s="2264">
        <v>12400</v>
      </c>
      <c r="I2470" s="2264">
        <v>0</v>
      </c>
      <c r="J2470" s="2264">
        <v>0</v>
      </c>
      <c r="K2470" s="2264"/>
      <c r="L2470" s="2264">
        <f t="shared" si="481"/>
        <v>0</v>
      </c>
      <c r="M2470" s="2264"/>
      <c r="N2470" s="2264">
        <f t="shared" si="486"/>
        <v>0</v>
      </c>
      <c r="O2470" s="2264"/>
      <c r="P2470" s="2389"/>
      <c r="Q2470" s="2266"/>
      <c r="R2470" s="2266"/>
      <c r="S2470" s="2266"/>
    </row>
    <row r="2471" spans="1:19" s="2105" customFormat="1" outlineLevel="1">
      <c r="A2471" s="2182" t="str">
        <f t="shared" si="488"/>
        <v/>
      </c>
      <c r="B2471" s="2261" t="s">
        <v>1735</v>
      </c>
      <c r="C2471" s="2258"/>
      <c r="D2471" s="2152">
        <v>0</v>
      </c>
      <c r="E2471" s="2194" t="s">
        <v>2691</v>
      </c>
      <c r="F2471" s="2152" t="s">
        <v>2385</v>
      </c>
      <c r="G2471" s="2269">
        <f>IF(G2465&gt;0,3,)</f>
        <v>0</v>
      </c>
      <c r="H2471" s="2264">
        <v>34000</v>
      </c>
      <c r="I2471" s="2264">
        <v>0</v>
      </c>
      <c r="J2471" s="2264">
        <v>0</v>
      </c>
      <c r="K2471" s="2264"/>
      <c r="L2471" s="2264">
        <f t="shared" si="481"/>
        <v>0</v>
      </c>
      <c r="M2471" s="2264"/>
      <c r="N2471" s="2264">
        <f t="shared" si="486"/>
        <v>0</v>
      </c>
      <c r="O2471" s="2264"/>
      <c r="P2471" s="2389"/>
      <c r="Q2471" s="2266"/>
      <c r="R2471" s="2266"/>
      <c r="S2471" s="2266"/>
    </row>
    <row r="2472" spans="1:19" s="2105" customFormat="1" outlineLevel="1">
      <c r="A2472" s="2182" t="str">
        <f t="shared" si="488"/>
        <v/>
      </c>
      <c r="B2472" s="2261" t="s">
        <v>988</v>
      </c>
      <c r="C2472" s="2258"/>
      <c r="D2472" s="2152">
        <v>0</v>
      </c>
      <c r="E2472" s="2194" t="s">
        <v>5270</v>
      </c>
      <c r="F2472" s="2152" t="s">
        <v>2385</v>
      </c>
      <c r="G2472" s="2269">
        <f>G2465</f>
        <v>0</v>
      </c>
      <c r="H2472" s="2264">
        <v>178900</v>
      </c>
      <c r="I2472" s="2264">
        <v>0</v>
      </c>
      <c r="J2472" s="2264">
        <v>0</v>
      </c>
      <c r="K2472" s="2264"/>
      <c r="L2472" s="2264">
        <f t="shared" si="481"/>
        <v>0</v>
      </c>
      <c r="M2472" s="2264"/>
      <c r="N2472" s="2264">
        <f t="shared" si="486"/>
        <v>0</v>
      </c>
      <c r="O2472" s="2264"/>
      <c r="P2472" s="2389"/>
      <c r="Q2472" s="2266"/>
      <c r="R2472" s="2266"/>
      <c r="S2472" s="2266"/>
    </row>
    <row r="2473" spans="1:19" s="2105" customFormat="1" outlineLevel="1">
      <c r="A2473" s="2182" t="str">
        <f t="shared" si="488"/>
        <v/>
      </c>
      <c r="B2473" s="2261" t="s">
        <v>1440</v>
      </c>
      <c r="C2473" s="2258"/>
      <c r="D2473" s="2152" t="s">
        <v>5421</v>
      </c>
      <c r="E2473" s="2194" t="s">
        <v>5422</v>
      </c>
      <c r="F2473" s="2152" t="s">
        <v>2385</v>
      </c>
      <c r="G2473" s="2269">
        <f>G2465</f>
        <v>0</v>
      </c>
      <c r="H2473" s="2264">
        <v>0</v>
      </c>
      <c r="I2473" s="2264"/>
      <c r="J2473" s="2359">
        <v>296544.75</v>
      </c>
      <c r="K2473" s="2264"/>
      <c r="L2473" s="2264">
        <f t="shared" si="481"/>
        <v>0</v>
      </c>
      <c r="M2473" s="2264"/>
      <c r="N2473" s="2264">
        <f t="shared" si="486"/>
        <v>0</v>
      </c>
      <c r="O2473" s="2264"/>
      <c r="P2473" s="2389"/>
      <c r="Q2473" s="2266"/>
      <c r="R2473" s="2266"/>
      <c r="S2473" s="2266"/>
    </row>
    <row r="2474" spans="1:19" s="2105" customFormat="1" outlineLevel="1">
      <c r="A2474" s="2182" t="str">
        <f t="shared" si="488"/>
        <v/>
      </c>
      <c r="B2474" s="2261"/>
      <c r="C2474" s="2258">
        <f>IF(G2474&gt;0,C2465+1,C2465)</f>
        <v>0</v>
      </c>
      <c r="D2474" s="2259"/>
      <c r="E2474" s="2417" t="s">
        <v>3720</v>
      </c>
      <c r="F2474" s="2258" t="s">
        <v>2385</v>
      </c>
      <c r="G2474" s="2263">
        <f>G2391</f>
        <v>0</v>
      </c>
      <c r="H2474" s="2264"/>
      <c r="I2474" s="2264"/>
      <c r="J2474" s="2264"/>
      <c r="K2474" s="2264"/>
      <c r="L2474" s="2264">
        <f t="shared" si="481"/>
        <v>0</v>
      </c>
      <c r="M2474" s="2264">
        <f>I2474*G2474</f>
        <v>0</v>
      </c>
      <c r="N2474" s="2264">
        <f t="shared" si="486"/>
        <v>0</v>
      </c>
      <c r="O2474" s="2264">
        <f>K2474*G2474</f>
        <v>0</v>
      </c>
      <c r="P2474" s="2389"/>
      <c r="Q2474" s="2266"/>
      <c r="R2474" s="2266"/>
      <c r="S2474" s="2266"/>
    </row>
    <row r="2475" spans="1:19" s="2105" customFormat="1" ht="14.4" outlineLevel="1">
      <c r="A2475" s="2182" t="str">
        <f>+A2474</f>
        <v/>
      </c>
      <c r="B2475" s="2418"/>
      <c r="C2475" s="2258"/>
      <c r="D2475" s="2259"/>
      <c r="E2475" s="2267" t="s">
        <v>6133</v>
      </c>
      <c r="F2475" s="2268"/>
      <c r="G2475" s="2269"/>
      <c r="H2475" s="2264"/>
      <c r="I2475" s="2264"/>
      <c r="J2475" s="2264"/>
      <c r="K2475" s="2264"/>
      <c r="L2475" s="2264">
        <f t="shared" si="481"/>
        <v>0</v>
      </c>
      <c r="M2475" s="2264">
        <f>I2475*G2475</f>
        <v>0</v>
      </c>
      <c r="N2475" s="2264">
        <f t="shared" si="486"/>
        <v>0</v>
      </c>
      <c r="O2475" s="2264">
        <f>K2475*G2475</f>
        <v>0</v>
      </c>
      <c r="P2475" s="2389"/>
      <c r="Q2475" s="2266"/>
      <c r="R2475" s="2266"/>
      <c r="S2475" s="2266"/>
    </row>
    <row r="2476" spans="1:19" s="2105" customFormat="1" outlineLevel="1">
      <c r="A2476" s="2182" t="str">
        <f t="shared" ref="A2476:A2482" si="489">IF(G2476&lt;&gt;0,1,"")</f>
        <v/>
      </c>
      <c r="B2476" s="2261" t="s">
        <v>1033</v>
      </c>
      <c r="C2476" s="2258"/>
      <c r="D2476" s="2152">
        <v>0</v>
      </c>
      <c r="E2476" s="2194" t="s">
        <v>2700</v>
      </c>
      <c r="F2476" s="2152" t="s">
        <v>2248</v>
      </c>
      <c r="G2476" s="2270">
        <f>$H$3*0.224*G2474</f>
        <v>0</v>
      </c>
      <c r="H2476" s="2264">
        <v>255500</v>
      </c>
      <c r="I2476" s="2264"/>
      <c r="J2476" s="2264">
        <v>0</v>
      </c>
      <c r="K2476" s="2264">
        <v>0</v>
      </c>
      <c r="L2476" s="2264">
        <f t="shared" si="481"/>
        <v>0</v>
      </c>
      <c r="M2476" s="2264">
        <f>I2476*G2476</f>
        <v>0</v>
      </c>
      <c r="N2476" s="2264">
        <f t="shared" si="486"/>
        <v>0</v>
      </c>
      <c r="O2476" s="2264">
        <f>K2476*G2476</f>
        <v>0</v>
      </c>
      <c r="P2476" s="2389"/>
      <c r="Q2476" s="2266"/>
      <c r="R2476" s="2266"/>
      <c r="S2476" s="2266"/>
    </row>
    <row r="2477" spans="1:19" s="2105" customFormat="1" outlineLevel="1">
      <c r="A2477" s="2182" t="str">
        <f t="shared" si="489"/>
        <v/>
      </c>
      <c r="B2477" s="2252" t="s">
        <v>1508</v>
      </c>
      <c r="C2477" s="2258"/>
      <c r="D2477" s="2152">
        <v>0</v>
      </c>
      <c r="E2477" s="2194" t="s">
        <v>5163</v>
      </c>
      <c r="F2477" s="2152" t="s">
        <v>2439</v>
      </c>
      <c r="G2477" s="2270">
        <f>G2474*12</f>
        <v>0</v>
      </c>
      <c r="H2477" s="2264">
        <v>160000</v>
      </c>
      <c r="I2477" s="2264"/>
      <c r="J2477" s="2264">
        <v>0</v>
      </c>
      <c r="K2477" s="2264">
        <v>0</v>
      </c>
      <c r="L2477" s="2264">
        <f t="shared" si="481"/>
        <v>0</v>
      </c>
      <c r="M2477" s="2264">
        <f>I2477*G2477</f>
        <v>0</v>
      </c>
      <c r="N2477" s="2264">
        <f t="shared" si="486"/>
        <v>0</v>
      </c>
      <c r="O2477" s="2264">
        <f>K2477*G2477</f>
        <v>0</v>
      </c>
      <c r="P2477" s="2389"/>
      <c r="Q2477" s="2266"/>
      <c r="R2477" s="2266"/>
      <c r="S2477" s="2266"/>
    </row>
    <row r="2478" spans="1:19" s="2105" customFormat="1" outlineLevel="1">
      <c r="A2478" s="2182" t="str">
        <f t="shared" si="489"/>
        <v/>
      </c>
      <c r="B2478" s="2252" t="s">
        <v>1490</v>
      </c>
      <c r="C2478" s="2258"/>
      <c r="D2478" s="2152">
        <v>0</v>
      </c>
      <c r="E2478" s="2194" t="s">
        <v>3536</v>
      </c>
      <c r="F2478" s="2152" t="s">
        <v>1823</v>
      </c>
      <c r="G2478" s="2270">
        <f>G2474*4</f>
        <v>0</v>
      </c>
      <c r="H2478" s="2264">
        <v>6200</v>
      </c>
      <c r="I2478" s="2264"/>
      <c r="J2478" s="2264">
        <v>0</v>
      </c>
      <c r="K2478" s="2264">
        <v>0</v>
      </c>
      <c r="L2478" s="2264">
        <f t="shared" si="481"/>
        <v>0</v>
      </c>
      <c r="M2478" s="2264">
        <f>I2478*G2478</f>
        <v>0</v>
      </c>
      <c r="N2478" s="2264">
        <f t="shared" si="486"/>
        <v>0</v>
      </c>
      <c r="O2478" s="2264">
        <f>K2478*G2478</f>
        <v>0</v>
      </c>
      <c r="P2478" s="2265"/>
      <c r="Q2478" s="2266"/>
      <c r="R2478" s="2266"/>
      <c r="S2478" s="2266"/>
    </row>
    <row r="2479" spans="1:19" s="2105" customFormat="1" outlineLevel="1">
      <c r="A2479" s="2182" t="str">
        <f t="shared" si="489"/>
        <v/>
      </c>
      <c r="B2479" s="2261" t="s">
        <v>1579</v>
      </c>
      <c r="C2479" s="2258"/>
      <c r="D2479" s="2152">
        <v>0</v>
      </c>
      <c r="E2479" s="2194" t="s">
        <v>2873</v>
      </c>
      <c r="F2479" s="2152" t="s">
        <v>2555</v>
      </c>
      <c r="G2479" s="2270">
        <f>2*G2474</f>
        <v>0</v>
      </c>
      <c r="H2479" s="2264">
        <v>8000</v>
      </c>
      <c r="I2479" s="2264"/>
      <c r="J2479" s="2264">
        <v>0</v>
      </c>
      <c r="K2479" s="2264"/>
      <c r="L2479" s="2264">
        <f t="shared" si="481"/>
        <v>0</v>
      </c>
      <c r="M2479" s="2264"/>
      <c r="N2479" s="2264">
        <f t="shared" si="486"/>
        <v>0</v>
      </c>
      <c r="O2479" s="2264"/>
      <c r="P2479" s="2389"/>
      <c r="Q2479" s="2266"/>
      <c r="R2479" s="2266"/>
      <c r="S2479" s="2266"/>
    </row>
    <row r="2480" spans="1:19" s="2105" customFormat="1" outlineLevel="1">
      <c r="A2480" s="2182" t="str">
        <f t="shared" si="489"/>
        <v/>
      </c>
      <c r="B2480" s="2261" t="s">
        <v>816</v>
      </c>
      <c r="C2480" s="2419"/>
      <c r="D2480" s="2152">
        <v>0</v>
      </c>
      <c r="E2480" s="2194" t="s">
        <v>3581</v>
      </c>
      <c r="F2480" s="2152" t="s">
        <v>2555</v>
      </c>
      <c r="G2480" s="2270">
        <f>IF(G2477&lt;=12,15,21)*G2474</f>
        <v>0</v>
      </c>
      <c r="H2480" s="2264">
        <v>17600</v>
      </c>
      <c r="I2480" s="2264"/>
      <c r="J2480" s="2264">
        <v>0</v>
      </c>
      <c r="K2480" s="2264"/>
      <c r="L2480" s="2264">
        <f t="shared" si="481"/>
        <v>0</v>
      </c>
      <c r="M2480" s="2264">
        <f>I2480*G2480</f>
        <v>0</v>
      </c>
      <c r="N2480" s="2264">
        <f t="shared" si="486"/>
        <v>0</v>
      </c>
      <c r="O2480" s="2264">
        <f>K2480*G2480</f>
        <v>0</v>
      </c>
      <c r="P2480" s="2389"/>
      <c r="Q2480" s="2266"/>
      <c r="R2480" s="2266"/>
      <c r="S2480" s="2266"/>
    </row>
    <row r="2481" spans="1:20" s="2105" customFormat="1" outlineLevel="1">
      <c r="A2481" s="2182" t="str">
        <f t="shared" si="489"/>
        <v/>
      </c>
      <c r="B2481" s="2252" t="s">
        <v>525</v>
      </c>
      <c r="C2481" s="2258"/>
      <c r="D2481" s="2152">
        <v>0</v>
      </c>
      <c r="E2481" s="2194" t="s">
        <v>5252</v>
      </c>
      <c r="F2481" s="2152" t="s">
        <v>2439</v>
      </c>
      <c r="G2481" s="2270">
        <f>+G2474*2</f>
        <v>0</v>
      </c>
      <c r="H2481" s="2264">
        <v>43000</v>
      </c>
      <c r="I2481" s="2264"/>
      <c r="J2481" s="2264">
        <v>0</v>
      </c>
      <c r="K2481" s="2264">
        <v>0</v>
      </c>
      <c r="L2481" s="2264">
        <f t="shared" si="481"/>
        <v>0</v>
      </c>
      <c r="M2481" s="2264">
        <f>I2481*G2481</f>
        <v>0</v>
      </c>
      <c r="N2481" s="2264">
        <f t="shared" si="486"/>
        <v>0</v>
      </c>
      <c r="O2481" s="2264">
        <f>K2481*G2481</f>
        <v>0</v>
      </c>
      <c r="P2481" s="2265"/>
      <c r="Q2481" s="2266"/>
      <c r="R2481" s="2266"/>
      <c r="S2481" s="2266"/>
    </row>
    <row r="2482" spans="1:20" s="2105" customFormat="1" outlineLevel="1">
      <c r="A2482" s="2182" t="str">
        <f t="shared" si="489"/>
        <v/>
      </c>
      <c r="B2482" s="2252" t="s">
        <v>1585</v>
      </c>
      <c r="C2482" s="2258"/>
      <c r="D2482" s="2152">
        <v>0</v>
      </c>
      <c r="E2482" s="2194" t="s">
        <v>5713</v>
      </c>
      <c r="F2482" s="2152" t="s">
        <v>3445</v>
      </c>
      <c r="G2482" s="2270">
        <f>$L$3*G2474</f>
        <v>0</v>
      </c>
      <c r="H2482" s="2264">
        <v>0</v>
      </c>
      <c r="I2482" s="2264"/>
      <c r="J2482" s="2264">
        <v>1500000</v>
      </c>
      <c r="K2482" s="2264">
        <v>0</v>
      </c>
      <c r="L2482" s="2264">
        <f t="shared" si="481"/>
        <v>0</v>
      </c>
      <c r="M2482" s="2264">
        <f>I2482*G2482</f>
        <v>0</v>
      </c>
      <c r="N2482" s="2264">
        <f t="shared" si="486"/>
        <v>0</v>
      </c>
      <c r="O2482" s="2264">
        <f>K2482*G2482</f>
        <v>0</v>
      </c>
      <c r="P2482" s="2389"/>
      <c r="Q2482" s="2266"/>
      <c r="R2482" s="2266"/>
      <c r="S2482" s="2266"/>
    </row>
    <row r="2483" spans="1:20" s="2105" customFormat="1" outlineLevel="1">
      <c r="A2483" s="2182">
        <f>IF(G2483=0,0,1)</f>
        <v>0</v>
      </c>
      <c r="B2483" s="2252" t="s">
        <v>794</v>
      </c>
      <c r="C2483" s="2268"/>
      <c r="D2483" s="2152" t="s">
        <v>5336</v>
      </c>
      <c r="E2483" s="2194" t="s">
        <v>3068</v>
      </c>
      <c r="F2483" s="2152" t="s">
        <v>856</v>
      </c>
      <c r="G2483" s="2270">
        <f>+G2474*H4</f>
        <v>0</v>
      </c>
      <c r="H2483" s="2264">
        <v>0</v>
      </c>
      <c r="I2483" s="2264"/>
      <c r="J2483" s="2264">
        <v>283749.75</v>
      </c>
      <c r="K2483" s="2264">
        <v>0</v>
      </c>
      <c r="L2483" s="2264">
        <f t="shared" ref="L2483:O2484" si="490">H2483*$G2483</f>
        <v>0</v>
      </c>
      <c r="M2483" s="2264">
        <f t="shared" si="490"/>
        <v>0</v>
      </c>
      <c r="N2483" s="2264">
        <f t="shared" si="486"/>
        <v>0</v>
      </c>
      <c r="O2483" s="2264">
        <f t="shared" si="490"/>
        <v>0</v>
      </c>
      <c r="P2483" s="2389"/>
      <c r="Q2483" s="2266"/>
      <c r="R2483" s="2266"/>
      <c r="S2483" s="2266"/>
    </row>
    <row r="2484" spans="1:20" s="2105" customFormat="1" outlineLevel="1">
      <c r="A2484" s="2182">
        <f>IF(G2484=0,0,1)</f>
        <v>0</v>
      </c>
      <c r="B2484" s="2252" t="s">
        <v>798</v>
      </c>
      <c r="C2484" s="2268"/>
      <c r="D2484" s="2152" t="s">
        <v>5325</v>
      </c>
      <c r="E2484" s="2194" t="s">
        <v>5337</v>
      </c>
      <c r="F2484" s="2152" t="s">
        <v>856</v>
      </c>
      <c r="G2484" s="2270">
        <f>G2483</f>
        <v>0</v>
      </c>
      <c r="H2484" s="2264">
        <v>0</v>
      </c>
      <c r="I2484" s="2264"/>
      <c r="J2484" s="2264">
        <v>117703.6</v>
      </c>
      <c r="K2484" s="2264">
        <v>0</v>
      </c>
      <c r="L2484" s="2264">
        <f t="shared" si="490"/>
        <v>0</v>
      </c>
      <c r="M2484" s="2264">
        <f t="shared" si="490"/>
        <v>0</v>
      </c>
      <c r="N2484" s="2264">
        <f t="shared" si="486"/>
        <v>0</v>
      </c>
      <c r="O2484" s="2264">
        <f t="shared" si="490"/>
        <v>0</v>
      </c>
      <c r="P2484" s="2389"/>
      <c r="Q2484" s="2266"/>
      <c r="R2484" s="2266"/>
      <c r="S2484" s="2266"/>
    </row>
    <row r="2485" spans="1:20" s="2105" customFormat="1" outlineLevel="1">
      <c r="A2485" s="2182">
        <f>IF(G2485=0,0,1)</f>
        <v>0</v>
      </c>
      <c r="B2485" s="2252" t="s">
        <v>902</v>
      </c>
      <c r="C2485" s="2268"/>
      <c r="D2485" s="2152" t="s">
        <v>5351</v>
      </c>
      <c r="E2485" s="2194" t="s">
        <v>5352</v>
      </c>
      <c r="F2485" s="2152" t="s">
        <v>2278</v>
      </c>
      <c r="G2485" s="2270">
        <f>G2477</f>
        <v>0</v>
      </c>
      <c r="H2485" s="2264">
        <v>0</v>
      </c>
      <c r="I2485" s="2264"/>
      <c r="J2485" s="2264">
        <v>90355.896000000008</v>
      </c>
      <c r="K2485" s="2264">
        <v>0</v>
      </c>
      <c r="L2485" s="2264">
        <f>H2485*$G2485</f>
        <v>0</v>
      </c>
      <c r="M2485" s="2264">
        <f>I2485*$G2485</f>
        <v>0</v>
      </c>
      <c r="N2485" s="2264">
        <f t="shared" si="486"/>
        <v>0</v>
      </c>
      <c r="O2485" s="2264">
        <f>K2485*$G2485</f>
        <v>0</v>
      </c>
      <c r="P2485" s="2389"/>
      <c r="Q2485" s="2266"/>
      <c r="R2485" s="2266"/>
      <c r="S2485" s="2266"/>
    </row>
    <row r="2486" spans="1:20" s="2105" customFormat="1" outlineLevel="1">
      <c r="A2486" s="2182" t="str">
        <f>IF(G2486&lt;&gt;0,1,"")</f>
        <v/>
      </c>
      <c r="B2486" s="2252" t="s">
        <v>1437</v>
      </c>
      <c r="C2486" s="2258"/>
      <c r="D2486" s="2152" t="s">
        <v>5346</v>
      </c>
      <c r="E2486" s="2194" t="s">
        <v>5347</v>
      </c>
      <c r="F2486" s="2152" t="s">
        <v>2532</v>
      </c>
      <c r="G2486" s="2270">
        <f>G2474*$H$3</f>
        <v>0</v>
      </c>
      <c r="H2486" s="2264">
        <v>0</v>
      </c>
      <c r="I2486" s="2264"/>
      <c r="J2486" s="2264">
        <v>8070.7000000000007</v>
      </c>
      <c r="K2486" s="2264">
        <v>2044.9974999999999</v>
      </c>
      <c r="L2486" s="2264">
        <f>H2486*G2486</f>
        <v>0</v>
      </c>
      <c r="M2486" s="2264">
        <f>I2486*G2486</f>
        <v>0</v>
      </c>
      <c r="N2486" s="2264">
        <f t="shared" si="486"/>
        <v>0</v>
      </c>
      <c r="O2486" s="2264">
        <f>K2486*G2486</f>
        <v>0</v>
      </c>
      <c r="P2486" s="2389"/>
      <c r="Q2486" s="2266"/>
      <c r="R2486" s="2266"/>
      <c r="S2486" s="2266"/>
    </row>
    <row r="2487" spans="1:20" s="2105" customFormat="1" outlineLevel="1">
      <c r="A2487" s="2182" t="str">
        <f>IF(G2487&lt;&gt;0,1,"")</f>
        <v/>
      </c>
      <c r="B2487" s="2261"/>
      <c r="C2487" s="2258">
        <f>IF(G2487&gt;0,C2474+1,C2474)</f>
        <v>0</v>
      </c>
      <c r="D2487" s="2259"/>
      <c r="E2487" s="2262" t="s">
        <v>6222</v>
      </c>
      <c r="F2487" s="2258" t="s">
        <v>2385</v>
      </c>
      <c r="G2487" s="2263"/>
      <c r="H2487" s="2264"/>
      <c r="I2487" s="2264"/>
      <c r="J2487" s="2264"/>
      <c r="K2487" s="2264"/>
      <c r="L2487" s="2264">
        <f t="shared" ref="L2487:L2492" si="491">H2487*G2487</f>
        <v>0</v>
      </c>
      <c r="M2487" s="2264">
        <f t="shared" ref="M2487:M2492" si="492">I2487*G2487</f>
        <v>0</v>
      </c>
      <c r="N2487" s="2264">
        <f t="shared" si="486"/>
        <v>0</v>
      </c>
      <c r="O2487" s="2264">
        <f t="shared" ref="O2487:O2492" si="493">K2487*G2487</f>
        <v>0</v>
      </c>
      <c r="P2487" s="2265"/>
      <c r="Q2487" s="2266"/>
      <c r="R2487" s="2266"/>
      <c r="S2487" s="2266"/>
    </row>
    <row r="2488" spans="1:20" s="2105" customFormat="1" ht="14.4" outlineLevel="1">
      <c r="A2488" s="2182" t="str">
        <f>A2487</f>
        <v/>
      </c>
      <c r="B2488" s="2261"/>
      <c r="C2488" s="2258"/>
      <c r="D2488" s="2259"/>
      <c r="E2488" s="2267" t="s">
        <v>6133</v>
      </c>
      <c r="F2488" s="2268"/>
      <c r="G2488" s="2269"/>
      <c r="H2488" s="2264"/>
      <c r="I2488" s="2264"/>
      <c r="J2488" s="2264"/>
      <c r="K2488" s="2264"/>
      <c r="L2488" s="2264">
        <f t="shared" si="491"/>
        <v>0</v>
      </c>
      <c r="M2488" s="2264">
        <f t="shared" si="492"/>
        <v>0</v>
      </c>
      <c r="N2488" s="2264">
        <f t="shared" si="486"/>
        <v>0</v>
      </c>
      <c r="O2488" s="2264">
        <f t="shared" si="493"/>
        <v>0</v>
      </c>
      <c r="P2488" s="2265"/>
      <c r="Q2488" s="2266"/>
      <c r="R2488" s="2266"/>
      <c r="S2488" s="2266"/>
    </row>
    <row r="2489" spans="1:20" s="2105" customFormat="1" outlineLevel="1">
      <c r="A2489" s="2182" t="str">
        <f>IF(G2489&lt;&gt;0,1,"")</f>
        <v/>
      </c>
      <c r="B2489" s="2261" t="s">
        <v>653</v>
      </c>
      <c r="C2489" s="2268"/>
      <c r="D2489" s="2152">
        <v>0</v>
      </c>
      <c r="E2489" s="2194" t="s">
        <v>5289</v>
      </c>
      <c r="F2489" s="2152" t="s">
        <v>2248</v>
      </c>
      <c r="G2489" s="2270">
        <f>+G2492*296</f>
        <v>0</v>
      </c>
      <c r="H2489" s="2264">
        <v>1740</v>
      </c>
      <c r="I2489" s="2264"/>
      <c r="J2489" s="2264">
        <v>0</v>
      </c>
      <c r="K2489" s="2264">
        <v>0</v>
      </c>
      <c r="L2489" s="2264">
        <f t="shared" si="491"/>
        <v>0</v>
      </c>
      <c r="M2489" s="2264">
        <f t="shared" si="492"/>
        <v>0</v>
      </c>
      <c r="N2489" s="2264">
        <f t="shared" si="486"/>
        <v>0</v>
      </c>
      <c r="O2489" s="2264">
        <f t="shared" si="493"/>
        <v>0</v>
      </c>
      <c r="P2489" s="2265"/>
      <c r="Q2489" s="2266"/>
      <c r="R2489" s="2266"/>
      <c r="S2489" s="2266"/>
    </row>
    <row r="2490" spans="1:20" s="2105" customFormat="1" outlineLevel="1">
      <c r="A2490" s="2182" t="str">
        <f>IF(G2490&lt;&gt;0,1,"")</f>
        <v/>
      </c>
      <c r="B2490" s="2261" t="s">
        <v>752</v>
      </c>
      <c r="C2490" s="2258"/>
      <c r="D2490" s="2152">
        <v>0</v>
      </c>
      <c r="E2490" s="2194" t="s">
        <v>3004</v>
      </c>
      <c r="F2490" s="2152" t="s">
        <v>856</v>
      </c>
      <c r="G2490" s="2270">
        <f>G2492*0.475</f>
        <v>0</v>
      </c>
      <c r="H2490" s="2264">
        <v>512000</v>
      </c>
      <c r="I2490" s="2264"/>
      <c r="J2490" s="2264">
        <v>0</v>
      </c>
      <c r="K2490" s="2264">
        <v>0</v>
      </c>
      <c r="L2490" s="2264">
        <f t="shared" si="491"/>
        <v>0</v>
      </c>
      <c r="M2490" s="2264">
        <f t="shared" si="492"/>
        <v>0</v>
      </c>
      <c r="N2490" s="2264">
        <f t="shared" si="486"/>
        <v>0</v>
      </c>
      <c r="O2490" s="2264">
        <f t="shared" si="493"/>
        <v>0</v>
      </c>
      <c r="P2490" s="2265"/>
      <c r="Q2490" s="2266"/>
      <c r="R2490" s="2266"/>
      <c r="S2490" s="2266"/>
    </row>
    <row r="2491" spans="1:20" s="2105" customFormat="1" outlineLevel="1">
      <c r="A2491" s="2182" t="str">
        <f>IF(G2491&lt;&gt;0,1,"")</f>
        <v/>
      </c>
      <c r="B2491" s="2261" t="s">
        <v>216</v>
      </c>
      <c r="C2491" s="2258"/>
      <c r="D2491" s="2152">
        <v>0</v>
      </c>
      <c r="E2491" s="2194" t="s">
        <v>3000</v>
      </c>
      <c r="F2491" s="2152" t="s">
        <v>856</v>
      </c>
      <c r="G2491" s="2270">
        <f>G2492*0.881</f>
        <v>0</v>
      </c>
      <c r="H2491" s="2264">
        <v>335000</v>
      </c>
      <c r="I2491" s="2264"/>
      <c r="J2491" s="2264">
        <v>0</v>
      </c>
      <c r="K2491" s="2264">
        <v>0</v>
      </c>
      <c r="L2491" s="2264">
        <f t="shared" si="491"/>
        <v>0</v>
      </c>
      <c r="M2491" s="2264">
        <f t="shared" si="492"/>
        <v>0</v>
      </c>
      <c r="N2491" s="2264">
        <f t="shared" si="486"/>
        <v>0</v>
      </c>
      <c r="O2491" s="2264">
        <f t="shared" si="493"/>
        <v>0</v>
      </c>
      <c r="P2491" s="2265"/>
      <c r="Q2491" s="2266"/>
      <c r="R2491" s="2266"/>
      <c r="S2491" s="2266"/>
    </row>
    <row r="2492" spans="1:20" s="2105" customFormat="1" outlineLevel="1">
      <c r="A2492" s="2182" t="str">
        <f>IF(G2492&lt;&gt;0,1,"")</f>
        <v/>
      </c>
      <c r="B2492" s="2261" t="s">
        <v>654</v>
      </c>
      <c r="C2492" s="2268"/>
      <c r="D2492" s="2152" t="s">
        <v>5471</v>
      </c>
      <c r="E2492" s="2194" t="s">
        <v>5474</v>
      </c>
      <c r="F2492" s="2152" t="s">
        <v>856</v>
      </c>
      <c r="G2492" s="2270">
        <f>G2487*(0.4*3*1-2*3.14*0.15^2*0.4)</f>
        <v>0</v>
      </c>
      <c r="H2492" s="2264"/>
      <c r="I2492" s="2264"/>
      <c r="J2492" s="2264">
        <v>466397.5</v>
      </c>
      <c r="K2492" s="2264">
        <v>0</v>
      </c>
      <c r="L2492" s="2264">
        <f t="shared" si="491"/>
        <v>0</v>
      </c>
      <c r="M2492" s="2264">
        <f t="shared" si="492"/>
        <v>0</v>
      </c>
      <c r="N2492" s="2264">
        <f t="shared" si="486"/>
        <v>0</v>
      </c>
      <c r="O2492" s="2264">
        <f t="shared" si="493"/>
        <v>0</v>
      </c>
      <c r="P2492" s="2265"/>
      <c r="Q2492" s="2272">
        <f>1.025*361</f>
        <v>370.02499999999998</v>
      </c>
      <c r="R2492" s="2272">
        <f>1.025*0.45</f>
        <v>0.46124999999999999</v>
      </c>
      <c r="S2492" s="2272">
        <f>1.025*0.866</f>
        <v>0.88764999999999994</v>
      </c>
      <c r="T2492" s="2273"/>
    </row>
    <row r="2493" spans="1:20" s="2105" customFormat="1" outlineLevel="1">
      <c r="A2493" s="2182" t="str">
        <f>IF(G2493&lt;&gt;0,1,"")</f>
        <v/>
      </c>
      <c r="B2493" s="2261"/>
      <c r="C2493" s="2258">
        <f>IF(G2493&gt;0,C2487+1,C2487)</f>
        <v>0</v>
      </c>
      <c r="D2493" s="2259"/>
      <c r="E2493" s="2376" t="s">
        <v>6209</v>
      </c>
      <c r="F2493" s="2258" t="s">
        <v>2385</v>
      </c>
      <c r="G2493" s="2263">
        <f>G2391</f>
        <v>0</v>
      </c>
      <c r="H2493" s="2264"/>
      <c r="I2493" s="2264"/>
      <c r="J2493" s="2264"/>
      <c r="K2493" s="2264"/>
      <c r="L2493" s="2264">
        <f>H2493*G2493</f>
        <v>0</v>
      </c>
      <c r="M2493" s="2264">
        <f>I2493*G2493</f>
        <v>0</v>
      </c>
      <c r="N2493" s="2264">
        <f t="shared" si="486"/>
        <v>0</v>
      </c>
      <c r="O2493" s="2264">
        <f>K2493*G2493</f>
        <v>0</v>
      </c>
      <c r="P2493" s="2389"/>
      <c r="Q2493" s="2266"/>
      <c r="R2493" s="2266"/>
      <c r="S2493" s="2266"/>
    </row>
    <row r="2494" spans="1:20" s="2105" customFormat="1" ht="14.4" outlineLevel="1">
      <c r="A2494" s="2182" t="str">
        <f>A2493</f>
        <v/>
      </c>
      <c r="B2494" s="2261"/>
      <c r="C2494" s="2258"/>
      <c r="D2494" s="2259"/>
      <c r="E2494" s="2267" t="s">
        <v>6133</v>
      </c>
      <c r="F2494" s="2268"/>
      <c r="G2494" s="2269"/>
      <c r="H2494" s="2264"/>
      <c r="I2494" s="2264"/>
      <c r="J2494" s="2264"/>
      <c r="K2494" s="2264"/>
      <c r="L2494" s="2264">
        <f>H2494*G2494</f>
        <v>0</v>
      </c>
      <c r="M2494" s="2264">
        <f>I2494*G2494</f>
        <v>0</v>
      </c>
      <c r="N2494" s="2264">
        <f t="shared" si="486"/>
        <v>0</v>
      </c>
      <c r="O2494" s="2264">
        <f>K2494*G2494</f>
        <v>0</v>
      </c>
      <c r="P2494" s="2389"/>
      <c r="Q2494" s="2266"/>
      <c r="R2494" s="2266"/>
      <c r="S2494" s="2266"/>
    </row>
    <row r="2495" spans="1:20" s="2105" customFormat="1" outlineLevel="1">
      <c r="A2495" s="2182" t="str">
        <f>IF(G2495&lt;&gt;0,1,"")</f>
        <v/>
      </c>
      <c r="B2495" s="2261" t="s">
        <v>5643</v>
      </c>
      <c r="C2495" s="2268"/>
      <c r="D2495" s="2152" t="s">
        <v>5633</v>
      </c>
      <c r="E2495" s="2194" t="s">
        <v>5644</v>
      </c>
      <c r="F2495" s="2152" t="s">
        <v>2555</v>
      </c>
      <c r="G2495" s="2270">
        <f>G2493</f>
        <v>0</v>
      </c>
      <c r="H2495" s="2264">
        <v>2112489</v>
      </c>
      <c r="I2495" s="2264"/>
      <c r="J2495" s="2264">
        <v>690091</v>
      </c>
      <c r="K2495" s="2264">
        <v>97369</v>
      </c>
      <c r="L2495" s="2264">
        <f>H2495*G2495</f>
        <v>0</v>
      </c>
      <c r="M2495" s="2264">
        <f>I2495*G2495</f>
        <v>0</v>
      </c>
      <c r="N2495" s="2264">
        <f t="shared" si="486"/>
        <v>0</v>
      </c>
      <c r="O2495" s="2264">
        <f>K2495*G2495</f>
        <v>0</v>
      </c>
      <c r="P2495" s="2389"/>
      <c r="Q2495" s="2266"/>
      <c r="R2495" s="2266"/>
      <c r="S2495" s="2266"/>
    </row>
    <row r="2496" spans="1:20" s="2105" customFormat="1" outlineLevel="1">
      <c r="A2496" s="2182" t="str">
        <f>IF(G2496&lt;&gt;0,1,"")</f>
        <v/>
      </c>
      <c r="B2496" s="2261" t="s">
        <v>880</v>
      </c>
      <c r="C2496" s="2258"/>
      <c r="D2496" s="2152">
        <v>0</v>
      </c>
      <c r="E2496" s="2194" t="s">
        <v>5799</v>
      </c>
      <c r="F2496" s="2152" t="s">
        <v>2555</v>
      </c>
      <c r="G2496" s="2270">
        <f>G2493*1</f>
        <v>0</v>
      </c>
      <c r="H2496" s="2264">
        <v>284000</v>
      </c>
      <c r="I2496" s="2264"/>
      <c r="J2496" s="2264">
        <v>5404</v>
      </c>
      <c r="K2496" s="2264">
        <v>0</v>
      </c>
      <c r="L2496" s="2264">
        <f t="shared" ref="L2496:L2516" si="494">H2496*G2496</f>
        <v>0</v>
      </c>
      <c r="M2496" s="2264">
        <f t="shared" ref="M2496:M2516" si="495">I2496*G2496</f>
        <v>0</v>
      </c>
      <c r="N2496" s="2264">
        <f t="shared" si="486"/>
        <v>0</v>
      </c>
      <c r="O2496" s="2264">
        <f t="shared" ref="O2496:O2516" si="496">K2496*G2496</f>
        <v>0</v>
      </c>
      <c r="P2496" s="2389"/>
      <c r="Q2496" s="2266"/>
      <c r="R2496" s="2266"/>
      <c r="S2496" s="2266"/>
    </row>
    <row r="2497" spans="1:19" s="2105" customFormat="1" outlineLevel="1">
      <c r="A2497" s="2182" t="str">
        <f>IF(G2497&lt;&gt;0,1,"")</f>
        <v/>
      </c>
      <c r="B2497" s="2261" t="s">
        <v>289</v>
      </c>
      <c r="C2497" s="2268"/>
      <c r="D2497" s="2152">
        <v>0</v>
      </c>
      <c r="E2497" s="2194" t="s">
        <v>5712</v>
      </c>
      <c r="F2497" s="2152" t="s">
        <v>2555</v>
      </c>
      <c r="G2497" s="2270">
        <f>G2493</f>
        <v>0</v>
      </c>
      <c r="H2497" s="2264">
        <v>300000</v>
      </c>
      <c r="I2497" s="2264"/>
      <c r="J2497" s="2264">
        <v>0</v>
      </c>
      <c r="K2497" s="2264">
        <v>0</v>
      </c>
      <c r="L2497" s="2264">
        <f t="shared" si="494"/>
        <v>0</v>
      </c>
      <c r="M2497" s="2264">
        <f t="shared" si="495"/>
        <v>0</v>
      </c>
      <c r="N2497" s="2264">
        <f t="shared" si="486"/>
        <v>0</v>
      </c>
      <c r="O2497" s="2264">
        <f t="shared" si="496"/>
        <v>0</v>
      </c>
      <c r="P2497" s="2389"/>
      <c r="Q2497" s="2266"/>
      <c r="R2497" s="2266"/>
      <c r="S2497" s="2266"/>
    </row>
    <row r="2498" spans="1:19" s="2105" customFormat="1" outlineLevel="1">
      <c r="A2498" s="2182" t="str">
        <f>IF(G2498&lt;&gt;0,1,"")</f>
        <v/>
      </c>
      <c r="B2498" s="2261"/>
      <c r="C2498" s="2258">
        <f>IF(G2498&gt;0,C2493+1,C2493)</f>
        <v>0</v>
      </c>
      <c r="D2498" s="2259"/>
      <c r="E2498" s="2262" t="s">
        <v>3724</v>
      </c>
      <c r="F2498" s="2258" t="s">
        <v>2532</v>
      </c>
      <c r="G2498" s="2270"/>
      <c r="H2498" s="2264"/>
      <c r="I2498" s="2264"/>
      <c r="J2498" s="2264"/>
      <c r="K2498" s="2264"/>
      <c r="L2498" s="2264">
        <f t="shared" si="494"/>
        <v>0</v>
      </c>
      <c r="M2498" s="2264">
        <f t="shared" si="495"/>
        <v>0</v>
      </c>
      <c r="N2498" s="2264">
        <f t="shared" si="486"/>
        <v>0</v>
      </c>
      <c r="O2498" s="2264">
        <f t="shared" si="496"/>
        <v>0</v>
      </c>
      <c r="P2498" s="2265"/>
      <c r="Q2498" s="2266"/>
      <c r="R2498" s="2266"/>
      <c r="S2498" s="2266"/>
    </row>
    <row r="2499" spans="1:19" s="2105" customFormat="1" ht="14.4" outlineLevel="1">
      <c r="A2499" s="2182" t="str">
        <f>A2498</f>
        <v/>
      </c>
      <c r="B2499" s="2261"/>
      <c r="C2499" s="2258"/>
      <c r="D2499" s="2259"/>
      <c r="E2499" s="2267" t="s">
        <v>6133</v>
      </c>
      <c r="F2499" s="2268"/>
      <c r="G2499" s="2270"/>
      <c r="H2499" s="2264"/>
      <c r="I2499" s="2264"/>
      <c r="J2499" s="2264"/>
      <c r="K2499" s="2264"/>
      <c r="L2499" s="2264">
        <f t="shared" si="494"/>
        <v>0</v>
      </c>
      <c r="M2499" s="2264">
        <f t="shared" si="495"/>
        <v>0</v>
      </c>
      <c r="N2499" s="2264">
        <f t="shared" si="486"/>
        <v>0</v>
      </c>
      <c r="O2499" s="2264">
        <f t="shared" si="496"/>
        <v>0</v>
      </c>
      <c r="P2499" s="2265"/>
      <c r="Q2499" s="2266"/>
      <c r="R2499" s="2266"/>
      <c r="S2499" s="2266"/>
    </row>
    <row r="2500" spans="1:19" s="2105" customFormat="1" outlineLevel="1">
      <c r="A2500" s="2182" t="str">
        <f t="shared" ref="A2500:A2508" si="497">IF(G2500&lt;&gt;0,1,"")</f>
        <v/>
      </c>
      <c r="B2500" s="2554" t="s">
        <v>752</v>
      </c>
      <c r="C2500" s="2268"/>
      <c r="D2500" s="2152">
        <v>0</v>
      </c>
      <c r="E2500" s="2359" t="s">
        <v>6375</v>
      </c>
      <c r="F2500" s="2152" t="s">
        <v>856</v>
      </c>
      <c r="G2500" s="2270">
        <f>G2498*0.315</f>
        <v>0</v>
      </c>
      <c r="H2500" s="2264">
        <v>512000</v>
      </c>
      <c r="I2500" s="2264"/>
      <c r="J2500" s="2264">
        <v>0</v>
      </c>
      <c r="K2500" s="2264">
        <v>0</v>
      </c>
      <c r="L2500" s="2264">
        <f t="shared" si="494"/>
        <v>0</v>
      </c>
      <c r="M2500" s="2264">
        <f t="shared" si="495"/>
        <v>0</v>
      </c>
      <c r="N2500" s="2264">
        <f t="shared" si="486"/>
        <v>0</v>
      </c>
      <c r="O2500" s="2264">
        <f t="shared" si="496"/>
        <v>0</v>
      </c>
      <c r="P2500" s="2265"/>
      <c r="Q2500" s="2266"/>
      <c r="R2500" s="2266"/>
      <c r="S2500" s="2266"/>
    </row>
    <row r="2501" spans="1:19" s="2105" customFormat="1" outlineLevel="1">
      <c r="A2501" s="2182" t="str">
        <f t="shared" si="497"/>
        <v/>
      </c>
      <c r="B2501" s="2554" t="s">
        <v>520</v>
      </c>
      <c r="C2501" s="2268"/>
      <c r="D2501" s="2152">
        <v>0</v>
      </c>
      <c r="E2501" s="2359" t="s">
        <v>6376</v>
      </c>
      <c r="F2501" s="2152" t="s">
        <v>856</v>
      </c>
      <c r="G2501" s="2270">
        <f>0.092*G2498</f>
        <v>0</v>
      </c>
      <c r="H2501" s="2264">
        <v>295000</v>
      </c>
      <c r="I2501" s="2264"/>
      <c r="J2501" s="2264">
        <v>0</v>
      </c>
      <c r="K2501" s="2264">
        <v>0</v>
      </c>
      <c r="L2501" s="2264">
        <f t="shared" si="494"/>
        <v>0</v>
      </c>
      <c r="M2501" s="2264">
        <f t="shared" si="495"/>
        <v>0</v>
      </c>
      <c r="N2501" s="2264">
        <f t="shared" si="486"/>
        <v>0</v>
      </c>
      <c r="O2501" s="2264">
        <f t="shared" si="496"/>
        <v>0</v>
      </c>
      <c r="P2501" s="2265"/>
      <c r="Q2501" s="2266"/>
      <c r="R2501" s="2266"/>
      <c r="S2501" s="2266"/>
    </row>
    <row r="2502" spans="1:19" s="2105" customFormat="1" outlineLevel="1">
      <c r="A2502" s="2182" t="str">
        <f t="shared" si="497"/>
        <v/>
      </c>
      <c r="B2502" s="2554" t="s">
        <v>1675</v>
      </c>
      <c r="C2502" s="2268"/>
      <c r="D2502" s="2152">
        <v>0</v>
      </c>
      <c r="E2502" s="2359" t="s">
        <v>6377</v>
      </c>
      <c r="F2502" s="2152" t="s">
        <v>3006</v>
      </c>
      <c r="G2502" s="2270">
        <f>3.3*G2498</f>
        <v>0</v>
      </c>
      <c r="H2502" s="2264">
        <v>7000</v>
      </c>
      <c r="I2502" s="2264"/>
      <c r="J2502" s="2264">
        <v>0</v>
      </c>
      <c r="K2502" s="2264">
        <v>0</v>
      </c>
      <c r="L2502" s="2264">
        <f t="shared" si="494"/>
        <v>0</v>
      </c>
      <c r="M2502" s="2264">
        <f t="shared" si="495"/>
        <v>0</v>
      </c>
      <c r="N2502" s="2264">
        <f t="shared" si="486"/>
        <v>0</v>
      </c>
      <c r="O2502" s="2264">
        <f t="shared" si="496"/>
        <v>0</v>
      </c>
      <c r="P2502" s="2265"/>
      <c r="Q2502" s="2266"/>
      <c r="R2502" s="2266"/>
      <c r="S2502" s="2266"/>
    </row>
    <row r="2503" spans="1:19" s="2105" customFormat="1" outlineLevel="1">
      <c r="A2503" s="2182" t="str">
        <f t="shared" si="497"/>
        <v/>
      </c>
      <c r="B2503" s="2554" t="s">
        <v>1676</v>
      </c>
      <c r="C2503" s="2268"/>
      <c r="D2503" s="2152" t="s">
        <v>5290</v>
      </c>
      <c r="E2503" s="2359" t="s">
        <v>6378</v>
      </c>
      <c r="F2503" s="2152" t="s">
        <v>1960</v>
      </c>
      <c r="G2503" s="2270">
        <f>0.4*G2498</f>
        <v>0</v>
      </c>
      <c r="H2503" s="2264">
        <v>10000</v>
      </c>
      <c r="I2503" s="2264"/>
      <c r="J2503" s="2264">
        <v>1187.155</v>
      </c>
      <c r="K2503" s="2264">
        <v>0</v>
      </c>
      <c r="L2503" s="2264">
        <f t="shared" si="494"/>
        <v>0</v>
      </c>
      <c r="M2503" s="2264">
        <f t="shared" si="495"/>
        <v>0</v>
      </c>
      <c r="N2503" s="2264">
        <f t="shared" si="486"/>
        <v>0</v>
      </c>
      <c r="O2503" s="2264">
        <f t="shared" si="496"/>
        <v>0</v>
      </c>
      <c r="P2503" s="2265"/>
      <c r="Q2503" s="2266"/>
      <c r="R2503" s="2266"/>
      <c r="S2503" s="2266"/>
    </row>
    <row r="2504" spans="1:19" s="2105" customFormat="1" outlineLevel="1">
      <c r="A2504" s="2182" t="str">
        <f t="shared" si="497"/>
        <v/>
      </c>
      <c r="B2504" s="2554" t="s">
        <v>1518</v>
      </c>
      <c r="C2504" s="2258"/>
      <c r="D2504" s="2152">
        <v>0</v>
      </c>
      <c r="E2504" s="2359" t="s">
        <v>3530</v>
      </c>
      <c r="F2504" s="2152" t="s">
        <v>1823</v>
      </c>
      <c r="G2504" s="2270">
        <f>1*G2498</f>
        <v>0</v>
      </c>
      <c r="H2504" s="2264">
        <v>165250</v>
      </c>
      <c r="I2504" s="2264"/>
      <c r="J2504" s="2264">
        <v>0</v>
      </c>
      <c r="K2504" s="2264">
        <v>0</v>
      </c>
      <c r="L2504" s="2264">
        <f t="shared" si="494"/>
        <v>0</v>
      </c>
      <c r="M2504" s="2264">
        <f t="shared" si="495"/>
        <v>0</v>
      </c>
      <c r="N2504" s="2264">
        <f t="shared" si="486"/>
        <v>0</v>
      </c>
      <c r="O2504" s="2264">
        <f t="shared" si="496"/>
        <v>0</v>
      </c>
      <c r="P2504" s="2265"/>
      <c r="Q2504" s="2266"/>
      <c r="R2504" s="2266"/>
      <c r="S2504" s="2266"/>
    </row>
    <row r="2505" spans="1:19" s="2105" customFormat="1" outlineLevel="1">
      <c r="A2505" s="2182" t="str">
        <f t="shared" si="497"/>
        <v/>
      </c>
      <c r="B2505" s="2554" t="s">
        <v>1678</v>
      </c>
      <c r="C2505" s="2268"/>
      <c r="D2505" s="2152" t="s">
        <v>5333</v>
      </c>
      <c r="E2505" s="2359" t="s">
        <v>6379</v>
      </c>
      <c r="F2505" s="2152" t="s">
        <v>856</v>
      </c>
      <c r="G2505" s="2270">
        <f>G2500+G2501</f>
        <v>0</v>
      </c>
      <c r="H2505" s="2264">
        <v>0</v>
      </c>
      <c r="I2505" s="2264"/>
      <c r="J2505" s="2264">
        <v>315277.5</v>
      </c>
      <c r="K2505" s="2264">
        <v>0</v>
      </c>
      <c r="L2505" s="2264">
        <f t="shared" si="494"/>
        <v>0</v>
      </c>
      <c r="M2505" s="2264">
        <f t="shared" si="495"/>
        <v>0</v>
      </c>
      <c r="N2505" s="2264">
        <f t="shared" si="486"/>
        <v>0</v>
      </c>
      <c r="O2505" s="2264">
        <f t="shared" si="496"/>
        <v>0</v>
      </c>
      <c r="P2505" s="2265"/>
      <c r="Q2505" s="2266"/>
      <c r="R2505" s="2266"/>
      <c r="S2505" s="2266"/>
    </row>
    <row r="2506" spans="1:19" s="2105" customFormat="1" outlineLevel="1">
      <c r="A2506" s="2182" t="str">
        <f t="shared" si="497"/>
        <v/>
      </c>
      <c r="B2506" s="2554" t="s">
        <v>144</v>
      </c>
      <c r="C2506" s="2268"/>
      <c r="D2506" s="2152" t="s">
        <v>5327</v>
      </c>
      <c r="E2506" s="2359" t="s">
        <v>6380</v>
      </c>
      <c r="F2506" s="2152" t="s">
        <v>856</v>
      </c>
      <c r="G2506" s="2270">
        <f>G2498*0.48</f>
        <v>0</v>
      </c>
      <c r="H2506" s="2264">
        <v>0</v>
      </c>
      <c r="I2506" s="2264"/>
      <c r="J2506" s="2264">
        <v>640731.36</v>
      </c>
      <c r="K2506" s="2264">
        <v>0</v>
      </c>
      <c r="L2506" s="2264">
        <f t="shared" si="494"/>
        <v>0</v>
      </c>
      <c r="M2506" s="2264">
        <f t="shared" si="495"/>
        <v>0</v>
      </c>
      <c r="N2506" s="2264">
        <f t="shared" ref="N2506:N2569" si="498">J2506*G2506</f>
        <v>0</v>
      </c>
      <c r="O2506" s="2264">
        <f t="shared" si="496"/>
        <v>0</v>
      </c>
      <c r="P2506" s="2265"/>
      <c r="Q2506" s="2266"/>
      <c r="R2506" s="2266"/>
      <c r="S2506" s="2266"/>
    </row>
    <row r="2507" spans="1:19" s="2105" customFormat="1" outlineLevel="1">
      <c r="A2507" s="2182" t="str">
        <f t="shared" si="497"/>
        <v/>
      </c>
      <c r="B2507" s="2554" t="s">
        <v>529</v>
      </c>
      <c r="C2507" s="2268"/>
      <c r="D2507" s="2152" t="s">
        <v>5332</v>
      </c>
      <c r="E2507" s="2359" t="s">
        <v>6381</v>
      </c>
      <c r="F2507" s="2152" t="s">
        <v>856</v>
      </c>
      <c r="G2507" s="2270">
        <f>G2498*0.073</f>
        <v>0</v>
      </c>
      <c r="H2507" s="2264">
        <v>0</v>
      </c>
      <c r="I2507" s="2264"/>
      <c r="J2507" s="2264">
        <v>21935.133999999998</v>
      </c>
      <c r="K2507" s="2264">
        <v>0</v>
      </c>
      <c r="L2507" s="2264">
        <f t="shared" si="494"/>
        <v>0</v>
      </c>
      <c r="M2507" s="2264">
        <f t="shared" si="495"/>
        <v>0</v>
      </c>
      <c r="N2507" s="2264">
        <f t="shared" si="498"/>
        <v>0</v>
      </c>
      <c r="O2507" s="2264">
        <f t="shared" si="496"/>
        <v>0</v>
      </c>
      <c r="P2507" s="2265"/>
      <c r="Q2507" s="2266"/>
      <c r="R2507" s="2422">
        <v>0.47499999999999998</v>
      </c>
      <c r="S2507" s="2266"/>
    </row>
    <row r="2508" spans="1:19" s="2105" customFormat="1" outlineLevel="1">
      <c r="A2508" s="2182" t="str">
        <f t="shared" si="497"/>
        <v/>
      </c>
      <c r="B2508" s="2261"/>
      <c r="C2508" s="2258">
        <f>IF(G2508&gt;0,C2498+1,C2498)</f>
        <v>0</v>
      </c>
      <c r="D2508" s="2259"/>
      <c r="E2508" s="2262" t="s">
        <v>3725</v>
      </c>
      <c r="F2508" s="2258" t="s">
        <v>2385</v>
      </c>
      <c r="G2508" s="2263"/>
      <c r="H2508" s="2264"/>
      <c r="I2508" s="2264"/>
      <c r="J2508" s="2264"/>
      <c r="K2508" s="2264"/>
      <c r="L2508" s="2264">
        <f t="shared" si="494"/>
        <v>0</v>
      </c>
      <c r="M2508" s="2264">
        <f t="shared" si="495"/>
        <v>0</v>
      </c>
      <c r="N2508" s="2264">
        <f t="shared" si="498"/>
        <v>0</v>
      </c>
      <c r="O2508" s="2264">
        <f t="shared" si="496"/>
        <v>0</v>
      </c>
      <c r="P2508" s="2265"/>
      <c r="Q2508" s="2266"/>
      <c r="R2508" s="2422">
        <v>0.88100000000000001</v>
      </c>
      <c r="S2508" s="2266"/>
    </row>
    <row r="2509" spans="1:19" s="2105" customFormat="1" ht="14.4" outlineLevel="1">
      <c r="A2509" s="2182" t="str">
        <f>A2508</f>
        <v/>
      </c>
      <c r="B2509" s="2261"/>
      <c r="C2509" s="2258"/>
      <c r="D2509" s="2259"/>
      <c r="E2509" s="2267" t="s">
        <v>6133</v>
      </c>
      <c r="F2509" s="2268"/>
      <c r="G2509" s="2421"/>
      <c r="H2509" s="2264"/>
      <c r="I2509" s="2264"/>
      <c r="J2509" s="2264"/>
      <c r="K2509" s="2264"/>
      <c r="L2509" s="2264">
        <f t="shared" si="494"/>
        <v>0</v>
      </c>
      <c r="M2509" s="2264">
        <f t="shared" si="495"/>
        <v>0</v>
      </c>
      <c r="N2509" s="2264">
        <f t="shared" si="498"/>
        <v>0</v>
      </c>
      <c r="O2509" s="2264">
        <f t="shared" si="496"/>
        <v>0</v>
      </c>
      <c r="P2509" s="2265"/>
      <c r="Q2509" s="2266"/>
      <c r="R2509" s="2266"/>
      <c r="S2509" s="2266"/>
    </row>
    <row r="2510" spans="1:19" s="2105" customFormat="1" outlineLevel="1">
      <c r="A2510" s="2182" t="str">
        <f t="shared" ref="A2510:A2517" si="499">IF(G2510&lt;&gt;0,1,"")</f>
        <v/>
      </c>
      <c r="B2510" s="2261" t="s">
        <v>623</v>
      </c>
      <c r="C2510" s="2268"/>
      <c r="D2510" s="2152" t="s">
        <v>5305</v>
      </c>
      <c r="E2510" s="2194" t="s">
        <v>5306</v>
      </c>
      <c r="F2510" s="2152" t="s">
        <v>2532</v>
      </c>
      <c r="G2510" s="2269">
        <f>G2508*5</f>
        <v>0</v>
      </c>
      <c r="H2510" s="2264">
        <v>278000</v>
      </c>
      <c r="I2510" s="2264"/>
      <c r="J2510" s="2264">
        <v>127101.65849999999</v>
      </c>
      <c r="K2510" s="2264">
        <v>0</v>
      </c>
      <c r="L2510" s="2264">
        <f t="shared" si="494"/>
        <v>0</v>
      </c>
      <c r="M2510" s="2264">
        <f t="shared" si="495"/>
        <v>0</v>
      </c>
      <c r="N2510" s="2264">
        <f t="shared" si="498"/>
        <v>0</v>
      </c>
      <c r="O2510" s="2264">
        <f t="shared" si="496"/>
        <v>0</v>
      </c>
      <c r="P2510" s="2265"/>
      <c r="Q2510" s="2266"/>
      <c r="R2510" s="2266"/>
      <c r="S2510" s="2266"/>
    </row>
    <row r="2511" spans="1:19" s="2105" customFormat="1" outlineLevel="1">
      <c r="A2511" s="2182" t="str">
        <f t="shared" si="499"/>
        <v/>
      </c>
      <c r="B2511" s="2554" t="s">
        <v>473</v>
      </c>
      <c r="C2511" s="2258"/>
      <c r="D2511" s="2152">
        <v>0</v>
      </c>
      <c r="E2511" s="2194" t="s">
        <v>3552</v>
      </c>
      <c r="F2511" s="2152" t="s">
        <v>2555</v>
      </c>
      <c r="G2511" s="2269">
        <f>G2508</f>
        <v>0</v>
      </c>
      <c r="H2511" s="2264">
        <v>138000</v>
      </c>
      <c r="I2511" s="2264"/>
      <c r="J2511" s="2264">
        <v>0</v>
      </c>
      <c r="K2511" s="2264">
        <v>0</v>
      </c>
      <c r="L2511" s="2264">
        <f t="shared" si="494"/>
        <v>0</v>
      </c>
      <c r="M2511" s="2264">
        <f t="shared" si="495"/>
        <v>0</v>
      </c>
      <c r="N2511" s="2264">
        <f t="shared" si="498"/>
        <v>0</v>
      </c>
      <c r="O2511" s="2264">
        <f t="shared" si="496"/>
        <v>0</v>
      </c>
      <c r="P2511" s="2265"/>
      <c r="Q2511" s="2266"/>
      <c r="R2511" s="2266"/>
      <c r="S2511" s="2266"/>
    </row>
    <row r="2512" spans="1:19" s="2105" customFormat="1" outlineLevel="1">
      <c r="A2512" s="2182" t="str">
        <f t="shared" si="499"/>
        <v/>
      </c>
      <c r="B2512" s="2261" t="s">
        <v>120</v>
      </c>
      <c r="C2512" s="2268"/>
      <c r="D2512" s="2152">
        <v>0</v>
      </c>
      <c r="E2512" s="2194" t="s">
        <v>2981</v>
      </c>
      <c r="F2512" s="2152" t="s">
        <v>2439</v>
      </c>
      <c r="G2512" s="2269">
        <f>G2508*2</f>
        <v>0</v>
      </c>
      <c r="H2512" s="2264">
        <v>40000</v>
      </c>
      <c r="I2512" s="2264"/>
      <c r="J2512" s="2264">
        <v>0</v>
      </c>
      <c r="K2512" s="2264">
        <v>0</v>
      </c>
      <c r="L2512" s="2264">
        <f t="shared" si="494"/>
        <v>0</v>
      </c>
      <c r="M2512" s="2264">
        <f t="shared" si="495"/>
        <v>0</v>
      </c>
      <c r="N2512" s="2264">
        <f t="shared" si="498"/>
        <v>0</v>
      </c>
      <c r="O2512" s="2264">
        <f t="shared" si="496"/>
        <v>0</v>
      </c>
      <c r="P2512" s="2265"/>
      <c r="Q2512" s="2266"/>
      <c r="R2512" s="2266"/>
      <c r="S2512" s="2266"/>
    </row>
    <row r="2513" spans="1:19" s="2105" customFormat="1" outlineLevel="1">
      <c r="A2513" s="2182" t="str">
        <f t="shared" si="499"/>
        <v/>
      </c>
      <c r="B2513" s="2252" t="s">
        <v>1409</v>
      </c>
      <c r="C2513" s="2268"/>
      <c r="D2513" s="2152">
        <v>0</v>
      </c>
      <c r="E2513" s="2194" t="s">
        <v>3449</v>
      </c>
      <c r="F2513" s="2152" t="s">
        <v>2439</v>
      </c>
      <c r="G2513" s="2269">
        <f>G2508</f>
        <v>0</v>
      </c>
      <c r="H2513" s="2264">
        <v>150000</v>
      </c>
      <c r="I2513" s="2264"/>
      <c r="J2513" s="2264">
        <v>0</v>
      </c>
      <c r="K2513" s="2264">
        <v>0</v>
      </c>
      <c r="L2513" s="2264">
        <f t="shared" si="494"/>
        <v>0</v>
      </c>
      <c r="M2513" s="2264">
        <f t="shared" si="495"/>
        <v>0</v>
      </c>
      <c r="N2513" s="2264">
        <f t="shared" si="498"/>
        <v>0</v>
      </c>
      <c r="O2513" s="2264">
        <f t="shared" si="496"/>
        <v>0</v>
      </c>
      <c r="P2513" s="2265"/>
      <c r="Q2513" s="2266"/>
      <c r="R2513" s="2266"/>
      <c r="S2513" s="2266"/>
    </row>
    <row r="2514" spans="1:19" s="2105" customFormat="1" outlineLevel="1">
      <c r="A2514" s="2182" t="str">
        <f t="shared" si="499"/>
        <v/>
      </c>
      <c r="B2514" s="2252" t="s">
        <v>2138</v>
      </c>
      <c r="C2514" s="2268"/>
      <c r="D2514" s="2152">
        <v>0</v>
      </c>
      <c r="E2514" s="2194" t="s">
        <v>3455</v>
      </c>
      <c r="F2514" s="2152" t="s">
        <v>2439</v>
      </c>
      <c r="G2514" s="2269">
        <f>G2508</f>
        <v>0</v>
      </c>
      <c r="H2514" s="2264">
        <v>2739748</v>
      </c>
      <c r="I2514" s="2264"/>
      <c r="J2514" s="2264">
        <v>51183</v>
      </c>
      <c r="K2514" s="2264">
        <v>89000</v>
      </c>
      <c r="L2514" s="2264">
        <f t="shared" si="494"/>
        <v>0</v>
      </c>
      <c r="M2514" s="2264">
        <f t="shared" si="495"/>
        <v>0</v>
      </c>
      <c r="N2514" s="2264">
        <f t="shared" si="498"/>
        <v>0</v>
      </c>
      <c r="O2514" s="2264">
        <f t="shared" si="496"/>
        <v>0</v>
      </c>
      <c r="P2514" s="2265"/>
      <c r="Q2514" s="2266"/>
      <c r="R2514" s="2266"/>
      <c r="S2514" s="2266"/>
    </row>
    <row r="2515" spans="1:19" s="2105" customFormat="1" outlineLevel="1">
      <c r="A2515" s="2182" t="str">
        <f t="shared" si="499"/>
        <v/>
      </c>
      <c r="B2515" s="2261" t="s">
        <v>1410</v>
      </c>
      <c r="C2515" s="2258"/>
      <c r="D2515" s="2152" t="s">
        <v>5341</v>
      </c>
      <c r="E2515" s="2194" t="s">
        <v>5342</v>
      </c>
      <c r="F2515" s="2152" t="s">
        <v>2439</v>
      </c>
      <c r="G2515" s="2269">
        <f>G2513+G2514</f>
        <v>0</v>
      </c>
      <c r="H2515" s="2264">
        <v>0</v>
      </c>
      <c r="I2515" s="2264"/>
      <c r="J2515" s="2264">
        <v>28219.62</v>
      </c>
      <c r="K2515" s="2264">
        <v>0</v>
      </c>
      <c r="L2515" s="2264">
        <f t="shared" si="494"/>
        <v>0</v>
      </c>
      <c r="M2515" s="2264">
        <f t="shared" si="495"/>
        <v>0</v>
      </c>
      <c r="N2515" s="2264">
        <f t="shared" si="498"/>
        <v>0</v>
      </c>
      <c r="O2515" s="2264">
        <f t="shared" si="496"/>
        <v>0</v>
      </c>
      <c r="P2515" s="2265"/>
      <c r="Q2515" s="2266"/>
      <c r="R2515" s="2266"/>
      <c r="S2515" s="2266"/>
    </row>
    <row r="2516" spans="1:19" s="2105" customFormat="1" outlineLevel="1">
      <c r="A2516" s="2182" t="str">
        <f t="shared" si="499"/>
        <v/>
      </c>
      <c r="B2516" s="2261" t="s">
        <v>289</v>
      </c>
      <c r="C2516" s="2268"/>
      <c r="D2516" s="2152">
        <v>0</v>
      </c>
      <c r="E2516" s="2194" t="s">
        <v>5712</v>
      </c>
      <c r="F2516" s="2152" t="s">
        <v>2555</v>
      </c>
      <c r="G2516" s="2269">
        <f>G2508</f>
        <v>0</v>
      </c>
      <c r="H2516" s="2264">
        <v>300000</v>
      </c>
      <c r="I2516" s="2264"/>
      <c r="J2516" s="2264">
        <v>0</v>
      </c>
      <c r="K2516" s="2264">
        <v>0</v>
      </c>
      <c r="L2516" s="2264">
        <f t="shared" si="494"/>
        <v>0</v>
      </c>
      <c r="M2516" s="2264">
        <f t="shared" si="495"/>
        <v>0</v>
      </c>
      <c r="N2516" s="2264">
        <f t="shared" si="498"/>
        <v>0</v>
      </c>
      <c r="O2516" s="2264">
        <f t="shared" si="496"/>
        <v>0</v>
      </c>
      <c r="P2516" s="2265"/>
      <c r="Q2516" s="2266"/>
      <c r="R2516" s="2266"/>
      <c r="S2516" s="2266"/>
    </row>
    <row r="2517" spans="1:19" s="2105" customFormat="1" outlineLevel="1">
      <c r="A2517" s="2182" t="str">
        <f t="shared" si="499"/>
        <v/>
      </c>
      <c r="B2517" s="2261"/>
      <c r="C2517" s="2258">
        <f>IF(G2517&gt;0,C2508+1,C2508)</f>
        <v>0</v>
      </c>
      <c r="D2517" s="2259"/>
      <c r="E2517" s="2260" t="s">
        <v>3740</v>
      </c>
      <c r="F2517" s="2258" t="s">
        <v>2385</v>
      </c>
      <c r="G2517" s="2263"/>
      <c r="H2517" s="2264"/>
      <c r="I2517" s="2264"/>
      <c r="J2517" s="2264"/>
      <c r="K2517" s="2264"/>
      <c r="L2517" s="2264"/>
      <c r="M2517" s="2264"/>
      <c r="N2517" s="2264">
        <f t="shared" si="498"/>
        <v>0</v>
      </c>
      <c r="O2517" s="2264"/>
      <c r="P2517" s="2265"/>
      <c r="Q2517" s="2266"/>
      <c r="R2517" s="2266"/>
      <c r="S2517" s="2266"/>
    </row>
    <row r="2518" spans="1:19" s="2105" customFormat="1" ht="14.4" outlineLevel="1">
      <c r="A2518" s="2182" t="str">
        <f>A2517</f>
        <v/>
      </c>
      <c r="B2518" s="2261"/>
      <c r="C2518" s="2258"/>
      <c r="D2518" s="2259"/>
      <c r="E2518" s="2274" t="s">
        <v>6133</v>
      </c>
      <c r="F2518" s="2258"/>
      <c r="G2518" s="2263"/>
      <c r="H2518" s="2264"/>
      <c r="I2518" s="2264"/>
      <c r="J2518" s="2264"/>
      <c r="K2518" s="2264"/>
      <c r="L2518" s="2264"/>
      <c r="M2518" s="2264"/>
      <c r="N2518" s="2264">
        <f t="shared" si="498"/>
        <v>0</v>
      </c>
      <c r="O2518" s="2264"/>
      <c r="P2518" s="2265"/>
      <c r="Q2518" s="2266"/>
      <c r="R2518" s="2266"/>
      <c r="S2518" s="2266"/>
    </row>
    <row r="2519" spans="1:19" s="2105" customFormat="1" outlineLevel="1">
      <c r="A2519" s="2182" t="str">
        <f>IF(G2519&lt;&gt;0,1,"")</f>
        <v/>
      </c>
      <c r="B2519" s="2252" t="s">
        <v>470</v>
      </c>
      <c r="C2519" s="2268"/>
      <c r="D2519" s="2152">
        <v>0</v>
      </c>
      <c r="E2519" s="2194" t="s">
        <v>6382</v>
      </c>
      <c r="F2519" s="2152" t="s">
        <v>2532</v>
      </c>
      <c r="G2519" s="2269">
        <f>G2498+G2517*8</f>
        <v>0</v>
      </c>
      <c r="H2519" s="2264">
        <v>763500</v>
      </c>
      <c r="I2519" s="2264"/>
      <c r="J2519" s="2264">
        <v>0</v>
      </c>
      <c r="K2519" s="2264">
        <v>0</v>
      </c>
      <c r="L2519" s="2264">
        <f>H2519*G2519</f>
        <v>0</v>
      </c>
      <c r="M2519" s="2264">
        <f>I2519*G2519</f>
        <v>0</v>
      </c>
      <c r="N2519" s="2264">
        <f t="shared" si="498"/>
        <v>0</v>
      </c>
      <c r="O2519" s="2264">
        <f>K2519*G2519</f>
        <v>0</v>
      </c>
      <c r="P2519" s="2265"/>
      <c r="Q2519" s="2266"/>
      <c r="R2519" s="2266"/>
      <c r="S2519" s="2266"/>
    </row>
    <row r="2520" spans="1:19" s="2105" customFormat="1" outlineLevel="1">
      <c r="A2520" s="2182" t="str">
        <f>IF(G2520&lt;&gt;0,1,"")</f>
        <v/>
      </c>
      <c r="B2520" s="2252" t="s">
        <v>271</v>
      </c>
      <c r="C2520" s="2268"/>
      <c r="D2520" s="2152">
        <v>0</v>
      </c>
      <c r="E2520" s="2194" t="s">
        <v>6383</v>
      </c>
      <c r="F2520" s="2152" t="s">
        <v>2532</v>
      </c>
      <c r="G2520" s="2269">
        <f>G2519</f>
        <v>0</v>
      </c>
      <c r="H2520" s="2264">
        <v>204900</v>
      </c>
      <c r="I2520" s="2264"/>
      <c r="J2520" s="2264">
        <v>0</v>
      </c>
      <c r="K2520" s="2264">
        <v>0</v>
      </c>
      <c r="L2520" s="2264">
        <f>H2520*G2520</f>
        <v>0</v>
      </c>
      <c r="M2520" s="2264">
        <f>I2520*G2520</f>
        <v>0</v>
      </c>
      <c r="N2520" s="2264">
        <f t="shared" si="498"/>
        <v>0</v>
      </c>
      <c r="O2520" s="2264">
        <f>K2520*G2520</f>
        <v>0</v>
      </c>
      <c r="P2520" s="2265"/>
      <c r="Q2520" s="2266"/>
      <c r="R2520" s="2266"/>
      <c r="S2520" s="2266"/>
    </row>
    <row r="2521" spans="1:19" s="2105" customFormat="1" outlineLevel="1">
      <c r="A2521" s="2182" t="str">
        <f t="shared" ref="A2521:A2527" si="500">IF(G2521&lt;&gt;0,1,"")</f>
        <v/>
      </c>
      <c r="B2521" s="2252" t="s">
        <v>271</v>
      </c>
      <c r="C2521" s="2268"/>
      <c r="D2521" s="2152">
        <v>0</v>
      </c>
      <c r="E2521" s="2194" t="s">
        <v>6384</v>
      </c>
      <c r="F2521" s="2152" t="s">
        <v>2532</v>
      </c>
      <c r="G2521" s="2421">
        <f>G2517*0.5*3</f>
        <v>0</v>
      </c>
      <c r="H2521" s="2264">
        <v>204900</v>
      </c>
      <c r="I2521" s="2264"/>
      <c r="J2521" s="2264">
        <v>0</v>
      </c>
      <c r="K2521" s="2264">
        <v>0</v>
      </c>
      <c r="L2521" s="2264">
        <f>H2521*G2521</f>
        <v>0</v>
      </c>
      <c r="M2521" s="2264">
        <f>I2521*G2521</f>
        <v>0</v>
      </c>
      <c r="N2521" s="2264">
        <f t="shared" si="498"/>
        <v>0</v>
      </c>
      <c r="O2521" s="2264">
        <f>K2521*G2521</f>
        <v>0</v>
      </c>
      <c r="P2521" s="2265"/>
      <c r="Q2521" s="2266"/>
      <c r="R2521" s="2266"/>
      <c r="S2521" s="2266"/>
    </row>
    <row r="2522" spans="1:19" s="2105" customFormat="1" outlineLevel="1">
      <c r="A2522" s="2182" t="str">
        <f t="shared" si="500"/>
        <v/>
      </c>
      <c r="B2522" s="2252" t="s">
        <v>1352</v>
      </c>
      <c r="C2522" s="2268"/>
      <c r="D2522" s="2152">
        <v>0</v>
      </c>
      <c r="E2522" s="2194" t="s">
        <v>3014</v>
      </c>
      <c r="F2522" s="2152" t="s">
        <v>2555</v>
      </c>
      <c r="G2522" s="2269">
        <f>G2517</f>
        <v>0</v>
      </c>
      <c r="H2522" s="2264">
        <v>4022000</v>
      </c>
      <c r="I2522" s="2264"/>
      <c r="J2522" s="2264">
        <v>0</v>
      </c>
      <c r="K2522" s="2264">
        <v>0</v>
      </c>
      <c r="L2522" s="2264">
        <f t="shared" ref="L2522:L2527" si="501">H2522*G2522</f>
        <v>0</v>
      </c>
      <c r="M2522" s="2264">
        <f t="shared" ref="M2522:M2527" si="502">I2522*G2522</f>
        <v>0</v>
      </c>
      <c r="N2522" s="2264">
        <f t="shared" si="498"/>
        <v>0</v>
      </c>
      <c r="O2522" s="2264">
        <f t="shared" ref="O2522:O2527" si="503">K2522*G2522</f>
        <v>0</v>
      </c>
      <c r="P2522" s="2265"/>
      <c r="Q2522" s="2266"/>
      <c r="R2522" s="2266"/>
      <c r="S2522" s="2266"/>
    </row>
    <row r="2523" spans="1:19" s="2105" customFormat="1" outlineLevel="1">
      <c r="A2523" s="2182" t="str">
        <f t="shared" si="500"/>
        <v/>
      </c>
      <c r="B2523" s="2252" t="s">
        <v>470</v>
      </c>
      <c r="C2523" s="2268"/>
      <c r="D2523" s="2152">
        <v>0</v>
      </c>
      <c r="E2523" s="2194" t="s">
        <v>6385</v>
      </c>
      <c r="F2523" s="2152" t="s">
        <v>2532</v>
      </c>
      <c r="G2523" s="2421">
        <f>(1.2+2.4)*G2517</f>
        <v>0</v>
      </c>
      <c r="H2523" s="2264">
        <v>763500</v>
      </c>
      <c r="I2523" s="2264"/>
      <c r="J2523" s="2264">
        <v>0</v>
      </c>
      <c r="K2523" s="2264">
        <v>0</v>
      </c>
      <c r="L2523" s="2264">
        <f t="shared" si="501"/>
        <v>0</v>
      </c>
      <c r="M2523" s="2264">
        <f t="shared" si="502"/>
        <v>0</v>
      </c>
      <c r="N2523" s="2264">
        <f t="shared" si="498"/>
        <v>0</v>
      </c>
      <c r="O2523" s="2264">
        <f t="shared" si="503"/>
        <v>0</v>
      </c>
      <c r="P2523" s="2265"/>
      <c r="Q2523" s="2266"/>
      <c r="R2523" s="2266"/>
      <c r="S2523" s="2266"/>
    </row>
    <row r="2524" spans="1:19" s="2105" customFormat="1" outlineLevel="1">
      <c r="A2524" s="2182" t="str">
        <f t="shared" si="500"/>
        <v/>
      </c>
      <c r="B2524" s="2252" t="s">
        <v>271</v>
      </c>
      <c r="C2524" s="2268"/>
      <c r="D2524" s="2152">
        <v>0</v>
      </c>
      <c r="E2524" s="2194" t="s">
        <v>6386</v>
      </c>
      <c r="F2524" s="2152" t="s">
        <v>2532</v>
      </c>
      <c r="G2524" s="2421">
        <f>G2517*1.2</f>
        <v>0</v>
      </c>
      <c r="H2524" s="2264">
        <v>204900</v>
      </c>
      <c r="I2524" s="2264"/>
      <c r="J2524" s="2264">
        <v>0</v>
      </c>
      <c r="K2524" s="2264">
        <v>0</v>
      </c>
      <c r="L2524" s="2264">
        <f t="shared" si="501"/>
        <v>0</v>
      </c>
      <c r="M2524" s="2264">
        <f t="shared" si="502"/>
        <v>0</v>
      </c>
      <c r="N2524" s="2264">
        <f t="shared" si="498"/>
        <v>0</v>
      </c>
      <c r="O2524" s="2264">
        <f t="shared" si="503"/>
        <v>0</v>
      </c>
      <c r="P2524" s="2265"/>
      <c r="Q2524" s="2266"/>
      <c r="R2524" s="2266"/>
      <c r="S2524" s="2266"/>
    </row>
    <row r="2525" spans="1:19" s="2105" customFormat="1" outlineLevel="1">
      <c r="A2525" s="2182" t="str">
        <f t="shared" si="500"/>
        <v/>
      </c>
      <c r="B2525" s="2252" t="s">
        <v>1353</v>
      </c>
      <c r="C2525" s="2268"/>
      <c r="D2525" s="2152">
        <v>0</v>
      </c>
      <c r="E2525" s="2194" t="s">
        <v>3021</v>
      </c>
      <c r="F2525" s="2152" t="s">
        <v>2555</v>
      </c>
      <c r="G2525" s="2269">
        <f>G2517</f>
        <v>0</v>
      </c>
      <c r="H2525" s="2264">
        <v>5242230</v>
      </c>
      <c r="I2525" s="2264"/>
      <c r="J2525" s="2264">
        <v>0</v>
      </c>
      <c r="K2525" s="2264">
        <v>0</v>
      </c>
      <c r="L2525" s="2264">
        <f t="shared" si="501"/>
        <v>0</v>
      </c>
      <c r="M2525" s="2264">
        <f t="shared" si="502"/>
        <v>0</v>
      </c>
      <c r="N2525" s="2264">
        <f t="shared" si="498"/>
        <v>0</v>
      </c>
      <c r="O2525" s="2264">
        <f t="shared" si="503"/>
        <v>0</v>
      </c>
      <c r="P2525" s="2265"/>
      <c r="Q2525" s="2266"/>
      <c r="R2525" s="2266"/>
      <c r="S2525" s="2266"/>
    </row>
    <row r="2526" spans="1:19" s="2105" customFormat="1" outlineLevel="1">
      <c r="A2526" s="2182" t="str">
        <f t="shared" si="500"/>
        <v/>
      </c>
      <c r="B2526" s="2252" t="s">
        <v>1674</v>
      </c>
      <c r="C2526" s="2268"/>
      <c r="D2526" s="2152" t="s">
        <v>5459</v>
      </c>
      <c r="E2526" s="2194" t="s">
        <v>3178</v>
      </c>
      <c r="F2526" s="2152" t="s">
        <v>2555</v>
      </c>
      <c r="G2526" s="2269">
        <f>G2522+G2525</f>
        <v>0</v>
      </c>
      <c r="H2526" s="2264">
        <v>11340</v>
      </c>
      <c r="I2526" s="2264"/>
      <c r="J2526" s="2264">
        <v>621381.64999999991</v>
      </c>
      <c r="K2526" s="2264">
        <v>0</v>
      </c>
      <c r="L2526" s="2264">
        <f t="shared" si="501"/>
        <v>0</v>
      </c>
      <c r="M2526" s="2264">
        <f t="shared" si="502"/>
        <v>0</v>
      </c>
      <c r="N2526" s="2264">
        <f t="shared" si="498"/>
        <v>0</v>
      </c>
      <c r="O2526" s="2264">
        <f t="shared" si="503"/>
        <v>0</v>
      </c>
      <c r="P2526" s="2265"/>
      <c r="Q2526" s="2266"/>
      <c r="R2526" s="2266"/>
      <c r="S2526" s="2266"/>
    </row>
    <row r="2527" spans="1:19" s="2105" customFormat="1" outlineLevel="1">
      <c r="A2527" s="2182" t="str">
        <f t="shared" si="500"/>
        <v/>
      </c>
      <c r="B2527" s="2252" t="s">
        <v>1204</v>
      </c>
      <c r="C2527" s="2268"/>
      <c r="D2527" s="2152" t="s">
        <v>337</v>
      </c>
      <c r="E2527" s="2194" t="s">
        <v>3268</v>
      </c>
      <c r="F2527" s="2152" t="s">
        <v>2532</v>
      </c>
      <c r="G2527" s="2269">
        <f>G2519+G2523</f>
        <v>0</v>
      </c>
      <c r="H2527" s="2264">
        <v>546.34</v>
      </c>
      <c r="I2527" s="2264"/>
      <c r="J2527" s="2264">
        <v>2166</v>
      </c>
      <c r="K2527" s="2264">
        <v>0</v>
      </c>
      <c r="L2527" s="2264">
        <f t="shared" si="501"/>
        <v>0</v>
      </c>
      <c r="M2527" s="2264">
        <f t="shared" si="502"/>
        <v>0</v>
      </c>
      <c r="N2527" s="2264">
        <f t="shared" si="498"/>
        <v>0</v>
      </c>
      <c r="O2527" s="2264">
        <f t="shared" si="503"/>
        <v>0</v>
      </c>
      <c r="P2527" s="2265"/>
      <c r="Q2527" s="2266"/>
      <c r="R2527" s="2266"/>
      <c r="S2527" s="2266"/>
    </row>
    <row r="2528" spans="1:19" s="2105" customFormat="1" outlineLevel="1">
      <c r="A2528" s="2182" t="str">
        <f>IF(G2528&lt;&gt;0,1,"")</f>
        <v/>
      </c>
      <c r="B2528" s="2252" t="s">
        <v>1201</v>
      </c>
      <c r="C2528" s="2268"/>
      <c r="D2528" s="2152" t="s">
        <v>334</v>
      </c>
      <c r="E2528" s="2194" t="s">
        <v>3265</v>
      </c>
      <c r="F2528" s="2152" t="s">
        <v>2532</v>
      </c>
      <c r="G2528" s="2269">
        <f>G2520+G2524</f>
        <v>0</v>
      </c>
      <c r="H2528" s="2264">
        <v>460.75</v>
      </c>
      <c r="I2528" s="2264"/>
      <c r="J2528" s="2264">
        <v>1020</v>
      </c>
      <c r="K2528" s="2264">
        <v>0</v>
      </c>
      <c r="L2528" s="2264">
        <f>H2528*G2528</f>
        <v>0</v>
      </c>
      <c r="M2528" s="2264">
        <f>I2528*G2528</f>
        <v>0</v>
      </c>
      <c r="N2528" s="2264">
        <f t="shared" si="498"/>
        <v>0</v>
      </c>
      <c r="O2528" s="2264">
        <f>K2528*G2528</f>
        <v>0</v>
      </c>
      <c r="P2528" s="2265"/>
      <c r="Q2528" s="2266"/>
      <c r="R2528" s="2266"/>
      <c r="S2528" s="2266"/>
    </row>
    <row r="2529" spans="1:19" s="2105" customFormat="1" outlineLevel="1">
      <c r="A2529" s="2182" t="str">
        <f>IF(G2529&lt;&gt;0,1,"")</f>
        <v/>
      </c>
      <c r="B2529" s="2252" t="s">
        <v>1525</v>
      </c>
      <c r="C2529" s="2268"/>
      <c r="D2529" s="2152" t="s">
        <v>5571</v>
      </c>
      <c r="E2529" s="2194" t="s">
        <v>3292</v>
      </c>
      <c r="F2529" s="2152" t="s">
        <v>1823</v>
      </c>
      <c r="G2529" s="2421">
        <f>G2521</f>
        <v>0</v>
      </c>
      <c r="H2529" s="2264">
        <v>0</v>
      </c>
      <c r="I2529" s="2264"/>
      <c r="J2529" s="2264">
        <v>13915</v>
      </c>
      <c r="K2529" s="2264">
        <v>0</v>
      </c>
      <c r="L2529" s="2264">
        <f>H2529*G2529</f>
        <v>0</v>
      </c>
      <c r="M2529" s="2264">
        <f>I2529*G2529</f>
        <v>0</v>
      </c>
      <c r="N2529" s="2264">
        <f t="shared" si="498"/>
        <v>0</v>
      </c>
      <c r="O2529" s="2264">
        <f>K2529*G2529</f>
        <v>0</v>
      </c>
      <c r="P2529" s="2265"/>
      <c r="Q2529" s="2266"/>
      <c r="R2529" s="2266"/>
      <c r="S2529" s="2266"/>
    </row>
    <row r="2530" spans="1:19" s="2105" customFormat="1" outlineLevel="1">
      <c r="A2530" s="2182" t="str">
        <f>IF(G2530&lt;&gt;0,1,"")</f>
        <v/>
      </c>
      <c r="B2530" s="2252" t="s">
        <v>1349</v>
      </c>
      <c r="C2530" s="2268"/>
      <c r="D2530" s="2152">
        <v>0</v>
      </c>
      <c r="E2530" s="2194" t="s">
        <v>3518</v>
      </c>
      <c r="F2530" s="2152" t="s">
        <v>3519</v>
      </c>
      <c r="G2530" s="2269">
        <f>G2517*2</f>
        <v>0</v>
      </c>
      <c r="H2530" s="2264">
        <v>15000</v>
      </c>
      <c r="I2530" s="2264"/>
      <c r="J2530" s="2264">
        <v>0</v>
      </c>
      <c r="K2530" s="2264">
        <v>0</v>
      </c>
      <c r="L2530" s="2264">
        <f>H2530*G2530</f>
        <v>0</v>
      </c>
      <c r="M2530" s="2264">
        <f>I2530*G2530</f>
        <v>0</v>
      </c>
      <c r="N2530" s="2264">
        <f t="shared" si="498"/>
        <v>0</v>
      </c>
      <c r="O2530" s="2264">
        <f>K2530*G2530</f>
        <v>0</v>
      </c>
      <c r="P2530" s="2265"/>
      <c r="Q2530" s="2266"/>
      <c r="R2530" s="2266"/>
      <c r="S2530" s="2266"/>
    </row>
    <row r="2531" spans="1:19" s="2105" customFormat="1" outlineLevel="1">
      <c r="A2531" s="2182" t="str">
        <f>IF(G2531&lt;&gt;0,1,"")</f>
        <v/>
      </c>
      <c r="B2531" s="2261"/>
      <c r="C2531" s="2258">
        <f>IF(G2531&gt;0,C2517+1,C2517)</f>
        <v>0</v>
      </c>
      <c r="D2531" s="2259"/>
      <c r="E2531" s="2260" t="s">
        <v>6263</v>
      </c>
      <c r="F2531" s="2258" t="s">
        <v>2385</v>
      </c>
      <c r="G2531" s="2263">
        <f>G2391</f>
        <v>0</v>
      </c>
      <c r="H2531" s="2264"/>
      <c r="I2531" s="2264"/>
      <c r="J2531" s="2264"/>
      <c r="K2531" s="2264"/>
      <c r="L2531" s="2264"/>
      <c r="M2531" s="2264"/>
      <c r="N2531" s="2264">
        <f t="shared" si="498"/>
        <v>0</v>
      </c>
      <c r="O2531" s="2264"/>
      <c r="P2531" s="2389"/>
      <c r="Q2531" s="2266"/>
      <c r="R2531" s="2266"/>
      <c r="S2531" s="2266"/>
    </row>
    <row r="2532" spans="1:19" s="2105" customFormat="1" ht="14.4" outlineLevel="1">
      <c r="A2532" s="2182" t="str">
        <f>A2531</f>
        <v/>
      </c>
      <c r="B2532" s="2261"/>
      <c r="C2532" s="2258"/>
      <c r="D2532" s="2259"/>
      <c r="E2532" s="2274" t="s">
        <v>6133</v>
      </c>
      <c r="F2532" s="2258"/>
      <c r="G2532" s="2263"/>
      <c r="H2532" s="2264"/>
      <c r="I2532" s="2264"/>
      <c r="J2532" s="2264"/>
      <c r="K2532" s="2264"/>
      <c r="L2532" s="2264"/>
      <c r="M2532" s="2264"/>
      <c r="N2532" s="2264">
        <f t="shared" si="498"/>
        <v>0</v>
      </c>
      <c r="O2532" s="2264"/>
      <c r="P2532" s="2389"/>
      <c r="Q2532" s="2266"/>
      <c r="R2532" s="2266"/>
      <c r="S2532" s="2266"/>
    </row>
    <row r="2533" spans="1:19" s="2105" customFormat="1" outlineLevel="1">
      <c r="A2533" s="2182" t="str">
        <f>IF(G2533&lt;&gt;0,1,"")</f>
        <v/>
      </c>
      <c r="B2533" s="2252" t="s">
        <v>6272</v>
      </c>
      <c r="C2533" s="2268"/>
      <c r="D2533" s="2152">
        <v>0</v>
      </c>
      <c r="E2533" s="2194" t="s">
        <v>5082</v>
      </c>
      <c r="F2533" s="2152" t="s">
        <v>2532</v>
      </c>
      <c r="G2533" s="2270">
        <f>G2531*(13*3)</f>
        <v>0</v>
      </c>
      <c r="H2533" s="2264">
        <v>99600</v>
      </c>
      <c r="I2533" s="2264"/>
      <c r="J2533" s="2264">
        <v>0</v>
      </c>
      <c r="K2533" s="2264">
        <v>0</v>
      </c>
      <c r="L2533" s="2264">
        <f t="shared" ref="L2533:L2542" si="504">H2533*G2533</f>
        <v>0</v>
      </c>
      <c r="M2533" s="2264">
        <f>I2533*G2533</f>
        <v>0</v>
      </c>
      <c r="N2533" s="2264">
        <f t="shared" si="498"/>
        <v>0</v>
      </c>
      <c r="O2533" s="2264">
        <f t="shared" ref="O2533:O2542" si="505">K2533*G2533</f>
        <v>0</v>
      </c>
      <c r="P2533" s="2389"/>
      <c r="Q2533" s="2266"/>
      <c r="R2533" s="2266"/>
      <c r="S2533" s="2266"/>
    </row>
    <row r="2534" spans="1:19" s="2105" customFormat="1" outlineLevel="1">
      <c r="A2534" s="2182" t="str">
        <f>IF(G2534&lt;&gt;0,1,"")</f>
        <v/>
      </c>
      <c r="B2534" s="2357" t="s">
        <v>5699</v>
      </c>
      <c r="C2534" s="2268"/>
      <c r="D2534" s="2152">
        <v>0</v>
      </c>
      <c r="E2534" s="2194" t="s">
        <v>5700</v>
      </c>
      <c r="F2534" s="2152" t="s">
        <v>2555</v>
      </c>
      <c r="G2534" s="2270">
        <f>+G2531*3</f>
        <v>0</v>
      </c>
      <c r="H2534" s="2264">
        <v>218200</v>
      </c>
      <c r="I2534" s="2264"/>
      <c r="J2534" s="2264">
        <v>0</v>
      </c>
      <c r="K2534" s="2264">
        <v>0</v>
      </c>
      <c r="L2534" s="2264">
        <f>H2534*G2534</f>
        <v>0</v>
      </c>
      <c r="M2534" s="2264">
        <f>I2534*G2534</f>
        <v>0</v>
      </c>
      <c r="N2534" s="2264">
        <f t="shared" si="498"/>
        <v>0</v>
      </c>
      <c r="O2534" s="2264">
        <f>K2534*G2534</f>
        <v>0</v>
      </c>
      <c r="P2534" s="2265"/>
      <c r="Q2534" s="2266"/>
      <c r="R2534" s="2266"/>
      <c r="S2534" s="2266"/>
    </row>
    <row r="2535" spans="1:19" s="2105" customFormat="1" outlineLevel="1">
      <c r="A2535" s="2182" t="str">
        <f>IF(G2535&lt;&gt;0,1,"")</f>
        <v/>
      </c>
      <c r="B2535" s="2357" t="s">
        <v>5705</v>
      </c>
      <c r="C2535" s="2268"/>
      <c r="D2535" s="2152">
        <v>0</v>
      </c>
      <c r="E2535" s="2194" t="s">
        <v>5706</v>
      </c>
      <c r="F2535" s="2152" t="s">
        <v>2555</v>
      </c>
      <c r="G2535" s="2270">
        <f>+G2531*3</f>
        <v>0</v>
      </c>
      <c r="H2535" s="2264">
        <v>39100</v>
      </c>
      <c r="I2535" s="2264"/>
      <c r="J2535" s="2264">
        <v>0</v>
      </c>
      <c r="K2535" s="2264">
        <v>0</v>
      </c>
      <c r="L2535" s="2264">
        <f>H2535*G2535</f>
        <v>0</v>
      </c>
      <c r="M2535" s="2264">
        <f>I2535*G2535</f>
        <v>0</v>
      </c>
      <c r="N2535" s="2264">
        <f t="shared" si="498"/>
        <v>0</v>
      </c>
      <c r="O2535" s="2264">
        <f>K2535*G2535</f>
        <v>0</v>
      </c>
      <c r="P2535" s="2265"/>
      <c r="Q2535" s="2266"/>
      <c r="R2535" s="2266"/>
      <c r="S2535" s="2266"/>
    </row>
    <row r="2536" spans="1:19" s="2105" customFormat="1" outlineLevel="1">
      <c r="A2536" s="2182" t="str">
        <f>IF(G2536&lt;&gt;0,1,"")</f>
        <v/>
      </c>
      <c r="B2536" s="2357" t="s">
        <v>5707</v>
      </c>
      <c r="C2536" s="2268"/>
      <c r="D2536" s="2152">
        <v>0</v>
      </c>
      <c r="E2536" s="2194" t="s">
        <v>5708</v>
      </c>
      <c r="F2536" s="2152" t="s">
        <v>2555</v>
      </c>
      <c r="G2536" s="2270">
        <f>+G2531*3</f>
        <v>0</v>
      </c>
      <c r="H2536" s="2264">
        <v>56700</v>
      </c>
      <c r="I2536" s="2264"/>
      <c r="J2536" s="2264">
        <v>0</v>
      </c>
      <c r="K2536" s="2264">
        <v>0</v>
      </c>
      <c r="L2536" s="2264">
        <f>H2536*G2536</f>
        <v>0</v>
      </c>
      <c r="M2536" s="2264">
        <f>I2536*G2536</f>
        <v>0</v>
      </c>
      <c r="N2536" s="2264">
        <f t="shared" si="498"/>
        <v>0</v>
      </c>
      <c r="O2536" s="2264">
        <f>K2536*G2536</f>
        <v>0</v>
      </c>
      <c r="P2536" s="2265"/>
      <c r="Q2536" s="2266"/>
      <c r="R2536" s="2266"/>
      <c r="S2536" s="2266"/>
    </row>
    <row r="2537" spans="1:19" s="2105" customFormat="1" outlineLevel="1">
      <c r="A2537" s="2182" t="str">
        <f t="shared" ref="A2537:A2543" si="506">IF(G2537&lt;&gt;0,1,"")</f>
        <v/>
      </c>
      <c r="B2537" s="2357" t="s">
        <v>1479</v>
      </c>
      <c r="C2537" s="2268"/>
      <c r="D2537" s="2152">
        <v>0</v>
      </c>
      <c r="E2537" s="2194" t="s">
        <v>3791</v>
      </c>
      <c r="F2537" s="2152" t="s">
        <v>2555</v>
      </c>
      <c r="G2537" s="2270"/>
      <c r="H2537" s="2264">
        <v>46000</v>
      </c>
      <c r="I2537" s="2264"/>
      <c r="J2537" s="2264">
        <v>0</v>
      </c>
      <c r="K2537" s="2264">
        <v>0</v>
      </c>
      <c r="L2537" s="2264">
        <f t="shared" si="504"/>
        <v>0</v>
      </c>
      <c r="M2537" s="2264">
        <f t="shared" ref="M2537:M2542" si="507">I2537*G2537</f>
        <v>0</v>
      </c>
      <c r="N2537" s="2264">
        <f t="shared" si="498"/>
        <v>0</v>
      </c>
      <c r="O2537" s="2264">
        <f t="shared" si="505"/>
        <v>0</v>
      </c>
      <c r="P2537" s="2389"/>
      <c r="Q2537" s="2266"/>
      <c r="R2537" s="2266"/>
      <c r="S2537" s="2266"/>
    </row>
    <row r="2538" spans="1:19" s="2105" customFormat="1" outlineLevel="1">
      <c r="A2538" s="2182" t="str">
        <f t="shared" si="506"/>
        <v/>
      </c>
      <c r="B2538" s="2357" t="s">
        <v>1477</v>
      </c>
      <c r="C2538" s="2268"/>
      <c r="D2538" s="2152">
        <v>0</v>
      </c>
      <c r="E2538" s="2194" t="s">
        <v>6346</v>
      </c>
      <c r="F2538" s="2152" t="s">
        <v>2555</v>
      </c>
      <c r="G2538" s="2270"/>
      <c r="H2538" s="2264">
        <v>77000</v>
      </c>
      <c r="I2538" s="2264"/>
      <c r="J2538" s="2264">
        <v>0</v>
      </c>
      <c r="K2538" s="2264">
        <v>0</v>
      </c>
      <c r="L2538" s="2264">
        <f t="shared" si="504"/>
        <v>0</v>
      </c>
      <c r="M2538" s="2264">
        <f t="shared" si="507"/>
        <v>0</v>
      </c>
      <c r="N2538" s="2264">
        <f t="shared" si="498"/>
        <v>0</v>
      </c>
      <c r="O2538" s="2264">
        <f t="shared" si="505"/>
        <v>0</v>
      </c>
      <c r="P2538" s="2389"/>
      <c r="Q2538" s="2266"/>
      <c r="R2538" s="2266"/>
      <c r="S2538" s="2266"/>
    </row>
    <row r="2539" spans="1:19" s="2105" customFormat="1" outlineLevel="1">
      <c r="A2539" s="2182" t="str">
        <f t="shared" si="506"/>
        <v/>
      </c>
      <c r="B2539" s="2252" t="s">
        <v>696</v>
      </c>
      <c r="C2539" s="2389"/>
      <c r="D2539" s="2152">
        <v>0</v>
      </c>
      <c r="E2539" s="2194" t="s">
        <v>2936</v>
      </c>
      <c r="F2539" s="2152" t="s">
        <v>2555</v>
      </c>
      <c r="G2539" s="2270">
        <f>G2531*6</f>
        <v>0</v>
      </c>
      <c r="H2539" s="2264">
        <v>205000</v>
      </c>
      <c r="I2539" s="2264"/>
      <c r="J2539" s="2264">
        <v>0</v>
      </c>
      <c r="K2539" s="2264">
        <v>0</v>
      </c>
      <c r="L2539" s="2264">
        <f t="shared" si="504"/>
        <v>0</v>
      </c>
      <c r="M2539" s="2264">
        <f t="shared" si="507"/>
        <v>0</v>
      </c>
      <c r="N2539" s="2264">
        <f t="shared" si="498"/>
        <v>0</v>
      </c>
      <c r="O2539" s="2264">
        <f t="shared" si="505"/>
        <v>0</v>
      </c>
      <c r="P2539" s="2389"/>
      <c r="Q2539" s="2266"/>
      <c r="R2539" s="2266"/>
      <c r="S2539" s="2266"/>
    </row>
    <row r="2540" spans="1:19" s="2105" customFormat="1" outlineLevel="1">
      <c r="A2540" s="2182" t="str">
        <f t="shared" si="506"/>
        <v/>
      </c>
      <c r="B2540" s="2252" t="s">
        <v>1265</v>
      </c>
      <c r="C2540" s="2268"/>
      <c r="D2540" s="2152">
        <v>0</v>
      </c>
      <c r="E2540" s="2194" t="s">
        <v>2823</v>
      </c>
      <c r="F2540" s="2152" t="s">
        <v>2555</v>
      </c>
      <c r="G2540" s="2270">
        <f>G2539</f>
        <v>0</v>
      </c>
      <c r="H2540" s="2264">
        <v>65000</v>
      </c>
      <c r="I2540" s="2264"/>
      <c r="J2540" s="2264">
        <v>0</v>
      </c>
      <c r="K2540" s="2264">
        <v>0</v>
      </c>
      <c r="L2540" s="2264">
        <f t="shared" si="504"/>
        <v>0</v>
      </c>
      <c r="M2540" s="2264">
        <f t="shared" si="507"/>
        <v>0</v>
      </c>
      <c r="N2540" s="2264">
        <f t="shared" si="498"/>
        <v>0</v>
      </c>
      <c r="O2540" s="2264">
        <f t="shared" si="505"/>
        <v>0</v>
      </c>
      <c r="P2540" s="2389"/>
      <c r="Q2540" s="2266"/>
      <c r="R2540" s="2266"/>
      <c r="S2540" s="2266"/>
    </row>
    <row r="2541" spans="1:19" s="2105" customFormat="1" outlineLevel="1">
      <c r="A2541" s="2182" t="str">
        <f t="shared" si="506"/>
        <v/>
      </c>
      <c r="B2541" s="2252" t="s">
        <v>1565</v>
      </c>
      <c r="C2541" s="2268"/>
      <c r="D2541" s="2152" t="s">
        <v>5560</v>
      </c>
      <c r="E2541" s="2194" t="s">
        <v>3271</v>
      </c>
      <c r="F2541" s="2152" t="s">
        <v>2439</v>
      </c>
      <c r="G2541" s="2270">
        <f>G2540</f>
        <v>0</v>
      </c>
      <c r="H2541" s="2264"/>
      <c r="I2541" s="2264"/>
      <c r="J2541" s="2264">
        <v>58277.49</v>
      </c>
      <c r="K2541" s="2264"/>
      <c r="L2541" s="2264">
        <f t="shared" si="504"/>
        <v>0</v>
      </c>
      <c r="M2541" s="2264">
        <f t="shared" si="507"/>
        <v>0</v>
      </c>
      <c r="N2541" s="2264">
        <f t="shared" si="498"/>
        <v>0</v>
      </c>
      <c r="O2541" s="2264">
        <f t="shared" si="505"/>
        <v>0</v>
      </c>
      <c r="P2541" s="2389"/>
      <c r="Q2541" s="2266"/>
      <c r="R2541" s="2266"/>
      <c r="S2541" s="2266"/>
    </row>
    <row r="2542" spans="1:19" s="2105" customFormat="1" outlineLevel="1">
      <c r="A2542" s="2182" t="str">
        <f t="shared" si="506"/>
        <v/>
      </c>
      <c r="B2542" s="2252" t="s">
        <v>1525</v>
      </c>
      <c r="C2542" s="2268"/>
      <c r="D2542" s="2152" t="s">
        <v>5571</v>
      </c>
      <c r="E2542" s="2194" t="s">
        <v>3292</v>
      </c>
      <c r="F2542" s="2152" t="s">
        <v>1823</v>
      </c>
      <c r="G2542" s="2270">
        <f>G2533</f>
        <v>0</v>
      </c>
      <c r="H2542" s="2264"/>
      <c r="I2542" s="2264"/>
      <c r="J2542" s="2264">
        <v>13915</v>
      </c>
      <c r="K2542" s="2264"/>
      <c r="L2542" s="2264">
        <f t="shared" si="504"/>
        <v>0</v>
      </c>
      <c r="M2542" s="2264">
        <f t="shared" si="507"/>
        <v>0</v>
      </c>
      <c r="N2542" s="2264">
        <f t="shared" si="498"/>
        <v>0</v>
      </c>
      <c r="O2542" s="2264">
        <f t="shared" si="505"/>
        <v>0</v>
      </c>
      <c r="P2542" s="2389"/>
      <c r="Q2542" s="2266"/>
      <c r="R2542" s="2266"/>
      <c r="S2542" s="2266"/>
    </row>
    <row r="2543" spans="1:19" s="2105" customFormat="1" outlineLevel="1">
      <c r="A2543" s="2182" t="str">
        <f t="shared" si="506"/>
        <v/>
      </c>
      <c r="B2543" s="2261"/>
      <c r="C2543" s="2258">
        <f>IF(G2543&gt;0,C2531+1,C2531)</f>
        <v>0</v>
      </c>
      <c r="D2543" s="2259"/>
      <c r="E2543" s="2260" t="s">
        <v>3708</v>
      </c>
      <c r="F2543" s="2258" t="s">
        <v>2385</v>
      </c>
      <c r="G2543" s="2263"/>
      <c r="H2543" s="2264"/>
      <c r="I2543" s="2264"/>
      <c r="J2543" s="2264"/>
      <c r="K2543" s="2264"/>
      <c r="L2543" s="2264"/>
      <c r="M2543" s="2264"/>
      <c r="N2543" s="2264">
        <f t="shared" si="498"/>
        <v>0</v>
      </c>
      <c r="O2543" s="2264"/>
      <c r="P2543" s="2265"/>
      <c r="Q2543" s="2266"/>
      <c r="R2543" s="2266"/>
      <c r="S2543" s="2266"/>
    </row>
    <row r="2544" spans="1:19" s="2105" customFormat="1" ht="14.4" outlineLevel="1">
      <c r="A2544" s="2182" t="str">
        <f>A2543</f>
        <v/>
      </c>
      <c r="B2544" s="2261"/>
      <c r="C2544" s="2258"/>
      <c r="D2544" s="2259"/>
      <c r="E2544" s="2274" t="s">
        <v>6133</v>
      </c>
      <c r="F2544" s="2258"/>
      <c r="G2544" s="2263"/>
      <c r="H2544" s="2264"/>
      <c r="I2544" s="2264"/>
      <c r="J2544" s="2264"/>
      <c r="K2544" s="2264"/>
      <c r="L2544" s="2264"/>
      <c r="M2544" s="2264"/>
      <c r="N2544" s="2264">
        <f t="shared" si="498"/>
        <v>0</v>
      </c>
      <c r="O2544" s="2264"/>
      <c r="P2544" s="2265"/>
      <c r="Q2544" s="2266"/>
      <c r="R2544" s="2266"/>
      <c r="S2544" s="2266"/>
    </row>
    <row r="2545" spans="1:19" s="2105" customFormat="1" outlineLevel="1">
      <c r="A2545" s="2182" t="str">
        <f>IF(G2545&lt;&gt;0,1,"")</f>
        <v/>
      </c>
      <c r="B2545" s="2261" t="s">
        <v>1489</v>
      </c>
      <c r="C2545" s="2268"/>
      <c r="D2545" s="2152">
        <v>0</v>
      </c>
      <c r="E2545" s="2194" t="s">
        <v>3532</v>
      </c>
      <c r="F2545" s="2152" t="s">
        <v>1823</v>
      </c>
      <c r="G2545" s="2269">
        <f>G2543*2</f>
        <v>0</v>
      </c>
      <c r="H2545" s="2264">
        <v>63200</v>
      </c>
      <c r="I2545" s="2264"/>
      <c r="J2545" s="2264">
        <v>0</v>
      </c>
      <c r="K2545" s="2264">
        <v>0</v>
      </c>
      <c r="L2545" s="2264">
        <f>H2545*G2545</f>
        <v>0</v>
      </c>
      <c r="M2545" s="2264">
        <f>I2545*G2545</f>
        <v>0</v>
      </c>
      <c r="N2545" s="2264">
        <f t="shared" si="498"/>
        <v>0</v>
      </c>
      <c r="O2545" s="2264">
        <f>K2545*G2545</f>
        <v>0</v>
      </c>
      <c r="P2545" s="2265"/>
      <c r="Q2545" s="2266"/>
      <c r="R2545" s="2266"/>
      <c r="S2545" s="2266"/>
    </row>
    <row r="2546" spans="1:19" s="2105" customFormat="1" outlineLevel="1">
      <c r="A2546" s="2182" t="str">
        <f>IF(G2546&lt;&gt;0,1,"")</f>
        <v/>
      </c>
      <c r="B2546" s="2261" t="s">
        <v>86</v>
      </c>
      <c r="C2546" s="2268"/>
      <c r="D2546" s="2152">
        <v>0</v>
      </c>
      <c r="E2546" s="2194" t="s">
        <v>5797</v>
      </c>
      <c r="F2546" s="2152" t="s">
        <v>2555</v>
      </c>
      <c r="G2546" s="2269">
        <f>G2543</f>
        <v>0</v>
      </c>
      <c r="H2546" s="2264">
        <v>45400</v>
      </c>
      <c r="I2546" s="2264"/>
      <c r="J2546" s="2264">
        <v>0</v>
      </c>
      <c r="K2546" s="2264">
        <v>0</v>
      </c>
      <c r="L2546" s="2264">
        <f>H2546*G2546</f>
        <v>0</v>
      </c>
      <c r="M2546" s="2264">
        <f>I2546*G2546</f>
        <v>0</v>
      </c>
      <c r="N2546" s="2264">
        <f t="shared" si="498"/>
        <v>0</v>
      </c>
      <c r="O2546" s="2264">
        <f>K2546*G2546</f>
        <v>0</v>
      </c>
      <c r="P2546" s="2265"/>
      <c r="Q2546" s="2266"/>
      <c r="R2546" s="2266"/>
      <c r="S2546" s="2266"/>
    </row>
    <row r="2547" spans="1:19" s="2105" customFormat="1" outlineLevel="1">
      <c r="A2547" s="2182" t="str">
        <f>IF(G2547&lt;&gt;0,1,"")</f>
        <v/>
      </c>
      <c r="B2547" s="2261" t="s">
        <v>931</v>
      </c>
      <c r="C2547" s="2268"/>
      <c r="D2547" s="2152">
        <v>0</v>
      </c>
      <c r="E2547" s="2194" t="s">
        <v>3574</v>
      </c>
      <c r="F2547" s="2152" t="s">
        <v>2555</v>
      </c>
      <c r="G2547" s="2269">
        <f>G2543*2</f>
        <v>0</v>
      </c>
      <c r="H2547" s="2264">
        <v>25800</v>
      </c>
      <c r="I2547" s="2264"/>
      <c r="J2547" s="2264">
        <v>0</v>
      </c>
      <c r="K2547" s="2264">
        <v>0</v>
      </c>
      <c r="L2547" s="2264">
        <f>H2547*G2547</f>
        <v>0</v>
      </c>
      <c r="M2547" s="2264">
        <f>I2547*G2547</f>
        <v>0</v>
      </c>
      <c r="N2547" s="2264">
        <f t="shared" si="498"/>
        <v>0</v>
      </c>
      <c r="O2547" s="2264">
        <f>K2547*G2547</f>
        <v>0</v>
      </c>
      <c r="P2547" s="2265"/>
      <c r="Q2547" s="2266"/>
      <c r="R2547" s="2266"/>
      <c r="S2547" s="2266"/>
    </row>
    <row r="2548" spans="1:19" s="2105" customFormat="1" outlineLevel="1">
      <c r="A2548" s="2182" t="str">
        <f>IF(G2548&lt;&gt;0,1,"")</f>
        <v/>
      </c>
      <c r="B2548" s="2261" t="s">
        <v>930</v>
      </c>
      <c r="C2548" s="2268"/>
      <c r="D2548" s="2152">
        <v>0</v>
      </c>
      <c r="E2548" s="2194" t="s">
        <v>3578</v>
      </c>
      <c r="F2548" s="2152" t="s">
        <v>2555</v>
      </c>
      <c r="G2548" s="2269">
        <f>G2547</f>
        <v>0</v>
      </c>
      <c r="H2548" s="2264">
        <v>21500</v>
      </c>
      <c r="I2548" s="2264"/>
      <c r="J2548" s="2264">
        <v>0</v>
      </c>
      <c r="K2548" s="2264">
        <v>0</v>
      </c>
      <c r="L2548" s="2264">
        <f>H2548*G2548</f>
        <v>0</v>
      </c>
      <c r="M2548" s="2264">
        <f>I2548*G2548</f>
        <v>0</v>
      </c>
      <c r="N2548" s="2264">
        <f t="shared" si="498"/>
        <v>0</v>
      </c>
      <c r="O2548" s="2264">
        <f>K2548*G2548</f>
        <v>0</v>
      </c>
      <c r="P2548" s="2265"/>
      <c r="Q2548" s="2266"/>
      <c r="R2548" s="2266"/>
      <c r="S2548" s="2266"/>
    </row>
    <row r="2549" spans="1:19" s="2288" customFormat="1" outlineLevel="1">
      <c r="A2549" s="2279" t="str">
        <f>IF(G2549&lt;&gt;0,1,"")</f>
        <v/>
      </c>
      <c r="B2549" s="2430"/>
      <c r="C2549" s="2258">
        <f>IF(G2549&gt;0,C2543+1,C2543)</f>
        <v>0</v>
      </c>
      <c r="D2549" s="2259"/>
      <c r="E2549" s="2260" t="s">
        <v>3728</v>
      </c>
      <c r="F2549" s="2258" t="s">
        <v>2385</v>
      </c>
      <c r="G2549" s="2263">
        <f>G2493</f>
        <v>0</v>
      </c>
      <c r="H2549" s="2431"/>
      <c r="I2549" s="2264"/>
      <c r="J2549" s="2431"/>
      <c r="K2549" s="2431"/>
      <c r="L2549" s="2431"/>
      <c r="M2549" s="2264"/>
      <c r="N2549" s="2431">
        <f t="shared" si="498"/>
        <v>0</v>
      </c>
      <c r="O2549" s="2431"/>
      <c r="P2549" s="2432"/>
      <c r="Q2549" s="2433"/>
      <c r="R2549" s="2266"/>
      <c r="S2549" s="2433"/>
    </row>
    <row r="2550" spans="1:19" s="2105" customFormat="1" ht="14.4" outlineLevel="1">
      <c r="A2550" s="2182" t="str">
        <f>A2549</f>
        <v/>
      </c>
      <c r="B2550" s="2252"/>
      <c r="C2550" s="2258"/>
      <c r="D2550" s="2259"/>
      <c r="E2550" s="2274" t="s">
        <v>6133</v>
      </c>
      <c r="F2550" s="2258"/>
      <c r="G2550" s="2269"/>
      <c r="H2550" s="2264"/>
      <c r="I2550" s="2264"/>
      <c r="J2550" s="2264"/>
      <c r="K2550" s="2264"/>
      <c r="L2550" s="2264"/>
      <c r="M2550" s="2264"/>
      <c r="N2550" s="2264">
        <f t="shared" si="498"/>
        <v>0</v>
      </c>
      <c r="O2550" s="2264"/>
      <c r="P2550" s="2389"/>
      <c r="Q2550" s="2266"/>
      <c r="R2550" s="2266"/>
      <c r="S2550" s="2266"/>
    </row>
    <row r="2551" spans="1:19" s="2105" customFormat="1" outlineLevel="1">
      <c r="A2551" s="2182" t="str">
        <f t="shared" ref="A2551:A2563" si="508">IF(G2551&lt;&gt;0,1,"")</f>
        <v/>
      </c>
      <c r="B2551" s="2261" t="s">
        <v>4757</v>
      </c>
      <c r="C2551" s="2268"/>
      <c r="D2551" s="2152">
        <v>0</v>
      </c>
      <c r="E2551" s="2194" t="s">
        <v>2799</v>
      </c>
      <c r="F2551" s="2152" t="s">
        <v>2532</v>
      </c>
      <c r="G2551" s="2270">
        <f>+G2549*(7*3*2+7)</f>
        <v>0</v>
      </c>
      <c r="H2551" s="2264">
        <v>567100</v>
      </c>
      <c r="I2551" s="2264"/>
      <c r="J2551" s="2264">
        <v>0</v>
      </c>
      <c r="K2551" s="2264">
        <v>0</v>
      </c>
      <c r="L2551" s="2264">
        <f t="shared" ref="L2551:L2562" si="509">H2551*G2551</f>
        <v>0</v>
      </c>
      <c r="M2551" s="2264">
        <f t="shared" ref="M2551:M2562" si="510">I2551*G2551</f>
        <v>0</v>
      </c>
      <c r="N2551" s="2264">
        <f t="shared" si="498"/>
        <v>0</v>
      </c>
      <c r="O2551" s="2264">
        <f t="shared" ref="O2551:O2562" si="511">K2551*G2551</f>
        <v>0</v>
      </c>
      <c r="P2551" s="2389"/>
      <c r="Q2551" s="2266"/>
      <c r="R2551" s="2266"/>
      <c r="S2551" s="2266"/>
    </row>
    <row r="2552" spans="1:19" s="2105" customFormat="1" outlineLevel="1">
      <c r="A2552" s="2182" t="str">
        <f>IF(G2552&lt;&gt;0,1,"")</f>
        <v/>
      </c>
      <c r="B2552" s="2261" t="s">
        <v>1822</v>
      </c>
      <c r="C2552" s="2268"/>
      <c r="D2552" s="2152" t="s">
        <v>1527</v>
      </c>
      <c r="E2552" s="2194" t="s">
        <v>2784</v>
      </c>
      <c r="F2552" s="2152" t="s">
        <v>2532</v>
      </c>
      <c r="G2552" s="2270"/>
      <c r="H2552" s="2264">
        <v>28200</v>
      </c>
      <c r="I2552" s="2264"/>
      <c r="J2552" s="2264">
        <v>0</v>
      </c>
      <c r="K2552" s="2264">
        <v>0</v>
      </c>
      <c r="L2552" s="2264">
        <f>H2552*G2552</f>
        <v>0</v>
      </c>
      <c r="M2552" s="2264">
        <f>I2552*G2552</f>
        <v>0</v>
      </c>
      <c r="N2552" s="2264">
        <f t="shared" si="498"/>
        <v>0</v>
      </c>
      <c r="O2552" s="2264">
        <f>K2552*G2552</f>
        <v>0</v>
      </c>
      <c r="P2552" s="2265"/>
      <c r="Q2552" s="2266"/>
      <c r="R2552" s="2266"/>
      <c r="S2552" s="2266"/>
    </row>
    <row r="2553" spans="1:19" s="2105" customFormat="1" outlineLevel="1">
      <c r="A2553" s="2182" t="str">
        <f t="shared" si="508"/>
        <v/>
      </c>
      <c r="B2553" s="2261" t="s">
        <v>2156</v>
      </c>
      <c r="C2553" s="2268"/>
      <c r="D2553" s="2152" t="s">
        <v>5731</v>
      </c>
      <c r="E2553" s="2194" t="s">
        <v>3486</v>
      </c>
      <c r="F2553" s="2152" t="s">
        <v>2555</v>
      </c>
      <c r="G2553" s="2270">
        <f>+G2549*2*7</f>
        <v>0</v>
      </c>
      <c r="H2553" s="2264">
        <v>70000</v>
      </c>
      <c r="I2553" s="2264"/>
      <c r="J2553" s="2264">
        <v>50013.645000000004</v>
      </c>
      <c r="K2553" s="2264">
        <v>5554.0464950000005</v>
      </c>
      <c r="L2553" s="2264">
        <f t="shared" si="509"/>
        <v>0</v>
      </c>
      <c r="M2553" s="2264">
        <f t="shared" si="510"/>
        <v>0</v>
      </c>
      <c r="N2553" s="2264">
        <f t="shared" si="498"/>
        <v>0</v>
      </c>
      <c r="O2553" s="2264">
        <f t="shared" si="511"/>
        <v>0</v>
      </c>
      <c r="P2553" s="2389"/>
      <c r="Q2553" s="2266"/>
      <c r="R2553" s="2266"/>
      <c r="S2553" s="2266"/>
    </row>
    <row r="2554" spans="1:19" s="2105" customFormat="1" outlineLevel="1">
      <c r="A2554" s="2182" t="str">
        <f t="shared" si="508"/>
        <v/>
      </c>
      <c r="B2554" s="2261" t="s">
        <v>90</v>
      </c>
      <c r="C2554" s="2268"/>
      <c r="D2554" s="2152">
        <v>0</v>
      </c>
      <c r="E2554" s="2194" t="s">
        <v>3500</v>
      </c>
      <c r="F2554" s="2152" t="s">
        <v>2555</v>
      </c>
      <c r="G2554" s="2270">
        <f>G2553</f>
        <v>0</v>
      </c>
      <c r="H2554" s="2264">
        <v>6000</v>
      </c>
      <c r="I2554" s="2264"/>
      <c r="J2554" s="2264">
        <v>0</v>
      </c>
      <c r="K2554" s="2264">
        <v>0</v>
      </c>
      <c r="L2554" s="2264">
        <f t="shared" si="509"/>
        <v>0</v>
      </c>
      <c r="M2554" s="2264">
        <f t="shared" si="510"/>
        <v>0</v>
      </c>
      <c r="N2554" s="2264">
        <f t="shared" si="498"/>
        <v>0</v>
      </c>
      <c r="O2554" s="2264">
        <f t="shared" si="511"/>
        <v>0</v>
      </c>
      <c r="P2554" s="2389"/>
      <c r="Q2554" s="2266"/>
      <c r="R2554" s="2266"/>
      <c r="S2554" s="2266"/>
    </row>
    <row r="2555" spans="1:19" s="2105" customFormat="1" outlineLevel="1">
      <c r="A2555" s="2182" t="str">
        <f t="shared" si="508"/>
        <v/>
      </c>
      <c r="B2555" s="2261" t="s">
        <v>1042</v>
      </c>
      <c r="C2555" s="2268"/>
      <c r="D2555" s="2152">
        <v>0</v>
      </c>
      <c r="E2555" s="2194" t="s">
        <v>3531</v>
      </c>
      <c r="F2555" s="2152" t="s">
        <v>1823</v>
      </c>
      <c r="G2555" s="2270">
        <f>+G2549*2*4</f>
        <v>0</v>
      </c>
      <c r="H2555" s="2264">
        <v>103700</v>
      </c>
      <c r="I2555" s="2264"/>
      <c r="J2555" s="2264">
        <v>0</v>
      </c>
      <c r="K2555" s="2264">
        <v>0</v>
      </c>
      <c r="L2555" s="2264">
        <f t="shared" si="509"/>
        <v>0</v>
      </c>
      <c r="M2555" s="2264">
        <f t="shared" si="510"/>
        <v>0</v>
      </c>
      <c r="N2555" s="2264">
        <f t="shared" si="498"/>
        <v>0</v>
      </c>
      <c r="O2555" s="2264">
        <f t="shared" si="511"/>
        <v>0</v>
      </c>
      <c r="P2555" s="2389"/>
      <c r="Q2555" s="2266"/>
      <c r="R2555" s="2266"/>
      <c r="S2555" s="2266"/>
    </row>
    <row r="2556" spans="1:19" s="2105" customFormat="1" outlineLevel="1">
      <c r="A2556" s="2182" t="str">
        <f t="shared" si="508"/>
        <v/>
      </c>
      <c r="B2556" s="2252" t="s">
        <v>731</v>
      </c>
      <c r="C2556" s="2268"/>
      <c r="D2556" s="2152">
        <v>0</v>
      </c>
      <c r="E2556" s="2194" t="s">
        <v>5258</v>
      </c>
      <c r="F2556" s="2152" t="s">
        <v>2439</v>
      </c>
      <c r="G2556" s="2270">
        <f>+G2549*4</f>
        <v>0</v>
      </c>
      <c r="H2556" s="2264">
        <v>50000</v>
      </c>
      <c r="I2556" s="2264"/>
      <c r="J2556" s="2264">
        <v>0</v>
      </c>
      <c r="K2556" s="2264">
        <v>0</v>
      </c>
      <c r="L2556" s="2264">
        <f t="shared" si="509"/>
        <v>0</v>
      </c>
      <c r="M2556" s="2264">
        <f t="shared" si="510"/>
        <v>0</v>
      </c>
      <c r="N2556" s="2264">
        <f t="shared" si="498"/>
        <v>0</v>
      </c>
      <c r="O2556" s="2264">
        <f t="shared" si="511"/>
        <v>0</v>
      </c>
      <c r="P2556" s="2389"/>
      <c r="Q2556" s="2422"/>
      <c r="R2556" s="2266"/>
      <c r="S2556" s="2266"/>
    </row>
    <row r="2557" spans="1:19" s="2105" customFormat="1" outlineLevel="1">
      <c r="A2557" s="2182" t="str">
        <f t="shared" si="508"/>
        <v/>
      </c>
      <c r="B2557" s="2261" t="s">
        <v>2167</v>
      </c>
      <c r="C2557" s="2268"/>
      <c r="D2557" s="2152">
        <v>0</v>
      </c>
      <c r="E2557" s="2194" t="s">
        <v>3575</v>
      </c>
      <c r="F2557" s="2152" t="s">
        <v>2555</v>
      </c>
      <c r="G2557" s="2270">
        <f>+G2549*2</f>
        <v>0</v>
      </c>
      <c r="H2557" s="2264">
        <v>41900</v>
      </c>
      <c r="I2557" s="2264"/>
      <c r="J2557" s="2264">
        <v>0</v>
      </c>
      <c r="K2557" s="2264">
        <v>0</v>
      </c>
      <c r="L2557" s="2264">
        <f t="shared" si="509"/>
        <v>0</v>
      </c>
      <c r="M2557" s="2264">
        <f t="shared" si="510"/>
        <v>0</v>
      </c>
      <c r="N2557" s="2264">
        <f t="shared" si="498"/>
        <v>0</v>
      </c>
      <c r="O2557" s="2264">
        <f t="shared" si="511"/>
        <v>0</v>
      </c>
      <c r="P2557" s="2389"/>
      <c r="Q2557" s="2266"/>
      <c r="R2557" s="2266"/>
      <c r="S2557" s="2266"/>
    </row>
    <row r="2558" spans="1:19" s="2105" customFormat="1" outlineLevel="1">
      <c r="A2558" s="2182" t="str">
        <f t="shared" si="508"/>
        <v/>
      </c>
      <c r="B2558" s="2261" t="s">
        <v>2168</v>
      </c>
      <c r="C2558" s="2268"/>
      <c r="D2558" s="2152">
        <v>0</v>
      </c>
      <c r="E2558" s="2194" t="s">
        <v>3579</v>
      </c>
      <c r="F2558" s="2152" t="s">
        <v>2555</v>
      </c>
      <c r="G2558" s="2270">
        <f>G2557</f>
        <v>0</v>
      </c>
      <c r="H2558" s="2264">
        <v>41900</v>
      </c>
      <c r="I2558" s="2264"/>
      <c r="J2558" s="2264">
        <v>0</v>
      </c>
      <c r="K2558" s="2264">
        <v>0</v>
      </c>
      <c r="L2558" s="2264">
        <f t="shared" si="509"/>
        <v>0</v>
      </c>
      <c r="M2558" s="2264">
        <f t="shared" si="510"/>
        <v>0</v>
      </c>
      <c r="N2558" s="2264">
        <f t="shared" si="498"/>
        <v>0</v>
      </c>
      <c r="O2558" s="2264">
        <f t="shared" si="511"/>
        <v>0</v>
      </c>
      <c r="P2558" s="2389"/>
      <c r="Q2558" s="2266"/>
      <c r="R2558" s="2266"/>
      <c r="S2558" s="2266"/>
    </row>
    <row r="2559" spans="1:19" s="2105" customFormat="1" outlineLevel="1">
      <c r="A2559" s="2182" t="str">
        <f t="shared" si="508"/>
        <v/>
      </c>
      <c r="B2559" s="2261" t="s">
        <v>2074</v>
      </c>
      <c r="C2559" s="2268"/>
      <c r="D2559" s="2152">
        <v>0</v>
      </c>
      <c r="E2559" s="2194" t="s">
        <v>3570</v>
      </c>
      <c r="F2559" s="2152" t="s">
        <v>3571</v>
      </c>
      <c r="G2559" s="2270">
        <f>+G2558</f>
        <v>0</v>
      </c>
      <c r="H2559" s="2264">
        <v>11500</v>
      </c>
      <c r="I2559" s="2264"/>
      <c r="J2559" s="2264">
        <v>0</v>
      </c>
      <c r="K2559" s="2264">
        <v>0</v>
      </c>
      <c r="L2559" s="2264">
        <f t="shared" si="509"/>
        <v>0</v>
      </c>
      <c r="M2559" s="2264">
        <f t="shared" si="510"/>
        <v>0</v>
      </c>
      <c r="N2559" s="2264">
        <f t="shared" si="498"/>
        <v>0</v>
      </c>
      <c r="O2559" s="2264">
        <f t="shared" si="511"/>
        <v>0</v>
      </c>
      <c r="P2559" s="2389"/>
      <c r="Q2559" s="2266"/>
      <c r="R2559" s="2266"/>
      <c r="S2559" s="2266"/>
    </row>
    <row r="2560" spans="1:19" s="2105" customFormat="1" outlineLevel="1">
      <c r="A2560" s="2182" t="str">
        <f t="shared" si="508"/>
        <v/>
      </c>
      <c r="B2560" s="2252" t="s">
        <v>6</v>
      </c>
      <c r="C2560" s="2268"/>
      <c r="D2560" s="2152"/>
      <c r="E2560" s="2194" t="s">
        <v>3567</v>
      </c>
      <c r="F2560" s="2152" t="s">
        <v>5806</v>
      </c>
      <c r="G2560" s="2270">
        <f>+G2559</f>
        <v>0</v>
      </c>
      <c r="H2560" s="2264">
        <v>45000</v>
      </c>
      <c r="I2560" s="2264"/>
      <c r="J2560" s="2264"/>
      <c r="K2560" s="2264"/>
      <c r="L2560" s="2264">
        <f t="shared" si="509"/>
        <v>0</v>
      </c>
      <c r="M2560" s="2264">
        <f t="shared" si="510"/>
        <v>0</v>
      </c>
      <c r="N2560" s="2264">
        <f t="shared" si="498"/>
        <v>0</v>
      </c>
      <c r="O2560" s="2264">
        <f t="shared" si="511"/>
        <v>0</v>
      </c>
      <c r="P2560" s="2265"/>
      <c r="Q2560" s="2266"/>
      <c r="R2560" s="2266"/>
      <c r="S2560" s="2266"/>
    </row>
    <row r="2561" spans="1:19" s="2105" customFormat="1" outlineLevel="1">
      <c r="A2561" s="2182" t="str">
        <f t="shared" si="508"/>
        <v/>
      </c>
      <c r="B2561" s="2261" t="s">
        <v>1348</v>
      </c>
      <c r="C2561" s="2268"/>
      <c r="D2561" s="2152">
        <v>0</v>
      </c>
      <c r="E2561" s="2194" t="s">
        <v>3518</v>
      </c>
      <c r="F2561" s="2152" t="s">
        <v>3519</v>
      </c>
      <c r="G2561" s="2270">
        <f>+G2560</f>
        <v>0</v>
      </c>
      <c r="H2561" s="2264">
        <v>15000</v>
      </c>
      <c r="I2561" s="2264"/>
      <c r="J2561" s="2264">
        <v>0</v>
      </c>
      <c r="K2561" s="2264">
        <v>0</v>
      </c>
      <c r="L2561" s="2264">
        <f t="shared" si="509"/>
        <v>0</v>
      </c>
      <c r="M2561" s="2264">
        <f t="shared" si="510"/>
        <v>0</v>
      </c>
      <c r="N2561" s="2264">
        <f t="shared" si="498"/>
        <v>0</v>
      </c>
      <c r="O2561" s="2264">
        <f t="shared" si="511"/>
        <v>0</v>
      </c>
      <c r="P2561" s="2265"/>
      <c r="Q2561" s="2266"/>
      <c r="R2561" s="2266"/>
      <c r="S2561" s="2266"/>
    </row>
    <row r="2562" spans="1:19" s="2105" customFormat="1" outlineLevel="1">
      <c r="A2562" s="2182" t="str">
        <f t="shared" si="508"/>
        <v/>
      </c>
      <c r="B2562" s="2252" t="s">
        <v>672</v>
      </c>
      <c r="C2562" s="2268"/>
      <c r="D2562" s="2152">
        <v>0</v>
      </c>
      <c r="E2562" s="2194" t="s">
        <v>5801</v>
      </c>
      <c r="F2562" s="2152" t="s">
        <v>3566</v>
      </c>
      <c r="G2562" s="2270">
        <f>+G2549*5</f>
        <v>0</v>
      </c>
      <c r="H2562" s="2264">
        <v>6500</v>
      </c>
      <c r="I2562" s="2264"/>
      <c r="J2562" s="2264">
        <v>0</v>
      </c>
      <c r="K2562" s="2264">
        <v>0</v>
      </c>
      <c r="L2562" s="2264">
        <f t="shared" si="509"/>
        <v>0</v>
      </c>
      <c r="M2562" s="2264">
        <f t="shared" si="510"/>
        <v>0</v>
      </c>
      <c r="N2562" s="2264">
        <f t="shared" si="498"/>
        <v>0</v>
      </c>
      <c r="O2562" s="2264">
        <f t="shared" si="511"/>
        <v>0</v>
      </c>
      <c r="P2562" s="2389"/>
      <c r="Q2562" s="2266"/>
      <c r="R2562" s="2266"/>
      <c r="S2562" s="2266"/>
    </row>
    <row r="2563" spans="1:19" s="2105" customFormat="1" outlineLevel="1">
      <c r="A2563" s="2182" t="str">
        <f t="shared" si="508"/>
        <v/>
      </c>
      <c r="B2563" s="2252" t="s">
        <v>247</v>
      </c>
      <c r="C2563" s="2268"/>
      <c r="D2563" s="2152" t="s">
        <v>5573</v>
      </c>
      <c r="E2563" s="2194" t="s">
        <v>5574</v>
      </c>
      <c r="F2563" s="2152" t="s">
        <v>1823</v>
      </c>
      <c r="G2563" s="2270">
        <f>G2551</f>
        <v>0</v>
      </c>
      <c r="H2563" s="2264">
        <v>0</v>
      </c>
      <c r="I2563" s="2264"/>
      <c r="J2563" s="2264">
        <v>47311</v>
      </c>
      <c r="K2563" s="2264">
        <v>0</v>
      </c>
      <c r="L2563" s="2264">
        <f>H2563*G2563</f>
        <v>0</v>
      </c>
      <c r="M2563" s="2264">
        <f>I2563*G2563</f>
        <v>0</v>
      </c>
      <c r="N2563" s="2264">
        <f t="shared" si="498"/>
        <v>0</v>
      </c>
      <c r="O2563" s="2264">
        <f>K2563*G2563</f>
        <v>0</v>
      </c>
      <c r="P2563" s="2389"/>
      <c r="Q2563" s="2266"/>
      <c r="R2563" s="2266"/>
      <c r="S2563" s="2266"/>
    </row>
    <row r="2564" spans="1:19" s="2105" customFormat="1" outlineLevel="1">
      <c r="A2564" s="2182" t="str">
        <f>IF(G2564&lt;&gt;0,1,"")</f>
        <v/>
      </c>
      <c r="B2564" s="2252"/>
      <c r="C2564" s="2258">
        <f>IF(G2564&gt;0,C2549+1,C2549)</f>
        <v>0</v>
      </c>
      <c r="D2564" s="2259"/>
      <c r="E2564" s="2260" t="s">
        <v>6253</v>
      </c>
      <c r="F2564" s="2258" t="s">
        <v>2385</v>
      </c>
      <c r="G2564" s="2271">
        <f>G2549</f>
        <v>0</v>
      </c>
      <c r="H2564" s="2264"/>
      <c r="I2564" s="2264"/>
      <c r="J2564" s="2264"/>
      <c r="K2564" s="2264"/>
      <c r="L2564" s="2264"/>
      <c r="M2564" s="2264"/>
      <c r="N2564" s="2264">
        <f t="shared" si="498"/>
        <v>0</v>
      </c>
      <c r="O2564" s="2264"/>
      <c r="P2564" s="2265"/>
      <c r="Q2564" s="2266"/>
      <c r="R2564" s="2266"/>
      <c r="S2564" s="2266"/>
    </row>
    <row r="2565" spans="1:19" s="2288" customFormat="1" ht="14.4" outlineLevel="1">
      <c r="A2565" s="2182" t="str">
        <f>A2564</f>
        <v/>
      </c>
      <c r="B2565" s="2500"/>
      <c r="C2565" s="2258"/>
      <c r="D2565" s="2259"/>
      <c r="E2565" s="2274" t="s">
        <v>6133</v>
      </c>
      <c r="F2565" s="2258"/>
      <c r="G2565" s="2270"/>
      <c r="H2565" s="2264"/>
      <c r="I2565" s="2264"/>
      <c r="J2565" s="2264"/>
      <c r="K2565" s="2264"/>
      <c r="L2565" s="2264">
        <f>SUBTOTAL(9,L2566:L2586)*0</f>
        <v>0</v>
      </c>
      <c r="M2565" s="2264">
        <f>SUBTOTAL(9,M2566:M2586)</f>
        <v>0</v>
      </c>
      <c r="N2565" s="2264">
        <f t="shared" si="498"/>
        <v>0</v>
      </c>
      <c r="O2565" s="2264">
        <f>SUBTOTAL(9,O2566:O2586)*0</f>
        <v>0</v>
      </c>
      <c r="P2565" s="2265"/>
      <c r="Q2565" s="2433"/>
      <c r="R2565" s="2433"/>
      <c r="S2565" s="2433"/>
    </row>
    <row r="2566" spans="1:19" s="2105" customFormat="1" outlineLevel="1">
      <c r="A2566" s="2182">
        <f>IF(G2566=0,0,1)</f>
        <v>0</v>
      </c>
      <c r="B2566" s="2261" t="s">
        <v>2276</v>
      </c>
      <c r="C2566" s="2389"/>
      <c r="D2566" s="2152">
        <v>0</v>
      </c>
      <c r="E2566" s="2359" t="s">
        <v>2786</v>
      </c>
      <c r="F2566" s="2501" t="s">
        <v>2532</v>
      </c>
      <c r="G2566" s="2270">
        <f>G2564*26</f>
        <v>0</v>
      </c>
      <c r="H2566" s="2264">
        <v>63200</v>
      </c>
      <c r="I2566" s="2264"/>
      <c r="J2566" s="2264">
        <v>0</v>
      </c>
      <c r="K2566" s="2264">
        <v>0</v>
      </c>
      <c r="L2566" s="2264">
        <f t="shared" ref="L2566:M2586" si="512">H2566*$G2566</f>
        <v>0</v>
      </c>
      <c r="M2566" s="2264">
        <f t="shared" si="512"/>
        <v>0</v>
      </c>
      <c r="N2566" s="2264">
        <f t="shared" si="498"/>
        <v>0</v>
      </c>
      <c r="O2566" s="2264">
        <f t="shared" ref="O2566:O2586" si="513">K2566*$G2566</f>
        <v>0</v>
      </c>
      <c r="P2566" s="2265"/>
      <c r="Q2566" s="2266"/>
      <c r="R2566" s="2266"/>
      <c r="S2566" s="2266"/>
    </row>
    <row r="2567" spans="1:19" s="2105" customFormat="1" outlineLevel="1">
      <c r="A2567" s="2182">
        <f>IF(G2567=0,0,1)</f>
        <v>0</v>
      </c>
      <c r="B2567" s="2252" t="s">
        <v>6254</v>
      </c>
      <c r="C2567" s="2268"/>
      <c r="D2567" s="2152">
        <v>0</v>
      </c>
      <c r="E2567" s="2359" t="s">
        <v>5053</v>
      </c>
      <c r="F2567" s="2501" t="s">
        <v>2439</v>
      </c>
      <c r="G2567" s="2270">
        <f>G2564*24*0</f>
        <v>0</v>
      </c>
      <c r="H2567" s="2264">
        <v>7900</v>
      </c>
      <c r="I2567" s="2264"/>
      <c r="J2567" s="2264">
        <v>0</v>
      </c>
      <c r="K2567" s="2264">
        <v>0</v>
      </c>
      <c r="L2567" s="2264">
        <f t="shared" si="512"/>
        <v>0</v>
      </c>
      <c r="M2567" s="2264">
        <f t="shared" si="512"/>
        <v>0</v>
      </c>
      <c r="N2567" s="2264">
        <f t="shared" si="498"/>
        <v>0</v>
      </c>
      <c r="O2567" s="2264">
        <f t="shared" si="513"/>
        <v>0</v>
      </c>
      <c r="P2567" s="2265"/>
      <c r="Q2567" s="2266"/>
      <c r="R2567" s="2266"/>
      <c r="S2567" s="2266"/>
    </row>
    <row r="2568" spans="1:19" s="2105" customFormat="1" outlineLevel="1">
      <c r="A2568" s="2182">
        <f>IF(G2568=0,0,1)</f>
        <v>0</v>
      </c>
      <c r="B2568" s="2252" t="s">
        <v>6255</v>
      </c>
      <c r="C2568" s="2268"/>
      <c r="D2568" s="2152">
        <v>0</v>
      </c>
      <c r="E2568" s="2359" t="s">
        <v>2624</v>
      </c>
      <c r="F2568" s="2501" t="s">
        <v>2439</v>
      </c>
      <c r="G2568" s="2270">
        <f>G2564*12</f>
        <v>0</v>
      </c>
      <c r="H2568" s="2264">
        <v>1500</v>
      </c>
      <c r="I2568" s="2264"/>
      <c r="J2568" s="2264">
        <v>0</v>
      </c>
      <c r="K2568" s="2264">
        <v>0</v>
      </c>
      <c r="L2568" s="2264">
        <f t="shared" si="512"/>
        <v>0</v>
      </c>
      <c r="M2568" s="2264">
        <f t="shared" si="512"/>
        <v>0</v>
      </c>
      <c r="N2568" s="2264">
        <f t="shared" si="498"/>
        <v>0</v>
      </c>
      <c r="O2568" s="2264">
        <f t="shared" si="513"/>
        <v>0</v>
      </c>
      <c r="P2568" s="2265"/>
      <c r="Q2568" s="2266"/>
      <c r="R2568" s="2266"/>
      <c r="S2568" s="2266"/>
    </row>
    <row r="2569" spans="1:19" s="2105" customFormat="1" outlineLevel="1">
      <c r="A2569" s="2182">
        <f t="shared" ref="A2569:A2586" si="514">IF(G2569=0,0,1)</f>
        <v>0</v>
      </c>
      <c r="B2569" s="2261" t="s">
        <v>246</v>
      </c>
      <c r="C2569" s="2389"/>
      <c r="D2569" s="2152">
        <v>0</v>
      </c>
      <c r="E2569" s="2359" t="s">
        <v>5869</v>
      </c>
      <c r="F2569" s="2501" t="s">
        <v>2555</v>
      </c>
      <c r="G2569" s="2270">
        <f>G2564*24*0</f>
        <v>0</v>
      </c>
      <c r="H2569" s="2264">
        <v>40500</v>
      </c>
      <c r="I2569" s="2264"/>
      <c r="J2569" s="2264">
        <v>39758</v>
      </c>
      <c r="K2569" s="2264">
        <v>0</v>
      </c>
      <c r="L2569" s="2264">
        <f t="shared" si="512"/>
        <v>0</v>
      </c>
      <c r="M2569" s="2264">
        <f t="shared" si="512"/>
        <v>0</v>
      </c>
      <c r="N2569" s="2264">
        <f t="shared" si="498"/>
        <v>0</v>
      </c>
      <c r="O2569" s="2264">
        <f t="shared" si="513"/>
        <v>0</v>
      </c>
      <c r="P2569" s="2265"/>
      <c r="Q2569" s="2266"/>
      <c r="R2569" s="2266"/>
      <c r="S2569" s="2266"/>
    </row>
    <row r="2570" spans="1:19" s="2105" customFormat="1" outlineLevel="1">
      <c r="A2570" s="2182">
        <f t="shared" si="514"/>
        <v>0</v>
      </c>
      <c r="B2570" s="2261" t="s">
        <v>5734</v>
      </c>
      <c r="C2570" s="2268"/>
      <c r="D2570" s="2152" t="s">
        <v>5724</v>
      </c>
      <c r="E2570" s="2359" t="s">
        <v>5735</v>
      </c>
      <c r="F2570" s="2501" t="s">
        <v>2555</v>
      </c>
      <c r="G2570" s="2270">
        <f>G2564*16</f>
        <v>0</v>
      </c>
      <c r="H2570" s="2264">
        <v>1700</v>
      </c>
      <c r="I2570" s="2264"/>
      <c r="J2570" s="2264">
        <v>3637.3560000000002</v>
      </c>
      <c r="K2570" s="2264">
        <v>1666.2139485</v>
      </c>
      <c r="L2570" s="2264">
        <f t="shared" si="512"/>
        <v>0</v>
      </c>
      <c r="M2570" s="2264">
        <f t="shared" si="512"/>
        <v>0</v>
      </c>
      <c r="N2570" s="2264">
        <f t="shared" ref="N2570:N2586" si="515">J2570*G2570</f>
        <v>0</v>
      </c>
      <c r="O2570" s="2264">
        <f t="shared" si="513"/>
        <v>0</v>
      </c>
      <c r="P2570" s="2265"/>
      <c r="Q2570" s="2266"/>
      <c r="R2570" s="2266"/>
      <c r="S2570" s="2266"/>
    </row>
    <row r="2571" spans="1:19" s="2105" customFormat="1" outlineLevel="1">
      <c r="A2571" s="2182">
        <f t="shared" si="514"/>
        <v>0</v>
      </c>
      <c r="B2571" s="2261" t="s">
        <v>1510</v>
      </c>
      <c r="C2571" s="2268"/>
      <c r="D2571" s="2152">
        <v>0</v>
      </c>
      <c r="E2571" s="2359" t="s">
        <v>3515</v>
      </c>
      <c r="F2571" s="2501" t="s">
        <v>2532</v>
      </c>
      <c r="G2571" s="2270">
        <f>6*G2564*0</f>
        <v>0</v>
      </c>
      <c r="H2571" s="2264">
        <v>860</v>
      </c>
      <c r="I2571" s="2264"/>
      <c r="J2571" s="2264">
        <v>0</v>
      </c>
      <c r="K2571" s="2264">
        <v>0</v>
      </c>
      <c r="L2571" s="2264">
        <f t="shared" si="512"/>
        <v>0</v>
      </c>
      <c r="M2571" s="2264">
        <f t="shared" si="512"/>
        <v>0</v>
      </c>
      <c r="N2571" s="2264">
        <f t="shared" si="515"/>
        <v>0</v>
      </c>
      <c r="O2571" s="2264">
        <f t="shared" si="513"/>
        <v>0</v>
      </c>
      <c r="P2571" s="2265"/>
      <c r="Q2571" s="2266"/>
      <c r="R2571" s="2266"/>
      <c r="S2571" s="2266"/>
    </row>
    <row r="2572" spans="1:19" s="2105" customFormat="1" outlineLevel="1">
      <c r="A2572" s="2182">
        <f t="shared" si="514"/>
        <v>0</v>
      </c>
      <c r="B2572" s="2261" t="s">
        <v>816</v>
      </c>
      <c r="C2572" s="2268"/>
      <c r="D2572" s="2152">
        <v>0</v>
      </c>
      <c r="E2572" s="2359" t="s">
        <v>3581</v>
      </c>
      <c r="F2572" s="2501" t="s">
        <v>2555</v>
      </c>
      <c r="G2572" s="2270">
        <f>+G2564*3</f>
        <v>0</v>
      </c>
      <c r="H2572" s="2264">
        <v>17600</v>
      </c>
      <c r="I2572" s="2264"/>
      <c r="J2572" s="2264">
        <v>0</v>
      </c>
      <c r="K2572" s="2264">
        <v>0</v>
      </c>
      <c r="L2572" s="2264">
        <f t="shared" si="512"/>
        <v>0</v>
      </c>
      <c r="M2572" s="2264">
        <f t="shared" si="512"/>
        <v>0</v>
      </c>
      <c r="N2572" s="2264">
        <f t="shared" si="515"/>
        <v>0</v>
      </c>
      <c r="O2572" s="2264">
        <f t="shared" si="513"/>
        <v>0</v>
      </c>
      <c r="P2572" s="2265"/>
      <c r="Q2572" s="2266"/>
      <c r="R2572" s="2266"/>
      <c r="S2572" s="2266"/>
    </row>
    <row r="2573" spans="1:19" s="2105" customFormat="1" outlineLevel="1">
      <c r="A2573" s="2182">
        <f t="shared" si="514"/>
        <v>0</v>
      </c>
      <c r="B2573" s="2261" t="s">
        <v>2141</v>
      </c>
      <c r="C2573" s="2268"/>
      <c r="D2573" s="2152">
        <v>0</v>
      </c>
      <c r="E2573" s="2359" t="s">
        <v>3535</v>
      </c>
      <c r="F2573" s="2501" t="s">
        <v>1823</v>
      </c>
      <c r="G2573" s="2270">
        <f>G2582*12</f>
        <v>0</v>
      </c>
      <c r="H2573" s="2264">
        <v>16100</v>
      </c>
      <c r="I2573" s="2264"/>
      <c r="J2573" s="2264">
        <v>0</v>
      </c>
      <c r="K2573" s="2264">
        <v>0</v>
      </c>
      <c r="L2573" s="2264">
        <f t="shared" si="512"/>
        <v>0</v>
      </c>
      <c r="M2573" s="2264">
        <f t="shared" si="512"/>
        <v>0</v>
      </c>
      <c r="N2573" s="2264">
        <f t="shared" si="515"/>
        <v>0</v>
      </c>
      <c r="O2573" s="2264">
        <f t="shared" si="513"/>
        <v>0</v>
      </c>
      <c r="P2573" s="2265"/>
      <c r="Q2573" s="2266"/>
      <c r="R2573" s="2266"/>
      <c r="S2573" s="2266"/>
    </row>
    <row r="2574" spans="1:19" s="2105" customFormat="1" outlineLevel="1">
      <c r="A2574" s="2182">
        <f t="shared" si="514"/>
        <v>0</v>
      </c>
      <c r="B2574" s="2252" t="s">
        <v>204</v>
      </c>
      <c r="C2574" s="2268"/>
      <c r="D2574" s="2152">
        <v>0</v>
      </c>
      <c r="E2574" s="2359" t="s">
        <v>2979</v>
      </c>
      <c r="F2574" s="2501" t="s">
        <v>2439</v>
      </c>
      <c r="G2574" s="2270">
        <f>G2564*4</f>
        <v>0</v>
      </c>
      <c r="H2574" s="2264">
        <v>34000</v>
      </c>
      <c r="I2574" s="2264"/>
      <c r="J2574" s="2264">
        <v>0</v>
      </c>
      <c r="K2574" s="2264">
        <v>0</v>
      </c>
      <c r="L2574" s="2264">
        <f t="shared" si="512"/>
        <v>0</v>
      </c>
      <c r="M2574" s="2264">
        <f t="shared" si="512"/>
        <v>0</v>
      </c>
      <c r="N2574" s="2264">
        <f t="shared" si="515"/>
        <v>0</v>
      </c>
      <c r="O2574" s="2264">
        <f t="shared" si="513"/>
        <v>0</v>
      </c>
      <c r="P2574" s="2265"/>
      <c r="Q2574" s="2266"/>
      <c r="R2574" s="2266"/>
      <c r="S2574" s="2266"/>
    </row>
    <row r="2575" spans="1:19" s="2105" customFormat="1" outlineLevel="1">
      <c r="A2575" s="2182">
        <f t="shared" si="514"/>
        <v>0</v>
      </c>
      <c r="B2575" s="2261" t="s">
        <v>1616</v>
      </c>
      <c r="C2575" s="2268"/>
      <c r="D2575" s="2152">
        <v>0</v>
      </c>
      <c r="E2575" s="2359" t="s">
        <v>3542</v>
      </c>
      <c r="F2575" s="2501" t="s">
        <v>2555</v>
      </c>
      <c r="G2575" s="2270">
        <f>G2564*6</f>
        <v>0</v>
      </c>
      <c r="H2575" s="2264">
        <v>11400</v>
      </c>
      <c r="I2575" s="2264"/>
      <c r="J2575" s="2264">
        <v>0</v>
      </c>
      <c r="K2575" s="2264">
        <v>0</v>
      </c>
      <c r="L2575" s="2264">
        <f t="shared" si="512"/>
        <v>0</v>
      </c>
      <c r="M2575" s="2264">
        <f t="shared" si="512"/>
        <v>0</v>
      </c>
      <c r="N2575" s="2264">
        <f t="shared" si="515"/>
        <v>0</v>
      </c>
      <c r="O2575" s="2264">
        <f t="shared" si="513"/>
        <v>0</v>
      </c>
      <c r="P2575" s="2265"/>
      <c r="Q2575" s="2266"/>
      <c r="R2575" s="2266"/>
      <c r="S2575" s="2266"/>
    </row>
    <row r="2576" spans="1:19" s="2105" customFormat="1" outlineLevel="1">
      <c r="A2576" s="2182">
        <f t="shared" si="514"/>
        <v>0</v>
      </c>
      <c r="B2576" s="2261" t="s">
        <v>1050</v>
      </c>
      <c r="C2576" s="2268"/>
      <c r="D2576" s="2152">
        <v>0</v>
      </c>
      <c r="E2576" s="2359" t="s">
        <v>3543</v>
      </c>
      <c r="F2576" s="2501" t="s">
        <v>2555</v>
      </c>
      <c r="G2576" s="2270">
        <f>G2564*5</f>
        <v>0</v>
      </c>
      <c r="H2576" s="2264">
        <v>21000</v>
      </c>
      <c r="I2576" s="2264"/>
      <c r="J2576" s="2264">
        <v>0</v>
      </c>
      <c r="K2576" s="2264">
        <v>0</v>
      </c>
      <c r="L2576" s="2264">
        <f t="shared" si="512"/>
        <v>0</v>
      </c>
      <c r="M2576" s="2264">
        <f t="shared" si="512"/>
        <v>0</v>
      </c>
      <c r="N2576" s="2264">
        <f t="shared" si="515"/>
        <v>0</v>
      </c>
      <c r="O2576" s="2264">
        <f t="shared" si="513"/>
        <v>0</v>
      </c>
      <c r="P2576" s="2265"/>
      <c r="Q2576" s="2266"/>
      <c r="R2576" s="2266"/>
      <c r="S2576" s="2266"/>
    </row>
    <row r="2577" spans="1:19" s="2105" customFormat="1" outlineLevel="1">
      <c r="A2577" s="2182">
        <f t="shared" si="514"/>
        <v>0</v>
      </c>
      <c r="B2577" s="2261" t="s">
        <v>726</v>
      </c>
      <c r="C2577" s="2268"/>
      <c r="D2577" s="2152">
        <v>0</v>
      </c>
      <c r="E2577" s="2359" t="s">
        <v>3572</v>
      </c>
      <c r="F2577" s="2501" t="s">
        <v>388</v>
      </c>
      <c r="G2577" s="2270">
        <f>G2564</f>
        <v>0</v>
      </c>
      <c r="H2577" s="2264">
        <v>54100</v>
      </c>
      <c r="I2577" s="2264"/>
      <c r="J2577" s="2264">
        <v>0</v>
      </c>
      <c r="K2577" s="2264">
        <v>0</v>
      </c>
      <c r="L2577" s="2264">
        <f t="shared" si="512"/>
        <v>0</v>
      </c>
      <c r="M2577" s="2264">
        <f t="shared" si="512"/>
        <v>0</v>
      </c>
      <c r="N2577" s="2264">
        <f t="shared" si="515"/>
        <v>0</v>
      </c>
      <c r="O2577" s="2264">
        <f t="shared" si="513"/>
        <v>0</v>
      </c>
      <c r="P2577" s="2265"/>
      <c r="Q2577" s="2266"/>
      <c r="R2577" s="2266"/>
      <c r="S2577" s="2266"/>
    </row>
    <row r="2578" spans="1:19" s="2105" customFormat="1" outlineLevel="1">
      <c r="A2578" s="2182">
        <f t="shared" si="514"/>
        <v>0</v>
      </c>
      <c r="B2578" s="2252" t="s">
        <v>672</v>
      </c>
      <c r="C2578" s="2268"/>
      <c r="D2578" s="2152">
        <v>0</v>
      </c>
      <c r="E2578" s="2359" t="s">
        <v>5801</v>
      </c>
      <c r="F2578" s="2501" t="s">
        <v>3566</v>
      </c>
      <c r="G2578" s="2270">
        <f>G2564</f>
        <v>0</v>
      </c>
      <c r="H2578" s="2264">
        <v>6500</v>
      </c>
      <c r="I2578" s="2264"/>
      <c r="J2578" s="2264">
        <v>0</v>
      </c>
      <c r="K2578" s="2264">
        <v>0</v>
      </c>
      <c r="L2578" s="2264">
        <f t="shared" si="512"/>
        <v>0</v>
      </c>
      <c r="M2578" s="2264">
        <f t="shared" si="512"/>
        <v>0</v>
      </c>
      <c r="N2578" s="2264">
        <f t="shared" si="515"/>
        <v>0</v>
      </c>
      <c r="O2578" s="2264">
        <f t="shared" si="513"/>
        <v>0</v>
      </c>
      <c r="P2578" s="2265"/>
      <c r="Q2578" s="2266"/>
      <c r="R2578" s="2266"/>
      <c r="S2578" s="2266"/>
    </row>
    <row r="2579" spans="1:19" s="2105" customFormat="1" outlineLevel="1">
      <c r="A2579" s="2182">
        <f t="shared" si="514"/>
        <v>0</v>
      </c>
      <c r="B2579" s="2261" t="s">
        <v>2120</v>
      </c>
      <c r="C2579" s="2268"/>
      <c r="D2579" s="2152">
        <v>0</v>
      </c>
      <c r="E2579" s="2359" t="s">
        <v>3573</v>
      </c>
      <c r="F2579" s="2501" t="s">
        <v>2555</v>
      </c>
      <c r="G2579" s="2270">
        <f>G2564</f>
        <v>0</v>
      </c>
      <c r="H2579" s="2264">
        <v>5000</v>
      </c>
      <c r="I2579" s="2264"/>
      <c r="J2579" s="2264">
        <v>0</v>
      </c>
      <c r="K2579" s="2264">
        <v>0</v>
      </c>
      <c r="L2579" s="2264">
        <f t="shared" si="512"/>
        <v>0</v>
      </c>
      <c r="M2579" s="2264">
        <f t="shared" si="512"/>
        <v>0</v>
      </c>
      <c r="N2579" s="2264">
        <f t="shared" si="515"/>
        <v>0</v>
      </c>
      <c r="O2579" s="2264">
        <f t="shared" si="513"/>
        <v>0</v>
      </c>
      <c r="P2579" s="2265"/>
      <c r="Q2579" s="2266"/>
      <c r="R2579" s="2266"/>
      <c r="S2579" s="2266"/>
    </row>
    <row r="2580" spans="1:19" s="2105" customFormat="1" outlineLevel="1">
      <c r="A2580" s="2182">
        <f t="shared" si="514"/>
        <v>0</v>
      </c>
      <c r="B2580" s="2252" t="s">
        <v>959</v>
      </c>
      <c r="C2580" s="2268"/>
      <c r="D2580" s="2152">
        <v>0</v>
      </c>
      <c r="E2580" s="2359" t="s">
        <v>3577</v>
      </c>
      <c r="F2580" s="2501" t="s">
        <v>2555</v>
      </c>
      <c r="G2580" s="2270">
        <f>G2564</f>
        <v>0</v>
      </c>
      <c r="H2580" s="2264">
        <v>5200</v>
      </c>
      <c r="I2580" s="2264"/>
      <c r="J2580" s="2264">
        <v>0</v>
      </c>
      <c r="K2580" s="2264">
        <v>0</v>
      </c>
      <c r="L2580" s="2264">
        <f t="shared" si="512"/>
        <v>0</v>
      </c>
      <c r="M2580" s="2264">
        <f t="shared" si="512"/>
        <v>0</v>
      </c>
      <c r="N2580" s="2264">
        <f t="shared" si="515"/>
        <v>0</v>
      </c>
      <c r="O2580" s="2264">
        <f t="shared" si="513"/>
        <v>0</v>
      </c>
      <c r="P2580" s="2265"/>
      <c r="Q2580" s="2266"/>
      <c r="R2580" s="2266"/>
      <c r="S2580" s="2266"/>
    </row>
    <row r="2581" spans="1:19" s="2105" customFormat="1" outlineLevel="1">
      <c r="A2581" s="2182">
        <f t="shared" si="514"/>
        <v>0</v>
      </c>
      <c r="B2581" s="2252" t="s">
        <v>319</v>
      </c>
      <c r="C2581" s="2268"/>
      <c r="D2581" s="2152">
        <v>0</v>
      </c>
      <c r="E2581" s="2359" t="s">
        <v>5269</v>
      </c>
      <c r="F2581" s="2501" t="s">
        <v>2439</v>
      </c>
      <c r="G2581" s="2270">
        <f>G2564*2</f>
        <v>0</v>
      </c>
      <c r="H2581" s="2264">
        <v>168000</v>
      </c>
      <c r="I2581" s="2264"/>
      <c r="J2581" s="2264">
        <v>0</v>
      </c>
      <c r="K2581" s="2264">
        <v>0</v>
      </c>
      <c r="L2581" s="2264">
        <f t="shared" si="512"/>
        <v>0</v>
      </c>
      <c r="M2581" s="2264">
        <f t="shared" si="512"/>
        <v>0</v>
      </c>
      <c r="N2581" s="2264">
        <f t="shared" si="515"/>
        <v>0</v>
      </c>
      <c r="O2581" s="2264">
        <f t="shared" si="513"/>
        <v>0</v>
      </c>
      <c r="P2581" s="2265"/>
      <c r="Q2581" s="2266"/>
      <c r="R2581" s="2266"/>
      <c r="S2581" s="2266"/>
    </row>
    <row r="2582" spans="1:19" s="2105" customFormat="1" outlineLevel="1">
      <c r="A2582" s="2182">
        <f t="shared" si="514"/>
        <v>0</v>
      </c>
      <c r="B2582" s="2252" t="s">
        <v>1915</v>
      </c>
      <c r="C2582" s="2268"/>
      <c r="D2582" s="2152" t="s">
        <v>5655</v>
      </c>
      <c r="E2582" s="2359" t="s">
        <v>3394</v>
      </c>
      <c r="F2582" s="2501" t="s">
        <v>2555</v>
      </c>
      <c r="G2582" s="2270">
        <f>G2564</f>
        <v>0</v>
      </c>
      <c r="H2582" s="2264">
        <v>845331</v>
      </c>
      <c r="I2582" s="2264"/>
      <c r="J2582" s="2264">
        <v>599038</v>
      </c>
      <c r="K2582" s="2264">
        <v>97369</v>
      </c>
      <c r="L2582" s="2264">
        <f t="shared" si="512"/>
        <v>0</v>
      </c>
      <c r="M2582" s="2264">
        <f t="shared" si="512"/>
        <v>0</v>
      </c>
      <c r="N2582" s="2264">
        <f t="shared" si="515"/>
        <v>0</v>
      </c>
      <c r="O2582" s="2264">
        <f t="shared" si="513"/>
        <v>0</v>
      </c>
      <c r="P2582" s="2265"/>
      <c r="Q2582" s="2266"/>
      <c r="R2582" s="2266"/>
      <c r="S2582" s="2266"/>
    </row>
    <row r="2583" spans="1:19" s="2105" customFormat="1" outlineLevel="1">
      <c r="A2583" s="2182">
        <f t="shared" si="514"/>
        <v>0</v>
      </c>
      <c r="B2583" s="2252" t="s">
        <v>6</v>
      </c>
      <c r="C2583" s="2268"/>
      <c r="D2583" s="2152">
        <v>0</v>
      </c>
      <c r="E2583" s="2359" t="s">
        <v>3567</v>
      </c>
      <c r="F2583" s="2501" t="s">
        <v>5806</v>
      </c>
      <c r="G2583" s="2270">
        <f>G2564*2</f>
        <v>0</v>
      </c>
      <c r="H2583" s="2264">
        <v>45000</v>
      </c>
      <c r="I2583" s="2264"/>
      <c r="J2583" s="2264">
        <v>0</v>
      </c>
      <c r="K2583" s="2264">
        <v>0</v>
      </c>
      <c r="L2583" s="2264">
        <f t="shared" si="512"/>
        <v>0</v>
      </c>
      <c r="M2583" s="2264">
        <f t="shared" si="512"/>
        <v>0</v>
      </c>
      <c r="N2583" s="2264">
        <f t="shared" si="515"/>
        <v>0</v>
      </c>
      <c r="O2583" s="2264">
        <f t="shared" si="513"/>
        <v>0</v>
      </c>
      <c r="P2583" s="2265"/>
      <c r="Q2583" s="2266"/>
      <c r="R2583" s="2266"/>
      <c r="S2583" s="2266"/>
    </row>
    <row r="2584" spans="1:19" s="2105" customFormat="1" outlineLevel="1">
      <c r="A2584" s="2182">
        <f t="shared" si="514"/>
        <v>0</v>
      </c>
      <c r="B2584" s="2252" t="s">
        <v>2139</v>
      </c>
      <c r="C2584" s="2268"/>
      <c r="D2584" s="2152">
        <v>0</v>
      </c>
      <c r="E2584" s="2359" t="s">
        <v>2785</v>
      </c>
      <c r="F2584" s="2501" t="s">
        <v>2532</v>
      </c>
      <c r="G2584" s="2270">
        <f>G2564*4*0</f>
        <v>0</v>
      </c>
      <c r="H2584" s="2264">
        <v>5000</v>
      </c>
      <c r="I2584" s="2264"/>
      <c r="J2584" s="2264">
        <v>0</v>
      </c>
      <c r="K2584" s="2264">
        <v>0</v>
      </c>
      <c r="L2584" s="2264">
        <f t="shared" si="512"/>
        <v>0</v>
      </c>
      <c r="M2584" s="2264">
        <f t="shared" si="512"/>
        <v>0</v>
      </c>
      <c r="N2584" s="2264">
        <f t="shared" si="515"/>
        <v>0</v>
      </c>
      <c r="O2584" s="2264">
        <f t="shared" si="513"/>
        <v>0</v>
      </c>
      <c r="P2584" s="2265"/>
      <c r="Q2584" s="2266"/>
      <c r="R2584" s="2266"/>
      <c r="S2584" s="2266"/>
    </row>
    <row r="2585" spans="1:19" s="2105" customFormat="1" outlineLevel="1">
      <c r="A2585" s="2182">
        <f t="shared" si="514"/>
        <v>0</v>
      </c>
      <c r="B2585" s="2252" t="s">
        <v>1035</v>
      </c>
      <c r="C2585" s="2268"/>
      <c r="D2585" s="2152">
        <v>0</v>
      </c>
      <c r="E2585" s="2359" t="s">
        <v>2956</v>
      </c>
      <c r="F2585" s="2501" t="s">
        <v>2248</v>
      </c>
      <c r="G2585" s="2270">
        <f>3.77*G2564*2*0.3*0</f>
        <v>0</v>
      </c>
      <c r="H2585" s="2264">
        <v>31625</v>
      </c>
      <c r="I2585" s="2264"/>
      <c r="J2585" s="2264">
        <v>0</v>
      </c>
      <c r="K2585" s="2264">
        <v>0</v>
      </c>
      <c r="L2585" s="2264">
        <f t="shared" si="512"/>
        <v>0</v>
      </c>
      <c r="M2585" s="2264">
        <f t="shared" si="512"/>
        <v>0</v>
      </c>
      <c r="N2585" s="2264">
        <f t="shared" si="515"/>
        <v>0</v>
      </c>
      <c r="O2585" s="2264">
        <f t="shared" si="513"/>
        <v>0</v>
      </c>
      <c r="P2585" s="2265"/>
      <c r="Q2585" s="2266"/>
      <c r="R2585" s="2266"/>
      <c r="S2585" s="2266"/>
    </row>
    <row r="2586" spans="1:19" s="2105" customFormat="1" outlineLevel="1">
      <c r="A2586" s="2182">
        <f t="shared" si="514"/>
        <v>0</v>
      </c>
      <c r="B2586" s="2252" t="s">
        <v>6255</v>
      </c>
      <c r="C2586" s="2268"/>
      <c r="D2586" s="2152">
        <v>0</v>
      </c>
      <c r="E2586" s="2359" t="s">
        <v>2624</v>
      </c>
      <c r="F2586" s="2501" t="s">
        <v>2439</v>
      </c>
      <c r="G2586" s="2555">
        <f>4*G2564*0</f>
        <v>0</v>
      </c>
      <c r="H2586" s="2264">
        <v>1500</v>
      </c>
      <c r="I2586" s="2264"/>
      <c r="J2586" s="2264">
        <v>0</v>
      </c>
      <c r="K2586" s="2264">
        <v>0</v>
      </c>
      <c r="L2586" s="2264">
        <f t="shared" si="512"/>
        <v>0</v>
      </c>
      <c r="M2586" s="2264">
        <f t="shared" si="512"/>
        <v>0</v>
      </c>
      <c r="N2586" s="2264">
        <f t="shared" si="515"/>
        <v>0</v>
      </c>
      <c r="O2586" s="2264">
        <f t="shared" si="513"/>
        <v>0</v>
      </c>
      <c r="P2586" s="2265"/>
      <c r="Q2586" s="2266"/>
      <c r="R2586" s="2266"/>
      <c r="S2586" s="2266"/>
    </row>
    <row r="2587" spans="1:19" s="2105" customFormat="1" outlineLevel="1">
      <c r="A2587" s="2182">
        <f>A2386</f>
        <v>0</v>
      </c>
      <c r="B2587" s="2357"/>
      <c r="C2587" s="2423"/>
      <c r="D2587" s="2424"/>
      <c r="E2587" s="2399"/>
      <c r="F2587" s="2637"/>
      <c r="G2587" s="2556"/>
      <c r="H2587" s="2637"/>
      <c r="I2587" s="2637"/>
      <c r="J2587" s="2647" t="s">
        <v>6131</v>
      </c>
      <c r="K2587" s="2647"/>
      <c r="L2587" s="2425">
        <f>SUM(L2406:L2586)</f>
        <v>0</v>
      </c>
      <c r="M2587" s="2425">
        <f>SUM(M2406:M2586)</f>
        <v>0</v>
      </c>
      <c r="N2587" s="2425">
        <f>SUM(N2406:N2586)</f>
        <v>0</v>
      </c>
      <c r="O2587" s="2425">
        <f>SUM(O2406:O2586)</f>
        <v>0</v>
      </c>
      <c r="P2587" s="2396"/>
      <c r="Q2587" s="2266"/>
      <c r="R2587" s="2266"/>
      <c r="S2587" s="2266"/>
    </row>
    <row r="2588" spans="1:19" s="2105" customFormat="1" ht="24.75" customHeight="1" outlineLevel="1">
      <c r="A2588" s="2182"/>
      <c r="B2588" s="2357"/>
      <c r="C2588" s="2527"/>
      <c r="D2588" s="2527"/>
      <c r="E2588" s="2528"/>
      <c r="F2588" s="2645"/>
      <c r="G2588" s="2645"/>
      <c r="H2588" s="2645"/>
      <c r="I2588" s="2645"/>
      <c r="J2588" s="2528"/>
      <c r="K2588" s="2528"/>
      <c r="L2588" s="2529"/>
      <c r="M2588" s="2529"/>
      <c r="N2588" s="2529"/>
      <c r="O2588" s="2529"/>
      <c r="P2588" s="2386"/>
      <c r="Q2588" s="2266"/>
      <c r="R2588" s="2266"/>
      <c r="S2588" s="2266"/>
    </row>
    <row r="2589" spans="1:19" s="2105" customFormat="1">
      <c r="A2589" s="2386">
        <f>IF(G2594&gt;0,1,)</f>
        <v>1</v>
      </c>
      <c r="B2589" s="2252"/>
      <c r="C2589" s="2266"/>
      <c r="D2589" s="2266"/>
      <c r="E2589" s="2436"/>
      <c r="F2589" s="2266"/>
      <c r="G2589" s="2266"/>
      <c r="H2589" s="2266"/>
      <c r="I2589" s="2266"/>
      <c r="J2589" s="2266"/>
      <c r="K2589" s="2266"/>
      <c r="L2589" s="2266"/>
      <c r="M2589" s="2266"/>
      <c r="N2589" s="2266"/>
      <c r="O2589" s="2266"/>
      <c r="P2589" s="2266"/>
      <c r="Q2589" s="2266"/>
      <c r="R2589" s="2266"/>
      <c r="S2589" s="2266"/>
    </row>
    <row r="2590" spans="1:19" s="2105" customFormat="1" outlineLevel="1">
      <c r="A2590" s="2182">
        <f>A2589</f>
        <v>1</v>
      </c>
      <c r="B2590" s="2387"/>
      <c r="C2590" s="2624" t="str">
        <f>"BẢNG TỔNG HỢP VẬT LIỆU, NHÂN CÔNG, MÁY THI CÔNG: "&amp;K16&amp;" TRẠM 3P_1250KVA"</f>
        <v>BẢNG TỔNG HỢP VẬT LIỆU, NHÂN CÔNG, MÁY THI CÔNG: 1 TRẠM 3P_1250KVA</v>
      </c>
      <c r="D2590" s="2639"/>
      <c r="E2590" s="2639"/>
      <c r="F2590" s="2639"/>
      <c r="G2590" s="2639"/>
      <c r="H2590" s="2640"/>
      <c r="I2590" s="2528"/>
      <c r="J2590" s="2640"/>
      <c r="K2590" s="2640"/>
      <c r="L2590" s="2640"/>
      <c r="M2590" s="2528"/>
      <c r="N2590" s="2640"/>
      <c r="O2590" s="2640"/>
      <c r="P2590" s="2642"/>
      <c r="Q2590" s="2266"/>
      <c r="R2590" s="2266"/>
      <c r="S2590" s="2266"/>
    </row>
    <row r="2591" spans="1:19" s="2105" customFormat="1" outlineLevel="1">
      <c r="A2591" s="2182">
        <f>A2589</f>
        <v>1</v>
      </c>
      <c r="B2591" s="2261" t="s">
        <v>6112</v>
      </c>
      <c r="C2591" s="2648" t="s">
        <v>1708</v>
      </c>
      <c r="D2591" s="2649" t="s">
        <v>2597</v>
      </c>
      <c r="E2591" s="2651" t="s">
        <v>2598</v>
      </c>
      <c r="F2591" s="2648" t="s">
        <v>2593</v>
      </c>
      <c r="G2591" s="2109" t="s">
        <v>6113</v>
      </c>
      <c r="H2591" s="2112" t="s">
        <v>6114</v>
      </c>
      <c r="I2591" s="2619"/>
      <c r="J2591" s="2619"/>
      <c r="K2591" s="2620"/>
      <c r="L2591" s="2112" t="s">
        <v>6115</v>
      </c>
      <c r="M2591" s="2619"/>
      <c r="N2591" s="2619"/>
      <c r="O2591" s="2620"/>
      <c r="P2591" s="2648" t="s">
        <v>2599</v>
      </c>
      <c r="Q2591" s="2266"/>
      <c r="R2591" s="2266"/>
      <c r="S2591" s="2266"/>
    </row>
    <row r="2592" spans="1:19" s="2105" customFormat="1" outlineLevel="1">
      <c r="A2592" s="2182">
        <f>A2591</f>
        <v>1</v>
      </c>
      <c r="B2592" s="2261"/>
      <c r="C2592" s="2648"/>
      <c r="D2592" s="2650"/>
      <c r="E2592" s="2652"/>
      <c r="F2592" s="2648"/>
      <c r="G2592" s="2111" t="s">
        <v>2286</v>
      </c>
      <c r="H2592" s="2112" t="s">
        <v>6116</v>
      </c>
      <c r="I2592" s="2112" t="s">
        <v>6117</v>
      </c>
      <c r="J2592" s="2112" t="s">
        <v>6118</v>
      </c>
      <c r="K2592" s="2112" t="s">
        <v>6119</v>
      </c>
      <c r="L2592" s="2112" t="s">
        <v>6116</v>
      </c>
      <c r="M2592" s="2112" t="s">
        <v>6117</v>
      </c>
      <c r="N2592" s="2112" t="s">
        <v>6118</v>
      </c>
      <c r="O2592" s="2112" t="s">
        <v>6119</v>
      </c>
      <c r="P2592" s="2648"/>
      <c r="Q2592" s="2266"/>
      <c r="R2592" s="2266"/>
      <c r="S2592" s="2266"/>
    </row>
    <row r="2593" spans="1:19" s="2105" customFormat="1" outlineLevel="1">
      <c r="A2593" s="2182">
        <f>A2592</f>
        <v>1</v>
      </c>
      <c r="B2593" s="2261"/>
      <c r="C2593" s="2113"/>
      <c r="D2593" s="2114"/>
      <c r="E2593" s="2115" t="s">
        <v>3672</v>
      </c>
      <c r="F2593" s="2116"/>
      <c r="G2593" s="2116"/>
      <c r="H2593" s="2116"/>
      <c r="I2593" s="2116"/>
      <c r="J2593" s="2116"/>
      <c r="K2593" s="2116"/>
      <c r="L2593" s="2116"/>
      <c r="M2593" s="2116"/>
      <c r="N2593" s="2116"/>
      <c r="O2593" s="2114"/>
      <c r="P2593" s="2117"/>
      <c r="Q2593" s="2266"/>
      <c r="R2593" s="2266"/>
      <c r="S2593" s="2266"/>
    </row>
    <row r="2594" spans="1:19" s="2105" customFormat="1" outlineLevel="1">
      <c r="A2594" s="2182">
        <f t="shared" ref="A2594:A2606" si="516">IF(G2594&lt;&gt;0,1,"")</f>
        <v>1</v>
      </c>
      <c r="B2594" s="2252" t="s">
        <v>1413</v>
      </c>
      <c r="C2594" s="2268">
        <f>IF(G2594&gt;0,1,0)</f>
        <v>1</v>
      </c>
      <c r="D2594" s="2152" t="s">
        <v>5594</v>
      </c>
      <c r="E2594" s="2194" t="s">
        <v>3336</v>
      </c>
      <c r="F2594" s="2152" t="s">
        <v>3300</v>
      </c>
      <c r="G2594" s="2270">
        <f>$K$16</f>
        <v>1</v>
      </c>
      <c r="H2594" s="2359">
        <v>616819000</v>
      </c>
      <c r="I2594" s="2359"/>
      <c r="J2594" s="2359">
        <v>1928901</v>
      </c>
      <c r="K2594" s="2359">
        <v>426761</v>
      </c>
      <c r="L2594" s="2360">
        <f t="shared" ref="L2594:L2606" si="517">H2594*G2594</f>
        <v>616819000</v>
      </c>
      <c r="M2594" s="2360">
        <f t="shared" ref="M2594:M2606" si="518">I2594*G2594</f>
        <v>0</v>
      </c>
      <c r="N2594" s="2360">
        <f t="shared" ref="N2594:N2606" si="519">J2594*G2594</f>
        <v>1928901</v>
      </c>
      <c r="O2594" s="2361">
        <f t="shared" ref="O2594:O2606" si="520">K2594*G2594</f>
        <v>426761</v>
      </c>
      <c r="P2594" s="2388"/>
      <c r="Q2594" s="2266"/>
      <c r="R2594" s="2266"/>
      <c r="S2594" s="2266"/>
    </row>
    <row r="2595" spans="1:19" s="2105" customFormat="1" outlineLevel="1">
      <c r="A2595" s="2182">
        <f t="shared" si="516"/>
        <v>1</v>
      </c>
      <c r="B2595" s="2118" t="str">
        <f>"FCO100-"&amp;$F$8</f>
        <v>FCO100-22</v>
      </c>
      <c r="C2595" s="2268">
        <f>IF(G2595&gt;0,C2594+1,C2594)</f>
        <v>2</v>
      </c>
      <c r="D2595" s="2152" t="s">
        <v>5598</v>
      </c>
      <c r="E2595" s="2194" t="s">
        <v>95</v>
      </c>
      <c r="F2595" s="2152" t="s">
        <v>2555</v>
      </c>
      <c r="G2595" s="2270">
        <f>G2594*3</f>
        <v>3</v>
      </c>
      <c r="H2595" s="2264">
        <v>2244280</v>
      </c>
      <c r="I2595" s="2264">
        <v>0</v>
      </c>
      <c r="J2595" s="2264">
        <v>222639.99999999997</v>
      </c>
      <c r="K2595" s="2264">
        <v>0</v>
      </c>
      <c r="L2595" s="2264">
        <f t="shared" si="517"/>
        <v>6732840</v>
      </c>
      <c r="M2595" s="2264">
        <f t="shared" si="518"/>
        <v>0</v>
      </c>
      <c r="N2595" s="2264">
        <f t="shared" si="519"/>
        <v>667919.99999999988</v>
      </c>
      <c r="O2595" s="2264">
        <f t="shared" si="520"/>
        <v>0</v>
      </c>
      <c r="P2595" s="2389"/>
      <c r="Q2595" s="2266"/>
      <c r="R2595" s="2266"/>
      <c r="S2595" s="2266"/>
    </row>
    <row r="2596" spans="1:19" s="2105" customFormat="1" outlineLevel="1">
      <c r="A2596" s="2182">
        <f t="shared" si="516"/>
        <v>1</v>
      </c>
      <c r="B2596" s="2252" t="s">
        <v>6273</v>
      </c>
      <c r="C2596" s="2268">
        <f>IF(G2596&gt;0,C2595+1,C2595)</f>
        <v>3</v>
      </c>
      <c r="D2596" s="2152">
        <v>0</v>
      </c>
      <c r="E2596" s="2194" t="s">
        <v>3431</v>
      </c>
      <c r="F2596" s="2152" t="s">
        <v>2600</v>
      </c>
      <c r="G2596" s="2270">
        <f>G2595</f>
        <v>3</v>
      </c>
      <c r="H2596" s="2264">
        <v>132000</v>
      </c>
      <c r="I2596" s="2264">
        <v>0</v>
      </c>
      <c r="J2596" s="2264">
        <v>0</v>
      </c>
      <c r="K2596" s="2264">
        <v>0</v>
      </c>
      <c r="L2596" s="2264">
        <f t="shared" si="517"/>
        <v>396000</v>
      </c>
      <c r="M2596" s="2264">
        <f t="shared" si="518"/>
        <v>0</v>
      </c>
      <c r="N2596" s="2264">
        <f t="shared" si="519"/>
        <v>0</v>
      </c>
      <c r="O2596" s="2264">
        <f t="shared" si="520"/>
        <v>0</v>
      </c>
      <c r="P2596" s="2389"/>
      <c r="Q2596" s="2266"/>
      <c r="R2596" s="2266"/>
      <c r="S2596" s="2266"/>
    </row>
    <row r="2597" spans="1:19" s="2105" customFormat="1" outlineLevel="1">
      <c r="A2597" s="2182">
        <f t="shared" si="516"/>
        <v>1</v>
      </c>
      <c r="B2597" s="2261" t="str">
        <f>"LA"&amp;$F$6</f>
        <v>LA18</v>
      </c>
      <c r="C2597" s="2268">
        <f>IF(G2597&gt;0,C2596+1,C2596)</f>
        <v>4</v>
      </c>
      <c r="D2597" s="2152" t="s">
        <v>5602</v>
      </c>
      <c r="E2597" s="2194" t="s">
        <v>1193</v>
      </c>
      <c r="F2597" s="2152" t="s">
        <v>2555</v>
      </c>
      <c r="G2597" s="2270">
        <f>G2595</f>
        <v>3</v>
      </c>
      <c r="H2597" s="2264">
        <v>1106000</v>
      </c>
      <c r="I2597" s="2264">
        <v>0</v>
      </c>
      <c r="J2597" s="2264">
        <v>83490</v>
      </c>
      <c r="K2597" s="2264">
        <v>0</v>
      </c>
      <c r="L2597" s="2264">
        <f t="shared" si="517"/>
        <v>3318000</v>
      </c>
      <c r="M2597" s="2264">
        <f t="shared" si="518"/>
        <v>0</v>
      </c>
      <c r="N2597" s="2264">
        <f t="shared" si="519"/>
        <v>250470</v>
      </c>
      <c r="O2597" s="2264">
        <f t="shared" si="520"/>
        <v>0</v>
      </c>
      <c r="P2597" s="2389"/>
      <c r="Q2597" s="2266"/>
      <c r="R2597" s="2266"/>
      <c r="S2597" s="2266"/>
    </row>
    <row r="2598" spans="1:19" s="2105" customFormat="1" outlineLevel="1">
      <c r="A2598" s="2182">
        <f t="shared" si="516"/>
        <v>1</v>
      </c>
      <c r="B2598" s="2357" t="s">
        <v>6274</v>
      </c>
      <c r="C2598" s="2268">
        <f>IF(G2598&gt;0,C2597+1,C2597)</f>
        <v>5</v>
      </c>
      <c r="D2598" s="2152">
        <v>0</v>
      </c>
      <c r="E2598" s="2194" t="s">
        <v>5690</v>
      </c>
      <c r="F2598" s="2152" t="s">
        <v>2555</v>
      </c>
      <c r="G2598" s="2270">
        <f>G2594</f>
        <v>1</v>
      </c>
      <c r="H2598" s="2264">
        <v>64500000</v>
      </c>
      <c r="I2598" s="2264">
        <v>0</v>
      </c>
      <c r="J2598" s="2264">
        <v>0</v>
      </c>
      <c r="K2598" s="2264">
        <v>0</v>
      </c>
      <c r="L2598" s="2264">
        <f t="shared" si="517"/>
        <v>64500000</v>
      </c>
      <c r="M2598" s="2264">
        <f t="shared" si="518"/>
        <v>0</v>
      </c>
      <c r="N2598" s="2264">
        <f t="shared" si="519"/>
        <v>0</v>
      </c>
      <c r="O2598" s="2264">
        <f t="shared" si="520"/>
        <v>0</v>
      </c>
      <c r="P2598" s="2389"/>
      <c r="Q2598" s="2266"/>
      <c r="R2598" s="2266"/>
      <c r="S2598" s="2266"/>
    </row>
    <row r="2599" spans="1:19" s="2105" customFormat="1" outlineLevel="1">
      <c r="A2599" s="2182" t="str">
        <f>IF(G2599&lt;&gt;0,1,"")</f>
        <v/>
      </c>
      <c r="B2599" s="2357" t="s">
        <v>710</v>
      </c>
      <c r="C2599" s="2268">
        <f>IF(G2599&gt;0,C2597+1,C2597)</f>
        <v>4</v>
      </c>
      <c r="D2599" s="2152">
        <v>0</v>
      </c>
      <c r="E2599" s="2194" t="s">
        <v>5682</v>
      </c>
      <c r="F2599" s="2152" t="s">
        <v>2555</v>
      </c>
      <c r="G2599" s="2270"/>
      <c r="H2599" s="2264">
        <v>4990000</v>
      </c>
      <c r="I2599" s="2264">
        <v>0</v>
      </c>
      <c r="J2599" s="2264">
        <v>0</v>
      </c>
      <c r="K2599" s="2264">
        <v>0</v>
      </c>
      <c r="L2599" s="2264">
        <f>H2599*G2599</f>
        <v>0</v>
      </c>
      <c r="M2599" s="2264">
        <f>I2599*G2599</f>
        <v>0</v>
      </c>
      <c r="N2599" s="2264">
        <f>J2599*G2599</f>
        <v>0</v>
      </c>
      <c r="O2599" s="2264">
        <f>K2599*G2599</f>
        <v>0</v>
      </c>
      <c r="P2599" s="2389"/>
      <c r="Q2599" s="2266"/>
      <c r="R2599" s="2266"/>
      <c r="S2599" s="2266"/>
    </row>
    <row r="2600" spans="1:19" s="2105" customFormat="1" outlineLevel="1">
      <c r="A2600" s="2182" t="str">
        <f>IF(G2600&lt;&gt;0,1,"")</f>
        <v/>
      </c>
      <c r="B2600" s="2357" t="s">
        <v>710</v>
      </c>
      <c r="C2600" s="2268">
        <f t="shared" ref="C2600:C2606" si="521">IF(G2600&gt;0,C2598+1,C2598)</f>
        <v>5</v>
      </c>
      <c r="D2600" s="2152">
        <v>0</v>
      </c>
      <c r="E2600" s="2194" t="s">
        <v>5682</v>
      </c>
      <c r="F2600" s="2152" t="s">
        <v>2555</v>
      </c>
      <c r="G2600" s="2270">
        <f>+G2594*1*0</f>
        <v>0</v>
      </c>
      <c r="H2600" s="2264">
        <v>4990000</v>
      </c>
      <c r="I2600" s="2264">
        <v>0</v>
      </c>
      <c r="J2600" s="2264">
        <v>0</v>
      </c>
      <c r="K2600" s="2264">
        <v>0</v>
      </c>
      <c r="L2600" s="2264">
        <f>H2600*G2600</f>
        <v>0</v>
      </c>
      <c r="M2600" s="2264">
        <f>I2600*G2600</f>
        <v>0</v>
      </c>
      <c r="N2600" s="2264">
        <f>J2600*G2600</f>
        <v>0</v>
      </c>
      <c r="O2600" s="2264">
        <f>K2600*G2600</f>
        <v>0</v>
      </c>
      <c r="P2600" s="2389"/>
      <c r="Q2600" s="2266"/>
      <c r="R2600" s="2266"/>
      <c r="S2600" s="2266"/>
    </row>
    <row r="2601" spans="1:19" s="2105" customFormat="1" outlineLevel="1">
      <c r="A2601" s="2182" t="str">
        <f t="shared" si="516"/>
        <v/>
      </c>
      <c r="B2601" s="2357" t="s">
        <v>201</v>
      </c>
      <c r="C2601" s="2268">
        <f t="shared" si="521"/>
        <v>4</v>
      </c>
      <c r="D2601" s="2152">
        <v>0</v>
      </c>
      <c r="E2601" s="2194" t="s">
        <v>3404</v>
      </c>
      <c r="F2601" s="2152" t="s">
        <v>2555</v>
      </c>
      <c r="G2601" s="2270"/>
      <c r="H2601" s="2264">
        <v>1750000</v>
      </c>
      <c r="I2601" s="2264">
        <v>0</v>
      </c>
      <c r="J2601" s="2264">
        <v>0</v>
      </c>
      <c r="K2601" s="2264">
        <v>0</v>
      </c>
      <c r="L2601" s="2264">
        <f t="shared" si="517"/>
        <v>0</v>
      </c>
      <c r="M2601" s="2264">
        <f t="shared" si="518"/>
        <v>0</v>
      </c>
      <c r="N2601" s="2264">
        <f t="shared" si="519"/>
        <v>0</v>
      </c>
      <c r="O2601" s="2264">
        <f t="shared" si="520"/>
        <v>0</v>
      </c>
      <c r="P2601" s="2389"/>
      <c r="Q2601" s="2266"/>
      <c r="R2601" s="2266"/>
      <c r="S2601" s="2266"/>
    </row>
    <row r="2602" spans="1:19" s="2105" customFormat="1" outlineLevel="1">
      <c r="A2602" s="2182" t="str">
        <f t="shared" si="516"/>
        <v/>
      </c>
      <c r="B2602" s="2357" t="s">
        <v>936</v>
      </c>
      <c r="C2602" s="2268">
        <f t="shared" si="521"/>
        <v>5</v>
      </c>
      <c r="D2602" s="2152">
        <v>0</v>
      </c>
      <c r="E2602" s="2194" t="s">
        <v>5679</v>
      </c>
      <c r="F2602" s="2152" t="s">
        <v>2555</v>
      </c>
      <c r="G2602" s="2270"/>
      <c r="H2602" s="2264">
        <v>2616000</v>
      </c>
      <c r="I2602" s="2264">
        <v>0</v>
      </c>
      <c r="J2602" s="2264">
        <v>0</v>
      </c>
      <c r="K2602" s="2264">
        <v>0</v>
      </c>
      <c r="L2602" s="2264">
        <f t="shared" si="517"/>
        <v>0</v>
      </c>
      <c r="M2602" s="2264">
        <f t="shared" si="518"/>
        <v>0</v>
      </c>
      <c r="N2602" s="2264">
        <f t="shared" si="519"/>
        <v>0</v>
      </c>
      <c r="O2602" s="2264">
        <f t="shared" si="520"/>
        <v>0</v>
      </c>
      <c r="P2602" s="2389"/>
      <c r="Q2602" s="2266"/>
      <c r="R2602" s="2266"/>
      <c r="S2602" s="2266"/>
    </row>
    <row r="2603" spans="1:19" s="2105" customFormat="1" outlineLevel="1">
      <c r="A2603" s="2182">
        <v>1</v>
      </c>
      <c r="B2603" s="2357" t="s">
        <v>6275</v>
      </c>
      <c r="C2603" s="2268">
        <f t="shared" si="521"/>
        <v>5</v>
      </c>
      <c r="D2603" s="2152" t="s">
        <v>1025</v>
      </c>
      <c r="E2603" s="2194" t="s">
        <v>5618</v>
      </c>
      <c r="F2603" s="2152" t="s">
        <v>3370</v>
      </c>
      <c r="G2603" s="2270">
        <v>1</v>
      </c>
      <c r="H2603" s="2264">
        <v>61000000</v>
      </c>
      <c r="I2603" s="2264">
        <v>0</v>
      </c>
      <c r="J2603" s="2264">
        <v>98101</v>
      </c>
      <c r="K2603" s="2264">
        <v>59254</v>
      </c>
      <c r="L2603" s="2264">
        <f t="shared" si="517"/>
        <v>61000000</v>
      </c>
      <c r="M2603" s="2264">
        <f t="shared" si="518"/>
        <v>0</v>
      </c>
      <c r="N2603" s="2264">
        <f t="shared" si="519"/>
        <v>98101</v>
      </c>
      <c r="O2603" s="2264">
        <f t="shared" si="520"/>
        <v>59254</v>
      </c>
      <c r="P2603" s="2389"/>
      <c r="Q2603" s="2266"/>
      <c r="R2603" s="2266"/>
      <c r="S2603" s="2266"/>
    </row>
    <row r="2604" spans="1:19" s="2105" customFormat="1" outlineLevel="1">
      <c r="A2604" s="2182">
        <f t="shared" si="516"/>
        <v>1</v>
      </c>
      <c r="B2604" s="2249" t="s">
        <v>901</v>
      </c>
      <c r="C2604" s="2268">
        <f t="shared" si="521"/>
        <v>6</v>
      </c>
      <c r="D2604" s="2152">
        <v>0</v>
      </c>
      <c r="E2604" s="2194" t="s">
        <v>3348</v>
      </c>
      <c r="F2604" s="2152" t="s">
        <v>2555</v>
      </c>
      <c r="G2604" s="2270">
        <v>3</v>
      </c>
      <c r="H2604" s="2264">
        <v>0</v>
      </c>
      <c r="I2604" s="2264">
        <v>0</v>
      </c>
      <c r="J2604" s="2264">
        <v>0</v>
      </c>
      <c r="K2604" s="2264">
        <v>0</v>
      </c>
      <c r="L2604" s="2264">
        <f t="shared" si="517"/>
        <v>0</v>
      </c>
      <c r="M2604" s="2264">
        <f t="shared" si="518"/>
        <v>0</v>
      </c>
      <c r="N2604" s="2264">
        <f t="shared" si="519"/>
        <v>0</v>
      </c>
      <c r="O2604" s="2264">
        <f t="shared" si="520"/>
        <v>0</v>
      </c>
      <c r="P2604" s="2391" t="s">
        <v>2601</v>
      </c>
      <c r="Q2604" s="2266"/>
      <c r="R2604" s="2266"/>
      <c r="S2604" s="2266"/>
    </row>
    <row r="2605" spans="1:19" s="2105" customFormat="1" outlineLevel="1">
      <c r="A2605" s="2182">
        <f t="shared" si="516"/>
        <v>1</v>
      </c>
      <c r="B2605" s="2249" t="s">
        <v>2187</v>
      </c>
      <c r="C2605" s="2268">
        <f t="shared" si="521"/>
        <v>6</v>
      </c>
      <c r="D2605" s="2152">
        <v>0</v>
      </c>
      <c r="E2605" s="2194" t="s">
        <v>5611</v>
      </c>
      <c r="F2605" s="2152" t="s">
        <v>2555</v>
      </c>
      <c r="G2605" s="2270">
        <v>3</v>
      </c>
      <c r="H2605" s="2264">
        <v>0</v>
      </c>
      <c r="I2605" s="2264">
        <v>0</v>
      </c>
      <c r="J2605" s="2264"/>
      <c r="K2605" s="2264"/>
      <c r="L2605" s="2264">
        <f t="shared" si="517"/>
        <v>0</v>
      </c>
      <c r="M2605" s="2264">
        <f t="shared" si="518"/>
        <v>0</v>
      </c>
      <c r="N2605" s="2264">
        <f t="shared" si="519"/>
        <v>0</v>
      </c>
      <c r="O2605" s="2264">
        <f t="shared" si="520"/>
        <v>0</v>
      </c>
      <c r="P2605" s="2391" t="s">
        <v>2601</v>
      </c>
      <c r="Q2605" s="2266"/>
      <c r="R2605" s="2266"/>
      <c r="S2605" s="2266"/>
    </row>
    <row r="2606" spans="1:19" s="2105" customFormat="1" outlineLevel="1">
      <c r="A2606" s="2182">
        <f t="shared" si="516"/>
        <v>1</v>
      </c>
      <c r="B2606" s="2252" t="s">
        <v>1837</v>
      </c>
      <c r="C2606" s="2268">
        <f t="shared" si="521"/>
        <v>7</v>
      </c>
      <c r="D2606" s="2152">
        <v>0</v>
      </c>
      <c r="E2606" s="2194" t="s">
        <v>5709</v>
      </c>
      <c r="F2606" s="2152" t="s">
        <v>2555</v>
      </c>
      <c r="G2606" s="2270">
        <v>1</v>
      </c>
      <c r="H2606" s="2264">
        <v>0</v>
      </c>
      <c r="I2606" s="2264">
        <v>0</v>
      </c>
      <c r="J2606" s="2264">
        <v>0</v>
      </c>
      <c r="K2606" s="2264">
        <v>0</v>
      </c>
      <c r="L2606" s="2264">
        <f t="shared" si="517"/>
        <v>0</v>
      </c>
      <c r="M2606" s="2360">
        <f t="shared" si="518"/>
        <v>0</v>
      </c>
      <c r="N2606" s="2360">
        <f t="shared" si="519"/>
        <v>0</v>
      </c>
      <c r="O2606" s="2361">
        <f t="shared" si="520"/>
        <v>0</v>
      </c>
      <c r="P2606" s="2392" t="s">
        <v>2601</v>
      </c>
      <c r="Q2606" s="2266"/>
      <c r="R2606" s="2266"/>
      <c r="S2606" s="2266"/>
    </row>
    <row r="2607" spans="1:19" s="2105" customFormat="1" outlineLevel="1">
      <c r="A2607" s="2182"/>
      <c r="B2607" s="2261"/>
      <c r="C2607" s="2393"/>
      <c r="D2607" s="2394"/>
      <c r="E2607" s="2395"/>
      <c r="F2607" s="2393"/>
      <c r="G2607" s="2636"/>
      <c r="H2607" s="2393"/>
      <c r="I2607" s="2393"/>
      <c r="J2607" s="2117" t="s">
        <v>6121</v>
      </c>
      <c r="K2607" s="2393"/>
      <c r="L2607" s="2395">
        <f>SUM(L2594:L2606)</f>
        <v>752765840</v>
      </c>
      <c r="M2607" s="2395">
        <f>SUM(M2594:M2606)</f>
        <v>0</v>
      </c>
      <c r="N2607" s="2395">
        <f>SUM(N2594:N2606)</f>
        <v>2945392</v>
      </c>
      <c r="O2607" s="2395">
        <f>SUM(O2594:O2606)</f>
        <v>486015</v>
      </c>
      <c r="P2607" s="2396"/>
      <c r="Q2607" s="2266"/>
      <c r="R2607" s="2266"/>
      <c r="S2607" s="2266"/>
    </row>
    <row r="2608" spans="1:19" s="2105" customFormat="1" outlineLevel="1">
      <c r="A2608" s="2182"/>
      <c r="B2608" s="2261"/>
      <c r="C2608" s="2397"/>
      <c r="D2608" s="2398"/>
      <c r="E2608" s="2399" t="s">
        <v>3673</v>
      </c>
      <c r="F2608" s="2399"/>
      <c r="G2608" s="2400"/>
      <c r="H2608" s="2399"/>
      <c r="I2608" s="2399"/>
      <c r="J2608" s="2399"/>
      <c r="K2608" s="2399"/>
      <c r="L2608" s="2399"/>
      <c r="M2608" s="2399"/>
      <c r="N2608" s="2399"/>
      <c r="O2608" s="2398"/>
      <c r="P2608" s="2396"/>
      <c r="Q2608" s="2266"/>
      <c r="R2608" s="2266"/>
      <c r="S2608" s="2266"/>
    </row>
    <row r="2609" spans="1:19" s="2105" customFormat="1" outlineLevel="1">
      <c r="A2609" s="2182"/>
      <c r="B2609" s="2401"/>
      <c r="C2609" s="2402">
        <f>IF(G2609&gt;0,1,0)</f>
        <v>0</v>
      </c>
      <c r="D2609" s="2152"/>
      <c r="E2609" s="2403" t="s">
        <v>6122</v>
      </c>
      <c r="F2609" s="2404" t="s">
        <v>2277</v>
      </c>
      <c r="G2609" s="2405"/>
      <c r="H2609" s="2404"/>
      <c r="I2609" s="2404"/>
      <c r="J2609" s="2404"/>
      <c r="K2609" s="2404"/>
      <c r="L2609" s="2405"/>
      <c r="M2609" s="2405"/>
      <c r="N2609" s="2405"/>
      <c r="O2609" s="2406"/>
      <c r="P2609" s="2389"/>
      <c r="Q2609" s="2266"/>
      <c r="R2609" s="2266"/>
      <c r="S2609" s="2266"/>
    </row>
    <row r="2610" spans="1:19" s="2105" customFormat="1" outlineLevel="1">
      <c r="A2610" s="2182"/>
      <c r="B2610" s="2357" t="s">
        <v>5275</v>
      </c>
      <c r="C2610" s="2407"/>
      <c r="D2610" s="2152"/>
      <c r="E2610" s="2408" t="s">
        <v>5276</v>
      </c>
      <c r="F2610" s="2152" t="s">
        <v>2831</v>
      </c>
      <c r="G2610" s="2152">
        <f>G2609</f>
        <v>0</v>
      </c>
      <c r="H2610" s="2359">
        <v>5914000</v>
      </c>
      <c r="I2610" s="2258"/>
      <c r="J2610" s="2359"/>
      <c r="K2610" s="2258"/>
      <c r="L2610" s="2360">
        <f>H2610*G2610</f>
        <v>0</v>
      </c>
      <c r="M2610" s="2360">
        <f>I2610*G2610</f>
        <v>0</v>
      </c>
      <c r="N2610" s="2360">
        <f>J2610*G2610</f>
        <v>0</v>
      </c>
      <c r="O2610" s="2360">
        <f>K2610*G2610</f>
        <v>0</v>
      </c>
      <c r="P2610" s="2389"/>
      <c r="Q2610" s="2266"/>
      <c r="R2610" s="2266"/>
      <c r="S2610" s="2266"/>
    </row>
    <row r="2611" spans="1:19" s="2105" customFormat="1" outlineLevel="1">
      <c r="A2611" s="2182"/>
      <c r="B2611" s="2357" t="s">
        <v>1814</v>
      </c>
      <c r="C2611" s="2407"/>
      <c r="D2611" s="2152"/>
      <c r="E2611" s="2408" t="s">
        <v>2830</v>
      </c>
      <c r="F2611" s="2152" t="s">
        <v>2831</v>
      </c>
      <c r="G2611" s="2152">
        <f>G2610</f>
        <v>0</v>
      </c>
      <c r="H2611" s="2359">
        <v>17400</v>
      </c>
      <c r="I2611" s="2359"/>
      <c r="J2611" s="2258"/>
      <c r="K2611" s="2258"/>
      <c r="L2611" s="2360">
        <f>H2611*G2611</f>
        <v>0</v>
      </c>
      <c r="M2611" s="2360">
        <f>I2611*G2611</f>
        <v>0</v>
      </c>
      <c r="N2611" s="2360">
        <f>J2611*G2611</f>
        <v>0</v>
      </c>
      <c r="O2611" s="2360">
        <f>K2611*G2611</f>
        <v>0</v>
      </c>
      <c r="P2611" s="2389"/>
      <c r="Q2611" s="2266"/>
      <c r="R2611" s="2266"/>
      <c r="S2611" s="2266"/>
    </row>
    <row r="2612" spans="1:19" s="2105" customFormat="1" outlineLevel="1">
      <c r="A2612" s="2182"/>
      <c r="B2612" s="2357" t="s">
        <v>643</v>
      </c>
      <c r="C2612" s="2407"/>
      <c r="D2612" s="2152" t="s">
        <v>2127</v>
      </c>
      <c r="E2612" s="2408" t="s">
        <v>3167</v>
      </c>
      <c r="F2612" s="2152" t="s">
        <v>2831</v>
      </c>
      <c r="G2612" s="2152">
        <f>G2610</f>
        <v>0</v>
      </c>
      <c r="H2612" s="2408"/>
      <c r="I2612" s="2359"/>
      <c r="J2612" s="2359">
        <v>112286</v>
      </c>
      <c r="K2612" s="2359">
        <v>105970</v>
      </c>
      <c r="L2612" s="2360">
        <f>H2612*G2612</f>
        <v>0</v>
      </c>
      <c r="M2612" s="2360">
        <f>I2612*G2612</f>
        <v>0</v>
      </c>
      <c r="N2612" s="2360">
        <f>J2612*G2612</f>
        <v>0</v>
      </c>
      <c r="O2612" s="2360">
        <f>K2612*G2612</f>
        <v>0</v>
      </c>
      <c r="P2612" s="2389"/>
      <c r="Q2612" s="2266"/>
      <c r="R2612" s="2266"/>
      <c r="S2612" s="2266"/>
    </row>
    <row r="2613" spans="1:19" s="2105" customFormat="1" outlineLevel="1">
      <c r="A2613" s="2182" t="str">
        <f t="shared" ref="A2613:A2629" si="522">IF(G2613&lt;&gt;0,1,"")</f>
        <v/>
      </c>
      <c r="B2613" s="2401"/>
      <c r="C2613" s="2402">
        <f>IF(G2613&gt;0,1,0)</f>
        <v>0</v>
      </c>
      <c r="D2613" s="2152"/>
      <c r="E2613" s="2403" t="s">
        <v>6217</v>
      </c>
      <c r="F2613" s="2404" t="s">
        <v>2277</v>
      </c>
      <c r="G2613" s="2405"/>
      <c r="H2613" s="2404"/>
      <c r="I2613" s="2404"/>
      <c r="J2613" s="2404"/>
      <c r="K2613" s="2404"/>
      <c r="L2613" s="2405"/>
      <c r="M2613" s="2405"/>
      <c r="N2613" s="2405"/>
      <c r="O2613" s="2406"/>
      <c r="P2613" s="2265"/>
      <c r="Q2613" s="2266"/>
      <c r="R2613" s="2266"/>
      <c r="S2613" s="2266"/>
    </row>
    <row r="2614" spans="1:19" s="2105" customFormat="1" outlineLevel="1">
      <c r="A2614" s="2182" t="str">
        <f t="shared" si="522"/>
        <v/>
      </c>
      <c r="B2614" s="2357" t="s">
        <v>114</v>
      </c>
      <c r="C2614" s="2407"/>
      <c r="D2614" s="2152"/>
      <c r="E2614" s="2408" t="s">
        <v>2991</v>
      </c>
      <c r="F2614" s="2152" t="s">
        <v>2831</v>
      </c>
      <c r="G2614" s="2152">
        <f>G2613</f>
        <v>0</v>
      </c>
      <c r="H2614" s="2359">
        <v>4200000</v>
      </c>
      <c r="I2614" s="2258"/>
      <c r="J2614" s="2359"/>
      <c r="K2614" s="2258"/>
      <c r="L2614" s="2360">
        <f>H2614*G2614</f>
        <v>0</v>
      </c>
      <c r="M2614" s="2360">
        <f>I2614*G2614</f>
        <v>0</v>
      </c>
      <c r="N2614" s="2360">
        <f>J2614*G2614</f>
        <v>0</v>
      </c>
      <c r="O2614" s="2360">
        <f>K2614*G2614</f>
        <v>0</v>
      </c>
      <c r="P2614" s="2265"/>
      <c r="Q2614" s="2266"/>
      <c r="R2614" s="2266"/>
      <c r="S2614" s="2266"/>
    </row>
    <row r="2615" spans="1:19" s="2105" customFormat="1" outlineLevel="1">
      <c r="A2615" s="2182" t="str">
        <f t="shared" si="522"/>
        <v/>
      </c>
      <c r="B2615" s="2357" t="s">
        <v>1814</v>
      </c>
      <c r="C2615" s="2407"/>
      <c r="D2615" s="2152"/>
      <c r="E2615" s="2408" t="s">
        <v>2830</v>
      </c>
      <c r="F2615" s="2152" t="s">
        <v>2831</v>
      </c>
      <c r="G2615" s="2152">
        <f>G2614</f>
        <v>0</v>
      </c>
      <c r="H2615" s="2359">
        <v>17400</v>
      </c>
      <c r="I2615" s="2359"/>
      <c r="J2615" s="2258"/>
      <c r="K2615" s="2258"/>
      <c r="L2615" s="2360">
        <f>H2615*G2615</f>
        <v>0</v>
      </c>
      <c r="M2615" s="2360">
        <f>I2615*G2615</f>
        <v>0</v>
      </c>
      <c r="N2615" s="2360">
        <f>J2615*G2615</f>
        <v>0</v>
      </c>
      <c r="O2615" s="2360">
        <f>K2615*G2615</f>
        <v>0</v>
      </c>
      <c r="P2615" s="2265"/>
      <c r="Q2615" s="2266"/>
      <c r="R2615" s="2266"/>
      <c r="S2615" s="2266"/>
    </row>
    <row r="2616" spans="1:19" s="2105" customFormat="1" outlineLevel="1">
      <c r="A2616" s="2182" t="str">
        <f t="shared" si="522"/>
        <v/>
      </c>
      <c r="B2616" s="2357" t="s">
        <v>644</v>
      </c>
      <c r="C2616" s="2407"/>
      <c r="D2616" s="2152" t="s">
        <v>2127</v>
      </c>
      <c r="E2616" s="2408" t="s">
        <v>3168</v>
      </c>
      <c r="F2616" s="2152" t="s">
        <v>2831</v>
      </c>
      <c r="G2616" s="2152">
        <f>G2614</f>
        <v>0</v>
      </c>
      <c r="H2616" s="2408"/>
      <c r="I2616" s="2359"/>
      <c r="J2616" s="2359">
        <v>112286</v>
      </c>
      <c r="K2616" s="2359">
        <v>105970</v>
      </c>
      <c r="L2616" s="2360">
        <f>H2616*G2616</f>
        <v>0</v>
      </c>
      <c r="M2616" s="2360">
        <f>I2616*G2616</f>
        <v>0</v>
      </c>
      <c r="N2616" s="2360">
        <f>J2616*G2616</f>
        <v>0</v>
      </c>
      <c r="O2616" s="2360">
        <f>K2616*G2616</f>
        <v>0</v>
      </c>
      <c r="P2616" s="2265"/>
      <c r="Q2616" s="2266"/>
      <c r="R2616" s="2266"/>
      <c r="S2616" s="2266"/>
    </row>
    <row r="2617" spans="1:19" s="2105" customFormat="1" outlineLevel="1">
      <c r="A2617" s="2182"/>
      <c r="B2617" s="2357"/>
      <c r="C2617" s="2258">
        <f>IF(G2617&gt;0,C2609+1,C2609)</f>
        <v>0</v>
      </c>
      <c r="D2617" s="2152"/>
      <c r="E2617" s="2236" t="s">
        <v>2364</v>
      </c>
      <c r="F2617" s="2237" t="s">
        <v>2327</v>
      </c>
      <c r="G2617" s="2409"/>
      <c r="H2617" s="2258"/>
      <c r="I2617" s="2258"/>
      <c r="J2617" s="2258"/>
      <c r="K2617" s="2258"/>
      <c r="L2617" s="2258"/>
      <c r="M2617" s="2258"/>
      <c r="N2617" s="2258"/>
      <c r="O2617" s="2410"/>
      <c r="P2617" s="2389"/>
      <c r="Q2617" s="2266"/>
      <c r="R2617" s="2266"/>
      <c r="S2617" s="2266"/>
    </row>
    <row r="2618" spans="1:19" s="2105" customFormat="1" outlineLevel="1">
      <c r="A2618" s="2182"/>
      <c r="B2618" s="2473" t="s">
        <v>751</v>
      </c>
      <c r="C2618" s="2407"/>
      <c r="D2618" s="2152">
        <v>0</v>
      </c>
      <c r="E2618" s="2408" t="s">
        <v>5289</v>
      </c>
      <c r="F2618" s="2152" t="s">
        <v>2248</v>
      </c>
      <c r="G2618" s="2152">
        <f>G2617*504</f>
        <v>0</v>
      </c>
      <c r="H2618" s="2359">
        <v>1740</v>
      </c>
      <c r="I2618" s="2359"/>
      <c r="J2618" s="2359">
        <v>0</v>
      </c>
      <c r="K2618" s="2258"/>
      <c r="L2618" s="2360">
        <f>H2618*G2618</f>
        <v>0</v>
      </c>
      <c r="M2618" s="2360">
        <f>I2618*G2618</f>
        <v>0</v>
      </c>
      <c r="N2618" s="2360">
        <f>J2618*G2618</f>
        <v>0</v>
      </c>
      <c r="O2618" s="2360">
        <f>K2618*G2618</f>
        <v>0</v>
      </c>
      <c r="P2618" s="2389"/>
      <c r="Q2618" s="2266"/>
      <c r="R2618" s="2266"/>
      <c r="S2618" s="2266"/>
    </row>
    <row r="2619" spans="1:19" s="2105" customFormat="1" outlineLevel="1">
      <c r="A2619" s="2182"/>
      <c r="B2619" s="2473" t="s">
        <v>752</v>
      </c>
      <c r="C2619" s="2407"/>
      <c r="D2619" s="2152"/>
      <c r="E2619" s="2408" t="s">
        <v>3004</v>
      </c>
      <c r="F2619" s="2152" t="s">
        <v>856</v>
      </c>
      <c r="G2619" s="2152">
        <f>G2617*0.809</f>
        <v>0</v>
      </c>
      <c r="H2619" s="2359">
        <v>512000</v>
      </c>
      <c r="I2619" s="2408"/>
      <c r="J2619" s="2359">
        <v>0</v>
      </c>
      <c r="K2619" s="2258"/>
      <c r="L2619" s="2360">
        <f>H2619*G2619</f>
        <v>0</v>
      </c>
      <c r="M2619" s="2360">
        <f t="shared" ref="M2619:M2624" si="523">I2619*G2619</f>
        <v>0</v>
      </c>
      <c r="N2619" s="2360">
        <f t="shared" ref="N2619:N2624" si="524">J2619*G2619</f>
        <v>0</v>
      </c>
      <c r="O2619" s="2360">
        <f t="shared" ref="O2619:O2624" si="525">K2619*G2619</f>
        <v>0</v>
      </c>
      <c r="P2619" s="2389"/>
      <c r="Q2619" s="2266"/>
      <c r="R2619" s="2266"/>
      <c r="S2619" s="2266"/>
    </row>
    <row r="2620" spans="1:19" s="2105" customFormat="1" outlineLevel="1">
      <c r="A2620" s="2182"/>
      <c r="B2620" s="2473" t="s">
        <v>867</v>
      </c>
      <c r="C2620" s="2407"/>
      <c r="D2620" s="2152">
        <v>0</v>
      </c>
      <c r="E2620" s="2408" t="s">
        <v>3000</v>
      </c>
      <c r="F2620" s="2152" t="s">
        <v>856</v>
      </c>
      <c r="G2620" s="2557">
        <f>1.501*G2617</f>
        <v>0</v>
      </c>
      <c r="H2620" s="2359">
        <v>335000</v>
      </c>
      <c r="I2620" s="2359"/>
      <c r="J2620" s="2359">
        <v>0</v>
      </c>
      <c r="K2620" s="2258"/>
      <c r="L2620" s="2360">
        <f>H2620*G2620</f>
        <v>0</v>
      </c>
      <c r="M2620" s="2360">
        <f t="shared" si="523"/>
        <v>0</v>
      </c>
      <c r="N2620" s="2360">
        <f t="shared" si="524"/>
        <v>0</v>
      </c>
      <c r="O2620" s="2360">
        <f t="shared" si="525"/>
        <v>0</v>
      </c>
      <c r="P2620" s="2389"/>
      <c r="Q2620" s="2266"/>
      <c r="R2620" s="2266"/>
      <c r="S2620" s="2266"/>
    </row>
    <row r="2621" spans="1:19" s="2105" customFormat="1" outlineLevel="1">
      <c r="A2621" s="2182"/>
      <c r="B2621" s="2473" t="s">
        <v>6102</v>
      </c>
      <c r="C2621" s="2407"/>
      <c r="D2621" s="2152">
        <v>0</v>
      </c>
      <c r="E2621" s="2408" t="s">
        <v>2666</v>
      </c>
      <c r="F2621" s="2152" t="s">
        <v>2439</v>
      </c>
      <c r="G2621" s="2545">
        <f>G2617</f>
        <v>0</v>
      </c>
      <c r="H2621" s="2359">
        <v>52800</v>
      </c>
      <c r="I2621" s="2359"/>
      <c r="J2621" s="2359">
        <v>0</v>
      </c>
      <c r="K2621" s="2258"/>
      <c r="L2621" s="2360">
        <f>H2621*G2621</f>
        <v>0</v>
      </c>
      <c r="M2621" s="2360">
        <f t="shared" si="523"/>
        <v>0</v>
      </c>
      <c r="N2621" s="2360">
        <f t="shared" si="524"/>
        <v>0</v>
      </c>
      <c r="O2621" s="2360">
        <f t="shared" si="525"/>
        <v>0</v>
      </c>
      <c r="P2621" s="2389"/>
      <c r="Q2621" s="2266"/>
      <c r="R2621" s="2266"/>
      <c r="S2621" s="2266"/>
    </row>
    <row r="2622" spans="1:19" s="2105" customFormat="1" outlineLevel="1">
      <c r="A2622" s="2182"/>
      <c r="B2622" s="2473" t="s">
        <v>4836</v>
      </c>
      <c r="C2622" s="2407"/>
      <c r="D2622" s="2152"/>
      <c r="E2622" s="2408" t="s">
        <v>4641</v>
      </c>
      <c r="F2622" s="2152" t="s">
        <v>2439</v>
      </c>
      <c r="G2622" s="2545">
        <f>G2617</f>
        <v>0</v>
      </c>
      <c r="H2622" s="2359">
        <v>58800</v>
      </c>
      <c r="I2622" s="2359"/>
      <c r="J2622" s="2359">
        <v>0</v>
      </c>
      <c r="K2622" s="2258"/>
      <c r="L2622" s="2360"/>
      <c r="M2622" s="2360">
        <f t="shared" si="523"/>
        <v>0</v>
      </c>
      <c r="N2622" s="2360">
        <f t="shared" si="524"/>
        <v>0</v>
      </c>
      <c r="O2622" s="2360">
        <f t="shared" si="525"/>
        <v>0</v>
      </c>
      <c r="P2622" s="2389"/>
      <c r="Q2622" s="2266"/>
      <c r="R2622" s="2266"/>
      <c r="S2622" s="2266"/>
    </row>
    <row r="2623" spans="1:19" s="2105" customFormat="1" outlineLevel="1">
      <c r="A2623" s="2182"/>
      <c r="B2623" s="2558" t="s">
        <v>5321</v>
      </c>
      <c r="C2623" s="2407"/>
      <c r="D2623" s="2152"/>
      <c r="E2623" s="2408" t="s">
        <v>5323</v>
      </c>
      <c r="F2623" s="2152" t="s">
        <v>856</v>
      </c>
      <c r="G2623" s="2152">
        <f>G2617*1.93</f>
        <v>0</v>
      </c>
      <c r="H2623" s="2359">
        <v>0</v>
      </c>
      <c r="I2623" s="2359"/>
      <c r="J2623" s="2359">
        <v>491832.89999999997</v>
      </c>
      <c r="K2623" s="2258"/>
      <c r="L2623" s="2360"/>
      <c r="M2623" s="2360">
        <f t="shared" si="523"/>
        <v>0</v>
      </c>
      <c r="N2623" s="2360">
        <f t="shared" si="524"/>
        <v>0</v>
      </c>
      <c r="O2623" s="2360">
        <f t="shared" si="525"/>
        <v>0</v>
      </c>
      <c r="P2623" s="2389"/>
      <c r="Q2623" s="2266"/>
      <c r="R2623" s="2266"/>
      <c r="S2623" s="2266"/>
    </row>
    <row r="2624" spans="1:19" s="2105" customFormat="1" outlineLevel="1">
      <c r="A2624" s="2182"/>
      <c r="B2624" s="2473" t="s">
        <v>1835</v>
      </c>
      <c r="C2624" s="2407"/>
      <c r="D2624" s="2152"/>
      <c r="E2624" s="2408" t="s">
        <v>5473</v>
      </c>
      <c r="F2624" s="2152" t="s">
        <v>856</v>
      </c>
      <c r="G2624" s="2152">
        <f>G2617*1.704</f>
        <v>0</v>
      </c>
      <c r="H2624" s="2359">
        <v>461871</v>
      </c>
      <c r="I2624" s="2359"/>
      <c r="J2624" s="2359">
        <v>414064.45</v>
      </c>
      <c r="K2624" s="2258"/>
      <c r="L2624" s="2360"/>
      <c r="M2624" s="2360">
        <f t="shared" si="523"/>
        <v>0</v>
      </c>
      <c r="N2624" s="2360">
        <f t="shared" si="524"/>
        <v>0</v>
      </c>
      <c r="O2624" s="2360">
        <f t="shared" si="525"/>
        <v>0</v>
      </c>
      <c r="P2624" s="2389"/>
      <c r="Q2624" s="2266"/>
      <c r="R2624" s="2266"/>
      <c r="S2624" s="2266"/>
    </row>
    <row r="2625" spans="1:19" s="2105" customFormat="1" outlineLevel="1">
      <c r="A2625" s="2182" t="str">
        <f t="shared" si="522"/>
        <v/>
      </c>
      <c r="B2625" s="2357"/>
      <c r="C2625" s="2258">
        <f>IF(G2625&gt;0,C2614+1,C2614)</f>
        <v>0</v>
      </c>
      <c r="D2625" s="2152"/>
      <c r="E2625" s="2403" t="s">
        <v>3713</v>
      </c>
      <c r="F2625" s="2404" t="s">
        <v>2327</v>
      </c>
      <c r="G2625" s="2409"/>
      <c r="H2625" s="2258"/>
      <c r="I2625" s="2258"/>
      <c r="J2625" s="2258"/>
      <c r="K2625" s="2258"/>
      <c r="L2625" s="2258"/>
      <c r="M2625" s="2258"/>
      <c r="N2625" s="2258"/>
      <c r="O2625" s="2410"/>
      <c r="P2625" s="2265"/>
      <c r="Q2625" s="2266"/>
      <c r="R2625" s="2266"/>
      <c r="S2625" s="2266"/>
    </row>
    <row r="2626" spans="1:19" s="2105" customFormat="1" outlineLevel="1">
      <c r="A2626" s="2182" t="str">
        <f t="shared" si="522"/>
        <v/>
      </c>
      <c r="B2626" s="2357" t="s">
        <v>636</v>
      </c>
      <c r="C2626" s="2407"/>
      <c r="D2626" s="2152" t="s">
        <v>5047</v>
      </c>
      <c r="E2626" s="2408" t="s">
        <v>2607</v>
      </c>
      <c r="F2626" s="2152" t="s">
        <v>2555</v>
      </c>
      <c r="G2626" s="2152">
        <f>G2625</f>
        <v>0</v>
      </c>
      <c r="H2626" s="2359">
        <v>354545</v>
      </c>
      <c r="I2626" s="2359"/>
      <c r="J2626" s="2359">
        <v>37220.25</v>
      </c>
      <c r="K2626" s="2258"/>
      <c r="L2626" s="2360">
        <f>H2626*G2626</f>
        <v>0</v>
      </c>
      <c r="M2626" s="2360">
        <f t="shared" ref="M2626:M2636" si="526">I2626*G2626</f>
        <v>0</v>
      </c>
      <c r="N2626" s="2360">
        <f t="shared" ref="N2626:N2637" si="527">J2626*G2626</f>
        <v>0</v>
      </c>
      <c r="O2626" s="2360">
        <f t="shared" ref="O2626:O2636" si="528">K2626*G2626</f>
        <v>0</v>
      </c>
      <c r="P2626" s="2265"/>
      <c r="Q2626" s="2266"/>
      <c r="R2626" s="2266"/>
      <c r="S2626" s="2266"/>
    </row>
    <row r="2627" spans="1:19" s="2105" customFormat="1" outlineLevel="1">
      <c r="A2627" s="2182" t="str">
        <f t="shared" si="522"/>
        <v/>
      </c>
      <c r="B2627" s="2357" t="s">
        <v>566</v>
      </c>
      <c r="C2627" s="2407"/>
      <c r="D2627" s="2152"/>
      <c r="E2627" s="2408" t="s">
        <v>5072</v>
      </c>
      <c r="F2627" s="2152" t="s">
        <v>2439</v>
      </c>
      <c r="G2627" s="2152">
        <f>G2626</f>
        <v>0</v>
      </c>
      <c r="H2627" s="2359">
        <v>92200</v>
      </c>
      <c r="I2627" s="2408"/>
      <c r="J2627" s="2408"/>
      <c r="K2627" s="2258"/>
      <c r="L2627" s="2360">
        <f>H2627*G2627</f>
        <v>0</v>
      </c>
      <c r="M2627" s="2360">
        <f t="shared" si="526"/>
        <v>0</v>
      </c>
      <c r="N2627" s="2360">
        <f t="shared" si="527"/>
        <v>0</v>
      </c>
      <c r="O2627" s="2360">
        <f t="shared" si="528"/>
        <v>0</v>
      </c>
      <c r="P2627" s="2265"/>
      <c r="Q2627" s="2266"/>
      <c r="R2627" s="2266"/>
      <c r="S2627" s="2266"/>
    </row>
    <row r="2628" spans="1:19" s="2105" customFormat="1" outlineLevel="1">
      <c r="A2628" s="2182" t="str">
        <f t="shared" si="522"/>
        <v/>
      </c>
      <c r="B2628" s="2357" t="s">
        <v>639</v>
      </c>
      <c r="C2628" s="2407"/>
      <c r="D2628" s="2152" t="s">
        <v>1747</v>
      </c>
      <c r="E2628" s="2408" t="s">
        <v>5324</v>
      </c>
      <c r="F2628" s="2152" t="s">
        <v>856</v>
      </c>
      <c r="G2628" s="2152">
        <f>1.48*G2626</f>
        <v>0</v>
      </c>
      <c r="H2628" s="2359">
        <v>0</v>
      </c>
      <c r="I2628" s="2359"/>
      <c r="J2628" s="2359">
        <v>296500.89999999997</v>
      </c>
      <c r="K2628" s="2258"/>
      <c r="L2628" s="2360">
        <f>H2628*G2628</f>
        <v>0</v>
      </c>
      <c r="M2628" s="2360">
        <f t="shared" si="526"/>
        <v>0</v>
      </c>
      <c r="N2628" s="2360">
        <f t="shared" si="527"/>
        <v>0</v>
      </c>
      <c r="O2628" s="2360">
        <f t="shared" si="528"/>
        <v>0</v>
      </c>
      <c r="P2628" s="2265"/>
      <c r="Q2628" s="2266"/>
      <c r="R2628" s="2266"/>
      <c r="S2628" s="2266"/>
    </row>
    <row r="2629" spans="1:19" s="2105" customFormat="1" outlineLevel="1">
      <c r="A2629" s="2182" t="str">
        <f t="shared" si="522"/>
        <v/>
      </c>
      <c r="B2629" s="2357" t="s">
        <v>21</v>
      </c>
      <c r="C2629" s="2407"/>
      <c r="D2629" s="2152" t="s">
        <v>5325</v>
      </c>
      <c r="E2629" s="2408" t="s">
        <v>5326</v>
      </c>
      <c r="F2629" s="2152" t="s">
        <v>856</v>
      </c>
      <c r="G2629" s="2152">
        <f>1.39*G2625</f>
        <v>0</v>
      </c>
      <c r="H2629" s="2359">
        <v>0</v>
      </c>
      <c r="I2629" s="2359"/>
      <c r="J2629" s="2359">
        <v>117703.6</v>
      </c>
      <c r="K2629" s="2258"/>
      <c r="L2629" s="2360">
        <f>H2629*G2629</f>
        <v>0</v>
      </c>
      <c r="M2629" s="2360">
        <f t="shared" si="526"/>
        <v>0</v>
      </c>
      <c r="N2629" s="2360">
        <f t="shared" si="527"/>
        <v>0</v>
      </c>
      <c r="O2629" s="2360">
        <f t="shared" si="528"/>
        <v>0</v>
      </c>
      <c r="P2629" s="2265"/>
      <c r="Q2629" s="2266"/>
      <c r="R2629" s="2266"/>
      <c r="S2629" s="2266"/>
    </row>
    <row r="2630" spans="1:19" s="2105" customFormat="1" outlineLevel="1">
      <c r="A2630" s="2182">
        <f>IF(G2630&lt;&gt;0,1,"")</f>
        <v>1</v>
      </c>
      <c r="B2630" s="2261"/>
      <c r="C2630" s="2463">
        <f>IF(G2630&gt;0,C2625+1,C2625)</f>
        <v>1</v>
      </c>
      <c r="D2630" s="2481"/>
      <c r="E2630" s="2465" t="s">
        <v>6237</v>
      </c>
      <c r="F2630" s="2466" t="s">
        <v>2385</v>
      </c>
      <c r="G2630" s="2467">
        <f>+G2594*1</f>
        <v>1</v>
      </c>
      <c r="H2630" s="2469"/>
      <c r="I2630" s="2482"/>
      <c r="J2630" s="2482"/>
      <c r="K2630" s="2472"/>
      <c r="L2630" s="2472">
        <f t="shared" ref="L2630:L2663" si="529">H2630*G2630</f>
        <v>0</v>
      </c>
      <c r="M2630" s="2472">
        <f t="shared" si="526"/>
        <v>0</v>
      </c>
      <c r="N2630" s="2483">
        <f t="shared" si="527"/>
        <v>0</v>
      </c>
      <c r="O2630" s="2483">
        <f t="shared" si="528"/>
        <v>0</v>
      </c>
      <c r="P2630" s="2483"/>
      <c r="Q2630" s="2266"/>
      <c r="R2630" s="2266"/>
      <c r="S2630" s="2266"/>
    </row>
    <row r="2631" spans="1:19" s="2105" customFormat="1" ht="14.4" outlineLevel="1">
      <c r="A2631" s="2182">
        <f>A2630</f>
        <v>1</v>
      </c>
      <c r="B2631" s="2261"/>
      <c r="C2631" s="2258"/>
      <c r="D2631" s="2259"/>
      <c r="E2631" s="2267" t="s">
        <v>6133</v>
      </c>
      <c r="F2631" s="2268"/>
      <c r="G2631" s="2450"/>
      <c r="H2631" s="2416"/>
      <c r="I2631" s="2416"/>
      <c r="J2631" s="2416"/>
      <c r="K2631" s="2416"/>
      <c r="L2631" s="2360">
        <f t="shared" si="529"/>
        <v>0</v>
      </c>
      <c r="M2631" s="2360">
        <f t="shared" si="526"/>
        <v>0</v>
      </c>
      <c r="N2631" s="2360">
        <f t="shared" si="527"/>
        <v>0</v>
      </c>
      <c r="O2631" s="2360">
        <f t="shared" si="528"/>
        <v>0</v>
      </c>
      <c r="P2631" s="2265"/>
      <c r="Q2631" s="2266"/>
      <c r="R2631" s="2266"/>
      <c r="S2631" s="2266"/>
    </row>
    <row r="2632" spans="1:19" s="2105" customFormat="1" outlineLevel="1">
      <c r="A2632" s="2182">
        <f t="shared" ref="A2632:A2637" si="530">IF(G2632&lt;&gt;0,1,"")</f>
        <v>1</v>
      </c>
      <c r="B2632" s="2133" t="s">
        <v>5151</v>
      </c>
      <c r="C2632" s="2258"/>
      <c r="D2632" s="2152">
        <v>0</v>
      </c>
      <c r="E2632" s="2194" t="s">
        <v>5152</v>
      </c>
      <c r="F2632" s="2152" t="s">
        <v>2590</v>
      </c>
      <c r="G2632" s="2450">
        <f>+G2630*1</f>
        <v>1</v>
      </c>
      <c r="H2632" s="2359">
        <v>960000</v>
      </c>
      <c r="I2632" s="2359"/>
      <c r="J2632" s="2359">
        <v>0</v>
      </c>
      <c r="K2632" s="2359">
        <v>0</v>
      </c>
      <c r="L2632" s="2360">
        <f t="shared" si="529"/>
        <v>960000</v>
      </c>
      <c r="M2632" s="2360">
        <f t="shared" si="526"/>
        <v>0</v>
      </c>
      <c r="N2632" s="2360">
        <f t="shared" si="527"/>
        <v>0</v>
      </c>
      <c r="O2632" s="2360">
        <f t="shared" si="528"/>
        <v>0</v>
      </c>
      <c r="P2632" s="2265"/>
      <c r="Q2632" s="2266"/>
      <c r="R2632" s="2266"/>
      <c r="S2632" s="2266"/>
    </row>
    <row r="2633" spans="1:19" s="2105" customFormat="1" outlineLevel="1">
      <c r="A2633" s="2182">
        <f t="shared" si="530"/>
        <v>1</v>
      </c>
      <c r="B2633" s="2559" t="s">
        <v>5158</v>
      </c>
      <c r="C2633" s="2258"/>
      <c r="D2633" s="2152">
        <v>0</v>
      </c>
      <c r="E2633" s="2194" t="s">
        <v>5159</v>
      </c>
      <c r="F2633" s="2152" t="s">
        <v>5160</v>
      </c>
      <c r="G2633" s="2450">
        <f>G2632*2</f>
        <v>2</v>
      </c>
      <c r="H2633" s="2359">
        <v>140000</v>
      </c>
      <c r="I2633" s="2359"/>
      <c r="J2633" s="2359">
        <v>0</v>
      </c>
      <c r="K2633" s="2359">
        <v>0</v>
      </c>
      <c r="L2633" s="2360">
        <f>H2633*G2633</f>
        <v>280000</v>
      </c>
      <c r="M2633" s="2360">
        <f t="shared" si="526"/>
        <v>0</v>
      </c>
      <c r="N2633" s="2360">
        <f t="shared" si="527"/>
        <v>0</v>
      </c>
      <c r="O2633" s="2360">
        <f t="shared" si="528"/>
        <v>0</v>
      </c>
      <c r="P2633" s="2265"/>
      <c r="Q2633" s="2266"/>
      <c r="R2633" s="2266"/>
      <c r="S2633" s="2266"/>
    </row>
    <row r="2634" spans="1:19" s="2105" customFormat="1" outlineLevel="1">
      <c r="A2634" s="2182">
        <f t="shared" si="530"/>
        <v>1</v>
      </c>
      <c r="B2634" s="2130" t="s">
        <v>488</v>
      </c>
      <c r="C2634" s="2258"/>
      <c r="D2634" s="2152">
        <v>0</v>
      </c>
      <c r="E2634" s="2194" t="s">
        <v>5078</v>
      </c>
      <c r="F2634" s="2152" t="s">
        <v>2439</v>
      </c>
      <c r="G2634" s="2450">
        <f>+G2630*3</f>
        <v>3</v>
      </c>
      <c r="H2634" s="2359">
        <v>65000</v>
      </c>
      <c r="I2634" s="2359">
        <v>0</v>
      </c>
      <c r="J2634" s="2359">
        <v>0</v>
      </c>
      <c r="K2634" s="2359">
        <v>0</v>
      </c>
      <c r="L2634" s="2360">
        <f t="shared" si="529"/>
        <v>195000</v>
      </c>
      <c r="M2634" s="2360">
        <f t="shared" si="526"/>
        <v>0</v>
      </c>
      <c r="N2634" s="2360">
        <f t="shared" si="527"/>
        <v>0</v>
      </c>
      <c r="O2634" s="2360">
        <f t="shared" si="528"/>
        <v>0</v>
      </c>
      <c r="P2634" s="2265"/>
      <c r="Q2634" s="2266"/>
      <c r="R2634" s="2266"/>
      <c r="S2634" s="2266"/>
    </row>
    <row r="2635" spans="1:19" s="2105" customFormat="1" outlineLevel="1">
      <c r="A2635" s="2182">
        <f t="shared" si="530"/>
        <v>1</v>
      </c>
      <c r="B2635" s="2261" t="s">
        <v>1079</v>
      </c>
      <c r="C2635" s="2258"/>
      <c r="D2635" s="2152">
        <v>0</v>
      </c>
      <c r="E2635" s="2194" t="s">
        <v>2651</v>
      </c>
      <c r="F2635" s="2152" t="s">
        <v>2439</v>
      </c>
      <c r="G2635" s="2450">
        <f>+G2630*2</f>
        <v>2</v>
      </c>
      <c r="H2635" s="2359">
        <v>27900</v>
      </c>
      <c r="I2635" s="2416"/>
      <c r="J2635" s="2359">
        <v>0</v>
      </c>
      <c r="K2635" s="2359">
        <v>0</v>
      </c>
      <c r="L2635" s="2360">
        <f t="shared" si="529"/>
        <v>55800</v>
      </c>
      <c r="M2635" s="2360">
        <f t="shared" si="526"/>
        <v>0</v>
      </c>
      <c r="N2635" s="2360">
        <f t="shared" si="527"/>
        <v>0</v>
      </c>
      <c r="O2635" s="2360">
        <f t="shared" si="528"/>
        <v>0</v>
      </c>
      <c r="P2635" s="2265"/>
      <c r="Q2635" s="2266"/>
      <c r="R2635" s="2266"/>
      <c r="S2635" s="2266"/>
    </row>
    <row r="2636" spans="1:19" s="2105" customFormat="1" outlineLevel="1">
      <c r="A2636" s="2182">
        <f t="shared" si="530"/>
        <v>1</v>
      </c>
      <c r="B2636" s="2261" t="s">
        <v>244</v>
      </c>
      <c r="C2636" s="2258"/>
      <c r="D2636" s="2152">
        <v>0</v>
      </c>
      <c r="E2636" s="2194" t="s">
        <v>2641</v>
      </c>
      <c r="F2636" s="2152" t="s">
        <v>2439</v>
      </c>
      <c r="G2636" s="2450">
        <f>+G2630*2</f>
        <v>2</v>
      </c>
      <c r="H2636" s="2359">
        <v>18900</v>
      </c>
      <c r="I2636" s="2416"/>
      <c r="J2636" s="2359">
        <v>0</v>
      </c>
      <c r="K2636" s="2359">
        <v>0</v>
      </c>
      <c r="L2636" s="2360">
        <f>H2636*G2636</f>
        <v>37800</v>
      </c>
      <c r="M2636" s="2360">
        <f t="shared" si="526"/>
        <v>0</v>
      </c>
      <c r="N2636" s="2360">
        <f t="shared" si="527"/>
        <v>0</v>
      </c>
      <c r="O2636" s="2360">
        <f t="shared" si="528"/>
        <v>0</v>
      </c>
      <c r="P2636" s="2265"/>
      <c r="Q2636" s="2266"/>
      <c r="R2636" s="2266"/>
      <c r="S2636" s="2266"/>
    </row>
    <row r="2637" spans="1:19" s="2105" customFormat="1" outlineLevel="1">
      <c r="A2637" s="2182">
        <f t="shared" si="530"/>
        <v>1</v>
      </c>
      <c r="B2637" s="2252" t="s">
        <v>2242</v>
      </c>
      <c r="C2637" s="2258"/>
      <c r="D2637" s="2152" t="s">
        <v>5444</v>
      </c>
      <c r="E2637" s="2194" t="s">
        <v>2440</v>
      </c>
      <c r="F2637" s="2152" t="s">
        <v>2439</v>
      </c>
      <c r="G2637" s="2450">
        <f>+G2630</f>
        <v>1</v>
      </c>
      <c r="H2637" s="2264">
        <v>0</v>
      </c>
      <c r="I2637" s="2359"/>
      <c r="J2637" s="2359">
        <v>474961</v>
      </c>
      <c r="K2637" s="2359">
        <v>0</v>
      </c>
      <c r="L2637" s="2360">
        <f t="shared" si="529"/>
        <v>0</v>
      </c>
      <c r="M2637" s="2360"/>
      <c r="N2637" s="2264">
        <f t="shared" si="527"/>
        <v>474961</v>
      </c>
      <c r="O2637" s="2360"/>
      <c r="P2637" s="2265"/>
      <c r="Q2637" s="2266"/>
      <c r="R2637" s="2266"/>
      <c r="S2637" s="2266"/>
    </row>
    <row r="2638" spans="1:19" s="2105" customFormat="1" outlineLevel="1" collapsed="1">
      <c r="A2638" s="2182">
        <f>IF(G2638&lt;&gt;0,1,"")</f>
        <v>1</v>
      </c>
      <c r="B2638" s="2261"/>
      <c r="C2638" s="2463">
        <f>IF(G2638&gt;0,C2630+1,C2630)</f>
        <v>2</v>
      </c>
      <c r="D2638" s="2481"/>
      <c r="E2638" s="2465" t="s">
        <v>6276</v>
      </c>
      <c r="F2638" s="2466" t="s">
        <v>2385</v>
      </c>
      <c r="G2638" s="2467">
        <v>2</v>
      </c>
      <c r="H2638" s="2469"/>
      <c r="I2638" s="2482"/>
      <c r="J2638" s="2482"/>
      <c r="K2638" s="2472"/>
      <c r="L2638" s="2472">
        <f t="shared" si="529"/>
        <v>0</v>
      </c>
      <c r="M2638" s="2472">
        <f>I2638*G2638</f>
        <v>0</v>
      </c>
      <c r="N2638" s="2483">
        <f>J2638*G2638</f>
        <v>0</v>
      </c>
      <c r="O2638" s="2483">
        <f>K2638*G2638</f>
        <v>0</v>
      </c>
      <c r="P2638" s="2483"/>
      <c r="Q2638" s="2266"/>
      <c r="R2638" s="2266"/>
      <c r="S2638" s="2266"/>
    </row>
    <row r="2639" spans="1:19" s="2105" customFormat="1" ht="14.4" outlineLevel="1">
      <c r="A2639" s="2182">
        <f>A2638</f>
        <v>1</v>
      </c>
      <c r="B2639" s="2261"/>
      <c r="C2639" s="2258"/>
      <c r="D2639" s="2259"/>
      <c r="E2639" s="2267" t="s">
        <v>6133</v>
      </c>
      <c r="F2639" s="2268"/>
      <c r="G2639" s="2450"/>
      <c r="H2639" s="2264"/>
      <c r="I2639" s="2264"/>
      <c r="J2639" s="2264"/>
      <c r="K2639" s="2264"/>
      <c r="L2639" s="2264">
        <f t="shared" si="529"/>
        <v>0</v>
      </c>
      <c r="M2639" s="2264">
        <f>I2639*G2639</f>
        <v>0</v>
      </c>
      <c r="N2639" s="2264">
        <f>J2639*G2639</f>
        <v>0</v>
      </c>
      <c r="O2639" s="2264">
        <f>K2639*G2639</f>
        <v>0</v>
      </c>
      <c r="P2639" s="2389"/>
      <c r="Q2639" s="2266"/>
      <c r="R2639" s="2266"/>
      <c r="S2639" s="2266"/>
    </row>
    <row r="2640" spans="1:19" s="2105" customFormat="1" outlineLevel="1">
      <c r="A2640" s="2182">
        <f t="shared" ref="A2640:A2646" si="531">IF(G2640&lt;&gt;0,1,"")</f>
        <v>1</v>
      </c>
      <c r="B2640" s="2261" t="s">
        <v>2022</v>
      </c>
      <c r="C2640" s="2258"/>
      <c r="D2640" s="2152">
        <v>0</v>
      </c>
      <c r="E2640" s="2194" t="s">
        <v>2437</v>
      </c>
      <c r="F2640" s="2152" t="s">
        <v>2248</v>
      </c>
      <c r="G2640" s="2450">
        <f>G2638*9.02*(2.4+4*0.07)*2</f>
        <v>96.694399999999987</v>
      </c>
      <c r="H2640" s="2264">
        <v>31625</v>
      </c>
      <c r="I2640" s="2264"/>
      <c r="J2640" s="2359">
        <v>0</v>
      </c>
      <c r="K2640" s="2359">
        <v>0</v>
      </c>
      <c r="L2640" s="2264">
        <f t="shared" si="529"/>
        <v>3057960.3999999994</v>
      </c>
      <c r="M2640" s="2264"/>
      <c r="N2640" s="2264"/>
      <c r="O2640" s="2264"/>
      <c r="P2640" s="2389"/>
      <c r="Q2640" s="2266"/>
      <c r="R2640" s="2266"/>
      <c r="S2640" s="2266"/>
    </row>
    <row r="2641" spans="1:19" s="2105" customFormat="1" outlineLevel="1">
      <c r="A2641" s="2182">
        <f t="shared" si="531"/>
        <v>1</v>
      </c>
      <c r="B2641" s="2261" t="s">
        <v>1035</v>
      </c>
      <c r="C2641" s="2258"/>
      <c r="D2641" s="2152">
        <v>0</v>
      </c>
      <c r="E2641" s="2194" t="s">
        <v>6387</v>
      </c>
      <c r="F2641" s="2152" t="s">
        <v>2248</v>
      </c>
      <c r="G2641" s="2450">
        <f>G2638*3.77*0.81*4</f>
        <v>24.429600000000001</v>
      </c>
      <c r="H2641" s="2264">
        <v>31625</v>
      </c>
      <c r="I2641" s="2264"/>
      <c r="J2641" s="2359">
        <v>0</v>
      </c>
      <c r="K2641" s="2359">
        <v>0</v>
      </c>
      <c r="L2641" s="2264">
        <f t="shared" si="529"/>
        <v>772586.1</v>
      </c>
      <c r="M2641" s="2264"/>
      <c r="N2641" s="2264"/>
      <c r="O2641" s="2264"/>
      <c r="P2641" s="2389"/>
      <c r="Q2641" s="2266"/>
      <c r="R2641" s="2266"/>
      <c r="S2641" s="2266"/>
    </row>
    <row r="2642" spans="1:19" s="2105" customFormat="1" outlineLevel="1">
      <c r="A2642" s="2182">
        <f t="shared" si="531"/>
        <v>1</v>
      </c>
      <c r="B2642" s="2261" t="s">
        <v>1610</v>
      </c>
      <c r="C2642" s="2258"/>
      <c r="D2642" s="2152">
        <v>0</v>
      </c>
      <c r="E2642" s="2194" t="s">
        <v>2649</v>
      </c>
      <c r="F2642" s="2152" t="s">
        <v>2385</v>
      </c>
      <c r="G2642" s="2450">
        <f>G2638*2</f>
        <v>4</v>
      </c>
      <c r="H2642" s="2264">
        <v>25400</v>
      </c>
      <c r="I2642" s="2264">
        <v>0</v>
      </c>
      <c r="J2642" s="2359">
        <v>0</v>
      </c>
      <c r="K2642" s="2359">
        <v>0</v>
      </c>
      <c r="L2642" s="2264">
        <f t="shared" si="529"/>
        <v>101600</v>
      </c>
      <c r="M2642" s="2264"/>
      <c r="N2642" s="2264"/>
      <c r="O2642" s="2264"/>
      <c r="P2642" s="2389"/>
      <c r="Q2642" s="2266"/>
      <c r="R2642" s="2266"/>
      <c r="S2642" s="2266"/>
    </row>
    <row r="2643" spans="1:19" s="2105" customFormat="1" outlineLevel="1">
      <c r="A2643" s="2182">
        <f t="shared" si="531"/>
        <v>1</v>
      </c>
      <c r="B2643" s="2261" t="s">
        <v>1786</v>
      </c>
      <c r="C2643" s="2258"/>
      <c r="D2643" s="2152">
        <v>0</v>
      </c>
      <c r="E2643" s="2194" t="s">
        <v>2639</v>
      </c>
      <c r="F2643" s="2152" t="s">
        <v>2385</v>
      </c>
      <c r="G2643" s="2450">
        <f>G2638*4</f>
        <v>8</v>
      </c>
      <c r="H2643" s="2264">
        <v>12400</v>
      </c>
      <c r="I2643" s="2264">
        <v>0</v>
      </c>
      <c r="J2643" s="2359">
        <v>0</v>
      </c>
      <c r="K2643" s="2359">
        <v>0</v>
      </c>
      <c r="L2643" s="2264">
        <f t="shared" si="529"/>
        <v>99200</v>
      </c>
      <c r="M2643" s="2264"/>
      <c r="N2643" s="2264"/>
      <c r="O2643" s="2264"/>
      <c r="P2643" s="2389"/>
      <c r="Q2643" s="2266"/>
      <c r="R2643" s="2266"/>
      <c r="S2643" s="2266"/>
    </row>
    <row r="2644" spans="1:19" s="2105" customFormat="1" outlineLevel="1">
      <c r="A2644" s="2182">
        <f t="shared" si="531"/>
        <v>1</v>
      </c>
      <c r="B2644" s="2261" t="s">
        <v>1784</v>
      </c>
      <c r="C2644" s="2258"/>
      <c r="D2644" s="2152">
        <v>0</v>
      </c>
      <c r="E2644" s="2194" t="s">
        <v>2660</v>
      </c>
      <c r="F2644" s="2152" t="s">
        <v>2385</v>
      </c>
      <c r="G2644" s="2450">
        <f>G2638*4</f>
        <v>8</v>
      </c>
      <c r="H2644" s="2264">
        <v>31800</v>
      </c>
      <c r="I2644" s="2264">
        <v>0</v>
      </c>
      <c r="J2644" s="2359">
        <v>0</v>
      </c>
      <c r="K2644" s="2359">
        <v>0</v>
      </c>
      <c r="L2644" s="2264">
        <f t="shared" si="529"/>
        <v>254400</v>
      </c>
      <c r="M2644" s="2264">
        <f>I2644*G2644</f>
        <v>0</v>
      </c>
      <c r="N2644" s="2264">
        <f>J2644*G2644</f>
        <v>0</v>
      </c>
      <c r="O2644" s="2264">
        <f>K2644*G2644</f>
        <v>0</v>
      </c>
      <c r="P2644" s="2389"/>
      <c r="Q2644" s="2266"/>
      <c r="R2644" s="2266"/>
      <c r="S2644" s="2266"/>
    </row>
    <row r="2645" spans="1:19" s="2105" customFormat="1" outlineLevel="1">
      <c r="A2645" s="2182">
        <f t="shared" si="531"/>
        <v>1</v>
      </c>
      <c r="B2645" s="2261" t="s">
        <v>517</v>
      </c>
      <c r="C2645" s="2258"/>
      <c r="D2645" s="2152" t="s">
        <v>5430</v>
      </c>
      <c r="E2645" s="2194" t="s">
        <v>3173</v>
      </c>
      <c r="F2645" s="2152" t="s">
        <v>2385</v>
      </c>
      <c r="G2645" s="2450">
        <f>G2638</f>
        <v>2</v>
      </c>
      <c r="H2645" s="2264">
        <v>0</v>
      </c>
      <c r="I2645" s="2264"/>
      <c r="J2645" s="2359">
        <v>296544.75</v>
      </c>
      <c r="K2645" s="2359">
        <v>0</v>
      </c>
      <c r="L2645" s="2264">
        <f t="shared" si="529"/>
        <v>0</v>
      </c>
      <c r="M2645" s="2264"/>
      <c r="N2645" s="2264">
        <f>J2645*G2645</f>
        <v>593089.5</v>
      </c>
      <c r="O2645" s="2264"/>
      <c r="P2645" s="2389"/>
      <c r="Q2645" s="2266"/>
      <c r="R2645" s="2266"/>
      <c r="S2645" s="2266"/>
    </row>
    <row r="2646" spans="1:19" s="2105" customFormat="1" outlineLevel="1">
      <c r="A2646" s="2182">
        <f t="shared" si="531"/>
        <v>1</v>
      </c>
      <c r="B2646" s="2261"/>
      <c r="C2646" s="2463">
        <f>IF(G2646&gt;0,C2638+1,C2638)</f>
        <v>3</v>
      </c>
      <c r="D2646" s="2481"/>
      <c r="E2646" s="2465" t="s">
        <v>6277</v>
      </c>
      <c r="F2646" s="2466" t="s">
        <v>2385</v>
      </c>
      <c r="G2646" s="2467">
        <f>G2594*1</f>
        <v>1</v>
      </c>
      <c r="H2646" s="2469"/>
      <c r="I2646" s="2482"/>
      <c r="J2646" s="2482"/>
      <c r="K2646" s="2472"/>
      <c r="L2646" s="2472">
        <f t="shared" si="529"/>
        <v>0</v>
      </c>
      <c r="M2646" s="2472">
        <f>I2646*G2646</f>
        <v>0</v>
      </c>
      <c r="N2646" s="2483">
        <f>J2646*G2646</f>
        <v>0</v>
      </c>
      <c r="O2646" s="2483">
        <f>K2646*G2646</f>
        <v>0</v>
      </c>
      <c r="P2646" s="2483"/>
      <c r="Q2646" s="2266"/>
      <c r="R2646" s="2266"/>
      <c r="S2646" s="2266"/>
    </row>
    <row r="2647" spans="1:19" s="2105" customFormat="1" ht="14.4" outlineLevel="1">
      <c r="A2647" s="2182">
        <f>A2646</f>
        <v>1</v>
      </c>
      <c r="B2647" s="2261"/>
      <c r="C2647" s="2258"/>
      <c r="D2647" s="2259"/>
      <c r="E2647" s="2267" t="s">
        <v>6133</v>
      </c>
      <c r="F2647" s="2268"/>
      <c r="G2647" s="2450"/>
      <c r="H2647" s="2264"/>
      <c r="I2647" s="2264"/>
      <c r="J2647" s="2264"/>
      <c r="K2647" s="2264"/>
      <c r="L2647" s="2264">
        <f t="shared" si="529"/>
        <v>0</v>
      </c>
      <c r="M2647" s="2264">
        <f>I2647*G2647</f>
        <v>0</v>
      </c>
      <c r="N2647" s="2264">
        <f>J2647*G2647</f>
        <v>0</v>
      </c>
      <c r="O2647" s="2264">
        <f>K2647*G2647</f>
        <v>0</v>
      </c>
      <c r="P2647" s="2389"/>
      <c r="Q2647" s="2266"/>
      <c r="R2647" s="2266"/>
      <c r="S2647" s="2266"/>
    </row>
    <row r="2648" spans="1:19" s="2105" customFormat="1" outlineLevel="1">
      <c r="A2648" s="2182">
        <f t="shared" ref="A2648:A2655" si="532">IF(G2648&lt;&gt;0,1,"")</f>
        <v>1</v>
      </c>
      <c r="B2648" s="2261" t="s">
        <v>2022</v>
      </c>
      <c r="C2648" s="2258"/>
      <c r="D2648" s="2152">
        <v>0</v>
      </c>
      <c r="E2648" s="2194" t="s">
        <v>2437</v>
      </c>
      <c r="F2648" s="2152" t="s">
        <v>2248</v>
      </c>
      <c r="G2648" s="2450">
        <f>G2646*(19.84+4*0.63)</f>
        <v>22.36</v>
      </c>
      <c r="H2648" s="2264">
        <v>31625</v>
      </c>
      <c r="I2648" s="2264"/>
      <c r="J2648" s="2359">
        <v>0</v>
      </c>
      <c r="K2648" s="2359">
        <v>0</v>
      </c>
      <c r="L2648" s="2264">
        <f t="shared" si="529"/>
        <v>707135</v>
      </c>
      <c r="M2648" s="2264"/>
      <c r="N2648" s="2264"/>
      <c r="O2648" s="2264"/>
      <c r="P2648" s="2389"/>
      <c r="Q2648" s="2266"/>
      <c r="R2648" s="2266"/>
      <c r="S2648" s="2266"/>
    </row>
    <row r="2649" spans="1:19" s="2105" customFormat="1" outlineLevel="1">
      <c r="A2649" s="2182">
        <f t="shared" si="532"/>
        <v>1</v>
      </c>
      <c r="B2649" s="2261" t="s">
        <v>1035</v>
      </c>
      <c r="C2649" s="2258"/>
      <c r="D2649" s="2152">
        <v>0</v>
      </c>
      <c r="E2649" s="2194" t="s">
        <v>6387</v>
      </c>
      <c r="F2649" s="2152" t="s">
        <v>2248</v>
      </c>
      <c r="G2649" s="2450">
        <f>G2646*3.05*2</f>
        <v>6.1</v>
      </c>
      <c r="H2649" s="2264">
        <v>31625</v>
      </c>
      <c r="I2649" s="2264"/>
      <c r="J2649" s="2359">
        <v>0</v>
      </c>
      <c r="K2649" s="2359">
        <v>0</v>
      </c>
      <c r="L2649" s="2264">
        <f t="shared" si="529"/>
        <v>192912.5</v>
      </c>
      <c r="M2649" s="2264"/>
      <c r="N2649" s="2264"/>
      <c r="O2649" s="2264"/>
      <c r="P2649" s="2389"/>
      <c r="Q2649" s="2266"/>
      <c r="R2649" s="2266"/>
      <c r="S2649" s="2266"/>
    </row>
    <row r="2650" spans="1:19" s="2105" customFormat="1" outlineLevel="1">
      <c r="A2650" s="2182">
        <f t="shared" si="532"/>
        <v>1</v>
      </c>
      <c r="B2650" s="2261" t="s">
        <v>1079</v>
      </c>
      <c r="C2650" s="2258"/>
      <c r="D2650" s="2152">
        <v>0</v>
      </c>
      <c r="E2650" s="2194" t="s">
        <v>2651</v>
      </c>
      <c r="F2650" s="2152" t="s">
        <v>2385</v>
      </c>
      <c r="G2650" s="2450">
        <f>G2646*2</f>
        <v>2</v>
      </c>
      <c r="H2650" s="2264">
        <v>27900</v>
      </c>
      <c r="I2650" s="2264">
        <v>0</v>
      </c>
      <c r="J2650" s="2359">
        <v>0</v>
      </c>
      <c r="K2650" s="2359">
        <v>0</v>
      </c>
      <c r="L2650" s="2264">
        <f t="shared" si="529"/>
        <v>55800</v>
      </c>
      <c r="M2650" s="2264"/>
      <c r="N2650" s="2264"/>
      <c r="O2650" s="2264"/>
      <c r="P2650" s="2389"/>
      <c r="Q2650" s="2266"/>
      <c r="R2650" s="2266"/>
      <c r="S2650" s="2266"/>
    </row>
    <row r="2651" spans="1:19" s="2105" customFormat="1" outlineLevel="1">
      <c r="A2651" s="2182">
        <f t="shared" si="532"/>
        <v>1</v>
      </c>
      <c r="B2651" s="2261" t="s">
        <v>1786</v>
      </c>
      <c r="C2651" s="2258"/>
      <c r="D2651" s="2152">
        <v>0</v>
      </c>
      <c r="E2651" s="2194" t="s">
        <v>2639</v>
      </c>
      <c r="F2651" s="2152" t="s">
        <v>2385</v>
      </c>
      <c r="G2651" s="2450">
        <f>G2646*2</f>
        <v>2</v>
      </c>
      <c r="H2651" s="2264">
        <v>12400</v>
      </c>
      <c r="I2651" s="2264">
        <v>0</v>
      </c>
      <c r="J2651" s="2359">
        <v>0</v>
      </c>
      <c r="K2651" s="2359">
        <v>0</v>
      </c>
      <c r="L2651" s="2264">
        <f t="shared" si="529"/>
        <v>24800</v>
      </c>
      <c r="M2651" s="2264"/>
      <c r="N2651" s="2264"/>
      <c r="O2651" s="2264"/>
      <c r="P2651" s="2389"/>
      <c r="Q2651" s="2266"/>
      <c r="R2651" s="2266"/>
      <c r="S2651" s="2266"/>
    </row>
    <row r="2652" spans="1:19" s="2105" customFormat="1" outlineLevel="1">
      <c r="A2652" s="2182" t="str">
        <f t="shared" si="532"/>
        <v/>
      </c>
      <c r="B2652" s="2261" t="s">
        <v>1735</v>
      </c>
      <c r="C2652" s="2258"/>
      <c r="D2652" s="2152">
        <v>0</v>
      </c>
      <c r="E2652" s="2194" t="s">
        <v>2691</v>
      </c>
      <c r="F2652" s="2152" t="s">
        <v>2385</v>
      </c>
      <c r="G2652" s="2450"/>
      <c r="H2652" s="2264">
        <v>34000</v>
      </c>
      <c r="I2652" s="2264">
        <v>0</v>
      </c>
      <c r="J2652" s="2359">
        <v>0</v>
      </c>
      <c r="K2652" s="2359">
        <v>0</v>
      </c>
      <c r="L2652" s="2264">
        <f t="shared" si="529"/>
        <v>0</v>
      </c>
      <c r="M2652" s="2264"/>
      <c r="N2652" s="2264"/>
      <c r="O2652" s="2264"/>
      <c r="P2652" s="2389"/>
      <c r="Q2652" s="2266"/>
      <c r="R2652" s="2266"/>
      <c r="S2652" s="2266"/>
    </row>
    <row r="2653" spans="1:19" s="2105" customFormat="1" outlineLevel="1">
      <c r="A2653" s="2182" t="str">
        <f t="shared" si="532"/>
        <v/>
      </c>
      <c r="B2653" s="2261" t="s">
        <v>988</v>
      </c>
      <c r="C2653" s="2258"/>
      <c r="D2653" s="2152">
        <v>0</v>
      </c>
      <c r="E2653" s="2194" t="s">
        <v>5270</v>
      </c>
      <c r="F2653" s="2152" t="s">
        <v>2385</v>
      </c>
      <c r="G2653" s="2450"/>
      <c r="H2653" s="2264">
        <v>178900</v>
      </c>
      <c r="I2653" s="2264">
        <v>0</v>
      </c>
      <c r="J2653" s="2359">
        <v>0</v>
      </c>
      <c r="K2653" s="2359">
        <v>0</v>
      </c>
      <c r="L2653" s="2264">
        <f t="shared" si="529"/>
        <v>0</v>
      </c>
      <c r="M2653" s="2264"/>
      <c r="N2653" s="2264"/>
      <c r="O2653" s="2264"/>
      <c r="P2653" s="2389"/>
      <c r="Q2653" s="2266"/>
      <c r="R2653" s="2266"/>
      <c r="S2653" s="2266"/>
    </row>
    <row r="2654" spans="1:19" s="2105" customFormat="1" outlineLevel="1">
      <c r="A2654" s="2182">
        <f t="shared" si="532"/>
        <v>1</v>
      </c>
      <c r="B2654" s="2261" t="s">
        <v>1440</v>
      </c>
      <c r="C2654" s="2258"/>
      <c r="D2654" s="2152" t="s">
        <v>5421</v>
      </c>
      <c r="E2654" s="2194" t="s">
        <v>5422</v>
      </c>
      <c r="F2654" s="2152" t="s">
        <v>2385</v>
      </c>
      <c r="G2654" s="2450">
        <f>G2646</f>
        <v>1</v>
      </c>
      <c r="H2654" s="2264">
        <v>0</v>
      </c>
      <c r="I2654" s="2264"/>
      <c r="J2654" s="2359">
        <v>296544.75</v>
      </c>
      <c r="K2654" s="2359">
        <v>0</v>
      </c>
      <c r="L2654" s="2264">
        <f t="shared" si="529"/>
        <v>0</v>
      </c>
      <c r="M2654" s="2264"/>
      <c r="N2654" s="2264">
        <f>J2654*G2654</f>
        <v>296544.75</v>
      </c>
      <c r="O2654" s="2264"/>
      <c r="P2654" s="2389"/>
      <c r="Q2654" s="2266"/>
      <c r="R2654" s="2266"/>
      <c r="S2654" s="2266"/>
    </row>
    <row r="2655" spans="1:19" s="2105" customFormat="1" outlineLevel="1">
      <c r="A2655" s="2182">
        <f t="shared" si="532"/>
        <v>1</v>
      </c>
      <c r="B2655" s="2261"/>
      <c r="C2655" s="2463">
        <f>IF(G2655&gt;0,C2646+1,C2646)</f>
        <v>4</v>
      </c>
      <c r="D2655" s="2481"/>
      <c r="E2655" s="2465" t="s">
        <v>3720</v>
      </c>
      <c r="F2655" s="2466" t="s">
        <v>2385</v>
      </c>
      <c r="G2655" s="2467">
        <f>G2594</f>
        <v>1</v>
      </c>
      <c r="H2655" s="2469"/>
      <c r="I2655" s="2482"/>
      <c r="J2655" s="2482"/>
      <c r="K2655" s="2472"/>
      <c r="L2655" s="2472">
        <f t="shared" si="529"/>
        <v>0</v>
      </c>
      <c r="M2655" s="2472">
        <f>I2655*G2655</f>
        <v>0</v>
      </c>
      <c r="N2655" s="2483">
        <f t="shared" ref="N2655:N2667" si="533">J2655*G2655</f>
        <v>0</v>
      </c>
      <c r="O2655" s="2483">
        <f>K2655*G2655</f>
        <v>0</v>
      </c>
      <c r="P2655" s="2483"/>
      <c r="Q2655" s="2266"/>
      <c r="R2655" s="2266"/>
      <c r="S2655" s="2266"/>
    </row>
    <row r="2656" spans="1:19" s="2105" customFormat="1" ht="14.4" outlineLevel="1">
      <c r="A2656" s="2182">
        <f>+A2655</f>
        <v>1</v>
      </c>
      <c r="B2656" s="2418"/>
      <c r="C2656" s="2258"/>
      <c r="D2656" s="2259"/>
      <c r="E2656" s="2267" t="s">
        <v>6133</v>
      </c>
      <c r="F2656" s="2268"/>
      <c r="G2656" s="2450"/>
      <c r="H2656" s="2264"/>
      <c r="I2656" s="2264"/>
      <c r="J2656" s="2264"/>
      <c r="K2656" s="2264"/>
      <c r="L2656" s="2264">
        <f t="shared" si="529"/>
        <v>0</v>
      </c>
      <c r="M2656" s="2264">
        <f>I2656*G2656</f>
        <v>0</v>
      </c>
      <c r="N2656" s="2264">
        <f t="shared" si="533"/>
        <v>0</v>
      </c>
      <c r="O2656" s="2264">
        <f>K2656*G2656</f>
        <v>0</v>
      </c>
      <c r="P2656" s="2389"/>
      <c r="Q2656" s="2266"/>
      <c r="R2656" s="2266"/>
      <c r="S2656" s="2266"/>
    </row>
    <row r="2657" spans="1:19" s="2105" customFormat="1" outlineLevel="1">
      <c r="A2657" s="2182">
        <f t="shared" ref="A2657:A2663" si="534">IF(G2657&lt;&gt;0,1,"")</f>
        <v>1</v>
      </c>
      <c r="B2657" s="2261" t="s">
        <v>1033</v>
      </c>
      <c r="C2657" s="2258"/>
      <c r="D2657" s="2152">
        <v>0</v>
      </c>
      <c r="E2657" s="2194" t="s">
        <v>2700</v>
      </c>
      <c r="F2657" s="2152" t="s">
        <v>2248</v>
      </c>
      <c r="G2657" s="2450">
        <f>$H$3*0.224*G2655</f>
        <v>11.872</v>
      </c>
      <c r="H2657" s="2264">
        <v>255500</v>
      </c>
      <c r="I2657" s="2264"/>
      <c r="J2657" s="2359">
        <v>0</v>
      </c>
      <c r="K2657" s="2359">
        <v>0</v>
      </c>
      <c r="L2657" s="2264">
        <f t="shared" si="529"/>
        <v>3033296</v>
      </c>
      <c r="M2657" s="2264">
        <f>I2657*G2657</f>
        <v>0</v>
      </c>
      <c r="N2657" s="2264">
        <f t="shared" si="533"/>
        <v>0</v>
      </c>
      <c r="O2657" s="2264">
        <f>K2657*G2657</f>
        <v>0</v>
      </c>
      <c r="P2657" s="2389"/>
      <c r="Q2657" s="2266"/>
      <c r="R2657" s="2266"/>
      <c r="S2657" s="2266"/>
    </row>
    <row r="2658" spans="1:19" s="2105" customFormat="1" outlineLevel="1">
      <c r="A2658" s="2182">
        <f t="shared" si="534"/>
        <v>1</v>
      </c>
      <c r="B2658" s="2252" t="s">
        <v>1508</v>
      </c>
      <c r="C2658" s="2258"/>
      <c r="D2658" s="2152">
        <v>0</v>
      </c>
      <c r="E2658" s="2194" t="s">
        <v>5163</v>
      </c>
      <c r="F2658" s="2152" t="s">
        <v>2439</v>
      </c>
      <c r="G2658" s="2450">
        <f>($H$2+G2663)*G2655</f>
        <v>9</v>
      </c>
      <c r="H2658" s="2264">
        <v>160000</v>
      </c>
      <c r="I2658" s="2264"/>
      <c r="J2658" s="2359">
        <v>0</v>
      </c>
      <c r="K2658" s="2359">
        <v>0</v>
      </c>
      <c r="L2658" s="2264">
        <f t="shared" si="529"/>
        <v>1440000</v>
      </c>
      <c r="M2658" s="2264">
        <f>I2658*G2658</f>
        <v>0</v>
      </c>
      <c r="N2658" s="2264">
        <f t="shared" si="533"/>
        <v>0</v>
      </c>
      <c r="O2658" s="2264">
        <f>K2658*G2658</f>
        <v>0</v>
      </c>
      <c r="P2658" s="2389"/>
      <c r="Q2658" s="2266"/>
      <c r="R2658" s="2266"/>
      <c r="S2658" s="2266"/>
    </row>
    <row r="2659" spans="1:19" s="2105" customFormat="1" outlineLevel="1">
      <c r="A2659" s="2182" t="str">
        <f t="shared" si="534"/>
        <v/>
      </c>
      <c r="B2659" s="2252" t="s">
        <v>1490</v>
      </c>
      <c r="C2659" s="2258"/>
      <c r="D2659" s="2152">
        <v>0</v>
      </c>
      <c r="E2659" s="2194" t="s">
        <v>3536</v>
      </c>
      <c r="F2659" s="2152" t="s">
        <v>1823</v>
      </c>
      <c r="G2659" s="2450">
        <f>G2655*4*0</f>
        <v>0</v>
      </c>
      <c r="H2659" s="2264">
        <v>6200</v>
      </c>
      <c r="I2659" s="2264"/>
      <c r="J2659" s="2359">
        <v>0</v>
      </c>
      <c r="K2659" s="2359">
        <v>0</v>
      </c>
      <c r="L2659" s="2264">
        <f t="shared" si="529"/>
        <v>0</v>
      </c>
      <c r="M2659" s="2264">
        <f>I2659*G2659</f>
        <v>0</v>
      </c>
      <c r="N2659" s="2264">
        <f t="shared" si="533"/>
        <v>0</v>
      </c>
      <c r="O2659" s="2264">
        <f>K2659*G2659</f>
        <v>0</v>
      </c>
      <c r="P2659" s="2265"/>
      <c r="Q2659" s="2266"/>
      <c r="R2659" s="2266"/>
      <c r="S2659" s="2266"/>
    </row>
    <row r="2660" spans="1:19" s="2105" customFormat="1" outlineLevel="1">
      <c r="A2660" s="2182">
        <f t="shared" si="534"/>
        <v>1</v>
      </c>
      <c r="B2660" s="2261" t="s">
        <v>1579</v>
      </c>
      <c r="C2660" s="2258"/>
      <c r="D2660" s="2152">
        <v>0</v>
      </c>
      <c r="E2660" s="2194" t="s">
        <v>2873</v>
      </c>
      <c r="F2660" s="2152" t="s">
        <v>2555</v>
      </c>
      <c r="G2660" s="2450">
        <f>2*G2655</f>
        <v>2</v>
      </c>
      <c r="H2660" s="2264">
        <v>8000</v>
      </c>
      <c r="I2660" s="2264"/>
      <c r="J2660" s="2359">
        <v>0</v>
      </c>
      <c r="K2660" s="2359">
        <v>0</v>
      </c>
      <c r="L2660" s="2264">
        <f t="shared" si="529"/>
        <v>16000</v>
      </c>
      <c r="M2660" s="2264"/>
      <c r="N2660" s="2264">
        <f t="shared" si="533"/>
        <v>0</v>
      </c>
      <c r="O2660" s="2264"/>
      <c r="P2660" s="2389"/>
      <c r="Q2660" s="2266"/>
      <c r="R2660" s="2266"/>
      <c r="S2660" s="2266"/>
    </row>
    <row r="2661" spans="1:19" s="2105" customFormat="1" outlineLevel="1">
      <c r="A2661" s="2182">
        <f>IF(G2661&lt;&gt;0,1,"")</f>
        <v>1</v>
      </c>
      <c r="B2661" s="2261" t="s">
        <v>816</v>
      </c>
      <c r="C2661" s="2258"/>
      <c r="D2661" s="2152">
        <v>0</v>
      </c>
      <c r="E2661" s="2194" t="s">
        <v>3581</v>
      </c>
      <c r="F2661" s="2152" t="s">
        <v>2555</v>
      </c>
      <c r="G2661" s="2450">
        <v>8</v>
      </c>
      <c r="H2661" s="2264">
        <v>17600</v>
      </c>
      <c r="I2661" s="2264"/>
      <c r="J2661" s="2359">
        <v>0</v>
      </c>
      <c r="K2661" s="2359">
        <v>0</v>
      </c>
      <c r="L2661" s="2264">
        <f>H2661*G2661</f>
        <v>140800</v>
      </c>
      <c r="M2661" s="2264"/>
      <c r="N2661" s="2264">
        <f>J2661*G2661</f>
        <v>0</v>
      </c>
      <c r="O2661" s="2264"/>
      <c r="P2661" s="2389"/>
      <c r="Q2661" s="2266"/>
      <c r="R2661" s="2266"/>
      <c r="S2661" s="2266"/>
    </row>
    <row r="2662" spans="1:19" s="2105" customFormat="1" outlineLevel="1">
      <c r="A2662" s="2182" t="str">
        <f t="shared" si="534"/>
        <v/>
      </c>
      <c r="B2662" s="2252" t="s">
        <v>525</v>
      </c>
      <c r="C2662" s="2258"/>
      <c r="D2662" s="2152">
        <v>0</v>
      </c>
      <c r="E2662" s="2194" t="s">
        <v>5252</v>
      </c>
      <c r="F2662" s="2152" t="s">
        <v>2439</v>
      </c>
      <c r="G2662" s="2450">
        <f>+G2655*2*0</f>
        <v>0</v>
      </c>
      <c r="H2662" s="2264">
        <v>43000</v>
      </c>
      <c r="I2662" s="2264"/>
      <c r="J2662" s="2359">
        <v>0</v>
      </c>
      <c r="K2662" s="2359">
        <v>0</v>
      </c>
      <c r="L2662" s="2264">
        <f t="shared" si="529"/>
        <v>0</v>
      </c>
      <c r="M2662" s="2264">
        <f>I2662*G2662</f>
        <v>0</v>
      </c>
      <c r="N2662" s="2264">
        <f t="shared" si="533"/>
        <v>0</v>
      </c>
      <c r="O2662" s="2264">
        <f>K2662*G2662</f>
        <v>0</v>
      </c>
      <c r="P2662" s="2265"/>
      <c r="Q2662" s="2266"/>
      <c r="R2662" s="2266"/>
      <c r="S2662" s="2266"/>
    </row>
    <row r="2663" spans="1:19" s="2105" customFormat="1" outlineLevel="1">
      <c r="A2663" s="2182" t="str">
        <f t="shared" si="534"/>
        <v/>
      </c>
      <c r="B2663" s="2252" t="s">
        <v>1585</v>
      </c>
      <c r="C2663" s="2258"/>
      <c r="D2663" s="2152">
        <v>0</v>
      </c>
      <c r="E2663" s="2194" t="s">
        <v>5713</v>
      </c>
      <c r="F2663" s="2152" t="s">
        <v>3445</v>
      </c>
      <c r="G2663" s="2450">
        <f>$L$3*G2655</f>
        <v>0</v>
      </c>
      <c r="H2663" s="2264">
        <v>0</v>
      </c>
      <c r="I2663" s="2264"/>
      <c r="J2663" s="2359">
        <v>1500000</v>
      </c>
      <c r="K2663" s="2359">
        <v>0</v>
      </c>
      <c r="L2663" s="2264">
        <f t="shared" si="529"/>
        <v>0</v>
      </c>
      <c r="M2663" s="2264">
        <f>I2663*G2663</f>
        <v>0</v>
      </c>
      <c r="N2663" s="2264">
        <f t="shared" si="533"/>
        <v>0</v>
      </c>
      <c r="O2663" s="2264">
        <f>K2663*G2663</f>
        <v>0</v>
      </c>
      <c r="P2663" s="2389"/>
      <c r="Q2663" s="2266"/>
      <c r="R2663" s="2266"/>
      <c r="S2663" s="2266"/>
    </row>
    <row r="2664" spans="1:19" s="2105" customFormat="1" outlineLevel="1">
      <c r="A2664" s="2182">
        <f>IF(G2664=0,0,1)</f>
        <v>1</v>
      </c>
      <c r="B2664" s="2252" t="s">
        <v>794</v>
      </c>
      <c r="C2664" s="2268"/>
      <c r="D2664" s="2152" t="s">
        <v>5336</v>
      </c>
      <c r="E2664" s="2194" t="s">
        <v>3068</v>
      </c>
      <c r="F2664" s="2152" t="s">
        <v>856</v>
      </c>
      <c r="G2664" s="2450">
        <f>G2655*45*0.3*0.5</f>
        <v>6.75</v>
      </c>
      <c r="H2664" s="2264">
        <v>0</v>
      </c>
      <c r="I2664" s="2264"/>
      <c r="J2664" s="2359">
        <v>283749.75</v>
      </c>
      <c r="K2664" s="2359">
        <v>0</v>
      </c>
      <c r="L2664" s="2264">
        <f t="shared" ref="L2664:O2665" si="535">H2664*$G2664</f>
        <v>0</v>
      </c>
      <c r="M2664" s="2264">
        <f t="shared" si="535"/>
        <v>0</v>
      </c>
      <c r="N2664" s="2264">
        <f t="shared" si="533"/>
        <v>1915310.8125</v>
      </c>
      <c r="O2664" s="2264">
        <f t="shared" si="535"/>
        <v>0</v>
      </c>
      <c r="P2664" s="2389"/>
      <c r="Q2664" s="2266"/>
      <c r="R2664" s="2266"/>
      <c r="S2664" s="2266"/>
    </row>
    <row r="2665" spans="1:19" s="2105" customFormat="1" outlineLevel="1">
      <c r="A2665" s="2182">
        <f>IF(G2665=0,0,1)</f>
        <v>1</v>
      </c>
      <c r="B2665" s="2252" t="s">
        <v>798</v>
      </c>
      <c r="C2665" s="2268"/>
      <c r="D2665" s="2152" t="s">
        <v>5325</v>
      </c>
      <c r="E2665" s="2194" t="s">
        <v>5337</v>
      </c>
      <c r="F2665" s="2152" t="s">
        <v>856</v>
      </c>
      <c r="G2665" s="2450">
        <f>G2664</f>
        <v>6.75</v>
      </c>
      <c r="H2665" s="2264">
        <v>0</v>
      </c>
      <c r="I2665" s="2264"/>
      <c r="J2665" s="2359">
        <v>117703.6</v>
      </c>
      <c r="K2665" s="2359">
        <v>0</v>
      </c>
      <c r="L2665" s="2264">
        <f t="shared" si="535"/>
        <v>0</v>
      </c>
      <c r="M2665" s="2264">
        <f t="shared" si="535"/>
        <v>0</v>
      </c>
      <c r="N2665" s="2264">
        <f t="shared" si="533"/>
        <v>794499.3</v>
      </c>
      <c r="O2665" s="2264">
        <f t="shared" si="535"/>
        <v>0</v>
      </c>
      <c r="P2665" s="2389"/>
      <c r="Q2665" s="2266"/>
      <c r="R2665" s="2266"/>
      <c r="S2665" s="2266"/>
    </row>
    <row r="2666" spans="1:19" s="2105" customFormat="1" outlineLevel="1">
      <c r="A2666" s="2182">
        <f>IF(G2666=0,0,1)</f>
        <v>1</v>
      </c>
      <c r="B2666" s="2252" t="s">
        <v>902</v>
      </c>
      <c r="C2666" s="2268"/>
      <c r="D2666" s="2152" t="s">
        <v>5351</v>
      </c>
      <c r="E2666" s="2194" t="s">
        <v>5352</v>
      </c>
      <c r="F2666" s="2152" t="s">
        <v>2278</v>
      </c>
      <c r="G2666" s="2450">
        <f>G2658</f>
        <v>9</v>
      </c>
      <c r="H2666" s="2264">
        <v>0</v>
      </c>
      <c r="I2666" s="2264"/>
      <c r="J2666" s="2359">
        <v>90355.896000000008</v>
      </c>
      <c r="K2666" s="2359">
        <v>1573.075</v>
      </c>
      <c r="L2666" s="2264">
        <f>H2666*$G2666</f>
        <v>0</v>
      </c>
      <c r="M2666" s="2264">
        <f>I2666*$G2666</f>
        <v>0</v>
      </c>
      <c r="N2666" s="2264">
        <f t="shared" si="533"/>
        <v>813203.06400000001</v>
      </c>
      <c r="O2666" s="2264">
        <f>K2666*$G2666</f>
        <v>14157.675000000001</v>
      </c>
      <c r="P2666" s="2389"/>
      <c r="Q2666" s="2266"/>
      <c r="R2666" s="2266"/>
      <c r="S2666" s="2266"/>
    </row>
    <row r="2667" spans="1:19" s="2105" customFormat="1" outlineLevel="1">
      <c r="A2667" s="2182">
        <f>IF(G2667&lt;&gt;0,1,"")</f>
        <v>1</v>
      </c>
      <c r="B2667" s="2252" t="s">
        <v>6278</v>
      </c>
      <c r="C2667" s="2258"/>
      <c r="D2667" s="2152" t="s">
        <v>5345</v>
      </c>
      <c r="E2667" s="2194" t="s">
        <v>3151</v>
      </c>
      <c r="F2667" s="2152" t="s">
        <v>2248</v>
      </c>
      <c r="G2667" s="2450">
        <f>G2657</f>
        <v>11.872</v>
      </c>
      <c r="H2667" s="2264">
        <v>0</v>
      </c>
      <c r="I2667" s="2264"/>
      <c r="J2667" s="2359">
        <v>2578.65</v>
      </c>
      <c r="K2667" s="2359">
        <v>0</v>
      </c>
      <c r="L2667" s="2264">
        <f>H2667*G2667</f>
        <v>0</v>
      </c>
      <c r="M2667" s="2264">
        <f>I2667*G2667</f>
        <v>0</v>
      </c>
      <c r="N2667" s="2264">
        <f t="shared" si="533"/>
        <v>30613.732800000002</v>
      </c>
      <c r="O2667" s="2264">
        <f>K2667*G2667</f>
        <v>0</v>
      </c>
      <c r="P2667" s="2389"/>
      <c r="Q2667" s="2266"/>
      <c r="R2667" s="2266"/>
      <c r="S2667" s="2266"/>
    </row>
    <row r="2668" spans="1:19" s="2105" customFormat="1" outlineLevel="1">
      <c r="A2668" s="2182">
        <f>IF(G2668&lt;&gt;0,1,"")</f>
        <v>1</v>
      </c>
      <c r="B2668" s="2261"/>
      <c r="C2668" s="2463">
        <f>IF(G2668&gt;0,C2655+1,C2655)</f>
        <v>5</v>
      </c>
      <c r="D2668" s="2481"/>
      <c r="E2668" s="2465" t="s">
        <v>6209</v>
      </c>
      <c r="F2668" s="2466" t="s">
        <v>2385</v>
      </c>
      <c r="G2668" s="2467">
        <f>G2594</f>
        <v>1</v>
      </c>
      <c r="H2668" s="2469"/>
      <c r="I2668" s="2482"/>
      <c r="J2668" s="2482"/>
      <c r="K2668" s="2472"/>
      <c r="L2668" s="2472">
        <f>H2668*G2668</f>
        <v>0</v>
      </c>
      <c r="M2668" s="2472">
        <f>I2668*G2668</f>
        <v>0</v>
      </c>
      <c r="N2668" s="2483">
        <f>J2668*G2668</f>
        <v>0</v>
      </c>
      <c r="O2668" s="2483">
        <f>K2668*G2668</f>
        <v>0</v>
      </c>
      <c r="P2668" s="2483"/>
      <c r="Q2668" s="2266"/>
      <c r="R2668" s="2266"/>
      <c r="S2668" s="2266"/>
    </row>
    <row r="2669" spans="1:19" s="2105" customFormat="1" ht="14.4" outlineLevel="1">
      <c r="A2669" s="2182">
        <f>A2668</f>
        <v>1</v>
      </c>
      <c r="B2669" s="2261"/>
      <c r="C2669" s="2258"/>
      <c r="D2669" s="2259"/>
      <c r="E2669" s="2267" t="s">
        <v>6133</v>
      </c>
      <c r="F2669" s="2268"/>
      <c r="G2669" s="2450"/>
      <c r="H2669" s="2264"/>
      <c r="I2669" s="2264"/>
      <c r="J2669" s="2264"/>
      <c r="K2669" s="2264"/>
      <c r="L2669" s="2264">
        <f>H2669*G2669</f>
        <v>0</v>
      </c>
      <c r="M2669" s="2264">
        <f>I2669*G2669</f>
        <v>0</v>
      </c>
      <c r="N2669" s="2264">
        <f>J2669*G2669</f>
        <v>0</v>
      </c>
      <c r="O2669" s="2264">
        <f>K2669*G2669</f>
        <v>0</v>
      </c>
      <c r="P2669" s="2389"/>
      <c r="Q2669" s="2266"/>
      <c r="R2669" s="2266"/>
      <c r="S2669" s="2266"/>
    </row>
    <row r="2670" spans="1:19" s="2105" customFormat="1" outlineLevel="1">
      <c r="A2670" s="2182">
        <f>IF(G2670&lt;&gt;0,1,"")</f>
        <v>1</v>
      </c>
      <c r="B2670" s="2252" t="s">
        <v>6279</v>
      </c>
      <c r="C2670" s="2268"/>
      <c r="D2670" s="2152" t="s">
        <v>5633</v>
      </c>
      <c r="E2670" s="2194" t="s">
        <v>5637</v>
      </c>
      <c r="F2670" s="2152" t="s">
        <v>2555</v>
      </c>
      <c r="G2670" s="2450">
        <f>G2668</f>
        <v>1</v>
      </c>
      <c r="H2670" s="2264">
        <v>60000000</v>
      </c>
      <c r="I2670" s="2264"/>
      <c r="J2670" s="2264">
        <v>690091</v>
      </c>
      <c r="K2670" s="2264">
        <v>97369</v>
      </c>
      <c r="L2670" s="2264">
        <f>H2670*G2670</f>
        <v>60000000</v>
      </c>
      <c r="M2670" s="2264">
        <f>I2670*G2670</f>
        <v>0</v>
      </c>
      <c r="N2670" s="2264">
        <f>J2670*G2670</f>
        <v>690091</v>
      </c>
      <c r="O2670" s="2264">
        <f>K2670*G2670</f>
        <v>97369</v>
      </c>
      <c r="P2670" s="2389"/>
      <c r="Q2670" s="2266"/>
      <c r="R2670" s="2266"/>
      <c r="S2670" s="2266"/>
    </row>
    <row r="2671" spans="1:19" s="2105" customFormat="1" outlineLevel="1">
      <c r="A2671" s="2182">
        <f>IF(G2671&lt;&gt;0,1,"")</f>
        <v>1</v>
      </c>
      <c r="B2671" s="2252" t="s">
        <v>880</v>
      </c>
      <c r="C2671" s="2258"/>
      <c r="D2671" s="2152">
        <v>0</v>
      </c>
      <c r="E2671" s="2194" t="s">
        <v>5799</v>
      </c>
      <c r="F2671" s="2152" t="s">
        <v>2555</v>
      </c>
      <c r="G2671" s="2450">
        <f>+G2668</f>
        <v>1</v>
      </c>
      <c r="H2671" s="2264">
        <v>284000</v>
      </c>
      <c r="I2671" s="2264"/>
      <c r="J2671" s="2264">
        <v>5404</v>
      </c>
      <c r="K2671" s="2264">
        <v>0</v>
      </c>
      <c r="L2671" s="2264">
        <f t="shared" ref="L2671:L2691" si="536">H2671*G2671</f>
        <v>284000</v>
      </c>
      <c r="M2671" s="2264">
        <f t="shared" ref="M2671:M2691" si="537">I2671*G2671</f>
        <v>0</v>
      </c>
      <c r="N2671" s="2264">
        <f t="shared" ref="N2671:N2691" si="538">J2671*G2671</f>
        <v>5404</v>
      </c>
      <c r="O2671" s="2264">
        <f t="shared" ref="O2671:O2691" si="539">K2671*G2671</f>
        <v>0</v>
      </c>
      <c r="P2671" s="2389"/>
      <c r="Q2671" s="2266"/>
      <c r="R2671" s="2266"/>
      <c r="S2671" s="2266"/>
    </row>
    <row r="2672" spans="1:19" s="2105" customFormat="1" outlineLevel="1">
      <c r="A2672" s="2182">
        <f>IF(G2672&lt;&gt;0,1,"")</f>
        <v>1</v>
      </c>
      <c r="B2672" s="2252" t="s">
        <v>289</v>
      </c>
      <c r="C2672" s="2268"/>
      <c r="D2672" s="2152">
        <v>0</v>
      </c>
      <c r="E2672" s="2194" t="s">
        <v>5712</v>
      </c>
      <c r="F2672" s="2152" t="s">
        <v>2555</v>
      </c>
      <c r="G2672" s="2450">
        <f>G2668</f>
        <v>1</v>
      </c>
      <c r="H2672" s="2264">
        <v>300000</v>
      </c>
      <c r="I2672" s="2264"/>
      <c r="J2672" s="2264">
        <v>0</v>
      </c>
      <c r="K2672" s="2264">
        <v>0</v>
      </c>
      <c r="L2672" s="2264">
        <f t="shared" si="536"/>
        <v>300000</v>
      </c>
      <c r="M2672" s="2264">
        <f t="shared" si="537"/>
        <v>0</v>
      </c>
      <c r="N2672" s="2264">
        <f t="shared" si="538"/>
        <v>0</v>
      </c>
      <c r="O2672" s="2264">
        <f t="shared" si="539"/>
        <v>0</v>
      </c>
      <c r="P2672" s="2389"/>
      <c r="Q2672" s="2266"/>
      <c r="R2672" s="2266"/>
      <c r="S2672" s="2266"/>
    </row>
    <row r="2673" spans="1:19" s="2105" customFormat="1" outlineLevel="1">
      <c r="A2673" s="2182" t="str">
        <f>IF(G2673&lt;&gt;0,1,"")</f>
        <v/>
      </c>
      <c r="B2673" s="2252"/>
      <c r="C2673" s="2463">
        <f>IF(G2673&gt;0,C2668+1,C2668)</f>
        <v>5</v>
      </c>
      <c r="D2673" s="2481"/>
      <c r="E2673" s="2465" t="s">
        <v>3724</v>
      </c>
      <c r="F2673" s="2466" t="s">
        <v>2532</v>
      </c>
      <c r="G2673" s="2467"/>
      <c r="H2673" s="2469"/>
      <c r="I2673" s="2482"/>
      <c r="J2673" s="2482"/>
      <c r="K2673" s="2472"/>
      <c r="L2673" s="2472">
        <f t="shared" si="536"/>
        <v>0</v>
      </c>
      <c r="M2673" s="2472">
        <f t="shared" si="537"/>
        <v>0</v>
      </c>
      <c r="N2673" s="2483">
        <f t="shared" si="538"/>
        <v>0</v>
      </c>
      <c r="O2673" s="2483">
        <f t="shared" si="539"/>
        <v>0</v>
      </c>
      <c r="P2673" s="2483"/>
      <c r="Q2673" s="2266"/>
      <c r="R2673" s="2266"/>
      <c r="S2673" s="2266"/>
    </row>
    <row r="2674" spans="1:19" s="2105" customFormat="1" ht="14.4" outlineLevel="1">
      <c r="A2674" s="2182" t="str">
        <f>A2673</f>
        <v/>
      </c>
      <c r="B2674" s="2252"/>
      <c r="C2674" s="2258"/>
      <c r="D2674" s="2259"/>
      <c r="E2674" s="2267" t="s">
        <v>6133</v>
      </c>
      <c r="F2674" s="2268"/>
      <c r="G2674" s="2421"/>
      <c r="H2674" s="2264"/>
      <c r="I2674" s="2264"/>
      <c r="J2674" s="2264"/>
      <c r="K2674" s="2264"/>
      <c r="L2674" s="2264">
        <f t="shared" si="536"/>
        <v>0</v>
      </c>
      <c r="M2674" s="2264">
        <f t="shared" si="537"/>
        <v>0</v>
      </c>
      <c r="N2674" s="2264">
        <f t="shared" si="538"/>
        <v>0</v>
      </c>
      <c r="O2674" s="2264">
        <f t="shared" si="539"/>
        <v>0</v>
      </c>
      <c r="P2674" s="2265"/>
      <c r="Q2674" s="2266"/>
      <c r="R2674" s="2266"/>
      <c r="S2674" s="2266"/>
    </row>
    <row r="2675" spans="1:19" s="2105" customFormat="1" outlineLevel="1">
      <c r="A2675" s="2182" t="str">
        <f t="shared" ref="A2675:A2683" si="540">IF(G2675&lt;&gt;0,1,"")</f>
        <v/>
      </c>
      <c r="B2675" s="2554" t="s">
        <v>752</v>
      </c>
      <c r="C2675" s="2268"/>
      <c r="D2675" s="2152">
        <v>0</v>
      </c>
      <c r="E2675" s="2359" t="s">
        <v>6375</v>
      </c>
      <c r="F2675" s="2152" t="s">
        <v>856</v>
      </c>
      <c r="G2675" s="2270">
        <f>G2673*0.315</f>
        <v>0</v>
      </c>
      <c r="H2675" s="2264">
        <v>512000</v>
      </c>
      <c r="I2675" s="2264"/>
      <c r="J2675" s="2264">
        <v>0</v>
      </c>
      <c r="K2675" s="2264">
        <v>0</v>
      </c>
      <c r="L2675" s="2264">
        <f t="shared" si="536"/>
        <v>0</v>
      </c>
      <c r="M2675" s="2264">
        <f t="shared" si="537"/>
        <v>0</v>
      </c>
      <c r="N2675" s="2264">
        <f t="shared" si="538"/>
        <v>0</v>
      </c>
      <c r="O2675" s="2264">
        <f t="shared" si="539"/>
        <v>0</v>
      </c>
      <c r="P2675" s="2265"/>
      <c r="Q2675" s="2266"/>
      <c r="R2675" s="2266"/>
      <c r="S2675" s="2266"/>
    </row>
    <row r="2676" spans="1:19" s="2105" customFormat="1" outlineLevel="1">
      <c r="A2676" s="2182" t="str">
        <f t="shared" si="540"/>
        <v/>
      </c>
      <c r="B2676" s="2554" t="s">
        <v>520</v>
      </c>
      <c r="C2676" s="2268"/>
      <c r="D2676" s="2152">
        <v>0</v>
      </c>
      <c r="E2676" s="2359" t="s">
        <v>6376</v>
      </c>
      <c r="F2676" s="2152" t="s">
        <v>856</v>
      </c>
      <c r="G2676" s="2270">
        <f>0.092*G2673</f>
        <v>0</v>
      </c>
      <c r="H2676" s="2264">
        <v>295000</v>
      </c>
      <c r="I2676" s="2264"/>
      <c r="J2676" s="2264">
        <v>0</v>
      </c>
      <c r="K2676" s="2264">
        <v>0</v>
      </c>
      <c r="L2676" s="2264">
        <f t="shared" si="536"/>
        <v>0</v>
      </c>
      <c r="M2676" s="2264">
        <f t="shared" si="537"/>
        <v>0</v>
      </c>
      <c r="N2676" s="2264">
        <f t="shared" si="538"/>
        <v>0</v>
      </c>
      <c r="O2676" s="2264">
        <f t="shared" si="539"/>
        <v>0</v>
      </c>
      <c r="P2676" s="2265"/>
      <c r="Q2676" s="2266"/>
      <c r="R2676" s="2266"/>
      <c r="S2676" s="2266"/>
    </row>
    <row r="2677" spans="1:19" s="2105" customFormat="1" outlineLevel="1">
      <c r="A2677" s="2182" t="str">
        <f t="shared" si="540"/>
        <v/>
      </c>
      <c r="B2677" s="2554" t="s">
        <v>1675</v>
      </c>
      <c r="C2677" s="2268"/>
      <c r="D2677" s="2152">
        <v>0</v>
      </c>
      <c r="E2677" s="2359" t="s">
        <v>6377</v>
      </c>
      <c r="F2677" s="2152" t="s">
        <v>3006</v>
      </c>
      <c r="G2677" s="2270">
        <f>3.3*G2673</f>
        <v>0</v>
      </c>
      <c r="H2677" s="2264">
        <v>7000</v>
      </c>
      <c r="I2677" s="2264"/>
      <c r="J2677" s="2264">
        <v>0</v>
      </c>
      <c r="K2677" s="2264">
        <v>0</v>
      </c>
      <c r="L2677" s="2264">
        <f t="shared" si="536"/>
        <v>0</v>
      </c>
      <c r="M2677" s="2264">
        <f t="shared" si="537"/>
        <v>0</v>
      </c>
      <c r="N2677" s="2264">
        <f t="shared" si="538"/>
        <v>0</v>
      </c>
      <c r="O2677" s="2264">
        <f t="shared" si="539"/>
        <v>0</v>
      </c>
      <c r="P2677" s="2265"/>
      <c r="Q2677" s="2266"/>
      <c r="R2677" s="2266"/>
      <c r="S2677" s="2266"/>
    </row>
    <row r="2678" spans="1:19" s="2105" customFormat="1" outlineLevel="1">
      <c r="A2678" s="2182" t="str">
        <f t="shared" si="540"/>
        <v/>
      </c>
      <c r="B2678" s="2554" t="s">
        <v>1676</v>
      </c>
      <c r="C2678" s="2268"/>
      <c r="D2678" s="2152" t="s">
        <v>5290</v>
      </c>
      <c r="E2678" s="2359" t="s">
        <v>6378</v>
      </c>
      <c r="F2678" s="2152" t="s">
        <v>1960</v>
      </c>
      <c r="G2678" s="2270">
        <f>0.4*G2673</f>
        <v>0</v>
      </c>
      <c r="H2678" s="2264">
        <v>10000</v>
      </c>
      <c r="I2678" s="2264"/>
      <c r="J2678" s="2264">
        <v>1187.155</v>
      </c>
      <c r="K2678" s="2264">
        <v>0</v>
      </c>
      <c r="L2678" s="2264">
        <f t="shared" si="536"/>
        <v>0</v>
      </c>
      <c r="M2678" s="2264">
        <f t="shared" si="537"/>
        <v>0</v>
      </c>
      <c r="N2678" s="2264">
        <f t="shared" si="538"/>
        <v>0</v>
      </c>
      <c r="O2678" s="2264">
        <f t="shared" si="539"/>
        <v>0</v>
      </c>
      <c r="P2678" s="2265"/>
      <c r="Q2678" s="2266"/>
      <c r="R2678" s="2266"/>
      <c r="S2678" s="2266"/>
    </row>
    <row r="2679" spans="1:19" s="2105" customFormat="1" outlineLevel="1">
      <c r="A2679" s="2182" t="str">
        <f t="shared" si="540"/>
        <v/>
      </c>
      <c r="B2679" s="2554" t="s">
        <v>1518</v>
      </c>
      <c r="C2679" s="2258"/>
      <c r="D2679" s="2152">
        <v>0</v>
      </c>
      <c r="E2679" s="2359" t="s">
        <v>3530</v>
      </c>
      <c r="F2679" s="2152" t="s">
        <v>1823</v>
      </c>
      <c r="G2679" s="2269">
        <f>1*G2673</f>
        <v>0</v>
      </c>
      <c r="H2679" s="2264">
        <v>165250</v>
      </c>
      <c r="I2679" s="2264"/>
      <c r="J2679" s="2264">
        <v>0</v>
      </c>
      <c r="K2679" s="2264">
        <v>0</v>
      </c>
      <c r="L2679" s="2264">
        <f t="shared" si="536"/>
        <v>0</v>
      </c>
      <c r="M2679" s="2264">
        <f t="shared" si="537"/>
        <v>0</v>
      </c>
      <c r="N2679" s="2264">
        <f t="shared" si="538"/>
        <v>0</v>
      </c>
      <c r="O2679" s="2264">
        <f t="shared" si="539"/>
        <v>0</v>
      </c>
      <c r="P2679" s="2265"/>
      <c r="Q2679" s="2266"/>
      <c r="R2679" s="2266"/>
      <c r="S2679" s="2266"/>
    </row>
    <row r="2680" spans="1:19" s="2105" customFormat="1" outlineLevel="1">
      <c r="A2680" s="2182" t="str">
        <f t="shared" si="540"/>
        <v/>
      </c>
      <c r="B2680" s="2554" t="s">
        <v>1678</v>
      </c>
      <c r="C2680" s="2268"/>
      <c r="D2680" s="2152" t="s">
        <v>5333</v>
      </c>
      <c r="E2680" s="2359" t="s">
        <v>6379</v>
      </c>
      <c r="F2680" s="2152" t="s">
        <v>856</v>
      </c>
      <c r="G2680" s="2270">
        <f>G2675+G2676</f>
        <v>0</v>
      </c>
      <c r="H2680" s="2264">
        <v>0</v>
      </c>
      <c r="I2680" s="2264"/>
      <c r="J2680" s="2264">
        <v>315277.5</v>
      </c>
      <c r="K2680" s="2264">
        <v>0</v>
      </c>
      <c r="L2680" s="2264">
        <f t="shared" si="536"/>
        <v>0</v>
      </c>
      <c r="M2680" s="2264">
        <f t="shared" si="537"/>
        <v>0</v>
      </c>
      <c r="N2680" s="2264">
        <f t="shared" si="538"/>
        <v>0</v>
      </c>
      <c r="O2680" s="2264">
        <f t="shared" si="539"/>
        <v>0</v>
      </c>
      <c r="P2680" s="2265"/>
      <c r="Q2680" s="2266"/>
      <c r="R2680" s="2266"/>
      <c r="S2680" s="2266"/>
    </row>
    <row r="2681" spans="1:19" s="2105" customFormat="1" outlineLevel="1">
      <c r="A2681" s="2182" t="str">
        <f t="shared" si="540"/>
        <v/>
      </c>
      <c r="B2681" s="2554" t="s">
        <v>144</v>
      </c>
      <c r="C2681" s="2268"/>
      <c r="D2681" s="2152" t="s">
        <v>5327</v>
      </c>
      <c r="E2681" s="2359" t="s">
        <v>6380</v>
      </c>
      <c r="F2681" s="2152" t="s">
        <v>856</v>
      </c>
      <c r="G2681" s="2270">
        <f>G2673*0.48</f>
        <v>0</v>
      </c>
      <c r="H2681" s="2264">
        <v>0</v>
      </c>
      <c r="I2681" s="2264"/>
      <c r="J2681" s="2264">
        <v>640731.36</v>
      </c>
      <c r="K2681" s="2264">
        <v>0</v>
      </c>
      <c r="L2681" s="2264">
        <f t="shared" si="536"/>
        <v>0</v>
      </c>
      <c r="M2681" s="2264">
        <f t="shared" si="537"/>
        <v>0</v>
      </c>
      <c r="N2681" s="2264">
        <f t="shared" si="538"/>
        <v>0</v>
      </c>
      <c r="O2681" s="2264">
        <f t="shared" si="539"/>
        <v>0</v>
      </c>
      <c r="P2681" s="2265"/>
      <c r="Q2681" s="2266"/>
      <c r="R2681" s="2266"/>
      <c r="S2681" s="2266"/>
    </row>
    <row r="2682" spans="1:19" s="2105" customFormat="1" outlineLevel="1">
      <c r="A2682" s="2182" t="str">
        <f t="shared" si="540"/>
        <v/>
      </c>
      <c r="B2682" s="2554" t="s">
        <v>529</v>
      </c>
      <c r="C2682" s="2268"/>
      <c r="D2682" s="2152" t="s">
        <v>5332</v>
      </c>
      <c r="E2682" s="2359" t="s">
        <v>6381</v>
      </c>
      <c r="F2682" s="2152" t="s">
        <v>856</v>
      </c>
      <c r="G2682" s="2270">
        <f>G2673*0.073</f>
        <v>0</v>
      </c>
      <c r="H2682" s="2264">
        <v>0</v>
      </c>
      <c r="I2682" s="2264"/>
      <c r="J2682" s="2264">
        <v>21935.133999999998</v>
      </c>
      <c r="K2682" s="2264">
        <v>0</v>
      </c>
      <c r="L2682" s="2264">
        <f t="shared" si="536"/>
        <v>0</v>
      </c>
      <c r="M2682" s="2264">
        <f t="shared" si="537"/>
        <v>0</v>
      </c>
      <c r="N2682" s="2264">
        <f t="shared" si="538"/>
        <v>0</v>
      </c>
      <c r="O2682" s="2264">
        <f t="shared" si="539"/>
        <v>0</v>
      </c>
      <c r="P2682" s="2265"/>
      <c r="Q2682" s="2266"/>
      <c r="R2682" s="2422">
        <v>0.47499999999999998</v>
      </c>
      <c r="S2682" s="2266"/>
    </row>
    <row r="2683" spans="1:19" s="2105" customFormat="1" outlineLevel="1">
      <c r="A2683" s="2182" t="str">
        <f t="shared" si="540"/>
        <v/>
      </c>
      <c r="B2683" s="2261"/>
      <c r="C2683" s="2463">
        <f>IF(G2683&gt;0,C2673+1,C2673)</f>
        <v>5</v>
      </c>
      <c r="D2683" s="2481"/>
      <c r="E2683" s="2465" t="s">
        <v>3725</v>
      </c>
      <c r="F2683" s="2466" t="s">
        <v>2385</v>
      </c>
      <c r="G2683" s="2467"/>
      <c r="H2683" s="2469"/>
      <c r="I2683" s="2482"/>
      <c r="J2683" s="2482"/>
      <c r="K2683" s="2472"/>
      <c r="L2683" s="2472">
        <f t="shared" si="536"/>
        <v>0</v>
      </c>
      <c r="M2683" s="2472">
        <f t="shared" si="537"/>
        <v>0</v>
      </c>
      <c r="N2683" s="2483">
        <f t="shared" si="538"/>
        <v>0</v>
      </c>
      <c r="O2683" s="2483">
        <f t="shared" si="539"/>
        <v>0</v>
      </c>
      <c r="P2683" s="2483"/>
      <c r="Q2683" s="2266"/>
      <c r="R2683" s="2422">
        <v>0.88100000000000001</v>
      </c>
      <c r="S2683" s="2266"/>
    </row>
    <row r="2684" spans="1:19" s="2105" customFormat="1" ht="14.4" outlineLevel="1">
      <c r="A2684" s="2182" t="str">
        <f>A2683</f>
        <v/>
      </c>
      <c r="B2684" s="2261"/>
      <c r="C2684" s="2258"/>
      <c r="D2684" s="2259"/>
      <c r="E2684" s="2267" t="s">
        <v>6133</v>
      </c>
      <c r="F2684" s="2268"/>
      <c r="G2684" s="2421"/>
      <c r="H2684" s="2264"/>
      <c r="I2684" s="2264"/>
      <c r="J2684" s="2264"/>
      <c r="K2684" s="2264"/>
      <c r="L2684" s="2264">
        <f t="shared" si="536"/>
        <v>0</v>
      </c>
      <c r="M2684" s="2264">
        <f t="shared" si="537"/>
        <v>0</v>
      </c>
      <c r="N2684" s="2264">
        <f t="shared" si="538"/>
        <v>0</v>
      </c>
      <c r="O2684" s="2264">
        <f t="shared" si="539"/>
        <v>0</v>
      </c>
      <c r="P2684" s="2265"/>
      <c r="Q2684" s="2266"/>
      <c r="R2684" s="2266"/>
      <c r="S2684" s="2266"/>
    </row>
    <row r="2685" spans="1:19" s="2105" customFormat="1" outlineLevel="1">
      <c r="A2685" s="2182" t="str">
        <f t="shared" ref="A2685:A2692" si="541">IF(G2685&lt;&gt;0,1,"")</f>
        <v/>
      </c>
      <c r="B2685" s="2261" t="s">
        <v>623</v>
      </c>
      <c r="C2685" s="2268"/>
      <c r="D2685" s="2152" t="s">
        <v>5305</v>
      </c>
      <c r="E2685" s="2194" t="s">
        <v>5306</v>
      </c>
      <c r="F2685" s="2152" t="s">
        <v>2532</v>
      </c>
      <c r="G2685" s="2269">
        <f>G2683*5</f>
        <v>0</v>
      </c>
      <c r="H2685" s="2264">
        <v>278000</v>
      </c>
      <c r="I2685" s="2264"/>
      <c r="J2685" s="2264">
        <v>127101.65849999999</v>
      </c>
      <c r="K2685" s="2264">
        <v>0</v>
      </c>
      <c r="L2685" s="2264">
        <f t="shared" si="536"/>
        <v>0</v>
      </c>
      <c r="M2685" s="2264">
        <f t="shared" si="537"/>
        <v>0</v>
      </c>
      <c r="N2685" s="2264">
        <f t="shared" si="538"/>
        <v>0</v>
      </c>
      <c r="O2685" s="2264">
        <f t="shared" si="539"/>
        <v>0</v>
      </c>
      <c r="P2685" s="2265"/>
      <c r="Q2685" s="2266"/>
      <c r="R2685" s="2266"/>
      <c r="S2685" s="2266"/>
    </row>
    <row r="2686" spans="1:19" s="2105" customFormat="1" outlineLevel="1">
      <c r="A2686" s="2182" t="str">
        <f t="shared" si="541"/>
        <v/>
      </c>
      <c r="B2686" s="2554" t="s">
        <v>473</v>
      </c>
      <c r="C2686" s="2258"/>
      <c r="D2686" s="2152">
        <v>0</v>
      </c>
      <c r="E2686" s="2194" t="s">
        <v>3552</v>
      </c>
      <c r="F2686" s="2152" t="s">
        <v>2555</v>
      </c>
      <c r="G2686" s="2269">
        <f>G2683</f>
        <v>0</v>
      </c>
      <c r="H2686" s="2264">
        <v>138000</v>
      </c>
      <c r="I2686" s="2264"/>
      <c r="J2686" s="2264">
        <v>0</v>
      </c>
      <c r="K2686" s="2264">
        <v>0</v>
      </c>
      <c r="L2686" s="2264">
        <f t="shared" si="536"/>
        <v>0</v>
      </c>
      <c r="M2686" s="2264">
        <f t="shared" si="537"/>
        <v>0</v>
      </c>
      <c r="N2686" s="2264">
        <f t="shared" si="538"/>
        <v>0</v>
      </c>
      <c r="O2686" s="2264">
        <f t="shared" si="539"/>
        <v>0</v>
      </c>
      <c r="P2686" s="2265"/>
      <c r="Q2686" s="2266"/>
      <c r="R2686" s="2266"/>
      <c r="S2686" s="2266"/>
    </row>
    <row r="2687" spans="1:19" s="2105" customFormat="1" outlineLevel="1">
      <c r="A2687" s="2182" t="str">
        <f t="shared" si="541"/>
        <v/>
      </c>
      <c r="B2687" s="2261" t="s">
        <v>120</v>
      </c>
      <c r="C2687" s="2268"/>
      <c r="D2687" s="2152">
        <v>0</v>
      </c>
      <c r="E2687" s="2194" t="s">
        <v>2981</v>
      </c>
      <c r="F2687" s="2152" t="s">
        <v>2439</v>
      </c>
      <c r="G2687" s="2269">
        <f>G2683*2</f>
        <v>0</v>
      </c>
      <c r="H2687" s="2264">
        <v>40000</v>
      </c>
      <c r="I2687" s="2264"/>
      <c r="J2687" s="2264">
        <v>0</v>
      </c>
      <c r="K2687" s="2264">
        <v>0</v>
      </c>
      <c r="L2687" s="2264">
        <f t="shared" si="536"/>
        <v>0</v>
      </c>
      <c r="M2687" s="2264">
        <f t="shared" si="537"/>
        <v>0</v>
      </c>
      <c r="N2687" s="2264">
        <f t="shared" si="538"/>
        <v>0</v>
      </c>
      <c r="O2687" s="2264">
        <f t="shared" si="539"/>
        <v>0</v>
      </c>
      <c r="P2687" s="2265"/>
      <c r="Q2687" s="2266"/>
      <c r="R2687" s="2266"/>
      <c r="S2687" s="2266"/>
    </row>
    <row r="2688" spans="1:19" s="2105" customFormat="1" outlineLevel="1">
      <c r="A2688" s="2182" t="str">
        <f t="shared" si="541"/>
        <v/>
      </c>
      <c r="B2688" s="2252" t="s">
        <v>1409</v>
      </c>
      <c r="C2688" s="2268"/>
      <c r="D2688" s="2152">
        <v>0</v>
      </c>
      <c r="E2688" s="2194" t="s">
        <v>3449</v>
      </c>
      <c r="F2688" s="2152" t="s">
        <v>2439</v>
      </c>
      <c r="G2688" s="2269">
        <f>G2683</f>
        <v>0</v>
      </c>
      <c r="H2688" s="2264">
        <v>150000</v>
      </c>
      <c r="I2688" s="2264"/>
      <c r="J2688" s="2264">
        <v>0</v>
      </c>
      <c r="K2688" s="2264">
        <v>0</v>
      </c>
      <c r="L2688" s="2264">
        <f t="shared" si="536"/>
        <v>0</v>
      </c>
      <c r="M2688" s="2264">
        <f t="shared" si="537"/>
        <v>0</v>
      </c>
      <c r="N2688" s="2264">
        <f t="shared" si="538"/>
        <v>0</v>
      </c>
      <c r="O2688" s="2264">
        <f t="shared" si="539"/>
        <v>0</v>
      </c>
      <c r="P2688" s="2265"/>
      <c r="Q2688" s="2266"/>
      <c r="R2688" s="2266"/>
      <c r="S2688" s="2266"/>
    </row>
    <row r="2689" spans="1:19" s="2105" customFormat="1" outlineLevel="1">
      <c r="A2689" s="2182" t="str">
        <f t="shared" si="541"/>
        <v/>
      </c>
      <c r="B2689" s="2252" t="s">
        <v>2138</v>
      </c>
      <c r="C2689" s="2268"/>
      <c r="D2689" s="2152">
        <v>0</v>
      </c>
      <c r="E2689" s="2194" t="s">
        <v>3455</v>
      </c>
      <c r="F2689" s="2152" t="s">
        <v>2439</v>
      </c>
      <c r="G2689" s="2269">
        <f>G2683</f>
        <v>0</v>
      </c>
      <c r="H2689" s="2264">
        <v>2739748</v>
      </c>
      <c r="I2689" s="2264"/>
      <c r="J2689" s="2264">
        <v>51183</v>
      </c>
      <c r="K2689" s="2264">
        <v>89000</v>
      </c>
      <c r="L2689" s="2264">
        <f t="shared" si="536"/>
        <v>0</v>
      </c>
      <c r="M2689" s="2264">
        <f t="shared" si="537"/>
        <v>0</v>
      </c>
      <c r="N2689" s="2264">
        <f t="shared" si="538"/>
        <v>0</v>
      </c>
      <c r="O2689" s="2264">
        <f t="shared" si="539"/>
        <v>0</v>
      </c>
      <c r="P2689" s="2265"/>
      <c r="Q2689" s="2266"/>
      <c r="R2689" s="2266"/>
      <c r="S2689" s="2266"/>
    </row>
    <row r="2690" spans="1:19" s="2105" customFormat="1" outlineLevel="1">
      <c r="A2690" s="2182" t="str">
        <f t="shared" si="541"/>
        <v/>
      </c>
      <c r="B2690" s="2261" t="s">
        <v>1410</v>
      </c>
      <c r="C2690" s="2258"/>
      <c r="D2690" s="2152" t="s">
        <v>5341</v>
      </c>
      <c r="E2690" s="2194" t="s">
        <v>5342</v>
      </c>
      <c r="F2690" s="2152" t="s">
        <v>2439</v>
      </c>
      <c r="G2690" s="2269">
        <f>G2688+G2689</f>
        <v>0</v>
      </c>
      <c r="H2690" s="2264">
        <v>0</v>
      </c>
      <c r="I2690" s="2264"/>
      <c r="J2690" s="2264">
        <v>28219.62</v>
      </c>
      <c r="K2690" s="2264">
        <v>0</v>
      </c>
      <c r="L2690" s="2264">
        <f t="shared" si="536"/>
        <v>0</v>
      </c>
      <c r="M2690" s="2264">
        <f t="shared" si="537"/>
        <v>0</v>
      </c>
      <c r="N2690" s="2264">
        <f t="shared" si="538"/>
        <v>0</v>
      </c>
      <c r="O2690" s="2264">
        <f t="shared" si="539"/>
        <v>0</v>
      </c>
      <c r="P2690" s="2265"/>
      <c r="Q2690" s="2266"/>
      <c r="R2690" s="2266"/>
      <c r="S2690" s="2266"/>
    </row>
    <row r="2691" spans="1:19" s="2105" customFormat="1" outlineLevel="1">
      <c r="A2691" s="2182" t="str">
        <f t="shared" si="541"/>
        <v/>
      </c>
      <c r="B2691" s="2261" t="s">
        <v>289</v>
      </c>
      <c r="C2691" s="2268"/>
      <c r="D2691" s="2152">
        <v>0</v>
      </c>
      <c r="E2691" s="2194" t="s">
        <v>5712</v>
      </c>
      <c r="F2691" s="2152" t="s">
        <v>2555</v>
      </c>
      <c r="G2691" s="2269">
        <f>G2683</f>
        <v>0</v>
      </c>
      <c r="H2691" s="2264">
        <v>300000</v>
      </c>
      <c r="I2691" s="2264"/>
      <c r="J2691" s="2264">
        <v>0</v>
      </c>
      <c r="K2691" s="2264">
        <v>0</v>
      </c>
      <c r="L2691" s="2264">
        <f t="shared" si="536"/>
        <v>0</v>
      </c>
      <c r="M2691" s="2264">
        <f t="shared" si="537"/>
        <v>0</v>
      </c>
      <c r="N2691" s="2264">
        <f t="shared" si="538"/>
        <v>0</v>
      </c>
      <c r="O2691" s="2264">
        <f t="shared" si="539"/>
        <v>0</v>
      </c>
      <c r="P2691" s="2265"/>
      <c r="Q2691" s="2266"/>
      <c r="R2691" s="2266"/>
      <c r="S2691" s="2266"/>
    </row>
    <row r="2692" spans="1:19" s="2105" customFormat="1" ht="27.6" outlineLevel="1">
      <c r="A2692" s="2182" t="str">
        <f t="shared" si="541"/>
        <v/>
      </c>
      <c r="B2692" s="2261"/>
      <c r="C2692" s="2463">
        <f>IF(G2692&gt;0,C2683+1,C2683)</f>
        <v>5</v>
      </c>
      <c r="D2692" s="2481"/>
      <c r="E2692" s="2465" t="s">
        <v>3740</v>
      </c>
      <c r="F2692" s="2466" t="s">
        <v>2385</v>
      </c>
      <c r="G2692" s="2467"/>
      <c r="H2692" s="2469"/>
      <c r="I2692" s="2482"/>
      <c r="J2692" s="2482"/>
      <c r="K2692" s="2472"/>
      <c r="L2692" s="2472"/>
      <c r="M2692" s="2472"/>
      <c r="N2692" s="2483"/>
      <c r="O2692" s="2483"/>
      <c r="P2692" s="2483"/>
      <c r="Q2692" s="2266"/>
      <c r="R2692" s="2266"/>
      <c r="S2692" s="2266"/>
    </row>
    <row r="2693" spans="1:19" s="2105" customFormat="1" ht="14.4" outlineLevel="1">
      <c r="A2693" s="2182" t="str">
        <f>A2692</f>
        <v/>
      </c>
      <c r="B2693" s="2261"/>
      <c r="C2693" s="2258"/>
      <c r="D2693" s="2259"/>
      <c r="E2693" s="2274" t="s">
        <v>6133</v>
      </c>
      <c r="F2693" s="2258"/>
      <c r="G2693" s="2263"/>
      <c r="H2693" s="2264"/>
      <c r="I2693" s="2264"/>
      <c r="J2693" s="2264"/>
      <c r="K2693" s="2264"/>
      <c r="L2693" s="2264"/>
      <c r="M2693" s="2264"/>
      <c r="N2693" s="2264"/>
      <c r="O2693" s="2264"/>
      <c r="P2693" s="2265"/>
      <c r="Q2693" s="2266"/>
      <c r="R2693" s="2266"/>
      <c r="S2693" s="2266"/>
    </row>
    <row r="2694" spans="1:19" s="2105" customFormat="1" outlineLevel="1">
      <c r="A2694" s="2182" t="str">
        <f>IF(G2694&lt;&gt;0,1,"")</f>
        <v/>
      </c>
      <c r="B2694" s="2252" t="s">
        <v>470</v>
      </c>
      <c r="C2694" s="2268"/>
      <c r="D2694" s="2152">
        <v>0</v>
      </c>
      <c r="E2694" s="2194" t="s">
        <v>6382</v>
      </c>
      <c r="F2694" s="2152" t="s">
        <v>2532</v>
      </c>
      <c r="G2694" s="2269">
        <f>G2673+G2692*8</f>
        <v>0</v>
      </c>
      <c r="H2694" s="2264">
        <v>763500</v>
      </c>
      <c r="I2694" s="2264"/>
      <c r="J2694" s="2264">
        <v>0</v>
      </c>
      <c r="K2694" s="2264">
        <v>0</v>
      </c>
      <c r="L2694" s="2264">
        <f>H2694*G2694</f>
        <v>0</v>
      </c>
      <c r="M2694" s="2264">
        <f>I2694*G2694</f>
        <v>0</v>
      </c>
      <c r="N2694" s="2264">
        <f>J2694*G2694</f>
        <v>0</v>
      </c>
      <c r="O2694" s="2264">
        <f>K2694*G2694</f>
        <v>0</v>
      </c>
      <c r="P2694" s="2265"/>
      <c r="Q2694" s="2266"/>
      <c r="R2694" s="2266"/>
      <c r="S2694" s="2266"/>
    </row>
    <row r="2695" spans="1:19" s="2105" customFormat="1" outlineLevel="1">
      <c r="A2695" s="2182" t="str">
        <f>IF(G2695&lt;&gt;0,1,"")</f>
        <v/>
      </c>
      <c r="B2695" s="2252" t="s">
        <v>271</v>
      </c>
      <c r="C2695" s="2268"/>
      <c r="D2695" s="2152">
        <v>0</v>
      </c>
      <c r="E2695" s="2194" t="s">
        <v>6383</v>
      </c>
      <c r="F2695" s="2152" t="s">
        <v>2532</v>
      </c>
      <c r="G2695" s="2269">
        <f>G2694</f>
        <v>0</v>
      </c>
      <c r="H2695" s="2264">
        <v>204900</v>
      </c>
      <c r="I2695" s="2264"/>
      <c r="J2695" s="2264">
        <v>0</v>
      </c>
      <c r="K2695" s="2264">
        <v>0</v>
      </c>
      <c r="L2695" s="2264">
        <f>H2695*G2695</f>
        <v>0</v>
      </c>
      <c r="M2695" s="2264">
        <f>I2695*G2695</f>
        <v>0</v>
      </c>
      <c r="N2695" s="2264">
        <f>J2695*G2695</f>
        <v>0</v>
      </c>
      <c r="O2695" s="2264">
        <f>K2695*G2695</f>
        <v>0</v>
      </c>
      <c r="P2695" s="2265"/>
      <c r="Q2695" s="2266"/>
      <c r="R2695" s="2266"/>
      <c r="S2695" s="2266"/>
    </row>
    <row r="2696" spans="1:19" s="2105" customFormat="1" outlineLevel="1">
      <c r="A2696" s="2182" t="str">
        <f t="shared" ref="A2696:A2702" si="542">IF(G2696&lt;&gt;0,1,"")</f>
        <v/>
      </c>
      <c r="B2696" s="2252" t="s">
        <v>271</v>
      </c>
      <c r="C2696" s="2268"/>
      <c r="D2696" s="2152">
        <v>0</v>
      </c>
      <c r="E2696" s="2194" t="s">
        <v>6384</v>
      </c>
      <c r="F2696" s="2152" t="s">
        <v>2532</v>
      </c>
      <c r="G2696" s="2421">
        <f>G2692*0.5*3</f>
        <v>0</v>
      </c>
      <c r="H2696" s="2264">
        <v>204900</v>
      </c>
      <c r="I2696" s="2264"/>
      <c r="J2696" s="2264">
        <v>0</v>
      </c>
      <c r="K2696" s="2264">
        <v>0</v>
      </c>
      <c r="L2696" s="2264">
        <f>H2696*G2696</f>
        <v>0</v>
      </c>
      <c r="M2696" s="2264">
        <f>I2696*G2696</f>
        <v>0</v>
      </c>
      <c r="N2696" s="2264">
        <f>J2696*G2696</f>
        <v>0</v>
      </c>
      <c r="O2696" s="2264">
        <f>K2696*G2696</f>
        <v>0</v>
      </c>
      <c r="P2696" s="2265"/>
      <c r="Q2696" s="2266"/>
      <c r="R2696" s="2266"/>
      <c r="S2696" s="2266"/>
    </row>
    <row r="2697" spans="1:19" s="2105" customFormat="1" outlineLevel="1">
      <c r="A2697" s="2182" t="str">
        <f t="shared" si="542"/>
        <v/>
      </c>
      <c r="B2697" s="2252" t="s">
        <v>1352</v>
      </c>
      <c r="C2697" s="2268"/>
      <c r="D2697" s="2152">
        <v>0</v>
      </c>
      <c r="E2697" s="2194" t="s">
        <v>3014</v>
      </c>
      <c r="F2697" s="2152" t="s">
        <v>2555</v>
      </c>
      <c r="G2697" s="2269">
        <f>G2692</f>
        <v>0</v>
      </c>
      <c r="H2697" s="2264">
        <v>4022000</v>
      </c>
      <c r="I2697" s="2264"/>
      <c r="J2697" s="2264">
        <v>0</v>
      </c>
      <c r="K2697" s="2264">
        <v>0</v>
      </c>
      <c r="L2697" s="2264">
        <f t="shared" ref="L2697:L2702" si="543">H2697*G2697</f>
        <v>0</v>
      </c>
      <c r="M2697" s="2264">
        <f t="shared" ref="M2697:M2702" si="544">I2697*G2697</f>
        <v>0</v>
      </c>
      <c r="N2697" s="2264">
        <f t="shared" ref="N2697:N2702" si="545">J2697*G2697</f>
        <v>0</v>
      </c>
      <c r="O2697" s="2264">
        <f t="shared" ref="O2697:O2702" si="546">K2697*G2697</f>
        <v>0</v>
      </c>
      <c r="P2697" s="2265"/>
      <c r="Q2697" s="2266"/>
      <c r="R2697" s="2266"/>
      <c r="S2697" s="2266"/>
    </row>
    <row r="2698" spans="1:19" s="2105" customFormat="1" outlineLevel="1">
      <c r="A2698" s="2182" t="str">
        <f t="shared" si="542"/>
        <v/>
      </c>
      <c r="B2698" s="2252" t="s">
        <v>470</v>
      </c>
      <c r="C2698" s="2268"/>
      <c r="D2698" s="2152">
        <v>0</v>
      </c>
      <c r="E2698" s="2194" t="s">
        <v>6385</v>
      </c>
      <c r="F2698" s="2152" t="s">
        <v>2532</v>
      </c>
      <c r="G2698" s="2421">
        <f>(1.2+2.4)*G2692</f>
        <v>0</v>
      </c>
      <c r="H2698" s="2264">
        <v>763500</v>
      </c>
      <c r="I2698" s="2264"/>
      <c r="J2698" s="2264">
        <v>0</v>
      </c>
      <c r="K2698" s="2264">
        <v>0</v>
      </c>
      <c r="L2698" s="2264">
        <f t="shared" si="543"/>
        <v>0</v>
      </c>
      <c r="M2698" s="2264">
        <f t="shared" si="544"/>
        <v>0</v>
      </c>
      <c r="N2698" s="2264">
        <f t="shared" si="545"/>
        <v>0</v>
      </c>
      <c r="O2698" s="2264">
        <f t="shared" si="546"/>
        <v>0</v>
      </c>
      <c r="P2698" s="2265"/>
      <c r="Q2698" s="2266"/>
      <c r="R2698" s="2266"/>
      <c r="S2698" s="2266"/>
    </row>
    <row r="2699" spans="1:19" s="2105" customFormat="1" outlineLevel="1">
      <c r="A2699" s="2182" t="str">
        <f t="shared" si="542"/>
        <v/>
      </c>
      <c r="B2699" s="2252" t="s">
        <v>271</v>
      </c>
      <c r="C2699" s="2268"/>
      <c r="D2699" s="2152">
        <v>0</v>
      </c>
      <c r="E2699" s="2194" t="s">
        <v>6386</v>
      </c>
      <c r="F2699" s="2152" t="s">
        <v>2532</v>
      </c>
      <c r="G2699" s="2421">
        <f>G2692*1.2</f>
        <v>0</v>
      </c>
      <c r="H2699" s="2264">
        <v>204900</v>
      </c>
      <c r="I2699" s="2264"/>
      <c r="J2699" s="2264">
        <v>0</v>
      </c>
      <c r="K2699" s="2264">
        <v>0</v>
      </c>
      <c r="L2699" s="2264">
        <f t="shared" si="543"/>
        <v>0</v>
      </c>
      <c r="M2699" s="2264">
        <f t="shared" si="544"/>
        <v>0</v>
      </c>
      <c r="N2699" s="2264">
        <f t="shared" si="545"/>
        <v>0</v>
      </c>
      <c r="O2699" s="2264">
        <f t="shared" si="546"/>
        <v>0</v>
      </c>
      <c r="P2699" s="2265"/>
      <c r="Q2699" s="2266"/>
      <c r="R2699" s="2266"/>
      <c r="S2699" s="2266"/>
    </row>
    <row r="2700" spans="1:19" s="2105" customFormat="1" outlineLevel="1">
      <c r="A2700" s="2182" t="str">
        <f t="shared" si="542"/>
        <v/>
      </c>
      <c r="B2700" s="2252" t="s">
        <v>1353</v>
      </c>
      <c r="C2700" s="2268"/>
      <c r="D2700" s="2152">
        <v>0</v>
      </c>
      <c r="E2700" s="2194" t="s">
        <v>3021</v>
      </c>
      <c r="F2700" s="2152" t="s">
        <v>2555</v>
      </c>
      <c r="G2700" s="2269">
        <f>G2692</f>
        <v>0</v>
      </c>
      <c r="H2700" s="2264">
        <v>5242230</v>
      </c>
      <c r="I2700" s="2264"/>
      <c r="J2700" s="2264">
        <v>0</v>
      </c>
      <c r="K2700" s="2264">
        <v>0</v>
      </c>
      <c r="L2700" s="2264">
        <f t="shared" si="543"/>
        <v>0</v>
      </c>
      <c r="M2700" s="2264">
        <f t="shared" si="544"/>
        <v>0</v>
      </c>
      <c r="N2700" s="2264">
        <f t="shared" si="545"/>
        <v>0</v>
      </c>
      <c r="O2700" s="2264">
        <f t="shared" si="546"/>
        <v>0</v>
      </c>
      <c r="P2700" s="2265"/>
      <c r="Q2700" s="2266"/>
      <c r="R2700" s="2266"/>
      <c r="S2700" s="2266"/>
    </row>
    <row r="2701" spans="1:19" s="2105" customFormat="1" outlineLevel="1">
      <c r="A2701" s="2182" t="str">
        <f t="shared" si="542"/>
        <v/>
      </c>
      <c r="B2701" s="2252" t="s">
        <v>1674</v>
      </c>
      <c r="C2701" s="2268"/>
      <c r="D2701" s="2152" t="s">
        <v>5459</v>
      </c>
      <c r="E2701" s="2194" t="s">
        <v>3178</v>
      </c>
      <c r="F2701" s="2152" t="s">
        <v>2555</v>
      </c>
      <c r="G2701" s="2269">
        <f>G2697+G2700</f>
        <v>0</v>
      </c>
      <c r="H2701" s="2264">
        <v>11340</v>
      </c>
      <c r="I2701" s="2264"/>
      <c r="J2701" s="2264">
        <v>621381.64999999991</v>
      </c>
      <c r="K2701" s="2264">
        <v>0</v>
      </c>
      <c r="L2701" s="2264">
        <f t="shared" si="543"/>
        <v>0</v>
      </c>
      <c r="M2701" s="2264">
        <f t="shared" si="544"/>
        <v>0</v>
      </c>
      <c r="N2701" s="2264">
        <f t="shared" si="545"/>
        <v>0</v>
      </c>
      <c r="O2701" s="2264">
        <f t="shared" si="546"/>
        <v>0</v>
      </c>
      <c r="P2701" s="2265"/>
      <c r="Q2701" s="2266"/>
      <c r="R2701" s="2266"/>
      <c r="S2701" s="2266"/>
    </row>
    <row r="2702" spans="1:19" s="2105" customFormat="1" outlineLevel="1">
      <c r="A2702" s="2182" t="str">
        <f t="shared" si="542"/>
        <v/>
      </c>
      <c r="B2702" s="2252" t="s">
        <v>1204</v>
      </c>
      <c r="C2702" s="2268"/>
      <c r="D2702" s="2152" t="s">
        <v>337</v>
      </c>
      <c r="E2702" s="2194" t="s">
        <v>3268</v>
      </c>
      <c r="F2702" s="2152" t="s">
        <v>2532</v>
      </c>
      <c r="G2702" s="2421">
        <f>G2694+G2698</f>
        <v>0</v>
      </c>
      <c r="H2702" s="2264">
        <v>546.34</v>
      </c>
      <c r="I2702" s="2264"/>
      <c r="J2702" s="2264">
        <v>2166</v>
      </c>
      <c r="K2702" s="2264">
        <v>0</v>
      </c>
      <c r="L2702" s="2264">
        <f t="shared" si="543"/>
        <v>0</v>
      </c>
      <c r="M2702" s="2264">
        <f t="shared" si="544"/>
        <v>0</v>
      </c>
      <c r="N2702" s="2264">
        <f t="shared" si="545"/>
        <v>0</v>
      </c>
      <c r="O2702" s="2264">
        <f t="shared" si="546"/>
        <v>0</v>
      </c>
      <c r="P2702" s="2265"/>
      <c r="Q2702" s="2266"/>
      <c r="R2702" s="2266"/>
      <c r="S2702" s="2266"/>
    </row>
    <row r="2703" spans="1:19" s="2105" customFormat="1" outlineLevel="1">
      <c r="A2703" s="2182" t="str">
        <f>IF(G2703&lt;&gt;0,1,"")</f>
        <v/>
      </c>
      <c r="B2703" s="2252" t="s">
        <v>1201</v>
      </c>
      <c r="C2703" s="2268"/>
      <c r="D2703" s="2152" t="s">
        <v>334</v>
      </c>
      <c r="E2703" s="2194" t="s">
        <v>3265</v>
      </c>
      <c r="F2703" s="2152" t="s">
        <v>2532</v>
      </c>
      <c r="G2703" s="2421">
        <f>G2695+G2699</f>
        <v>0</v>
      </c>
      <c r="H2703" s="2264">
        <v>460.75</v>
      </c>
      <c r="I2703" s="2264"/>
      <c r="J2703" s="2264">
        <v>1020</v>
      </c>
      <c r="K2703" s="2264">
        <v>0</v>
      </c>
      <c r="L2703" s="2264">
        <f>H2703*G2703</f>
        <v>0</v>
      </c>
      <c r="M2703" s="2264">
        <f>I2703*G2703</f>
        <v>0</v>
      </c>
      <c r="N2703" s="2264">
        <f>J2703*G2703</f>
        <v>0</v>
      </c>
      <c r="O2703" s="2264">
        <f>K2703*G2703</f>
        <v>0</v>
      </c>
      <c r="P2703" s="2265"/>
      <c r="Q2703" s="2266"/>
      <c r="R2703" s="2266"/>
      <c r="S2703" s="2266"/>
    </row>
    <row r="2704" spans="1:19" s="2105" customFormat="1" outlineLevel="1">
      <c r="A2704" s="2182" t="str">
        <f>IF(G2704&lt;&gt;0,1,"")</f>
        <v/>
      </c>
      <c r="B2704" s="2252" t="s">
        <v>1525</v>
      </c>
      <c r="C2704" s="2268"/>
      <c r="D2704" s="2152" t="s">
        <v>5571</v>
      </c>
      <c r="E2704" s="2194" t="s">
        <v>3292</v>
      </c>
      <c r="F2704" s="2152" t="s">
        <v>1823</v>
      </c>
      <c r="G2704" s="2421">
        <f>G2696</f>
        <v>0</v>
      </c>
      <c r="H2704" s="2264">
        <v>0</v>
      </c>
      <c r="I2704" s="2264"/>
      <c r="J2704" s="2264">
        <v>13915</v>
      </c>
      <c r="K2704" s="2264">
        <v>0</v>
      </c>
      <c r="L2704" s="2264">
        <f>H2704*G2704</f>
        <v>0</v>
      </c>
      <c r="M2704" s="2264">
        <f>I2704*G2704</f>
        <v>0</v>
      </c>
      <c r="N2704" s="2264">
        <f>J2704*G2704</f>
        <v>0</v>
      </c>
      <c r="O2704" s="2264">
        <f>K2704*G2704</f>
        <v>0</v>
      </c>
      <c r="P2704" s="2265"/>
      <c r="Q2704" s="2266"/>
      <c r="R2704" s="2266"/>
      <c r="S2704" s="2266"/>
    </row>
    <row r="2705" spans="1:19" s="2105" customFormat="1" outlineLevel="1">
      <c r="A2705" s="2182" t="str">
        <f>IF(G2705&lt;&gt;0,1,"")</f>
        <v/>
      </c>
      <c r="B2705" s="2252" t="s">
        <v>1349</v>
      </c>
      <c r="C2705" s="2268"/>
      <c r="D2705" s="2152">
        <v>0</v>
      </c>
      <c r="E2705" s="2194" t="s">
        <v>3518</v>
      </c>
      <c r="F2705" s="2152" t="s">
        <v>3519</v>
      </c>
      <c r="G2705" s="2269">
        <f>G2692*2</f>
        <v>0</v>
      </c>
      <c r="H2705" s="2264">
        <v>15000</v>
      </c>
      <c r="I2705" s="2264"/>
      <c r="J2705" s="2264">
        <v>0</v>
      </c>
      <c r="K2705" s="2264">
        <v>0</v>
      </c>
      <c r="L2705" s="2264">
        <f>H2705*G2705</f>
        <v>0</v>
      </c>
      <c r="M2705" s="2264">
        <f>I2705*G2705</f>
        <v>0</v>
      </c>
      <c r="N2705" s="2264">
        <f>J2705*G2705</f>
        <v>0</v>
      </c>
      <c r="O2705" s="2264">
        <f>K2705*G2705</f>
        <v>0</v>
      </c>
      <c r="P2705" s="2265"/>
      <c r="Q2705" s="2266"/>
      <c r="R2705" s="2266"/>
      <c r="S2705" s="2266"/>
    </row>
    <row r="2706" spans="1:19" s="2105" customFormat="1" outlineLevel="1">
      <c r="A2706" s="2182">
        <f>IF(G2706&lt;&gt;0,1,"")</f>
        <v>1</v>
      </c>
      <c r="B2706" s="2261"/>
      <c r="C2706" s="2463">
        <f>IF(G2706&gt;0,C2692+1,C2692)</f>
        <v>6</v>
      </c>
      <c r="D2706" s="2481"/>
      <c r="E2706" s="2465" t="s">
        <v>6263</v>
      </c>
      <c r="F2706" s="2466" t="s">
        <v>2385</v>
      </c>
      <c r="G2706" s="2467">
        <f>G2594</f>
        <v>1</v>
      </c>
      <c r="H2706" s="2469"/>
      <c r="I2706" s="2482"/>
      <c r="J2706" s="2482"/>
      <c r="K2706" s="2472"/>
      <c r="L2706" s="2472"/>
      <c r="M2706" s="2472"/>
      <c r="N2706" s="2483"/>
      <c r="O2706" s="2483"/>
      <c r="P2706" s="2483"/>
      <c r="Q2706" s="2266"/>
      <c r="R2706" s="2266"/>
      <c r="S2706" s="2266"/>
    </row>
    <row r="2707" spans="1:19" s="2105" customFormat="1" ht="14.4" outlineLevel="1">
      <c r="A2707" s="2182">
        <f>A2706</f>
        <v>1</v>
      </c>
      <c r="B2707" s="2261"/>
      <c r="C2707" s="2258"/>
      <c r="D2707" s="2259"/>
      <c r="E2707" s="2267" t="s">
        <v>6133</v>
      </c>
      <c r="F2707" s="2258"/>
      <c r="G2707" s="2263"/>
      <c r="H2707" s="2264"/>
      <c r="I2707" s="2264"/>
      <c r="J2707" s="2264"/>
      <c r="K2707" s="2264"/>
      <c r="L2707" s="2264"/>
      <c r="M2707" s="2264"/>
      <c r="N2707" s="2264"/>
      <c r="O2707" s="2264"/>
      <c r="P2707" s="2389"/>
      <c r="Q2707" s="2266"/>
      <c r="R2707" s="2266"/>
      <c r="S2707" s="2266"/>
    </row>
    <row r="2708" spans="1:19" s="2105" customFormat="1" outlineLevel="1">
      <c r="A2708" s="2182">
        <f t="shared" ref="A2708:A2762" si="547">IF(G2708&lt;&gt;0,1,"")</f>
        <v>1</v>
      </c>
      <c r="B2708" s="2252" t="s">
        <v>6272</v>
      </c>
      <c r="C2708" s="2268"/>
      <c r="D2708" s="2152">
        <v>0</v>
      </c>
      <c r="E2708" s="2194" t="s">
        <v>5082</v>
      </c>
      <c r="F2708" s="2152" t="s">
        <v>2532</v>
      </c>
      <c r="G2708" s="2450">
        <f>G2706*(12)*3</f>
        <v>36</v>
      </c>
      <c r="H2708" s="2264">
        <v>99600</v>
      </c>
      <c r="I2708" s="2264"/>
      <c r="J2708" s="2264">
        <v>0</v>
      </c>
      <c r="K2708" s="2264">
        <v>0</v>
      </c>
      <c r="L2708" s="2264">
        <f t="shared" ref="L2708:L2719" si="548">H2708*G2708</f>
        <v>3585600</v>
      </c>
      <c r="M2708" s="2264">
        <f>I2708*G2708</f>
        <v>0</v>
      </c>
      <c r="N2708" s="2264">
        <f t="shared" ref="N2708:N2719" si="549">J2708*G2708</f>
        <v>0</v>
      </c>
      <c r="O2708" s="2264">
        <f t="shared" ref="O2708:O2719" si="550">K2708*G2708</f>
        <v>0</v>
      </c>
      <c r="P2708" s="2389"/>
      <c r="Q2708" s="2266"/>
      <c r="R2708" s="2266"/>
      <c r="S2708" s="2266"/>
    </row>
    <row r="2709" spans="1:19" s="2105" customFormat="1" outlineLevel="1">
      <c r="A2709" s="2182">
        <f t="shared" si="547"/>
        <v>1</v>
      </c>
      <c r="B2709" s="2357" t="s">
        <v>5699</v>
      </c>
      <c r="C2709" s="2268"/>
      <c r="D2709" s="2152">
        <v>0</v>
      </c>
      <c r="E2709" s="2194" t="s">
        <v>5700</v>
      </c>
      <c r="F2709" s="2152" t="s">
        <v>2555</v>
      </c>
      <c r="G2709" s="2450">
        <f>G2706*3</f>
        <v>3</v>
      </c>
      <c r="H2709" s="2264">
        <v>218200</v>
      </c>
      <c r="I2709" s="2264"/>
      <c r="J2709" s="2264">
        <v>0</v>
      </c>
      <c r="K2709" s="2264">
        <v>0</v>
      </c>
      <c r="L2709" s="2264">
        <f t="shared" si="548"/>
        <v>654600</v>
      </c>
      <c r="M2709" s="2264">
        <f t="shared" ref="M2709:M2719" si="551">I2709*G2709</f>
        <v>0</v>
      </c>
      <c r="N2709" s="2264">
        <f t="shared" si="549"/>
        <v>0</v>
      </c>
      <c r="O2709" s="2264">
        <f t="shared" si="550"/>
        <v>0</v>
      </c>
      <c r="P2709" s="2265"/>
      <c r="Q2709" s="2266"/>
      <c r="R2709" s="2266"/>
      <c r="S2709" s="2266"/>
    </row>
    <row r="2710" spans="1:19" s="2105" customFormat="1" outlineLevel="1">
      <c r="A2710" s="2182">
        <f t="shared" si="547"/>
        <v>1</v>
      </c>
      <c r="B2710" s="2357" t="s">
        <v>5705</v>
      </c>
      <c r="C2710" s="2268"/>
      <c r="D2710" s="2152">
        <v>0</v>
      </c>
      <c r="E2710" s="2194" t="s">
        <v>5706</v>
      </c>
      <c r="F2710" s="2152" t="s">
        <v>2555</v>
      </c>
      <c r="G2710" s="2450">
        <f>G2706*3</f>
        <v>3</v>
      </c>
      <c r="H2710" s="2264">
        <v>39100</v>
      </c>
      <c r="I2710" s="2264"/>
      <c r="J2710" s="2264">
        <v>0</v>
      </c>
      <c r="K2710" s="2264">
        <v>0</v>
      </c>
      <c r="L2710" s="2264">
        <f>H2710*G2710</f>
        <v>117300</v>
      </c>
      <c r="M2710" s="2264">
        <f t="shared" si="551"/>
        <v>0</v>
      </c>
      <c r="N2710" s="2264">
        <f>J2710*G2710</f>
        <v>0</v>
      </c>
      <c r="O2710" s="2264">
        <f>K2710*G2710</f>
        <v>0</v>
      </c>
      <c r="P2710" s="2265"/>
      <c r="Q2710" s="2266"/>
      <c r="R2710" s="2266"/>
      <c r="S2710" s="2266"/>
    </row>
    <row r="2711" spans="1:19" s="2105" customFormat="1" outlineLevel="1">
      <c r="A2711" s="2182">
        <f t="shared" si="547"/>
        <v>1</v>
      </c>
      <c r="B2711" s="2357" t="s">
        <v>5707</v>
      </c>
      <c r="C2711" s="2268"/>
      <c r="D2711" s="2152">
        <v>0</v>
      </c>
      <c r="E2711" s="2194" t="s">
        <v>5708</v>
      </c>
      <c r="F2711" s="2152" t="s">
        <v>2555</v>
      </c>
      <c r="G2711" s="2450">
        <f>G2706*3</f>
        <v>3</v>
      </c>
      <c r="H2711" s="2264">
        <v>56700</v>
      </c>
      <c r="I2711" s="2264"/>
      <c r="J2711" s="2264">
        <v>0</v>
      </c>
      <c r="K2711" s="2264">
        <v>0</v>
      </c>
      <c r="L2711" s="2264">
        <f>H2711*G2711</f>
        <v>170100</v>
      </c>
      <c r="M2711" s="2264">
        <f t="shared" si="551"/>
        <v>0</v>
      </c>
      <c r="N2711" s="2264">
        <f>J2711*G2711</f>
        <v>0</v>
      </c>
      <c r="O2711" s="2264">
        <f>K2711*G2711</f>
        <v>0</v>
      </c>
      <c r="P2711" s="2265"/>
      <c r="Q2711" s="2266"/>
      <c r="R2711" s="2266"/>
      <c r="S2711" s="2266"/>
    </row>
    <row r="2712" spans="1:19" s="2105" customFormat="1" outlineLevel="1">
      <c r="A2712" s="2182">
        <f t="shared" si="547"/>
        <v>1</v>
      </c>
      <c r="B2712" s="2357" t="s">
        <v>5697</v>
      </c>
      <c r="C2712" s="2268"/>
      <c r="D2712" s="2152"/>
      <c r="E2712" s="2194" t="s">
        <v>5698</v>
      </c>
      <c r="F2712" s="2152" t="s">
        <v>3445</v>
      </c>
      <c r="G2712" s="2450">
        <f>G2604*2+G2605</f>
        <v>9</v>
      </c>
      <c r="H2712" s="2264">
        <v>25000</v>
      </c>
      <c r="I2712" s="2264"/>
      <c r="J2712" s="2264">
        <v>0</v>
      </c>
      <c r="K2712" s="2264">
        <v>0</v>
      </c>
      <c r="L2712" s="2264">
        <f>H2712*G2712</f>
        <v>225000</v>
      </c>
      <c r="M2712" s="2264">
        <f t="shared" si="551"/>
        <v>0</v>
      </c>
      <c r="N2712" s="2264">
        <f>J2712*G2712</f>
        <v>0</v>
      </c>
      <c r="O2712" s="2264">
        <f>K2712*G2712</f>
        <v>0</v>
      </c>
      <c r="P2712" s="2265"/>
      <c r="Q2712" s="2266"/>
      <c r="R2712" s="2266"/>
      <c r="S2712" s="2266"/>
    </row>
    <row r="2713" spans="1:19" s="2105" customFormat="1" outlineLevel="1">
      <c r="A2713" s="2182">
        <f t="shared" si="547"/>
        <v>1</v>
      </c>
      <c r="B2713" s="2357" t="s">
        <v>1479</v>
      </c>
      <c r="C2713" s="2268"/>
      <c r="D2713" s="2152">
        <v>0</v>
      </c>
      <c r="E2713" s="2194" t="s">
        <v>3791</v>
      </c>
      <c r="F2713" s="2152" t="s">
        <v>2555</v>
      </c>
      <c r="G2713" s="2450">
        <v>3</v>
      </c>
      <c r="H2713" s="2264">
        <v>46000</v>
      </c>
      <c r="I2713" s="2264"/>
      <c r="J2713" s="2264">
        <v>0</v>
      </c>
      <c r="K2713" s="2264">
        <v>0</v>
      </c>
      <c r="L2713" s="2264">
        <f t="shared" si="548"/>
        <v>138000</v>
      </c>
      <c r="M2713" s="2264">
        <f t="shared" si="551"/>
        <v>0</v>
      </c>
      <c r="N2713" s="2264">
        <f t="shared" si="549"/>
        <v>0</v>
      </c>
      <c r="O2713" s="2264">
        <f t="shared" si="550"/>
        <v>0</v>
      </c>
      <c r="P2713" s="2389"/>
      <c r="Q2713" s="2266"/>
      <c r="R2713" s="2266"/>
      <c r="S2713" s="2266"/>
    </row>
    <row r="2714" spans="1:19" s="2105" customFormat="1" outlineLevel="1">
      <c r="A2714" s="2182">
        <f t="shared" si="547"/>
        <v>1</v>
      </c>
      <c r="B2714" s="2357" t="s">
        <v>1477</v>
      </c>
      <c r="C2714" s="2268"/>
      <c r="D2714" s="2152">
        <v>0</v>
      </c>
      <c r="E2714" s="2194" t="s">
        <v>6346</v>
      </c>
      <c r="F2714" s="2152" t="s">
        <v>2555</v>
      </c>
      <c r="G2714" s="2450">
        <v>3</v>
      </c>
      <c r="H2714" s="2264">
        <v>77000</v>
      </c>
      <c r="I2714" s="2264"/>
      <c r="J2714" s="2264">
        <v>0</v>
      </c>
      <c r="K2714" s="2264">
        <v>0</v>
      </c>
      <c r="L2714" s="2264">
        <f t="shared" si="548"/>
        <v>231000</v>
      </c>
      <c r="M2714" s="2264">
        <f t="shared" si="551"/>
        <v>0</v>
      </c>
      <c r="N2714" s="2264">
        <f t="shared" si="549"/>
        <v>0</v>
      </c>
      <c r="O2714" s="2264">
        <f t="shared" si="550"/>
        <v>0</v>
      </c>
      <c r="P2714" s="2389"/>
      <c r="Q2714" s="2266"/>
      <c r="R2714" s="2266"/>
      <c r="S2714" s="2266"/>
    </row>
    <row r="2715" spans="1:19" s="2105" customFormat="1" outlineLevel="1">
      <c r="A2715" s="2182">
        <f t="shared" si="547"/>
        <v>1</v>
      </c>
      <c r="B2715" s="2252" t="s">
        <v>696</v>
      </c>
      <c r="C2715" s="2389"/>
      <c r="D2715" s="2152">
        <v>0</v>
      </c>
      <c r="E2715" s="2194" t="s">
        <v>2936</v>
      </c>
      <c r="F2715" s="2152" t="s">
        <v>2555</v>
      </c>
      <c r="G2715" s="2450">
        <v>9</v>
      </c>
      <c r="H2715" s="2264">
        <v>205000</v>
      </c>
      <c r="I2715" s="2264"/>
      <c r="J2715" s="2264">
        <v>0</v>
      </c>
      <c r="K2715" s="2264">
        <v>0</v>
      </c>
      <c r="L2715" s="2264">
        <f t="shared" si="548"/>
        <v>1845000</v>
      </c>
      <c r="M2715" s="2264">
        <f t="shared" si="551"/>
        <v>0</v>
      </c>
      <c r="N2715" s="2264">
        <f t="shared" si="549"/>
        <v>0</v>
      </c>
      <c r="O2715" s="2264">
        <f t="shared" si="550"/>
        <v>0</v>
      </c>
      <c r="P2715" s="2389"/>
      <c r="Q2715" s="2266"/>
      <c r="R2715" s="2266"/>
      <c r="S2715" s="2266"/>
    </row>
    <row r="2716" spans="1:19" s="2105" customFormat="1" outlineLevel="1">
      <c r="A2716" s="2182">
        <f t="shared" si="547"/>
        <v>1</v>
      </c>
      <c r="B2716" s="2252" t="s">
        <v>1265</v>
      </c>
      <c r="C2716" s="2268"/>
      <c r="D2716" s="2152">
        <v>0</v>
      </c>
      <c r="E2716" s="2194" t="s">
        <v>2823</v>
      </c>
      <c r="F2716" s="2152" t="s">
        <v>2555</v>
      </c>
      <c r="G2716" s="2450">
        <f>G2715</f>
        <v>9</v>
      </c>
      <c r="H2716" s="2264">
        <v>65000</v>
      </c>
      <c r="I2716" s="2264"/>
      <c r="J2716" s="2264">
        <v>0</v>
      </c>
      <c r="K2716" s="2264">
        <v>0</v>
      </c>
      <c r="L2716" s="2264">
        <f t="shared" si="548"/>
        <v>585000</v>
      </c>
      <c r="M2716" s="2264">
        <f t="shared" si="551"/>
        <v>0</v>
      </c>
      <c r="N2716" s="2264">
        <f t="shared" si="549"/>
        <v>0</v>
      </c>
      <c r="O2716" s="2264">
        <f t="shared" si="550"/>
        <v>0</v>
      </c>
      <c r="P2716" s="2389"/>
      <c r="Q2716" s="2266"/>
      <c r="R2716" s="2266"/>
      <c r="S2716" s="2266"/>
    </row>
    <row r="2717" spans="1:19" s="2105" customFormat="1" outlineLevel="1">
      <c r="A2717" s="2182">
        <f>IF(G2717&lt;&gt;0,1,"")</f>
        <v>1</v>
      </c>
      <c r="B2717" s="2293" t="s">
        <v>6280</v>
      </c>
      <c r="C2717" s="2268"/>
      <c r="D2717" s="2152">
        <v>0</v>
      </c>
      <c r="E2717" s="2194" t="s">
        <v>5146</v>
      </c>
      <c r="F2717" s="2152" t="s">
        <v>2555</v>
      </c>
      <c r="G2717" s="2450">
        <f>G2716</f>
        <v>9</v>
      </c>
      <c r="H2717" s="2264">
        <v>132000</v>
      </c>
      <c r="I2717" s="2264"/>
      <c r="J2717" s="2264">
        <v>0</v>
      </c>
      <c r="K2717" s="2264">
        <v>0</v>
      </c>
      <c r="L2717" s="2264">
        <f>H2717*G2717</f>
        <v>1188000</v>
      </c>
      <c r="M2717" s="2264">
        <f>I2717*G2717</f>
        <v>0</v>
      </c>
      <c r="N2717" s="2264">
        <f>J2717*G2717</f>
        <v>0</v>
      </c>
      <c r="O2717" s="2264">
        <f>K2717*G2717</f>
        <v>0</v>
      </c>
      <c r="P2717" s="2389"/>
      <c r="Q2717" s="2266"/>
      <c r="R2717" s="2266"/>
      <c r="S2717" s="2266"/>
    </row>
    <row r="2718" spans="1:19" s="2105" customFormat="1" outlineLevel="1">
      <c r="A2718" s="2182">
        <f t="shared" si="547"/>
        <v>1</v>
      </c>
      <c r="B2718" s="2252" t="s">
        <v>1565</v>
      </c>
      <c r="C2718" s="2268"/>
      <c r="D2718" s="2152" t="s">
        <v>5560</v>
      </c>
      <c r="E2718" s="2194" t="s">
        <v>3271</v>
      </c>
      <c r="F2718" s="2152" t="s">
        <v>2439</v>
      </c>
      <c r="G2718" s="2450">
        <f>G2716</f>
        <v>9</v>
      </c>
      <c r="H2718" s="2264"/>
      <c r="I2718" s="2264"/>
      <c r="J2718" s="2264">
        <v>58277.49</v>
      </c>
      <c r="K2718" s="2264"/>
      <c r="L2718" s="2264">
        <f t="shared" si="548"/>
        <v>0</v>
      </c>
      <c r="M2718" s="2264">
        <f t="shared" si="551"/>
        <v>0</v>
      </c>
      <c r="N2718" s="2264">
        <f t="shared" si="549"/>
        <v>524497.41</v>
      </c>
      <c r="O2718" s="2264">
        <f t="shared" si="550"/>
        <v>0</v>
      </c>
      <c r="P2718" s="2389"/>
      <c r="Q2718" s="2266"/>
      <c r="R2718" s="2266"/>
      <c r="S2718" s="2266"/>
    </row>
    <row r="2719" spans="1:19" s="2105" customFormat="1" outlineLevel="1">
      <c r="A2719" s="2182">
        <f t="shared" si="547"/>
        <v>1</v>
      </c>
      <c r="B2719" s="2252" t="s">
        <v>1525</v>
      </c>
      <c r="C2719" s="2268"/>
      <c r="D2719" s="2152" t="s">
        <v>5571</v>
      </c>
      <c r="E2719" s="2194" t="s">
        <v>3292</v>
      </c>
      <c r="F2719" s="2152" t="s">
        <v>1823</v>
      </c>
      <c r="G2719" s="2450">
        <f>G2708</f>
        <v>36</v>
      </c>
      <c r="H2719" s="2264"/>
      <c r="I2719" s="2264"/>
      <c r="J2719" s="2264">
        <v>13915</v>
      </c>
      <c r="K2719" s="2264"/>
      <c r="L2719" s="2264">
        <f t="shared" si="548"/>
        <v>0</v>
      </c>
      <c r="M2719" s="2264">
        <f t="shared" si="551"/>
        <v>0</v>
      </c>
      <c r="N2719" s="2264">
        <f t="shared" si="549"/>
        <v>500940</v>
      </c>
      <c r="O2719" s="2264">
        <f t="shared" si="550"/>
        <v>0</v>
      </c>
      <c r="P2719" s="2389"/>
      <c r="Q2719" s="2266"/>
      <c r="R2719" s="2266"/>
      <c r="S2719" s="2266"/>
    </row>
    <row r="2720" spans="1:19" s="2105" customFormat="1" outlineLevel="1">
      <c r="A2720" s="2182">
        <f t="shared" si="547"/>
        <v>1</v>
      </c>
      <c r="B2720" s="2252"/>
      <c r="C2720" s="2463">
        <f>IF(G2720&gt;0,C2706+1,C2706)</f>
        <v>7</v>
      </c>
      <c r="D2720" s="2481"/>
      <c r="E2720" s="2465" t="s">
        <v>3728</v>
      </c>
      <c r="F2720" s="2466" t="s">
        <v>2385</v>
      </c>
      <c r="G2720" s="2467">
        <f>G2668</f>
        <v>1</v>
      </c>
      <c r="H2720" s="2469"/>
      <c r="I2720" s="2482"/>
      <c r="J2720" s="2482"/>
      <c r="K2720" s="2472"/>
      <c r="L2720" s="2472"/>
      <c r="M2720" s="2472"/>
      <c r="N2720" s="2483"/>
      <c r="O2720" s="2483"/>
      <c r="P2720" s="2483"/>
      <c r="Q2720" s="2266"/>
      <c r="R2720" s="2266"/>
      <c r="S2720" s="2266"/>
    </row>
    <row r="2721" spans="1:19" s="2105" customFormat="1" ht="14.4" outlineLevel="1">
      <c r="A2721" s="2182">
        <f>A2720</f>
        <v>1</v>
      </c>
      <c r="B2721" s="2261"/>
      <c r="C2721" s="2258"/>
      <c r="D2721" s="2259"/>
      <c r="E2721" s="2267" t="s">
        <v>6133</v>
      </c>
      <c r="F2721" s="2258"/>
      <c r="G2721" s="2269"/>
      <c r="H2721" s="2264"/>
      <c r="I2721" s="2264"/>
      <c r="J2721" s="2264"/>
      <c r="K2721" s="2264"/>
      <c r="L2721" s="2264"/>
      <c r="M2721" s="2264"/>
      <c r="N2721" s="2264"/>
      <c r="O2721" s="2264"/>
      <c r="P2721" s="2389"/>
      <c r="Q2721" s="2266"/>
      <c r="R2721" s="2266"/>
      <c r="S2721" s="2266"/>
    </row>
    <row r="2722" spans="1:19" s="2105" customFormat="1" outlineLevel="1">
      <c r="A2722" s="2182">
        <f t="shared" si="547"/>
        <v>1</v>
      </c>
      <c r="B2722" s="2261" t="s">
        <v>4757</v>
      </c>
      <c r="C2722" s="2268"/>
      <c r="D2722" s="2152">
        <v>0</v>
      </c>
      <c r="E2722" s="2194" t="s">
        <v>6388</v>
      </c>
      <c r="F2722" s="2152" t="s">
        <v>2532</v>
      </c>
      <c r="G2722" s="2450">
        <f>+G2720*(5*4*3+6*2)</f>
        <v>72</v>
      </c>
      <c r="H2722" s="2264">
        <v>567100</v>
      </c>
      <c r="I2722" s="2264"/>
      <c r="J2722" s="2264">
        <v>0</v>
      </c>
      <c r="K2722" s="2264">
        <v>0</v>
      </c>
      <c r="L2722" s="2264">
        <f>H2722*G2722</f>
        <v>40831200</v>
      </c>
      <c r="M2722" s="2264">
        <f>I2722*G2722</f>
        <v>0</v>
      </c>
      <c r="N2722" s="2264">
        <f t="shared" ref="N2722:N2730" si="552">J2722*G2722</f>
        <v>0</v>
      </c>
      <c r="O2722" s="2264">
        <f>K2722*G2722</f>
        <v>0</v>
      </c>
      <c r="P2722" s="2389"/>
      <c r="Q2722" s="2266"/>
      <c r="R2722" s="2266"/>
      <c r="S2722" s="2266"/>
    </row>
    <row r="2723" spans="1:19" s="2105" customFormat="1" outlineLevel="1">
      <c r="A2723" s="2182">
        <f t="shared" si="547"/>
        <v>1</v>
      </c>
      <c r="B2723" s="2261" t="s">
        <v>2156</v>
      </c>
      <c r="C2723" s="2268"/>
      <c r="D2723" s="2152" t="s">
        <v>5731</v>
      </c>
      <c r="E2723" s="2194" t="s">
        <v>3486</v>
      </c>
      <c r="F2723" s="2152" t="s">
        <v>2555</v>
      </c>
      <c r="G2723" s="2450">
        <f>+G2720*2*(4*3+2)</f>
        <v>28</v>
      </c>
      <c r="H2723" s="2264">
        <v>70000</v>
      </c>
      <c r="I2723" s="2264"/>
      <c r="J2723" s="2264">
        <v>50013.645000000004</v>
      </c>
      <c r="K2723" s="2264">
        <v>5554.0464950000005</v>
      </c>
      <c r="L2723" s="2264">
        <f t="shared" ref="L2723:L2729" si="553">H2723*G2723</f>
        <v>1960000</v>
      </c>
      <c r="M2723" s="2264">
        <f t="shared" ref="M2723:M2729" si="554">I2723*G2723</f>
        <v>0</v>
      </c>
      <c r="N2723" s="2264">
        <f t="shared" si="552"/>
        <v>1400382.06</v>
      </c>
      <c r="O2723" s="2264">
        <f t="shared" ref="O2723:O2729" si="555">K2723*G2723</f>
        <v>155513.30186000001</v>
      </c>
      <c r="P2723" s="2389"/>
      <c r="Q2723" s="2266"/>
      <c r="R2723" s="2266"/>
      <c r="S2723" s="2266"/>
    </row>
    <row r="2724" spans="1:19" s="2105" customFormat="1" outlineLevel="1">
      <c r="A2724" s="2182">
        <f t="shared" si="547"/>
        <v>1</v>
      </c>
      <c r="B2724" s="2261" t="s">
        <v>90</v>
      </c>
      <c r="C2724" s="2268"/>
      <c r="D2724" s="2152">
        <v>0</v>
      </c>
      <c r="E2724" s="2194" t="s">
        <v>3500</v>
      </c>
      <c r="F2724" s="2152" t="s">
        <v>2555</v>
      </c>
      <c r="G2724" s="2450">
        <f>G2723</f>
        <v>28</v>
      </c>
      <c r="H2724" s="2264">
        <v>6000</v>
      </c>
      <c r="I2724" s="2264"/>
      <c r="J2724" s="2264">
        <v>0</v>
      </c>
      <c r="K2724" s="2264">
        <v>0</v>
      </c>
      <c r="L2724" s="2264">
        <f t="shared" si="553"/>
        <v>168000</v>
      </c>
      <c r="M2724" s="2264">
        <f t="shared" si="554"/>
        <v>0</v>
      </c>
      <c r="N2724" s="2264">
        <f t="shared" si="552"/>
        <v>0</v>
      </c>
      <c r="O2724" s="2264">
        <f t="shared" si="555"/>
        <v>0</v>
      </c>
      <c r="P2724" s="2389"/>
      <c r="Q2724" s="2266"/>
      <c r="R2724" s="2266"/>
      <c r="S2724" s="2266"/>
    </row>
    <row r="2725" spans="1:19" s="2105" customFormat="1" outlineLevel="1">
      <c r="A2725" s="2182">
        <f t="shared" si="547"/>
        <v>1</v>
      </c>
      <c r="B2725" s="2261" t="s">
        <v>1042</v>
      </c>
      <c r="C2725" s="2268"/>
      <c r="D2725" s="2152">
        <v>0</v>
      </c>
      <c r="E2725" s="2194" t="s">
        <v>3531</v>
      </c>
      <c r="F2725" s="2152" t="s">
        <v>1823</v>
      </c>
      <c r="G2725" s="2450">
        <f>+G2720*8</f>
        <v>8</v>
      </c>
      <c r="H2725" s="2264">
        <v>103700</v>
      </c>
      <c r="I2725" s="2264"/>
      <c r="J2725" s="2264">
        <v>0</v>
      </c>
      <c r="K2725" s="2264">
        <v>0</v>
      </c>
      <c r="L2725" s="2264">
        <f t="shared" si="553"/>
        <v>829600</v>
      </c>
      <c r="M2725" s="2264">
        <f t="shared" si="554"/>
        <v>0</v>
      </c>
      <c r="N2725" s="2264">
        <f t="shared" si="552"/>
        <v>0</v>
      </c>
      <c r="O2725" s="2264">
        <f t="shared" si="555"/>
        <v>0</v>
      </c>
      <c r="P2725" s="2389"/>
      <c r="Q2725" s="2266"/>
      <c r="R2725" s="2266"/>
      <c r="S2725" s="2266"/>
    </row>
    <row r="2726" spans="1:19" s="2105" customFormat="1" outlineLevel="1">
      <c r="A2726" s="2182" t="str">
        <f t="shared" si="547"/>
        <v/>
      </c>
      <c r="B2726" s="2252" t="s">
        <v>2138</v>
      </c>
      <c r="C2726" s="2268"/>
      <c r="D2726" s="2152">
        <v>0</v>
      </c>
      <c r="E2726" s="2194" t="s">
        <v>3455</v>
      </c>
      <c r="F2726" s="2152" t="s">
        <v>2439</v>
      </c>
      <c r="G2726" s="2450"/>
      <c r="H2726" s="2264">
        <v>2739748</v>
      </c>
      <c r="I2726" s="2264"/>
      <c r="J2726" s="2264">
        <v>51183</v>
      </c>
      <c r="K2726" s="2264">
        <v>89000</v>
      </c>
      <c r="L2726" s="2264">
        <f t="shared" si="553"/>
        <v>0</v>
      </c>
      <c r="M2726" s="2264">
        <f t="shared" si="554"/>
        <v>0</v>
      </c>
      <c r="N2726" s="2264">
        <f t="shared" si="552"/>
        <v>0</v>
      </c>
      <c r="O2726" s="2264">
        <f t="shared" si="555"/>
        <v>0</v>
      </c>
      <c r="P2726" s="2389"/>
      <c r="Q2726" s="2422"/>
      <c r="R2726" s="2266"/>
      <c r="S2726" s="2266"/>
    </row>
    <row r="2727" spans="1:19" s="2105" customFormat="1" outlineLevel="1">
      <c r="A2727" s="2182">
        <f t="shared" si="547"/>
        <v>1</v>
      </c>
      <c r="B2727" s="2252" t="s">
        <v>6</v>
      </c>
      <c r="C2727" s="2268"/>
      <c r="D2727" s="2152"/>
      <c r="E2727" s="2194" t="s">
        <v>3567</v>
      </c>
      <c r="F2727" s="2152" t="s">
        <v>5806</v>
      </c>
      <c r="G2727" s="2450">
        <f>+G2720*3</f>
        <v>3</v>
      </c>
      <c r="H2727" s="2264">
        <v>45000</v>
      </c>
      <c r="I2727" s="2264"/>
      <c r="J2727" s="2264"/>
      <c r="K2727" s="2264"/>
      <c r="L2727" s="2264">
        <f t="shared" si="553"/>
        <v>135000</v>
      </c>
      <c r="M2727" s="2264">
        <f t="shared" si="554"/>
        <v>0</v>
      </c>
      <c r="N2727" s="2264">
        <f t="shared" si="552"/>
        <v>0</v>
      </c>
      <c r="O2727" s="2264">
        <f t="shared" si="555"/>
        <v>0</v>
      </c>
      <c r="P2727" s="2265"/>
      <c r="Q2727" s="2266"/>
      <c r="R2727" s="2266"/>
      <c r="S2727" s="2266"/>
    </row>
    <row r="2728" spans="1:19" s="2105" customFormat="1" outlineLevel="1">
      <c r="A2728" s="2182">
        <f t="shared" si="547"/>
        <v>1</v>
      </c>
      <c r="B2728" s="2261" t="s">
        <v>1348</v>
      </c>
      <c r="C2728" s="2268"/>
      <c r="D2728" s="2152">
        <v>0</v>
      </c>
      <c r="E2728" s="2194" t="s">
        <v>3518</v>
      </c>
      <c r="F2728" s="2152" t="s">
        <v>3519</v>
      </c>
      <c r="G2728" s="2450">
        <f>+G2727</f>
        <v>3</v>
      </c>
      <c r="H2728" s="2264">
        <v>15000</v>
      </c>
      <c r="I2728" s="2264"/>
      <c r="J2728" s="2264">
        <v>0</v>
      </c>
      <c r="K2728" s="2264">
        <v>0</v>
      </c>
      <c r="L2728" s="2264">
        <f t="shared" si="553"/>
        <v>45000</v>
      </c>
      <c r="M2728" s="2264">
        <f t="shared" si="554"/>
        <v>0</v>
      </c>
      <c r="N2728" s="2264">
        <f t="shared" si="552"/>
        <v>0</v>
      </c>
      <c r="O2728" s="2264">
        <f t="shared" si="555"/>
        <v>0</v>
      </c>
      <c r="P2728" s="2265"/>
      <c r="Q2728" s="2266"/>
      <c r="R2728" s="2266"/>
      <c r="S2728" s="2266"/>
    </row>
    <row r="2729" spans="1:19" s="2105" customFormat="1" outlineLevel="1">
      <c r="A2729" s="2182">
        <f t="shared" si="547"/>
        <v>1</v>
      </c>
      <c r="B2729" s="2252" t="s">
        <v>672</v>
      </c>
      <c r="C2729" s="2268"/>
      <c r="D2729" s="2152">
        <v>0</v>
      </c>
      <c r="E2729" s="2194" t="s">
        <v>5801</v>
      </c>
      <c r="F2729" s="2152" t="s">
        <v>3566</v>
      </c>
      <c r="G2729" s="2450">
        <f>+G2720*1</f>
        <v>1</v>
      </c>
      <c r="H2729" s="2264">
        <v>6500</v>
      </c>
      <c r="I2729" s="2264"/>
      <c r="J2729" s="2264">
        <v>0</v>
      </c>
      <c r="K2729" s="2264">
        <v>0</v>
      </c>
      <c r="L2729" s="2264">
        <f t="shared" si="553"/>
        <v>6500</v>
      </c>
      <c r="M2729" s="2264">
        <f t="shared" si="554"/>
        <v>0</v>
      </c>
      <c r="N2729" s="2264">
        <f t="shared" si="552"/>
        <v>0</v>
      </c>
      <c r="O2729" s="2264">
        <f t="shared" si="555"/>
        <v>0</v>
      </c>
      <c r="P2729" s="2389"/>
      <c r="Q2729" s="2266"/>
      <c r="R2729" s="2266"/>
      <c r="S2729" s="2266"/>
    </row>
    <row r="2730" spans="1:19" s="2105" customFormat="1" outlineLevel="1">
      <c r="A2730" s="2182">
        <f t="shared" si="547"/>
        <v>1</v>
      </c>
      <c r="B2730" s="2252" t="s">
        <v>247</v>
      </c>
      <c r="C2730" s="2268"/>
      <c r="D2730" s="2152" t="s">
        <v>5573</v>
      </c>
      <c r="E2730" s="2194" t="s">
        <v>5574</v>
      </c>
      <c r="F2730" s="2152" t="s">
        <v>1823</v>
      </c>
      <c r="G2730" s="2450">
        <f>G2722</f>
        <v>72</v>
      </c>
      <c r="H2730" s="2264">
        <v>0</v>
      </c>
      <c r="I2730" s="2264"/>
      <c r="J2730" s="2264">
        <v>47311</v>
      </c>
      <c r="K2730" s="2264">
        <v>0</v>
      </c>
      <c r="L2730" s="2264">
        <f>H2730*G2730</f>
        <v>0</v>
      </c>
      <c r="M2730" s="2264">
        <f>I2730*G2730</f>
        <v>0</v>
      </c>
      <c r="N2730" s="2264">
        <f t="shared" si="552"/>
        <v>3406392</v>
      </c>
      <c r="O2730" s="2264">
        <f>K2730*G2730</f>
        <v>0</v>
      </c>
      <c r="P2730" s="2389"/>
      <c r="Q2730" s="2266"/>
      <c r="R2730" s="2266"/>
      <c r="S2730" s="2266"/>
    </row>
    <row r="2731" spans="1:19" s="2105" customFormat="1" outlineLevel="1">
      <c r="A2731" s="2182" t="str">
        <f t="shared" si="547"/>
        <v/>
      </c>
      <c r="B2731" s="2480"/>
      <c r="C2731" s="2463">
        <f>IF(G2731&gt;0,C2720+1,C2720)</f>
        <v>7</v>
      </c>
      <c r="D2731" s="2481"/>
      <c r="E2731" s="2465" t="s">
        <v>6222</v>
      </c>
      <c r="F2731" s="2466" t="s">
        <v>2385</v>
      </c>
      <c r="G2731" s="2467"/>
      <c r="H2731" s="2469"/>
      <c r="I2731" s="2482"/>
      <c r="J2731" s="2482"/>
      <c r="K2731" s="2472">
        <v>0</v>
      </c>
      <c r="L2731" s="2472">
        <v>0</v>
      </c>
      <c r="M2731" s="2472">
        <v>0</v>
      </c>
      <c r="N2731" s="2483"/>
      <c r="O2731" s="2483"/>
      <c r="P2731" s="2483"/>
      <c r="Q2731" s="2266"/>
      <c r="R2731" s="2266"/>
      <c r="S2731" s="2266"/>
    </row>
    <row r="2732" spans="1:19" s="2105" customFormat="1" ht="14.4" outlineLevel="1">
      <c r="A2732" s="2182" t="str">
        <f>A2731</f>
        <v/>
      </c>
      <c r="B2732" s="2261"/>
      <c r="C2732" s="2258"/>
      <c r="D2732" s="2259"/>
      <c r="E2732" s="2267" t="s">
        <v>6133</v>
      </c>
      <c r="F2732" s="2268"/>
      <c r="G2732" s="2270"/>
      <c r="H2732" s="2264"/>
      <c r="I2732" s="2264"/>
      <c r="J2732" s="2264"/>
      <c r="K2732" s="2264"/>
      <c r="L2732" s="2264"/>
      <c r="M2732" s="2264"/>
      <c r="N2732" s="2265"/>
      <c r="O2732" s="2264"/>
      <c r="P2732" s="2389"/>
      <c r="Q2732" s="2266"/>
      <c r="R2732" s="2266"/>
      <c r="S2732" s="2266"/>
    </row>
    <row r="2733" spans="1:19" s="2105" customFormat="1" outlineLevel="1">
      <c r="A2733" s="2182" t="str">
        <f t="shared" si="547"/>
        <v/>
      </c>
      <c r="B2733" s="2261" t="s">
        <v>653</v>
      </c>
      <c r="C2733" s="2268"/>
      <c r="D2733" s="2152">
        <v>0</v>
      </c>
      <c r="E2733" s="2194" t="s">
        <v>5289</v>
      </c>
      <c r="F2733" s="2152" t="s">
        <v>2248</v>
      </c>
      <c r="G2733" s="2450">
        <f>+G2736*296</f>
        <v>0</v>
      </c>
      <c r="H2733" s="2264">
        <v>1740</v>
      </c>
      <c r="I2733" s="2264">
        <v>0</v>
      </c>
      <c r="J2733" s="2264">
        <v>0</v>
      </c>
      <c r="K2733" s="2264">
        <v>588937.93920000014</v>
      </c>
      <c r="L2733" s="2264">
        <v>0</v>
      </c>
      <c r="M2733" s="2264">
        <v>0</v>
      </c>
      <c r="N2733" s="2265"/>
      <c r="O2733" s="2264"/>
      <c r="P2733" s="2389"/>
      <c r="Q2733" s="2266"/>
      <c r="R2733" s="2266"/>
      <c r="S2733" s="2266"/>
    </row>
    <row r="2734" spans="1:19" s="2105" customFormat="1" outlineLevel="1">
      <c r="A2734" s="2182" t="str">
        <f t="shared" si="547"/>
        <v/>
      </c>
      <c r="B2734" s="2261" t="s">
        <v>752</v>
      </c>
      <c r="C2734" s="2268"/>
      <c r="D2734" s="2152">
        <v>0</v>
      </c>
      <c r="E2734" s="2194" t="s">
        <v>3004</v>
      </c>
      <c r="F2734" s="2152" t="s">
        <v>856</v>
      </c>
      <c r="G2734" s="2450">
        <f>G2736*0.475</f>
        <v>0</v>
      </c>
      <c r="H2734" s="2264">
        <v>350000</v>
      </c>
      <c r="I2734" s="2264">
        <v>0</v>
      </c>
      <c r="J2734" s="2264">
        <v>0</v>
      </c>
      <c r="K2734" s="2264">
        <v>190103.55000000005</v>
      </c>
      <c r="L2734" s="2264">
        <v>0</v>
      </c>
      <c r="M2734" s="2264">
        <v>0</v>
      </c>
      <c r="N2734" s="2560"/>
      <c r="O2734" s="2264"/>
      <c r="P2734" s="2389"/>
      <c r="Q2734" s="2266"/>
      <c r="R2734" s="2266"/>
      <c r="S2734" s="2266"/>
    </row>
    <row r="2735" spans="1:19" s="2105" customFormat="1" outlineLevel="1">
      <c r="A2735" s="2182" t="str">
        <f t="shared" si="547"/>
        <v/>
      </c>
      <c r="B2735" s="2261" t="s">
        <v>216</v>
      </c>
      <c r="C2735" s="2268"/>
      <c r="D2735" s="2152">
        <v>0</v>
      </c>
      <c r="E2735" s="2194" t="s">
        <v>3000</v>
      </c>
      <c r="F2735" s="2152" t="s">
        <v>856</v>
      </c>
      <c r="G2735" s="2450">
        <f>G2736*0.881</f>
        <v>0</v>
      </c>
      <c r="H2735" s="2264">
        <v>300000</v>
      </c>
      <c r="I2735" s="2264">
        <v>0</v>
      </c>
      <c r="J2735" s="2264">
        <v>0</v>
      </c>
      <c r="K2735" s="2264">
        <v>302221.76400000008</v>
      </c>
      <c r="L2735" s="2264">
        <v>0</v>
      </c>
      <c r="M2735" s="2264">
        <v>0</v>
      </c>
      <c r="N2735" s="2265"/>
      <c r="O2735" s="2264"/>
      <c r="P2735" s="2389"/>
      <c r="Q2735" s="2266"/>
      <c r="R2735" s="2266"/>
      <c r="S2735" s="2266"/>
    </row>
    <row r="2736" spans="1:19" s="2105" customFormat="1" outlineLevel="1">
      <c r="A2736" s="2182" t="str">
        <f t="shared" si="547"/>
        <v/>
      </c>
      <c r="B2736" s="2261" t="s">
        <v>654</v>
      </c>
      <c r="C2736" s="2268"/>
      <c r="D2736" s="2152" t="s">
        <v>5471</v>
      </c>
      <c r="E2736" s="2194" t="s">
        <v>5474</v>
      </c>
      <c r="F2736" s="2152" t="s">
        <v>856</v>
      </c>
      <c r="G2736" s="2450">
        <f>G2731*(0.4*3*1-2*3.14*0.15^2*0.4)</f>
        <v>0</v>
      </c>
      <c r="H2736" s="2264"/>
      <c r="I2736" s="2264">
        <v>466397.5</v>
      </c>
      <c r="J2736" s="2264">
        <v>0</v>
      </c>
      <c r="K2736" s="2264">
        <v>0</v>
      </c>
      <c r="L2736" s="2264">
        <v>533316.21330000018</v>
      </c>
      <c r="M2736" s="2264">
        <v>0</v>
      </c>
      <c r="N2736" s="2265"/>
      <c r="O2736" s="2264"/>
      <c r="P2736" s="2389"/>
      <c r="Q2736" s="2266"/>
      <c r="R2736" s="2266"/>
      <c r="S2736" s="2266"/>
    </row>
    <row r="2737" spans="1:19" s="2105" customFormat="1" outlineLevel="1">
      <c r="A2737" s="2182">
        <f t="shared" si="547"/>
        <v>1</v>
      </c>
      <c r="B2737" s="2475"/>
      <c r="C2737" s="2463">
        <f>IF(G2737&gt;0,C2731+1,C2731)</f>
        <v>8</v>
      </c>
      <c r="D2737" s="2464"/>
      <c r="E2737" s="2465" t="s">
        <v>6281</v>
      </c>
      <c r="F2737" s="2466" t="s">
        <v>2385</v>
      </c>
      <c r="G2737" s="2467">
        <f>G2594</f>
        <v>1</v>
      </c>
      <c r="H2737" s="2468"/>
      <c r="I2737" s="2470"/>
      <c r="J2737" s="2470"/>
      <c r="K2737" s="2471">
        <v>0</v>
      </c>
      <c r="L2737" s="2471">
        <v>0</v>
      </c>
      <c r="M2737" s="2471">
        <v>0</v>
      </c>
      <c r="N2737" s="2476"/>
      <c r="O2737" s="2476"/>
      <c r="P2737" s="2476"/>
      <c r="Q2737" s="2266"/>
      <c r="R2737" s="2266"/>
      <c r="S2737" s="2266"/>
    </row>
    <row r="2738" spans="1:19" s="2105" customFormat="1" ht="14.4" outlineLevel="1">
      <c r="A2738" s="2182" t="str">
        <f t="shared" si="547"/>
        <v/>
      </c>
      <c r="B2738" s="2261"/>
      <c r="C2738" s="2258"/>
      <c r="D2738" s="2259"/>
      <c r="E2738" s="2267" t="s">
        <v>6133</v>
      </c>
      <c r="F2738" s="2268"/>
      <c r="G2738" s="2270"/>
      <c r="H2738" s="2264"/>
      <c r="I2738" s="2264"/>
      <c r="J2738" s="2264"/>
      <c r="K2738" s="2264">
        <v>0</v>
      </c>
      <c r="L2738" s="2264">
        <v>0</v>
      </c>
      <c r="M2738" s="2264">
        <v>0</v>
      </c>
      <c r="N2738" s="2265"/>
      <c r="O2738" s="2264"/>
      <c r="P2738" s="2389"/>
      <c r="Q2738" s="2266"/>
      <c r="R2738" s="2266"/>
      <c r="S2738" s="2266"/>
    </row>
    <row r="2739" spans="1:19" s="2105" customFormat="1" ht="14.4" outlineLevel="1">
      <c r="A2739" s="2182">
        <f>A2737</f>
        <v>1</v>
      </c>
      <c r="B2739" s="2261"/>
      <c r="C2739" s="2258"/>
      <c r="D2739" s="2259"/>
      <c r="E2739" s="2267" t="s">
        <v>6133</v>
      </c>
      <c r="F2739" s="2268"/>
      <c r="G2739" s="2270"/>
      <c r="H2739" s="2264"/>
      <c r="I2739" s="2264"/>
      <c r="J2739" s="2264"/>
      <c r="K2739" s="2264"/>
      <c r="L2739" s="2264"/>
      <c r="M2739" s="2264"/>
      <c r="N2739" s="2265"/>
      <c r="O2739" s="2264"/>
      <c r="P2739" s="2389"/>
      <c r="Q2739" s="2266"/>
      <c r="R2739" s="2266"/>
      <c r="S2739" s="2266"/>
    </row>
    <row r="2740" spans="1:19" s="2105" customFormat="1" outlineLevel="1">
      <c r="A2740" s="2182">
        <f t="shared" si="547"/>
        <v>1</v>
      </c>
      <c r="B2740" s="2484" t="s">
        <v>2008</v>
      </c>
      <c r="C2740" s="2268"/>
      <c r="D2740" s="2152">
        <v>0</v>
      </c>
      <c r="E2740" s="2194" t="s">
        <v>5247</v>
      </c>
      <c r="F2740" s="2152" t="s">
        <v>2248</v>
      </c>
      <c r="G2740" s="2450">
        <f>G2737*(0.4*3*1-2*3.14*0.15^2*0.4)</f>
        <v>1.1434800000000003</v>
      </c>
      <c r="H2740" s="2264">
        <v>13300</v>
      </c>
      <c r="I2740" s="2264">
        <v>0</v>
      </c>
      <c r="J2740" s="2264">
        <v>0</v>
      </c>
      <c r="K2740" s="2264">
        <v>0</v>
      </c>
      <c r="L2740" s="2264">
        <f t="shared" ref="L2740:L2745" si="556">H2740*G2740</f>
        <v>15208.284000000003</v>
      </c>
      <c r="M2740" s="2264">
        <v>0</v>
      </c>
      <c r="N2740" s="2264">
        <f t="shared" ref="N2740:N2745" si="557">J2740*G2740</f>
        <v>0</v>
      </c>
      <c r="O2740" s="2264">
        <f t="shared" ref="O2740:O2745" si="558">K2740*G2740</f>
        <v>0</v>
      </c>
      <c r="P2740" s="2389"/>
      <c r="Q2740" s="2266"/>
      <c r="R2740" s="2266"/>
      <c r="S2740" s="2266"/>
    </row>
    <row r="2741" spans="1:19" s="2105" customFormat="1" outlineLevel="1">
      <c r="A2741" s="2182">
        <f t="shared" si="547"/>
        <v>1</v>
      </c>
      <c r="B2741" s="2485" t="s">
        <v>6243</v>
      </c>
      <c r="C2741" s="2268"/>
      <c r="D2741" s="2152">
        <v>0</v>
      </c>
      <c r="E2741" s="2194" t="s">
        <v>5484</v>
      </c>
      <c r="F2741" s="2152" t="s">
        <v>856</v>
      </c>
      <c r="G2741" s="2450">
        <v>1.08</v>
      </c>
      <c r="H2741" s="2264">
        <v>920580</v>
      </c>
      <c r="I2741" s="2264">
        <v>0</v>
      </c>
      <c r="J2741" s="2264">
        <v>0</v>
      </c>
      <c r="K2741" s="2264">
        <v>0</v>
      </c>
      <c r="L2741" s="2264">
        <f t="shared" si="556"/>
        <v>994226.4</v>
      </c>
      <c r="M2741" s="2264">
        <v>0</v>
      </c>
      <c r="N2741" s="2264">
        <f t="shared" si="557"/>
        <v>0</v>
      </c>
      <c r="O2741" s="2264">
        <f t="shared" si="558"/>
        <v>0</v>
      </c>
      <c r="P2741" s="2389"/>
      <c r="Q2741" s="2266"/>
      <c r="R2741" s="2266"/>
      <c r="S2741" s="2266"/>
    </row>
    <row r="2742" spans="1:19" s="2105" customFormat="1" outlineLevel="1">
      <c r="A2742" s="2182">
        <f t="shared" si="547"/>
        <v>1</v>
      </c>
      <c r="B2742" s="2487" t="s">
        <v>5485</v>
      </c>
      <c r="C2742" s="2268"/>
      <c r="D2742" s="2152">
        <v>0</v>
      </c>
      <c r="E2742" s="2194" t="s">
        <v>5486</v>
      </c>
      <c r="F2742" s="2152" t="s">
        <v>856</v>
      </c>
      <c r="G2742" s="2450">
        <v>0.16799999999999998</v>
      </c>
      <c r="H2742" s="2264">
        <v>371262</v>
      </c>
      <c r="I2742" s="2264">
        <v>0</v>
      </c>
      <c r="J2742" s="2264">
        <v>0</v>
      </c>
      <c r="K2742" s="2264">
        <v>0</v>
      </c>
      <c r="L2742" s="2264">
        <f t="shared" si="556"/>
        <v>62372.015999999996</v>
      </c>
      <c r="M2742" s="2264">
        <v>0</v>
      </c>
      <c r="N2742" s="2264">
        <f t="shared" si="557"/>
        <v>0</v>
      </c>
      <c r="O2742" s="2264">
        <f t="shared" si="558"/>
        <v>0</v>
      </c>
      <c r="P2742" s="2389"/>
      <c r="Q2742" s="2266"/>
      <c r="R2742" s="2266"/>
      <c r="S2742" s="2266"/>
    </row>
    <row r="2743" spans="1:19" s="2105" customFormat="1" outlineLevel="1">
      <c r="A2743" s="2182">
        <f t="shared" si="547"/>
        <v>1</v>
      </c>
      <c r="B2743" s="2488" t="s">
        <v>585</v>
      </c>
      <c r="C2743" s="2268"/>
      <c r="D2743" s="2152" t="s">
        <v>5479</v>
      </c>
      <c r="E2743" s="2194" t="s">
        <v>3200</v>
      </c>
      <c r="F2743" s="2152" t="s">
        <v>2248</v>
      </c>
      <c r="G2743" s="2450">
        <v>18.880200000000002</v>
      </c>
      <c r="H2743" s="2264">
        <v>9970</v>
      </c>
      <c r="I2743" s="2264">
        <v>2309.9327999999996</v>
      </c>
      <c r="J2743" s="2264">
        <v>2309.9327999999996</v>
      </c>
      <c r="K2743" s="2264">
        <v>0</v>
      </c>
      <c r="L2743" s="2264">
        <f t="shared" si="556"/>
        <v>188235.59400000001</v>
      </c>
      <c r="M2743" s="2264">
        <v>0</v>
      </c>
      <c r="N2743" s="2264">
        <f t="shared" si="557"/>
        <v>43611.993250559994</v>
      </c>
      <c r="O2743" s="2264">
        <f t="shared" si="558"/>
        <v>0</v>
      </c>
      <c r="P2743" s="2389"/>
      <c r="Q2743" s="2266"/>
      <c r="R2743" s="2266"/>
      <c r="S2743" s="2266"/>
    </row>
    <row r="2744" spans="1:19" s="2105" customFormat="1" outlineLevel="1">
      <c r="A2744" s="2182">
        <f t="shared" si="547"/>
        <v>1</v>
      </c>
      <c r="B2744" s="2261" t="s">
        <v>654</v>
      </c>
      <c r="C2744" s="2268"/>
      <c r="D2744" s="2152" t="s">
        <v>5471</v>
      </c>
      <c r="E2744" s="2194" t="s">
        <v>5474</v>
      </c>
      <c r="F2744" s="2152" t="s">
        <v>856</v>
      </c>
      <c r="G2744" s="2450">
        <v>1.08</v>
      </c>
      <c r="H2744" s="2264">
        <v>920580</v>
      </c>
      <c r="I2744" s="2264">
        <v>466397.5</v>
      </c>
      <c r="J2744" s="2264">
        <v>466397.5</v>
      </c>
      <c r="K2744" s="2264">
        <v>0</v>
      </c>
      <c r="L2744" s="2264">
        <f t="shared" si="556"/>
        <v>994226.4</v>
      </c>
      <c r="M2744" s="2264">
        <v>0</v>
      </c>
      <c r="N2744" s="2264">
        <f t="shared" si="557"/>
        <v>503709.30000000005</v>
      </c>
      <c r="O2744" s="2264">
        <f t="shared" si="558"/>
        <v>0</v>
      </c>
      <c r="P2744" s="2389"/>
      <c r="Q2744" s="2266"/>
      <c r="R2744" s="2266"/>
      <c r="S2744" s="2266"/>
    </row>
    <row r="2745" spans="1:19" s="2105" customFormat="1" outlineLevel="1">
      <c r="A2745" s="2182">
        <f t="shared" si="547"/>
        <v>1</v>
      </c>
      <c r="B2745" s="2489" t="s">
        <v>1955</v>
      </c>
      <c r="C2745" s="2268"/>
      <c r="D2745" s="2152" t="s">
        <v>5471</v>
      </c>
      <c r="E2745" s="2194" t="s">
        <v>5472</v>
      </c>
      <c r="F2745" s="2152" t="s">
        <v>856</v>
      </c>
      <c r="G2745" s="2450">
        <v>0.16799999999999998</v>
      </c>
      <c r="H2745" s="2264">
        <v>371262</v>
      </c>
      <c r="I2745" s="2264">
        <v>414064.45</v>
      </c>
      <c r="J2745" s="2264">
        <v>414064.45</v>
      </c>
      <c r="K2745" s="2264">
        <v>0</v>
      </c>
      <c r="L2745" s="2264">
        <f t="shared" si="556"/>
        <v>62372.015999999996</v>
      </c>
      <c r="M2745" s="2264">
        <v>0</v>
      </c>
      <c r="N2745" s="2264">
        <f t="shared" si="557"/>
        <v>69562.82759999999</v>
      </c>
      <c r="O2745" s="2264">
        <f t="shared" si="558"/>
        <v>0</v>
      </c>
      <c r="P2745" s="2389"/>
      <c r="Q2745" s="2266"/>
      <c r="R2745" s="2266"/>
      <c r="S2745" s="2266"/>
    </row>
    <row r="2746" spans="1:19" s="2105" customFormat="1" outlineLevel="1">
      <c r="A2746" s="2182">
        <f t="shared" si="547"/>
        <v>1</v>
      </c>
      <c r="B2746" s="2475"/>
      <c r="C2746" s="2463">
        <f>IF(G2746&gt;0,C2737+1,C2737)</f>
        <v>9</v>
      </c>
      <c r="D2746" s="2464"/>
      <c r="E2746" s="2465" t="s">
        <v>6244</v>
      </c>
      <c r="F2746" s="2466" t="s">
        <v>2385</v>
      </c>
      <c r="G2746" s="2467">
        <f>G2737</f>
        <v>1</v>
      </c>
      <c r="H2746" s="2468"/>
      <c r="I2746" s="2470"/>
      <c r="J2746" s="2470"/>
      <c r="K2746" s="2471">
        <v>0</v>
      </c>
      <c r="L2746" s="2471">
        <v>0</v>
      </c>
      <c r="M2746" s="2471">
        <v>0</v>
      </c>
      <c r="N2746" s="2476"/>
      <c r="O2746" s="2476"/>
      <c r="P2746" s="2476"/>
      <c r="Q2746" s="2266"/>
      <c r="R2746" s="2266"/>
      <c r="S2746" s="2266"/>
    </row>
    <row r="2747" spans="1:19" s="2105" customFormat="1" ht="14.4" outlineLevel="1">
      <c r="A2747" s="2182" t="str">
        <f t="shared" si="547"/>
        <v/>
      </c>
      <c r="B2747" s="2261"/>
      <c r="C2747" s="2258"/>
      <c r="D2747" s="2259"/>
      <c r="E2747" s="2267" t="s">
        <v>6133</v>
      </c>
      <c r="F2747" s="2268"/>
      <c r="G2747" s="2270"/>
      <c r="H2747" s="2264"/>
      <c r="I2747" s="2264"/>
      <c r="J2747" s="2264"/>
      <c r="K2747" s="2264">
        <v>0</v>
      </c>
      <c r="L2747" s="2264">
        <v>0</v>
      </c>
      <c r="M2747" s="2264">
        <v>0</v>
      </c>
      <c r="N2747" s="2265"/>
      <c r="O2747" s="2264"/>
      <c r="P2747" s="2389"/>
      <c r="Q2747" s="2266"/>
      <c r="R2747" s="2266"/>
      <c r="S2747" s="2266"/>
    </row>
    <row r="2748" spans="1:19" s="2105" customFormat="1" ht="14.4" outlineLevel="1">
      <c r="A2748" s="2182">
        <f>A2746</f>
        <v>1</v>
      </c>
      <c r="B2748" s="2261"/>
      <c r="C2748" s="2258"/>
      <c r="D2748" s="2259"/>
      <c r="E2748" s="2267" t="s">
        <v>6133</v>
      </c>
      <c r="F2748" s="2268"/>
      <c r="G2748" s="2270"/>
      <c r="H2748" s="2264"/>
      <c r="I2748" s="2264"/>
      <c r="J2748" s="2264"/>
      <c r="K2748" s="2264"/>
      <c r="L2748" s="2264"/>
      <c r="M2748" s="2264"/>
      <c r="N2748" s="2265"/>
      <c r="O2748" s="2264"/>
      <c r="P2748" s="2389"/>
      <c r="Q2748" s="2266"/>
      <c r="R2748" s="2266"/>
      <c r="S2748" s="2266"/>
    </row>
    <row r="2749" spans="1:19" s="2105" customFormat="1" outlineLevel="1">
      <c r="A2749" s="2182">
        <f t="shared" si="547"/>
        <v>1</v>
      </c>
      <c r="B2749" s="2261" t="s">
        <v>5302</v>
      </c>
      <c r="C2749" s="2268"/>
      <c r="D2749" s="2152" t="s">
        <v>5303</v>
      </c>
      <c r="E2749" s="2194" t="s">
        <v>5304</v>
      </c>
      <c r="F2749" s="2152" t="s">
        <v>2532</v>
      </c>
      <c r="G2749" s="2450">
        <f>G2746*9*2</f>
        <v>18</v>
      </c>
      <c r="H2749" s="2264">
        <v>250000</v>
      </c>
      <c r="I2749" s="2264">
        <v>109566.8385</v>
      </c>
      <c r="J2749" s="2264">
        <v>109566.8385</v>
      </c>
      <c r="K2749" s="2264">
        <v>0</v>
      </c>
      <c r="L2749" s="2264">
        <f t="shared" ref="L2749:L2762" si="559">H2749*G2749</f>
        <v>4500000</v>
      </c>
      <c r="M2749" s="2264">
        <v>0</v>
      </c>
      <c r="N2749" s="2264">
        <f t="shared" ref="N2749:N2762" si="560">J2749*G2749</f>
        <v>1972203.0929999999</v>
      </c>
      <c r="O2749" s="2264">
        <f t="shared" ref="O2749:O2762" si="561">K2749*G2749</f>
        <v>0</v>
      </c>
      <c r="P2749" s="2389"/>
      <c r="Q2749" s="2266"/>
      <c r="R2749" s="2266"/>
      <c r="S2749" s="2266"/>
    </row>
    <row r="2750" spans="1:19" s="2105" customFormat="1" outlineLevel="1">
      <c r="A2750" s="2182">
        <f t="shared" si="547"/>
        <v>1</v>
      </c>
      <c r="B2750" s="2261" t="s">
        <v>5364</v>
      </c>
      <c r="C2750" s="2268"/>
      <c r="D2750" s="2152" t="s">
        <v>5365</v>
      </c>
      <c r="E2750" s="2194" t="s">
        <v>5366</v>
      </c>
      <c r="F2750" s="2152" t="s">
        <v>5367</v>
      </c>
      <c r="G2750" s="2450">
        <f>G2749/2</f>
        <v>9</v>
      </c>
      <c r="H2750" s="2264">
        <v>40000</v>
      </c>
      <c r="I2750" s="2264">
        <v>13525.75</v>
      </c>
      <c r="J2750" s="2264">
        <v>13525.75</v>
      </c>
      <c r="K2750" s="2264">
        <v>0</v>
      </c>
      <c r="L2750" s="2264">
        <f t="shared" si="559"/>
        <v>360000</v>
      </c>
      <c r="M2750" s="2264">
        <v>0</v>
      </c>
      <c r="N2750" s="2264">
        <f t="shared" si="560"/>
        <v>121731.75</v>
      </c>
      <c r="O2750" s="2264">
        <f t="shared" si="561"/>
        <v>0</v>
      </c>
      <c r="P2750" s="2389"/>
      <c r="Q2750" s="2266"/>
      <c r="R2750" s="2266"/>
      <c r="S2750" s="2266"/>
    </row>
    <row r="2751" spans="1:19" s="2105" customFormat="1" outlineLevel="1">
      <c r="A2751" s="2182">
        <f t="shared" si="547"/>
        <v>1</v>
      </c>
      <c r="B2751" s="2261" t="s">
        <v>5164</v>
      </c>
      <c r="C2751" s="2268"/>
      <c r="D2751" s="2152">
        <v>0</v>
      </c>
      <c r="E2751" s="2194" t="s">
        <v>5165</v>
      </c>
      <c r="F2751" s="2152" t="s">
        <v>2248</v>
      </c>
      <c r="G2751" s="2450">
        <f>G2746*16*2/4*16</f>
        <v>128</v>
      </c>
      <c r="H2751" s="2264">
        <v>31625</v>
      </c>
      <c r="I2751" s="2264">
        <v>0</v>
      </c>
      <c r="J2751" s="2264">
        <v>0</v>
      </c>
      <c r="K2751" s="2264">
        <v>0</v>
      </c>
      <c r="L2751" s="2264">
        <f t="shared" si="559"/>
        <v>4048000</v>
      </c>
      <c r="M2751" s="2264">
        <v>0</v>
      </c>
      <c r="N2751" s="2264">
        <f t="shared" si="560"/>
        <v>0</v>
      </c>
      <c r="O2751" s="2264">
        <f t="shared" si="561"/>
        <v>0</v>
      </c>
      <c r="P2751" s="2389"/>
      <c r="Q2751" s="2266"/>
      <c r="R2751" s="2266"/>
      <c r="S2751" s="2266"/>
    </row>
    <row r="2752" spans="1:19" s="2105" customFormat="1" outlineLevel="1">
      <c r="A2752" s="2182">
        <f t="shared" si="547"/>
        <v>1</v>
      </c>
      <c r="B2752" s="2261" t="s">
        <v>5166</v>
      </c>
      <c r="C2752" s="2268"/>
      <c r="D2752" s="2152">
        <v>0</v>
      </c>
      <c r="E2752" s="2194" t="s">
        <v>5167</v>
      </c>
      <c r="F2752" s="2152" t="s">
        <v>2248</v>
      </c>
      <c r="G2752" s="2450">
        <f>G2746*16/6*17.7</f>
        <v>47.199999999999996</v>
      </c>
      <c r="H2752" s="2264">
        <v>31625</v>
      </c>
      <c r="I2752" s="2264">
        <v>0</v>
      </c>
      <c r="J2752" s="2264">
        <v>0</v>
      </c>
      <c r="K2752" s="2264">
        <v>0</v>
      </c>
      <c r="L2752" s="2264">
        <f t="shared" si="559"/>
        <v>1492699.9999999998</v>
      </c>
      <c r="M2752" s="2264">
        <v>0</v>
      </c>
      <c r="N2752" s="2264">
        <f t="shared" si="560"/>
        <v>0</v>
      </c>
      <c r="O2752" s="2264">
        <f t="shared" si="561"/>
        <v>0</v>
      </c>
      <c r="P2752" s="2389"/>
      <c r="Q2752" s="2266"/>
      <c r="R2752" s="2266"/>
      <c r="S2752" s="2266"/>
    </row>
    <row r="2753" spans="1:19" s="2105" customFormat="1" outlineLevel="1">
      <c r="A2753" s="2182">
        <f t="shared" si="547"/>
        <v>1</v>
      </c>
      <c r="B2753" s="2261" t="s">
        <v>279</v>
      </c>
      <c r="C2753" s="2268"/>
      <c r="D2753" s="2152">
        <v>0</v>
      </c>
      <c r="E2753" s="2194" t="s">
        <v>2948</v>
      </c>
      <c r="F2753" s="2152" t="s">
        <v>2248</v>
      </c>
      <c r="G2753" s="2450">
        <f>G2746*3</f>
        <v>3</v>
      </c>
      <c r="H2753" s="2264">
        <v>31625</v>
      </c>
      <c r="I2753" s="2264">
        <v>0</v>
      </c>
      <c r="J2753" s="2264">
        <v>0</v>
      </c>
      <c r="K2753" s="2264">
        <v>0</v>
      </c>
      <c r="L2753" s="2264">
        <f t="shared" si="559"/>
        <v>94875</v>
      </c>
      <c r="M2753" s="2264">
        <v>0</v>
      </c>
      <c r="N2753" s="2264">
        <f t="shared" si="560"/>
        <v>0</v>
      </c>
      <c r="O2753" s="2264">
        <f t="shared" si="561"/>
        <v>0</v>
      </c>
      <c r="P2753" s="2389"/>
      <c r="Q2753" s="2266"/>
      <c r="R2753" s="2266"/>
      <c r="S2753" s="2266"/>
    </row>
    <row r="2754" spans="1:19" s="2105" customFormat="1" outlineLevel="1">
      <c r="A2754" s="2182">
        <f t="shared" si="547"/>
        <v>1</v>
      </c>
      <c r="B2754" s="2261" t="s">
        <v>6245</v>
      </c>
      <c r="C2754" s="2268"/>
      <c r="D2754" s="2152">
        <v>0</v>
      </c>
      <c r="E2754" s="2194" t="s">
        <v>5310</v>
      </c>
      <c r="F2754" s="2152" t="s">
        <v>2532</v>
      </c>
      <c r="G2754" s="2450">
        <f>G2746*(12+2.2)</f>
        <v>14.2</v>
      </c>
      <c r="H2754" s="2264">
        <v>70000</v>
      </c>
      <c r="I2754" s="2264">
        <v>0</v>
      </c>
      <c r="J2754" s="2264">
        <v>0</v>
      </c>
      <c r="K2754" s="2264">
        <v>0</v>
      </c>
      <c r="L2754" s="2264">
        <f t="shared" si="559"/>
        <v>994000</v>
      </c>
      <c r="M2754" s="2264">
        <v>0</v>
      </c>
      <c r="N2754" s="2264">
        <f t="shared" si="560"/>
        <v>0</v>
      </c>
      <c r="O2754" s="2264">
        <f t="shared" si="561"/>
        <v>0</v>
      </c>
      <c r="P2754" s="2389"/>
      <c r="Q2754" s="2266"/>
      <c r="R2754" s="2266"/>
      <c r="S2754" s="2266"/>
    </row>
    <row r="2755" spans="1:19" s="2105" customFormat="1" outlineLevel="1">
      <c r="A2755" s="2182">
        <f t="shared" si="547"/>
        <v>1</v>
      </c>
      <c r="B2755" s="2261" t="s">
        <v>745</v>
      </c>
      <c r="C2755" s="2268"/>
      <c r="D2755" s="2152">
        <v>0</v>
      </c>
      <c r="E2755" s="2194" t="s">
        <v>5246</v>
      </c>
      <c r="F2755" s="2152" t="s">
        <v>2248</v>
      </c>
      <c r="G2755" s="2450">
        <f>G2746*16</f>
        <v>16</v>
      </c>
      <c r="H2755" s="2264">
        <v>13200</v>
      </c>
      <c r="I2755" s="2264">
        <v>0</v>
      </c>
      <c r="J2755" s="2264">
        <v>0</v>
      </c>
      <c r="K2755" s="2264">
        <v>0</v>
      </c>
      <c r="L2755" s="2264">
        <f t="shared" si="559"/>
        <v>211200</v>
      </c>
      <c r="M2755" s="2264">
        <v>0</v>
      </c>
      <c r="N2755" s="2264">
        <f t="shared" si="560"/>
        <v>0</v>
      </c>
      <c r="O2755" s="2264">
        <f t="shared" si="561"/>
        <v>0</v>
      </c>
      <c r="P2755" s="2389"/>
      <c r="Q2755" s="2266"/>
      <c r="R2755" s="2266"/>
      <c r="S2755" s="2266"/>
    </row>
    <row r="2756" spans="1:19" s="2105" customFormat="1" outlineLevel="1">
      <c r="A2756" s="2182">
        <f t="shared" si="547"/>
        <v>1</v>
      </c>
      <c r="B2756" s="2261" t="s">
        <v>5058</v>
      </c>
      <c r="C2756" s="2268"/>
      <c r="D2756" s="2152">
        <v>0</v>
      </c>
      <c r="E2756" s="2194" t="s">
        <v>5059</v>
      </c>
      <c r="F2756" s="2152" t="s">
        <v>2439</v>
      </c>
      <c r="G2756" s="2450">
        <f>G2746*9*4</f>
        <v>36</v>
      </c>
      <c r="H2756" s="2264">
        <v>35600</v>
      </c>
      <c r="I2756" s="2264">
        <v>0</v>
      </c>
      <c r="J2756" s="2264">
        <v>0</v>
      </c>
      <c r="K2756" s="2264">
        <v>0</v>
      </c>
      <c r="L2756" s="2264">
        <f t="shared" si="559"/>
        <v>1281600</v>
      </c>
      <c r="M2756" s="2264">
        <v>0</v>
      </c>
      <c r="N2756" s="2264">
        <f t="shared" si="560"/>
        <v>0</v>
      </c>
      <c r="O2756" s="2264">
        <f t="shared" si="561"/>
        <v>0</v>
      </c>
      <c r="P2756" s="2389"/>
      <c r="Q2756" s="2266"/>
      <c r="R2756" s="2266"/>
      <c r="S2756" s="2266"/>
    </row>
    <row r="2757" spans="1:19" s="2105" customFormat="1" outlineLevel="1">
      <c r="A2757" s="2182">
        <f t="shared" si="547"/>
        <v>1</v>
      </c>
      <c r="B2757" s="2261" t="s">
        <v>6243</v>
      </c>
      <c r="C2757" s="2268"/>
      <c r="D2757" s="2152">
        <v>0</v>
      </c>
      <c r="E2757" s="2194" t="s">
        <v>5484</v>
      </c>
      <c r="F2757" s="2152" t="s">
        <v>856</v>
      </c>
      <c r="G2757" s="2450">
        <f>G2746*0.12</f>
        <v>0.12</v>
      </c>
      <c r="H2757" s="2264">
        <v>920580</v>
      </c>
      <c r="I2757" s="2264">
        <v>0</v>
      </c>
      <c r="J2757" s="2264">
        <v>0</v>
      </c>
      <c r="K2757" s="2264">
        <v>0</v>
      </c>
      <c r="L2757" s="2264">
        <f t="shared" si="559"/>
        <v>110469.59999999999</v>
      </c>
      <c r="M2757" s="2264">
        <v>0</v>
      </c>
      <c r="N2757" s="2264">
        <f t="shared" si="560"/>
        <v>0</v>
      </c>
      <c r="O2757" s="2264">
        <f t="shared" si="561"/>
        <v>0</v>
      </c>
      <c r="P2757" s="2389"/>
      <c r="Q2757" s="2266"/>
      <c r="R2757" s="2266"/>
      <c r="S2757" s="2266"/>
    </row>
    <row r="2758" spans="1:19" s="2105" customFormat="1" outlineLevel="1">
      <c r="A2758" s="2182">
        <f t="shared" si="547"/>
        <v>1</v>
      </c>
      <c r="B2758" s="2261" t="s">
        <v>934</v>
      </c>
      <c r="C2758" s="2268"/>
      <c r="D2758" s="2152">
        <v>0</v>
      </c>
      <c r="E2758" s="2194" t="s">
        <v>3005</v>
      </c>
      <c r="F2758" s="2152" t="s">
        <v>3006</v>
      </c>
      <c r="G2758" s="2450">
        <f>G2746*350</f>
        <v>350</v>
      </c>
      <c r="H2758" s="2264">
        <v>1900</v>
      </c>
      <c r="I2758" s="2264">
        <v>0</v>
      </c>
      <c r="J2758" s="2264">
        <v>0</v>
      </c>
      <c r="K2758" s="2264">
        <v>0</v>
      </c>
      <c r="L2758" s="2264">
        <f t="shared" si="559"/>
        <v>665000</v>
      </c>
      <c r="M2758" s="2264">
        <v>0</v>
      </c>
      <c r="N2758" s="2264">
        <f t="shared" si="560"/>
        <v>0</v>
      </c>
      <c r="O2758" s="2264">
        <f t="shared" si="561"/>
        <v>0</v>
      </c>
      <c r="P2758" s="2389"/>
      <c r="Q2758" s="2266"/>
      <c r="R2758" s="2266"/>
      <c r="S2758" s="2266"/>
    </row>
    <row r="2759" spans="1:19" s="2105" customFormat="1" outlineLevel="1">
      <c r="A2759" s="2182">
        <f t="shared" si="547"/>
        <v>1</v>
      </c>
      <c r="B2759" s="2261" t="s">
        <v>5487</v>
      </c>
      <c r="C2759" s="2268"/>
      <c r="D2759" s="2152" t="s">
        <v>5488</v>
      </c>
      <c r="E2759" s="2194" t="s">
        <v>5489</v>
      </c>
      <c r="F2759" s="2152" t="s">
        <v>856</v>
      </c>
      <c r="G2759" s="2450">
        <f>G2746*1.4</f>
        <v>1.4</v>
      </c>
      <c r="H2759" s="2264">
        <v>0</v>
      </c>
      <c r="I2759" s="2264">
        <v>316240.8</v>
      </c>
      <c r="J2759" s="2264">
        <v>316240.8</v>
      </c>
      <c r="K2759" s="2264">
        <v>0</v>
      </c>
      <c r="L2759" s="2264">
        <f t="shared" si="559"/>
        <v>0</v>
      </c>
      <c r="M2759" s="2264">
        <v>0</v>
      </c>
      <c r="N2759" s="2264">
        <f t="shared" si="560"/>
        <v>442737.11999999994</v>
      </c>
      <c r="O2759" s="2264">
        <f t="shared" si="561"/>
        <v>0</v>
      </c>
      <c r="P2759" s="2389"/>
      <c r="Q2759" s="2266"/>
      <c r="R2759" s="2266"/>
      <c r="S2759" s="2266"/>
    </row>
    <row r="2760" spans="1:19" s="2105" customFormat="1" outlineLevel="1">
      <c r="A2760" s="2182">
        <f t="shared" si="547"/>
        <v>1</v>
      </c>
      <c r="B2760" s="2261" t="s">
        <v>9</v>
      </c>
      <c r="C2760" s="2268"/>
      <c r="D2760" s="2152" t="s">
        <v>5478</v>
      </c>
      <c r="E2760" s="2194" t="s">
        <v>3199</v>
      </c>
      <c r="F2760" s="2152" t="s">
        <v>2248</v>
      </c>
      <c r="G2760" s="2450">
        <f>G2755</f>
        <v>16</v>
      </c>
      <c r="H2760" s="2264">
        <v>9814</v>
      </c>
      <c r="I2760" s="2264">
        <v>2965.3303999999998</v>
      </c>
      <c r="J2760" s="2264">
        <v>2965.3303999999998</v>
      </c>
      <c r="K2760" s="2264">
        <v>0</v>
      </c>
      <c r="L2760" s="2264">
        <f t="shared" si="559"/>
        <v>157024</v>
      </c>
      <c r="M2760" s="2264">
        <v>0</v>
      </c>
      <c r="N2760" s="2264">
        <f t="shared" si="560"/>
        <v>47445.286399999997</v>
      </c>
      <c r="O2760" s="2264">
        <f t="shared" si="561"/>
        <v>0</v>
      </c>
      <c r="P2760" s="2389"/>
      <c r="Q2760" s="2266"/>
      <c r="R2760" s="2266"/>
      <c r="S2760" s="2266"/>
    </row>
    <row r="2761" spans="1:19" s="2105" customFormat="1" outlineLevel="1">
      <c r="A2761" s="2182">
        <f t="shared" si="547"/>
        <v>1</v>
      </c>
      <c r="B2761" s="2261" t="s">
        <v>654</v>
      </c>
      <c r="C2761" s="2268"/>
      <c r="D2761" s="2152" t="s">
        <v>5471</v>
      </c>
      <c r="E2761" s="2194" t="s">
        <v>5474</v>
      </c>
      <c r="F2761" s="2152" t="s">
        <v>856</v>
      </c>
      <c r="G2761" s="2450">
        <f>G2757</f>
        <v>0.12</v>
      </c>
      <c r="H2761" s="2264">
        <v>920580</v>
      </c>
      <c r="I2761" s="2264">
        <v>466397.5</v>
      </c>
      <c r="J2761" s="2264">
        <v>466397.5</v>
      </c>
      <c r="K2761" s="2264">
        <v>0</v>
      </c>
      <c r="L2761" s="2264">
        <f t="shared" si="559"/>
        <v>110469.59999999999</v>
      </c>
      <c r="M2761" s="2264">
        <v>0</v>
      </c>
      <c r="N2761" s="2264">
        <f t="shared" si="560"/>
        <v>55967.7</v>
      </c>
      <c r="O2761" s="2264">
        <f t="shared" si="561"/>
        <v>0</v>
      </c>
      <c r="P2761" s="2389"/>
      <c r="Q2761" s="2266"/>
      <c r="R2761" s="2266"/>
      <c r="S2761" s="2266"/>
    </row>
    <row r="2762" spans="1:19" s="2105" customFormat="1" outlineLevel="1">
      <c r="A2762" s="2182">
        <f t="shared" si="547"/>
        <v>1</v>
      </c>
      <c r="B2762" s="2261" t="s">
        <v>5480</v>
      </c>
      <c r="C2762" s="2268"/>
      <c r="D2762" s="2152" t="s">
        <v>5481</v>
      </c>
      <c r="E2762" s="2194" t="s">
        <v>5482</v>
      </c>
      <c r="F2762" s="2152" t="s">
        <v>1960</v>
      </c>
      <c r="G2762" s="2450">
        <f>G2746*12*2</f>
        <v>24</v>
      </c>
      <c r="H2762" s="2264">
        <v>28205</v>
      </c>
      <c r="I2762" s="2264">
        <v>74440.5</v>
      </c>
      <c r="J2762" s="2264">
        <v>74440.5</v>
      </c>
      <c r="K2762" s="2264">
        <v>0</v>
      </c>
      <c r="L2762" s="2264">
        <f t="shared" si="559"/>
        <v>676920</v>
      </c>
      <c r="M2762" s="2264">
        <v>0</v>
      </c>
      <c r="N2762" s="2264">
        <f t="shared" si="560"/>
        <v>1786572</v>
      </c>
      <c r="O2762" s="2264">
        <f t="shared" si="561"/>
        <v>0</v>
      </c>
      <c r="P2762" s="2389"/>
      <c r="Q2762" s="2266"/>
      <c r="R2762" s="2266"/>
      <c r="S2762" s="2266"/>
    </row>
    <row r="2763" spans="1:19" s="2105" customFormat="1" outlineLevel="1">
      <c r="A2763" s="2182">
        <f>IF(G2763&lt;&gt;0,1,"")</f>
        <v>1</v>
      </c>
      <c r="B2763" s="2252"/>
      <c r="C2763" s="2463">
        <f>IF(G2763&gt;0,C2746+1,C2746)</f>
        <v>10</v>
      </c>
      <c r="D2763" s="2464"/>
      <c r="E2763" s="2465" t="s">
        <v>6253</v>
      </c>
      <c r="F2763" s="2466" t="s">
        <v>2385</v>
      </c>
      <c r="G2763" s="2467">
        <v>1</v>
      </c>
      <c r="H2763" s="2468"/>
      <c r="I2763" s="2470"/>
      <c r="J2763" s="2470"/>
      <c r="K2763" s="2471"/>
      <c r="L2763" s="2471"/>
      <c r="M2763" s="2471"/>
      <c r="N2763" s="2476"/>
      <c r="O2763" s="2476"/>
      <c r="P2763" s="2476"/>
      <c r="Q2763" s="2266"/>
      <c r="R2763" s="2266"/>
      <c r="S2763" s="2266"/>
    </row>
    <row r="2764" spans="1:19" s="2288" customFormat="1" ht="14.4" outlineLevel="1">
      <c r="A2764" s="2182">
        <f>A2763</f>
        <v>1</v>
      </c>
      <c r="B2764" s="2500"/>
      <c r="C2764" s="2258"/>
      <c r="D2764" s="2259"/>
      <c r="E2764" s="2274" t="s">
        <v>6133</v>
      </c>
      <c r="F2764" s="2258"/>
      <c r="G2764" s="2263"/>
      <c r="H2764" s="2264"/>
      <c r="I2764" s="2264"/>
      <c r="J2764" s="2264"/>
      <c r="K2764" s="2264"/>
      <c r="L2764" s="2264">
        <f>SUBTOTAL(9,L2765:L2785)*0</f>
        <v>0</v>
      </c>
      <c r="M2764" s="2264">
        <f>SUBTOTAL(9,M2765:M2785)</f>
        <v>0</v>
      </c>
      <c r="N2764" s="2264">
        <f>SUBTOTAL(9,N2765:N2785)*0</f>
        <v>0</v>
      </c>
      <c r="O2764" s="2264">
        <f>SUBTOTAL(9,O2765:O2785)*0</f>
        <v>0</v>
      </c>
      <c r="P2764" s="2265"/>
      <c r="Q2764" s="2433"/>
      <c r="R2764" s="2433"/>
      <c r="S2764" s="2433"/>
    </row>
    <row r="2765" spans="1:19" s="2105" customFormat="1" outlineLevel="1">
      <c r="A2765" s="2182">
        <f>IF(G2765=0,0,1)</f>
        <v>1</v>
      </c>
      <c r="B2765" s="2261" t="s">
        <v>2276</v>
      </c>
      <c r="C2765" s="2389"/>
      <c r="D2765" s="2152">
        <v>0</v>
      </c>
      <c r="E2765" s="2359" t="s">
        <v>2786</v>
      </c>
      <c r="F2765" s="2501" t="s">
        <v>2532</v>
      </c>
      <c r="G2765" s="2450">
        <f>G2763*3*11</f>
        <v>33</v>
      </c>
      <c r="H2765" s="2264">
        <v>63200</v>
      </c>
      <c r="I2765" s="2264"/>
      <c r="J2765" s="2264">
        <v>0</v>
      </c>
      <c r="K2765" s="2264">
        <v>0</v>
      </c>
      <c r="L2765" s="2264">
        <f>H2765*$G2765</f>
        <v>2085600</v>
      </c>
      <c r="M2765" s="2264">
        <f t="shared" ref="M2765:O2785" si="562">I2765*$G2765</f>
        <v>0</v>
      </c>
      <c r="N2765" s="2264">
        <f>J2765*$G2765</f>
        <v>0</v>
      </c>
      <c r="O2765" s="2264">
        <f>K2765*$G2765</f>
        <v>0</v>
      </c>
      <c r="P2765" s="2265"/>
      <c r="Q2765" s="2266"/>
      <c r="R2765" s="2266"/>
      <c r="S2765" s="2266"/>
    </row>
    <row r="2766" spans="1:19" s="2105" customFormat="1" outlineLevel="1">
      <c r="A2766" s="2182">
        <f>IF(G2766=0,0,1)</f>
        <v>0</v>
      </c>
      <c r="B2766" s="2252" t="s">
        <v>6254</v>
      </c>
      <c r="C2766" s="2268"/>
      <c r="D2766" s="2152">
        <v>0</v>
      </c>
      <c r="E2766" s="2359" t="s">
        <v>5053</v>
      </c>
      <c r="F2766" s="2501" t="s">
        <v>2439</v>
      </c>
      <c r="G2766" s="2450"/>
      <c r="H2766" s="2264">
        <v>7900</v>
      </c>
      <c r="I2766" s="2264"/>
      <c r="J2766" s="2264">
        <v>0</v>
      </c>
      <c r="K2766" s="2264">
        <v>0</v>
      </c>
      <c r="L2766" s="2264">
        <f t="shared" ref="L2766:L2785" si="563">H2766*$G2766</f>
        <v>0</v>
      </c>
      <c r="M2766" s="2264">
        <f t="shared" si="562"/>
        <v>0</v>
      </c>
      <c r="N2766" s="2264">
        <f t="shared" si="562"/>
        <v>0</v>
      </c>
      <c r="O2766" s="2264">
        <f t="shared" si="562"/>
        <v>0</v>
      </c>
      <c r="P2766" s="2265"/>
      <c r="Q2766" s="2266"/>
      <c r="R2766" s="2266"/>
      <c r="S2766" s="2266"/>
    </row>
    <row r="2767" spans="1:19" s="2105" customFormat="1" outlineLevel="1">
      <c r="A2767" s="2182">
        <f>IF(G2767=0,0,1)</f>
        <v>1</v>
      </c>
      <c r="B2767" s="2252" t="s">
        <v>6255</v>
      </c>
      <c r="C2767" s="2268"/>
      <c r="D2767" s="2152">
        <v>0</v>
      </c>
      <c r="E2767" s="2359" t="s">
        <v>2624</v>
      </c>
      <c r="F2767" s="2501" t="s">
        <v>2439</v>
      </c>
      <c r="G2767" s="2450">
        <v>24</v>
      </c>
      <c r="H2767" s="2264">
        <v>1500</v>
      </c>
      <c r="I2767" s="2264"/>
      <c r="J2767" s="2264">
        <v>0</v>
      </c>
      <c r="K2767" s="2264">
        <v>0</v>
      </c>
      <c r="L2767" s="2264">
        <f t="shared" si="563"/>
        <v>36000</v>
      </c>
      <c r="M2767" s="2264">
        <f t="shared" si="562"/>
        <v>0</v>
      </c>
      <c r="N2767" s="2264">
        <f t="shared" si="562"/>
        <v>0</v>
      </c>
      <c r="O2767" s="2264">
        <f t="shared" si="562"/>
        <v>0</v>
      </c>
      <c r="P2767" s="2265"/>
      <c r="Q2767" s="2266"/>
      <c r="R2767" s="2266"/>
      <c r="S2767" s="2266"/>
    </row>
    <row r="2768" spans="1:19" s="2105" customFormat="1" outlineLevel="1">
      <c r="A2768" s="2182">
        <f t="shared" ref="A2768:A2785" si="564">IF(G2768=0,0,1)</f>
        <v>1</v>
      </c>
      <c r="B2768" s="2261" t="s">
        <v>246</v>
      </c>
      <c r="C2768" s="2389"/>
      <c r="D2768" s="2152">
        <v>0</v>
      </c>
      <c r="E2768" s="2359" t="s">
        <v>5869</v>
      </c>
      <c r="F2768" s="2501" t="s">
        <v>2555</v>
      </c>
      <c r="G2768" s="2450">
        <v>24</v>
      </c>
      <c r="H2768" s="2264">
        <v>40500</v>
      </c>
      <c r="I2768" s="2264"/>
      <c r="J2768" s="2264">
        <v>39758</v>
      </c>
      <c r="K2768" s="2264">
        <v>0</v>
      </c>
      <c r="L2768" s="2264">
        <f t="shared" si="563"/>
        <v>972000</v>
      </c>
      <c r="M2768" s="2264">
        <f t="shared" si="562"/>
        <v>0</v>
      </c>
      <c r="N2768" s="2264">
        <f t="shared" si="562"/>
        <v>954192</v>
      </c>
      <c r="O2768" s="2264">
        <f t="shared" si="562"/>
        <v>0</v>
      </c>
      <c r="P2768" s="2265"/>
      <c r="Q2768" s="2266"/>
      <c r="R2768" s="2266"/>
      <c r="S2768" s="2266"/>
    </row>
    <row r="2769" spans="1:19" s="2105" customFormat="1" outlineLevel="1">
      <c r="A2769" s="2182">
        <f t="shared" si="564"/>
        <v>1</v>
      </c>
      <c r="B2769" s="2261" t="s">
        <v>5734</v>
      </c>
      <c r="C2769" s="2268"/>
      <c r="D2769" s="2152" t="s">
        <v>5724</v>
      </c>
      <c r="E2769" s="2359" t="s">
        <v>5735</v>
      </c>
      <c r="F2769" s="2501" t="s">
        <v>2555</v>
      </c>
      <c r="G2769" s="2450">
        <f>G2763*16</f>
        <v>16</v>
      </c>
      <c r="H2769" s="2264">
        <v>1700</v>
      </c>
      <c r="I2769" s="2264"/>
      <c r="J2769" s="2264">
        <v>3637.3560000000002</v>
      </c>
      <c r="K2769" s="2264">
        <v>1666.2139485</v>
      </c>
      <c r="L2769" s="2264">
        <f t="shared" si="563"/>
        <v>27200</v>
      </c>
      <c r="M2769" s="2264">
        <f t="shared" si="562"/>
        <v>0</v>
      </c>
      <c r="N2769" s="2264">
        <f t="shared" si="562"/>
        <v>58197.696000000004</v>
      </c>
      <c r="O2769" s="2264">
        <f t="shared" si="562"/>
        <v>26659.423176</v>
      </c>
      <c r="P2769" s="2265"/>
      <c r="Q2769" s="2266"/>
      <c r="R2769" s="2266"/>
      <c r="S2769" s="2266"/>
    </row>
    <row r="2770" spans="1:19" s="2105" customFormat="1" outlineLevel="1">
      <c r="A2770" s="2182">
        <f t="shared" si="564"/>
        <v>0</v>
      </c>
      <c r="B2770" s="2261" t="s">
        <v>1510</v>
      </c>
      <c r="C2770" s="2268"/>
      <c r="D2770" s="2152">
        <v>0</v>
      </c>
      <c r="E2770" s="2359" t="s">
        <v>3515</v>
      </c>
      <c r="F2770" s="2501" t="s">
        <v>2532</v>
      </c>
      <c r="G2770" s="2450"/>
      <c r="H2770" s="2264">
        <v>860</v>
      </c>
      <c r="I2770" s="2264"/>
      <c r="J2770" s="2264">
        <v>0</v>
      </c>
      <c r="K2770" s="2264">
        <v>0</v>
      </c>
      <c r="L2770" s="2264">
        <f t="shared" si="563"/>
        <v>0</v>
      </c>
      <c r="M2770" s="2264">
        <f t="shared" si="562"/>
        <v>0</v>
      </c>
      <c r="N2770" s="2264">
        <f t="shared" si="562"/>
        <v>0</v>
      </c>
      <c r="O2770" s="2264">
        <f t="shared" si="562"/>
        <v>0</v>
      </c>
      <c r="P2770" s="2265"/>
      <c r="Q2770" s="2266"/>
      <c r="R2770" s="2266"/>
      <c r="S2770" s="2266"/>
    </row>
    <row r="2771" spans="1:19" s="2105" customFormat="1" outlineLevel="1">
      <c r="A2771" s="2182">
        <f t="shared" si="564"/>
        <v>1</v>
      </c>
      <c r="B2771" s="2261" t="s">
        <v>816</v>
      </c>
      <c r="C2771" s="2268"/>
      <c r="D2771" s="2152">
        <v>0</v>
      </c>
      <c r="E2771" s="2359" t="s">
        <v>3581</v>
      </c>
      <c r="F2771" s="2501" t="s">
        <v>2555</v>
      </c>
      <c r="G2771" s="2450">
        <v>3</v>
      </c>
      <c r="H2771" s="2264">
        <v>17600</v>
      </c>
      <c r="I2771" s="2264"/>
      <c r="J2771" s="2264">
        <v>0</v>
      </c>
      <c r="K2771" s="2264">
        <v>0</v>
      </c>
      <c r="L2771" s="2264">
        <f t="shared" si="563"/>
        <v>52800</v>
      </c>
      <c r="M2771" s="2264">
        <f t="shared" si="562"/>
        <v>0</v>
      </c>
      <c r="N2771" s="2264">
        <f t="shared" si="562"/>
        <v>0</v>
      </c>
      <c r="O2771" s="2264">
        <f t="shared" si="562"/>
        <v>0</v>
      </c>
      <c r="P2771" s="2265"/>
      <c r="Q2771" s="2266"/>
      <c r="R2771" s="2266"/>
      <c r="S2771" s="2266"/>
    </row>
    <row r="2772" spans="1:19" s="2105" customFormat="1" outlineLevel="1">
      <c r="A2772" s="2182">
        <f t="shared" si="564"/>
        <v>1</v>
      </c>
      <c r="B2772" s="2261" t="s">
        <v>2141</v>
      </c>
      <c r="C2772" s="2268"/>
      <c r="D2772" s="2152">
        <v>0</v>
      </c>
      <c r="E2772" s="2359" t="s">
        <v>3535</v>
      </c>
      <c r="F2772" s="2501" t="s">
        <v>1823</v>
      </c>
      <c r="G2772" s="2450">
        <f>G2781*18</f>
        <v>18</v>
      </c>
      <c r="H2772" s="2264">
        <v>16100</v>
      </c>
      <c r="I2772" s="2264"/>
      <c r="J2772" s="2264">
        <v>0</v>
      </c>
      <c r="K2772" s="2264">
        <v>0</v>
      </c>
      <c r="L2772" s="2264">
        <f t="shared" si="563"/>
        <v>289800</v>
      </c>
      <c r="M2772" s="2264">
        <f t="shared" si="562"/>
        <v>0</v>
      </c>
      <c r="N2772" s="2264">
        <f t="shared" si="562"/>
        <v>0</v>
      </c>
      <c r="O2772" s="2264">
        <f t="shared" si="562"/>
        <v>0</v>
      </c>
      <c r="P2772" s="2265"/>
      <c r="Q2772" s="2266"/>
      <c r="R2772" s="2266"/>
      <c r="S2772" s="2266"/>
    </row>
    <row r="2773" spans="1:19" s="2105" customFormat="1" outlineLevel="1">
      <c r="A2773" s="2182">
        <f t="shared" si="564"/>
        <v>1</v>
      </c>
      <c r="B2773" s="2252" t="s">
        <v>204</v>
      </c>
      <c r="C2773" s="2268"/>
      <c r="D2773" s="2152">
        <v>0</v>
      </c>
      <c r="E2773" s="2359" t="s">
        <v>2979</v>
      </c>
      <c r="F2773" s="2501" t="s">
        <v>2439</v>
      </c>
      <c r="G2773" s="2450">
        <f>G2763*4</f>
        <v>4</v>
      </c>
      <c r="H2773" s="2264">
        <v>34000</v>
      </c>
      <c r="I2773" s="2264"/>
      <c r="J2773" s="2264">
        <v>0</v>
      </c>
      <c r="K2773" s="2264">
        <v>0</v>
      </c>
      <c r="L2773" s="2264">
        <f t="shared" si="563"/>
        <v>136000</v>
      </c>
      <c r="M2773" s="2264">
        <f t="shared" si="562"/>
        <v>0</v>
      </c>
      <c r="N2773" s="2264">
        <f t="shared" si="562"/>
        <v>0</v>
      </c>
      <c r="O2773" s="2264">
        <f t="shared" si="562"/>
        <v>0</v>
      </c>
      <c r="P2773" s="2265"/>
      <c r="Q2773" s="2266"/>
      <c r="R2773" s="2266"/>
      <c r="S2773" s="2266"/>
    </row>
    <row r="2774" spans="1:19" s="2105" customFormat="1" outlineLevel="1">
      <c r="A2774" s="2182">
        <f t="shared" si="564"/>
        <v>1</v>
      </c>
      <c r="B2774" s="2261" t="s">
        <v>1616</v>
      </c>
      <c r="C2774" s="2268"/>
      <c r="D2774" s="2152">
        <v>0</v>
      </c>
      <c r="E2774" s="2359" t="s">
        <v>3542</v>
      </c>
      <c r="F2774" s="2501" t="s">
        <v>2555</v>
      </c>
      <c r="G2774" s="2450">
        <f>G2763*6</f>
        <v>6</v>
      </c>
      <c r="H2774" s="2264">
        <v>11400</v>
      </c>
      <c r="I2774" s="2264"/>
      <c r="J2774" s="2264">
        <v>0</v>
      </c>
      <c r="K2774" s="2264">
        <v>0</v>
      </c>
      <c r="L2774" s="2264">
        <f t="shared" si="563"/>
        <v>68400</v>
      </c>
      <c r="M2774" s="2264">
        <f t="shared" si="562"/>
        <v>0</v>
      </c>
      <c r="N2774" s="2264">
        <f t="shared" si="562"/>
        <v>0</v>
      </c>
      <c r="O2774" s="2264">
        <f t="shared" si="562"/>
        <v>0</v>
      </c>
      <c r="P2774" s="2265"/>
      <c r="Q2774" s="2266"/>
      <c r="R2774" s="2266"/>
      <c r="S2774" s="2266"/>
    </row>
    <row r="2775" spans="1:19" s="2105" customFormat="1" outlineLevel="1">
      <c r="A2775" s="2182">
        <f t="shared" si="564"/>
        <v>1</v>
      </c>
      <c r="B2775" s="2261" t="s">
        <v>1050</v>
      </c>
      <c r="C2775" s="2268"/>
      <c r="D2775" s="2152">
        <v>0</v>
      </c>
      <c r="E2775" s="2359" t="s">
        <v>3543</v>
      </c>
      <c r="F2775" s="2501" t="s">
        <v>2555</v>
      </c>
      <c r="G2775" s="2450">
        <f>G2763*5</f>
        <v>5</v>
      </c>
      <c r="H2775" s="2264">
        <v>21000</v>
      </c>
      <c r="I2775" s="2264"/>
      <c r="J2775" s="2264">
        <v>0</v>
      </c>
      <c r="K2775" s="2264">
        <v>0</v>
      </c>
      <c r="L2775" s="2264">
        <f t="shared" si="563"/>
        <v>105000</v>
      </c>
      <c r="M2775" s="2264">
        <f t="shared" si="562"/>
        <v>0</v>
      </c>
      <c r="N2775" s="2264">
        <f t="shared" si="562"/>
        <v>0</v>
      </c>
      <c r="O2775" s="2264">
        <f t="shared" si="562"/>
        <v>0</v>
      </c>
      <c r="P2775" s="2265"/>
      <c r="Q2775" s="2266"/>
      <c r="R2775" s="2266"/>
      <c r="S2775" s="2266"/>
    </row>
    <row r="2776" spans="1:19" s="2105" customFormat="1" outlineLevel="1">
      <c r="A2776" s="2182">
        <f t="shared" si="564"/>
        <v>1</v>
      </c>
      <c r="B2776" s="2261" t="s">
        <v>726</v>
      </c>
      <c r="C2776" s="2268"/>
      <c r="D2776" s="2152">
        <v>0</v>
      </c>
      <c r="E2776" s="2359" t="s">
        <v>3572</v>
      </c>
      <c r="F2776" s="2501" t="s">
        <v>388</v>
      </c>
      <c r="G2776" s="2450">
        <f>G2763</f>
        <v>1</v>
      </c>
      <c r="H2776" s="2264">
        <v>54100</v>
      </c>
      <c r="I2776" s="2264"/>
      <c r="J2776" s="2264">
        <v>0</v>
      </c>
      <c r="K2776" s="2264">
        <v>0</v>
      </c>
      <c r="L2776" s="2264">
        <f t="shared" si="563"/>
        <v>54100</v>
      </c>
      <c r="M2776" s="2264">
        <f t="shared" si="562"/>
        <v>0</v>
      </c>
      <c r="N2776" s="2264">
        <f t="shared" si="562"/>
        <v>0</v>
      </c>
      <c r="O2776" s="2264">
        <f t="shared" si="562"/>
        <v>0</v>
      </c>
      <c r="P2776" s="2265"/>
      <c r="Q2776" s="2266"/>
      <c r="R2776" s="2266"/>
      <c r="S2776" s="2266"/>
    </row>
    <row r="2777" spans="1:19" s="2105" customFormat="1" outlineLevel="1">
      <c r="A2777" s="2182">
        <f t="shared" si="564"/>
        <v>1</v>
      </c>
      <c r="B2777" s="2252" t="s">
        <v>672</v>
      </c>
      <c r="C2777" s="2268"/>
      <c r="D2777" s="2152">
        <v>0</v>
      </c>
      <c r="E2777" s="2359" t="s">
        <v>5801</v>
      </c>
      <c r="F2777" s="2501" t="s">
        <v>3566</v>
      </c>
      <c r="G2777" s="2450">
        <f>G2763</f>
        <v>1</v>
      </c>
      <c r="H2777" s="2264">
        <v>6500</v>
      </c>
      <c r="I2777" s="2264"/>
      <c r="J2777" s="2264">
        <v>0</v>
      </c>
      <c r="K2777" s="2264">
        <v>0</v>
      </c>
      <c r="L2777" s="2264">
        <f t="shared" si="563"/>
        <v>6500</v>
      </c>
      <c r="M2777" s="2264">
        <f t="shared" si="562"/>
        <v>0</v>
      </c>
      <c r="N2777" s="2264">
        <f t="shared" si="562"/>
        <v>0</v>
      </c>
      <c r="O2777" s="2264">
        <f t="shared" si="562"/>
        <v>0</v>
      </c>
      <c r="P2777" s="2265"/>
      <c r="Q2777" s="2266"/>
      <c r="R2777" s="2266"/>
      <c r="S2777" s="2266"/>
    </row>
    <row r="2778" spans="1:19" s="2105" customFormat="1" outlineLevel="1">
      <c r="A2778" s="2182">
        <f t="shared" si="564"/>
        <v>1</v>
      </c>
      <c r="B2778" s="2261" t="s">
        <v>2120</v>
      </c>
      <c r="C2778" s="2268"/>
      <c r="D2778" s="2152">
        <v>0</v>
      </c>
      <c r="E2778" s="2359" t="s">
        <v>3573</v>
      </c>
      <c r="F2778" s="2501" t="s">
        <v>2555</v>
      </c>
      <c r="G2778" s="2450">
        <f>G2763</f>
        <v>1</v>
      </c>
      <c r="H2778" s="2264">
        <v>5000</v>
      </c>
      <c r="I2778" s="2264"/>
      <c r="J2778" s="2264">
        <v>0</v>
      </c>
      <c r="K2778" s="2264">
        <v>0</v>
      </c>
      <c r="L2778" s="2264">
        <f t="shared" si="563"/>
        <v>5000</v>
      </c>
      <c r="M2778" s="2264">
        <f t="shared" si="562"/>
        <v>0</v>
      </c>
      <c r="N2778" s="2264">
        <f t="shared" si="562"/>
        <v>0</v>
      </c>
      <c r="O2778" s="2264">
        <f t="shared" si="562"/>
        <v>0</v>
      </c>
      <c r="P2778" s="2265"/>
      <c r="Q2778" s="2266"/>
      <c r="R2778" s="2266"/>
      <c r="S2778" s="2266"/>
    </row>
    <row r="2779" spans="1:19" s="2105" customFormat="1" outlineLevel="1">
      <c r="A2779" s="2182">
        <f t="shared" si="564"/>
        <v>1</v>
      </c>
      <c r="B2779" s="2252" t="s">
        <v>959</v>
      </c>
      <c r="C2779" s="2268"/>
      <c r="D2779" s="2152">
        <v>0</v>
      </c>
      <c r="E2779" s="2359" t="s">
        <v>3577</v>
      </c>
      <c r="F2779" s="2501" t="s">
        <v>2555</v>
      </c>
      <c r="G2779" s="2450">
        <f>G2763</f>
        <v>1</v>
      </c>
      <c r="H2779" s="2264">
        <v>5200</v>
      </c>
      <c r="I2779" s="2264"/>
      <c r="J2779" s="2264">
        <v>0</v>
      </c>
      <c r="K2779" s="2264">
        <v>0</v>
      </c>
      <c r="L2779" s="2264">
        <f t="shared" si="563"/>
        <v>5200</v>
      </c>
      <c r="M2779" s="2264">
        <f t="shared" si="562"/>
        <v>0</v>
      </c>
      <c r="N2779" s="2264">
        <f t="shared" si="562"/>
        <v>0</v>
      </c>
      <c r="O2779" s="2264">
        <f t="shared" si="562"/>
        <v>0</v>
      </c>
      <c r="P2779" s="2265"/>
      <c r="Q2779" s="2266"/>
      <c r="R2779" s="2266"/>
      <c r="S2779" s="2266"/>
    </row>
    <row r="2780" spans="1:19" s="2105" customFormat="1" outlineLevel="1">
      <c r="A2780" s="2182">
        <f t="shared" si="564"/>
        <v>1</v>
      </c>
      <c r="B2780" s="2252" t="s">
        <v>319</v>
      </c>
      <c r="C2780" s="2268"/>
      <c r="D2780" s="2152">
        <v>0</v>
      </c>
      <c r="E2780" s="2359" t="s">
        <v>5269</v>
      </c>
      <c r="F2780" s="2501" t="s">
        <v>2439</v>
      </c>
      <c r="G2780" s="2450">
        <v>1</v>
      </c>
      <c r="H2780" s="2264">
        <v>168000</v>
      </c>
      <c r="I2780" s="2264"/>
      <c r="J2780" s="2264">
        <v>0</v>
      </c>
      <c r="K2780" s="2264">
        <v>0</v>
      </c>
      <c r="L2780" s="2264">
        <f t="shared" si="563"/>
        <v>168000</v>
      </c>
      <c r="M2780" s="2264">
        <f t="shared" si="562"/>
        <v>0</v>
      </c>
      <c r="N2780" s="2264">
        <f t="shared" si="562"/>
        <v>0</v>
      </c>
      <c r="O2780" s="2264">
        <f t="shared" si="562"/>
        <v>0</v>
      </c>
      <c r="P2780" s="2265"/>
      <c r="Q2780" s="2266"/>
      <c r="R2780" s="2266"/>
      <c r="S2780" s="2266"/>
    </row>
    <row r="2781" spans="1:19" s="2105" customFormat="1" outlineLevel="1">
      <c r="A2781" s="2182">
        <f t="shared" si="564"/>
        <v>1</v>
      </c>
      <c r="B2781" s="2252" t="s">
        <v>1915</v>
      </c>
      <c r="C2781" s="2268"/>
      <c r="D2781" s="2152" t="s">
        <v>5655</v>
      </c>
      <c r="E2781" s="2359" t="s">
        <v>3394</v>
      </c>
      <c r="F2781" s="2501" t="s">
        <v>2555</v>
      </c>
      <c r="G2781" s="2450">
        <f>G2763</f>
        <v>1</v>
      </c>
      <c r="H2781" s="2264">
        <v>845331</v>
      </c>
      <c r="I2781" s="2264"/>
      <c r="J2781" s="2264">
        <v>599038</v>
      </c>
      <c r="K2781" s="2264">
        <v>97369</v>
      </c>
      <c r="L2781" s="2264">
        <f t="shared" si="563"/>
        <v>845331</v>
      </c>
      <c r="M2781" s="2264">
        <f t="shared" si="562"/>
        <v>0</v>
      </c>
      <c r="N2781" s="2264">
        <f t="shared" si="562"/>
        <v>599038</v>
      </c>
      <c r="O2781" s="2264">
        <f t="shared" si="562"/>
        <v>97369</v>
      </c>
      <c r="P2781" s="2265"/>
      <c r="Q2781" s="2266"/>
      <c r="R2781" s="2266"/>
      <c r="S2781" s="2266"/>
    </row>
    <row r="2782" spans="1:19" s="2105" customFormat="1" outlineLevel="1">
      <c r="A2782" s="2182">
        <f t="shared" si="564"/>
        <v>1</v>
      </c>
      <c r="B2782" s="2252" t="s">
        <v>6</v>
      </c>
      <c r="C2782" s="2268"/>
      <c r="D2782" s="2152">
        <v>0</v>
      </c>
      <c r="E2782" s="2359" t="s">
        <v>3567</v>
      </c>
      <c r="F2782" s="2501" t="s">
        <v>5806</v>
      </c>
      <c r="G2782" s="2450">
        <f>G2763*2</f>
        <v>2</v>
      </c>
      <c r="H2782" s="2264">
        <v>45000</v>
      </c>
      <c r="I2782" s="2264"/>
      <c r="J2782" s="2264">
        <v>0</v>
      </c>
      <c r="K2782" s="2264">
        <v>0</v>
      </c>
      <c r="L2782" s="2264">
        <f t="shared" si="563"/>
        <v>90000</v>
      </c>
      <c r="M2782" s="2264">
        <f t="shared" si="562"/>
        <v>0</v>
      </c>
      <c r="N2782" s="2264">
        <f t="shared" si="562"/>
        <v>0</v>
      </c>
      <c r="O2782" s="2264">
        <f t="shared" si="562"/>
        <v>0</v>
      </c>
      <c r="P2782" s="2265"/>
      <c r="Q2782" s="2266"/>
      <c r="R2782" s="2266"/>
      <c r="S2782" s="2266"/>
    </row>
    <row r="2783" spans="1:19" s="2105" customFormat="1" outlineLevel="1">
      <c r="A2783" s="2182">
        <f t="shared" si="564"/>
        <v>1</v>
      </c>
      <c r="B2783" s="2252" t="s">
        <v>2139</v>
      </c>
      <c r="C2783" s="2268"/>
      <c r="D2783" s="2152">
        <v>0</v>
      </c>
      <c r="E2783" s="2359" t="s">
        <v>2785</v>
      </c>
      <c r="F2783" s="2501" t="s">
        <v>2532</v>
      </c>
      <c r="G2783" s="2450">
        <f>G2763*4</f>
        <v>4</v>
      </c>
      <c r="H2783" s="2264">
        <v>5000</v>
      </c>
      <c r="I2783" s="2264"/>
      <c r="J2783" s="2264">
        <v>0</v>
      </c>
      <c r="K2783" s="2264">
        <v>0</v>
      </c>
      <c r="L2783" s="2264">
        <f t="shared" si="563"/>
        <v>20000</v>
      </c>
      <c r="M2783" s="2264">
        <f t="shared" si="562"/>
        <v>0</v>
      </c>
      <c r="N2783" s="2264">
        <f t="shared" si="562"/>
        <v>0</v>
      </c>
      <c r="O2783" s="2264">
        <f t="shared" si="562"/>
        <v>0</v>
      </c>
      <c r="P2783" s="2265"/>
      <c r="Q2783" s="2266"/>
      <c r="R2783" s="2266"/>
      <c r="S2783" s="2266"/>
    </row>
    <row r="2784" spans="1:19" s="2105" customFormat="1" outlineLevel="1">
      <c r="A2784" s="2182">
        <f t="shared" si="564"/>
        <v>0</v>
      </c>
      <c r="B2784" s="2252" t="s">
        <v>1035</v>
      </c>
      <c r="C2784" s="2268"/>
      <c r="D2784" s="2152">
        <v>0</v>
      </c>
      <c r="E2784" s="2359" t="s">
        <v>6389</v>
      </c>
      <c r="F2784" s="2501" t="s">
        <v>2248</v>
      </c>
      <c r="G2784" s="2450"/>
      <c r="H2784" s="2264">
        <v>31625</v>
      </c>
      <c r="I2784" s="2264"/>
      <c r="J2784" s="2264">
        <v>0</v>
      </c>
      <c r="K2784" s="2264">
        <v>0</v>
      </c>
      <c r="L2784" s="2264">
        <f t="shared" si="563"/>
        <v>0</v>
      </c>
      <c r="M2784" s="2264">
        <f t="shared" si="562"/>
        <v>0</v>
      </c>
      <c r="N2784" s="2264">
        <f t="shared" si="562"/>
        <v>0</v>
      </c>
      <c r="O2784" s="2264">
        <f t="shared" si="562"/>
        <v>0</v>
      </c>
      <c r="P2784" s="2265"/>
      <c r="Q2784" s="2266"/>
      <c r="R2784" s="2266"/>
      <c r="S2784" s="2266"/>
    </row>
    <row r="2785" spans="1:19" s="2105" customFormat="1" outlineLevel="1">
      <c r="A2785" s="2182">
        <f t="shared" si="564"/>
        <v>0</v>
      </c>
      <c r="B2785" s="2252" t="s">
        <v>6255</v>
      </c>
      <c r="C2785" s="2268"/>
      <c r="D2785" s="2152">
        <v>0</v>
      </c>
      <c r="E2785" s="2359" t="s">
        <v>2624</v>
      </c>
      <c r="F2785" s="2501" t="s">
        <v>2439</v>
      </c>
      <c r="G2785" s="2450"/>
      <c r="H2785" s="2264">
        <v>1500</v>
      </c>
      <c r="I2785" s="2264"/>
      <c r="J2785" s="2264">
        <v>0</v>
      </c>
      <c r="K2785" s="2264">
        <v>0</v>
      </c>
      <c r="L2785" s="2264">
        <f t="shared" si="563"/>
        <v>0</v>
      </c>
      <c r="M2785" s="2264">
        <f t="shared" si="562"/>
        <v>0</v>
      </c>
      <c r="N2785" s="2264">
        <f t="shared" si="562"/>
        <v>0</v>
      </c>
      <c r="O2785" s="2264">
        <f t="shared" si="562"/>
        <v>0</v>
      </c>
      <c r="P2785" s="2265"/>
      <c r="Q2785" s="2266"/>
      <c r="R2785" s="2266"/>
      <c r="S2785" s="2266"/>
    </row>
    <row r="2786" spans="1:19" s="2105" customFormat="1" ht="20.25" customHeight="1" outlineLevel="1">
      <c r="A2786" s="2182">
        <f>A2589</f>
        <v>1</v>
      </c>
      <c r="B2786" s="2357"/>
      <c r="C2786" s="2423"/>
      <c r="D2786" s="2424"/>
      <c r="E2786" s="2399"/>
      <c r="F2786" s="2637"/>
      <c r="G2786" s="2638"/>
      <c r="H2786" s="2637"/>
      <c r="I2786" s="2637"/>
      <c r="J2786" s="2647" t="s">
        <v>6131</v>
      </c>
      <c r="K2786" s="2647"/>
      <c r="L2786" s="2425">
        <f>SUM(L2610:L2785)</f>
        <v>147243136.12330002</v>
      </c>
      <c r="M2786" s="2425">
        <f>SUM(M2610:M2785)</f>
        <v>0</v>
      </c>
      <c r="N2786" s="2425">
        <f>SUM(N2610:N2785)</f>
        <v>18100897.39555056</v>
      </c>
      <c r="O2786" s="2425">
        <f>SUM(O2610:O2785)</f>
        <v>391068.40003600001</v>
      </c>
      <c r="P2786" s="2396"/>
      <c r="Q2786" s="2266"/>
      <c r="R2786" s="2266"/>
      <c r="S2786" s="2266"/>
    </row>
    <row r="2787" spans="1:19" s="2105" customFormat="1" outlineLevel="1">
      <c r="A2787" s="2182"/>
      <c r="B2787" s="2357"/>
      <c r="C2787" s="2527"/>
      <c r="D2787" s="2527"/>
      <c r="E2787" s="2528"/>
      <c r="F2787" s="2645"/>
      <c r="G2787" s="2644"/>
      <c r="H2787" s="2645"/>
      <c r="I2787" s="2645"/>
      <c r="J2787" s="2528"/>
      <c r="K2787" s="2528"/>
      <c r="L2787" s="2529"/>
      <c r="M2787" s="2529"/>
      <c r="N2787" s="2529"/>
      <c r="O2787" s="2529"/>
      <c r="P2787" s="2386"/>
      <c r="Q2787" s="2266"/>
      <c r="R2787" s="2266"/>
      <c r="S2787" s="2266"/>
    </row>
    <row r="2788" spans="1:19" s="2105" customFormat="1" ht="13.95" customHeight="1">
      <c r="A2788" s="2386">
        <f>IF(G2793&gt;0,1,)</f>
        <v>0</v>
      </c>
      <c r="B2788" s="2252"/>
      <c r="C2788" s="2266"/>
      <c r="D2788" s="2266"/>
      <c r="E2788" s="2436"/>
      <c r="F2788" s="2266"/>
      <c r="G2788" s="2437"/>
      <c r="H2788" s="2266"/>
      <c r="I2788" s="2266"/>
      <c r="J2788" s="2266"/>
      <c r="K2788" s="2266"/>
      <c r="L2788" s="2266"/>
      <c r="M2788" s="2266"/>
      <c r="N2788" s="2266"/>
      <c r="O2788" s="2266"/>
      <c r="P2788" s="2266"/>
      <c r="Q2788" s="2266"/>
      <c r="R2788" s="2266"/>
      <c r="S2788" s="2266"/>
    </row>
    <row r="2789" spans="1:19" s="2105" customFormat="1" outlineLevel="1">
      <c r="A2789" s="2182">
        <f>A2788</f>
        <v>0</v>
      </c>
      <c r="B2789" s="2387"/>
      <c r="C2789" s="2624" t="str">
        <f>"BẢNG TỔNG HỢP VẬT LIỆU, NHÂN CÔNG, MÁY THI CÔNG: "&amp;K17&amp;" TRẠM 3P_1000KVA"</f>
        <v>BẢNG TỔNG HỢP VẬT LIỆU, NHÂN CÔNG, MÁY THI CÔNG: 0 TRẠM 3P_1000KVA</v>
      </c>
      <c r="D2789" s="2639"/>
      <c r="E2789" s="2639"/>
      <c r="F2789" s="2639"/>
      <c r="G2789" s="2639"/>
      <c r="H2789" s="2640"/>
      <c r="I2789" s="2528"/>
      <c r="J2789" s="2640"/>
      <c r="K2789" s="2640"/>
      <c r="L2789" s="2640"/>
      <c r="M2789" s="2528"/>
      <c r="N2789" s="2640"/>
      <c r="O2789" s="2640"/>
      <c r="P2789" s="2642"/>
      <c r="Q2789" s="2266"/>
      <c r="R2789" s="2266"/>
      <c r="S2789" s="2266"/>
    </row>
    <row r="2790" spans="1:19" s="2105" customFormat="1" outlineLevel="1">
      <c r="A2790" s="2182">
        <f>A2788</f>
        <v>0</v>
      </c>
      <c r="B2790" s="2261" t="s">
        <v>6112</v>
      </c>
      <c r="C2790" s="2648" t="s">
        <v>1708</v>
      </c>
      <c r="D2790" s="2649" t="s">
        <v>2597</v>
      </c>
      <c r="E2790" s="2651" t="s">
        <v>2598</v>
      </c>
      <c r="F2790" s="2648" t="s">
        <v>2593</v>
      </c>
      <c r="G2790" s="2109" t="s">
        <v>6113</v>
      </c>
      <c r="H2790" s="2112" t="s">
        <v>6114</v>
      </c>
      <c r="I2790" s="2619"/>
      <c r="J2790" s="2619"/>
      <c r="K2790" s="2620"/>
      <c r="L2790" s="2112" t="s">
        <v>6115</v>
      </c>
      <c r="M2790" s="2619"/>
      <c r="N2790" s="2619"/>
      <c r="O2790" s="2620"/>
      <c r="P2790" s="2648" t="s">
        <v>2599</v>
      </c>
      <c r="Q2790" s="2266"/>
      <c r="R2790" s="2266"/>
      <c r="S2790" s="2266"/>
    </row>
    <row r="2791" spans="1:19" s="2105" customFormat="1" outlineLevel="1">
      <c r="A2791" s="2182">
        <f>A2790</f>
        <v>0</v>
      </c>
      <c r="B2791" s="2261"/>
      <c r="C2791" s="2648"/>
      <c r="D2791" s="2650"/>
      <c r="E2791" s="2652"/>
      <c r="F2791" s="2648"/>
      <c r="G2791" s="2111" t="s">
        <v>2286</v>
      </c>
      <c r="H2791" s="2112" t="s">
        <v>6116</v>
      </c>
      <c r="I2791" s="2112" t="s">
        <v>6117</v>
      </c>
      <c r="J2791" s="2112" t="s">
        <v>6118</v>
      </c>
      <c r="K2791" s="2112" t="s">
        <v>6119</v>
      </c>
      <c r="L2791" s="2112" t="s">
        <v>6116</v>
      </c>
      <c r="M2791" s="2112" t="s">
        <v>6117</v>
      </c>
      <c r="N2791" s="2112" t="s">
        <v>6118</v>
      </c>
      <c r="O2791" s="2112" t="s">
        <v>6119</v>
      </c>
      <c r="P2791" s="2648"/>
      <c r="Q2791" s="2266"/>
      <c r="R2791" s="2266"/>
      <c r="S2791" s="2266"/>
    </row>
    <row r="2792" spans="1:19" s="2105" customFormat="1" outlineLevel="1">
      <c r="A2792" s="2182">
        <f>A2791</f>
        <v>0</v>
      </c>
      <c r="B2792" s="2261"/>
      <c r="C2792" s="2113"/>
      <c r="D2792" s="2114"/>
      <c r="E2792" s="2115" t="s">
        <v>3672</v>
      </c>
      <c r="F2792" s="2116"/>
      <c r="G2792" s="2116"/>
      <c r="H2792" s="2116"/>
      <c r="I2792" s="2116"/>
      <c r="J2792" s="2116"/>
      <c r="K2792" s="2116"/>
      <c r="L2792" s="2116"/>
      <c r="M2792" s="2116"/>
      <c r="N2792" s="2116"/>
      <c r="O2792" s="2114"/>
      <c r="P2792" s="2117"/>
      <c r="Q2792" s="2266"/>
      <c r="R2792" s="2266"/>
      <c r="S2792" s="2266"/>
    </row>
    <row r="2793" spans="1:19" s="2105" customFormat="1" outlineLevel="1">
      <c r="A2793" s="2182" t="str">
        <f t="shared" ref="A2793:A2800" si="565">IF(G2793&lt;&gt;0,1,"")</f>
        <v/>
      </c>
      <c r="B2793" s="2252" t="str">
        <f>IF($F$8=15,"tr1000","tr10001")</f>
        <v>tr10001</v>
      </c>
      <c r="C2793" s="2268">
        <f>IF(G2793&gt;0,1,0)</f>
        <v>0</v>
      </c>
      <c r="D2793" s="2152" t="s">
        <v>5594</v>
      </c>
      <c r="E2793" s="2194" t="s">
        <v>3335</v>
      </c>
      <c r="F2793" s="2152" t="s">
        <v>3300</v>
      </c>
      <c r="G2793" s="2268">
        <f>$K$17</f>
        <v>0</v>
      </c>
      <c r="H2793" s="2359">
        <v>322950000</v>
      </c>
      <c r="I2793" s="2359"/>
      <c r="J2793" s="2359">
        <v>1928901</v>
      </c>
      <c r="K2793" s="2359">
        <v>426761</v>
      </c>
      <c r="L2793" s="2360">
        <f t="shared" ref="L2793:L2800" si="566">H2793*G2793</f>
        <v>0</v>
      </c>
      <c r="M2793" s="2360">
        <f t="shared" ref="M2793:M2800" si="567">I2793*G2793</f>
        <v>0</v>
      </c>
      <c r="N2793" s="2360">
        <f t="shared" ref="N2793:N2800" si="568">J2793*G2793</f>
        <v>0</v>
      </c>
      <c r="O2793" s="2361">
        <f t="shared" ref="O2793:O2800" si="569">K2793*G2793</f>
        <v>0</v>
      </c>
      <c r="P2793" s="2388"/>
      <c r="Q2793" s="2266"/>
      <c r="R2793" s="2266"/>
      <c r="S2793" s="2266"/>
    </row>
    <row r="2794" spans="1:19" s="2105" customFormat="1" outlineLevel="1">
      <c r="A2794" s="2182" t="str">
        <f t="shared" si="565"/>
        <v/>
      </c>
      <c r="B2794" s="2118" t="s">
        <v>1652</v>
      </c>
      <c r="C2794" s="2268">
        <f>IF(G2794&gt;0,C2793+1,C2793)</f>
        <v>0</v>
      </c>
      <c r="D2794" s="2152" t="s">
        <v>5598</v>
      </c>
      <c r="E2794" s="2194" t="s">
        <v>95</v>
      </c>
      <c r="F2794" s="2152" t="s">
        <v>2555</v>
      </c>
      <c r="G2794" s="2269">
        <f>G2793*3</f>
        <v>0</v>
      </c>
      <c r="H2794" s="2264">
        <v>2244280</v>
      </c>
      <c r="I2794" s="2264">
        <v>0</v>
      </c>
      <c r="J2794" s="2264">
        <v>222639.99999999997</v>
      </c>
      <c r="K2794" s="2264">
        <v>0</v>
      </c>
      <c r="L2794" s="2264">
        <f t="shared" si="566"/>
        <v>0</v>
      </c>
      <c r="M2794" s="2264">
        <f t="shared" si="567"/>
        <v>0</v>
      </c>
      <c r="N2794" s="2264">
        <f t="shared" si="568"/>
        <v>0</v>
      </c>
      <c r="O2794" s="2264">
        <f t="shared" si="569"/>
        <v>0</v>
      </c>
      <c r="P2794" s="2389"/>
      <c r="Q2794" s="2266"/>
      <c r="R2794" s="2266"/>
      <c r="S2794" s="2266"/>
    </row>
    <row r="2795" spans="1:19" s="2105" customFormat="1" outlineLevel="1">
      <c r="A2795" s="2182" t="str">
        <f t="shared" si="565"/>
        <v/>
      </c>
      <c r="B2795" s="2252" t="str">
        <f>IF($F$8=15,"chi65k","chi40k")</f>
        <v>chi40k</v>
      </c>
      <c r="C2795" s="2268">
        <f t="shared" ref="C2795:C2800" si="570">IF(G2795&gt;0,C2794+1,C2794)</f>
        <v>0</v>
      </c>
      <c r="D2795" s="2152">
        <v>0</v>
      </c>
      <c r="E2795" s="2194" t="s">
        <v>3431</v>
      </c>
      <c r="F2795" s="2152" t="s">
        <v>2600</v>
      </c>
      <c r="G2795" s="2269">
        <f>G2794</f>
        <v>0</v>
      </c>
      <c r="H2795" s="2264">
        <v>132000</v>
      </c>
      <c r="I2795" s="2264">
        <v>0</v>
      </c>
      <c r="J2795" s="2264">
        <v>0</v>
      </c>
      <c r="K2795" s="2264">
        <v>0</v>
      </c>
      <c r="L2795" s="2264">
        <f t="shared" si="566"/>
        <v>0</v>
      </c>
      <c r="M2795" s="2264">
        <f t="shared" si="567"/>
        <v>0</v>
      </c>
      <c r="N2795" s="2264">
        <f t="shared" si="568"/>
        <v>0</v>
      </c>
      <c r="O2795" s="2264">
        <f t="shared" si="569"/>
        <v>0</v>
      </c>
      <c r="P2795" s="2389"/>
      <c r="Q2795" s="2266"/>
      <c r="R2795" s="2266"/>
      <c r="S2795" s="2266"/>
    </row>
    <row r="2796" spans="1:19" s="2105" customFormat="1" outlineLevel="1">
      <c r="A2796" s="2182" t="str">
        <f t="shared" si="565"/>
        <v/>
      </c>
      <c r="B2796" s="2261" t="str">
        <f>"LA"&amp;$F$6</f>
        <v>LA18</v>
      </c>
      <c r="C2796" s="2268">
        <f t="shared" si="570"/>
        <v>0</v>
      </c>
      <c r="D2796" s="2152" t="s">
        <v>5602</v>
      </c>
      <c r="E2796" s="2194" t="s">
        <v>1193</v>
      </c>
      <c r="F2796" s="2152" t="s">
        <v>2555</v>
      </c>
      <c r="G2796" s="2269">
        <f>G2794</f>
        <v>0</v>
      </c>
      <c r="H2796" s="2264">
        <v>1106000</v>
      </c>
      <c r="I2796" s="2264">
        <v>0</v>
      </c>
      <c r="J2796" s="2264">
        <v>83490</v>
      </c>
      <c r="K2796" s="2264">
        <v>0</v>
      </c>
      <c r="L2796" s="2264">
        <f t="shared" si="566"/>
        <v>0</v>
      </c>
      <c r="M2796" s="2264">
        <f t="shared" si="567"/>
        <v>0</v>
      </c>
      <c r="N2796" s="2264">
        <f t="shared" si="568"/>
        <v>0</v>
      </c>
      <c r="O2796" s="2264">
        <f t="shared" si="569"/>
        <v>0</v>
      </c>
      <c r="P2796" s="2389"/>
      <c r="Q2796" s="2266"/>
      <c r="R2796" s="2266"/>
      <c r="S2796" s="2266"/>
    </row>
    <row r="2797" spans="1:19" s="2105" customFormat="1" outlineLevel="1">
      <c r="A2797" s="2182" t="str">
        <f t="shared" si="565"/>
        <v/>
      </c>
      <c r="B2797" s="2357" t="s">
        <v>6282</v>
      </c>
      <c r="C2797" s="2268">
        <f t="shared" si="570"/>
        <v>0</v>
      </c>
      <c r="D2797" s="2152">
        <v>0</v>
      </c>
      <c r="E2797" s="2194" t="s">
        <v>3412</v>
      </c>
      <c r="F2797" s="2152" t="s">
        <v>2555</v>
      </c>
      <c r="G2797" s="2269">
        <f>G2793</f>
        <v>0</v>
      </c>
      <c r="H2797" s="2264">
        <v>73430000</v>
      </c>
      <c r="I2797" s="2264">
        <v>0</v>
      </c>
      <c r="J2797" s="2264">
        <v>0</v>
      </c>
      <c r="K2797" s="2264">
        <v>0</v>
      </c>
      <c r="L2797" s="2264">
        <f t="shared" si="566"/>
        <v>0</v>
      </c>
      <c r="M2797" s="2264">
        <f t="shared" si="567"/>
        <v>0</v>
      </c>
      <c r="N2797" s="2264">
        <f t="shared" si="568"/>
        <v>0</v>
      </c>
      <c r="O2797" s="2264">
        <f t="shared" si="569"/>
        <v>0</v>
      </c>
      <c r="P2797" s="2389"/>
      <c r="Q2797" s="2266"/>
      <c r="R2797" s="2266"/>
      <c r="S2797" s="2266"/>
    </row>
    <row r="2798" spans="1:19" s="2105" customFormat="1" outlineLevel="1">
      <c r="A2798" s="2182" t="str">
        <f t="shared" si="565"/>
        <v/>
      </c>
      <c r="B2798" s="2357" t="s">
        <v>1464</v>
      </c>
      <c r="C2798" s="2268">
        <f t="shared" si="570"/>
        <v>0</v>
      </c>
      <c r="D2798" s="2152" t="s">
        <v>1025</v>
      </c>
      <c r="E2798" s="2194" t="s">
        <v>3373</v>
      </c>
      <c r="F2798" s="2152" t="s">
        <v>3370</v>
      </c>
      <c r="G2798" s="2269">
        <f>G2793</f>
        <v>0</v>
      </c>
      <c r="H2798" s="2264">
        <v>47030352</v>
      </c>
      <c r="I2798" s="2264">
        <v>0</v>
      </c>
      <c r="J2798" s="2264">
        <v>98101</v>
      </c>
      <c r="K2798" s="2264">
        <v>59254</v>
      </c>
      <c r="L2798" s="2264">
        <f t="shared" si="566"/>
        <v>0</v>
      </c>
      <c r="M2798" s="2264">
        <f t="shared" si="567"/>
        <v>0</v>
      </c>
      <c r="N2798" s="2264">
        <f t="shared" si="568"/>
        <v>0</v>
      </c>
      <c r="O2798" s="2264">
        <f t="shared" si="569"/>
        <v>0</v>
      </c>
      <c r="P2798" s="2389"/>
      <c r="Q2798" s="2266"/>
      <c r="R2798" s="2266"/>
      <c r="S2798" s="2266"/>
    </row>
    <row r="2799" spans="1:19" s="2105" customFormat="1" outlineLevel="1">
      <c r="A2799" s="2182" t="str">
        <f t="shared" si="565"/>
        <v/>
      </c>
      <c r="B2799" s="2252" t="s">
        <v>5609</v>
      </c>
      <c r="C2799" s="2268">
        <f t="shared" si="570"/>
        <v>0</v>
      </c>
      <c r="D2799" s="2152">
        <v>0</v>
      </c>
      <c r="E2799" s="2194" t="s">
        <v>5610</v>
      </c>
      <c r="F2799" s="2152" t="s">
        <v>2555</v>
      </c>
      <c r="G2799" s="2390">
        <f>G2793*3</f>
        <v>0</v>
      </c>
      <c r="H2799" s="2264">
        <v>0</v>
      </c>
      <c r="I2799" s="2264">
        <v>0</v>
      </c>
      <c r="J2799" s="2264">
        <v>0</v>
      </c>
      <c r="K2799" s="2264">
        <v>0</v>
      </c>
      <c r="L2799" s="2264">
        <f t="shared" si="566"/>
        <v>0</v>
      </c>
      <c r="M2799" s="2264">
        <f t="shared" si="567"/>
        <v>0</v>
      </c>
      <c r="N2799" s="2264">
        <f t="shared" si="568"/>
        <v>0</v>
      </c>
      <c r="O2799" s="2264">
        <f t="shared" si="569"/>
        <v>0</v>
      </c>
      <c r="P2799" s="2391" t="s">
        <v>2601</v>
      </c>
      <c r="Q2799" s="2266"/>
      <c r="R2799" s="2266"/>
      <c r="S2799" s="2266"/>
    </row>
    <row r="2800" spans="1:19" s="2105" customFormat="1" outlineLevel="1">
      <c r="A2800" s="2182" t="str">
        <f t="shared" si="565"/>
        <v/>
      </c>
      <c r="B2800" s="2252" t="s">
        <v>288</v>
      </c>
      <c r="C2800" s="2268">
        <f t="shared" si="570"/>
        <v>0</v>
      </c>
      <c r="D2800" s="2152">
        <v>0</v>
      </c>
      <c r="E2800" s="2194" t="s">
        <v>3441</v>
      </c>
      <c r="F2800" s="2152" t="s">
        <v>2555</v>
      </c>
      <c r="G2800" s="2390">
        <f>G2793</f>
        <v>0</v>
      </c>
      <c r="H2800" s="2264">
        <v>0</v>
      </c>
      <c r="I2800" s="2264">
        <v>0</v>
      </c>
      <c r="J2800" s="2264">
        <v>0</v>
      </c>
      <c r="K2800" s="2264">
        <v>0</v>
      </c>
      <c r="L2800" s="2264">
        <f t="shared" si="566"/>
        <v>0</v>
      </c>
      <c r="M2800" s="2360">
        <f t="shared" si="567"/>
        <v>0</v>
      </c>
      <c r="N2800" s="2360">
        <f t="shared" si="568"/>
        <v>0</v>
      </c>
      <c r="O2800" s="2361">
        <f t="shared" si="569"/>
        <v>0</v>
      </c>
      <c r="P2800" s="2392" t="s">
        <v>2601</v>
      </c>
      <c r="Q2800" s="2266"/>
      <c r="R2800" s="2266"/>
      <c r="S2800" s="2266"/>
    </row>
    <row r="2801" spans="1:19" s="2105" customFormat="1" outlineLevel="1">
      <c r="A2801" s="2182">
        <f>A2788</f>
        <v>0</v>
      </c>
      <c r="B2801" s="2261"/>
      <c r="C2801" s="2393"/>
      <c r="D2801" s="2394"/>
      <c r="E2801" s="2395"/>
      <c r="F2801" s="2393"/>
      <c r="G2801" s="2636"/>
      <c r="H2801" s="2393"/>
      <c r="I2801" s="2393"/>
      <c r="J2801" s="2117" t="s">
        <v>6121</v>
      </c>
      <c r="K2801" s="2393"/>
      <c r="L2801" s="2395">
        <f>SUM(L2793:L2800)</f>
        <v>0</v>
      </c>
      <c r="M2801" s="2395">
        <f>SUM(M2793:M2800)</f>
        <v>0</v>
      </c>
      <c r="N2801" s="2395">
        <f>SUM(N2793:N2800)</f>
        <v>0</v>
      </c>
      <c r="O2801" s="2395">
        <f>SUM(O2793:O2800)</f>
        <v>0</v>
      </c>
      <c r="P2801" s="2396"/>
      <c r="Q2801" s="2266"/>
      <c r="R2801" s="2266"/>
      <c r="S2801" s="2266"/>
    </row>
    <row r="2802" spans="1:19" s="2105" customFormat="1" outlineLevel="1">
      <c r="A2802" s="2182">
        <f>A2788</f>
        <v>0</v>
      </c>
      <c r="B2802" s="2261"/>
      <c r="C2802" s="2397"/>
      <c r="D2802" s="2398"/>
      <c r="E2802" s="2399" t="s">
        <v>3673</v>
      </c>
      <c r="F2802" s="2399"/>
      <c r="G2802" s="2400"/>
      <c r="H2802" s="2399"/>
      <c r="I2802" s="2399"/>
      <c r="J2802" s="2399"/>
      <c r="K2802" s="2399"/>
      <c r="L2802" s="2399"/>
      <c r="M2802" s="2399"/>
      <c r="N2802" s="2399"/>
      <c r="O2802" s="2398"/>
      <c r="P2802" s="2396"/>
      <c r="Q2802" s="2266"/>
      <c r="R2802" s="2266"/>
      <c r="S2802" s="2266"/>
    </row>
    <row r="2803" spans="1:19" s="2105" customFormat="1" outlineLevel="1">
      <c r="A2803" s="2182" t="str">
        <f t="shared" ref="A2803:A2820" si="571">IF(G2803&lt;&gt;0,1,"")</f>
        <v/>
      </c>
      <c r="B2803" s="2401"/>
      <c r="C2803" s="2402">
        <f>IF(G2803&gt;0,1,0)</f>
        <v>0</v>
      </c>
      <c r="D2803" s="2152"/>
      <c r="E2803" s="2403" t="s">
        <v>6122</v>
      </c>
      <c r="F2803" s="2404" t="s">
        <v>2277</v>
      </c>
      <c r="G2803" s="2405">
        <f>G2793*2*0</f>
        <v>0</v>
      </c>
      <c r="H2803" s="2404"/>
      <c r="I2803" s="2404"/>
      <c r="J2803" s="2404"/>
      <c r="K2803" s="2404"/>
      <c r="L2803" s="2405"/>
      <c r="M2803" s="2405"/>
      <c r="N2803" s="2405"/>
      <c r="O2803" s="2406"/>
      <c r="P2803" s="2389"/>
      <c r="Q2803" s="2266"/>
      <c r="R2803" s="2266"/>
      <c r="S2803" s="2266"/>
    </row>
    <row r="2804" spans="1:19" s="2105" customFormat="1" outlineLevel="1">
      <c r="A2804" s="2182" t="str">
        <f t="shared" si="571"/>
        <v/>
      </c>
      <c r="B2804" s="2357" t="s">
        <v>115</v>
      </c>
      <c r="C2804" s="2407"/>
      <c r="D2804" s="2152"/>
      <c r="E2804" s="2408" t="s">
        <v>2992</v>
      </c>
      <c r="F2804" s="2152" t="s">
        <v>2831</v>
      </c>
      <c r="G2804" s="2152">
        <f>G2803</f>
        <v>0</v>
      </c>
      <c r="H2804" s="2359">
        <v>4400000</v>
      </c>
      <c r="I2804" s="2258"/>
      <c r="J2804" s="2359"/>
      <c r="K2804" s="2258"/>
      <c r="L2804" s="2360">
        <f>H2804*G2804</f>
        <v>0</v>
      </c>
      <c r="M2804" s="2360">
        <f>I2804*G2804</f>
        <v>0</v>
      </c>
      <c r="N2804" s="2360">
        <f>J2804*G2804</f>
        <v>0</v>
      </c>
      <c r="O2804" s="2360">
        <f>K2804*G2804</f>
        <v>0</v>
      </c>
      <c r="P2804" s="2389"/>
      <c r="Q2804" s="2266"/>
      <c r="R2804" s="2266"/>
      <c r="S2804" s="2266"/>
    </row>
    <row r="2805" spans="1:19" s="2105" customFormat="1" outlineLevel="1">
      <c r="A2805" s="2182" t="str">
        <f t="shared" si="571"/>
        <v/>
      </c>
      <c r="B2805" s="2357" t="s">
        <v>1814</v>
      </c>
      <c r="C2805" s="2407"/>
      <c r="D2805" s="2152"/>
      <c r="E2805" s="2408" t="s">
        <v>2830</v>
      </c>
      <c r="F2805" s="2152" t="s">
        <v>2831</v>
      </c>
      <c r="G2805" s="2152">
        <f>G2804</f>
        <v>0</v>
      </c>
      <c r="H2805" s="2359">
        <v>17400</v>
      </c>
      <c r="I2805" s="2359"/>
      <c r="J2805" s="2258"/>
      <c r="K2805" s="2258"/>
      <c r="L2805" s="2360">
        <f>H2805*G2805</f>
        <v>0</v>
      </c>
      <c r="M2805" s="2360">
        <f>I2805*G2805</f>
        <v>0</v>
      </c>
      <c r="N2805" s="2360">
        <f>J2805*G2805</f>
        <v>0</v>
      </c>
      <c r="O2805" s="2360">
        <f>K2805*G2805</f>
        <v>0</v>
      </c>
      <c r="P2805" s="2389"/>
      <c r="Q2805" s="2266"/>
      <c r="R2805" s="2266"/>
      <c r="S2805" s="2266"/>
    </row>
    <row r="2806" spans="1:19" s="2105" customFormat="1" outlineLevel="1">
      <c r="A2806" s="2182" t="str">
        <f t="shared" si="571"/>
        <v/>
      </c>
      <c r="B2806" s="2357" t="s">
        <v>643</v>
      </c>
      <c r="C2806" s="2407"/>
      <c r="D2806" s="2152" t="s">
        <v>2127</v>
      </c>
      <c r="E2806" s="2408" t="s">
        <v>3167</v>
      </c>
      <c r="F2806" s="2152" t="s">
        <v>2831</v>
      </c>
      <c r="G2806" s="2152">
        <f>G2804</f>
        <v>0</v>
      </c>
      <c r="H2806" s="2408"/>
      <c r="I2806" s="2359"/>
      <c r="J2806" s="2359">
        <v>112286</v>
      </c>
      <c r="K2806" s="2359">
        <v>105970</v>
      </c>
      <c r="L2806" s="2360">
        <f>H2806*G2806</f>
        <v>0</v>
      </c>
      <c r="M2806" s="2360">
        <f>I2806*G2806</f>
        <v>0</v>
      </c>
      <c r="N2806" s="2360">
        <f>J2806*G2806</f>
        <v>0</v>
      </c>
      <c r="O2806" s="2360">
        <f>K2806*G2806</f>
        <v>0</v>
      </c>
      <c r="P2806" s="2389"/>
      <c r="Q2806" s="2266"/>
      <c r="R2806" s="2266"/>
      <c r="S2806" s="2266"/>
    </row>
    <row r="2807" spans="1:19" s="2105" customFormat="1" outlineLevel="1">
      <c r="A2807" s="2182" t="str">
        <f t="shared" si="571"/>
        <v/>
      </c>
      <c r="B2807" s="2401"/>
      <c r="C2807" s="2402">
        <f>IF(G2807&gt;0,1,0)</f>
        <v>0</v>
      </c>
      <c r="D2807" s="2152"/>
      <c r="E2807" s="2403" t="s">
        <v>6217</v>
      </c>
      <c r="F2807" s="2404" t="s">
        <v>2277</v>
      </c>
      <c r="G2807" s="2405">
        <f>G2793*2*0</f>
        <v>0</v>
      </c>
      <c r="H2807" s="2404"/>
      <c r="I2807" s="2404"/>
      <c r="J2807" s="2404"/>
      <c r="K2807" s="2404"/>
      <c r="L2807" s="2405"/>
      <c r="M2807" s="2405"/>
      <c r="N2807" s="2405"/>
      <c r="O2807" s="2406"/>
      <c r="P2807" s="2265"/>
      <c r="Q2807" s="2266"/>
      <c r="R2807" s="2266"/>
      <c r="S2807" s="2266"/>
    </row>
    <row r="2808" spans="1:19" s="2105" customFormat="1" outlineLevel="1">
      <c r="A2808" s="2182" t="str">
        <f t="shared" si="571"/>
        <v/>
      </c>
      <c r="B2808" s="2357" t="s">
        <v>114</v>
      </c>
      <c r="C2808" s="2407"/>
      <c r="D2808" s="2152"/>
      <c r="E2808" s="2408" t="s">
        <v>2991</v>
      </c>
      <c r="F2808" s="2152" t="s">
        <v>2831</v>
      </c>
      <c r="G2808" s="2152">
        <f>G2807</f>
        <v>0</v>
      </c>
      <c r="H2808" s="2359">
        <v>4200000</v>
      </c>
      <c r="I2808" s="2258"/>
      <c r="J2808" s="2359"/>
      <c r="K2808" s="2258"/>
      <c r="L2808" s="2360">
        <f>H2808*G2808</f>
        <v>0</v>
      </c>
      <c r="M2808" s="2360">
        <f>I2808*G2808</f>
        <v>0</v>
      </c>
      <c r="N2808" s="2360">
        <f>J2808*G2808</f>
        <v>0</v>
      </c>
      <c r="O2808" s="2360">
        <f>K2808*G2808</f>
        <v>0</v>
      </c>
      <c r="P2808" s="2265"/>
      <c r="Q2808" s="2266"/>
      <c r="R2808" s="2266"/>
      <c r="S2808" s="2266"/>
    </row>
    <row r="2809" spans="1:19" s="2105" customFormat="1" outlineLevel="1">
      <c r="A2809" s="2182" t="str">
        <f t="shared" si="571"/>
        <v/>
      </c>
      <c r="B2809" s="2357" t="s">
        <v>1814</v>
      </c>
      <c r="C2809" s="2407"/>
      <c r="D2809" s="2152"/>
      <c r="E2809" s="2408" t="s">
        <v>2830</v>
      </c>
      <c r="F2809" s="2152" t="s">
        <v>2831</v>
      </c>
      <c r="G2809" s="2152">
        <f>G2808</f>
        <v>0</v>
      </c>
      <c r="H2809" s="2359">
        <v>17400</v>
      </c>
      <c r="I2809" s="2359"/>
      <c r="J2809" s="2258"/>
      <c r="K2809" s="2258"/>
      <c r="L2809" s="2360">
        <f>H2809*G2809</f>
        <v>0</v>
      </c>
      <c r="M2809" s="2360">
        <f>I2809*G2809</f>
        <v>0</v>
      </c>
      <c r="N2809" s="2360">
        <f>J2809*G2809</f>
        <v>0</v>
      </c>
      <c r="O2809" s="2360">
        <f>K2809*G2809</f>
        <v>0</v>
      </c>
      <c r="P2809" s="2265"/>
      <c r="Q2809" s="2266"/>
      <c r="R2809" s="2266"/>
      <c r="S2809" s="2266"/>
    </row>
    <row r="2810" spans="1:19" s="2105" customFormat="1" outlineLevel="1">
      <c r="A2810" s="2182" t="str">
        <f t="shared" si="571"/>
        <v/>
      </c>
      <c r="B2810" s="2357" t="s">
        <v>644</v>
      </c>
      <c r="C2810" s="2407"/>
      <c r="D2810" s="2152" t="s">
        <v>2127</v>
      </c>
      <c r="E2810" s="2408" t="s">
        <v>3168</v>
      </c>
      <c r="F2810" s="2152" t="s">
        <v>2831</v>
      </c>
      <c r="G2810" s="2152">
        <f>G2808</f>
        <v>0</v>
      </c>
      <c r="H2810" s="2408"/>
      <c r="I2810" s="2359"/>
      <c r="J2810" s="2359">
        <v>112286</v>
      </c>
      <c r="K2810" s="2359">
        <v>105970</v>
      </c>
      <c r="L2810" s="2360">
        <f>H2810*G2810</f>
        <v>0</v>
      </c>
      <c r="M2810" s="2360">
        <f>I2810*G2810</f>
        <v>0</v>
      </c>
      <c r="N2810" s="2360">
        <f>J2810*G2810</f>
        <v>0</v>
      </c>
      <c r="O2810" s="2360">
        <f>K2810*G2810</f>
        <v>0</v>
      </c>
      <c r="P2810" s="2265"/>
      <c r="Q2810" s="2266"/>
      <c r="R2810" s="2266"/>
      <c r="S2810" s="2266"/>
    </row>
    <row r="2811" spans="1:19" s="2105" customFormat="1" outlineLevel="1">
      <c r="A2811" s="2182" t="str">
        <f t="shared" si="571"/>
        <v/>
      </c>
      <c r="B2811" s="2357"/>
      <c r="C2811" s="2258">
        <f>IF(G2811&gt;0,C2803+1,C2803)</f>
        <v>0</v>
      </c>
      <c r="D2811" s="2152"/>
      <c r="E2811" s="2403" t="s">
        <v>2352</v>
      </c>
      <c r="F2811" s="2404" t="s">
        <v>2327</v>
      </c>
      <c r="G2811" s="2409">
        <f>G2803</f>
        <v>0</v>
      </c>
      <c r="H2811" s="2258"/>
      <c r="I2811" s="2258"/>
      <c r="J2811" s="2258"/>
      <c r="K2811" s="2258"/>
      <c r="L2811" s="2258"/>
      <c r="M2811" s="2258"/>
      <c r="N2811" s="2258"/>
      <c r="O2811" s="2410"/>
      <c r="P2811" s="2389"/>
      <c r="Q2811" s="2266"/>
      <c r="R2811" s="2266"/>
      <c r="S2811" s="2266"/>
    </row>
    <row r="2812" spans="1:19" s="2105" customFormat="1" outlineLevel="1">
      <c r="A2812" s="2182" t="str">
        <f t="shared" si="571"/>
        <v/>
      </c>
      <c r="B2812" s="2357" t="s">
        <v>636</v>
      </c>
      <c r="C2812" s="2407"/>
      <c r="D2812" s="2152" t="s">
        <v>5047</v>
      </c>
      <c r="E2812" s="2408" t="s">
        <v>2607</v>
      </c>
      <c r="F2812" s="2152" t="s">
        <v>2555</v>
      </c>
      <c r="G2812" s="2152">
        <f>G2811</f>
        <v>0</v>
      </c>
      <c r="H2812" s="2359">
        <v>354545</v>
      </c>
      <c r="I2812" s="2359"/>
      <c r="J2812" s="2359">
        <v>37220.25</v>
      </c>
      <c r="K2812" s="2258"/>
      <c r="L2812" s="2360">
        <f>H2812*G2812</f>
        <v>0</v>
      </c>
      <c r="M2812" s="2360">
        <f>I2812*G2812</f>
        <v>0</v>
      </c>
      <c r="N2812" s="2360">
        <f>J2812*G2812</f>
        <v>0</v>
      </c>
      <c r="O2812" s="2360">
        <f>K2812*G2812</f>
        <v>0</v>
      </c>
      <c r="P2812" s="2389"/>
      <c r="Q2812" s="2266"/>
      <c r="R2812" s="2266"/>
      <c r="S2812" s="2266"/>
    </row>
    <row r="2813" spans="1:19" s="2105" customFormat="1" outlineLevel="1">
      <c r="A2813" s="2182" t="str">
        <f t="shared" si="571"/>
        <v/>
      </c>
      <c r="B2813" s="2357" t="s">
        <v>566</v>
      </c>
      <c r="C2813" s="2407"/>
      <c r="D2813" s="2152"/>
      <c r="E2813" s="2408" t="s">
        <v>5072</v>
      </c>
      <c r="F2813" s="2152" t="s">
        <v>2439</v>
      </c>
      <c r="G2813" s="2152">
        <f>G2812</f>
        <v>0</v>
      </c>
      <c r="H2813" s="2359">
        <v>92200</v>
      </c>
      <c r="I2813" s="2408"/>
      <c r="J2813" s="2408"/>
      <c r="K2813" s="2258"/>
      <c r="L2813" s="2360">
        <f>H2813*G2813</f>
        <v>0</v>
      </c>
      <c r="M2813" s="2360">
        <f>I2813*G2813</f>
        <v>0</v>
      </c>
      <c r="N2813" s="2360">
        <f>J2813*G2813</f>
        <v>0</v>
      </c>
      <c r="O2813" s="2360">
        <f>K2813*G2813</f>
        <v>0</v>
      </c>
      <c r="P2813" s="2389"/>
      <c r="Q2813" s="2266"/>
      <c r="R2813" s="2266"/>
      <c r="S2813" s="2266"/>
    </row>
    <row r="2814" spans="1:19" s="2105" customFormat="1" outlineLevel="1">
      <c r="A2814" s="2182" t="str">
        <f t="shared" si="571"/>
        <v/>
      </c>
      <c r="B2814" s="2357" t="s">
        <v>639</v>
      </c>
      <c r="C2814" s="2407"/>
      <c r="D2814" s="2152" t="s">
        <v>1747</v>
      </c>
      <c r="E2814" s="2408" t="s">
        <v>5324</v>
      </c>
      <c r="F2814" s="2152" t="s">
        <v>856</v>
      </c>
      <c r="G2814" s="2561">
        <f>1.45*G2812</f>
        <v>0</v>
      </c>
      <c r="H2814" s="2359">
        <v>0</v>
      </c>
      <c r="I2814" s="2359"/>
      <c r="J2814" s="2359">
        <v>296500.89999999997</v>
      </c>
      <c r="K2814" s="2258"/>
      <c r="L2814" s="2360">
        <f>H2814*G2814</f>
        <v>0</v>
      </c>
      <c r="M2814" s="2360">
        <f>I2814*G2814</f>
        <v>0</v>
      </c>
      <c r="N2814" s="2360">
        <f>J2814*G2814</f>
        <v>0</v>
      </c>
      <c r="O2814" s="2360">
        <f>K2814*G2814</f>
        <v>0</v>
      </c>
      <c r="P2814" s="2389"/>
      <c r="Q2814" s="2266"/>
      <c r="R2814" s="2266"/>
      <c r="S2814" s="2266"/>
    </row>
    <row r="2815" spans="1:19" s="2105" customFormat="1" outlineLevel="1">
      <c r="A2815" s="2182" t="str">
        <f t="shared" si="571"/>
        <v/>
      </c>
      <c r="B2815" s="2357" t="s">
        <v>21</v>
      </c>
      <c r="C2815" s="2407"/>
      <c r="D2815" s="2152" t="s">
        <v>5325</v>
      </c>
      <c r="E2815" s="2408" t="s">
        <v>5326</v>
      </c>
      <c r="F2815" s="2152" t="s">
        <v>856</v>
      </c>
      <c r="G2815" s="2152">
        <f>1.37*G2811</f>
        <v>0</v>
      </c>
      <c r="H2815" s="2359">
        <v>0</v>
      </c>
      <c r="I2815" s="2359"/>
      <c r="J2815" s="2359">
        <v>117703.6</v>
      </c>
      <c r="K2815" s="2258"/>
      <c r="L2815" s="2360">
        <f>H2815*G2815</f>
        <v>0</v>
      </c>
      <c r="M2815" s="2360">
        <f>I2815*G2815</f>
        <v>0</v>
      </c>
      <c r="N2815" s="2360">
        <f>J2815*G2815</f>
        <v>0</v>
      </c>
      <c r="O2815" s="2360">
        <f>K2815*G2815</f>
        <v>0</v>
      </c>
      <c r="P2815" s="2389"/>
      <c r="Q2815" s="2266"/>
      <c r="R2815" s="2266"/>
      <c r="S2815" s="2266"/>
    </row>
    <row r="2816" spans="1:19" s="2105" customFormat="1" outlineLevel="1">
      <c r="A2816" s="2182" t="str">
        <f t="shared" si="571"/>
        <v/>
      </c>
      <c r="B2816" s="2357"/>
      <c r="C2816" s="2258">
        <f>IF(G2816&gt;0,C2808+1,C2808)</f>
        <v>0</v>
      </c>
      <c r="D2816" s="2152"/>
      <c r="E2816" s="2403" t="s">
        <v>3713</v>
      </c>
      <c r="F2816" s="2404" t="s">
        <v>2327</v>
      </c>
      <c r="G2816" s="2409">
        <f>G2807*0</f>
        <v>0</v>
      </c>
      <c r="H2816" s="2258"/>
      <c r="I2816" s="2258"/>
      <c r="J2816" s="2258"/>
      <c r="K2816" s="2258"/>
      <c r="L2816" s="2258"/>
      <c r="M2816" s="2258"/>
      <c r="N2816" s="2258"/>
      <c r="O2816" s="2410"/>
      <c r="P2816" s="2265"/>
      <c r="Q2816" s="2266"/>
      <c r="R2816" s="2266"/>
      <c r="S2816" s="2266"/>
    </row>
    <row r="2817" spans="1:19" s="2105" customFormat="1" outlineLevel="1">
      <c r="A2817" s="2182" t="str">
        <f t="shared" si="571"/>
        <v/>
      </c>
      <c r="B2817" s="2357" t="s">
        <v>636</v>
      </c>
      <c r="C2817" s="2407"/>
      <c r="D2817" s="2152" t="s">
        <v>5047</v>
      </c>
      <c r="E2817" s="2408" t="s">
        <v>2607</v>
      </c>
      <c r="F2817" s="2152" t="s">
        <v>2555</v>
      </c>
      <c r="G2817" s="2152">
        <f>G2816</f>
        <v>0</v>
      </c>
      <c r="H2817" s="2359">
        <v>354545</v>
      </c>
      <c r="I2817" s="2359"/>
      <c r="J2817" s="2359">
        <v>37220.25</v>
      </c>
      <c r="K2817" s="2258"/>
      <c r="L2817" s="2360">
        <f>H2817*G2817</f>
        <v>0</v>
      </c>
      <c r="M2817" s="2360">
        <f t="shared" ref="M2817:M2826" si="572">I2817*G2817</f>
        <v>0</v>
      </c>
      <c r="N2817" s="2360">
        <f t="shared" ref="N2817:N2826" si="573">J2817*G2817</f>
        <v>0</v>
      </c>
      <c r="O2817" s="2360">
        <f t="shared" ref="O2817:O2826" si="574">K2817*G2817</f>
        <v>0</v>
      </c>
      <c r="P2817" s="2265"/>
      <c r="Q2817" s="2266"/>
      <c r="R2817" s="2266"/>
      <c r="S2817" s="2266"/>
    </row>
    <row r="2818" spans="1:19" s="2105" customFormat="1" outlineLevel="1">
      <c r="A2818" s="2182" t="str">
        <f t="shared" si="571"/>
        <v/>
      </c>
      <c r="B2818" s="2357" t="s">
        <v>566</v>
      </c>
      <c r="C2818" s="2407"/>
      <c r="D2818" s="2152"/>
      <c r="E2818" s="2408" t="s">
        <v>5072</v>
      </c>
      <c r="F2818" s="2152" t="s">
        <v>2439</v>
      </c>
      <c r="G2818" s="2152">
        <f>G2817</f>
        <v>0</v>
      </c>
      <c r="H2818" s="2359">
        <v>92200</v>
      </c>
      <c r="I2818" s="2408"/>
      <c r="J2818" s="2408"/>
      <c r="K2818" s="2258"/>
      <c r="L2818" s="2360">
        <f>H2818*G2818</f>
        <v>0</v>
      </c>
      <c r="M2818" s="2360">
        <f t="shared" si="572"/>
        <v>0</v>
      </c>
      <c r="N2818" s="2360">
        <f t="shared" si="573"/>
        <v>0</v>
      </c>
      <c r="O2818" s="2360">
        <f t="shared" si="574"/>
        <v>0</v>
      </c>
      <c r="P2818" s="2265"/>
      <c r="Q2818" s="2266"/>
      <c r="R2818" s="2266"/>
      <c r="S2818" s="2266"/>
    </row>
    <row r="2819" spans="1:19" s="2105" customFormat="1" outlineLevel="1">
      <c r="A2819" s="2182" t="str">
        <f t="shared" si="571"/>
        <v/>
      </c>
      <c r="B2819" s="2357" t="s">
        <v>639</v>
      </c>
      <c r="C2819" s="2407"/>
      <c r="D2819" s="2152" t="s">
        <v>1747</v>
      </c>
      <c r="E2819" s="2408" t="s">
        <v>5324</v>
      </c>
      <c r="F2819" s="2152" t="s">
        <v>856</v>
      </c>
      <c r="G2819" s="2152">
        <f>1.48*G2817</f>
        <v>0</v>
      </c>
      <c r="H2819" s="2359">
        <v>0</v>
      </c>
      <c r="I2819" s="2359"/>
      <c r="J2819" s="2359">
        <v>296500.89999999997</v>
      </c>
      <c r="K2819" s="2258"/>
      <c r="L2819" s="2360">
        <f>H2819*G2819</f>
        <v>0</v>
      </c>
      <c r="M2819" s="2360">
        <f t="shared" si="572"/>
        <v>0</v>
      </c>
      <c r="N2819" s="2360">
        <f t="shared" si="573"/>
        <v>0</v>
      </c>
      <c r="O2819" s="2360">
        <f t="shared" si="574"/>
        <v>0</v>
      </c>
      <c r="P2819" s="2265"/>
      <c r="Q2819" s="2266"/>
      <c r="R2819" s="2266"/>
      <c r="S2819" s="2266"/>
    </row>
    <row r="2820" spans="1:19" s="2105" customFormat="1" outlineLevel="1">
      <c r="A2820" s="2182" t="str">
        <f t="shared" si="571"/>
        <v/>
      </c>
      <c r="B2820" s="2357" t="s">
        <v>21</v>
      </c>
      <c r="C2820" s="2407"/>
      <c r="D2820" s="2152" t="s">
        <v>5325</v>
      </c>
      <c r="E2820" s="2408" t="s">
        <v>5326</v>
      </c>
      <c r="F2820" s="2152" t="s">
        <v>856</v>
      </c>
      <c r="G2820" s="2152">
        <f>1.39*G2816</f>
        <v>0</v>
      </c>
      <c r="H2820" s="2359">
        <v>0</v>
      </c>
      <c r="I2820" s="2359"/>
      <c r="J2820" s="2359">
        <v>117703.6</v>
      </c>
      <c r="K2820" s="2258"/>
      <c r="L2820" s="2360">
        <f>H2820*G2820</f>
        <v>0</v>
      </c>
      <c r="M2820" s="2360">
        <f t="shared" si="572"/>
        <v>0</v>
      </c>
      <c r="N2820" s="2360">
        <f t="shared" si="573"/>
        <v>0</v>
      </c>
      <c r="O2820" s="2360">
        <f t="shared" si="574"/>
        <v>0</v>
      </c>
      <c r="P2820" s="2265"/>
      <c r="Q2820" s="2266"/>
      <c r="R2820" s="2266"/>
      <c r="S2820" s="2266"/>
    </row>
    <row r="2821" spans="1:19" s="2105" customFormat="1" outlineLevel="1">
      <c r="A2821" s="2182" t="str">
        <f>IF(G2821&lt;&gt;0,1,"")</f>
        <v/>
      </c>
      <c r="B2821" s="2261"/>
      <c r="C2821" s="2258">
        <f>IF(G2821&gt;0,C2816+1,C2816)</f>
        <v>0</v>
      </c>
      <c r="D2821" s="2259"/>
      <c r="E2821" s="2417" t="s">
        <v>6271</v>
      </c>
      <c r="F2821" s="2258" t="s">
        <v>2385</v>
      </c>
      <c r="G2821" s="2263"/>
      <c r="H2821" s="2416"/>
      <c r="I2821" s="2416"/>
      <c r="J2821" s="2416"/>
      <c r="K2821" s="2416"/>
      <c r="L2821" s="2360">
        <f t="shared" ref="L2821:L2860" si="575">H2821*G2821</f>
        <v>0</v>
      </c>
      <c r="M2821" s="2360">
        <f t="shared" si="572"/>
        <v>0</v>
      </c>
      <c r="N2821" s="2360">
        <f t="shared" si="573"/>
        <v>0</v>
      </c>
      <c r="O2821" s="2360">
        <f t="shared" si="574"/>
        <v>0</v>
      </c>
      <c r="P2821" s="2265"/>
      <c r="Q2821" s="2266"/>
      <c r="R2821" s="2266"/>
      <c r="S2821" s="2266"/>
    </row>
    <row r="2822" spans="1:19" s="2105" customFormat="1" ht="14.4" outlineLevel="1">
      <c r="A2822" s="2182" t="str">
        <f>A2821</f>
        <v/>
      </c>
      <c r="B2822" s="2261"/>
      <c r="C2822" s="2258"/>
      <c r="D2822" s="2152"/>
      <c r="E2822" s="2267" t="s">
        <v>6133</v>
      </c>
      <c r="F2822" s="2268"/>
      <c r="G2822" s="2269"/>
      <c r="H2822" s="2416"/>
      <c r="I2822" s="2416"/>
      <c r="J2822" s="2416"/>
      <c r="K2822" s="2416"/>
      <c r="L2822" s="2360">
        <f t="shared" si="575"/>
        <v>0</v>
      </c>
      <c r="M2822" s="2360">
        <f t="shared" si="572"/>
        <v>0</v>
      </c>
      <c r="N2822" s="2360">
        <f t="shared" si="573"/>
        <v>0</v>
      </c>
      <c r="O2822" s="2360">
        <f t="shared" si="574"/>
        <v>0</v>
      </c>
      <c r="P2822" s="2265"/>
      <c r="Q2822" s="2266"/>
      <c r="R2822" s="2266"/>
      <c r="S2822" s="2266"/>
    </row>
    <row r="2823" spans="1:19" s="2105" customFormat="1" outlineLevel="1">
      <c r="A2823" s="2182" t="str">
        <f t="shared" ref="A2823:A2828" si="576">IF(G2823&lt;&gt;0,1,"")</f>
        <v/>
      </c>
      <c r="B2823" s="2252" t="s">
        <v>2022</v>
      </c>
      <c r="C2823" s="2258"/>
      <c r="D2823" s="2152">
        <v>0</v>
      </c>
      <c r="E2823" s="2194" t="s">
        <v>2437</v>
      </c>
      <c r="F2823" s="2152" t="s">
        <v>2248</v>
      </c>
      <c r="G2823" s="2270">
        <f>G2821*9.02*(2.6+3*0.07)*2</f>
        <v>0</v>
      </c>
      <c r="H2823" s="2359">
        <v>31625</v>
      </c>
      <c r="I2823" s="2359"/>
      <c r="J2823" s="2359">
        <v>0</v>
      </c>
      <c r="K2823" s="2359">
        <v>0</v>
      </c>
      <c r="L2823" s="2360">
        <f t="shared" si="575"/>
        <v>0</v>
      </c>
      <c r="M2823" s="2360">
        <f t="shared" si="572"/>
        <v>0</v>
      </c>
      <c r="N2823" s="2360">
        <f t="shared" si="573"/>
        <v>0</v>
      </c>
      <c r="O2823" s="2360">
        <f t="shared" si="574"/>
        <v>0</v>
      </c>
      <c r="P2823" s="2265"/>
      <c r="Q2823" s="2266"/>
      <c r="R2823" s="2266"/>
      <c r="S2823" s="2266"/>
    </row>
    <row r="2824" spans="1:19" s="2105" customFormat="1" outlineLevel="1">
      <c r="A2824" s="2182" t="str">
        <f t="shared" si="576"/>
        <v/>
      </c>
      <c r="B2824" s="2261" t="s">
        <v>1784</v>
      </c>
      <c r="C2824" s="2258"/>
      <c r="D2824" s="2152">
        <v>0</v>
      </c>
      <c r="E2824" s="2194" t="s">
        <v>2660</v>
      </c>
      <c r="F2824" s="2152" t="s">
        <v>2439</v>
      </c>
      <c r="G2824" s="2269">
        <f>G2821*2</f>
        <v>0</v>
      </c>
      <c r="H2824" s="2359">
        <v>31800</v>
      </c>
      <c r="I2824" s="2359">
        <v>0</v>
      </c>
      <c r="J2824" s="2359">
        <v>0</v>
      </c>
      <c r="K2824" s="2359">
        <v>0</v>
      </c>
      <c r="L2824" s="2360">
        <f t="shared" si="575"/>
        <v>0</v>
      </c>
      <c r="M2824" s="2360">
        <f t="shared" si="572"/>
        <v>0</v>
      </c>
      <c r="N2824" s="2360">
        <f t="shared" si="573"/>
        <v>0</v>
      </c>
      <c r="O2824" s="2360">
        <f t="shared" si="574"/>
        <v>0</v>
      </c>
      <c r="P2824" s="2265"/>
      <c r="Q2824" s="2266"/>
      <c r="R2824" s="2266"/>
      <c r="S2824" s="2266"/>
    </row>
    <row r="2825" spans="1:19" s="2105" customFormat="1" outlineLevel="1">
      <c r="A2825" s="2182" t="str">
        <f t="shared" si="576"/>
        <v/>
      </c>
      <c r="B2825" s="2261" t="s">
        <v>1610</v>
      </c>
      <c r="C2825" s="2258"/>
      <c r="D2825" s="2152">
        <v>0</v>
      </c>
      <c r="E2825" s="2194" t="s">
        <v>2649</v>
      </c>
      <c r="F2825" s="2152" t="s">
        <v>2439</v>
      </c>
      <c r="G2825" s="2269">
        <f>G2821*2</f>
        <v>0</v>
      </c>
      <c r="H2825" s="2359">
        <v>25400</v>
      </c>
      <c r="I2825" s="2359">
        <v>0</v>
      </c>
      <c r="J2825" s="2359">
        <v>0</v>
      </c>
      <c r="K2825" s="2359">
        <v>0</v>
      </c>
      <c r="L2825" s="2360">
        <f t="shared" si="575"/>
        <v>0</v>
      </c>
      <c r="M2825" s="2360">
        <f t="shared" si="572"/>
        <v>0</v>
      </c>
      <c r="N2825" s="2360">
        <f t="shared" si="573"/>
        <v>0</v>
      </c>
      <c r="O2825" s="2360">
        <f t="shared" si="574"/>
        <v>0</v>
      </c>
      <c r="P2825" s="2265"/>
      <c r="Q2825" s="2266"/>
      <c r="R2825" s="2266"/>
      <c r="S2825" s="2266"/>
    </row>
    <row r="2826" spans="1:19" s="2105" customFormat="1" outlineLevel="1">
      <c r="A2826" s="2182" t="str">
        <f t="shared" si="576"/>
        <v/>
      </c>
      <c r="B2826" s="2261" t="s">
        <v>1609</v>
      </c>
      <c r="C2826" s="2258"/>
      <c r="D2826" s="2152">
        <v>0</v>
      </c>
      <c r="E2826" s="2194" t="s">
        <v>2645</v>
      </c>
      <c r="F2826" s="2152" t="s">
        <v>2439</v>
      </c>
      <c r="G2826" s="2269">
        <f>G2825</f>
        <v>0</v>
      </c>
      <c r="H2826" s="2359">
        <v>13400</v>
      </c>
      <c r="I2826" s="2359">
        <v>0</v>
      </c>
      <c r="J2826" s="2359">
        <v>0</v>
      </c>
      <c r="K2826" s="2359">
        <v>0</v>
      </c>
      <c r="L2826" s="2360">
        <f t="shared" si="575"/>
        <v>0</v>
      </c>
      <c r="M2826" s="2360">
        <f t="shared" si="572"/>
        <v>0</v>
      </c>
      <c r="N2826" s="2360">
        <f t="shared" si="573"/>
        <v>0</v>
      </c>
      <c r="O2826" s="2360">
        <f t="shared" si="574"/>
        <v>0</v>
      </c>
      <c r="P2826" s="2265"/>
      <c r="Q2826" s="2266"/>
      <c r="R2826" s="2266"/>
      <c r="S2826" s="2266"/>
    </row>
    <row r="2827" spans="1:19" s="2105" customFormat="1" outlineLevel="1">
      <c r="A2827" s="2182" t="str">
        <f t="shared" si="576"/>
        <v/>
      </c>
      <c r="B2827" s="2261" t="s">
        <v>2242</v>
      </c>
      <c r="C2827" s="2258"/>
      <c r="D2827" s="2152" t="s">
        <v>5444</v>
      </c>
      <c r="E2827" s="2194" t="s">
        <v>2440</v>
      </c>
      <c r="F2827" s="2152" t="s">
        <v>2439</v>
      </c>
      <c r="G2827" s="2269">
        <f>G2821</f>
        <v>0</v>
      </c>
      <c r="H2827" s="2359">
        <v>0</v>
      </c>
      <c r="I2827" s="2359"/>
      <c r="J2827" s="2359" t="s">
        <v>6345</v>
      </c>
      <c r="K2827" s="2359"/>
      <c r="L2827" s="2360">
        <f t="shared" si="575"/>
        <v>0</v>
      </c>
      <c r="M2827" s="2360"/>
      <c r="N2827" s="2359">
        <v>0</v>
      </c>
      <c r="O2827" s="2360"/>
      <c r="P2827" s="2265"/>
      <c r="Q2827" s="2266"/>
      <c r="R2827" s="2266"/>
      <c r="S2827" s="2266"/>
    </row>
    <row r="2828" spans="1:19" s="2105" customFormat="1" outlineLevel="1">
      <c r="A2828" s="2182" t="str">
        <f t="shared" si="576"/>
        <v/>
      </c>
      <c r="B2828" s="2261"/>
      <c r="C2828" s="2258">
        <f>IF(G2828&gt;0,C2821+1,C2821)</f>
        <v>0</v>
      </c>
      <c r="D2828" s="2259"/>
      <c r="E2828" s="2417" t="s">
        <v>6283</v>
      </c>
      <c r="F2828" s="2258" t="s">
        <v>2385</v>
      </c>
      <c r="G2828" s="2263">
        <f>+G2793*3</f>
        <v>0</v>
      </c>
      <c r="H2828" s="2416"/>
      <c r="I2828" s="2416"/>
      <c r="J2828" s="2416"/>
      <c r="K2828" s="2416"/>
      <c r="L2828" s="2360">
        <f t="shared" si="575"/>
        <v>0</v>
      </c>
      <c r="M2828" s="2360">
        <f t="shared" ref="M2828:M2833" si="577">I2828*G2828</f>
        <v>0</v>
      </c>
      <c r="N2828" s="2360">
        <f t="shared" ref="N2828:N2833" si="578">J2828*G2828</f>
        <v>0</v>
      </c>
      <c r="O2828" s="2360">
        <f t="shared" ref="O2828:O2833" si="579">K2828*G2828</f>
        <v>0</v>
      </c>
      <c r="P2828" s="2265"/>
      <c r="Q2828" s="2266"/>
      <c r="R2828" s="2266"/>
      <c r="S2828" s="2266"/>
    </row>
    <row r="2829" spans="1:19" s="2105" customFormat="1" ht="14.4" outlineLevel="1">
      <c r="A2829" s="2182" t="str">
        <f>A2828</f>
        <v/>
      </c>
      <c r="B2829" s="2261"/>
      <c r="C2829" s="2258"/>
      <c r="D2829" s="2259"/>
      <c r="E2829" s="2267" t="s">
        <v>6133</v>
      </c>
      <c r="F2829" s="2268"/>
      <c r="G2829" s="2269"/>
      <c r="H2829" s="2416"/>
      <c r="I2829" s="2416"/>
      <c r="J2829" s="2416"/>
      <c r="K2829" s="2416"/>
      <c r="L2829" s="2360">
        <f t="shared" si="575"/>
        <v>0</v>
      </c>
      <c r="M2829" s="2360">
        <f t="shared" si="577"/>
        <v>0</v>
      </c>
      <c r="N2829" s="2360">
        <f t="shared" si="578"/>
        <v>0</v>
      </c>
      <c r="O2829" s="2360">
        <f t="shared" si="579"/>
        <v>0</v>
      </c>
      <c r="P2829" s="2265"/>
      <c r="Q2829" s="2266"/>
      <c r="R2829" s="2266"/>
      <c r="S2829" s="2266"/>
    </row>
    <row r="2830" spans="1:19" s="2105" customFormat="1" outlineLevel="1">
      <c r="A2830" s="2182" t="str">
        <f t="shared" ref="A2830:A2835" si="580">IF(G2830&lt;&gt;0,1,"")</f>
        <v/>
      </c>
      <c r="B2830" s="2252" t="s">
        <v>2022</v>
      </c>
      <c r="C2830" s="2258"/>
      <c r="D2830" s="2152">
        <v>0</v>
      </c>
      <c r="E2830" s="2194" t="s">
        <v>2437</v>
      </c>
      <c r="F2830" s="2152" t="s">
        <v>2248</v>
      </c>
      <c r="G2830" s="2270">
        <f>G2828*9.02*(2.2+4*0.07)</f>
        <v>0</v>
      </c>
      <c r="H2830" s="2264">
        <v>31625</v>
      </c>
      <c r="I2830" s="2359"/>
      <c r="J2830" s="2359">
        <v>0</v>
      </c>
      <c r="K2830" s="2359">
        <v>0</v>
      </c>
      <c r="L2830" s="2360">
        <f t="shared" si="575"/>
        <v>0</v>
      </c>
      <c r="M2830" s="2360">
        <f t="shared" si="577"/>
        <v>0</v>
      </c>
      <c r="N2830" s="2360">
        <f t="shared" si="578"/>
        <v>0</v>
      </c>
      <c r="O2830" s="2360">
        <f t="shared" si="579"/>
        <v>0</v>
      </c>
      <c r="P2830" s="2265"/>
      <c r="Q2830" s="2266"/>
      <c r="R2830" s="2266"/>
      <c r="S2830" s="2266"/>
    </row>
    <row r="2831" spans="1:19" s="2105" customFormat="1" outlineLevel="1">
      <c r="A2831" s="2182" t="str">
        <f t="shared" si="580"/>
        <v/>
      </c>
      <c r="B2831" s="2252" t="s">
        <v>1035</v>
      </c>
      <c r="C2831" s="2258"/>
      <c r="D2831" s="2152">
        <v>0</v>
      </c>
      <c r="E2831" s="2194" t="s">
        <v>2956</v>
      </c>
      <c r="F2831" s="2152" t="s">
        <v>2248</v>
      </c>
      <c r="G2831" s="2270">
        <f>G2828*3.77*0.81*2</f>
        <v>0</v>
      </c>
      <c r="H2831" s="2264">
        <v>32074</v>
      </c>
      <c r="I2831" s="2359"/>
      <c r="J2831" s="2359">
        <v>0</v>
      </c>
      <c r="K2831" s="2359">
        <v>0</v>
      </c>
      <c r="L2831" s="2360">
        <f t="shared" si="575"/>
        <v>0</v>
      </c>
      <c r="M2831" s="2360">
        <f t="shared" si="577"/>
        <v>0</v>
      </c>
      <c r="N2831" s="2360">
        <f t="shared" si="578"/>
        <v>0</v>
      </c>
      <c r="O2831" s="2360">
        <f t="shared" si="579"/>
        <v>0</v>
      </c>
      <c r="P2831" s="2265"/>
      <c r="Q2831" s="2266"/>
      <c r="R2831" s="2266"/>
      <c r="S2831" s="2266"/>
    </row>
    <row r="2832" spans="1:19" s="2105" customFormat="1" outlineLevel="1">
      <c r="A2832" s="2182" t="str">
        <f t="shared" si="580"/>
        <v/>
      </c>
      <c r="B2832" s="2261" t="s">
        <v>1609</v>
      </c>
      <c r="C2832" s="2258"/>
      <c r="D2832" s="2152">
        <v>0</v>
      </c>
      <c r="E2832" s="2194" t="s">
        <v>2645</v>
      </c>
      <c r="F2832" s="2152" t="s">
        <v>2439</v>
      </c>
      <c r="G2832" s="2269">
        <f>G2828</f>
        <v>0</v>
      </c>
      <c r="H2832" s="2264">
        <v>13400</v>
      </c>
      <c r="I2832" s="2359">
        <v>0</v>
      </c>
      <c r="J2832" s="2359">
        <v>0</v>
      </c>
      <c r="K2832" s="2359">
        <v>0</v>
      </c>
      <c r="L2832" s="2360">
        <f t="shared" si="575"/>
        <v>0</v>
      </c>
      <c r="M2832" s="2360">
        <f t="shared" si="577"/>
        <v>0</v>
      </c>
      <c r="N2832" s="2360">
        <f t="shared" si="578"/>
        <v>0</v>
      </c>
      <c r="O2832" s="2360">
        <f t="shared" si="579"/>
        <v>0</v>
      </c>
      <c r="P2832" s="2265"/>
      <c r="Q2832" s="2266"/>
      <c r="R2832" s="2266"/>
      <c r="S2832" s="2266"/>
    </row>
    <row r="2833" spans="1:19" s="2105" customFormat="1" outlineLevel="1">
      <c r="A2833" s="2182" t="str">
        <f t="shared" si="580"/>
        <v/>
      </c>
      <c r="B2833" s="2261" t="s">
        <v>1610</v>
      </c>
      <c r="C2833" s="2258"/>
      <c r="D2833" s="2152">
        <v>0</v>
      </c>
      <c r="E2833" s="2194" t="s">
        <v>2649</v>
      </c>
      <c r="F2833" s="2152" t="s">
        <v>2439</v>
      </c>
      <c r="G2833" s="2269">
        <f>G2828</f>
        <v>0</v>
      </c>
      <c r="H2833" s="2264">
        <v>25400</v>
      </c>
      <c r="I2833" s="2359">
        <v>0</v>
      </c>
      <c r="J2833" s="2359">
        <v>0</v>
      </c>
      <c r="K2833" s="2359">
        <v>0</v>
      </c>
      <c r="L2833" s="2360">
        <f t="shared" si="575"/>
        <v>0</v>
      </c>
      <c r="M2833" s="2360">
        <f t="shared" si="577"/>
        <v>0</v>
      </c>
      <c r="N2833" s="2360">
        <f t="shared" si="578"/>
        <v>0</v>
      </c>
      <c r="O2833" s="2360">
        <f t="shared" si="579"/>
        <v>0</v>
      </c>
      <c r="P2833" s="2265"/>
      <c r="Q2833" s="2266"/>
      <c r="R2833" s="2266"/>
      <c r="S2833" s="2266"/>
    </row>
    <row r="2834" spans="1:19" s="2105" customFormat="1" outlineLevel="1">
      <c r="A2834" s="2182" t="str">
        <f t="shared" si="580"/>
        <v/>
      </c>
      <c r="B2834" s="2261" t="s">
        <v>6284</v>
      </c>
      <c r="C2834" s="2258"/>
      <c r="D2834" s="2152" t="s">
        <v>5378</v>
      </c>
      <c r="E2834" s="2194" t="s">
        <v>5379</v>
      </c>
      <c r="F2834" s="2152" t="s">
        <v>2439</v>
      </c>
      <c r="G2834" s="2269">
        <f>+G2828</f>
        <v>0</v>
      </c>
      <c r="H2834" s="2264">
        <v>0</v>
      </c>
      <c r="I2834" s="2359"/>
      <c r="J2834" s="2359" t="s">
        <v>6390</v>
      </c>
      <c r="K2834" s="2359"/>
      <c r="L2834" s="2360">
        <f t="shared" si="575"/>
        <v>0</v>
      </c>
      <c r="M2834" s="2360"/>
      <c r="N2834" s="2359">
        <v>0</v>
      </c>
      <c r="O2834" s="2360"/>
      <c r="P2834" s="2265"/>
      <c r="Q2834" s="2266"/>
      <c r="R2834" s="2266"/>
      <c r="S2834" s="2266"/>
    </row>
    <row r="2835" spans="1:19" s="2105" customFormat="1" outlineLevel="1" collapsed="1">
      <c r="A2835" s="2182" t="str">
        <f t="shared" si="580"/>
        <v/>
      </c>
      <c r="B2835" s="2261"/>
      <c r="C2835" s="2258">
        <f>IF(G2835&gt;0,C2828+1,C2828)</f>
        <v>0</v>
      </c>
      <c r="D2835" s="2259"/>
      <c r="E2835" s="2417" t="s">
        <v>3718</v>
      </c>
      <c r="F2835" s="2258" t="s">
        <v>2385</v>
      </c>
      <c r="G2835" s="2263">
        <f>G2793*0</f>
        <v>0</v>
      </c>
      <c r="H2835" s="2264"/>
      <c r="I2835" s="2264"/>
      <c r="J2835" s="2264"/>
      <c r="K2835" s="2264"/>
      <c r="L2835" s="2264">
        <f t="shared" si="575"/>
        <v>0</v>
      </c>
      <c r="M2835" s="2264">
        <f>I2835*G2835</f>
        <v>0</v>
      </c>
      <c r="N2835" s="2264">
        <f>J2835*G2835</f>
        <v>0</v>
      </c>
      <c r="O2835" s="2264">
        <f>K2835*G2835</f>
        <v>0</v>
      </c>
      <c r="P2835" s="2389"/>
      <c r="Q2835" s="2266"/>
      <c r="R2835" s="2266"/>
      <c r="S2835" s="2266"/>
    </row>
    <row r="2836" spans="1:19" s="2105" customFormat="1" ht="14.4" outlineLevel="1">
      <c r="A2836" s="2182" t="str">
        <f>A2835</f>
        <v/>
      </c>
      <c r="B2836" s="2261"/>
      <c r="C2836" s="2258"/>
      <c r="D2836" s="2259"/>
      <c r="E2836" s="2267" t="s">
        <v>6133</v>
      </c>
      <c r="F2836" s="2268"/>
      <c r="G2836" s="2269"/>
      <c r="H2836" s="2264"/>
      <c r="I2836" s="2264"/>
      <c r="J2836" s="2264"/>
      <c r="K2836" s="2264"/>
      <c r="L2836" s="2264">
        <f t="shared" si="575"/>
        <v>0</v>
      </c>
      <c r="M2836" s="2264">
        <f>I2836*G2836</f>
        <v>0</v>
      </c>
      <c r="N2836" s="2264">
        <f>J2836*G2836</f>
        <v>0</v>
      </c>
      <c r="O2836" s="2264">
        <f>K2836*G2836</f>
        <v>0</v>
      </c>
      <c r="P2836" s="2389"/>
      <c r="Q2836" s="2266"/>
      <c r="R2836" s="2266"/>
      <c r="S2836" s="2266"/>
    </row>
    <row r="2837" spans="1:19" s="2105" customFormat="1" outlineLevel="1">
      <c r="A2837" s="2182" t="str">
        <f t="shared" ref="A2837:A2843" si="581">IF(G2837&lt;&gt;0,1,"")</f>
        <v/>
      </c>
      <c r="B2837" s="2261" t="s">
        <v>2022</v>
      </c>
      <c r="C2837" s="2258"/>
      <c r="D2837" s="2152">
        <v>0</v>
      </c>
      <c r="E2837" s="2194" t="s">
        <v>2437</v>
      </c>
      <c r="F2837" s="2152" t="s">
        <v>2248</v>
      </c>
      <c r="G2837" s="2270">
        <f>G2835*9.02*(2.4+4*0.07)*2</f>
        <v>0</v>
      </c>
      <c r="H2837" s="2264">
        <v>31625</v>
      </c>
      <c r="I2837" s="2264"/>
      <c r="J2837" s="2264">
        <v>0</v>
      </c>
      <c r="K2837" s="2264"/>
      <c r="L2837" s="2264">
        <f t="shared" si="575"/>
        <v>0</v>
      </c>
      <c r="M2837" s="2264"/>
      <c r="N2837" s="2264"/>
      <c r="O2837" s="2264"/>
      <c r="P2837" s="2389"/>
      <c r="Q2837" s="2266"/>
      <c r="R2837" s="2266"/>
      <c r="S2837" s="2266"/>
    </row>
    <row r="2838" spans="1:19" s="2105" customFormat="1" outlineLevel="1">
      <c r="A2838" s="2182" t="str">
        <f t="shared" si="581"/>
        <v/>
      </c>
      <c r="B2838" s="2261" t="s">
        <v>1035</v>
      </c>
      <c r="C2838" s="2258"/>
      <c r="D2838" s="2152">
        <v>0</v>
      </c>
      <c r="E2838" s="2194" t="s">
        <v>6374</v>
      </c>
      <c r="F2838" s="2152" t="s">
        <v>2248</v>
      </c>
      <c r="G2838" s="2270">
        <f>G2835*3.77*0.81*4</f>
        <v>0</v>
      </c>
      <c r="H2838" s="2264">
        <v>31625</v>
      </c>
      <c r="I2838" s="2264"/>
      <c r="J2838" s="2264">
        <v>0</v>
      </c>
      <c r="K2838" s="2264"/>
      <c r="L2838" s="2264">
        <f t="shared" si="575"/>
        <v>0</v>
      </c>
      <c r="M2838" s="2264"/>
      <c r="N2838" s="2264"/>
      <c r="O2838" s="2264"/>
      <c r="P2838" s="2389"/>
      <c r="Q2838" s="2266"/>
      <c r="R2838" s="2266"/>
      <c r="S2838" s="2266"/>
    </row>
    <row r="2839" spans="1:19" s="2105" customFormat="1" outlineLevel="1">
      <c r="A2839" s="2182" t="str">
        <f t="shared" si="581"/>
        <v/>
      </c>
      <c r="B2839" s="2261" t="s">
        <v>1610</v>
      </c>
      <c r="C2839" s="2258"/>
      <c r="D2839" s="2152">
        <v>0</v>
      </c>
      <c r="E2839" s="2194" t="s">
        <v>2649</v>
      </c>
      <c r="F2839" s="2152" t="s">
        <v>2385</v>
      </c>
      <c r="G2839" s="2269">
        <f>G2835*2</f>
        <v>0</v>
      </c>
      <c r="H2839" s="2264">
        <v>25400</v>
      </c>
      <c r="I2839" s="2264">
        <v>0</v>
      </c>
      <c r="J2839" s="2264">
        <v>0</v>
      </c>
      <c r="K2839" s="2264"/>
      <c r="L2839" s="2264">
        <f t="shared" si="575"/>
        <v>0</v>
      </c>
      <c r="M2839" s="2264"/>
      <c r="N2839" s="2264"/>
      <c r="O2839" s="2264"/>
      <c r="P2839" s="2389"/>
      <c r="Q2839" s="2266"/>
      <c r="R2839" s="2266"/>
      <c r="S2839" s="2266"/>
    </row>
    <row r="2840" spans="1:19" s="2105" customFormat="1" outlineLevel="1">
      <c r="A2840" s="2182" t="str">
        <f t="shared" si="581"/>
        <v/>
      </c>
      <c r="B2840" s="2261" t="s">
        <v>1786</v>
      </c>
      <c r="C2840" s="2258"/>
      <c r="D2840" s="2152">
        <v>0</v>
      </c>
      <c r="E2840" s="2194" t="s">
        <v>2639</v>
      </c>
      <c r="F2840" s="2152" t="s">
        <v>2385</v>
      </c>
      <c r="G2840" s="2269">
        <f>G2835*4</f>
        <v>0</v>
      </c>
      <c r="H2840" s="2264">
        <v>12400</v>
      </c>
      <c r="I2840" s="2264">
        <v>0</v>
      </c>
      <c r="J2840" s="2264">
        <v>0</v>
      </c>
      <c r="K2840" s="2264"/>
      <c r="L2840" s="2264">
        <f t="shared" si="575"/>
        <v>0</v>
      </c>
      <c r="M2840" s="2264"/>
      <c r="N2840" s="2264"/>
      <c r="O2840" s="2264"/>
      <c r="P2840" s="2389"/>
      <c r="Q2840" s="2266"/>
      <c r="R2840" s="2266"/>
      <c r="S2840" s="2266"/>
    </row>
    <row r="2841" spans="1:19" s="2105" customFormat="1" outlineLevel="1">
      <c r="A2841" s="2182" t="str">
        <f t="shared" si="581"/>
        <v/>
      </c>
      <c r="B2841" s="2261" t="s">
        <v>1784</v>
      </c>
      <c r="C2841" s="2258"/>
      <c r="D2841" s="2152">
        <v>0</v>
      </c>
      <c r="E2841" s="2194" t="s">
        <v>2660</v>
      </c>
      <c r="F2841" s="2152" t="s">
        <v>2385</v>
      </c>
      <c r="G2841" s="2269">
        <f>G2835*4</f>
        <v>0</v>
      </c>
      <c r="H2841" s="2264">
        <v>31800</v>
      </c>
      <c r="I2841" s="2264">
        <v>0</v>
      </c>
      <c r="J2841" s="2264">
        <v>0</v>
      </c>
      <c r="K2841" s="2264">
        <v>0</v>
      </c>
      <c r="L2841" s="2264">
        <f t="shared" si="575"/>
        <v>0</v>
      </c>
      <c r="M2841" s="2264">
        <f>I2841*G2841</f>
        <v>0</v>
      </c>
      <c r="N2841" s="2264">
        <f>J2841*G2841</f>
        <v>0</v>
      </c>
      <c r="O2841" s="2264">
        <f>K2841*G2841</f>
        <v>0</v>
      </c>
      <c r="P2841" s="2389"/>
      <c r="Q2841" s="2266"/>
      <c r="R2841" s="2266"/>
      <c r="S2841" s="2266"/>
    </row>
    <row r="2842" spans="1:19" s="2105" customFormat="1" outlineLevel="1">
      <c r="A2842" s="2182" t="str">
        <f t="shared" si="581"/>
        <v/>
      </c>
      <c r="B2842" s="2261" t="s">
        <v>517</v>
      </c>
      <c r="C2842" s="2258"/>
      <c r="D2842" s="2152" t="s">
        <v>5430</v>
      </c>
      <c r="E2842" s="2194" t="s">
        <v>3173</v>
      </c>
      <c r="F2842" s="2152" t="s">
        <v>2385</v>
      </c>
      <c r="G2842" s="2269">
        <f>G2835</f>
        <v>0</v>
      </c>
      <c r="H2842" s="2264">
        <v>0</v>
      </c>
      <c r="I2842" s="2264"/>
      <c r="J2842" s="2264" t="s">
        <v>6391</v>
      </c>
      <c r="K2842" s="2264"/>
      <c r="L2842" s="2264">
        <f t="shared" si="575"/>
        <v>0</v>
      </c>
      <c r="M2842" s="2264"/>
      <c r="N2842" s="2264">
        <v>0</v>
      </c>
      <c r="O2842" s="2264"/>
      <c r="P2842" s="2389"/>
      <c r="Q2842" s="2266"/>
      <c r="R2842" s="2266"/>
      <c r="S2842" s="2266"/>
    </row>
    <row r="2843" spans="1:19" s="2105" customFormat="1" outlineLevel="1">
      <c r="A2843" s="2182" t="str">
        <f t="shared" si="581"/>
        <v/>
      </c>
      <c r="B2843" s="2261"/>
      <c r="C2843" s="2258">
        <f>IF(G2843&gt;0,C2835+1,C2835)</f>
        <v>0</v>
      </c>
      <c r="D2843" s="2259"/>
      <c r="E2843" s="2417" t="s">
        <v>6239</v>
      </c>
      <c r="F2843" s="2258" t="s">
        <v>2385</v>
      </c>
      <c r="G2843" s="2263">
        <f>G2793*1*0</f>
        <v>0</v>
      </c>
      <c r="H2843" s="2264"/>
      <c r="I2843" s="2264"/>
      <c r="J2843" s="2264"/>
      <c r="K2843" s="2264"/>
      <c r="L2843" s="2264">
        <f t="shared" si="575"/>
        <v>0</v>
      </c>
      <c r="M2843" s="2264">
        <f>I2843*G2843</f>
        <v>0</v>
      </c>
      <c r="N2843" s="2264">
        <f>J2843*G2843</f>
        <v>0</v>
      </c>
      <c r="O2843" s="2264">
        <f>K2843*G2843</f>
        <v>0</v>
      </c>
      <c r="P2843" s="2389"/>
      <c r="Q2843" s="2266"/>
      <c r="R2843" s="2266"/>
      <c r="S2843" s="2266"/>
    </row>
    <row r="2844" spans="1:19" s="2105" customFormat="1" ht="14.4" outlineLevel="1">
      <c r="A2844" s="2182" t="str">
        <f>A2843</f>
        <v/>
      </c>
      <c r="B2844" s="2261"/>
      <c r="C2844" s="2258"/>
      <c r="D2844" s="2259"/>
      <c r="E2844" s="2267" t="s">
        <v>6133</v>
      </c>
      <c r="F2844" s="2268"/>
      <c r="G2844" s="2269"/>
      <c r="H2844" s="2264"/>
      <c r="I2844" s="2264"/>
      <c r="J2844" s="2264"/>
      <c r="K2844" s="2264"/>
      <c r="L2844" s="2264">
        <f t="shared" si="575"/>
        <v>0</v>
      </c>
      <c r="M2844" s="2264">
        <f>I2844*G2844</f>
        <v>0</v>
      </c>
      <c r="N2844" s="2264">
        <f>J2844*G2844</f>
        <v>0</v>
      </c>
      <c r="O2844" s="2264">
        <f>K2844*G2844</f>
        <v>0</v>
      </c>
      <c r="P2844" s="2389"/>
      <c r="Q2844" s="2266"/>
      <c r="R2844" s="2266"/>
      <c r="S2844" s="2266"/>
    </row>
    <row r="2845" spans="1:19" s="2105" customFormat="1" outlineLevel="1">
      <c r="A2845" s="2182" t="str">
        <f t="shared" ref="A2845:A2852" si="582">IF(G2845&lt;&gt;0,1,"")</f>
        <v/>
      </c>
      <c r="B2845" s="2261" t="s">
        <v>2022</v>
      </c>
      <c r="C2845" s="2258"/>
      <c r="D2845" s="2152">
        <v>0</v>
      </c>
      <c r="E2845" s="2194" t="s">
        <v>2437</v>
      </c>
      <c r="F2845" s="2152" t="s">
        <v>2248</v>
      </c>
      <c r="G2845" s="2270">
        <f>G2843*9.02*(2.4+4*0.07)</f>
        <v>0</v>
      </c>
      <c r="H2845" s="2264">
        <v>31625</v>
      </c>
      <c r="I2845" s="2264"/>
      <c r="J2845" s="2264">
        <v>0</v>
      </c>
      <c r="K2845" s="2264"/>
      <c r="L2845" s="2264">
        <f t="shared" si="575"/>
        <v>0</v>
      </c>
      <c r="M2845" s="2264"/>
      <c r="N2845" s="2264"/>
      <c r="O2845" s="2264"/>
      <c r="P2845" s="2389"/>
      <c r="Q2845" s="2266"/>
      <c r="R2845" s="2266"/>
      <c r="S2845" s="2266"/>
    </row>
    <row r="2846" spans="1:19" s="2105" customFormat="1" outlineLevel="1">
      <c r="A2846" s="2182" t="str">
        <f t="shared" si="582"/>
        <v/>
      </c>
      <c r="B2846" s="2261" t="s">
        <v>1035</v>
      </c>
      <c r="C2846" s="2258"/>
      <c r="D2846" s="2152">
        <v>0</v>
      </c>
      <c r="E2846" s="2194" t="s">
        <v>6374</v>
      </c>
      <c r="F2846" s="2152" t="s">
        <v>2248</v>
      </c>
      <c r="G2846" s="2270">
        <f>G2843*3.77*0.81*2</f>
        <v>0</v>
      </c>
      <c r="H2846" s="2264">
        <v>31625</v>
      </c>
      <c r="I2846" s="2264"/>
      <c r="J2846" s="2264">
        <v>0</v>
      </c>
      <c r="K2846" s="2264"/>
      <c r="L2846" s="2264">
        <f t="shared" si="575"/>
        <v>0</v>
      </c>
      <c r="M2846" s="2264"/>
      <c r="N2846" s="2264"/>
      <c r="O2846" s="2264"/>
      <c r="P2846" s="2389"/>
      <c r="Q2846" s="2266"/>
      <c r="R2846" s="2266"/>
      <c r="S2846" s="2266"/>
    </row>
    <row r="2847" spans="1:19" s="2105" customFormat="1" outlineLevel="1">
      <c r="A2847" s="2182" t="str">
        <f t="shared" si="582"/>
        <v/>
      </c>
      <c r="B2847" s="2261" t="s">
        <v>1079</v>
      </c>
      <c r="C2847" s="2258"/>
      <c r="D2847" s="2152">
        <v>0</v>
      </c>
      <c r="E2847" s="2194" t="s">
        <v>2651</v>
      </c>
      <c r="F2847" s="2152" t="s">
        <v>2385</v>
      </c>
      <c r="G2847" s="2269">
        <f>G2843*2</f>
        <v>0</v>
      </c>
      <c r="H2847" s="2264">
        <v>27900</v>
      </c>
      <c r="I2847" s="2264">
        <v>0</v>
      </c>
      <c r="J2847" s="2264">
        <v>0</v>
      </c>
      <c r="K2847" s="2264"/>
      <c r="L2847" s="2264">
        <f t="shared" si="575"/>
        <v>0</v>
      </c>
      <c r="M2847" s="2264"/>
      <c r="N2847" s="2264"/>
      <c r="O2847" s="2264"/>
      <c r="P2847" s="2389"/>
      <c r="Q2847" s="2266"/>
      <c r="R2847" s="2266"/>
      <c r="S2847" s="2266"/>
    </row>
    <row r="2848" spans="1:19" s="2105" customFormat="1" outlineLevel="1">
      <c r="A2848" s="2182" t="str">
        <f t="shared" si="582"/>
        <v/>
      </c>
      <c r="B2848" s="2261" t="s">
        <v>1786</v>
      </c>
      <c r="C2848" s="2258"/>
      <c r="D2848" s="2152">
        <v>0</v>
      </c>
      <c r="E2848" s="2194" t="s">
        <v>2639</v>
      </c>
      <c r="F2848" s="2152" t="s">
        <v>2385</v>
      </c>
      <c r="G2848" s="2269">
        <f>G2843*2</f>
        <v>0</v>
      </c>
      <c r="H2848" s="2264">
        <v>12400</v>
      </c>
      <c r="I2848" s="2264">
        <v>0</v>
      </c>
      <c r="J2848" s="2264">
        <v>0</v>
      </c>
      <c r="K2848" s="2264"/>
      <c r="L2848" s="2264">
        <f t="shared" si="575"/>
        <v>0</v>
      </c>
      <c r="M2848" s="2264"/>
      <c r="N2848" s="2264"/>
      <c r="O2848" s="2264"/>
      <c r="P2848" s="2389"/>
      <c r="Q2848" s="2266"/>
      <c r="R2848" s="2266"/>
      <c r="S2848" s="2266"/>
    </row>
    <row r="2849" spans="1:19" s="2105" customFormat="1" outlineLevel="1">
      <c r="A2849" s="2182" t="str">
        <f t="shared" si="582"/>
        <v/>
      </c>
      <c r="B2849" s="2261" t="s">
        <v>1735</v>
      </c>
      <c r="C2849" s="2258"/>
      <c r="D2849" s="2152">
        <v>0</v>
      </c>
      <c r="E2849" s="2194" t="s">
        <v>2691</v>
      </c>
      <c r="F2849" s="2152" t="s">
        <v>2385</v>
      </c>
      <c r="G2849" s="2269">
        <f>IF(G2843&gt;0,3,)</f>
        <v>0</v>
      </c>
      <c r="H2849" s="2264">
        <v>34000</v>
      </c>
      <c r="I2849" s="2264">
        <v>0</v>
      </c>
      <c r="J2849" s="2264">
        <v>0</v>
      </c>
      <c r="K2849" s="2264"/>
      <c r="L2849" s="2264">
        <f t="shared" si="575"/>
        <v>0</v>
      </c>
      <c r="M2849" s="2264"/>
      <c r="N2849" s="2264"/>
      <c r="O2849" s="2264"/>
      <c r="P2849" s="2389"/>
      <c r="Q2849" s="2266"/>
      <c r="R2849" s="2266"/>
      <c r="S2849" s="2266"/>
    </row>
    <row r="2850" spans="1:19" s="2105" customFormat="1" outlineLevel="1">
      <c r="A2850" s="2182" t="str">
        <f t="shared" si="582"/>
        <v/>
      </c>
      <c r="B2850" s="2261" t="s">
        <v>988</v>
      </c>
      <c r="C2850" s="2258"/>
      <c r="D2850" s="2152">
        <v>0</v>
      </c>
      <c r="E2850" s="2194" t="s">
        <v>5270</v>
      </c>
      <c r="F2850" s="2152" t="s">
        <v>2385</v>
      </c>
      <c r="G2850" s="2269">
        <f>G2843*0</f>
        <v>0</v>
      </c>
      <c r="H2850" s="2264">
        <v>178900</v>
      </c>
      <c r="I2850" s="2264">
        <v>0</v>
      </c>
      <c r="J2850" s="2264">
        <v>0</v>
      </c>
      <c r="K2850" s="2264"/>
      <c r="L2850" s="2264">
        <f t="shared" si="575"/>
        <v>0</v>
      </c>
      <c r="M2850" s="2264"/>
      <c r="N2850" s="2264"/>
      <c r="O2850" s="2264"/>
      <c r="P2850" s="2389"/>
      <c r="Q2850" s="2266"/>
      <c r="R2850" s="2266"/>
      <c r="S2850" s="2266"/>
    </row>
    <row r="2851" spans="1:19" s="2105" customFormat="1" outlineLevel="1">
      <c r="A2851" s="2182" t="str">
        <f t="shared" si="582"/>
        <v/>
      </c>
      <c r="B2851" s="2261" t="s">
        <v>1440</v>
      </c>
      <c r="C2851" s="2258"/>
      <c r="D2851" s="2152" t="s">
        <v>5421</v>
      </c>
      <c r="E2851" s="2194" t="s">
        <v>5422</v>
      </c>
      <c r="F2851" s="2152" t="s">
        <v>2385</v>
      </c>
      <c r="G2851" s="2269">
        <f>G2843</f>
        <v>0</v>
      </c>
      <c r="H2851" s="2264">
        <v>0</v>
      </c>
      <c r="I2851" s="2264"/>
      <c r="J2851" s="2264" t="s">
        <v>6391</v>
      </c>
      <c r="K2851" s="2264"/>
      <c r="L2851" s="2264">
        <f t="shared" si="575"/>
        <v>0</v>
      </c>
      <c r="M2851" s="2264"/>
      <c r="N2851" s="2264">
        <v>0</v>
      </c>
      <c r="O2851" s="2264"/>
      <c r="P2851" s="2389"/>
      <c r="Q2851" s="2266"/>
      <c r="R2851" s="2266"/>
      <c r="S2851" s="2266"/>
    </row>
    <row r="2852" spans="1:19" s="2105" customFormat="1" outlineLevel="1">
      <c r="A2852" s="2182" t="str">
        <f t="shared" si="582"/>
        <v/>
      </c>
      <c r="B2852" s="2261"/>
      <c r="C2852" s="2258">
        <f>IF(G2852&gt;0,C2843+1,C2843)</f>
        <v>0</v>
      </c>
      <c r="D2852" s="2259"/>
      <c r="E2852" s="2417" t="s">
        <v>3720</v>
      </c>
      <c r="F2852" s="2258" t="s">
        <v>2385</v>
      </c>
      <c r="G2852" s="2263">
        <f>G2793</f>
        <v>0</v>
      </c>
      <c r="H2852" s="2264"/>
      <c r="I2852" s="2264"/>
      <c r="J2852" s="2264"/>
      <c r="K2852" s="2264"/>
      <c r="L2852" s="2264">
        <f t="shared" si="575"/>
        <v>0</v>
      </c>
      <c r="M2852" s="2264">
        <f>I2852*G2852</f>
        <v>0</v>
      </c>
      <c r="N2852" s="2264">
        <f t="shared" ref="N2852:N2860" si="583">J2852*G2852</f>
        <v>0</v>
      </c>
      <c r="O2852" s="2264">
        <f>K2852*G2852</f>
        <v>0</v>
      </c>
      <c r="P2852" s="2389"/>
      <c r="Q2852" s="2266"/>
      <c r="R2852" s="2266"/>
      <c r="S2852" s="2266"/>
    </row>
    <row r="2853" spans="1:19" s="2105" customFormat="1" ht="14.4" outlineLevel="1">
      <c r="A2853" s="2182" t="str">
        <f>+A2852</f>
        <v/>
      </c>
      <c r="B2853" s="2418"/>
      <c r="C2853" s="2258"/>
      <c r="D2853" s="2259"/>
      <c r="E2853" s="2267" t="s">
        <v>6133</v>
      </c>
      <c r="F2853" s="2268"/>
      <c r="G2853" s="2269"/>
      <c r="H2853" s="2264"/>
      <c r="I2853" s="2264"/>
      <c r="J2853" s="2264"/>
      <c r="K2853" s="2264"/>
      <c r="L2853" s="2264">
        <f t="shared" si="575"/>
        <v>0</v>
      </c>
      <c r="M2853" s="2264">
        <f>I2853*G2853</f>
        <v>0</v>
      </c>
      <c r="N2853" s="2264">
        <f t="shared" si="583"/>
        <v>0</v>
      </c>
      <c r="O2853" s="2264">
        <f>K2853*G2853</f>
        <v>0</v>
      </c>
      <c r="P2853" s="2389"/>
      <c r="Q2853" s="2266"/>
      <c r="R2853" s="2266"/>
      <c r="S2853" s="2266"/>
    </row>
    <row r="2854" spans="1:19" s="2105" customFormat="1" outlineLevel="1">
      <c r="A2854" s="2182" t="str">
        <f t="shared" ref="A2854:A2860" si="584">IF(G2854&lt;&gt;0,1,"")</f>
        <v/>
      </c>
      <c r="B2854" s="2261" t="s">
        <v>1033</v>
      </c>
      <c r="C2854" s="2258"/>
      <c r="D2854" s="2152">
        <v>0</v>
      </c>
      <c r="E2854" s="2194" t="s">
        <v>2700</v>
      </c>
      <c r="F2854" s="2152" t="s">
        <v>2248</v>
      </c>
      <c r="G2854" s="2270">
        <f>$H$3*0.224*G2852</f>
        <v>0</v>
      </c>
      <c r="H2854" s="2264">
        <v>255500</v>
      </c>
      <c r="I2854" s="2264"/>
      <c r="J2854" s="2264">
        <v>0</v>
      </c>
      <c r="K2854" s="2264">
        <v>0</v>
      </c>
      <c r="L2854" s="2264">
        <f t="shared" si="575"/>
        <v>0</v>
      </c>
      <c r="M2854" s="2264">
        <f>I2854*G2854</f>
        <v>0</v>
      </c>
      <c r="N2854" s="2264">
        <f t="shared" si="583"/>
        <v>0</v>
      </c>
      <c r="O2854" s="2264">
        <f>K2854*G2854</f>
        <v>0</v>
      </c>
      <c r="P2854" s="2389"/>
      <c r="Q2854" s="2266"/>
      <c r="R2854" s="2266"/>
      <c r="S2854" s="2266"/>
    </row>
    <row r="2855" spans="1:19" s="2105" customFormat="1" outlineLevel="1">
      <c r="A2855" s="2182" t="str">
        <f t="shared" si="584"/>
        <v/>
      </c>
      <c r="B2855" s="2252" t="s">
        <v>1508</v>
      </c>
      <c r="C2855" s="2258"/>
      <c r="D2855" s="2152">
        <v>0</v>
      </c>
      <c r="E2855" s="2194" t="s">
        <v>5163</v>
      </c>
      <c r="F2855" s="2152" t="s">
        <v>2439</v>
      </c>
      <c r="G2855" s="2269">
        <f>$H$2*G2852</f>
        <v>0</v>
      </c>
      <c r="H2855" s="2264">
        <v>160000</v>
      </c>
      <c r="I2855" s="2264"/>
      <c r="J2855" s="2264">
        <v>0</v>
      </c>
      <c r="K2855" s="2264">
        <v>0</v>
      </c>
      <c r="L2855" s="2264">
        <f t="shared" si="575"/>
        <v>0</v>
      </c>
      <c r="M2855" s="2264">
        <f>I2855*G2855</f>
        <v>0</v>
      </c>
      <c r="N2855" s="2264">
        <f t="shared" si="583"/>
        <v>0</v>
      </c>
      <c r="O2855" s="2264">
        <f>K2855*G2855</f>
        <v>0</v>
      </c>
      <c r="P2855" s="2389"/>
      <c r="Q2855" s="2266"/>
      <c r="R2855" s="2266"/>
      <c r="S2855" s="2266"/>
    </row>
    <row r="2856" spans="1:19" s="2105" customFormat="1" outlineLevel="1">
      <c r="A2856" s="2182" t="str">
        <f t="shared" si="584"/>
        <v/>
      </c>
      <c r="B2856" s="2252" t="s">
        <v>1490</v>
      </c>
      <c r="C2856" s="2258"/>
      <c r="D2856" s="2152">
        <v>0</v>
      </c>
      <c r="E2856" s="2194" t="s">
        <v>3536</v>
      </c>
      <c r="F2856" s="2152" t="s">
        <v>1823</v>
      </c>
      <c r="G2856" s="2269">
        <f>G2852*3*0</f>
        <v>0</v>
      </c>
      <c r="H2856" s="2264">
        <v>6200</v>
      </c>
      <c r="I2856" s="2264"/>
      <c r="J2856" s="2264">
        <v>0</v>
      </c>
      <c r="K2856" s="2264">
        <v>0</v>
      </c>
      <c r="L2856" s="2264">
        <f t="shared" si="575"/>
        <v>0</v>
      </c>
      <c r="M2856" s="2264">
        <f>I2856*G2856</f>
        <v>0</v>
      </c>
      <c r="N2856" s="2264">
        <f t="shared" si="583"/>
        <v>0</v>
      </c>
      <c r="O2856" s="2264">
        <f>K2856*G2856</f>
        <v>0</v>
      </c>
      <c r="P2856" s="2265"/>
      <c r="Q2856" s="2266"/>
      <c r="R2856" s="2266"/>
      <c r="S2856" s="2266"/>
    </row>
    <row r="2857" spans="1:19" s="2105" customFormat="1" outlineLevel="1">
      <c r="A2857" s="2182" t="str">
        <f t="shared" si="584"/>
        <v/>
      </c>
      <c r="B2857" s="2261" t="s">
        <v>1579</v>
      </c>
      <c r="C2857" s="2258"/>
      <c r="D2857" s="2152">
        <v>0</v>
      </c>
      <c r="E2857" s="2194" t="s">
        <v>2873</v>
      </c>
      <c r="F2857" s="2152" t="s">
        <v>2555</v>
      </c>
      <c r="G2857" s="2269">
        <f>2*G2852</f>
        <v>0</v>
      </c>
      <c r="H2857" s="2264">
        <v>8000</v>
      </c>
      <c r="I2857" s="2264"/>
      <c r="J2857" s="2264">
        <v>0</v>
      </c>
      <c r="K2857" s="2264"/>
      <c r="L2857" s="2264">
        <f t="shared" si="575"/>
        <v>0</v>
      </c>
      <c r="M2857" s="2264"/>
      <c r="N2857" s="2264">
        <f t="shared" si="583"/>
        <v>0</v>
      </c>
      <c r="O2857" s="2264"/>
      <c r="P2857" s="2389"/>
      <c r="Q2857" s="2266"/>
      <c r="R2857" s="2266"/>
      <c r="S2857" s="2266"/>
    </row>
    <row r="2858" spans="1:19" s="2105" customFormat="1" outlineLevel="1">
      <c r="A2858" s="2182" t="str">
        <f t="shared" si="584"/>
        <v/>
      </c>
      <c r="B2858" s="2261" t="s">
        <v>816</v>
      </c>
      <c r="C2858" s="2258"/>
      <c r="D2858" s="2152">
        <v>0</v>
      </c>
      <c r="E2858" s="2194" t="s">
        <v>3581</v>
      </c>
      <c r="F2858" s="2152" t="s">
        <v>2555</v>
      </c>
      <c r="G2858" s="2269">
        <f>IF(G2855&lt;=12,15,21)*G2852</f>
        <v>0</v>
      </c>
      <c r="H2858" s="2264">
        <v>17600</v>
      </c>
      <c r="I2858" s="2264"/>
      <c r="J2858" s="2264">
        <v>0</v>
      </c>
      <c r="K2858" s="2264"/>
      <c r="L2858" s="2264">
        <f t="shared" si="575"/>
        <v>0</v>
      </c>
      <c r="M2858" s="2264"/>
      <c r="N2858" s="2264">
        <f t="shared" si="583"/>
        <v>0</v>
      </c>
      <c r="O2858" s="2264"/>
      <c r="P2858" s="2389"/>
      <c r="Q2858" s="2266"/>
      <c r="R2858" s="2266"/>
      <c r="S2858" s="2266"/>
    </row>
    <row r="2859" spans="1:19" s="2105" customFormat="1" outlineLevel="1">
      <c r="A2859" s="2182" t="str">
        <f t="shared" si="584"/>
        <v/>
      </c>
      <c r="B2859" s="2252" t="s">
        <v>525</v>
      </c>
      <c r="C2859" s="2258"/>
      <c r="D2859" s="2152">
        <v>0</v>
      </c>
      <c r="E2859" s="2194" t="s">
        <v>5252</v>
      </c>
      <c r="F2859" s="2152" t="s">
        <v>2439</v>
      </c>
      <c r="G2859" s="2269">
        <f>+G2852*2*0</f>
        <v>0</v>
      </c>
      <c r="H2859" s="2264">
        <v>43000</v>
      </c>
      <c r="I2859" s="2264"/>
      <c r="J2859" s="2264">
        <v>0</v>
      </c>
      <c r="K2859" s="2264">
        <v>0</v>
      </c>
      <c r="L2859" s="2264">
        <f t="shared" si="575"/>
        <v>0</v>
      </c>
      <c r="M2859" s="2264">
        <f>I2859*G2859</f>
        <v>0</v>
      </c>
      <c r="N2859" s="2264">
        <f t="shared" si="583"/>
        <v>0</v>
      </c>
      <c r="O2859" s="2264">
        <f>K2859*G2859</f>
        <v>0</v>
      </c>
      <c r="P2859" s="2265"/>
      <c r="Q2859" s="2266"/>
      <c r="R2859" s="2266"/>
      <c r="S2859" s="2266"/>
    </row>
    <row r="2860" spans="1:19" s="2105" customFormat="1" outlineLevel="1">
      <c r="A2860" s="2182" t="str">
        <f t="shared" si="584"/>
        <v/>
      </c>
      <c r="B2860" s="2252" t="s">
        <v>1585</v>
      </c>
      <c r="C2860" s="2258"/>
      <c r="D2860" s="2152">
        <v>0</v>
      </c>
      <c r="E2860" s="2194" t="s">
        <v>5713</v>
      </c>
      <c r="F2860" s="2152" t="s">
        <v>3445</v>
      </c>
      <c r="G2860" s="2269">
        <f>$L$3*G2852</f>
        <v>0</v>
      </c>
      <c r="H2860" s="2264">
        <v>0</v>
      </c>
      <c r="I2860" s="2264"/>
      <c r="J2860" s="2264">
        <v>1500000</v>
      </c>
      <c r="K2860" s="2264">
        <v>0</v>
      </c>
      <c r="L2860" s="2264">
        <f t="shared" si="575"/>
        <v>0</v>
      </c>
      <c r="M2860" s="2264">
        <f>I2860*G2860</f>
        <v>0</v>
      </c>
      <c r="N2860" s="2264">
        <f t="shared" si="583"/>
        <v>0</v>
      </c>
      <c r="O2860" s="2264">
        <f>K2860*G2860</f>
        <v>0</v>
      </c>
      <c r="P2860" s="2389"/>
      <c r="Q2860" s="2266"/>
      <c r="R2860" s="2266"/>
      <c r="S2860" s="2266"/>
    </row>
    <row r="2861" spans="1:19" s="2105" customFormat="1" outlineLevel="1">
      <c r="A2861" s="2182">
        <f>IF(G2861=0,0,1)</f>
        <v>0</v>
      </c>
      <c r="B2861" s="2252" t="s">
        <v>794</v>
      </c>
      <c r="C2861" s="2268"/>
      <c r="D2861" s="2152" t="s">
        <v>5336</v>
      </c>
      <c r="E2861" s="2194" t="s">
        <v>3068</v>
      </c>
      <c r="F2861" s="2152" t="s">
        <v>856</v>
      </c>
      <c r="G2861" s="2420">
        <f>+G2852*H4</f>
        <v>0</v>
      </c>
      <c r="H2861" s="2264">
        <v>0</v>
      </c>
      <c r="I2861" s="2264"/>
      <c r="J2861" s="2264">
        <v>283749.75</v>
      </c>
      <c r="K2861" s="2264">
        <v>0</v>
      </c>
      <c r="L2861" s="2264">
        <f t="shared" ref="L2861:O2862" si="585">H2861*$G2861</f>
        <v>0</v>
      </c>
      <c r="M2861" s="2264">
        <f t="shared" si="585"/>
        <v>0</v>
      </c>
      <c r="N2861" s="2264">
        <f t="shared" si="585"/>
        <v>0</v>
      </c>
      <c r="O2861" s="2264">
        <f t="shared" si="585"/>
        <v>0</v>
      </c>
      <c r="P2861" s="2389"/>
      <c r="Q2861" s="2266"/>
      <c r="R2861" s="2266"/>
      <c r="S2861" s="2266"/>
    </row>
    <row r="2862" spans="1:19" s="2105" customFormat="1" outlineLevel="1">
      <c r="A2862" s="2182">
        <f>IF(G2862=0,0,1)</f>
        <v>0</v>
      </c>
      <c r="B2862" s="2252" t="s">
        <v>798</v>
      </c>
      <c r="C2862" s="2268"/>
      <c r="D2862" s="2152" t="s">
        <v>5325</v>
      </c>
      <c r="E2862" s="2194" t="s">
        <v>5337</v>
      </c>
      <c r="F2862" s="2152" t="s">
        <v>856</v>
      </c>
      <c r="G2862" s="2420">
        <f>G2861</f>
        <v>0</v>
      </c>
      <c r="H2862" s="2264">
        <v>0</v>
      </c>
      <c r="I2862" s="2264"/>
      <c r="J2862" s="2264">
        <v>117703.6</v>
      </c>
      <c r="K2862" s="2264">
        <v>0</v>
      </c>
      <c r="L2862" s="2264">
        <f t="shared" si="585"/>
        <v>0</v>
      </c>
      <c r="M2862" s="2264">
        <f t="shared" si="585"/>
        <v>0</v>
      </c>
      <c r="N2862" s="2264">
        <f t="shared" si="585"/>
        <v>0</v>
      </c>
      <c r="O2862" s="2264">
        <f t="shared" si="585"/>
        <v>0</v>
      </c>
      <c r="P2862" s="2389"/>
      <c r="Q2862" s="2266"/>
      <c r="R2862" s="2266"/>
      <c r="S2862" s="2266"/>
    </row>
    <row r="2863" spans="1:19" s="2105" customFormat="1" outlineLevel="1">
      <c r="A2863" s="2182">
        <f>IF(G2863=0,0,1)</f>
        <v>0</v>
      </c>
      <c r="B2863" s="2252" t="s">
        <v>902</v>
      </c>
      <c r="C2863" s="2268"/>
      <c r="D2863" s="2152" t="s">
        <v>5351</v>
      </c>
      <c r="E2863" s="2194" t="s">
        <v>5352</v>
      </c>
      <c r="F2863" s="2152" t="s">
        <v>2278</v>
      </c>
      <c r="G2863" s="2389">
        <f>G2855</f>
        <v>0</v>
      </c>
      <c r="H2863" s="2264">
        <v>0</v>
      </c>
      <c r="I2863" s="2264"/>
      <c r="J2863" s="2264" t="s">
        <v>6312</v>
      </c>
      <c r="K2863" s="2264">
        <v>0</v>
      </c>
      <c r="L2863" s="2264">
        <f>H2863*$G2863</f>
        <v>0</v>
      </c>
      <c r="M2863" s="2264">
        <f>I2863*$G2863</f>
        <v>0</v>
      </c>
      <c r="N2863" s="2264">
        <v>0</v>
      </c>
      <c r="O2863" s="2264">
        <f>K2863*$G2863</f>
        <v>0</v>
      </c>
      <c r="P2863" s="2389"/>
      <c r="Q2863" s="2266"/>
      <c r="R2863" s="2266"/>
      <c r="S2863" s="2266"/>
    </row>
    <row r="2864" spans="1:19" s="2105" customFormat="1" outlineLevel="1">
      <c r="A2864" s="2182" t="str">
        <f>IF(G2864&lt;&gt;0,1,"")</f>
        <v/>
      </c>
      <c r="B2864" s="2252" t="s">
        <v>1437</v>
      </c>
      <c r="C2864" s="2258"/>
      <c r="D2864" s="2152" t="s">
        <v>5346</v>
      </c>
      <c r="E2864" s="2194" t="s">
        <v>5347</v>
      </c>
      <c r="F2864" s="2152" t="s">
        <v>2532</v>
      </c>
      <c r="G2864" s="2269">
        <f>G2852*$H$3</f>
        <v>0</v>
      </c>
      <c r="H2864" s="2264">
        <v>0</v>
      </c>
      <c r="I2864" s="2264"/>
      <c r="J2864" s="2264">
        <v>8070.7000000000007</v>
      </c>
      <c r="K2864" s="2264">
        <v>2044.9974999999999</v>
      </c>
      <c r="L2864" s="2264">
        <f>H2864*G2864</f>
        <v>0</v>
      </c>
      <c r="M2864" s="2264">
        <f>I2864*G2864</f>
        <v>0</v>
      </c>
      <c r="N2864" s="2264">
        <f>J2864*G2864</f>
        <v>0</v>
      </c>
      <c r="O2864" s="2264">
        <f>K2864*G2864</f>
        <v>0</v>
      </c>
      <c r="P2864" s="2389"/>
      <c r="Q2864" s="2266"/>
      <c r="R2864" s="2266"/>
      <c r="S2864" s="2266"/>
    </row>
    <row r="2865" spans="1:19" s="2105" customFormat="1" outlineLevel="1">
      <c r="A2865" s="2182" t="str">
        <f>IF(G2865&lt;&gt;0,1,"")</f>
        <v/>
      </c>
      <c r="B2865" s="2261"/>
      <c r="C2865" s="2258">
        <f>IF(G2865&gt;0,C2852+1,C2852)</f>
        <v>0</v>
      </c>
      <c r="D2865" s="2259"/>
      <c r="E2865" s="2376" t="s">
        <v>6209</v>
      </c>
      <c r="F2865" s="2258" t="s">
        <v>2385</v>
      </c>
      <c r="G2865" s="2263">
        <f>G2793</f>
        <v>0</v>
      </c>
      <c r="H2865" s="2264"/>
      <c r="I2865" s="2264"/>
      <c r="J2865" s="2264"/>
      <c r="K2865" s="2264"/>
      <c r="L2865" s="2264">
        <f>H2865*G2865</f>
        <v>0</v>
      </c>
      <c r="M2865" s="2264">
        <f>I2865*G2865</f>
        <v>0</v>
      </c>
      <c r="N2865" s="2264">
        <f>J2865*G2865</f>
        <v>0</v>
      </c>
      <c r="O2865" s="2264">
        <f>K2865*G2865</f>
        <v>0</v>
      </c>
      <c r="P2865" s="2389"/>
      <c r="Q2865" s="2266"/>
      <c r="R2865" s="2266"/>
      <c r="S2865" s="2266"/>
    </row>
    <row r="2866" spans="1:19" s="2105" customFormat="1" ht="14.4" outlineLevel="1">
      <c r="A2866" s="2182" t="str">
        <f>A2865</f>
        <v/>
      </c>
      <c r="B2866" s="2261"/>
      <c r="C2866" s="2258"/>
      <c r="D2866" s="2259"/>
      <c r="E2866" s="2267" t="s">
        <v>6133</v>
      </c>
      <c r="F2866" s="2268"/>
      <c r="G2866" s="2269"/>
      <c r="H2866" s="2264"/>
      <c r="I2866" s="2264"/>
      <c r="J2866" s="2264"/>
      <c r="K2866" s="2264"/>
      <c r="L2866" s="2264">
        <f>H2866*G2866</f>
        <v>0</v>
      </c>
      <c r="M2866" s="2264">
        <f>I2866*G2866</f>
        <v>0</v>
      </c>
      <c r="N2866" s="2264">
        <f>J2866*G2866</f>
        <v>0</v>
      </c>
      <c r="O2866" s="2264">
        <f>K2866*G2866</f>
        <v>0</v>
      </c>
      <c r="P2866" s="2389"/>
      <c r="Q2866" s="2266"/>
      <c r="R2866" s="2266"/>
      <c r="S2866" s="2266"/>
    </row>
    <row r="2867" spans="1:19" s="2105" customFormat="1" outlineLevel="1">
      <c r="A2867" s="2182" t="str">
        <f>IF(G2867&lt;&gt;0,1,"")</f>
        <v/>
      </c>
      <c r="B2867" s="2261" t="s">
        <v>5651</v>
      </c>
      <c r="C2867" s="2268"/>
      <c r="D2867" s="2152" t="s">
        <v>5633</v>
      </c>
      <c r="E2867" s="2194" t="s">
        <v>5652</v>
      </c>
      <c r="F2867" s="2152" t="s">
        <v>2555</v>
      </c>
      <c r="G2867" s="2269">
        <f>G2865</f>
        <v>0</v>
      </c>
      <c r="H2867" s="2264">
        <v>25000000</v>
      </c>
      <c r="I2867" s="2264"/>
      <c r="J2867" s="2264">
        <v>690091</v>
      </c>
      <c r="K2867" s="2264">
        <v>97369</v>
      </c>
      <c r="L2867" s="2264">
        <f>H2867*G2867</f>
        <v>0</v>
      </c>
      <c r="M2867" s="2264">
        <f>I2867*G2867</f>
        <v>0</v>
      </c>
      <c r="N2867" s="2264">
        <f>J2867*G2867</f>
        <v>0</v>
      </c>
      <c r="O2867" s="2264">
        <f>K2867*G2867</f>
        <v>0</v>
      </c>
      <c r="P2867" s="2389"/>
      <c r="Q2867" s="2266"/>
      <c r="R2867" s="2266"/>
      <c r="S2867" s="2266"/>
    </row>
    <row r="2868" spans="1:19" s="2105" customFormat="1" outlineLevel="1">
      <c r="A2868" s="2182" t="str">
        <f>IF(G2868&lt;&gt;0,1,"")</f>
        <v/>
      </c>
      <c r="B2868" s="2261" t="s">
        <v>880</v>
      </c>
      <c r="C2868" s="2258"/>
      <c r="D2868" s="2152">
        <v>0</v>
      </c>
      <c r="E2868" s="2194" t="s">
        <v>5799</v>
      </c>
      <c r="F2868" s="2152" t="s">
        <v>2555</v>
      </c>
      <c r="G2868" s="2263">
        <f>+G2865</f>
        <v>0</v>
      </c>
      <c r="H2868" s="2264">
        <v>284000</v>
      </c>
      <c r="I2868" s="2264"/>
      <c r="J2868" s="2264">
        <v>5404</v>
      </c>
      <c r="K2868" s="2264">
        <v>0</v>
      </c>
      <c r="L2868" s="2264">
        <f t="shared" ref="L2868:L2888" si="586">H2868*G2868</f>
        <v>0</v>
      </c>
      <c r="M2868" s="2264">
        <f t="shared" ref="M2868:M2888" si="587">I2868*G2868</f>
        <v>0</v>
      </c>
      <c r="N2868" s="2264">
        <f t="shared" ref="N2868:N2888" si="588">J2868*G2868</f>
        <v>0</v>
      </c>
      <c r="O2868" s="2264">
        <f t="shared" ref="O2868:O2888" si="589">K2868*G2868</f>
        <v>0</v>
      </c>
      <c r="P2868" s="2389"/>
      <c r="Q2868" s="2266"/>
      <c r="R2868" s="2266"/>
      <c r="S2868" s="2266"/>
    </row>
    <row r="2869" spans="1:19" s="2105" customFormat="1" outlineLevel="1">
      <c r="A2869" s="2182" t="str">
        <f>IF(G2869&lt;&gt;0,1,"")</f>
        <v/>
      </c>
      <c r="B2869" s="2261" t="s">
        <v>289</v>
      </c>
      <c r="C2869" s="2268"/>
      <c r="D2869" s="2152">
        <v>0</v>
      </c>
      <c r="E2869" s="2194" t="s">
        <v>5712</v>
      </c>
      <c r="F2869" s="2152" t="s">
        <v>2555</v>
      </c>
      <c r="G2869" s="2269">
        <f>G2865</f>
        <v>0</v>
      </c>
      <c r="H2869" s="2264">
        <v>300000</v>
      </c>
      <c r="I2869" s="2264"/>
      <c r="J2869" s="2264">
        <v>0</v>
      </c>
      <c r="K2869" s="2264">
        <v>0</v>
      </c>
      <c r="L2869" s="2264">
        <f t="shared" si="586"/>
        <v>0</v>
      </c>
      <c r="M2869" s="2264">
        <f t="shared" si="587"/>
        <v>0</v>
      </c>
      <c r="N2869" s="2264">
        <f t="shared" si="588"/>
        <v>0</v>
      </c>
      <c r="O2869" s="2264">
        <f t="shared" si="589"/>
        <v>0</v>
      </c>
      <c r="P2869" s="2389"/>
      <c r="Q2869" s="2266"/>
      <c r="R2869" s="2266"/>
      <c r="S2869" s="2266"/>
    </row>
    <row r="2870" spans="1:19" s="2105" customFormat="1" outlineLevel="1">
      <c r="A2870" s="2182" t="str">
        <f>IF(G2870&lt;&gt;0,1,"")</f>
        <v/>
      </c>
      <c r="B2870" s="2261"/>
      <c r="C2870" s="2258">
        <f>IF(G2870&gt;0,C2865+1,C2865)</f>
        <v>0</v>
      </c>
      <c r="D2870" s="2259"/>
      <c r="E2870" s="2262" t="s">
        <v>3724</v>
      </c>
      <c r="F2870" s="2258" t="s">
        <v>2532</v>
      </c>
      <c r="G2870" s="2562">
        <f>G2793*0</f>
        <v>0</v>
      </c>
      <c r="H2870" s="2264"/>
      <c r="I2870" s="2264"/>
      <c r="J2870" s="2264"/>
      <c r="K2870" s="2264"/>
      <c r="L2870" s="2264">
        <f t="shared" si="586"/>
        <v>0</v>
      </c>
      <c r="M2870" s="2264">
        <f t="shared" si="587"/>
        <v>0</v>
      </c>
      <c r="N2870" s="2264">
        <f t="shared" si="588"/>
        <v>0</v>
      </c>
      <c r="O2870" s="2264">
        <f t="shared" si="589"/>
        <v>0</v>
      </c>
      <c r="P2870" s="2265"/>
      <c r="Q2870" s="2266"/>
      <c r="R2870" s="2266"/>
      <c r="S2870" s="2266"/>
    </row>
    <row r="2871" spans="1:19" s="2105" customFormat="1" ht="14.4" outlineLevel="1">
      <c r="A2871" s="2182" t="str">
        <f>A2870</f>
        <v/>
      </c>
      <c r="B2871" s="2261"/>
      <c r="C2871" s="2258"/>
      <c r="D2871" s="2259"/>
      <c r="E2871" s="2267" t="s">
        <v>6133</v>
      </c>
      <c r="F2871" s="2268"/>
      <c r="G2871" s="2421"/>
      <c r="H2871" s="2264"/>
      <c r="I2871" s="2264"/>
      <c r="J2871" s="2264"/>
      <c r="K2871" s="2264"/>
      <c r="L2871" s="2264">
        <f t="shared" si="586"/>
        <v>0</v>
      </c>
      <c r="M2871" s="2264">
        <f t="shared" si="587"/>
        <v>0</v>
      </c>
      <c r="N2871" s="2264">
        <f t="shared" si="588"/>
        <v>0</v>
      </c>
      <c r="O2871" s="2264">
        <f t="shared" si="589"/>
        <v>0</v>
      </c>
      <c r="P2871" s="2265"/>
      <c r="Q2871" s="2266"/>
      <c r="R2871" s="2266"/>
      <c r="S2871" s="2266"/>
    </row>
    <row r="2872" spans="1:19" s="2105" customFormat="1" outlineLevel="1">
      <c r="A2872" s="2182" t="str">
        <f t="shared" ref="A2872:A2880" si="590">IF(G2872&lt;&gt;0,1,"")</f>
        <v/>
      </c>
      <c r="B2872" s="2554" t="s">
        <v>752</v>
      </c>
      <c r="C2872" s="2268"/>
      <c r="D2872" s="2152">
        <v>0</v>
      </c>
      <c r="E2872" s="2359" t="s">
        <v>6375</v>
      </c>
      <c r="F2872" s="2152" t="s">
        <v>856</v>
      </c>
      <c r="G2872" s="2270">
        <f>G2870*0.315</f>
        <v>0</v>
      </c>
      <c r="H2872" s="2264">
        <v>512000</v>
      </c>
      <c r="I2872" s="2264"/>
      <c r="J2872" s="2264">
        <v>0</v>
      </c>
      <c r="K2872" s="2264">
        <v>0</v>
      </c>
      <c r="L2872" s="2264">
        <f t="shared" si="586"/>
        <v>0</v>
      </c>
      <c r="M2872" s="2264">
        <f t="shared" si="587"/>
        <v>0</v>
      </c>
      <c r="N2872" s="2264">
        <f t="shared" si="588"/>
        <v>0</v>
      </c>
      <c r="O2872" s="2264">
        <f t="shared" si="589"/>
        <v>0</v>
      </c>
      <c r="P2872" s="2265"/>
      <c r="Q2872" s="2266"/>
      <c r="R2872" s="2266"/>
      <c r="S2872" s="2266"/>
    </row>
    <row r="2873" spans="1:19" s="2105" customFormat="1" outlineLevel="1">
      <c r="A2873" s="2182" t="str">
        <f t="shared" si="590"/>
        <v/>
      </c>
      <c r="B2873" s="2554" t="s">
        <v>520</v>
      </c>
      <c r="C2873" s="2268"/>
      <c r="D2873" s="2152">
        <v>0</v>
      </c>
      <c r="E2873" s="2359" t="s">
        <v>6376</v>
      </c>
      <c r="F2873" s="2152" t="s">
        <v>856</v>
      </c>
      <c r="G2873" s="2270">
        <f>0.092*G2870</f>
        <v>0</v>
      </c>
      <c r="H2873" s="2264">
        <v>295000</v>
      </c>
      <c r="I2873" s="2264"/>
      <c r="J2873" s="2264">
        <v>0</v>
      </c>
      <c r="K2873" s="2264">
        <v>0</v>
      </c>
      <c r="L2873" s="2264">
        <f t="shared" si="586"/>
        <v>0</v>
      </c>
      <c r="M2873" s="2264">
        <f t="shared" si="587"/>
        <v>0</v>
      </c>
      <c r="N2873" s="2264">
        <f t="shared" si="588"/>
        <v>0</v>
      </c>
      <c r="O2873" s="2264">
        <f t="shared" si="589"/>
        <v>0</v>
      </c>
      <c r="P2873" s="2265"/>
      <c r="Q2873" s="2266"/>
      <c r="R2873" s="2266"/>
      <c r="S2873" s="2266"/>
    </row>
    <row r="2874" spans="1:19" s="2105" customFormat="1" outlineLevel="1">
      <c r="A2874" s="2182" t="str">
        <f t="shared" si="590"/>
        <v/>
      </c>
      <c r="B2874" s="2554" t="s">
        <v>1675</v>
      </c>
      <c r="C2874" s="2268"/>
      <c r="D2874" s="2152">
        <v>0</v>
      </c>
      <c r="E2874" s="2359" t="s">
        <v>6377</v>
      </c>
      <c r="F2874" s="2152" t="s">
        <v>3006</v>
      </c>
      <c r="G2874" s="2270">
        <f>3.3*G2870</f>
        <v>0</v>
      </c>
      <c r="H2874" s="2264">
        <v>7000</v>
      </c>
      <c r="I2874" s="2264"/>
      <c r="J2874" s="2264">
        <v>0</v>
      </c>
      <c r="K2874" s="2264">
        <v>0</v>
      </c>
      <c r="L2874" s="2264">
        <f t="shared" si="586"/>
        <v>0</v>
      </c>
      <c r="M2874" s="2264">
        <f t="shared" si="587"/>
        <v>0</v>
      </c>
      <c r="N2874" s="2264">
        <f t="shared" si="588"/>
        <v>0</v>
      </c>
      <c r="O2874" s="2264">
        <f t="shared" si="589"/>
        <v>0</v>
      </c>
      <c r="P2874" s="2265"/>
      <c r="Q2874" s="2266"/>
      <c r="R2874" s="2266"/>
      <c r="S2874" s="2266"/>
    </row>
    <row r="2875" spans="1:19" s="2105" customFormat="1" outlineLevel="1">
      <c r="A2875" s="2182" t="str">
        <f t="shared" si="590"/>
        <v/>
      </c>
      <c r="B2875" s="2554" t="s">
        <v>1676</v>
      </c>
      <c r="C2875" s="2268"/>
      <c r="D2875" s="2152" t="s">
        <v>5290</v>
      </c>
      <c r="E2875" s="2359" t="s">
        <v>6378</v>
      </c>
      <c r="F2875" s="2152" t="s">
        <v>1960</v>
      </c>
      <c r="G2875" s="2270">
        <f>0.4*G2870</f>
        <v>0</v>
      </c>
      <c r="H2875" s="2264">
        <v>10000</v>
      </c>
      <c r="I2875" s="2264"/>
      <c r="J2875" s="2264">
        <v>1187.155</v>
      </c>
      <c r="K2875" s="2264">
        <v>0</v>
      </c>
      <c r="L2875" s="2264">
        <f t="shared" si="586"/>
        <v>0</v>
      </c>
      <c r="M2875" s="2264">
        <f t="shared" si="587"/>
        <v>0</v>
      </c>
      <c r="N2875" s="2264">
        <f t="shared" si="588"/>
        <v>0</v>
      </c>
      <c r="O2875" s="2264">
        <f t="shared" si="589"/>
        <v>0</v>
      </c>
      <c r="P2875" s="2265"/>
      <c r="Q2875" s="2266"/>
      <c r="R2875" s="2266"/>
      <c r="S2875" s="2266"/>
    </row>
    <row r="2876" spans="1:19" s="2105" customFormat="1" outlineLevel="1">
      <c r="A2876" s="2182" t="str">
        <f t="shared" si="590"/>
        <v/>
      </c>
      <c r="B2876" s="2554" t="s">
        <v>1518</v>
      </c>
      <c r="C2876" s="2258"/>
      <c r="D2876" s="2152">
        <v>0</v>
      </c>
      <c r="E2876" s="2359" t="s">
        <v>3530</v>
      </c>
      <c r="F2876" s="2152" t="s">
        <v>1823</v>
      </c>
      <c r="G2876" s="2270">
        <f>1*G2870</f>
        <v>0</v>
      </c>
      <c r="H2876" s="2264">
        <v>165250</v>
      </c>
      <c r="I2876" s="2264"/>
      <c r="J2876" s="2264">
        <v>0</v>
      </c>
      <c r="K2876" s="2264">
        <v>0</v>
      </c>
      <c r="L2876" s="2264">
        <f t="shared" si="586"/>
        <v>0</v>
      </c>
      <c r="M2876" s="2264">
        <f t="shared" si="587"/>
        <v>0</v>
      </c>
      <c r="N2876" s="2264">
        <f t="shared" si="588"/>
        <v>0</v>
      </c>
      <c r="O2876" s="2264">
        <f t="shared" si="589"/>
        <v>0</v>
      </c>
      <c r="P2876" s="2265"/>
      <c r="Q2876" s="2266"/>
      <c r="R2876" s="2266"/>
      <c r="S2876" s="2266"/>
    </row>
    <row r="2877" spans="1:19" s="2105" customFormat="1" outlineLevel="1">
      <c r="A2877" s="2182" t="str">
        <f t="shared" si="590"/>
        <v/>
      </c>
      <c r="B2877" s="2554" t="s">
        <v>1678</v>
      </c>
      <c r="C2877" s="2268"/>
      <c r="D2877" s="2152" t="s">
        <v>5333</v>
      </c>
      <c r="E2877" s="2359" t="s">
        <v>6379</v>
      </c>
      <c r="F2877" s="2152" t="s">
        <v>856</v>
      </c>
      <c r="G2877" s="2270">
        <f>G2872+G2873</f>
        <v>0</v>
      </c>
      <c r="H2877" s="2264">
        <v>0</v>
      </c>
      <c r="I2877" s="2264"/>
      <c r="J2877" s="2264">
        <v>315277.5</v>
      </c>
      <c r="K2877" s="2264">
        <v>0</v>
      </c>
      <c r="L2877" s="2264">
        <f t="shared" si="586"/>
        <v>0</v>
      </c>
      <c r="M2877" s="2264">
        <f t="shared" si="587"/>
        <v>0</v>
      </c>
      <c r="N2877" s="2264">
        <f t="shared" si="588"/>
        <v>0</v>
      </c>
      <c r="O2877" s="2264">
        <f t="shared" si="589"/>
        <v>0</v>
      </c>
      <c r="P2877" s="2265"/>
      <c r="Q2877" s="2266"/>
      <c r="R2877" s="2266"/>
      <c r="S2877" s="2266"/>
    </row>
    <row r="2878" spans="1:19" s="2105" customFormat="1" outlineLevel="1">
      <c r="A2878" s="2182" t="str">
        <f t="shared" si="590"/>
        <v/>
      </c>
      <c r="B2878" s="2554" t="s">
        <v>144</v>
      </c>
      <c r="C2878" s="2268"/>
      <c r="D2878" s="2152" t="s">
        <v>5327</v>
      </c>
      <c r="E2878" s="2359" t="s">
        <v>6380</v>
      </c>
      <c r="F2878" s="2152" t="s">
        <v>856</v>
      </c>
      <c r="G2878" s="2270">
        <f>G2870*0.48</f>
        <v>0</v>
      </c>
      <c r="H2878" s="2264">
        <v>0</v>
      </c>
      <c r="I2878" s="2264"/>
      <c r="J2878" s="2264">
        <v>640731.36</v>
      </c>
      <c r="K2878" s="2264">
        <v>0</v>
      </c>
      <c r="L2878" s="2264">
        <f t="shared" si="586"/>
        <v>0</v>
      </c>
      <c r="M2878" s="2264">
        <f t="shared" si="587"/>
        <v>0</v>
      </c>
      <c r="N2878" s="2264">
        <f t="shared" si="588"/>
        <v>0</v>
      </c>
      <c r="O2878" s="2264">
        <f t="shared" si="589"/>
        <v>0</v>
      </c>
      <c r="P2878" s="2265"/>
      <c r="Q2878" s="2266"/>
      <c r="R2878" s="2266"/>
      <c r="S2878" s="2266"/>
    </row>
    <row r="2879" spans="1:19" s="2105" customFormat="1" outlineLevel="1">
      <c r="A2879" s="2182" t="str">
        <f t="shared" si="590"/>
        <v/>
      </c>
      <c r="B2879" s="2554" t="s">
        <v>529</v>
      </c>
      <c r="C2879" s="2268"/>
      <c r="D2879" s="2152" t="s">
        <v>5332</v>
      </c>
      <c r="E2879" s="2359" t="s">
        <v>6381</v>
      </c>
      <c r="F2879" s="2152" t="s">
        <v>856</v>
      </c>
      <c r="G2879" s="2270">
        <f>G2870*0.073</f>
        <v>0</v>
      </c>
      <c r="H2879" s="2264">
        <v>0</v>
      </c>
      <c r="I2879" s="2264"/>
      <c r="J2879" s="2264">
        <v>21935.133999999998</v>
      </c>
      <c r="K2879" s="2264">
        <v>0</v>
      </c>
      <c r="L2879" s="2264">
        <f t="shared" si="586"/>
        <v>0</v>
      </c>
      <c r="M2879" s="2264">
        <f t="shared" si="587"/>
        <v>0</v>
      </c>
      <c r="N2879" s="2264">
        <f t="shared" si="588"/>
        <v>0</v>
      </c>
      <c r="O2879" s="2264">
        <f t="shared" si="589"/>
        <v>0</v>
      </c>
      <c r="P2879" s="2265"/>
      <c r="Q2879" s="2266"/>
      <c r="R2879" s="2422">
        <v>0.47499999999999998</v>
      </c>
      <c r="S2879" s="2266"/>
    </row>
    <row r="2880" spans="1:19" s="2105" customFormat="1" outlineLevel="1">
      <c r="A2880" s="2182" t="str">
        <f t="shared" si="590"/>
        <v/>
      </c>
      <c r="B2880" s="2261"/>
      <c r="C2880" s="2258">
        <f>IF(G2880&gt;0,C2870+1,C2870)</f>
        <v>0</v>
      </c>
      <c r="D2880" s="2259"/>
      <c r="E2880" s="2262" t="s">
        <v>3725</v>
      </c>
      <c r="F2880" s="2258" t="s">
        <v>2385</v>
      </c>
      <c r="G2880" s="2263">
        <f>G2889</f>
        <v>0</v>
      </c>
      <c r="H2880" s="2264"/>
      <c r="I2880" s="2264"/>
      <c r="J2880" s="2264"/>
      <c r="K2880" s="2264"/>
      <c r="L2880" s="2264">
        <f t="shared" si="586"/>
        <v>0</v>
      </c>
      <c r="M2880" s="2264">
        <f t="shared" si="587"/>
        <v>0</v>
      </c>
      <c r="N2880" s="2264">
        <f t="shared" si="588"/>
        <v>0</v>
      </c>
      <c r="O2880" s="2264">
        <f t="shared" si="589"/>
        <v>0</v>
      </c>
      <c r="P2880" s="2265"/>
      <c r="Q2880" s="2266"/>
      <c r="R2880" s="2422">
        <v>0.88100000000000001</v>
      </c>
      <c r="S2880" s="2266"/>
    </row>
    <row r="2881" spans="1:19" s="2105" customFormat="1" ht="14.4" outlineLevel="1">
      <c r="A2881" s="2182" t="str">
        <f>A2880</f>
        <v/>
      </c>
      <c r="B2881" s="2261"/>
      <c r="C2881" s="2258"/>
      <c r="D2881" s="2259"/>
      <c r="E2881" s="2267" t="s">
        <v>6133</v>
      </c>
      <c r="F2881" s="2268"/>
      <c r="G2881" s="2421"/>
      <c r="H2881" s="2264"/>
      <c r="I2881" s="2264"/>
      <c r="J2881" s="2264"/>
      <c r="K2881" s="2264"/>
      <c r="L2881" s="2264">
        <f t="shared" si="586"/>
        <v>0</v>
      </c>
      <c r="M2881" s="2264">
        <f t="shared" si="587"/>
        <v>0</v>
      </c>
      <c r="N2881" s="2264">
        <f t="shared" si="588"/>
        <v>0</v>
      </c>
      <c r="O2881" s="2264">
        <f t="shared" si="589"/>
        <v>0</v>
      </c>
      <c r="P2881" s="2265"/>
      <c r="Q2881" s="2266"/>
      <c r="R2881" s="2266"/>
      <c r="S2881" s="2266"/>
    </row>
    <row r="2882" spans="1:19" s="2105" customFormat="1" outlineLevel="1">
      <c r="A2882" s="2182" t="str">
        <f t="shared" ref="A2882:A2889" si="591">IF(G2882&lt;&gt;0,1,"")</f>
        <v/>
      </c>
      <c r="B2882" s="2261" t="s">
        <v>623</v>
      </c>
      <c r="C2882" s="2268"/>
      <c r="D2882" s="2152" t="s">
        <v>5305</v>
      </c>
      <c r="E2882" s="2194" t="s">
        <v>5306</v>
      </c>
      <c r="F2882" s="2152" t="s">
        <v>2532</v>
      </c>
      <c r="G2882" s="2270">
        <f>G2880*5*0</f>
        <v>0</v>
      </c>
      <c r="H2882" s="2264">
        <v>278000</v>
      </c>
      <c r="I2882" s="2264"/>
      <c r="J2882" s="2264">
        <v>127101.65849999999</v>
      </c>
      <c r="K2882" s="2264">
        <v>0</v>
      </c>
      <c r="L2882" s="2264">
        <f t="shared" si="586"/>
        <v>0</v>
      </c>
      <c r="M2882" s="2264">
        <f t="shared" si="587"/>
        <v>0</v>
      </c>
      <c r="N2882" s="2264">
        <f t="shared" si="588"/>
        <v>0</v>
      </c>
      <c r="O2882" s="2264">
        <f t="shared" si="589"/>
        <v>0</v>
      </c>
      <c r="P2882" s="2265"/>
      <c r="Q2882" s="2266"/>
      <c r="R2882" s="2266"/>
      <c r="S2882" s="2266"/>
    </row>
    <row r="2883" spans="1:19" s="2105" customFormat="1" outlineLevel="1">
      <c r="A2883" s="2182" t="str">
        <f t="shared" si="591"/>
        <v/>
      </c>
      <c r="B2883" s="2554" t="s">
        <v>473</v>
      </c>
      <c r="C2883" s="2258"/>
      <c r="D2883" s="2152">
        <v>0</v>
      </c>
      <c r="E2883" s="2194" t="s">
        <v>3552</v>
      </c>
      <c r="F2883" s="2152" t="s">
        <v>2555</v>
      </c>
      <c r="G2883" s="2270">
        <f>G2880*0</f>
        <v>0</v>
      </c>
      <c r="H2883" s="2264">
        <v>138000</v>
      </c>
      <c r="I2883" s="2264"/>
      <c r="J2883" s="2264">
        <v>0</v>
      </c>
      <c r="K2883" s="2264">
        <v>0</v>
      </c>
      <c r="L2883" s="2264">
        <f t="shared" si="586"/>
        <v>0</v>
      </c>
      <c r="M2883" s="2264">
        <f t="shared" si="587"/>
        <v>0</v>
      </c>
      <c r="N2883" s="2264">
        <f t="shared" si="588"/>
        <v>0</v>
      </c>
      <c r="O2883" s="2264">
        <f t="shared" si="589"/>
        <v>0</v>
      </c>
      <c r="P2883" s="2265"/>
      <c r="Q2883" s="2266"/>
      <c r="R2883" s="2266"/>
      <c r="S2883" s="2266"/>
    </row>
    <row r="2884" spans="1:19" s="2105" customFormat="1" outlineLevel="1">
      <c r="A2884" s="2182" t="str">
        <f t="shared" si="591"/>
        <v/>
      </c>
      <c r="B2884" s="2261" t="s">
        <v>120</v>
      </c>
      <c r="C2884" s="2268"/>
      <c r="D2884" s="2152">
        <v>0</v>
      </c>
      <c r="E2884" s="2194" t="s">
        <v>2981</v>
      </c>
      <c r="F2884" s="2152" t="s">
        <v>2439</v>
      </c>
      <c r="G2884" s="2270">
        <f>G2880*2*0</f>
        <v>0</v>
      </c>
      <c r="H2884" s="2264">
        <v>40000</v>
      </c>
      <c r="I2884" s="2264"/>
      <c r="J2884" s="2264">
        <v>0</v>
      </c>
      <c r="K2884" s="2264">
        <v>0</v>
      </c>
      <c r="L2884" s="2264">
        <f t="shared" si="586"/>
        <v>0</v>
      </c>
      <c r="M2884" s="2264">
        <f t="shared" si="587"/>
        <v>0</v>
      </c>
      <c r="N2884" s="2264">
        <f t="shared" si="588"/>
        <v>0</v>
      </c>
      <c r="O2884" s="2264">
        <f t="shared" si="589"/>
        <v>0</v>
      </c>
      <c r="P2884" s="2265"/>
      <c r="Q2884" s="2266"/>
      <c r="R2884" s="2266"/>
      <c r="S2884" s="2266"/>
    </row>
    <row r="2885" spans="1:19" s="2105" customFormat="1" outlineLevel="1">
      <c r="A2885" s="2182" t="str">
        <f t="shared" si="591"/>
        <v/>
      </c>
      <c r="B2885" s="2252" t="s">
        <v>1409</v>
      </c>
      <c r="C2885" s="2268"/>
      <c r="D2885" s="2152">
        <v>0</v>
      </c>
      <c r="E2885" s="2194" t="s">
        <v>3449</v>
      </c>
      <c r="F2885" s="2152" t="s">
        <v>2439</v>
      </c>
      <c r="G2885" s="2270">
        <f>G2880*0</f>
        <v>0</v>
      </c>
      <c r="H2885" s="2264">
        <v>150000</v>
      </c>
      <c r="I2885" s="2264"/>
      <c r="J2885" s="2264">
        <v>0</v>
      </c>
      <c r="K2885" s="2264">
        <v>0</v>
      </c>
      <c r="L2885" s="2264">
        <f t="shared" si="586"/>
        <v>0</v>
      </c>
      <c r="M2885" s="2264">
        <f t="shared" si="587"/>
        <v>0</v>
      </c>
      <c r="N2885" s="2264">
        <f t="shared" si="588"/>
        <v>0</v>
      </c>
      <c r="O2885" s="2264">
        <f t="shared" si="589"/>
        <v>0</v>
      </c>
      <c r="P2885" s="2265"/>
      <c r="Q2885" s="2266"/>
      <c r="R2885" s="2266"/>
      <c r="S2885" s="2266"/>
    </row>
    <row r="2886" spans="1:19" s="2105" customFormat="1" outlineLevel="1">
      <c r="A2886" s="2182" t="str">
        <f t="shared" si="591"/>
        <v/>
      </c>
      <c r="B2886" s="2252" t="s">
        <v>2138</v>
      </c>
      <c r="C2886" s="2268"/>
      <c r="D2886" s="2152">
        <v>0</v>
      </c>
      <c r="E2886" s="2194" t="s">
        <v>3455</v>
      </c>
      <c r="F2886" s="2152" t="s">
        <v>2439</v>
      </c>
      <c r="G2886" s="2270">
        <f>G2880</f>
        <v>0</v>
      </c>
      <c r="H2886" s="2264">
        <v>2739748</v>
      </c>
      <c r="I2886" s="2264"/>
      <c r="J2886" s="2264">
        <v>51183</v>
      </c>
      <c r="K2886" s="2264">
        <v>89000</v>
      </c>
      <c r="L2886" s="2264">
        <f t="shared" si="586"/>
        <v>0</v>
      </c>
      <c r="M2886" s="2264">
        <f t="shared" si="587"/>
        <v>0</v>
      </c>
      <c r="N2886" s="2264">
        <f t="shared" si="588"/>
        <v>0</v>
      </c>
      <c r="O2886" s="2264">
        <f t="shared" si="589"/>
        <v>0</v>
      </c>
      <c r="P2886" s="2265"/>
      <c r="Q2886" s="2266"/>
      <c r="R2886" s="2266"/>
      <c r="S2886" s="2266"/>
    </row>
    <row r="2887" spans="1:19" s="2105" customFormat="1" outlineLevel="1">
      <c r="A2887" s="2182" t="str">
        <f t="shared" si="591"/>
        <v/>
      </c>
      <c r="B2887" s="2261" t="s">
        <v>1410</v>
      </c>
      <c r="C2887" s="2258"/>
      <c r="D2887" s="2152" t="s">
        <v>5341</v>
      </c>
      <c r="E2887" s="2194" t="s">
        <v>5342</v>
      </c>
      <c r="F2887" s="2152" t="s">
        <v>2439</v>
      </c>
      <c r="G2887" s="2270">
        <f>G2885+G2886</f>
        <v>0</v>
      </c>
      <c r="H2887" s="2264">
        <v>0</v>
      </c>
      <c r="I2887" s="2264"/>
      <c r="J2887" s="2264">
        <v>28219.62</v>
      </c>
      <c r="K2887" s="2264">
        <v>0</v>
      </c>
      <c r="L2887" s="2264">
        <f t="shared" si="586"/>
        <v>0</v>
      </c>
      <c r="M2887" s="2264">
        <f t="shared" si="587"/>
        <v>0</v>
      </c>
      <c r="N2887" s="2264">
        <f t="shared" si="588"/>
        <v>0</v>
      </c>
      <c r="O2887" s="2264">
        <f t="shared" si="589"/>
        <v>0</v>
      </c>
      <c r="P2887" s="2265"/>
      <c r="Q2887" s="2266"/>
      <c r="R2887" s="2266"/>
      <c r="S2887" s="2266"/>
    </row>
    <row r="2888" spans="1:19" s="2105" customFormat="1" outlineLevel="1">
      <c r="A2888" s="2182" t="str">
        <f t="shared" si="591"/>
        <v/>
      </c>
      <c r="B2888" s="2261" t="s">
        <v>289</v>
      </c>
      <c r="C2888" s="2268"/>
      <c r="D2888" s="2152">
        <v>0</v>
      </c>
      <c r="E2888" s="2194" t="s">
        <v>5712</v>
      </c>
      <c r="F2888" s="2152" t="s">
        <v>2555</v>
      </c>
      <c r="G2888" s="2270">
        <f>G2880*0</f>
        <v>0</v>
      </c>
      <c r="H2888" s="2264">
        <v>300000</v>
      </c>
      <c r="I2888" s="2264"/>
      <c r="J2888" s="2264">
        <v>0</v>
      </c>
      <c r="K2888" s="2264">
        <v>0</v>
      </c>
      <c r="L2888" s="2264">
        <f t="shared" si="586"/>
        <v>0</v>
      </c>
      <c r="M2888" s="2264">
        <f t="shared" si="587"/>
        <v>0</v>
      </c>
      <c r="N2888" s="2264">
        <f t="shared" si="588"/>
        <v>0</v>
      </c>
      <c r="O2888" s="2264">
        <f t="shared" si="589"/>
        <v>0</v>
      </c>
      <c r="P2888" s="2265"/>
      <c r="Q2888" s="2266"/>
      <c r="R2888" s="2266"/>
      <c r="S2888" s="2266"/>
    </row>
    <row r="2889" spans="1:19" s="2105" customFormat="1" outlineLevel="1">
      <c r="A2889" s="2182" t="str">
        <f t="shared" si="591"/>
        <v/>
      </c>
      <c r="B2889" s="2261"/>
      <c r="C2889" s="2258">
        <f>IF(G2889&gt;0,C2880+1,C2880)</f>
        <v>0</v>
      </c>
      <c r="D2889" s="2259"/>
      <c r="E2889" s="2260" t="s">
        <v>3740</v>
      </c>
      <c r="F2889" s="2258" t="s">
        <v>2385</v>
      </c>
      <c r="G2889" s="2263">
        <f>G2793*0</f>
        <v>0</v>
      </c>
      <c r="H2889" s="2264"/>
      <c r="I2889" s="2264"/>
      <c r="J2889" s="2264"/>
      <c r="K2889" s="2264"/>
      <c r="L2889" s="2264"/>
      <c r="M2889" s="2264"/>
      <c r="N2889" s="2264"/>
      <c r="O2889" s="2264"/>
      <c r="P2889" s="2265"/>
      <c r="Q2889" s="2266"/>
      <c r="R2889" s="2266"/>
      <c r="S2889" s="2266"/>
    </row>
    <row r="2890" spans="1:19" s="2105" customFormat="1" ht="14.4" outlineLevel="1">
      <c r="A2890" s="2182" t="str">
        <f>A2889</f>
        <v/>
      </c>
      <c r="B2890" s="2261"/>
      <c r="C2890" s="2258"/>
      <c r="D2890" s="2259"/>
      <c r="E2890" s="2274" t="s">
        <v>6133</v>
      </c>
      <c r="F2890" s="2258"/>
      <c r="G2890" s="2263"/>
      <c r="H2890" s="2264"/>
      <c r="I2890" s="2264"/>
      <c r="J2890" s="2264"/>
      <c r="K2890" s="2264"/>
      <c r="L2890" s="2264"/>
      <c r="M2890" s="2264"/>
      <c r="N2890" s="2264"/>
      <c r="O2890" s="2264"/>
      <c r="P2890" s="2265"/>
      <c r="Q2890" s="2266"/>
      <c r="R2890" s="2266"/>
      <c r="S2890" s="2266"/>
    </row>
    <row r="2891" spans="1:19" s="2105" customFormat="1" outlineLevel="1">
      <c r="A2891" s="2182" t="str">
        <f>IF(G2891&lt;&gt;0,1,"")</f>
        <v/>
      </c>
      <c r="B2891" s="2252" t="s">
        <v>470</v>
      </c>
      <c r="C2891" s="2268"/>
      <c r="D2891" s="2152">
        <v>0</v>
      </c>
      <c r="E2891" s="2194" t="s">
        <v>6382</v>
      </c>
      <c r="F2891" s="2152" t="s">
        <v>2532</v>
      </c>
      <c r="G2891" s="2270">
        <f>G2870+G2889*8</f>
        <v>0</v>
      </c>
      <c r="H2891" s="2264">
        <v>763500</v>
      </c>
      <c r="I2891" s="2264"/>
      <c r="J2891" s="2264">
        <v>0</v>
      </c>
      <c r="K2891" s="2264">
        <v>0</v>
      </c>
      <c r="L2891" s="2264">
        <f>H2891*G2891</f>
        <v>0</v>
      </c>
      <c r="M2891" s="2264">
        <f>I2891*G2891</f>
        <v>0</v>
      </c>
      <c r="N2891" s="2264">
        <f>J2891*G2891</f>
        <v>0</v>
      </c>
      <c r="O2891" s="2264">
        <f>K2891*G2891</f>
        <v>0</v>
      </c>
      <c r="P2891" s="2265"/>
      <c r="Q2891" s="2266"/>
      <c r="R2891" s="2266"/>
      <c r="S2891" s="2266"/>
    </row>
    <row r="2892" spans="1:19" s="2105" customFormat="1" outlineLevel="1">
      <c r="A2892" s="2182" t="str">
        <f>IF(G2892&lt;&gt;0,1,"")</f>
        <v/>
      </c>
      <c r="B2892" s="2252" t="s">
        <v>271</v>
      </c>
      <c r="C2892" s="2268"/>
      <c r="D2892" s="2152">
        <v>0</v>
      </c>
      <c r="E2892" s="2194" t="s">
        <v>6383</v>
      </c>
      <c r="F2892" s="2152" t="s">
        <v>2532</v>
      </c>
      <c r="G2892" s="2270">
        <f>G2891</f>
        <v>0</v>
      </c>
      <c r="H2892" s="2264">
        <v>204900</v>
      </c>
      <c r="I2892" s="2264"/>
      <c r="J2892" s="2264">
        <v>0</v>
      </c>
      <c r="K2892" s="2264">
        <v>0</v>
      </c>
      <c r="L2892" s="2264">
        <f>H2892*G2892</f>
        <v>0</v>
      </c>
      <c r="M2892" s="2264">
        <f>I2892*G2892</f>
        <v>0</v>
      </c>
      <c r="N2892" s="2264">
        <f>J2892*G2892</f>
        <v>0</v>
      </c>
      <c r="O2892" s="2264">
        <f>K2892*G2892</f>
        <v>0</v>
      </c>
      <c r="P2892" s="2265"/>
      <c r="Q2892" s="2266"/>
      <c r="R2892" s="2266"/>
      <c r="S2892" s="2266"/>
    </row>
    <row r="2893" spans="1:19" s="2105" customFormat="1" outlineLevel="1">
      <c r="A2893" s="2182" t="str">
        <f t="shared" ref="A2893:A2899" si="592">IF(G2893&lt;&gt;0,1,"")</f>
        <v/>
      </c>
      <c r="B2893" s="2252" t="s">
        <v>271</v>
      </c>
      <c r="C2893" s="2268"/>
      <c r="D2893" s="2152">
        <v>0</v>
      </c>
      <c r="E2893" s="2194" t="s">
        <v>6384</v>
      </c>
      <c r="F2893" s="2152" t="s">
        <v>2532</v>
      </c>
      <c r="G2893" s="2270">
        <f>G2889*0.5*3*0</f>
        <v>0</v>
      </c>
      <c r="H2893" s="2264">
        <v>204900</v>
      </c>
      <c r="I2893" s="2264"/>
      <c r="J2893" s="2264">
        <v>0</v>
      </c>
      <c r="K2893" s="2264">
        <v>0</v>
      </c>
      <c r="L2893" s="2264">
        <f>H2893*G2893</f>
        <v>0</v>
      </c>
      <c r="M2893" s="2264">
        <f>I2893*G2893</f>
        <v>0</v>
      </c>
      <c r="N2893" s="2264">
        <f>J2893*G2893</f>
        <v>0</v>
      </c>
      <c r="O2893" s="2264">
        <f>K2893*G2893</f>
        <v>0</v>
      </c>
      <c r="P2893" s="2265"/>
      <c r="Q2893" s="2266"/>
      <c r="R2893" s="2266"/>
      <c r="S2893" s="2266"/>
    </row>
    <row r="2894" spans="1:19" s="2105" customFormat="1" outlineLevel="1">
      <c r="A2894" s="2182" t="str">
        <f t="shared" si="592"/>
        <v/>
      </c>
      <c r="B2894" s="2252" t="s">
        <v>1352</v>
      </c>
      <c r="C2894" s="2268"/>
      <c r="D2894" s="2152">
        <v>0</v>
      </c>
      <c r="E2894" s="2194" t="s">
        <v>3014</v>
      </c>
      <c r="F2894" s="2152" t="s">
        <v>2555</v>
      </c>
      <c r="G2894" s="2270">
        <f>G2889</f>
        <v>0</v>
      </c>
      <c r="H2894" s="2264">
        <v>4022000</v>
      </c>
      <c r="I2894" s="2264"/>
      <c r="J2894" s="2264">
        <v>0</v>
      </c>
      <c r="K2894" s="2264">
        <v>0</v>
      </c>
      <c r="L2894" s="2264">
        <f t="shared" ref="L2894:L2899" si="593">H2894*G2894</f>
        <v>0</v>
      </c>
      <c r="M2894" s="2264">
        <f t="shared" ref="M2894:M2899" si="594">I2894*G2894</f>
        <v>0</v>
      </c>
      <c r="N2894" s="2264">
        <f t="shared" ref="N2894:N2899" si="595">J2894*G2894</f>
        <v>0</v>
      </c>
      <c r="O2894" s="2264">
        <f t="shared" ref="O2894:O2899" si="596">K2894*G2894</f>
        <v>0</v>
      </c>
      <c r="P2894" s="2265"/>
      <c r="Q2894" s="2266"/>
      <c r="R2894" s="2266"/>
      <c r="S2894" s="2266"/>
    </row>
    <row r="2895" spans="1:19" s="2105" customFormat="1" outlineLevel="1">
      <c r="A2895" s="2182" t="str">
        <f t="shared" si="592"/>
        <v/>
      </c>
      <c r="B2895" s="2252" t="s">
        <v>470</v>
      </c>
      <c r="C2895" s="2268"/>
      <c r="D2895" s="2152">
        <v>0</v>
      </c>
      <c r="E2895" s="2194" t="s">
        <v>6385</v>
      </c>
      <c r="F2895" s="2152" t="s">
        <v>2532</v>
      </c>
      <c r="G2895" s="2270">
        <f>(1.2+2.4)*G2889*0</f>
        <v>0</v>
      </c>
      <c r="H2895" s="2264">
        <v>763500</v>
      </c>
      <c r="I2895" s="2264"/>
      <c r="J2895" s="2264">
        <v>0</v>
      </c>
      <c r="K2895" s="2264">
        <v>0</v>
      </c>
      <c r="L2895" s="2264">
        <f t="shared" si="593"/>
        <v>0</v>
      </c>
      <c r="M2895" s="2264">
        <f t="shared" si="594"/>
        <v>0</v>
      </c>
      <c r="N2895" s="2264">
        <f t="shared" si="595"/>
        <v>0</v>
      </c>
      <c r="O2895" s="2264">
        <f t="shared" si="596"/>
        <v>0</v>
      </c>
      <c r="P2895" s="2265"/>
      <c r="Q2895" s="2266"/>
      <c r="R2895" s="2266"/>
      <c r="S2895" s="2266"/>
    </row>
    <row r="2896" spans="1:19" s="2105" customFormat="1" outlineLevel="1">
      <c r="A2896" s="2182" t="str">
        <f t="shared" si="592"/>
        <v/>
      </c>
      <c r="B2896" s="2252" t="s">
        <v>271</v>
      </c>
      <c r="C2896" s="2268"/>
      <c r="D2896" s="2152">
        <v>0</v>
      </c>
      <c r="E2896" s="2194" t="s">
        <v>6386</v>
      </c>
      <c r="F2896" s="2152" t="s">
        <v>2532</v>
      </c>
      <c r="G2896" s="2270">
        <f>G2889*1.2*0</f>
        <v>0</v>
      </c>
      <c r="H2896" s="2264">
        <v>204900</v>
      </c>
      <c r="I2896" s="2264"/>
      <c r="J2896" s="2264">
        <v>0</v>
      </c>
      <c r="K2896" s="2264">
        <v>0</v>
      </c>
      <c r="L2896" s="2264">
        <f t="shared" si="593"/>
        <v>0</v>
      </c>
      <c r="M2896" s="2264">
        <f t="shared" si="594"/>
        <v>0</v>
      </c>
      <c r="N2896" s="2264">
        <f t="shared" si="595"/>
        <v>0</v>
      </c>
      <c r="O2896" s="2264">
        <f t="shared" si="596"/>
        <v>0</v>
      </c>
      <c r="P2896" s="2265"/>
      <c r="Q2896" s="2266"/>
      <c r="R2896" s="2266"/>
      <c r="S2896" s="2266"/>
    </row>
    <row r="2897" spans="1:19" s="2105" customFormat="1" outlineLevel="1">
      <c r="A2897" s="2182" t="str">
        <f t="shared" si="592"/>
        <v/>
      </c>
      <c r="B2897" s="2252" t="s">
        <v>1353</v>
      </c>
      <c r="C2897" s="2268"/>
      <c r="D2897" s="2152">
        <v>0</v>
      </c>
      <c r="E2897" s="2194" t="s">
        <v>3021</v>
      </c>
      <c r="F2897" s="2152" t="s">
        <v>2555</v>
      </c>
      <c r="G2897" s="2270">
        <f>G2889</f>
        <v>0</v>
      </c>
      <c r="H2897" s="2264">
        <v>5242230</v>
      </c>
      <c r="I2897" s="2264"/>
      <c r="J2897" s="2264">
        <v>0</v>
      </c>
      <c r="K2897" s="2264">
        <v>0</v>
      </c>
      <c r="L2897" s="2264">
        <f t="shared" si="593"/>
        <v>0</v>
      </c>
      <c r="M2897" s="2264">
        <f t="shared" si="594"/>
        <v>0</v>
      </c>
      <c r="N2897" s="2264">
        <f t="shared" si="595"/>
        <v>0</v>
      </c>
      <c r="O2897" s="2264">
        <f t="shared" si="596"/>
        <v>0</v>
      </c>
      <c r="P2897" s="2265"/>
      <c r="Q2897" s="2266"/>
      <c r="R2897" s="2266"/>
      <c r="S2897" s="2266"/>
    </row>
    <row r="2898" spans="1:19" s="2105" customFormat="1" outlineLevel="1">
      <c r="A2898" s="2182" t="str">
        <f t="shared" si="592"/>
        <v/>
      </c>
      <c r="B2898" s="2252" t="s">
        <v>1674</v>
      </c>
      <c r="C2898" s="2268"/>
      <c r="D2898" s="2152" t="s">
        <v>5459</v>
      </c>
      <c r="E2898" s="2194" t="s">
        <v>3178</v>
      </c>
      <c r="F2898" s="2152" t="s">
        <v>2555</v>
      </c>
      <c r="G2898" s="2270">
        <f>G2894+G2897</f>
        <v>0</v>
      </c>
      <c r="H2898" s="2264">
        <v>11340</v>
      </c>
      <c r="I2898" s="2264"/>
      <c r="J2898" s="2264">
        <v>621381.64999999991</v>
      </c>
      <c r="K2898" s="2264">
        <v>0</v>
      </c>
      <c r="L2898" s="2264">
        <f t="shared" si="593"/>
        <v>0</v>
      </c>
      <c r="M2898" s="2264">
        <f t="shared" si="594"/>
        <v>0</v>
      </c>
      <c r="N2898" s="2264">
        <f t="shared" si="595"/>
        <v>0</v>
      </c>
      <c r="O2898" s="2264">
        <f t="shared" si="596"/>
        <v>0</v>
      </c>
      <c r="P2898" s="2265"/>
      <c r="Q2898" s="2266"/>
      <c r="R2898" s="2266"/>
      <c r="S2898" s="2266"/>
    </row>
    <row r="2899" spans="1:19" s="2105" customFormat="1" outlineLevel="1">
      <c r="A2899" s="2182" t="str">
        <f t="shared" si="592"/>
        <v/>
      </c>
      <c r="B2899" s="2252" t="s">
        <v>1204</v>
      </c>
      <c r="C2899" s="2268"/>
      <c r="D2899" s="2152" t="s">
        <v>337</v>
      </c>
      <c r="E2899" s="2194" t="s">
        <v>3268</v>
      </c>
      <c r="F2899" s="2152" t="s">
        <v>2532</v>
      </c>
      <c r="G2899" s="2270">
        <f>G2891+G2895</f>
        <v>0</v>
      </c>
      <c r="H2899" s="2264">
        <v>546.34</v>
      </c>
      <c r="I2899" s="2264"/>
      <c r="J2899" s="2264">
        <v>2166</v>
      </c>
      <c r="K2899" s="2264">
        <v>0</v>
      </c>
      <c r="L2899" s="2264">
        <f t="shared" si="593"/>
        <v>0</v>
      </c>
      <c r="M2899" s="2264">
        <f t="shared" si="594"/>
        <v>0</v>
      </c>
      <c r="N2899" s="2264">
        <f t="shared" si="595"/>
        <v>0</v>
      </c>
      <c r="O2899" s="2264">
        <f t="shared" si="596"/>
        <v>0</v>
      </c>
      <c r="P2899" s="2265"/>
      <c r="Q2899" s="2266"/>
      <c r="R2899" s="2266"/>
      <c r="S2899" s="2266"/>
    </row>
    <row r="2900" spans="1:19" s="2105" customFormat="1" outlineLevel="1">
      <c r="A2900" s="2182" t="str">
        <f>IF(G2900&lt;&gt;0,1,"")</f>
        <v/>
      </c>
      <c r="B2900" s="2252" t="s">
        <v>1201</v>
      </c>
      <c r="C2900" s="2268"/>
      <c r="D2900" s="2152" t="s">
        <v>334</v>
      </c>
      <c r="E2900" s="2194" t="s">
        <v>3265</v>
      </c>
      <c r="F2900" s="2152" t="s">
        <v>2532</v>
      </c>
      <c r="G2900" s="2270">
        <f>G2892+G2896</f>
        <v>0</v>
      </c>
      <c r="H2900" s="2264">
        <v>460.75</v>
      </c>
      <c r="I2900" s="2264"/>
      <c r="J2900" s="2264">
        <v>1020</v>
      </c>
      <c r="K2900" s="2264">
        <v>0</v>
      </c>
      <c r="L2900" s="2264">
        <f>H2900*G2900</f>
        <v>0</v>
      </c>
      <c r="M2900" s="2264">
        <f>I2900*G2900</f>
        <v>0</v>
      </c>
      <c r="N2900" s="2264">
        <f>J2900*G2900</f>
        <v>0</v>
      </c>
      <c r="O2900" s="2264">
        <f>K2900*G2900</f>
        <v>0</v>
      </c>
      <c r="P2900" s="2265"/>
      <c r="Q2900" s="2266"/>
      <c r="R2900" s="2266"/>
      <c r="S2900" s="2266"/>
    </row>
    <row r="2901" spans="1:19" s="2105" customFormat="1" outlineLevel="1">
      <c r="A2901" s="2182" t="str">
        <f>IF(G2901&lt;&gt;0,1,"")</f>
        <v/>
      </c>
      <c r="B2901" s="2252" t="s">
        <v>1525</v>
      </c>
      <c r="C2901" s="2268"/>
      <c r="D2901" s="2152" t="s">
        <v>5571</v>
      </c>
      <c r="E2901" s="2194" t="s">
        <v>3292</v>
      </c>
      <c r="F2901" s="2152" t="s">
        <v>1823</v>
      </c>
      <c r="G2901" s="2270">
        <f>G2893</f>
        <v>0</v>
      </c>
      <c r="H2901" s="2264">
        <v>0</v>
      </c>
      <c r="I2901" s="2264"/>
      <c r="J2901" s="2264">
        <v>13915</v>
      </c>
      <c r="K2901" s="2264">
        <v>0</v>
      </c>
      <c r="L2901" s="2264">
        <f>H2901*G2901</f>
        <v>0</v>
      </c>
      <c r="M2901" s="2264">
        <f>I2901*G2901</f>
        <v>0</v>
      </c>
      <c r="N2901" s="2264">
        <f>J2901*G2901</f>
        <v>0</v>
      </c>
      <c r="O2901" s="2264">
        <f>K2901*G2901</f>
        <v>0</v>
      </c>
      <c r="P2901" s="2265"/>
      <c r="Q2901" s="2266"/>
      <c r="R2901" s="2266"/>
      <c r="S2901" s="2266"/>
    </row>
    <row r="2902" spans="1:19" s="2105" customFormat="1" outlineLevel="1">
      <c r="A2902" s="2182" t="str">
        <f>IF(G2902&lt;&gt;0,1,"")</f>
        <v/>
      </c>
      <c r="B2902" s="2252" t="s">
        <v>1349</v>
      </c>
      <c r="C2902" s="2268"/>
      <c r="D2902" s="2152">
        <v>0</v>
      </c>
      <c r="E2902" s="2194" t="s">
        <v>3518</v>
      </c>
      <c r="F2902" s="2152" t="s">
        <v>3519</v>
      </c>
      <c r="G2902" s="2270">
        <f>G2889*2</f>
        <v>0</v>
      </c>
      <c r="H2902" s="2264">
        <v>15000</v>
      </c>
      <c r="I2902" s="2264"/>
      <c r="J2902" s="2264">
        <v>0</v>
      </c>
      <c r="K2902" s="2264">
        <v>0</v>
      </c>
      <c r="L2902" s="2264">
        <f>H2902*G2902</f>
        <v>0</v>
      </c>
      <c r="M2902" s="2264">
        <f>I2902*G2902</f>
        <v>0</v>
      </c>
      <c r="N2902" s="2264">
        <f>J2902*G2902</f>
        <v>0</v>
      </c>
      <c r="O2902" s="2264">
        <f>K2902*G2902</f>
        <v>0</v>
      </c>
      <c r="P2902" s="2265"/>
      <c r="Q2902" s="2266"/>
      <c r="R2902" s="2266"/>
      <c r="S2902" s="2266"/>
    </row>
    <row r="2903" spans="1:19" s="2105" customFormat="1" outlineLevel="1">
      <c r="A2903" s="2182" t="str">
        <f>IF(G2903&lt;&gt;0,1,"")</f>
        <v/>
      </c>
      <c r="B2903" s="2261"/>
      <c r="C2903" s="2258">
        <f>IF(G2903&gt;0,C2889+1,C2889)</f>
        <v>0</v>
      </c>
      <c r="D2903" s="2259"/>
      <c r="E2903" s="2260" t="s">
        <v>6263</v>
      </c>
      <c r="F2903" s="2258" t="s">
        <v>2385</v>
      </c>
      <c r="G2903" s="2263">
        <f>G2793</f>
        <v>0</v>
      </c>
      <c r="H2903" s="2264"/>
      <c r="I2903" s="2264"/>
      <c r="J2903" s="2264"/>
      <c r="K2903" s="2264"/>
      <c r="L2903" s="2264"/>
      <c r="M2903" s="2264"/>
      <c r="N2903" s="2264"/>
      <c r="O2903" s="2264"/>
      <c r="P2903" s="2389"/>
      <c r="Q2903" s="2266"/>
      <c r="R2903" s="2266"/>
      <c r="S2903" s="2266"/>
    </row>
    <row r="2904" spans="1:19" s="2105" customFormat="1" ht="14.4" outlineLevel="1">
      <c r="A2904" s="2182" t="str">
        <f>A2903</f>
        <v/>
      </c>
      <c r="B2904" s="2261"/>
      <c r="C2904" s="2258"/>
      <c r="D2904" s="2259"/>
      <c r="E2904" s="2274" t="s">
        <v>6133</v>
      </c>
      <c r="F2904" s="2258"/>
      <c r="G2904" s="2263"/>
      <c r="H2904" s="2264"/>
      <c r="I2904" s="2264"/>
      <c r="J2904" s="2264"/>
      <c r="K2904" s="2264"/>
      <c r="L2904" s="2264"/>
      <c r="M2904" s="2264"/>
      <c r="N2904" s="2264"/>
      <c r="O2904" s="2264"/>
      <c r="P2904" s="2389"/>
      <c r="Q2904" s="2266"/>
      <c r="R2904" s="2266"/>
      <c r="S2904" s="2266"/>
    </row>
    <row r="2905" spans="1:19" s="2105" customFormat="1" outlineLevel="1">
      <c r="A2905" s="2182" t="str">
        <f>IF(G2905&lt;&gt;0,1,"")</f>
        <v/>
      </c>
      <c r="B2905" s="2252" t="s">
        <v>697</v>
      </c>
      <c r="C2905" s="2268"/>
      <c r="D2905" s="2152">
        <v>0</v>
      </c>
      <c r="E2905" s="2194" t="s">
        <v>5087</v>
      </c>
      <c r="F2905" s="2152" t="s">
        <v>2532</v>
      </c>
      <c r="G2905" s="2269">
        <f>G2903*(9)*3</f>
        <v>0</v>
      </c>
      <c r="H2905" s="2264">
        <v>50996</v>
      </c>
      <c r="I2905" s="2264"/>
      <c r="J2905" s="2264">
        <v>0</v>
      </c>
      <c r="K2905" s="2264">
        <v>0</v>
      </c>
      <c r="L2905" s="2264">
        <f t="shared" ref="L2905:L2912" si="597">H2905*G2905</f>
        <v>0</v>
      </c>
      <c r="M2905" s="2264">
        <f>I2905*G2905</f>
        <v>0</v>
      </c>
      <c r="N2905" s="2264">
        <f t="shared" ref="N2905:N2912" si="598">J2905*G2905</f>
        <v>0</v>
      </c>
      <c r="O2905" s="2264">
        <f t="shared" ref="O2905:O2912" si="599">K2905*G2905</f>
        <v>0</v>
      </c>
      <c r="P2905" s="2389"/>
      <c r="Q2905" s="2266"/>
      <c r="R2905" s="2266"/>
      <c r="S2905" s="2266"/>
    </row>
    <row r="2906" spans="1:19" s="2105" customFormat="1" outlineLevel="1">
      <c r="A2906" s="2182" t="str">
        <f>IF(G2906&lt;&gt;0,1,"")</f>
        <v/>
      </c>
      <c r="B2906" s="2357" t="s">
        <v>1840</v>
      </c>
      <c r="C2906" s="2268"/>
      <c r="D2906" s="2152">
        <v>0</v>
      </c>
      <c r="E2906" s="2194" t="s">
        <v>5078</v>
      </c>
      <c r="F2906" s="2152" t="s">
        <v>2439</v>
      </c>
      <c r="G2906" s="2269">
        <f>G2903*3</f>
        <v>0</v>
      </c>
      <c r="H2906" s="2264">
        <v>65000</v>
      </c>
      <c r="I2906" s="2264"/>
      <c r="J2906" s="2264">
        <v>0</v>
      </c>
      <c r="K2906" s="2264">
        <v>0</v>
      </c>
      <c r="L2906" s="2264">
        <f t="shared" si="597"/>
        <v>0</v>
      </c>
      <c r="M2906" s="2264">
        <v>0</v>
      </c>
      <c r="N2906" s="2264">
        <f t="shared" si="598"/>
        <v>0</v>
      </c>
      <c r="O2906" s="2264">
        <f t="shared" si="599"/>
        <v>0</v>
      </c>
      <c r="P2906" s="2265"/>
      <c r="Q2906" s="2266"/>
      <c r="R2906" s="2266"/>
      <c r="S2906" s="2266"/>
    </row>
    <row r="2907" spans="1:19" s="2105" customFormat="1" outlineLevel="1">
      <c r="A2907" s="2182" t="str">
        <f t="shared" ref="A2907:A2912" si="600">IF(G2907&lt;&gt;0,1,"")</f>
        <v/>
      </c>
      <c r="B2907" s="2357" t="s">
        <v>1479</v>
      </c>
      <c r="C2907" s="2268"/>
      <c r="D2907" s="2152">
        <v>0</v>
      </c>
      <c r="E2907" s="2194" t="s">
        <v>3791</v>
      </c>
      <c r="F2907" s="2152" t="s">
        <v>2555</v>
      </c>
      <c r="G2907" s="2269">
        <f>G2903*3</f>
        <v>0</v>
      </c>
      <c r="H2907" s="2264">
        <v>46000</v>
      </c>
      <c r="I2907" s="2264"/>
      <c r="J2907" s="2264">
        <v>0</v>
      </c>
      <c r="K2907" s="2264">
        <v>0</v>
      </c>
      <c r="L2907" s="2264">
        <f t="shared" si="597"/>
        <v>0</v>
      </c>
      <c r="M2907" s="2264">
        <f t="shared" ref="M2907:M2912" si="601">I2907*G2907</f>
        <v>0</v>
      </c>
      <c r="N2907" s="2264">
        <f t="shared" si="598"/>
        <v>0</v>
      </c>
      <c r="O2907" s="2264">
        <f t="shared" si="599"/>
        <v>0</v>
      </c>
      <c r="P2907" s="2389"/>
      <c r="Q2907" s="2266"/>
      <c r="R2907" s="2266"/>
      <c r="S2907" s="2266"/>
    </row>
    <row r="2908" spans="1:19" s="2105" customFormat="1" outlineLevel="1">
      <c r="A2908" s="2182" t="str">
        <f t="shared" si="600"/>
        <v/>
      </c>
      <c r="B2908" s="2357" t="s">
        <v>1477</v>
      </c>
      <c r="C2908" s="2268"/>
      <c r="D2908" s="2152">
        <v>0</v>
      </c>
      <c r="E2908" s="2194" t="s">
        <v>6346</v>
      </c>
      <c r="F2908" s="2152" t="s">
        <v>2555</v>
      </c>
      <c r="G2908" s="2269">
        <f>G2907</f>
        <v>0</v>
      </c>
      <c r="H2908" s="2264">
        <v>77000</v>
      </c>
      <c r="I2908" s="2264"/>
      <c r="J2908" s="2264">
        <v>0</v>
      </c>
      <c r="K2908" s="2264">
        <v>0</v>
      </c>
      <c r="L2908" s="2264">
        <f t="shared" si="597"/>
        <v>0</v>
      </c>
      <c r="M2908" s="2264">
        <f t="shared" si="601"/>
        <v>0</v>
      </c>
      <c r="N2908" s="2264">
        <f t="shared" si="598"/>
        <v>0</v>
      </c>
      <c r="O2908" s="2264">
        <f t="shared" si="599"/>
        <v>0</v>
      </c>
      <c r="P2908" s="2389"/>
      <c r="Q2908" s="2266"/>
      <c r="R2908" s="2266"/>
      <c r="S2908" s="2266"/>
    </row>
    <row r="2909" spans="1:19" s="2105" customFormat="1" outlineLevel="1">
      <c r="A2909" s="2182" t="str">
        <f t="shared" si="600"/>
        <v/>
      </c>
      <c r="B2909" s="2252" t="s">
        <v>696</v>
      </c>
      <c r="C2909" s="2389"/>
      <c r="D2909" s="2152">
        <v>0</v>
      </c>
      <c r="E2909" s="2194" t="s">
        <v>2936</v>
      </c>
      <c r="F2909" s="2152" t="s">
        <v>2555</v>
      </c>
      <c r="G2909" s="2269">
        <f>G2903*6</f>
        <v>0</v>
      </c>
      <c r="H2909" s="2264">
        <v>205000</v>
      </c>
      <c r="I2909" s="2264"/>
      <c r="J2909" s="2264">
        <v>0</v>
      </c>
      <c r="K2909" s="2264">
        <v>0</v>
      </c>
      <c r="L2909" s="2264">
        <f t="shared" si="597"/>
        <v>0</v>
      </c>
      <c r="M2909" s="2264">
        <f t="shared" si="601"/>
        <v>0</v>
      </c>
      <c r="N2909" s="2264">
        <f t="shared" si="598"/>
        <v>0</v>
      </c>
      <c r="O2909" s="2264">
        <f t="shared" si="599"/>
        <v>0</v>
      </c>
      <c r="P2909" s="2389"/>
      <c r="Q2909" s="2266"/>
      <c r="R2909" s="2266"/>
      <c r="S2909" s="2266"/>
    </row>
    <row r="2910" spans="1:19" s="2105" customFormat="1" outlineLevel="1">
      <c r="A2910" s="2182" t="str">
        <f t="shared" si="600"/>
        <v/>
      </c>
      <c r="B2910" s="2252" t="s">
        <v>1265</v>
      </c>
      <c r="C2910" s="2268"/>
      <c r="D2910" s="2152">
        <v>0</v>
      </c>
      <c r="E2910" s="2194" t="s">
        <v>2823</v>
      </c>
      <c r="F2910" s="2152" t="s">
        <v>2555</v>
      </c>
      <c r="G2910" s="2269">
        <f>G2909</f>
        <v>0</v>
      </c>
      <c r="H2910" s="2264">
        <v>65000</v>
      </c>
      <c r="I2910" s="2264"/>
      <c r="J2910" s="2264">
        <v>0</v>
      </c>
      <c r="K2910" s="2264">
        <v>0</v>
      </c>
      <c r="L2910" s="2264">
        <f t="shared" si="597"/>
        <v>0</v>
      </c>
      <c r="M2910" s="2264">
        <f t="shared" si="601"/>
        <v>0</v>
      </c>
      <c r="N2910" s="2264">
        <f t="shared" si="598"/>
        <v>0</v>
      </c>
      <c r="O2910" s="2264">
        <f t="shared" si="599"/>
        <v>0</v>
      </c>
      <c r="P2910" s="2389"/>
      <c r="Q2910" s="2266"/>
      <c r="R2910" s="2266"/>
      <c r="S2910" s="2266"/>
    </row>
    <row r="2911" spans="1:19" s="2105" customFormat="1" outlineLevel="1">
      <c r="A2911" s="2182" t="str">
        <f t="shared" si="600"/>
        <v/>
      </c>
      <c r="B2911" s="2252" t="s">
        <v>1565</v>
      </c>
      <c r="C2911" s="2268"/>
      <c r="D2911" s="2152" t="s">
        <v>5560</v>
      </c>
      <c r="E2911" s="2194" t="s">
        <v>3271</v>
      </c>
      <c r="F2911" s="2152" t="s">
        <v>2439</v>
      </c>
      <c r="G2911" s="2269">
        <f>G2910</f>
        <v>0</v>
      </c>
      <c r="H2911" s="2264"/>
      <c r="I2911" s="2264"/>
      <c r="J2911" s="2264">
        <v>58277.49</v>
      </c>
      <c r="K2911" s="2264"/>
      <c r="L2911" s="2264">
        <f t="shared" si="597"/>
        <v>0</v>
      </c>
      <c r="M2911" s="2264">
        <f t="shared" si="601"/>
        <v>0</v>
      </c>
      <c r="N2911" s="2264">
        <f t="shared" si="598"/>
        <v>0</v>
      </c>
      <c r="O2911" s="2264">
        <f t="shared" si="599"/>
        <v>0</v>
      </c>
      <c r="P2911" s="2389"/>
      <c r="Q2911" s="2266"/>
      <c r="R2911" s="2266"/>
      <c r="S2911" s="2266"/>
    </row>
    <row r="2912" spans="1:19" s="2105" customFormat="1" outlineLevel="1">
      <c r="A2912" s="2182" t="str">
        <f t="shared" si="600"/>
        <v/>
      </c>
      <c r="B2912" s="2252" t="s">
        <v>1525</v>
      </c>
      <c r="C2912" s="2268"/>
      <c r="D2912" s="2152" t="s">
        <v>5571</v>
      </c>
      <c r="E2912" s="2194" t="s">
        <v>3292</v>
      </c>
      <c r="F2912" s="2152" t="s">
        <v>1823</v>
      </c>
      <c r="G2912" s="2269">
        <f>G2905</f>
        <v>0</v>
      </c>
      <c r="H2912" s="2264"/>
      <c r="I2912" s="2264"/>
      <c r="J2912" s="2264">
        <v>13915</v>
      </c>
      <c r="K2912" s="2264"/>
      <c r="L2912" s="2264">
        <f t="shared" si="597"/>
        <v>0</v>
      </c>
      <c r="M2912" s="2264">
        <f t="shared" si="601"/>
        <v>0</v>
      </c>
      <c r="N2912" s="2264">
        <f t="shared" si="598"/>
        <v>0</v>
      </c>
      <c r="O2912" s="2264">
        <f t="shared" si="599"/>
        <v>0</v>
      </c>
      <c r="P2912" s="2389"/>
      <c r="Q2912" s="2266"/>
      <c r="R2912" s="2266"/>
      <c r="S2912" s="2266"/>
    </row>
    <row r="2913" spans="1:19" s="2105" customFormat="1" outlineLevel="1">
      <c r="A2913" s="2182" t="str">
        <f>IF(G2913&lt;&gt;0,1,"")</f>
        <v/>
      </c>
      <c r="B2913" s="2252"/>
      <c r="C2913" s="2258">
        <f>IF(G2913&gt;0,C2903+1,C2903)</f>
        <v>0</v>
      </c>
      <c r="D2913" s="2259"/>
      <c r="E2913" s="2260" t="s">
        <v>3728</v>
      </c>
      <c r="F2913" s="2258" t="s">
        <v>2385</v>
      </c>
      <c r="G2913" s="2269">
        <f>G2865</f>
        <v>0</v>
      </c>
      <c r="H2913" s="2264"/>
      <c r="I2913" s="2264"/>
      <c r="J2913" s="2264"/>
      <c r="K2913" s="2264"/>
      <c r="L2913" s="2264"/>
      <c r="M2913" s="2264"/>
      <c r="N2913" s="2264"/>
      <c r="O2913" s="2264"/>
      <c r="P2913" s="2389"/>
      <c r="Q2913" s="2266"/>
      <c r="R2913" s="2266"/>
      <c r="S2913" s="2266"/>
    </row>
    <row r="2914" spans="1:19" s="2105" customFormat="1" ht="14.4" outlineLevel="1">
      <c r="A2914" s="2182" t="str">
        <f>A2913</f>
        <v/>
      </c>
      <c r="B2914" s="2252"/>
      <c r="C2914" s="2258"/>
      <c r="D2914" s="2259"/>
      <c r="E2914" s="2274" t="s">
        <v>6133</v>
      </c>
      <c r="F2914" s="2258"/>
      <c r="G2914" s="2269"/>
      <c r="H2914" s="2264"/>
      <c r="I2914" s="2264"/>
      <c r="J2914" s="2264"/>
      <c r="K2914" s="2264"/>
      <c r="L2914" s="2264"/>
      <c r="M2914" s="2264"/>
      <c r="N2914" s="2264"/>
      <c r="O2914" s="2264"/>
      <c r="P2914" s="2389"/>
      <c r="Q2914" s="2266"/>
      <c r="R2914" s="2266"/>
      <c r="S2914" s="2266"/>
    </row>
    <row r="2915" spans="1:19" s="2105" customFormat="1" outlineLevel="1">
      <c r="A2915" s="2182" t="str">
        <f>IF(G2915&lt;&gt;0,1,"")</f>
        <v/>
      </c>
      <c r="B2915" s="2261" t="s">
        <v>4757</v>
      </c>
      <c r="C2915" s="2268"/>
      <c r="D2915" s="2152">
        <v>0</v>
      </c>
      <c r="E2915" s="2194" t="s">
        <v>2799</v>
      </c>
      <c r="F2915" s="2152" t="s">
        <v>2532</v>
      </c>
      <c r="G2915" s="2269">
        <f>+G2913*(5*3*6+6*3)</f>
        <v>0</v>
      </c>
      <c r="H2915" s="2264">
        <v>567100</v>
      </c>
      <c r="I2915" s="2264"/>
      <c r="J2915" s="2264">
        <v>0</v>
      </c>
      <c r="K2915" s="2264">
        <v>0</v>
      </c>
      <c r="L2915" s="2264">
        <f>H2915*G2915</f>
        <v>0</v>
      </c>
      <c r="M2915" s="2264">
        <f>I2915*G2915</f>
        <v>0</v>
      </c>
      <c r="N2915" s="2264">
        <f t="shared" ref="N2915:N2923" si="602">J2915*G2915</f>
        <v>0</v>
      </c>
      <c r="O2915" s="2264">
        <f>K2915*G2915</f>
        <v>0</v>
      </c>
      <c r="P2915" s="2389"/>
      <c r="Q2915" s="2266"/>
      <c r="R2915" s="2266"/>
      <c r="S2915" s="2266"/>
    </row>
    <row r="2916" spans="1:19" s="2105" customFormat="1" outlineLevel="1">
      <c r="A2916" s="2182" t="str">
        <f>IF(G2916&lt;&gt;0,1,"")</f>
        <v/>
      </c>
      <c r="B2916" s="2261" t="s">
        <v>1822</v>
      </c>
      <c r="C2916" s="2268"/>
      <c r="D2916" s="2152" t="s">
        <v>1527</v>
      </c>
      <c r="E2916" s="2194" t="s">
        <v>2784</v>
      </c>
      <c r="F2916" s="2152" t="s">
        <v>2532</v>
      </c>
      <c r="G2916" s="2269">
        <f>+G2913*4</f>
        <v>0</v>
      </c>
      <c r="H2916" s="2264">
        <v>28200</v>
      </c>
      <c r="I2916" s="2264"/>
      <c r="J2916" s="2264">
        <v>0</v>
      </c>
      <c r="K2916" s="2264">
        <v>0</v>
      </c>
      <c r="L2916" s="2264">
        <f>H2916*G2916</f>
        <v>0</v>
      </c>
      <c r="M2916" s="2264">
        <f>I2916*G2916</f>
        <v>0</v>
      </c>
      <c r="N2916" s="2264">
        <f t="shared" si="602"/>
        <v>0</v>
      </c>
      <c r="O2916" s="2264">
        <f>K2916*G2916</f>
        <v>0</v>
      </c>
      <c r="P2916" s="2265"/>
      <c r="Q2916" s="2266"/>
      <c r="R2916" s="2266"/>
      <c r="S2916" s="2266"/>
    </row>
    <row r="2917" spans="1:19" s="2105" customFormat="1" outlineLevel="1">
      <c r="A2917" s="2182" t="str">
        <f t="shared" ref="A2917:A2924" si="603">IF(G2917&lt;&gt;0,1,"")</f>
        <v/>
      </c>
      <c r="B2917" s="2261" t="s">
        <v>2156</v>
      </c>
      <c r="C2917" s="2268"/>
      <c r="D2917" s="2152" t="s">
        <v>5731</v>
      </c>
      <c r="E2917" s="2194" t="s">
        <v>3486</v>
      </c>
      <c r="F2917" s="2152" t="s">
        <v>2555</v>
      </c>
      <c r="G2917" s="2269">
        <f>+G2913*28</f>
        <v>0</v>
      </c>
      <c r="H2917" s="2264">
        <v>70000</v>
      </c>
      <c r="I2917" s="2264"/>
      <c r="J2917" s="2264">
        <v>50013.645000000004</v>
      </c>
      <c r="K2917" s="2264">
        <v>5554.0464950000005</v>
      </c>
      <c r="L2917" s="2264">
        <f t="shared" ref="L2917:L2923" si="604">H2917*G2917</f>
        <v>0</v>
      </c>
      <c r="M2917" s="2264">
        <f t="shared" ref="M2917:M2923" si="605">I2917*G2917</f>
        <v>0</v>
      </c>
      <c r="N2917" s="2264">
        <f t="shared" si="602"/>
        <v>0</v>
      </c>
      <c r="O2917" s="2264">
        <f t="shared" ref="O2917:O2923" si="606">K2917*G2917</f>
        <v>0</v>
      </c>
      <c r="P2917" s="2389"/>
      <c r="Q2917" s="2266"/>
      <c r="R2917" s="2266"/>
      <c r="S2917" s="2266"/>
    </row>
    <row r="2918" spans="1:19" s="2105" customFormat="1" outlineLevel="1">
      <c r="A2918" s="2182" t="str">
        <f t="shared" si="603"/>
        <v/>
      </c>
      <c r="B2918" s="2261" t="s">
        <v>90</v>
      </c>
      <c r="C2918" s="2268"/>
      <c r="D2918" s="2152">
        <v>0</v>
      </c>
      <c r="E2918" s="2194" t="s">
        <v>3500</v>
      </c>
      <c r="F2918" s="2152" t="s">
        <v>2555</v>
      </c>
      <c r="G2918" s="2269">
        <f>G2917</f>
        <v>0</v>
      </c>
      <c r="H2918" s="2264">
        <v>6000</v>
      </c>
      <c r="I2918" s="2264"/>
      <c r="J2918" s="2264">
        <v>0</v>
      </c>
      <c r="K2918" s="2264">
        <v>0</v>
      </c>
      <c r="L2918" s="2264">
        <f t="shared" si="604"/>
        <v>0</v>
      </c>
      <c r="M2918" s="2264">
        <f t="shared" si="605"/>
        <v>0</v>
      </c>
      <c r="N2918" s="2264">
        <f t="shared" si="602"/>
        <v>0</v>
      </c>
      <c r="O2918" s="2264">
        <f t="shared" si="606"/>
        <v>0</v>
      </c>
      <c r="P2918" s="2389"/>
      <c r="Q2918" s="2266"/>
      <c r="R2918" s="2266"/>
      <c r="S2918" s="2266"/>
    </row>
    <row r="2919" spans="1:19" s="2105" customFormat="1" outlineLevel="1">
      <c r="A2919" s="2182" t="str">
        <f t="shared" si="603"/>
        <v/>
      </c>
      <c r="B2919" s="2261" t="s">
        <v>1042</v>
      </c>
      <c r="C2919" s="2268"/>
      <c r="D2919" s="2152">
        <v>0</v>
      </c>
      <c r="E2919" s="2194" t="s">
        <v>3531</v>
      </c>
      <c r="F2919" s="2152" t="s">
        <v>1823</v>
      </c>
      <c r="G2919" s="2269">
        <f>+G2913*2*3</f>
        <v>0</v>
      </c>
      <c r="H2919" s="2264">
        <v>103700</v>
      </c>
      <c r="I2919" s="2264"/>
      <c r="J2919" s="2264">
        <v>0</v>
      </c>
      <c r="K2919" s="2264">
        <v>0</v>
      </c>
      <c r="L2919" s="2264">
        <f t="shared" si="604"/>
        <v>0</v>
      </c>
      <c r="M2919" s="2264">
        <f t="shared" si="605"/>
        <v>0</v>
      </c>
      <c r="N2919" s="2264">
        <f t="shared" si="602"/>
        <v>0</v>
      </c>
      <c r="O2919" s="2264">
        <f t="shared" si="606"/>
        <v>0</v>
      </c>
      <c r="P2919" s="2389"/>
      <c r="Q2919" s="2266"/>
      <c r="R2919" s="2266"/>
      <c r="S2919" s="2266"/>
    </row>
    <row r="2920" spans="1:19" s="2105" customFormat="1" outlineLevel="1">
      <c r="A2920" s="2182" t="str">
        <f t="shared" si="603"/>
        <v/>
      </c>
      <c r="B2920" s="2261" t="s">
        <v>1451</v>
      </c>
      <c r="C2920" s="2268"/>
      <c r="D2920" s="2152">
        <v>0</v>
      </c>
      <c r="E2920" s="2194" t="s">
        <v>3456</v>
      </c>
      <c r="F2920" s="2152" t="s">
        <v>2439</v>
      </c>
      <c r="G2920" s="2269">
        <f>+G2913*1</f>
        <v>0</v>
      </c>
      <c r="H2920" s="2264">
        <v>1020708</v>
      </c>
      <c r="I2920" s="2264"/>
      <c r="J2920" s="2264">
        <v>28461</v>
      </c>
      <c r="K2920" s="2264">
        <v>49488</v>
      </c>
      <c r="L2920" s="2264">
        <f t="shared" si="604"/>
        <v>0</v>
      </c>
      <c r="M2920" s="2264">
        <f t="shared" si="605"/>
        <v>0</v>
      </c>
      <c r="N2920" s="2264">
        <f t="shared" si="602"/>
        <v>0</v>
      </c>
      <c r="O2920" s="2264">
        <f t="shared" si="606"/>
        <v>0</v>
      </c>
      <c r="P2920" s="2389"/>
      <c r="Q2920" s="2422"/>
      <c r="R2920" s="2266"/>
      <c r="S2920" s="2266"/>
    </row>
    <row r="2921" spans="1:19" s="2105" customFormat="1" outlineLevel="1">
      <c r="A2921" s="2182" t="str">
        <f t="shared" si="603"/>
        <v/>
      </c>
      <c r="B2921" s="2252" t="s">
        <v>6</v>
      </c>
      <c r="C2921" s="2268"/>
      <c r="D2921" s="2152"/>
      <c r="E2921" s="2194" t="s">
        <v>3567</v>
      </c>
      <c r="F2921" s="2152" t="s">
        <v>5806</v>
      </c>
      <c r="G2921" s="2269">
        <f>+G2913*3</f>
        <v>0</v>
      </c>
      <c r="H2921" s="2264">
        <v>45000</v>
      </c>
      <c r="I2921" s="2264"/>
      <c r="J2921" s="2264"/>
      <c r="K2921" s="2264"/>
      <c r="L2921" s="2264">
        <f t="shared" si="604"/>
        <v>0</v>
      </c>
      <c r="M2921" s="2264">
        <f t="shared" si="605"/>
        <v>0</v>
      </c>
      <c r="N2921" s="2264">
        <f t="shared" si="602"/>
        <v>0</v>
      </c>
      <c r="O2921" s="2264">
        <f t="shared" si="606"/>
        <v>0</v>
      </c>
      <c r="P2921" s="2265"/>
      <c r="Q2921" s="2266"/>
      <c r="R2921" s="2266"/>
      <c r="S2921" s="2266"/>
    </row>
    <row r="2922" spans="1:19" s="2105" customFormat="1" outlineLevel="1">
      <c r="A2922" s="2182" t="str">
        <f t="shared" si="603"/>
        <v/>
      </c>
      <c r="B2922" s="2261" t="s">
        <v>1348</v>
      </c>
      <c r="C2922" s="2268"/>
      <c r="D2922" s="2152">
        <v>0</v>
      </c>
      <c r="E2922" s="2194" t="s">
        <v>3518</v>
      </c>
      <c r="F2922" s="2152" t="s">
        <v>3519</v>
      </c>
      <c r="G2922" s="2269">
        <f>+G2921</f>
        <v>0</v>
      </c>
      <c r="H2922" s="2264">
        <v>15000</v>
      </c>
      <c r="I2922" s="2264"/>
      <c r="J2922" s="2264">
        <v>0</v>
      </c>
      <c r="K2922" s="2264">
        <v>0</v>
      </c>
      <c r="L2922" s="2264">
        <f t="shared" si="604"/>
        <v>0</v>
      </c>
      <c r="M2922" s="2264">
        <f t="shared" si="605"/>
        <v>0</v>
      </c>
      <c r="N2922" s="2264">
        <f t="shared" si="602"/>
        <v>0</v>
      </c>
      <c r="O2922" s="2264">
        <f t="shared" si="606"/>
        <v>0</v>
      </c>
      <c r="P2922" s="2265"/>
      <c r="Q2922" s="2266"/>
      <c r="R2922" s="2266"/>
      <c r="S2922" s="2266"/>
    </row>
    <row r="2923" spans="1:19" s="2105" customFormat="1" outlineLevel="1">
      <c r="A2923" s="2182" t="str">
        <f t="shared" si="603"/>
        <v/>
      </c>
      <c r="B2923" s="2252" t="s">
        <v>672</v>
      </c>
      <c r="C2923" s="2268"/>
      <c r="D2923" s="2152">
        <v>0</v>
      </c>
      <c r="E2923" s="2194" t="s">
        <v>5801</v>
      </c>
      <c r="F2923" s="2152" t="s">
        <v>3566</v>
      </c>
      <c r="G2923" s="2269">
        <f>+G2913*1</f>
        <v>0</v>
      </c>
      <c r="H2923" s="2264">
        <v>6500</v>
      </c>
      <c r="I2923" s="2264"/>
      <c r="J2923" s="2264">
        <v>0</v>
      </c>
      <c r="K2923" s="2264">
        <v>0</v>
      </c>
      <c r="L2923" s="2264">
        <f t="shared" si="604"/>
        <v>0</v>
      </c>
      <c r="M2923" s="2264">
        <f t="shared" si="605"/>
        <v>0</v>
      </c>
      <c r="N2923" s="2264">
        <f t="shared" si="602"/>
        <v>0</v>
      </c>
      <c r="O2923" s="2264">
        <f t="shared" si="606"/>
        <v>0</v>
      </c>
      <c r="P2923" s="2389"/>
      <c r="Q2923" s="2266"/>
      <c r="R2923" s="2266"/>
      <c r="S2923" s="2266"/>
    </row>
    <row r="2924" spans="1:19" s="2105" customFormat="1" outlineLevel="1">
      <c r="A2924" s="2182" t="str">
        <f t="shared" si="603"/>
        <v/>
      </c>
      <c r="B2924" s="2252" t="s">
        <v>247</v>
      </c>
      <c r="C2924" s="2268"/>
      <c r="D2924" s="2152" t="s">
        <v>5573</v>
      </c>
      <c r="E2924" s="2194" t="s">
        <v>5574</v>
      </c>
      <c r="F2924" s="2152" t="s">
        <v>1823</v>
      </c>
      <c r="G2924" s="2269">
        <f>G2915</f>
        <v>0</v>
      </c>
      <c r="H2924" s="2264">
        <v>0</v>
      </c>
      <c r="I2924" s="2264"/>
      <c r="J2924" s="2264">
        <v>47311</v>
      </c>
      <c r="K2924" s="2264">
        <v>0</v>
      </c>
      <c r="L2924" s="2264">
        <f>H2924*G2924</f>
        <v>0</v>
      </c>
      <c r="M2924" s="2264">
        <f>I2924*G2924</f>
        <v>0</v>
      </c>
      <c r="N2924" s="2264">
        <f>J2924*G2924</f>
        <v>0</v>
      </c>
      <c r="O2924" s="2264">
        <f>K2924*G2924</f>
        <v>0</v>
      </c>
      <c r="P2924" s="2389"/>
      <c r="Q2924" s="2266"/>
      <c r="R2924" s="2266"/>
      <c r="S2924" s="2266"/>
    </row>
    <row r="2925" spans="1:19" s="2105" customFormat="1" outlineLevel="1">
      <c r="A2925" s="2182">
        <f>A2788</f>
        <v>0</v>
      </c>
      <c r="B2925" s="2357"/>
      <c r="C2925" s="2423"/>
      <c r="D2925" s="2424"/>
      <c r="E2925" s="2399"/>
      <c r="F2925" s="2637"/>
      <c r="G2925" s="2638"/>
      <c r="H2925" s="2637"/>
      <c r="I2925" s="2637"/>
      <c r="J2925" s="2647" t="s">
        <v>6131</v>
      </c>
      <c r="K2925" s="2647"/>
      <c r="L2925" s="2425">
        <f>SUM(L2804:L2924)</f>
        <v>0</v>
      </c>
      <c r="M2925" s="2425">
        <f>SUM(M2804:M2924)</f>
        <v>0</v>
      </c>
      <c r="N2925" s="2425">
        <f>SUM(N2804:N2924)</f>
        <v>0</v>
      </c>
      <c r="O2925" s="2425">
        <f>SUM(O2804:O2924)</f>
        <v>0</v>
      </c>
      <c r="P2925" s="2396"/>
      <c r="Q2925" s="2266"/>
      <c r="R2925" s="2266"/>
      <c r="S2925" s="2266"/>
    </row>
    <row r="2926" spans="1:19" s="2105" customFormat="1" outlineLevel="1">
      <c r="A2926" s="2182"/>
      <c r="B2926" s="2357"/>
      <c r="C2926" s="2527"/>
      <c r="D2926" s="2527"/>
      <c r="E2926" s="2528"/>
      <c r="F2926" s="2645"/>
      <c r="G2926" s="2644"/>
      <c r="H2926" s="2645"/>
      <c r="I2926" s="2645"/>
      <c r="J2926" s="2528"/>
      <c r="K2926" s="2528"/>
      <c r="L2926" s="2529"/>
      <c r="M2926" s="2529"/>
      <c r="N2926" s="2529"/>
      <c r="O2926" s="2529"/>
      <c r="P2926" s="2386"/>
      <c r="Q2926" s="2266"/>
      <c r="R2926" s="2266"/>
      <c r="S2926" s="2266"/>
    </row>
    <row r="2927" spans="1:19" s="2105" customFormat="1" ht="13.95" customHeight="1">
      <c r="A2927" s="2386">
        <f>IF(G2932&gt;0,1,)</f>
        <v>0</v>
      </c>
      <c r="B2927" s="2252"/>
      <c r="C2927" s="2266"/>
      <c r="D2927" s="2266"/>
      <c r="E2927" s="2436"/>
      <c r="F2927" s="2266"/>
      <c r="G2927" s="2437"/>
      <c r="H2927" s="2266"/>
      <c r="I2927" s="2266"/>
      <c r="J2927" s="2266"/>
      <c r="K2927" s="2266"/>
      <c r="L2927" s="2266"/>
      <c r="M2927" s="2266"/>
      <c r="N2927" s="2266"/>
      <c r="O2927" s="2266"/>
      <c r="P2927" s="2266"/>
      <c r="Q2927" s="2266"/>
      <c r="R2927" s="2266"/>
      <c r="S2927" s="2266"/>
    </row>
    <row r="2928" spans="1:19" s="2105" customFormat="1" outlineLevel="1">
      <c r="A2928" s="2182">
        <f>A2927</f>
        <v>0</v>
      </c>
      <c r="B2928" s="2387"/>
      <c r="C2928" s="2624" t="str">
        <f>"BẢNG TỔNG HỢP VẬT LIỆU, NHÂN CÔNG, MÁY THI CÔNG: "&amp;K18&amp;" TRẠM 3P_1250KVA"</f>
        <v>BẢNG TỔNG HỢP VẬT LIỆU, NHÂN CÔNG, MÁY THI CÔNG:  TRẠM 3P_1250KVA</v>
      </c>
      <c r="D2928" s="2639"/>
      <c r="E2928" s="2639"/>
      <c r="F2928" s="2639"/>
      <c r="G2928" s="2639"/>
      <c r="H2928" s="2640"/>
      <c r="I2928" s="2528"/>
      <c r="J2928" s="2640"/>
      <c r="K2928" s="2640"/>
      <c r="L2928" s="2640"/>
      <c r="M2928" s="2528"/>
      <c r="N2928" s="2640"/>
      <c r="O2928" s="2640"/>
      <c r="P2928" s="2642"/>
      <c r="Q2928" s="2266"/>
      <c r="R2928" s="2266"/>
      <c r="S2928" s="2266"/>
    </row>
    <row r="2929" spans="1:19" s="2105" customFormat="1" outlineLevel="1">
      <c r="A2929" s="2182">
        <f>A2927</f>
        <v>0</v>
      </c>
      <c r="B2929" s="2261" t="s">
        <v>6112</v>
      </c>
      <c r="C2929" s="2648" t="s">
        <v>1708</v>
      </c>
      <c r="D2929" s="2649" t="s">
        <v>2597</v>
      </c>
      <c r="E2929" s="2651" t="s">
        <v>2598</v>
      </c>
      <c r="F2929" s="2648" t="s">
        <v>2593</v>
      </c>
      <c r="G2929" s="2109" t="s">
        <v>6113</v>
      </c>
      <c r="H2929" s="2112" t="s">
        <v>6114</v>
      </c>
      <c r="I2929" s="2619"/>
      <c r="J2929" s="2619"/>
      <c r="K2929" s="2620"/>
      <c r="L2929" s="2112" t="s">
        <v>6115</v>
      </c>
      <c r="M2929" s="2619"/>
      <c r="N2929" s="2619"/>
      <c r="O2929" s="2620"/>
      <c r="P2929" s="2648" t="s">
        <v>2599</v>
      </c>
      <c r="Q2929" s="2266"/>
      <c r="R2929" s="2266"/>
      <c r="S2929" s="2266"/>
    </row>
    <row r="2930" spans="1:19" s="2105" customFormat="1" outlineLevel="1">
      <c r="A2930" s="2182">
        <f>A2929</f>
        <v>0</v>
      </c>
      <c r="B2930" s="2261"/>
      <c r="C2930" s="2648"/>
      <c r="D2930" s="2650"/>
      <c r="E2930" s="2652"/>
      <c r="F2930" s="2648"/>
      <c r="G2930" s="2111" t="s">
        <v>2286</v>
      </c>
      <c r="H2930" s="2112" t="s">
        <v>6116</v>
      </c>
      <c r="I2930" s="2112" t="s">
        <v>6117</v>
      </c>
      <c r="J2930" s="2112" t="s">
        <v>6118</v>
      </c>
      <c r="K2930" s="2112" t="s">
        <v>6119</v>
      </c>
      <c r="L2930" s="2112" t="s">
        <v>6116</v>
      </c>
      <c r="M2930" s="2112" t="s">
        <v>6117</v>
      </c>
      <c r="N2930" s="2112" t="s">
        <v>6118</v>
      </c>
      <c r="O2930" s="2112" t="s">
        <v>6119</v>
      </c>
      <c r="P2930" s="2648"/>
      <c r="Q2930" s="2266"/>
      <c r="R2930" s="2266"/>
      <c r="S2930" s="2266"/>
    </row>
    <row r="2931" spans="1:19" s="2105" customFormat="1" outlineLevel="1">
      <c r="A2931" s="2182">
        <f>A2930</f>
        <v>0</v>
      </c>
      <c r="B2931" s="2261"/>
      <c r="C2931" s="2113"/>
      <c r="D2931" s="2114"/>
      <c r="E2931" s="2115" t="s">
        <v>3672</v>
      </c>
      <c r="F2931" s="2116"/>
      <c r="G2931" s="2116"/>
      <c r="H2931" s="2116"/>
      <c r="I2931" s="2116"/>
      <c r="J2931" s="2116"/>
      <c r="K2931" s="2116"/>
      <c r="L2931" s="2116"/>
      <c r="M2931" s="2116"/>
      <c r="N2931" s="2116"/>
      <c r="O2931" s="2114"/>
      <c r="P2931" s="2117"/>
      <c r="Q2931" s="2266"/>
      <c r="R2931" s="2266"/>
      <c r="S2931" s="2266"/>
    </row>
    <row r="2932" spans="1:19" s="2105" customFormat="1" outlineLevel="1">
      <c r="A2932" s="2182" t="str">
        <f t="shared" ref="A2932:A2942" si="607">IF(G2932&lt;&gt;0,1,"")</f>
        <v/>
      </c>
      <c r="B2932" s="2252" t="str">
        <f>IF($F$8=15,"tr1250","tr12501")</f>
        <v>tr12501</v>
      </c>
      <c r="C2932" s="2268">
        <f>IF(G2932&gt;0,1,0)</f>
        <v>0</v>
      </c>
      <c r="D2932" s="2152" t="s">
        <v>5594</v>
      </c>
      <c r="E2932" s="2194" t="s">
        <v>3336</v>
      </c>
      <c r="F2932" s="2152" t="s">
        <v>3300</v>
      </c>
      <c r="G2932" s="2563"/>
      <c r="H2932" s="2359">
        <v>616819000</v>
      </c>
      <c r="I2932" s="2359"/>
      <c r="J2932" s="2359">
        <v>1928901</v>
      </c>
      <c r="K2932" s="2359">
        <v>426761</v>
      </c>
      <c r="L2932" s="2360">
        <f t="shared" ref="L2932:L2942" si="608">H2932*G2932</f>
        <v>0</v>
      </c>
      <c r="M2932" s="2360">
        <f t="shared" ref="M2932:M2942" si="609">I2932*G2932</f>
        <v>0</v>
      </c>
      <c r="N2932" s="2360">
        <f t="shared" ref="N2932:N2942" si="610">J2932*G2932</f>
        <v>0</v>
      </c>
      <c r="O2932" s="2361">
        <f t="shared" ref="O2932:O2942" si="611">K2932*G2932</f>
        <v>0</v>
      </c>
      <c r="P2932" s="2564"/>
      <c r="Q2932" s="2266"/>
      <c r="R2932" s="2266"/>
      <c r="S2932" s="2266"/>
    </row>
    <row r="2933" spans="1:19" s="2105" customFormat="1" outlineLevel="1">
      <c r="A2933" s="2182" t="str">
        <f t="shared" si="607"/>
        <v/>
      </c>
      <c r="B2933" s="2357" t="s">
        <v>393</v>
      </c>
      <c r="C2933" s="2268">
        <f>IF(G2933&gt;0,C2932+1,C2932)</f>
        <v>0</v>
      </c>
      <c r="D2933" s="2152" t="s">
        <v>5600</v>
      </c>
      <c r="E2933" s="2194" t="s">
        <v>1593</v>
      </c>
      <c r="F2933" s="2152" t="s">
        <v>2439</v>
      </c>
      <c r="G2933" s="2269">
        <f>G2932*0</f>
        <v>0</v>
      </c>
      <c r="H2933" s="2359">
        <v>16664000</v>
      </c>
      <c r="I2933" s="2359">
        <v>0</v>
      </c>
      <c r="J2933" s="2359">
        <v>0</v>
      </c>
      <c r="K2933" s="2359">
        <v>262622</v>
      </c>
      <c r="L2933" s="2360">
        <f t="shared" si="608"/>
        <v>0</v>
      </c>
      <c r="M2933" s="2360">
        <f t="shared" si="609"/>
        <v>0</v>
      </c>
      <c r="N2933" s="2360">
        <f t="shared" si="610"/>
        <v>0</v>
      </c>
      <c r="O2933" s="2361">
        <f t="shared" si="611"/>
        <v>0</v>
      </c>
      <c r="P2933" s="2265"/>
      <c r="Q2933" s="2266"/>
      <c r="R2933" s="2266"/>
      <c r="S2933" s="2266"/>
    </row>
    <row r="2934" spans="1:19" s="2105" customFormat="1" outlineLevel="1">
      <c r="A2934" s="2182" t="str">
        <f t="shared" si="607"/>
        <v/>
      </c>
      <c r="B2934" s="2261" t="s">
        <v>1</v>
      </c>
      <c r="C2934" s="2268">
        <f t="shared" ref="C2934:C2939" si="612">IF(G2934&gt;0,C2933+1,C2933)</f>
        <v>0</v>
      </c>
      <c r="D2934" s="2152" t="s">
        <v>1388</v>
      </c>
      <c r="E2934" s="2194" t="s">
        <v>3384</v>
      </c>
      <c r="F2934" s="2152" t="s">
        <v>3370</v>
      </c>
      <c r="G2934" s="2269">
        <f>G2932*0</f>
        <v>0</v>
      </c>
      <c r="H2934" s="2359">
        <v>0</v>
      </c>
      <c r="I2934" s="2359">
        <v>0</v>
      </c>
      <c r="J2934" s="2359">
        <v>286129</v>
      </c>
      <c r="K2934" s="2359">
        <v>59254</v>
      </c>
      <c r="L2934" s="2360">
        <f t="shared" si="608"/>
        <v>0</v>
      </c>
      <c r="M2934" s="2360">
        <f t="shared" si="609"/>
        <v>0</v>
      </c>
      <c r="N2934" s="2360">
        <f t="shared" si="610"/>
        <v>0</v>
      </c>
      <c r="O2934" s="2361">
        <f t="shared" si="611"/>
        <v>0</v>
      </c>
      <c r="P2934" s="2389" t="s">
        <v>6285</v>
      </c>
      <c r="Q2934" s="2266"/>
      <c r="R2934" s="2266"/>
      <c r="S2934" s="2266"/>
    </row>
    <row r="2935" spans="1:19" s="2105" customFormat="1" outlineLevel="1">
      <c r="A2935" s="2182" t="str">
        <f t="shared" si="607"/>
        <v/>
      </c>
      <c r="B2935" s="2118" t="str">
        <f>"FCO100-"&amp;$F$8</f>
        <v>FCO100-22</v>
      </c>
      <c r="C2935" s="2268">
        <f t="shared" si="612"/>
        <v>0</v>
      </c>
      <c r="D2935" s="2152" t="s">
        <v>5598</v>
      </c>
      <c r="E2935" s="2194" t="s">
        <v>95</v>
      </c>
      <c r="F2935" s="2152" t="s">
        <v>2555</v>
      </c>
      <c r="G2935" s="2269">
        <f>+G2932*3</f>
        <v>0</v>
      </c>
      <c r="H2935" s="2264">
        <v>2244280</v>
      </c>
      <c r="I2935" s="2264">
        <v>0</v>
      </c>
      <c r="J2935" s="2264">
        <v>222639.99999999997</v>
      </c>
      <c r="K2935" s="2264">
        <v>0</v>
      </c>
      <c r="L2935" s="2264">
        <f t="shared" si="608"/>
        <v>0</v>
      </c>
      <c r="M2935" s="2264">
        <f t="shared" si="609"/>
        <v>0</v>
      </c>
      <c r="N2935" s="2264">
        <f t="shared" si="610"/>
        <v>0</v>
      </c>
      <c r="O2935" s="2264">
        <f t="shared" si="611"/>
        <v>0</v>
      </c>
      <c r="P2935" s="2265"/>
      <c r="Q2935" s="2266"/>
      <c r="R2935" s="2266"/>
      <c r="S2935" s="2266"/>
    </row>
    <row r="2936" spans="1:19" s="2105" customFormat="1" outlineLevel="1">
      <c r="A2936" s="2182" t="str">
        <f t="shared" si="607"/>
        <v/>
      </c>
      <c r="B2936" s="2252" t="str">
        <f>IF($F$8=15,"CHI65K","CHI50K")</f>
        <v>CHI50K</v>
      </c>
      <c r="C2936" s="2268">
        <f t="shared" si="612"/>
        <v>0</v>
      </c>
      <c r="D2936" s="2152">
        <v>0</v>
      </c>
      <c r="E2936" s="2194" t="s">
        <v>3432</v>
      </c>
      <c r="F2936" s="2152" t="s">
        <v>2600</v>
      </c>
      <c r="G2936" s="2269">
        <f>G2935</f>
        <v>0</v>
      </c>
      <c r="H2936" s="2264">
        <v>132000</v>
      </c>
      <c r="I2936" s="2264">
        <v>0</v>
      </c>
      <c r="J2936" s="2264">
        <v>0</v>
      </c>
      <c r="K2936" s="2264">
        <v>0</v>
      </c>
      <c r="L2936" s="2264">
        <f t="shared" si="608"/>
        <v>0</v>
      </c>
      <c r="M2936" s="2264">
        <f t="shared" si="609"/>
        <v>0</v>
      </c>
      <c r="N2936" s="2264">
        <f t="shared" si="610"/>
        <v>0</v>
      </c>
      <c r="O2936" s="2264">
        <f t="shared" si="611"/>
        <v>0</v>
      </c>
      <c r="P2936" s="2265"/>
      <c r="Q2936" s="2266"/>
      <c r="R2936" s="2266"/>
      <c r="S2936" s="2266"/>
    </row>
    <row r="2937" spans="1:19" s="2105" customFormat="1" outlineLevel="1">
      <c r="A2937" s="2182" t="str">
        <f t="shared" si="607"/>
        <v/>
      </c>
      <c r="B2937" s="2261" t="str">
        <f>"LA"&amp;$F$6</f>
        <v>LA18</v>
      </c>
      <c r="C2937" s="2268">
        <f t="shared" si="612"/>
        <v>0</v>
      </c>
      <c r="D2937" s="2152" t="s">
        <v>5602</v>
      </c>
      <c r="E2937" s="2194" t="s">
        <v>1193</v>
      </c>
      <c r="F2937" s="2152" t="s">
        <v>2555</v>
      </c>
      <c r="G2937" s="2269">
        <f>G2932*3</f>
        <v>0</v>
      </c>
      <c r="H2937" s="2264">
        <v>1106000</v>
      </c>
      <c r="I2937" s="2264">
        <v>0</v>
      </c>
      <c r="J2937" s="2264">
        <v>83490</v>
      </c>
      <c r="K2937" s="2264">
        <v>0</v>
      </c>
      <c r="L2937" s="2264">
        <f t="shared" si="608"/>
        <v>0</v>
      </c>
      <c r="M2937" s="2264">
        <f t="shared" si="609"/>
        <v>0</v>
      </c>
      <c r="N2937" s="2264">
        <f t="shared" si="610"/>
        <v>0</v>
      </c>
      <c r="O2937" s="2264">
        <f t="shared" si="611"/>
        <v>0</v>
      </c>
      <c r="P2937" s="2265"/>
      <c r="Q2937" s="2266"/>
      <c r="R2937" s="2266"/>
      <c r="S2937" s="2266"/>
    </row>
    <row r="2938" spans="1:19" s="2105" customFormat="1" outlineLevel="1">
      <c r="A2938" s="2182" t="str">
        <f t="shared" si="607"/>
        <v/>
      </c>
      <c r="B2938" s="2357" t="s">
        <v>440</v>
      </c>
      <c r="C2938" s="2268">
        <f t="shared" si="612"/>
        <v>0</v>
      </c>
      <c r="D2938" s="2152">
        <v>0</v>
      </c>
      <c r="E2938" s="2194" t="s">
        <v>5690</v>
      </c>
      <c r="F2938" s="2152" t="s">
        <v>2555</v>
      </c>
      <c r="G2938" s="2269">
        <f>G2932</f>
        <v>0</v>
      </c>
      <c r="H2938" s="2565">
        <v>64500000</v>
      </c>
      <c r="I2938" s="2264">
        <v>0</v>
      </c>
      <c r="J2938" s="2264">
        <v>0</v>
      </c>
      <c r="K2938" s="2264">
        <v>0</v>
      </c>
      <c r="L2938" s="2264">
        <f t="shared" si="608"/>
        <v>0</v>
      </c>
      <c r="M2938" s="2264">
        <f t="shared" si="609"/>
        <v>0</v>
      </c>
      <c r="N2938" s="2264">
        <f t="shared" si="610"/>
        <v>0</v>
      </c>
      <c r="O2938" s="2264">
        <f t="shared" si="611"/>
        <v>0</v>
      </c>
      <c r="P2938" s="2265"/>
      <c r="Q2938" s="2266"/>
      <c r="R2938" s="2266"/>
      <c r="S2938" s="2266"/>
    </row>
    <row r="2939" spans="1:19" s="2105" customFormat="1" outlineLevel="1">
      <c r="A2939" s="2182" t="str">
        <f t="shared" si="607"/>
        <v/>
      </c>
      <c r="B2939" s="2357" t="s">
        <v>6275</v>
      </c>
      <c r="C2939" s="2268">
        <f t="shared" si="612"/>
        <v>0</v>
      </c>
      <c r="D2939" s="2152" t="s">
        <v>1025</v>
      </c>
      <c r="E2939" s="2194" t="s">
        <v>5618</v>
      </c>
      <c r="F2939" s="2152" t="s">
        <v>3370</v>
      </c>
      <c r="G2939" s="2269">
        <f>G2938</f>
        <v>0</v>
      </c>
      <c r="H2939" s="2565">
        <v>61000000</v>
      </c>
      <c r="I2939" s="2264">
        <v>0</v>
      </c>
      <c r="J2939" s="2264">
        <v>98101</v>
      </c>
      <c r="K2939" s="2264">
        <v>59254</v>
      </c>
      <c r="L2939" s="2264">
        <f t="shared" si="608"/>
        <v>0</v>
      </c>
      <c r="M2939" s="2264">
        <f t="shared" si="609"/>
        <v>0</v>
      </c>
      <c r="N2939" s="2264">
        <f t="shared" si="610"/>
        <v>0</v>
      </c>
      <c r="O2939" s="2264">
        <f t="shared" si="611"/>
        <v>0</v>
      </c>
      <c r="P2939" s="2265"/>
      <c r="Q2939" s="2266"/>
      <c r="R2939" s="2266"/>
      <c r="S2939" s="2266"/>
    </row>
    <row r="2940" spans="1:19" s="2105" customFormat="1" outlineLevel="1">
      <c r="A2940" s="2182" t="str">
        <f t="shared" si="607"/>
        <v/>
      </c>
      <c r="B2940" s="2252" t="str">
        <f>IF($F$8=15,"TI40","TI30")</f>
        <v>TI30</v>
      </c>
      <c r="C2940" s="2268">
        <f>IF(G2940&gt;0,C2939+1,C2939)</f>
        <v>0</v>
      </c>
      <c r="D2940" s="2152">
        <v>0</v>
      </c>
      <c r="E2940" s="2194" t="s">
        <v>3348</v>
      </c>
      <c r="F2940" s="2152" t="s">
        <v>2555</v>
      </c>
      <c r="G2940" s="2390">
        <f>G2932*3</f>
        <v>0</v>
      </c>
      <c r="H2940" s="2264">
        <v>0</v>
      </c>
      <c r="I2940" s="2264">
        <v>0</v>
      </c>
      <c r="J2940" s="2264">
        <v>0</v>
      </c>
      <c r="K2940" s="2264">
        <v>0</v>
      </c>
      <c r="L2940" s="2264">
        <f t="shared" si="608"/>
        <v>0</v>
      </c>
      <c r="M2940" s="2264">
        <f t="shared" si="609"/>
        <v>0</v>
      </c>
      <c r="N2940" s="2264">
        <f t="shared" si="610"/>
        <v>0</v>
      </c>
      <c r="O2940" s="2264">
        <f t="shared" si="611"/>
        <v>0</v>
      </c>
      <c r="P2940" s="2391" t="s">
        <v>2601</v>
      </c>
      <c r="Q2940" s="2266"/>
      <c r="R2940" s="2266"/>
      <c r="S2940" s="2266"/>
    </row>
    <row r="2941" spans="1:19" s="2105" customFormat="1" outlineLevel="1">
      <c r="A2941" s="2182" t="str">
        <f t="shared" si="607"/>
        <v/>
      </c>
      <c r="B2941" s="2252" t="str">
        <f>IF($F$8=15,"TU15","TU22")</f>
        <v>TU22</v>
      </c>
      <c r="C2941" s="2268">
        <f>IF(G2941&gt;0,C2940+1,C2940)</f>
        <v>0</v>
      </c>
      <c r="D2941" s="2152">
        <v>0</v>
      </c>
      <c r="E2941" s="2194" t="s">
        <v>5611</v>
      </c>
      <c r="F2941" s="2152" t="s">
        <v>2555</v>
      </c>
      <c r="G2941" s="2566">
        <f>G2940</f>
        <v>0</v>
      </c>
      <c r="H2941" s="2264">
        <v>0</v>
      </c>
      <c r="I2941" s="2264"/>
      <c r="J2941" s="2264">
        <v>92703</v>
      </c>
      <c r="K2941" s="2264">
        <v>84261</v>
      </c>
      <c r="L2941" s="2264">
        <f t="shared" si="608"/>
        <v>0</v>
      </c>
      <c r="M2941" s="2264">
        <f t="shared" si="609"/>
        <v>0</v>
      </c>
      <c r="N2941" s="2264">
        <f t="shared" si="610"/>
        <v>0</v>
      </c>
      <c r="O2941" s="2264">
        <f t="shared" si="611"/>
        <v>0</v>
      </c>
      <c r="P2941" s="2391" t="s">
        <v>2601</v>
      </c>
      <c r="Q2941" s="2266"/>
      <c r="R2941" s="2266"/>
      <c r="S2941" s="2266"/>
    </row>
    <row r="2942" spans="1:19" s="2105" customFormat="1" outlineLevel="1">
      <c r="A2942" s="2182" t="str">
        <f t="shared" si="607"/>
        <v/>
      </c>
      <c r="B2942" s="2567" t="s">
        <v>1837</v>
      </c>
      <c r="C2942" s="2268">
        <f>IF(G2942&gt;0,C2941+1,C2941)</f>
        <v>0</v>
      </c>
      <c r="D2942" s="2152">
        <v>0</v>
      </c>
      <c r="E2942" s="2194" t="s">
        <v>5709</v>
      </c>
      <c r="F2942" s="2152" t="s">
        <v>2555</v>
      </c>
      <c r="G2942" s="2390">
        <f>G2932</f>
        <v>0</v>
      </c>
      <c r="H2942" s="2359">
        <v>0</v>
      </c>
      <c r="I2942" s="2359">
        <v>0</v>
      </c>
      <c r="J2942" s="2359">
        <v>0</v>
      </c>
      <c r="K2942" s="2359">
        <v>0</v>
      </c>
      <c r="L2942" s="2264">
        <f t="shared" si="608"/>
        <v>0</v>
      </c>
      <c r="M2942" s="2360">
        <f t="shared" si="609"/>
        <v>0</v>
      </c>
      <c r="N2942" s="2360">
        <f t="shared" si="610"/>
        <v>0</v>
      </c>
      <c r="O2942" s="2361">
        <f t="shared" si="611"/>
        <v>0</v>
      </c>
      <c r="P2942" s="2392" t="s">
        <v>2601</v>
      </c>
      <c r="Q2942" s="2266"/>
      <c r="R2942" s="2266"/>
      <c r="S2942" s="2266"/>
    </row>
    <row r="2943" spans="1:19" s="2105" customFormat="1" outlineLevel="1">
      <c r="A2943" s="2182">
        <f>A2927</f>
        <v>0</v>
      </c>
      <c r="B2943" s="2261"/>
      <c r="C2943" s="2393"/>
      <c r="D2943" s="2394"/>
      <c r="E2943" s="2395"/>
      <c r="F2943" s="2393"/>
      <c r="G2943" s="2636"/>
      <c r="H2943" s="2393"/>
      <c r="I2943" s="2393"/>
      <c r="J2943" s="2117" t="s">
        <v>6121</v>
      </c>
      <c r="K2943" s="2393"/>
      <c r="L2943" s="2395">
        <f>SUM(L2932:L2942)</f>
        <v>0</v>
      </c>
      <c r="M2943" s="2395">
        <f>SUM(M2932:M2942)</f>
        <v>0</v>
      </c>
      <c r="N2943" s="2395">
        <f>SUM(N2932:N2942)</f>
        <v>0</v>
      </c>
      <c r="O2943" s="2395">
        <f>SUM(O2932:O2942)</f>
        <v>0</v>
      </c>
      <c r="P2943" s="2568"/>
      <c r="Q2943" s="2266"/>
      <c r="R2943" s="2266"/>
      <c r="S2943" s="2266"/>
    </row>
    <row r="2944" spans="1:19" s="2105" customFormat="1" outlineLevel="1">
      <c r="A2944" s="2182">
        <f>A2927</f>
        <v>0</v>
      </c>
      <c r="B2944" s="2261"/>
      <c r="C2944" s="2397"/>
      <c r="D2944" s="2398"/>
      <c r="E2944" s="2399" t="s">
        <v>3673</v>
      </c>
      <c r="F2944" s="2399"/>
      <c r="G2944" s="2400"/>
      <c r="H2944" s="2399"/>
      <c r="I2944" s="2399"/>
      <c r="J2944" s="2399"/>
      <c r="K2944" s="2399"/>
      <c r="L2944" s="2399"/>
      <c r="M2944" s="2399"/>
      <c r="N2944" s="2399"/>
      <c r="O2944" s="2398"/>
      <c r="P2944" s="2568"/>
      <c r="Q2944" s="2266"/>
      <c r="R2944" s="2266"/>
      <c r="S2944" s="2266"/>
    </row>
    <row r="2945" spans="1:19" s="2105" customFormat="1" outlineLevel="1">
      <c r="A2945" s="2182" t="str">
        <f t="shared" ref="A2945:A2959" si="613">IF(G2945&lt;&gt;0,1,"")</f>
        <v/>
      </c>
      <c r="B2945" s="2401"/>
      <c r="C2945" s="2402">
        <f>IF(G2945&gt;0,1,0)</f>
        <v>0</v>
      </c>
      <c r="D2945" s="2152"/>
      <c r="E2945" s="2403" t="s">
        <v>6122</v>
      </c>
      <c r="F2945" s="2404" t="s">
        <v>2277</v>
      </c>
      <c r="G2945" s="2409">
        <f>G2932*1</f>
        <v>0</v>
      </c>
      <c r="H2945" s="2404"/>
      <c r="I2945" s="2404"/>
      <c r="J2945" s="2404"/>
      <c r="K2945" s="2404"/>
      <c r="L2945" s="2405"/>
      <c r="M2945" s="2405"/>
      <c r="N2945" s="2405"/>
      <c r="O2945" s="2406"/>
      <c r="P2945" s="2265"/>
      <c r="Q2945" s="2266"/>
      <c r="R2945" s="2266"/>
      <c r="S2945" s="2266"/>
    </row>
    <row r="2946" spans="1:19" s="2105" customFormat="1" outlineLevel="1">
      <c r="A2946" s="2182" t="str">
        <f t="shared" si="613"/>
        <v/>
      </c>
      <c r="B2946" s="2357" t="s">
        <v>6286</v>
      </c>
      <c r="C2946" s="2407"/>
      <c r="D2946" s="2152"/>
      <c r="E2946" s="2408" t="s">
        <v>5276</v>
      </c>
      <c r="F2946" s="2152" t="s">
        <v>2831</v>
      </c>
      <c r="G2946" s="2152">
        <f>G2945</f>
        <v>0</v>
      </c>
      <c r="H2946" s="2359">
        <v>5914000</v>
      </c>
      <c r="I2946" s="2258"/>
      <c r="J2946" s="2359"/>
      <c r="K2946" s="2258"/>
      <c r="L2946" s="2360">
        <f>H2946*G2946</f>
        <v>0</v>
      </c>
      <c r="M2946" s="2360">
        <f>I2946*G2946</f>
        <v>0</v>
      </c>
      <c r="N2946" s="2360">
        <f>J2946*G2946</f>
        <v>0</v>
      </c>
      <c r="O2946" s="2360">
        <f>K2946*G2946</f>
        <v>0</v>
      </c>
      <c r="P2946" s="2265"/>
      <c r="Q2946" s="2266"/>
      <c r="R2946" s="2266"/>
      <c r="S2946" s="2266"/>
    </row>
    <row r="2947" spans="1:19" s="2105" customFormat="1" outlineLevel="1">
      <c r="A2947" s="2182" t="str">
        <f t="shared" si="613"/>
        <v/>
      </c>
      <c r="B2947" s="2357" t="s">
        <v>1814</v>
      </c>
      <c r="C2947" s="2407"/>
      <c r="D2947" s="2152"/>
      <c r="E2947" s="2408" t="s">
        <v>2830</v>
      </c>
      <c r="F2947" s="2152" t="s">
        <v>2831</v>
      </c>
      <c r="G2947" s="2152">
        <f>G2946</f>
        <v>0</v>
      </c>
      <c r="H2947" s="2359">
        <v>17400</v>
      </c>
      <c r="I2947" s="2359"/>
      <c r="J2947" s="2258"/>
      <c r="K2947" s="2258"/>
      <c r="L2947" s="2360">
        <f>H2947*G2947</f>
        <v>0</v>
      </c>
      <c r="M2947" s="2360">
        <f>I2947*G2947</f>
        <v>0</v>
      </c>
      <c r="N2947" s="2360">
        <f>J2947*G2947</f>
        <v>0</v>
      </c>
      <c r="O2947" s="2360">
        <f>K2947*G2947</f>
        <v>0</v>
      </c>
      <c r="P2947" s="2265"/>
      <c r="Q2947" s="2266"/>
      <c r="R2947" s="2266"/>
      <c r="S2947" s="2266"/>
    </row>
    <row r="2948" spans="1:19" s="2105" customFormat="1" outlineLevel="1">
      <c r="A2948" s="2182" t="str">
        <f t="shared" si="613"/>
        <v/>
      </c>
      <c r="B2948" s="2357" t="s">
        <v>2169</v>
      </c>
      <c r="C2948" s="2407"/>
      <c r="D2948" s="2152" t="s">
        <v>5359</v>
      </c>
      <c r="E2948" s="2408" t="s">
        <v>5360</v>
      </c>
      <c r="F2948" s="2152" t="s">
        <v>2831</v>
      </c>
      <c r="G2948" s="2152">
        <f>G2946</f>
        <v>0</v>
      </c>
      <c r="H2948" s="2408"/>
      <c r="I2948" s="2359"/>
      <c r="J2948" s="2359">
        <v>589996</v>
      </c>
      <c r="K2948" s="2359">
        <v>202564.7</v>
      </c>
      <c r="L2948" s="2360">
        <f>H2948*G2948</f>
        <v>0</v>
      </c>
      <c r="M2948" s="2360">
        <f>I2948*G2948</f>
        <v>0</v>
      </c>
      <c r="N2948" s="2360">
        <f>J2948*G2948</f>
        <v>0</v>
      </c>
      <c r="O2948" s="2360">
        <f>K2948*G2948</f>
        <v>0</v>
      </c>
      <c r="P2948" s="2265"/>
      <c r="Q2948" s="2266"/>
      <c r="R2948" s="2266"/>
      <c r="S2948" s="2266"/>
    </row>
    <row r="2949" spans="1:19" s="2105" customFormat="1" outlineLevel="1">
      <c r="A2949" s="2182" t="str">
        <f t="shared" si="613"/>
        <v/>
      </c>
      <c r="B2949" s="2357" t="s">
        <v>2234</v>
      </c>
      <c r="C2949" s="2407"/>
      <c r="D2949" s="2152"/>
      <c r="E2949" s="2408" t="s">
        <v>5324</v>
      </c>
      <c r="F2949" s="2152" t="s">
        <v>856</v>
      </c>
      <c r="G2949" s="2152">
        <f>G2945*0.201*0</f>
        <v>0</v>
      </c>
      <c r="H2949" s="2359">
        <v>0</v>
      </c>
      <c r="I2949" s="2359"/>
      <c r="J2949" s="2359">
        <v>296500.89999999997</v>
      </c>
      <c r="K2949" s="2359">
        <v>0</v>
      </c>
      <c r="L2949" s="2360">
        <f>H2949*G2949</f>
        <v>0</v>
      </c>
      <c r="M2949" s="2360">
        <f>I2949*G2949</f>
        <v>0</v>
      </c>
      <c r="N2949" s="2360">
        <f>J2949*G2949</f>
        <v>0</v>
      </c>
      <c r="O2949" s="2360">
        <f>K2949*G2949</f>
        <v>0</v>
      </c>
      <c r="P2949" s="2265"/>
      <c r="Q2949" s="2266"/>
      <c r="R2949" s="2266"/>
      <c r="S2949" s="2266"/>
    </row>
    <row r="2950" spans="1:19" s="2105" customFormat="1" outlineLevel="1">
      <c r="A2950" s="2182" t="str">
        <f t="shared" si="613"/>
        <v/>
      </c>
      <c r="B2950" s="2357" t="s">
        <v>21</v>
      </c>
      <c r="C2950" s="2407"/>
      <c r="D2950" s="2152" t="s">
        <v>5325</v>
      </c>
      <c r="E2950" s="2408" t="s">
        <v>5326</v>
      </c>
      <c r="F2950" s="2152" t="s">
        <v>856</v>
      </c>
      <c r="G2950" s="2152">
        <f>G2945*0.182*0</f>
        <v>0</v>
      </c>
      <c r="H2950" s="2408"/>
      <c r="I2950" s="2359"/>
      <c r="J2950" s="2359">
        <v>117703.6</v>
      </c>
      <c r="K2950" s="2359">
        <v>0</v>
      </c>
      <c r="L2950" s="2360">
        <f>H2950*G2950</f>
        <v>0</v>
      </c>
      <c r="M2950" s="2360">
        <f>I2950*G2950</f>
        <v>0</v>
      </c>
      <c r="N2950" s="2360">
        <f>J2950*G2950</f>
        <v>0</v>
      </c>
      <c r="O2950" s="2360">
        <f>K2950*G2950</f>
        <v>0</v>
      </c>
      <c r="P2950" s="2265"/>
      <c r="Q2950" s="2266"/>
      <c r="R2950" s="2266"/>
      <c r="S2950" s="2266"/>
    </row>
    <row r="2951" spans="1:19" s="2105" customFormat="1" outlineLevel="1">
      <c r="A2951" s="2182" t="str">
        <f t="shared" si="613"/>
        <v/>
      </c>
      <c r="B2951" s="2357"/>
      <c r="C2951" s="2258">
        <f>IF(G2951&gt;0,C2945+1,C2945)</f>
        <v>0</v>
      </c>
      <c r="D2951" s="2152"/>
      <c r="E2951" s="2403" t="s">
        <v>6287</v>
      </c>
      <c r="F2951" s="2404" t="s">
        <v>2327</v>
      </c>
      <c r="G2951" s="2409">
        <f>G2945</f>
        <v>0</v>
      </c>
      <c r="H2951" s="2258"/>
      <c r="I2951" s="2258"/>
      <c r="J2951" s="2258"/>
      <c r="K2951" s="2258"/>
      <c r="L2951" s="2258"/>
      <c r="M2951" s="2258"/>
      <c r="N2951" s="2258"/>
      <c r="O2951" s="2410"/>
      <c r="P2951" s="2265"/>
      <c r="Q2951" s="2266"/>
      <c r="R2951" s="2266"/>
      <c r="S2951" s="2266"/>
    </row>
    <row r="2952" spans="1:19" s="2105" customFormat="1" outlineLevel="1">
      <c r="A2952" s="2182" t="str">
        <f t="shared" si="613"/>
        <v/>
      </c>
      <c r="B2952" s="2357" t="s">
        <v>751</v>
      </c>
      <c r="C2952" s="2407"/>
      <c r="D2952" s="2152">
        <v>0</v>
      </c>
      <c r="E2952" s="2408" t="s">
        <v>5289</v>
      </c>
      <c r="F2952" s="2152" t="s">
        <v>2248</v>
      </c>
      <c r="G2952" s="2152">
        <f>352*G2951</f>
        <v>0</v>
      </c>
      <c r="H2952" s="2359">
        <v>1740</v>
      </c>
      <c r="I2952" s="2359"/>
      <c r="J2952" s="2359">
        <v>0</v>
      </c>
      <c r="K2952" s="2258"/>
      <c r="L2952" s="2360">
        <f t="shared" ref="L2952:L2985" si="614">H2952*G2952</f>
        <v>0</v>
      </c>
      <c r="M2952" s="2360">
        <f>I2952*G2952</f>
        <v>0</v>
      </c>
      <c r="N2952" s="2360">
        <f>J2952*G2952</f>
        <v>0</v>
      </c>
      <c r="O2952" s="2360">
        <f>K2952*G2952</f>
        <v>0</v>
      </c>
      <c r="P2952" s="2265"/>
      <c r="Q2952" s="2266"/>
      <c r="R2952" s="2266"/>
      <c r="S2952" s="2266"/>
    </row>
    <row r="2953" spans="1:19" s="2105" customFormat="1" outlineLevel="1">
      <c r="A2953" s="2182" t="str">
        <f t="shared" si="613"/>
        <v/>
      </c>
      <c r="B2953" s="2357" t="s">
        <v>752</v>
      </c>
      <c r="C2953" s="2407"/>
      <c r="D2953" s="2152"/>
      <c r="E2953" s="2408" t="s">
        <v>3004</v>
      </c>
      <c r="F2953" s="2152" t="s">
        <v>856</v>
      </c>
      <c r="G2953" s="2152">
        <f>+G2951*0.565</f>
        <v>0</v>
      </c>
      <c r="H2953" s="2359">
        <v>512000</v>
      </c>
      <c r="I2953" s="2408"/>
      <c r="J2953" s="2408"/>
      <c r="K2953" s="2258"/>
      <c r="L2953" s="2360">
        <f t="shared" si="614"/>
        <v>0</v>
      </c>
      <c r="M2953" s="2360">
        <f>I2953*G2953</f>
        <v>0</v>
      </c>
      <c r="N2953" s="2360">
        <f>J2953*G2953</f>
        <v>0</v>
      </c>
      <c r="O2953" s="2360">
        <f>K2953*G2953</f>
        <v>0</v>
      </c>
      <c r="P2953" s="2265"/>
      <c r="Q2953" s="2266"/>
      <c r="R2953" s="2266"/>
      <c r="S2953" s="2266"/>
    </row>
    <row r="2954" spans="1:19" s="2105" customFormat="1" outlineLevel="1">
      <c r="A2954" s="2182" t="str">
        <f t="shared" si="613"/>
        <v/>
      </c>
      <c r="B2954" s="2357" t="s">
        <v>867</v>
      </c>
      <c r="C2954" s="2407"/>
      <c r="D2954" s="2152">
        <v>0</v>
      </c>
      <c r="E2954" s="2408" t="s">
        <v>3000</v>
      </c>
      <c r="F2954" s="2152" t="s">
        <v>856</v>
      </c>
      <c r="G2954" s="2152">
        <f>+G2951*1.049</f>
        <v>0</v>
      </c>
      <c r="H2954" s="2359">
        <v>335000</v>
      </c>
      <c r="I2954" s="2359"/>
      <c r="J2954" s="2359">
        <v>0</v>
      </c>
      <c r="K2954" s="2258"/>
      <c r="L2954" s="2360">
        <f t="shared" si="614"/>
        <v>0</v>
      </c>
      <c r="M2954" s="2360">
        <f>I2954*G2954</f>
        <v>0</v>
      </c>
      <c r="N2954" s="2360">
        <f>J2954*G2954</f>
        <v>0</v>
      </c>
      <c r="O2954" s="2360">
        <f>K2954*G2954</f>
        <v>0</v>
      </c>
      <c r="P2954" s="2265"/>
      <c r="Q2954" s="2266"/>
      <c r="R2954" s="2266"/>
      <c r="S2954" s="2266"/>
    </row>
    <row r="2955" spans="1:19" s="2105" customFormat="1" outlineLevel="1">
      <c r="A2955" s="2182" t="str">
        <f t="shared" si="613"/>
        <v/>
      </c>
      <c r="B2955" s="2357" t="s">
        <v>2008</v>
      </c>
      <c r="C2955" s="2407"/>
      <c r="D2955" s="2152"/>
      <c r="E2955" s="2408" t="s">
        <v>5247</v>
      </c>
      <c r="F2955" s="2152" t="s">
        <v>2248</v>
      </c>
      <c r="G2955" s="2152"/>
      <c r="H2955" s="2359">
        <v>13300</v>
      </c>
      <c r="I2955" s="2408"/>
      <c r="J2955" s="2408"/>
      <c r="K2955" s="2258"/>
      <c r="L2955" s="2360">
        <f t="shared" si="614"/>
        <v>0</v>
      </c>
      <c r="M2955" s="2360">
        <f>I2955*G2955</f>
        <v>0</v>
      </c>
      <c r="N2955" s="2360">
        <f>J2955*G2955</f>
        <v>0</v>
      </c>
      <c r="O2955" s="2360">
        <f>K2955*G2955</f>
        <v>0</v>
      </c>
      <c r="P2955" s="2265"/>
      <c r="Q2955" s="2266"/>
      <c r="R2955" s="2266"/>
      <c r="S2955" s="2266"/>
    </row>
    <row r="2956" spans="1:19" s="2105" customFormat="1" outlineLevel="1">
      <c r="A2956" s="2182" t="str">
        <f t="shared" si="613"/>
        <v/>
      </c>
      <c r="B2956" s="2357" t="s">
        <v>1425</v>
      </c>
      <c r="C2956" s="2407"/>
      <c r="D2956" s="2152">
        <v>0</v>
      </c>
      <c r="E2956" s="2408" t="s">
        <v>3569</v>
      </c>
      <c r="F2956" s="2152" t="s">
        <v>2248</v>
      </c>
      <c r="G2956" s="2152"/>
      <c r="H2956" s="2359">
        <v>10500</v>
      </c>
      <c r="I2956" s="2359"/>
      <c r="J2956" s="2359">
        <v>0</v>
      </c>
      <c r="K2956" s="2258"/>
      <c r="L2956" s="2360">
        <f t="shared" si="614"/>
        <v>0</v>
      </c>
      <c r="M2956" s="2360">
        <f>I2956*G2956</f>
        <v>0</v>
      </c>
      <c r="N2956" s="2360">
        <f>J2956*G2956</f>
        <v>0</v>
      </c>
      <c r="O2956" s="2360">
        <f>K2956*G2956</f>
        <v>0</v>
      </c>
      <c r="P2956" s="2265"/>
      <c r="Q2956" s="2266"/>
      <c r="R2956" s="2266"/>
      <c r="S2956" s="2266"/>
    </row>
    <row r="2957" spans="1:19" s="2105" customFormat="1" outlineLevel="1">
      <c r="A2957" s="2182" t="str">
        <f t="shared" si="613"/>
        <v/>
      </c>
      <c r="B2957" s="2357" t="s">
        <v>639</v>
      </c>
      <c r="C2957" s="2407"/>
      <c r="D2957" s="2152" t="s">
        <v>1747</v>
      </c>
      <c r="E2957" s="2408" t="s">
        <v>5324</v>
      </c>
      <c r="F2957" s="2152" t="s">
        <v>856</v>
      </c>
      <c r="G2957" s="2152">
        <f>+G2951*1.28</f>
        <v>0</v>
      </c>
      <c r="H2957" s="2359">
        <v>0</v>
      </c>
      <c r="I2957" s="2359"/>
      <c r="J2957" s="2359">
        <v>296500.89999999997</v>
      </c>
      <c r="K2957" s="2258"/>
      <c r="L2957" s="2360">
        <f t="shared" si="614"/>
        <v>0</v>
      </c>
      <c r="M2957" s="2360">
        <f t="shared" ref="M2957:M2964" si="615">I2957*G2957</f>
        <v>0</v>
      </c>
      <c r="N2957" s="2360">
        <f t="shared" ref="N2957:N2964" si="616">J2957*G2957</f>
        <v>0</v>
      </c>
      <c r="O2957" s="2360">
        <f t="shared" ref="O2957:O2964" si="617">K2957*G2957</f>
        <v>0</v>
      </c>
      <c r="P2957" s="2265"/>
      <c r="Q2957" s="2266"/>
      <c r="R2957" s="2266"/>
      <c r="S2957" s="2266"/>
    </row>
    <row r="2958" spans="1:19" s="2105" customFormat="1" outlineLevel="1">
      <c r="A2958" s="2182" t="str">
        <f t="shared" si="613"/>
        <v/>
      </c>
      <c r="B2958" s="2569" t="s">
        <v>1835</v>
      </c>
      <c r="C2958" s="2407"/>
      <c r="D2958" s="2152" t="s">
        <v>5471</v>
      </c>
      <c r="E2958" s="2408" t="s">
        <v>5473</v>
      </c>
      <c r="F2958" s="2152" t="s">
        <v>856</v>
      </c>
      <c r="G2958" s="2152">
        <f>+G2951*1.19</f>
        <v>0</v>
      </c>
      <c r="H2958" s="2359">
        <v>461871</v>
      </c>
      <c r="I2958" s="2359"/>
      <c r="J2958" s="2359">
        <v>414064.45</v>
      </c>
      <c r="K2958" s="2258"/>
      <c r="L2958" s="2360">
        <f t="shared" si="614"/>
        <v>0</v>
      </c>
      <c r="M2958" s="2360">
        <f t="shared" si="615"/>
        <v>0</v>
      </c>
      <c r="N2958" s="2360">
        <f t="shared" si="616"/>
        <v>0</v>
      </c>
      <c r="O2958" s="2360">
        <f t="shared" si="617"/>
        <v>0</v>
      </c>
      <c r="P2958" s="2265"/>
      <c r="Q2958" s="2266"/>
      <c r="R2958" s="2266"/>
      <c r="S2958" s="2266"/>
    </row>
    <row r="2959" spans="1:19" s="2105" customFormat="1" outlineLevel="1">
      <c r="A2959" s="2182" t="str">
        <f t="shared" si="613"/>
        <v/>
      </c>
      <c r="B2959" s="2261"/>
      <c r="C2959" s="2258">
        <f>IF(G2959&gt;0,C2951+1,C2951)</f>
        <v>0</v>
      </c>
      <c r="D2959" s="2259"/>
      <c r="E2959" s="2417" t="s">
        <v>6271</v>
      </c>
      <c r="F2959" s="2258" t="s">
        <v>2385</v>
      </c>
      <c r="G2959" s="2263"/>
      <c r="H2959" s="2416"/>
      <c r="I2959" s="2416"/>
      <c r="J2959" s="2416"/>
      <c r="K2959" s="2416"/>
      <c r="L2959" s="2360">
        <f t="shared" si="614"/>
        <v>0</v>
      </c>
      <c r="M2959" s="2360">
        <f t="shared" si="615"/>
        <v>0</v>
      </c>
      <c r="N2959" s="2360">
        <f t="shared" si="616"/>
        <v>0</v>
      </c>
      <c r="O2959" s="2360">
        <f t="shared" si="617"/>
        <v>0</v>
      </c>
      <c r="P2959" s="2265"/>
      <c r="Q2959" s="2266"/>
      <c r="R2959" s="2266"/>
      <c r="S2959" s="2266"/>
    </row>
    <row r="2960" spans="1:19" s="2105" customFormat="1" ht="14.4" outlineLevel="1">
      <c r="A2960" s="2182" t="str">
        <f>A2959</f>
        <v/>
      </c>
      <c r="B2960" s="2261"/>
      <c r="C2960" s="2258"/>
      <c r="D2960" s="2259"/>
      <c r="E2960" s="2267" t="s">
        <v>6133</v>
      </c>
      <c r="F2960" s="2268"/>
      <c r="G2960" s="2269"/>
      <c r="H2960" s="2416"/>
      <c r="I2960" s="2416"/>
      <c r="J2960" s="2416"/>
      <c r="K2960" s="2416"/>
      <c r="L2960" s="2360">
        <f t="shared" si="614"/>
        <v>0</v>
      </c>
      <c r="M2960" s="2360">
        <f t="shared" si="615"/>
        <v>0</v>
      </c>
      <c r="N2960" s="2360">
        <f t="shared" si="616"/>
        <v>0</v>
      </c>
      <c r="O2960" s="2360">
        <f t="shared" si="617"/>
        <v>0</v>
      </c>
      <c r="P2960" s="2265"/>
      <c r="Q2960" s="2266"/>
      <c r="R2960" s="2266"/>
      <c r="S2960" s="2266"/>
    </row>
    <row r="2961" spans="1:19" s="2105" customFormat="1" outlineLevel="1">
      <c r="A2961" s="2182" t="str">
        <f t="shared" ref="A2961:A2966" si="618">IF(G2961&lt;&gt;0,1,"")</f>
        <v/>
      </c>
      <c r="B2961" s="2252" t="s">
        <v>2022</v>
      </c>
      <c r="C2961" s="2258"/>
      <c r="D2961" s="2152">
        <v>0</v>
      </c>
      <c r="E2961" s="2194" t="s">
        <v>2437</v>
      </c>
      <c r="F2961" s="2152" t="s">
        <v>2248</v>
      </c>
      <c r="G2961" s="2270">
        <f>G2959*9.02*(2.6+3*0.07)*2</f>
        <v>0</v>
      </c>
      <c r="H2961" s="2359">
        <v>11500</v>
      </c>
      <c r="I2961" s="2359"/>
      <c r="J2961" s="2359">
        <v>0</v>
      </c>
      <c r="K2961" s="2359">
        <v>0</v>
      </c>
      <c r="L2961" s="2360">
        <f t="shared" si="614"/>
        <v>0</v>
      </c>
      <c r="M2961" s="2360">
        <f t="shared" si="615"/>
        <v>0</v>
      </c>
      <c r="N2961" s="2360">
        <f t="shared" si="616"/>
        <v>0</v>
      </c>
      <c r="O2961" s="2360">
        <f t="shared" si="617"/>
        <v>0</v>
      </c>
      <c r="P2961" s="2265"/>
      <c r="Q2961" s="2266"/>
      <c r="R2961" s="2266"/>
      <c r="S2961" s="2266"/>
    </row>
    <row r="2962" spans="1:19" s="2105" customFormat="1" outlineLevel="1">
      <c r="A2962" s="2182" t="str">
        <f t="shared" si="618"/>
        <v/>
      </c>
      <c r="B2962" s="2261" t="s">
        <v>1784</v>
      </c>
      <c r="C2962" s="2258"/>
      <c r="D2962" s="2152">
        <v>0</v>
      </c>
      <c r="E2962" s="2194" t="s">
        <v>2660</v>
      </c>
      <c r="F2962" s="2152" t="s">
        <v>2385</v>
      </c>
      <c r="G2962" s="2269">
        <f>G2959*2</f>
        <v>0</v>
      </c>
      <c r="H2962" s="2359">
        <v>12340</v>
      </c>
      <c r="I2962" s="2359">
        <v>0</v>
      </c>
      <c r="J2962" s="2359">
        <v>0</v>
      </c>
      <c r="K2962" s="2359">
        <v>0</v>
      </c>
      <c r="L2962" s="2360">
        <f t="shared" si="614"/>
        <v>0</v>
      </c>
      <c r="M2962" s="2360">
        <f t="shared" si="615"/>
        <v>0</v>
      </c>
      <c r="N2962" s="2360">
        <f t="shared" si="616"/>
        <v>0</v>
      </c>
      <c r="O2962" s="2360">
        <f t="shared" si="617"/>
        <v>0</v>
      </c>
      <c r="P2962" s="2265"/>
      <c r="Q2962" s="2266"/>
      <c r="R2962" s="2266"/>
      <c r="S2962" s="2266"/>
    </row>
    <row r="2963" spans="1:19" s="2105" customFormat="1" outlineLevel="1">
      <c r="A2963" s="2182" t="str">
        <f t="shared" si="618"/>
        <v/>
      </c>
      <c r="B2963" s="2261" t="s">
        <v>1610</v>
      </c>
      <c r="C2963" s="2258"/>
      <c r="D2963" s="2152">
        <v>0</v>
      </c>
      <c r="E2963" s="2194" t="s">
        <v>2649</v>
      </c>
      <c r="F2963" s="2152" t="s">
        <v>2385</v>
      </c>
      <c r="G2963" s="2269">
        <f>G2959*2</f>
        <v>0</v>
      </c>
      <c r="H2963" s="2359">
        <v>9120</v>
      </c>
      <c r="I2963" s="2359">
        <v>0</v>
      </c>
      <c r="J2963" s="2359">
        <v>0</v>
      </c>
      <c r="K2963" s="2359">
        <v>0</v>
      </c>
      <c r="L2963" s="2360">
        <f t="shared" si="614"/>
        <v>0</v>
      </c>
      <c r="M2963" s="2360">
        <f t="shared" si="615"/>
        <v>0</v>
      </c>
      <c r="N2963" s="2360">
        <f t="shared" si="616"/>
        <v>0</v>
      </c>
      <c r="O2963" s="2360">
        <f t="shared" si="617"/>
        <v>0</v>
      </c>
      <c r="P2963" s="2265"/>
      <c r="Q2963" s="2266"/>
      <c r="R2963" s="2266"/>
      <c r="S2963" s="2266"/>
    </row>
    <row r="2964" spans="1:19" s="2105" customFormat="1" outlineLevel="1">
      <c r="A2964" s="2182" t="str">
        <f t="shared" si="618"/>
        <v/>
      </c>
      <c r="B2964" s="2261" t="s">
        <v>1609</v>
      </c>
      <c r="C2964" s="2258"/>
      <c r="D2964" s="2152">
        <v>0</v>
      </c>
      <c r="E2964" s="2194" t="s">
        <v>2645</v>
      </c>
      <c r="F2964" s="2152" t="s">
        <v>2385</v>
      </c>
      <c r="G2964" s="2269">
        <f>G2963</f>
        <v>0</v>
      </c>
      <c r="H2964" s="2359">
        <v>9220</v>
      </c>
      <c r="I2964" s="2359">
        <v>0</v>
      </c>
      <c r="J2964" s="2359">
        <v>0</v>
      </c>
      <c r="K2964" s="2359">
        <v>0</v>
      </c>
      <c r="L2964" s="2360">
        <f t="shared" si="614"/>
        <v>0</v>
      </c>
      <c r="M2964" s="2360">
        <f t="shared" si="615"/>
        <v>0</v>
      </c>
      <c r="N2964" s="2360">
        <f t="shared" si="616"/>
        <v>0</v>
      </c>
      <c r="O2964" s="2360">
        <f t="shared" si="617"/>
        <v>0</v>
      </c>
      <c r="P2964" s="2265"/>
      <c r="Q2964" s="2266"/>
      <c r="R2964" s="2266"/>
      <c r="S2964" s="2266"/>
    </row>
    <row r="2965" spans="1:19" s="2105" customFormat="1" outlineLevel="1">
      <c r="A2965" s="2182" t="str">
        <f t="shared" si="618"/>
        <v/>
      </c>
      <c r="B2965" s="2261" t="s">
        <v>2242</v>
      </c>
      <c r="C2965" s="2258"/>
      <c r="D2965" s="2152" t="s">
        <v>730</v>
      </c>
      <c r="E2965" s="2194" t="s">
        <v>2440</v>
      </c>
      <c r="F2965" s="2152" t="s">
        <v>2385</v>
      </c>
      <c r="G2965" s="2269">
        <f>G2959</f>
        <v>0</v>
      </c>
      <c r="H2965" s="2359">
        <v>0</v>
      </c>
      <c r="I2965" s="2359"/>
      <c r="J2965" s="2359" t="s">
        <v>6345</v>
      </c>
      <c r="K2965" s="2359"/>
      <c r="L2965" s="2360">
        <f t="shared" si="614"/>
        <v>0</v>
      </c>
      <c r="M2965" s="2360"/>
      <c r="N2965" s="2359">
        <v>0</v>
      </c>
      <c r="O2965" s="2360"/>
      <c r="P2965" s="2265"/>
      <c r="Q2965" s="2266"/>
      <c r="R2965" s="2266"/>
      <c r="S2965" s="2266"/>
    </row>
    <row r="2966" spans="1:19" s="2105" customFormat="1" outlineLevel="1" collapsed="1">
      <c r="A2966" s="2182" t="str">
        <f t="shared" si="618"/>
        <v/>
      </c>
      <c r="B2966" s="2261"/>
      <c r="C2966" s="2258">
        <f>IF(G2966&gt;0,C2959+1,C2959)</f>
        <v>0</v>
      </c>
      <c r="D2966" s="2259"/>
      <c r="E2966" s="2417" t="s">
        <v>6288</v>
      </c>
      <c r="F2966" s="2258" t="s">
        <v>2385</v>
      </c>
      <c r="G2966" s="2263">
        <f>G2932*2</f>
        <v>0</v>
      </c>
      <c r="H2966" s="2264"/>
      <c r="I2966" s="2264"/>
      <c r="J2966" s="2264"/>
      <c r="K2966" s="2264"/>
      <c r="L2966" s="2264">
        <f t="shared" si="614"/>
        <v>0</v>
      </c>
      <c r="M2966" s="2264">
        <f>I2966*G2966</f>
        <v>0</v>
      </c>
      <c r="N2966" s="2264">
        <f>J2966*G2966</f>
        <v>0</v>
      </c>
      <c r="O2966" s="2264">
        <f>K2966*G2966</f>
        <v>0</v>
      </c>
      <c r="P2966" s="2265"/>
      <c r="Q2966" s="2266"/>
      <c r="R2966" s="2266"/>
      <c r="S2966" s="2266"/>
    </row>
    <row r="2967" spans="1:19" s="2105" customFormat="1" ht="14.4" outlineLevel="1">
      <c r="A2967" s="2182" t="str">
        <f>A2966</f>
        <v/>
      </c>
      <c r="B2967" s="2261"/>
      <c r="C2967" s="2258"/>
      <c r="D2967" s="2259"/>
      <c r="E2967" s="2267" t="s">
        <v>6133</v>
      </c>
      <c r="F2967" s="2268"/>
      <c r="G2967" s="2269"/>
      <c r="H2967" s="2264"/>
      <c r="I2967" s="2264"/>
      <c r="J2967" s="2264"/>
      <c r="K2967" s="2264"/>
      <c r="L2967" s="2264">
        <f t="shared" si="614"/>
        <v>0</v>
      </c>
      <c r="M2967" s="2264">
        <f>I2967*G2967</f>
        <v>0</v>
      </c>
      <c r="N2967" s="2264">
        <f>J2967*G2967</f>
        <v>0</v>
      </c>
      <c r="O2967" s="2264">
        <f>K2967*G2967</f>
        <v>0</v>
      </c>
      <c r="P2967" s="2265"/>
      <c r="Q2967" s="2266"/>
      <c r="R2967" s="2266"/>
      <c r="S2967" s="2266"/>
    </row>
    <row r="2968" spans="1:19" s="2105" customFormat="1" outlineLevel="1">
      <c r="A2968" s="2182" t="str">
        <f t="shared" ref="A2968:A2974" si="619">IF(G2968&lt;&gt;0,1,"")</f>
        <v/>
      </c>
      <c r="B2968" s="2261" t="s">
        <v>2022</v>
      </c>
      <c r="C2968" s="2258"/>
      <c r="D2968" s="2152">
        <v>0</v>
      </c>
      <c r="E2968" s="2194" t="s">
        <v>2437</v>
      </c>
      <c r="F2968" s="2152" t="s">
        <v>2248</v>
      </c>
      <c r="G2968" s="2270">
        <f>G2966*9.02*(2.2+4*0.07)*2</f>
        <v>0</v>
      </c>
      <c r="H2968" s="2264">
        <v>11500</v>
      </c>
      <c r="I2968" s="2264"/>
      <c r="J2968" s="2264">
        <v>0</v>
      </c>
      <c r="K2968" s="2264"/>
      <c r="L2968" s="2264">
        <f t="shared" si="614"/>
        <v>0</v>
      </c>
      <c r="M2968" s="2264"/>
      <c r="N2968" s="2264"/>
      <c r="O2968" s="2264"/>
      <c r="P2968" s="2265"/>
      <c r="Q2968" s="2266"/>
      <c r="R2968" s="2266"/>
      <c r="S2968" s="2266"/>
    </row>
    <row r="2969" spans="1:19" s="2105" customFormat="1" outlineLevel="1">
      <c r="A2969" s="2182" t="str">
        <f t="shared" si="619"/>
        <v/>
      </c>
      <c r="B2969" s="2261" t="s">
        <v>1035</v>
      </c>
      <c r="C2969" s="2258"/>
      <c r="D2969" s="2152" t="s">
        <v>554</v>
      </c>
      <c r="E2969" s="2194" t="s">
        <v>2956</v>
      </c>
      <c r="F2969" s="2152" t="s">
        <v>2248</v>
      </c>
      <c r="G2969" s="2270">
        <f>G2966*3.77*0.81*4</f>
        <v>0</v>
      </c>
      <c r="H2969" s="2264">
        <v>11500</v>
      </c>
      <c r="I2969" s="2264"/>
      <c r="J2969" s="2264">
        <v>0</v>
      </c>
      <c r="K2969" s="2264"/>
      <c r="L2969" s="2264">
        <f t="shared" si="614"/>
        <v>0</v>
      </c>
      <c r="M2969" s="2264"/>
      <c r="N2969" s="2264"/>
      <c r="O2969" s="2264"/>
      <c r="P2969" s="2265"/>
      <c r="Q2969" s="2266"/>
      <c r="R2969" s="2266"/>
      <c r="S2969" s="2266"/>
    </row>
    <row r="2970" spans="1:19" s="2105" customFormat="1" outlineLevel="1">
      <c r="A2970" s="2182" t="str">
        <f t="shared" si="619"/>
        <v/>
      </c>
      <c r="B2970" s="2261" t="s">
        <v>1610</v>
      </c>
      <c r="C2970" s="2258"/>
      <c r="D2970" s="2152">
        <v>0</v>
      </c>
      <c r="E2970" s="2194" t="s">
        <v>2649</v>
      </c>
      <c r="F2970" s="2152" t="s">
        <v>2385</v>
      </c>
      <c r="G2970" s="2269">
        <f>G2966*2</f>
        <v>0</v>
      </c>
      <c r="H2970" s="2264">
        <v>9120</v>
      </c>
      <c r="I2970" s="2264">
        <v>0</v>
      </c>
      <c r="J2970" s="2264">
        <v>0</v>
      </c>
      <c r="K2970" s="2264"/>
      <c r="L2970" s="2264">
        <f t="shared" si="614"/>
        <v>0</v>
      </c>
      <c r="M2970" s="2264"/>
      <c r="N2970" s="2264"/>
      <c r="O2970" s="2264"/>
      <c r="P2970" s="2265"/>
      <c r="Q2970" s="2266"/>
      <c r="R2970" s="2266"/>
      <c r="S2970" s="2266"/>
    </row>
    <row r="2971" spans="1:19" s="2105" customFormat="1" outlineLevel="1">
      <c r="A2971" s="2182" t="str">
        <f t="shared" si="619"/>
        <v/>
      </c>
      <c r="B2971" s="2261" t="s">
        <v>1786</v>
      </c>
      <c r="C2971" s="2258"/>
      <c r="D2971" s="2152">
        <v>0</v>
      </c>
      <c r="E2971" s="2194" t="s">
        <v>2639</v>
      </c>
      <c r="F2971" s="2152" t="s">
        <v>2385</v>
      </c>
      <c r="G2971" s="2269">
        <f>G2966*4</f>
        <v>0</v>
      </c>
      <c r="H2971" s="2264">
        <v>4620</v>
      </c>
      <c r="I2971" s="2264">
        <v>0</v>
      </c>
      <c r="J2971" s="2264">
        <v>0</v>
      </c>
      <c r="K2971" s="2264"/>
      <c r="L2971" s="2264">
        <f t="shared" si="614"/>
        <v>0</v>
      </c>
      <c r="M2971" s="2264"/>
      <c r="N2971" s="2264"/>
      <c r="O2971" s="2264"/>
      <c r="P2971" s="2265"/>
      <c r="Q2971" s="2266"/>
      <c r="R2971" s="2266"/>
      <c r="S2971" s="2266"/>
    </row>
    <row r="2972" spans="1:19" s="2105" customFormat="1" outlineLevel="1">
      <c r="A2972" s="2182" t="str">
        <f t="shared" si="619"/>
        <v/>
      </c>
      <c r="B2972" s="2261" t="s">
        <v>1784</v>
      </c>
      <c r="C2972" s="2258"/>
      <c r="D2972" s="2152">
        <v>0</v>
      </c>
      <c r="E2972" s="2194" t="s">
        <v>2660</v>
      </c>
      <c r="F2972" s="2152" t="s">
        <v>2385</v>
      </c>
      <c r="G2972" s="2269">
        <f>G2966*4</f>
        <v>0</v>
      </c>
      <c r="H2972" s="2264">
        <v>12340</v>
      </c>
      <c r="I2972" s="2264">
        <v>0</v>
      </c>
      <c r="J2972" s="2264">
        <v>0</v>
      </c>
      <c r="K2972" s="2264">
        <v>0</v>
      </c>
      <c r="L2972" s="2264">
        <f t="shared" si="614"/>
        <v>0</v>
      </c>
      <c r="M2972" s="2264">
        <f>I2972*G2972</f>
        <v>0</v>
      </c>
      <c r="N2972" s="2264">
        <f>J2972*G2972</f>
        <v>0</v>
      </c>
      <c r="O2972" s="2264">
        <f>K2972*G2972</f>
        <v>0</v>
      </c>
      <c r="P2972" s="2265"/>
      <c r="Q2972" s="2266"/>
      <c r="R2972" s="2266"/>
      <c r="S2972" s="2266"/>
    </row>
    <row r="2973" spans="1:19" s="2105" customFormat="1" outlineLevel="1">
      <c r="A2973" s="2182" t="str">
        <f t="shared" si="619"/>
        <v/>
      </c>
      <c r="B2973" s="2261" t="s">
        <v>516</v>
      </c>
      <c r="C2973" s="2258"/>
      <c r="D2973" s="2152" t="s">
        <v>1457</v>
      </c>
      <c r="E2973" s="2194" t="s">
        <v>5422</v>
      </c>
      <c r="F2973" s="2152" t="s">
        <v>2385</v>
      </c>
      <c r="G2973" s="2269">
        <f>G2966</f>
        <v>0</v>
      </c>
      <c r="H2973" s="2264">
        <v>0</v>
      </c>
      <c r="I2973" s="2264"/>
      <c r="J2973" s="2264" t="s">
        <v>6391</v>
      </c>
      <c r="K2973" s="2264"/>
      <c r="L2973" s="2264">
        <f t="shared" si="614"/>
        <v>0</v>
      </c>
      <c r="M2973" s="2264"/>
      <c r="N2973" s="2264">
        <v>0</v>
      </c>
      <c r="O2973" s="2264"/>
      <c r="P2973" s="2265"/>
      <c r="Q2973" s="2266"/>
      <c r="R2973" s="2266"/>
      <c r="S2973" s="2266"/>
    </row>
    <row r="2974" spans="1:19" s="2105" customFormat="1" outlineLevel="1">
      <c r="A2974" s="2182" t="str">
        <f t="shared" si="619"/>
        <v/>
      </c>
      <c r="B2974" s="2261"/>
      <c r="C2974" s="2258">
        <f>IF(G2974&gt;0,C2966+1,C2966)</f>
        <v>0</v>
      </c>
      <c r="D2974" s="2259"/>
      <c r="E2974" s="2417" t="s">
        <v>6289</v>
      </c>
      <c r="F2974" s="2258" t="s">
        <v>2385</v>
      </c>
      <c r="G2974" s="2263">
        <f>G2932*1</f>
        <v>0</v>
      </c>
      <c r="H2974" s="2264"/>
      <c r="I2974" s="2264"/>
      <c r="J2974" s="2264"/>
      <c r="K2974" s="2264"/>
      <c r="L2974" s="2264">
        <f t="shared" si="614"/>
        <v>0</v>
      </c>
      <c r="M2974" s="2264">
        <f>I2974*G2974</f>
        <v>0</v>
      </c>
      <c r="N2974" s="2264">
        <f>J2974*G2974</f>
        <v>0</v>
      </c>
      <c r="O2974" s="2264">
        <f>K2974*G2974</f>
        <v>0</v>
      </c>
      <c r="P2974" s="2265"/>
      <c r="Q2974" s="2266"/>
      <c r="R2974" s="2266"/>
      <c r="S2974" s="2266"/>
    </row>
    <row r="2975" spans="1:19" s="2105" customFormat="1" ht="14.4" outlineLevel="1">
      <c r="A2975" s="2182" t="str">
        <f>A2974</f>
        <v/>
      </c>
      <c r="B2975" s="2261"/>
      <c r="C2975" s="2258"/>
      <c r="D2975" s="2259"/>
      <c r="E2975" s="2267" t="s">
        <v>6133</v>
      </c>
      <c r="F2975" s="2268"/>
      <c r="G2975" s="2269"/>
      <c r="H2975" s="2264"/>
      <c r="I2975" s="2264"/>
      <c r="J2975" s="2264"/>
      <c r="K2975" s="2264"/>
      <c r="L2975" s="2264">
        <f t="shared" si="614"/>
        <v>0</v>
      </c>
      <c r="M2975" s="2264">
        <f>I2975*G2975</f>
        <v>0</v>
      </c>
      <c r="N2975" s="2264">
        <f>J2975*G2975</f>
        <v>0</v>
      </c>
      <c r="O2975" s="2264">
        <f>K2975*G2975</f>
        <v>0</v>
      </c>
      <c r="P2975" s="2265"/>
      <c r="Q2975" s="2266"/>
      <c r="R2975" s="2266"/>
      <c r="S2975" s="2266"/>
    </row>
    <row r="2976" spans="1:19" s="2105" customFormat="1" outlineLevel="1">
      <c r="A2976" s="2182" t="str">
        <f t="shared" ref="A2976:A2982" si="620">IF(G2976&lt;&gt;0,1,"")</f>
        <v/>
      </c>
      <c r="B2976" s="2261" t="s">
        <v>2022</v>
      </c>
      <c r="C2976" s="2258"/>
      <c r="D2976" s="2152">
        <v>0</v>
      </c>
      <c r="E2976" s="2194" t="s">
        <v>2437</v>
      </c>
      <c r="F2976" s="2152" t="s">
        <v>2248</v>
      </c>
      <c r="G2976" s="2270">
        <f>G2974*9.02*(2.2+4*0.07)</f>
        <v>0</v>
      </c>
      <c r="H2976" s="2264">
        <v>31625</v>
      </c>
      <c r="I2976" s="2264"/>
      <c r="J2976" s="2264">
        <v>0</v>
      </c>
      <c r="K2976" s="2264"/>
      <c r="L2976" s="2264">
        <f t="shared" si="614"/>
        <v>0</v>
      </c>
      <c r="M2976" s="2264"/>
      <c r="N2976" s="2264"/>
      <c r="O2976" s="2264"/>
      <c r="P2976" s="2265"/>
      <c r="Q2976" s="2266"/>
      <c r="R2976" s="2266"/>
      <c r="S2976" s="2266"/>
    </row>
    <row r="2977" spans="1:19" s="2105" customFormat="1" outlineLevel="1">
      <c r="A2977" s="2182" t="str">
        <f t="shared" si="620"/>
        <v/>
      </c>
      <c r="B2977" s="2261" t="s">
        <v>1035</v>
      </c>
      <c r="C2977" s="2258"/>
      <c r="D2977" s="2152">
        <v>0</v>
      </c>
      <c r="E2977" s="2194" t="s">
        <v>2956</v>
      </c>
      <c r="F2977" s="2152" t="s">
        <v>2248</v>
      </c>
      <c r="G2977" s="2270">
        <f>G2974*3.77*0.81*2</f>
        <v>0</v>
      </c>
      <c r="H2977" s="2264">
        <v>31625</v>
      </c>
      <c r="I2977" s="2264"/>
      <c r="J2977" s="2264">
        <v>0</v>
      </c>
      <c r="K2977" s="2264"/>
      <c r="L2977" s="2264">
        <f t="shared" si="614"/>
        <v>0</v>
      </c>
      <c r="M2977" s="2264"/>
      <c r="N2977" s="2264"/>
      <c r="O2977" s="2264"/>
      <c r="P2977" s="2265"/>
      <c r="Q2977" s="2266"/>
      <c r="R2977" s="2266"/>
      <c r="S2977" s="2266"/>
    </row>
    <row r="2978" spans="1:19" s="2105" customFormat="1" outlineLevel="1">
      <c r="A2978" s="2182" t="str">
        <f t="shared" si="620"/>
        <v/>
      </c>
      <c r="B2978" s="2261" t="s">
        <v>1079</v>
      </c>
      <c r="C2978" s="2258"/>
      <c r="D2978" s="2152">
        <v>0</v>
      </c>
      <c r="E2978" s="2194" t="s">
        <v>2651</v>
      </c>
      <c r="F2978" s="2152" t="s">
        <v>2385</v>
      </c>
      <c r="G2978" s="2269">
        <f>G2974*2</f>
        <v>0</v>
      </c>
      <c r="H2978" s="2264">
        <v>27900</v>
      </c>
      <c r="I2978" s="2264">
        <v>0</v>
      </c>
      <c r="J2978" s="2264">
        <v>0</v>
      </c>
      <c r="K2978" s="2264"/>
      <c r="L2978" s="2264">
        <f t="shared" si="614"/>
        <v>0</v>
      </c>
      <c r="M2978" s="2264"/>
      <c r="N2978" s="2264"/>
      <c r="O2978" s="2264"/>
      <c r="P2978" s="2265"/>
      <c r="Q2978" s="2266"/>
      <c r="R2978" s="2266"/>
      <c r="S2978" s="2266"/>
    </row>
    <row r="2979" spans="1:19" s="2105" customFormat="1" outlineLevel="1">
      <c r="A2979" s="2182" t="str">
        <f t="shared" si="620"/>
        <v/>
      </c>
      <c r="B2979" s="2261" t="s">
        <v>1786</v>
      </c>
      <c r="C2979" s="2258"/>
      <c r="D2979" s="2152">
        <v>0</v>
      </c>
      <c r="E2979" s="2194" t="s">
        <v>2639</v>
      </c>
      <c r="F2979" s="2152" t="s">
        <v>2385</v>
      </c>
      <c r="G2979" s="2269">
        <f>G2974*2</f>
        <v>0</v>
      </c>
      <c r="H2979" s="2264">
        <v>12400</v>
      </c>
      <c r="I2979" s="2264">
        <v>0</v>
      </c>
      <c r="J2979" s="2264">
        <v>0</v>
      </c>
      <c r="K2979" s="2264"/>
      <c r="L2979" s="2264">
        <f t="shared" si="614"/>
        <v>0</v>
      </c>
      <c r="M2979" s="2264"/>
      <c r="N2979" s="2264"/>
      <c r="O2979" s="2264"/>
      <c r="P2979" s="2265"/>
      <c r="Q2979" s="2266"/>
      <c r="R2979" s="2266"/>
      <c r="S2979" s="2266"/>
    </row>
    <row r="2980" spans="1:19" s="2105" customFormat="1" outlineLevel="1">
      <c r="A2980" s="2182" t="str">
        <f t="shared" si="620"/>
        <v/>
      </c>
      <c r="B2980" s="2261" t="s">
        <v>988</v>
      </c>
      <c r="C2980" s="2258"/>
      <c r="D2980" s="2152">
        <v>0</v>
      </c>
      <c r="E2980" s="2194" t="s">
        <v>5270</v>
      </c>
      <c r="F2980" s="2152" t="s">
        <v>2385</v>
      </c>
      <c r="G2980" s="2269">
        <f>G2974/3</f>
        <v>0</v>
      </c>
      <c r="H2980" s="2264">
        <v>178900</v>
      </c>
      <c r="I2980" s="2264">
        <v>0</v>
      </c>
      <c r="J2980" s="2264">
        <v>0</v>
      </c>
      <c r="K2980" s="2264"/>
      <c r="L2980" s="2264">
        <f t="shared" si="614"/>
        <v>0</v>
      </c>
      <c r="M2980" s="2264"/>
      <c r="N2980" s="2264"/>
      <c r="O2980" s="2264"/>
      <c r="P2980" s="2265"/>
      <c r="Q2980" s="2266"/>
      <c r="R2980" s="2266"/>
      <c r="S2980" s="2266"/>
    </row>
    <row r="2981" spans="1:19" s="2105" customFormat="1" outlineLevel="1">
      <c r="A2981" s="2182" t="str">
        <f t="shared" si="620"/>
        <v/>
      </c>
      <c r="B2981" s="2261" t="s">
        <v>1995</v>
      </c>
      <c r="C2981" s="2258"/>
      <c r="D2981" s="2152" t="s">
        <v>2265</v>
      </c>
      <c r="E2981" s="2194" t="s">
        <v>5379</v>
      </c>
      <c r="F2981" s="2152" t="s">
        <v>2385</v>
      </c>
      <c r="G2981" s="2269">
        <f>G2974</f>
        <v>0</v>
      </c>
      <c r="H2981" s="2264">
        <v>0</v>
      </c>
      <c r="I2981" s="2264"/>
      <c r="J2981" s="2264" t="s">
        <v>6344</v>
      </c>
      <c r="K2981" s="2264"/>
      <c r="L2981" s="2264">
        <f t="shared" si="614"/>
        <v>0</v>
      </c>
      <c r="M2981" s="2264"/>
      <c r="N2981" s="2264">
        <v>0</v>
      </c>
      <c r="O2981" s="2264"/>
      <c r="P2981" s="2265"/>
      <c r="Q2981" s="2266"/>
      <c r="R2981" s="2266"/>
      <c r="S2981" s="2266"/>
    </row>
    <row r="2982" spans="1:19" s="2105" customFormat="1" outlineLevel="1">
      <c r="A2982" s="2182" t="str">
        <f t="shared" si="620"/>
        <v/>
      </c>
      <c r="B2982" s="2261"/>
      <c r="C2982" s="2258">
        <f>IF(G2982&gt;0,C2974+1,C2974)</f>
        <v>0</v>
      </c>
      <c r="D2982" s="2259"/>
      <c r="E2982" s="2417" t="s">
        <v>4377</v>
      </c>
      <c r="F2982" s="2258" t="s">
        <v>2385</v>
      </c>
      <c r="G2982" s="2263">
        <f>G2932</f>
        <v>0</v>
      </c>
      <c r="H2982" s="2264"/>
      <c r="I2982" s="2264"/>
      <c r="J2982" s="2264"/>
      <c r="K2982" s="2264"/>
      <c r="L2982" s="2264">
        <f t="shared" si="614"/>
        <v>0</v>
      </c>
      <c r="M2982" s="2264">
        <f>I2982*G2982</f>
        <v>0</v>
      </c>
      <c r="N2982" s="2264">
        <f t="shared" ref="N2982:N2990" si="621">J2982*G2982</f>
        <v>0</v>
      </c>
      <c r="O2982" s="2264">
        <f>K2982*G2982</f>
        <v>0</v>
      </c>
      <c r="P2982" s="2265"/>
      <c r="Q2982" s="2266"/>
      <c r="R2982" s="2266"/>
      <c r="S2982" s="2266"/>
    </row>
    <row r="2983" spans="1:19" s="2105" customFormat="1" ht="14.4" outlineLevel="1">
      <c r="A2983" s="2182" t="str">
        <f>A2982</f>
        <v/>
      </c>
      <c r="B2983" s="2418"/>
      <c r="C2983" s="2258"/>
      <c r="D2983" s="2259"/>
      <c r="E2983" s="2267" t="s">
        <v>6290</v>
      </c>
      <c r="F2983" s="2268"/>
      <c r="G2983" s="2269"/>
      <c r="H2983" s="2264"/>
      <c r="I2983" s="2264"/>
      <c r="J2983" s="2264"/>
      <c r="K2983" s="2264"/>
      <c r="L2983" s="2264">
        <f t="shared" si="614"/>
        <v>0</v>
      </c>
      <c r="M2983" s="2264">
        <f>I2983*G2983</f>
        <v>0</v>
      </c>
      <c r="N2983" s="2264">
        <f t="shared" si="621"/>
        <v>0</v>
      </c>
      <c r="O2983" s="2264">
        <f>K2983*G2983</f>
        <v>0</v>
      </c>
      <c r="P2983" s="2265"/>
      <c r="Q2983" s="2266"/>
      <c r="R2983" s="2266"/>
      <c r="S2983" s="2266"/>
    </row>
    <row r="2984" spans="1:19" s="2105" customFormat="1" outlineLevel="1">
      <c r="A2984" s="2182" t="str">
        <f t="shared" ref="A2984:A2990" si="622">IF(G2984&lt;&gt;0,1,"")</f>
        <v/>
      </c>
      <c r="B2984" s="2261" t="s">
        <v>1033</v>
      </c>
      <c r="C2984" s="2258"/>
      <c r="D2984" s="2152">
        <v>0</v>
      </c>
      <c r="E2984" s="2194" t="s">
        <v>2700</v>
      </c>
      <c r="F2984" s="2152" t="s">
        <v>2248</v>
      </c>
      <c r="G2984" s="2270">
        <f>$H$3*0.224*G2982</f>
        <v>0</v>
      </c>
      <c r="H2984" s="2264">
        <v>255500</v>
      </c>
      <c r="I2984" s="2264"/>
      <c r="J2984" s="2264">
        <v>0</v>
      </c>
      <c r="K2984" s="2264">
        <v>0</v>
      </c>
      <c r="L2984" s="2264">
        <f t="shared" si="614"/>
        <v>0</v>
      </c>
      <c r="M2984" s="2264">
        <f>I2984*G2984</f>
        <v>0</v>
      </c>
      <c r="N2984" s="2264">
        <f t="shared" si="621"/>
        <v>0</v>
      </c>
      <c r="O2984" s="2264">
        <f>K2984*G2984</f>
        <v>0</v>
      </c>
      <c r="P2984" s="2265"/>
      <c r="Q2984" s="2266"/>
      <c r="R2984" s="2266"/>
      <c r="S2984" s="2266"/>
    </row>
    <row r="2985" spans="1:19" s="2105" customFormat="1" outlineLevel="1">
      <c r="A2985" s="2182" t="str">
        <f t="shared" si="622"/>
        <v/>
      </c>
      <c r="B2985" s="2252" t="s">
        <v>1508</v>
      </c>
      <c r="C2985" s="2258"/>
      <c r="D2985" s="2152">
        <v>0</v>
      </c>
      <c r="E2985" s="2194" t="s">
        <v>5163</v>
      </c>
      <c r="F2985" s="2152" t="s">
        <v>2439</v>
      </c>
      <c r="G2985" s="2269">
        <f>+$H$2*G2982</f>
        <v>0</v>
      </c>
      <c r="H2985" s="2264">
        <v>160000</v>
      </c>
      <c r="I2985" s="2264"/>
      <c r="J2985" s="2264">
        <v>0</v>
      </c>
      <c r="K2985" s="2264">
        <v>0</v>
      </c>
      <c r="L2985" s="2264">
        <f t="shared" si="614"/>
        <v>0</v>
      </c>
      <c r="M2985" s="2264">
        <f>I2985*G2985</f>
        <v>0</v>
      </c>
      <c r="N2985" s="2264">
        <f t="shared" si="621"/>
        <v>0</v>
      </c>
      <c r="O2985" s="2264">
        <f>K2985*G2985</f>
        <v>0</v>
      </c>
      <c r="P2985" s="2265"/>
      <c r="Q2985" s="2266"/>
      <c r="R2985" s="2266"/>
      <c r="S2985" s="2266"/>
    </row>
    <row r="2986" spans="1:19" s="2105" customFormat="1" outlineLevel="1">
      <c r="A2986" s="2182" t="str">
        <f t="shared" si="622"/>
        <v/>
      </c>
      <c r="B2986" s="2252" t="s">
        <v>1585</v>
      </c>
      <c r="C2986" s="2258"/>
      <c r="D2986" s="2152">
        <v>0</v>
      </c>
      <c r="E2986" s="2194" t="s">
        <v>5713</v>
      </c>
      <c r="F2986" s="2152" t="s">
        <v>3445</v>
      </c>
      <c r="G2986" s="2269">
        <f>G2982*$L$3</f>
        <v>0</v>
      </c>
      <c r="H2986" s="2264">
        <v>0</v>
      </c>
      <c r="I2986" s="2264"/>
      <c r="J2986" s="2264">
        <v>1500000</v>
      </c>
      <c r="K2986" s="2264">
        <v>0</v>
      </c>
      <c r="L2986" s="2264">
        <f>H2986*G2986</f>
        <v>0</v>
      </c>
      <c r="M2986" s="2264">
        <f>I2986*G2986</f>
        <v>0</v>
      </c>
      <c r="N2986" s="2264">
        <f t="shared" si="621"/>
        <v>0</v>
      </c>
      <c r="O2986" s="2264">
        <f>K2986*G2986</f>
        <v>0</v>
      </c>
      <c r="P2986" s="2265"/>
      <c r="Q2986" s="2266"/>
      <c r="R2986" s="2266"/>
      <c r="S2986" s="2266"/>
    </row>
    <row r="2987" spans="1:19" s="2105" customFormat="1" outlineLevel="1">
      <c r="A2987" s="2182" t="str">
        <f t="shared" si="622"/>
        <v/>
      </c>
      <c r="B2987" s="2261" t="s">
        <v>1579</v>
      </c>
      <c r="C2987" s="2258"/>
      <c r="D2987" s="2152">
        <v>0</v>
      </c>
      <c r="E2987" s="2194" t="s">
        <v>2873</v>
      </c>
      <c r="F2987" s="2152" t="s">
        <v>2555</v>
      </c>
      <c r="G2987" s="2269">
        <f>2*G2982*0</f>
        <v>0</v>
      </c>
      <c r="H2987" s="2264">
        <v>8000</v>
      </c>
      <c r="I2987" s="2264"/>
      <c r="J2987" s="2264">
        <v>0</v>
      </c>
      <c r="K2987" s="2264"/>
      <c r="L2987" s="2264">
        <f>H2987*G2987</f>
        <v>0</v>
      </c>
      <c r="M2987" s="2264"/>
      <c r="N2987" s="2264">
        <f t="shared" si="621"/>
        <v>0</v>
      </c>
      <c r="O2987" s="2264"/>
      <c r="P2987" s="2265"/>
      <c r="Q2987" s="2266"/>
      <c r="R2987" s="2266"/>
      <c r="S2987" s="2266"/>
    </row>
    <row r="2988" spans="1:19" s="2105" customFormat="1" outlineLevel="1">
      <c r="A2988" s="2182" t="str">
        <f t="shared" si="622"/>
        <v/>
      </c>
      <c r="B2988" s="2261" t="s">
        <v>816</v>
      </c>
      <c r="C2988" s="2258"/>
      <c r="D2988" s="2152">
        <v>0</v>
      </c>
      <c r="E2988" s="2194" t="s">
        <v>3581</v>
      </c>
      <c r="F2988" s="2152" t="s">
        <v>2555</v>
      </c>
      <c r="G2988" s="2269">
        <f>IF(G2985&lt;=12,15,21)*G2982</f>
        <v>0</v>
      </c>
      <c r="H2988" s="2264">
        <v>17600</v>
      </c>
      <c r="I2988" s="2264"/>
      <c r="J2988" s="2264">
        <v>0</v>
      </c>
      <c r="K2988" s="2264"/>
      <c r="L2988" s="2264">
        <f>H2988*G2988</f>
        <v>0</v>
      </c>
      <c r="M2988" s="2264">
        <f>I2988*G2988</f>
        <v>0</v>
      </c>
      <c r="N2988" s="2264">
        <f t="shared" si="621"/>
        <v>0</v>
      </c>
      <c r="O2988" s="2264">
        <f>K2988*G2988</f>
        <v>0</v>
      </c>
      <c r="P2988" s="2265"/>
      <c r="Q2988" s="2266"/>
      <c r="R2988" s="2266"/>
      <c r="S2988" s="2266"/>
    </row>
    <row r="2989" spans="1:19" s="2105" customFormat="1" outlineLevel="1">
      <c r="A2989" s="2182" t="str">
        <f t="shared" si="622"/>
        <v/>
      </c>
      <c r="B2989" s="2252" t="s">
        <v>525</v>
      </c>
      <c r="C2989" s="2258"/>
      <c r="D2989" s="2152">
        <v>0</v>
      </c>
      <c r="E2989" s="2194" t="s">
        <v>5252</v>
      </c>
      <c r="F2989" s="2152" t="s">
        <v>2439</v>
      </c>
      <c r="G2989" s="2269">
        <f>G2982*2</f>
        <v>0</v>
      </c>
      <c r="H2989" s="2264">
        <v>43000</v>
      </c>
      <c r="I2989" s="2264"/>
      <c r="J2989" s="2264">
        <v>0</v>
      </c>
      <c r="K2989" s="2264">
        <v>0</v>
      </c>
      <c r="L2989" s="2264">
        <f>H2989*G2989</f>
        <v>0</v>
      </c>
      <c r="M2989" s="2264">
        <f>I2989*G2989</f>
        <v>0</v>
      </c>
      <c r="N2989" s="2264">
        <f t="shared" si="621"/>
        <v>0</v>
      </c>
      <c r="O2989" s="2264">
        <f>K2989*G2989</f>
        <v>0</v>
      </c>
      <c r="P2989" s="2265"/>
      <c r="Q2989" s="2266"/>
      <c r="R2989" s="2266"/>
      <c r="S2989" s="2266"/>
    </row>
    <row r="2990" spans="1:19" s="2105" customFormat="1" outlineLevel="1">
      <c r="A2990" s="2182" t="str">
        <f t="shared" si="622"/>
        <v/>
      </c>
      <c r="B2990" s="2252" t="s">
        <v>1490</v>
      </c>
      <c r="C2990" s="2258"/>
      <c r="D2990" s="2152">
        <v>0</v>
      </c>
      <c r="E2990" s="2194" t="s">
        <v>3536</v>
      </c>
      <c r="F2990" s="2152" t="s">
        <v>1823</v>
      </c>
      <c r="G2990" s="2269">
        <f>G2982*3</f>
        <v>0</v>
      </c>
      <c r="H2990" s="2264">
        <v>6200</v>
      </c>
      <c r="I2990" s="2264"/>
      <c r="J2990" s="2264">
        <v>0</v>
      </c>
      <c r="K2990" s="2264">
        <v>0</v>
      </c>
      <c r="L2990" s="2264">
        <f>H2990*G2990</f>
        <v>0</v>
      </c>
      <c r="M2990" s="2264">
        <f>I2990*G2990</f>
        <v>0</v>
      </c>
      <c r="N2990" s="2264">
        <f t="shared" si="621"/>
        <v>0</v>
      </c>
      <c r="O2990" s="2264">
        <f>K2990*G2990</f>
        <v>0</v>
      </c>
      <c r="P2990" s="2265"/>
      <c r="Q2990" s="2266"/>
      <c r="R2990" s="2266"/>
      <c r="S2990" s="2266"/>
    </row>
    <row r="2991" spans="1:19" s="2105" customFormat="1" outlineLevel="1">
      <c r="A2991" s="2182">
        <f>IF(G2991=0,0,1)</f>
        <v>0</v>
      </c>
      <c r="B2991" s="2252" t="s">
        <v>794</v>
      </c>
      <c r="C2991" s="2268"/>
      <c r="D2991" s="2152" t="s">
        <v>5336</v>
      </c>
      <c r="E2991" s="2194" t="s">
        <v>3068</v>
      </c>
      <c r="F2991" s="2501" t="s">
        <v>856</v>
      </c>
      <c r="G2991" s="2420">
        <f>H4*G2982</f>
        <v>0</v>
      </c>
      <c r="H2991" s="2264">
        <v>0</v>
      </c>
      <c r="I2991" s="2264"/>
      <c r="J2991" s="2264">
        <v>283749.75</v>
      </c>
      <c r="K2991" s="2264">
        <v>0</v>
      </c>
      <c r="L2991" s="2264">
        <f t="shared" ref="L2991:O2992" si="623">H2991*$G2991</f>
        <v>0</v>
      </c>
      <c r="M2991" s="2264">
        <f t="shared" si="623"/>
        <v>0</v>
      </c>
      <c r="N2991" s="2264">
        <f t="shared" si="623"/>
        <v>0</v>
      </c>
      <c r="O2991" s="2264">
        <f t="shared" si="623"/>
        <v>0</v>
      </c>
      <c r="P2991" s="2265"/>
      <c r="Q2991" s="2266"/>
      <c r="R2991" s="2266"/>
      <c r="S2991" s="2266"/>
    </row>
    <row r="2992" spans="1:19" s="2105" customFormat="1" outlineLevel="1">
      <c r="A2992" s="2182">
        <f>IF(G2992=0,0,1)</f>
        <v>0</v>
      </c>
      <c r="B2992" s="2252" t="s">
        <v>798</v>
      </c>
      <c r="C2992" s="2268"/>
      <c r="D2992" s="2152" t="s">
        <v>5325</v>
      </c>
      <c r="E2992" s="2194" t="s">
        <v>5337</v>
      </c>
      <c r="F2992" s="2501" t="s">
        <v>856</v>
      </c>
      <c r="G2992" s="2420">
        <f>+G2991</f>
        <v>0</v>
      </c>
      <c r="H2992" s="2264">
        <v>0</v>
      </c>
      <c r="I2992" s="2264"/>
      <c r="J2992" s="2264">
        <v>117703.6</v>
      </c>
      <c r="K2992" s="2264">
        <v>0</v>
      </c>
      <c r="L2992" s="2264">
        <f t="shared" si="623"/>
        <v>0</v>
      </c>
      <c r="M2992" s="2264">
        <f t="shared" si="623"/>
        <v>0</v>
      </c>
      <c r="N2992" s="2264">
        <f t="shared" si="623"/>
        <v>0</v>
      </c>
      <c r="O2992" s="2264">
        <f t="shared" si="623"/>
        <v>0</v>
      </c>
      <c r="P2992" s="2265"/>
      <c r="Q2992" s="2266"/>
      <c r="R2992" s="2266"/>
      <c r="S2992" s="2266"/>
    </row>
    <row r="2993" spans="1:19" s="2105" customFormat="1" outlineLevel="1">
      <c r="A2993" s="2182">
        <f>IF(G2993=0,0,1)</f>
        <v>0</v>
      </c>
      <c r="B2993" s="2252" t="s">
        <v>902</v>
      </c>
      <c r="C2993" s="2268"/>
      <c r="D2993" s="2152" t="s">
        <v>5351</v>
      </c>
      <c r="E2993" s="2194" t="s">
        <v>5352</v>
      </c>
      <c r="F2993" s="2501" t="s">
        <v>856</v>
      </c>
      <c r="G2993" s="2420">
        <f>G2985</f>
        <v>0</v>
      </c>
      <c r="H2993" s="2264">
        <v>0</v>
      </c>
      <c r="I2993" s="2264"/>
      <c r="J2993" s="2264" t="s">
        <v>6312</v>
      </c>
      <c r="K2993" s="2264">
        <v>0</v>
      </c>
      <c r="L2993" s="2264">
        <f>H2993*$G2993</f>
        <v>0</v>
      </c>
      <c r="M2993" s="2264">
        <f>I2993*$G2993</f>
        <v>0</v>
      </c>
      <c r="N2993" s="2264">
        <v>0</v>
      </c>
      <c r="O2993" s="2264">
        <f>K2993*$G2993</f>
        <v>0</v>
      </c>
      <c r="P2993" s="2265"/>
      <c r="Q2993" s="2266"/>
      <c r="R2993" s="2266"/>
      <c r="S2993" s="2266"/>
    </row>
    <row r="2994" spans="1:19" s="2105" customFormat="1" outlineLevel="1">
      <c r="A2994" s="2182" t="str">
        <f>IF(G2994&lt;&gt;0,1,"")</f>
        <v/>
      </c>
      <c r="B2994" s="2252" t="s">
        <v>1437</v>
      </c>
      <c r="C2994" s="2258"/>
      <c r="D2994" s="2152" t="s">
        <v>5346</v>
      </c>
      <c r="E2994" s="2194" t="s">
        <v>5347</v>
      </c>
      <c r="F2994" s="2152" t="s">
        <v>2532</v>
      </c>
      <c r="G2994" s="2269">
        <f>G2984/0.224*G2982</f>
        <v>0</v>
      </c>
      <c r="H2994" s="2264">
        <v>0</v>
      </c>
      <c r="I2994" s="2264"/>
      <c r="J2994" s="2264">
        <v>8070.7000000000007</v>
      </c>
      <c r="K2994" s="2264">
        <v>2044.9974999999999</v>
      </c>
      <c r="L2994" s="2264">
        <f>H2994*G2994</f>
        <v>0</v>
      </c>
      <c r="M2994" s="2264">
        <f>I2994*G2994</f>
        <v>0</v>
      </c>
      <c r="N2994" s="2264">
        <f>J2994*G2994</f>
        <v>0</v>
      </c>
      <c r="O2994" s="2264">
        <f>K2994*G2994</f>
        <v>0</v>
      </c>
      <c r="P2994" s="2265"/>
      <c r="Q2994" s="2266"/>
      <c r="R2994" s="2266"/>
      <c r="S2994" s="2266"/>
    </row>
    <row r="2995" spans="1:19" s="2105" customFormat="1" outlineLevel="1">
      <c r="A2995" s="2182" t="str">
        <f>IF(G2995&lt;&gt;0,1,"")</f>
        <v/>
      </c>
      <c r="B2995" s="2261"/>
      <c r="C2995" s="2258">
        <f>IF(G2995&gt;0,C2982+1,C2982)</f>
        <v>0</v>
      </c>
      <c r="D2995" s="2259"/>
      <c r="E2995" s="2376" t="s">
        <v>6291</v>
      </c>
      <c r="F2995" s="2258" t="s">
        <v>2385</v>
      </c>
      <c r="G2995" s="2263">
        <f>G2932</f>
        <v>0</v>
      </c>
      <c r="H2995" s="2264"/>
      <c r="I2995" s="2264"/>
      <c r="J2995" s="2264"/>
      <c r="K2995" s="2264"/>
      <c r="L2995" s="2264">
        <f t="shared" ref="L2995:L3017" si="624">H2995*G2995</f>
        <v>0</v>
      </c>
      <c r="M2995" s="2264">
        <f t="shared" ref="M2995:M3017" si="625">I2995*G2995</f>
        <v>0</v>
      </c>
      <c r="N2995" s="2264">
        <f t="shared" ref="N2995:N3017" si="626">J2995*G2995</f>
        <v>0</v>
      </c>
      <c r="O2995" s="2264">
        <f t="shared" ref="O2995:O3017" si="627">K2995*G2995</f>
        <v>0</v>
      </c>
      <c r="P2995" s="2265"/>
      <c r="Q2995" s="2266"/>
      <c r="R2995" s="2266"/>
      <c r="S2995" s="2266"/>
    </row>
    <row r="2996" spans="1:19" s="2105" customFormat="1" ht="14.4" outlineLevel="1">
      <c r="A2996" s="2182" t="str">
        <f>A2995</f>
        <v/>
      </c>
      <c r="B2996" s="2261"/>
      <c r="C2996" s="2258"/>
      <c r="D2996" s="2259"/>
      <c r="E2996" s="2267" t="s">
        <v>6133</v>
      </c>
      <c r="F2996" s="2268"/>
      <c r="G2996" s="2269"/>
      <c r="H2996" s="2264"/>
      <c r="I2996" s="2264"/>
      <c r="J2996" s="2264"/>
      <c r="K2996" s="2264"/>
      <c r="L2996" s="2264">
        <f t="shared" si="624"/>
        <v>0</v>
      </c>
      <c r="M2996" s="2264">
        <f t="shared" si="625"/>
        <v>0</v>
      </c>
      <c r="N2996" s="2264">
        <f t="shared" si="626"/>
        <v>0</v>
      </c>
      <c r="O2996" s="2264">
        <f t="shared" si="627"/>
        <v>0</v>
      </c>
      <c r="P2996" s="2265"/>
      <c r="Q2996" s="2266"/>
      <c r="R2996" s="2266"/>
      <c r="S2996" s="2266"/>
    </row>
    <row r="2997" spans="1:19" s="2105" customFormat="1" outlineLevel="1">
      <c r="A2997" s="2182" t="str">
        <f>IF(G2997&lt;&gt;0,1,"")</f>
        <v/>
      </c>
      <c r="B2997" s="2261" t="s">
        <v>6292</v>
      </c>
      <c r="C2997" s="2268"/>
      <c r="D2997" s="2152" t="s">
        <v>5633</v>
      </c>
      <c r="E2997" s="2194" t="s">
        <v>5637</v>
      </c>
      <c r="F2997" s="2152" t="s">
        <v>2555</v>
      </c>
      <c r="G2997" s="2270">
        <f>G2995</f>
        <v>0</v>
      </c>
      <c r="H2997" s="2264">
        <v>60000000</v>
      </c>
      <c r="I2997" s="2264"/>
      <c r="J2997" s="2264">
        <v>690091</v>
      </c>
      <c r="K2997" s="2264">
        <v>97369</v>
      </c>
      <c r="L2997" s="2264">
        <f t="shared" si="624"/>
        <v>0</v>
      </c>
      <c r="M2997" s="2264">
        <f t="shared" si="625"/>
        <v>0</v>
      </c>
      <c r="N2997" s="2264">
        <f t="shared" si="626"/>
        <v>0</v>
      </c>
      <c r="O2997" s="2264">
        <f t="shared" si="627"/>
        <v>0</v>
      </c>
      <c r="P2997" s="2265"/>
      <c r="Q2997" s="2266"/>
      <c r="R2997" s="2266"/>
      <c r="S2997" s="2266"/>
    </row>
    <row r="2998" spans="1:19" s="2105" customFormat="1" outlineLevel="1">
      <c r="A2998" s="2182" t="str">
        <f>IF(G2998&lt;&gt;0,1,"")</f>
        <v/>
      </c>
      <c r="B2998" s="2261" t="s">
        <v>289</v>
      </c>
      <c r="C2998" s="2268"/>
      <c r="D2998" s="2152">
        <v>0</v>
      </c>
      <c r="E2998" s="2194" t="s">
        <v>5712</v>
      </c>
      <c r="F2998" s="2152" t="s">
        <v>2555</v>
      </c>
      <c r="G2998" s="2270">
        <f>G2995</f>
        <v>0</v>
      </c>
      <c r="H2998" s="2264">
        <v>300000</v>
      </c>
      <c r="I2998" s="2264"/>
      <c r="J2998" s="2264">
        <v>0</v>
      </c>
      <c r="K2998" s="2264">
        <v>0</v>
      </c>
      <c r="L2998" s="2264">
        <f t="shared" si="624"/>
        <v>0</v>
      </c>
      <c r="M2998" s="2264">
        <f t="shared" si="625"/>
        <v>0</v>
      </c>
      <c r="N2998" s="2264">
        <f t="shared" si="626"/>
        <v>0</v>
      </c>
      <c r="O2998" s="2264">
        <f t="shared" si="627"/>
        <v>0</v>
      </c>
      <c r="P2998" s="2265"/>
      <c r="Q2998" s="2266"/>
      <c r="R2998" s="2266"/>
      <c r="S2998" s="2266"/>
    </row>
    <row r="2999" spans="1:19" s="2105" customFormat="1" outlineLevel="1">
      <c r="A2999" s="2182" t="str">
        <f>IF(G2999&lt;&gt;0,1,"")</f>
        <v/>
      </c>
      <c r="B2999" s="2261"/>
      <c r="C2999" s="2258">
        <f>IF(G2999&gt;0,C2995+1,C2995)</f>
        <v>0</v>
      </c>
      <c r="D2999" s="2259"/>
      <c r="E2999" s="2262" t="s">
        <v>3757</v>
      </c>
      <c r="F2999" s="2258" t="s">
        <v>2532</v>
      </c>
      <c r="G2999" s="2562"/>
      <c r="H2999" s="2264"/>
      <c r="I2999" s="2264"/>
      <c r="J2999" s="2264"/>
      <c r="K2999" s="2264"/>
      <c r="L2999" s="2264">
        <f t="shared" si="624"/>
        <v>0</v>
      </c>
      <c r="M2999" s="2264">
        <f t="shared" si="625"/>
        <v>0</v>
      </c>
      <c r="N2999" s="2264">
        <f t="shared" si="626"/>
        <v>0</v>
      </c>
      <c r="O2999" s="2264">
        <f t="shared" si="627"/>
        <v>0</v>
      </c>
      <c r="P2999" s="2265"/>
      <c r="Q2999" s="2266"/>
      <c r="R2999" s="2266"/>
      <c r="S2999" s="2266"/>
    </row>
    <row r="3000" spans="1:19" s="2105" customFormat="1" ht="14.4" outlineLevel="1">
      <c r="A3000" s="2182" t="str">
        <f>A2999</f>
        <v/>
      </c>
      <c r="B3000" s="2261"/>
      <c r="C3000" s="2258"/>
      <c r="D3000" s="2259"/>
      <c r="E3000" s="2267" t="s">
        <v>6133</v>
      </c>
      <c r="F3000" s="2268"/>
      <c r="G3000" s="2421"/>
      <c r="H3000" s="2264"/>
      <c r="I3000" s="2264"/>
      <c r="J3000" s="2264"/>
      <c r="K3000" s="2264"/>
      <c r="L3000" s="2264">
        <f t="shared" si="624"/>
        <v>0</v>
      </c>
      <c r="M3000" s="2264">
        <f t="shared" si="625"/>
        <v>0</v>
      </c>
      <c r="N3000" s="2264">
        <f t="shared" si="626"/>
        <v>0</v>
      </c>
      <c r="O3000" s="2264">
        <f t="shared" si="627"/>
        <v>0</v>
      </c>
      <c r="P3000" s="2265"/>
      <c r="Q3000" s="2266"/>
      <c r="R3000" s="2266"/>
      <c r="S3000" s="2266"/>
    </row>
    <row r="3001" spans="1:19" s="2105" customFormat="1" outlineLevel="1">
      <c r="A3001" s="2182" t="str">
        <f t="shared" ref="A3001:A3009" si="628">IF(G3001&lt;&gt;0,1,"")</f>
        <v/>
      </c>
      <c r="B3001" s="2554" t="s">
        <v>752</v>
      </c>
      <c r="C3001" s="2268"/>
      <c r="D3001" s="2152">
        <v>0</v>
      </c>
      <c r="E3001" s="2359" t="s">
        <v>6392</v>
      </c>
      <c r="F3001" s="2152" t="s">
        <v>856</v>
      </c>
      <c r="G3001" s="2270">
        <f>G2999*0.38</f>
        <v>0</v>
      </c>
      <c r="H3001" s="2264">
        <v>512000</v>
      </c>
      <c r="I3001" s="2264"/>
      <c r="J3001" s="2264">
        <v>0</v>
      </c>
      <c r="K3001" s="2264">
        <v>0</v>
      </c>
      <c r="L3001" s="2264">
        <f t="shared" si="624"/>
        <v>0</v>
      </c>
      <c r="M3001" s="2264">
        <f t="shared" si="625"/>
        <v>0</v>
      </c>
      <c r="N3001" s="2264">
        <f t="shared" si="626"/>
        <v>0</v>
      </c>
      <c r="O3001" s="2264">
        <f t="shared" si="627"/>
        <v>0</v>
      </c>
      <c r="P3001" s="2265"/>
      <c r="Q3001" s="2266"/>
      <c r="R3001" s="2266"/>
      <c r="S3001" s="2266"/>
    </row>
    <row r="3002" spans="1:19" s="2105" customFormat="1" outlineLevel="1">
      <c r="A3002" s="2182" t="str">
        <f t="shared" si="628"/>
        <v/>
      </c>
      <c r="B3002" s="2554" t="s">
        <v>867</v>
      </c>
      <c r="C3002" s="2268"/>
      <c r="D3002" s="2152">
        <v>0</v>
      </c>
      <c r="E3002" s="2359" t="s">
        <v>6393</v>
      </c>
      <c r="F3002" s="2152" t="s">
        <v>856</v>
      </c>
      <c r="G3002" s="2270">
        <f>0.12*G2999*0</f>
        <v>0</v>
      </c>
      <c r="H3002" s="2264">
        <v>335000</v>
      </c>
      <c r="I3002" s="2264"/>
      <c r="J3002" s="2264">
        <v>0</v>
      </c>
      <c r="K3002" s="2264">
        <v>0</v>
      </c>
      <c r="L3002" s="2264">
        <f t="shared" si="624"/>
        <v>0</v>
      </c>
      <c r="M3002" s="2264">
        <f t="shared" si="625"/>
        <v>0</v>
      </c>
      <c r="N3002" s="2264">
        <f t="shared" si="626"/>
        <v>0</v>
      </c>
      <c r="O3002" s="2264">
        <f t="shared" si="627"/>
        <v>0</v>
      </c>
      <c r="P3002" s="2265"/>
      <c r="Q3002" s="2266"/>
      <c r="R3002" s="2266"/>
      <c r="S3002" s="2266"/>
    </row>
    <row r="3003" spans="1:19" s="2105" customFormat="1" outlineLevel="1">
      <c r="A3003" s="2182" t="str">
        <f t="shared" si="628"/>
        <v/>
      </c>
      <c r="B3003" s="2554" t="s">
        <v>1675</v>
      </c>
      <c r="C3003" s="2268"/>
      <c r="D3003" s="2152">
        <v>0</v>
      </c>
      <c r="E3003" s="2359" t="s">
        <v>6377</v>
      </c>
      <c r="F3003" s="2152" t="s">
        <v>3006</v>
      </c>
      <c r="G3003" s="2270">
        <f>3.3*G2999</f>
        <v>0</v>
      </c>
      <c r="H3003" s="2264">
        <v>7000</v>
      </c>
      <c r="I3003" s="2264"/>
      <c r="J3003" s="2264">
        <v>0</v>
      </c>
      <c r="K3003" s="2264">
        <v>0</v>
      </c>
      <c r="L3003" s="2264">
        <f t="shared" si="624"/>
        <v>0</v>
      </c>
      <c r="M3003" s="2264">
        <f t="shared" si="625"/>
        <v>0</v>
      </c>
      <c r="N3003" s="2264">
        <f t="shared" si="626"/>
        <v>0</v>
      </c>
      <c r="O3003" s="2264">
        <f t="shared" si="627"/>
        <v>0</v>
      </c>
      <c r="P3003" s="2265"/>
      <c r="Q3003" s="2266"/>
      <c r="R3003" s="2266"/>
      <c r="S3003" s="2266"/>
    </row>
    <row r="3004" spans="1:19" s="2105" customFormat="1" outlineLevel="1">
      <c r="A3004" s="2182" t="str">
        <f t="shared" si="628"/>
        <v/>
      </c>
      <c r="B3004" s="2554" t="s">
        <v>1676</v>
      </c>
      <c r="C3004" s="2268"/>
      <c r="D3004" s="2152" t="s">
        <v>5290</v>
      </c>
      <c r="E3004" s="2359" t="s">
        <v>6378</v>
      </c>
      <c r="F3004" s="2152" t="s">
        <v>1960</v>
      </c>
      <c r="G3004" s="2270">
        <f>0.4*G2999</f>
        <v>0</v>
      </c>
      <c r="H3004" s="2264">
        <v>10000</v>
      </c>
      <c r="I3004" s="2264"/>
      <c r="J3004" s="2264">
        <v>1187.155</v>
      </c>
      <c r="K3004" s="2264">
        <v>0</v>
      </c>
      <c r="L3004" s="2264">
        <f t="shared" si="624"/>
        <v>0</v>
      </c>
      <c r="M3004" s="2264">
        <f t="shared" si="625"/>
        <v>0</v>
      </c>
      <c r="N3004" s="2264">
        <f t="shared" si="626"/>
        <v>0</v>
      </c>
      <c r="O3004" s="2264">
        <f t="shared" si="627"/>
        <v>0</v>
      </c>
      <c r="P3004" s="2265"/>
      <c r="Q3004" s="2266"/>
      <c r="R3004" s="2266"/>
      <c r="S3004" s="2266"/>
    </row>
    <row r="3005" spans="1:19" s="2105" customFormat="1" outlineLevel="1">
      <c r="A3005" s="2182" t="str">
        <f t="shared" si="628"/>
        <v/>
      </c>
      <c r="B3005" s="2554" t="s">
        <v>1518</v>
      </c>
      <c r="C3005" s="2258"/>
      <c r="D3005" s="2152">
        <v>0</v>
      </c>
      <c r="E3005" s="2359" t="s">
        <v>3530</v>
      </c>
      <c r="F3005" s="2152" t="s">
        <v>1823</v>
      </c>
      <c r="G3005" s="2270">
        <f>1*G2999</f>
        <v>0</v>
      </c>
      <c r="H3005" s="2264">
        <v>165250</v>
      </c>
      <c r="I3005" s="2264"/>
      <c r="J3005" s="2264">
        <v>0</v>
      </c>
      <c r="K3005" s="2264">
        <v>0</v>
      </c>
      <c r="L3005" s="2264">
        <f t="shared" si="624"/>
        <v>0</v>
      </c>
      <c r="M3005" s="2264">
        <f t="shared" si="625"/>
        <v>0</v>
      </c>
      <c r="N3005" s="2264">
        <f t="shared" si="626"/>
        <v>0</v>
      </c>
      <c r="O3005" s="2264">
        <f t="shared" si="627"/>
        <v>0</v>
      </c>
      <c r="P3005" s="2265"/>
      <c r="Q3005" s="2266"/>
      <c r="R3005" s="2266"/>
      <c r="S3005" s="2266"/>
    </row>
    <row r="3006" spans="1:19" s="2105" customFormat="1" outlineLevel="1">
      <c r="A3006" s="2182" t="str">
        <f t="shared" si="628"/>
        <v/>
      </c>
      <c r="B3006" s="2554" t="s">
        <v>1678</v>
      </c>
      <c r="C3006" s="2268"/>
      <c r="D3006" s="2152" t="s">
        <v>5333</v>
      </c>
      <c r="E3006" s="2359" t="s">
        <v>6379</v>
      </c>
      <c r="F3006" s="2152" t="s">
        <v>856</v>
      </c>
      <c r="G3006" s="2270">
        <f>G3001+G3002</f>
        <v>0</v>
      </c>
      <c r="H3006" s="2264">
        <v>0</v>
      </c>
      <c r="I3006" s="2264"/>
      <c r="J3006" s="2264">
        <v>315277.5</v>
      </c>
      <c r="K3006" s="2264">
        <v>0</v>
      </c>
      <c r="L3006" s="2264">
        <f t="shared" si="624"/>
        <v>0</v>
      </c>
      <c r="M3006" s="2264">
        <f t="shared" si="625"/>
        <v>0</v>
      </c>
      <c r="N3006" s="2264">
        <f t="shared" si="626"/>
        <v>0</v>
      </c>
      <c r="O3006" s="2264">
        <f t="shared" si="627"/>
        <v>0</v>
      </c>
      <c r="P3006" s="2265"/>
      <c r="Q3006" s="2266"/>
      <c r="R3006" s="2266"/>
      <c r="S3006" s="2266"/>
    </row>
    <row r="3007" spans="1:19" s="2105" customFormat="1" outlineLevel="1">
      <c r="A3007" s="2182" t="str">
        <f t="shared" si="628"/>
        <v/>
      </c>
      <c r="B3007" s="2554" t="s">
        <v>144</v>
      </c>
      <c r="C3007" s="2268"/>
      <c r="D3007" s="2152" t="s">
        <v>5327</v>
      </c>
      <c r="E3007" s="2359" t="s">
        <v>6380</v>
      </c>
      <c r="F3007" s="2152" t="s">
        <v>856</v>
      </c>
      <c r="G3007" s="2270">
        <f>G2999*0.48</f>
        <v>0</v>
      </c>
      <c r="H3007" s="2264">
        <v>0</v>
      </c>
      <c r="I3007" s="2264"/>
      <c r="J3007" s="2264">
        <v>640731.36</v>
      </c>
      <c r="K3007" s="2264">
        <v>0</v>
      </c>
      <c r="L3007" s="2264">
        <f t="shared" si="624"/>
        <v>0</v>
      </c>
      <c r="M3007" s="2264">
        <f t="shared" si="625"/>
        <v>0</v>
      </c>
      <c r="N3007" s="2264">
        <f t="shared" si="626"/>
        <v>0</v>
      </c>
      <c r="O3007" s="2264">
        <f t="shared" si="627"/>
        <v>0</v>
      </c>
      <c r="P3007" s="2265"/>
      <c r="Q3007" s="2266"/>
      <c r="R3007" s="2266"/>
      <c r="S3007" s="2266"/>
    </row>
    <row r="3008" spans="1:19" s="2105" customFormat="1" outlineLevel="1">
      <c r="A3008" s="2182" t="str">
        <f t="shared" si="628"/>
        <v/>
      </c>
      <c r="B3008" s="2554" t="s">
        <v>529</v>
      </c>
      <c r="C3008" s="2268"/>
      <c r="D3008" s="2152" t="s">
        <v>5332</v>
      </c>
      <c r="E3008" s="2359" t="s">
        <v>6394</v>
      </c>
      <c r="F3008" s="2152" t="s">
        <v>856</v>
      </c>
      <c r="G3008" s="2270">
        <f>0.16*G2999</f>
        <v>0</v>
      </c>
      <c r="H3008" s="2264">
        <v>0</v>
      </c>
      <c r="I3008" s="2264"/>
      <c r="J3008" s="2264">
        <v>21935.133999999998</v>
      </c>
      <c r="K3008" s="2264">
        <v>0</v>
      </c>
      <c r="L3008" s="2264">
        <f t="shared" si="624"/>
        <v>0</v>
      </c>
      <c r="M3008" s="2264">
        <f t="shared" si="625"/>
        <v>0</v>
      </c>
      <c r="N3008" s="2264">
        <f t="shared" si="626"/>
        <v>0</v>
      </c>
      <c r="O3008" s="2264">
        <f t="shared" si="627"/>
        <v>0</v>
      </c>
      <c r="P3008" s="2265"/>
      <c r="Q3008" s="2266"/>
      <c r="R3008" s="2422">
        <v>0.47499999999999998</v>
      </c>
      <c r="S3008" s="2266"/>
    </row>
    <row r="3009" spans="1:19" s="2105" customFormat="1" outlineLevel="1">
      <c r="A3009" s="2182" t="str">
        <f t="shared" si="628"/>
        <v/>
      </c>
      <c r="B3009" s="2261"/>
      <c r="C3009" s="2258">
        <f>IF(G3009&gt;0,C2999+1,C2999)</f>
        <v>0</v>
      </c>
      <c r="D3009" s="2259"/>
      <c r="E3009" s="2262" t="s">
        <v>3758</v>
      </c>
      <c r="F3009" s="2258" t="s">
        <v>2385</v>
      </c>
      <c r="G3009" s="2263"/>
      <c r="H3009" s="2264"/>
      <c r="I3009" s="2264"/>
      <c r="J3009" s="2264"/>
      <c r="K3009" s="2264"/>
      <c r="L3009" s="2264">
        <f t="shared" si="624"/>
        <v>0</v>
      </c>
      <c r="M3009" s="2264">
        <f t="shared" si="625"/>
        <v>0</v>
      </c>
      <c r="N3009" s="2264">
        <f t="shared" si="626"/>
        <v>0</v>
      </c>
      <c r="O3009" s="2264">
        <f t="shared" si="627"/>
        <v>0</v>
      </c>
      <c r="P3009" s="2265"/>
      <c r="Q3009" s="2266"/>
      <c r="R3009" s="2422">
        <v>0.88100000000000001</v>
      </c>
      <c r="S3009" s="2266"/>
    </row>
    <row r="3010" spans="1:19" s="2105" customFormat="1" ht="14.4" outlineLevel="1">
      <c r="A3010" s="2182" t="str">
        <f>A3009</f>
        <v/>
      </c>
      <c r="B3010" s="2261"/>
      <c r="C3010" s="2258"/>
      <c r="D3010" s="2259"/>
      <c r="E3010" s="2267" t="s">
        <v>6133</v>
      </c>
      <c r="F3010" s="2268"/>
      <c r="G3010" s="2421"/>
      <c r="H3010" s="2264"/>
      <c r="I3010" s="2264"/>
      <c r="J3010" s="2264"/>
      <c r="K3010" s="2264"/>
      <c r="L3010" s="2264">
        <f t="shared" si="624"/>
        <v>0</v>
      </c>
      <c r="M3010" s="2264">
        <f t="shared" si="625"/>
        <v>0</v>
      </c>
      <c r="N3010" s="2264">
        <f t="shared" si="626"/>
        <v>0</v>
      </c>
      <c r="O3010" s="2264">
        <f t="shared" si="627"/>
        <v>0</v>
      </c>
      <c r="P3010" s="2265"/>
      <c r="Q3010" s="2266"/>
      <c r="R3010" s="2266"/>
      <c r="S3010" s="2266"/>
    </row>
    <row r="3011" spans="1:19" s="2105" customFormat="1" outlineLevel="1">
      <c r="A3011" s="2182" t="str">
        <f t="shared" ref="A3011:A3018" si="629">IF(G3011&lt;&gt;0,1,"")</f>
        <v/>
      </c>
      <c r="B3011" s="2261" t="s">
        <v>623</v>
      </c>
      <c r="C3011" s="2268"/>
      <c r="D3011" s="2152" t="s">
        <v>5305</v>
      </c>
      <c r="E3011" s="2194" t="s">
        <v>5306</v>
      </c>
      <c r="F3011" s="2152" t="s">
        <v>2532</v>
      </c>
      <c r="G3011" s="2270">
        <f>G3009*4</f>
        <v>0</v>
      </c>
      <c r="H3011" s="2264">
        <v>278000</v>
      </c>
      <c r="I3011" s="2264"/>
      <c r="J3011" s="2264">
        <v>127101.65849999999</v>
      </c>
      <c r="K3011" s="2264">
        <v>0</v>
      </c>
      <c r="L3011" s="2264">
        <f t="shared" si="624"/>
        <v>0</v>
      </c>
      <c r="M3011" s="2264">
        <f t="shared" si="625"/>
        <v>0</v>
      </c>
      <c r="N3011" s="2264">
        <f t="shared" si="626"/>
        <v>0</v>
      </c>
      <c r="O3011" s="2264">
        <f t="shared" si="627"/>
        <v>0</v>
      </c>
      <c r="P3011" s="2265"/>
      <c r="Q3011" s="2266"/>
      <c r="R3011" s="2266"/>
      <c r="S3011" s="2266"/>
    </row>
    <row r="3012" spans="1:19" s="2105" customFormat="1" outlineLevel="1">
      <c r="A3012" s="2182" t="str">
        <f t="shared" si="629"/>
        <v/>
      </c>
      <c r="B3012" s="2554" t="s">
        <v>473</v>
      </c>
      <c r="C3012" s="2258"/>
      <c r="D3012" s="2152">
        <v>0</v>
      </c>
      <c r="E3012" s="2194" t="s">
        <v>3552</v>
      </c>
      <c r="F3012" s="2152" t="s">
        <v>2555</v>
      </c>
      <c r="G3012" s="2270">
        <f>G3009*1</f>
        <v>0</v>
      </c>
      <c r="H3012" s="2264">
        <v>138000</v>
      </c>
      <c r="I3012" s="2264"/>
      <c r="J3012" s="2264">
        <v>0</v>
      </c>
      <c r="K3012" s="2264">
        <v>0</v>
      </c>
      <c r="L3012" s="2264">
        <f t="shared" si="624"/>
        <v>0</v>
      </c>
      <c r="M3012" s="2264">
        <f t="shared" si="625"/>
        <v>0</v>
      </c>
      <c r="N3012" s="2264">
        <f t="shared" si="626"/>
        <v>0</v>
      </c>
      <c r="O3012" s="2264">
        <f t="shared" si="627"/>
        <v>0</v>
      </c>
      <c r="P3012" s="2265"/>
      <c r="Q3012" s="2266"/>
      <c r="R3012" s="2266"/>
      <c r="S3012" s="2266"/>
    </row>
    <row r="3013" spans="1:19" s="2105" customFormat="1" outlineLevel="1">
      <c r="A3013" s="2182" t="str">
        <f t="shared" si="629"/>
        <v/>
      </c>
      <c r="B3013" s="2261" t="s">
        <v>120</v>
      </c>
      <c r="C3013" s="2268"/>
      <c r="D3013" s="2152">
        <v>0</v>
      </c>
      <c r="E3013" s="2194" t="s">
        <v>2981</v>
      </c>
      <c r="F3013" s="2152" t="s">
        <v>2439</v>
      </c>
      <c r="G3013" s="2270">
        <f>G3009*2</f>
        <v>0</v>
      </c>
      <c r="H3013" s="2264">
        <v>40000</v>
      </c>
      <c r="I3013" s="2264"/>
      <c r="J3013" s="2264">
        <v>0</v>
      </c>
      <c r="K3013" s="2264">
        <v>0</v>
      </c>
      <c r="L3013" s="2264">
        <f t="shared" si="624"/>
        <v>0</v>
      </c>
      <c r="M3013" s="2264">
        <f t="shared" si="625"/>
        <v>0</v>
      </c>
      <c r="N3013" s="2264">
        <f t="shared" si="626"/>
        <v>0</v>
      </c>
      <c r="O3013" s="2264">
        <f t="shared" si="627"/>
        <v>0</v>
      </c>
      <c r="P3013" s="2265"/>
      <c r="Q3013" s="2266"/>
      <c r="R3013" s="2266"/>
      <c r="S3013" s="2266"/>
    </row>
    <row r="3014" spans="1:19" s="2105" customFormat="1" outlineLevel="1">
      <c r="A3014" s="2182" t="str">
        <f t="shared" si="629"/>
        <v/>
      </c>
      <c r="B3014" s="2252" t="s">
        <v>1409</v>
      </c>
      <c r="C3014" s="2268"/>
      <c r="D3014" s="2152">
        <v>0</v>
      </c>
      <c r="E3014" s="2194" t="s">
        <v>3449</v>
      </c>
      <c r="F3014" s="2152" t="s">
        <v>2439</v>
      </c>
      <c r="G3014" s="2270">
        <f>G3009</f>
        <v>0</v>
      </c>
      <c r="H3014" s="2264">
        <v>150000</v>
      </c>
      <c r="I3014" s="2264"/>
      <c r="J3014" s="2264">
        <v>0</v>
      </c>
      <c r="K3014" s="2264">
        <v>0</v>
      </c>
      <c r="L3014" s="2264">
        <f t="shared" si="624"/>
        <v>0</v>
      </c>
      <c r="M3014" s="2264">
        <f t="shared" si="625"/>
        <v>0</v>
      </c>
      <c r="N3014" s="2264">
        <f t="shared" si="626"/>
        <v>0</v>
      </c>
      <c r="O3014" s="2264">
        <f t="shared" si="627"/>
        <v>0</v>
      </c>
      <c r="P3014" s="2265"/>
      <c r="Q3014" s="2266"/>
      <c r="R3014" s="2266"/>
      <c r="S3014" s="2266"/>
    </row>
    <row r="3015" spans="1:19" s="2105" customFormat="1" outlineLevel="1">
      <c r="A3015" s="2182" t="str">
        <f t="shared" si="629"/>
        <v/>
      </c>
      <c r="B3015" s="2252" t="s">
        <v>984</v>
      </c>
      <c r="C3015" s="2268"/>
      <c r="D3015" s="2152">
        <v>0</v>
      </c>
      <c r="E3015" s="2194" t="s">
        <v>3454</v>
      </c>
      <c r="F3015" s="2152" t="s">
        <v>2439</v>
      </c>
      <c r="G3015" s="2270">
        <f>G3009</f>
        <v>0</v>
      </c>
      <c r="H3015" s="2264">
        <v>224832</v>
      </c>
      <c r="I3015" s="2264"/>
      <c r="J3015" s="2264">
        <v>3635</v>
      </c>
      <c r="K3015" s="2264">
        <v>6321</v>
      </c>
      <c r="L3015" s="2264">
        <f t="shared" si="624"/>
        <v>0</v>
      </c>
      <c r="M3015" s="2264">
        <f t="shared" si="625"/>
        <v>0</v>
      </c>
      <c r="N3015" s="2264">
        <f t="shared" si="626"/>
        <v>0</v>
      </c>
      <c r="O3015" s="2264">
        <f t="shared" si="627"/>
        <v>0</v>
      </c>
      <c r="P3015" s="2265"/>
      <c r="Q3015" s="2266"/>
      <c r="R3015" s="2266"/>
      <c r="S3015" s="2266"/>
    </row>
    <row r="3016" spans="1:19" s="2105" customFormat="1" outlineLevel="1">
      <c r="A3016" s="2182" t="str">
        <f t="shared" si="629"/>
        <v/>
      </c>
      <c r="B3016" s="2261" t="s">
        <v>1410</v>
      </c>
      <c r="C3016" s="2258"/>
      <c r="D3016" s="2152" t="s">
        <v>5341</v>
      </c>
      <c r="E3016" s="2194" t="s">
        <v>5342</v>
      </c>
      <c r="F3016" s="2152" t="s">
        <v>2439</v>
      </c>
      <c r="G3016" s="2270">
        <f>G3014</f>
        <v>0</v>
      </c>
      <c r="H3016" s="2264">
        <v>0</v>
      </c>
      <c r="I3016" s="2264"/>
      <c r="J3016" s="2264">
        <v>28219.62</v>
      </c>
      <c r="K3016" s="2264">
        <v>0</v>
      </c>
      <c r="L3016" s="2264">
        <f t="shared" si="624"/>
        <v>0</v>
      </c>
      <c r="M3016" s="2264">
        <f t="shared" si="625"/>
        <v>0</v>
      </c>
      <c r="N3016" s="2264">
        <f t="shared" si="626"/>
        <v>0</v>
      </c>
      <c r="O3016" s="2264">
        <f t="shared" si="627"/>
        <v>0</v>
      </c>
      <c r="P3016" s="2265"/>
      <c r="Q3016" s="2266"/>
      <c r="R3016" s="2266"/>
      <c r="S3016" s="2266"/>
    </row>
    <row r="3017" spans="1:19" s="2105" customFormat="1" outlineLevel="1">
      <c r="A3017" s="2182" t="str">
        <f t="shared" si="629"/>
        <v/>
      </c>
      <c r="B3017" s="2261" t="s">
        <v>289</v>
      </c>
      <c r="C3017" s="2268"/>
      <c r="D3017" s="2152">
        <v>0</v>
      </c>
      <c r="E3017" s="2194" t="s">
        <v>5712</v>
      </c>
      <c r="F3017" s="2152" t="s">
        <v>2555</v>
      </c>
      <c r="G3017" s="2270">
        <f>G3009</f>
        <v>0</v>
      </c>
      <c r="H3017" s="2264">
        <v>300000</v>
      </c>
      <c r="I3017" s="2264"/>
      <c r="J3017" s="2264">
        <v>0</v>
      </c>
      <c r="K3017" s="2264">
        <v>0</v>
      </c>
      <c r="L3017" s="2264">
        <f t="shared" si="624"/>
        <v>0</v>
      </c>
      <c r="M3017" s="2264">
        <f t="shared" si="625"/>
        <v>0</v>
      </c>
      <c r="N3017" s="2264">
        <f t="shared" si="626"/>
        <v>0</v>
      </c>
      <c r="O3017" s="2264">
        <f t="shared" si="627"/>
        <v>0</v>
      </c>
      <c r="P3017" s="2265"/>
      <c r="Q3017" s="2266"/>
      <c r="R3017" s="2266"/>
      <c r="S3017" s="2266"/>
    </row>
    <row r="3018" spans="1:19" s="2105" customFormat="1" outlineLevel="1">
      <c r="A3018" s="2182" t="str">
        <f t="shared" si="629"/>
        <v/>
      </c>
      <c r="B3018" s="2261"/>
      <c r="C3018" s="2258">
        <f>IF(G3018&gt;0,C3009+1,C3009)</f>
        <v>0</v>
      </c>
      <c r="D3018" s="2259"/>
      <c r="E3018" s="2260" t="s">
        <v>3740</v>
      </c>
      <c r="F3018" s="2258" t="s">
        <v>2385</v>
      </c>
      <c r="G3018" s="2263"/>
      <c r="H3018" s="2264"/>
      <c r="I3018" s="2264"/>
      <c r="J3018" s="2264"/>
      <c r="K3018" s="2264"/>
      <c r="L3018" s="2264"/>
      <c r="M3018" s="2264"/>
      <c r="N3018" s="2264"/>
      <c r="O3018" s="2264"/>
      <c r="P3018" s="2265"/>
      <c r="Q3018" s="2266"/>
      <c r="R3018" s="2266"/>
      <c r="S3018" s="2266"/>
    </row>
    <row r="3019" spans="1:19" s="2105" customFormat="1" ht="14.4" outlineLevel="1">
      <c r="A3019" s="2182" t="str">
        <f>A3018</f>
        <v/>
      </c>
      <c r="B3019" s="2261"/>
      <c r="C3019" s="2258"/>
      <c r="D3019" s="2259"/>
      <c r="E3019" s="2274" t="s">
        <v>6133</v>
      </c>
      <c r="F3019" s="2258"/>
      <c r="G3019" s="2263"/>
      <c r="H3019" s="2264"/>
      <c r="I3019" s="2264"/>
      <c r="J3019" s="2264"/>
      <c r="K3019" s="2264"/>
      <c r="L3019" s="2264"/>
      <c r="M3019" s="2264"/>
      <c r="N3019" s="2264"/>
      <c r="O3019" s="2264"/>
      <c r="P3019" s="2265"/>
      <c r="Q3019" s="2266"/>
      <c r="R3019" s="2266"/>
      <c r="S3019" s="2266"/>
    </row>
    <row r="3020" spans="1:19" s="2105" customFormat="1" outlineLevel="1">
      <c r="A3020" s="2182" t="str">
        <f>IF(G3020&lt;&gt;0,1,"")</f>
        <v/>
      </c>
      <c r="B3020" s="2252" t="s">
        <v>470</v>
      </c>
      <c r="C3020" s="2268"/>
      <c r="D3020" s="2152">
        <v>0</v>
      </c>
      <c r="E3020" s="2194" t="s">
        <v>6395</v>
      </c>
      <c r="F3020" s="2152" t="s">
        <v>2532</v>
      </c>
      <c r="G3020" s="2270">
        <f>(3+10)*1.02*G3018</f>
        <v>0</v>
      </c>
      <c r="H3020" s="2264">
        <v>763500</v>
      </c>
      <c r="I3020" s="2264"/>
      <c r="J3020" s="2264">
        <v>0</v>
      </c>
      <c r="K3020" s="2264">
        <v>0</v>
      </c>
      <c r="L3020" s="2264">
        <f>H3020*G3020</f>
        <v>0</v>
      </c>
      <c r="M3020" s="2264">
        <f>I3020*G3020</f>
        <v>0</v>
      </c>
      <c r="N3020" s="2264">
        <f>J3020*G3020</f>
        <v>0</v>
      </c>
      <c r="O3020" s="2264">
        <f>K3020*G3020</f>
        <v>0</v>
      </c>
      <c r="P3020" s="2265"/>
      <c r="Q3020" s="2266"/>
      <c r="R3020" s="2266"/>
      <c r="S3020" s="2266"/>
    </row>
    <row r="3021" spans="1:19" s="2105" customFormat="1" outlineLevel="1">
      <c r="A3021" s="2182" t="str">
        <f t="shared" ref="A3021:A3030" si="630">IF(G3021&lt;&gt;0,1,"")</f>
        <v/>
      </c>
      <c r="B3021" s="2252" t="s">
        <v>271</v>
      </c>
      <c r="C3021" s="2268"/>
      <c r="D3021" s="2152">
        <v>0</v>
      </c>
      <c r="E3021" s="2194" t="s">
        <v>6396</v>
      </c>
      <c r="F3021" s="2152" t="s">
        <v>2532</v>
      </c>
      <c r="G3021" s="2270">
        <f>G3018*0.5*3</f>
        <v>0</v>
      </c>
      <c r="H3021" s="2264">
        <v>204900</v>
      </c>
      <c r="I3021" s="2264"/>
      <c r="J3021" s="2264">
        <v>0</v>
      </c>
      <c r="K3021" s="2264">
        <v>0</v>
      </c>
      <c r="L3021" s="2264">
        <f>H3021*G3021</f>
        <v>0</v>
      </c>
      <c r="M3021" s="2264">
        <f>I3021*G3021</f>
        <v>0</v>
      </c>
      <c r="N3021" s="2264">
        <f>J3021*G3021</f>
        <v>0</v>
      </c>
      <c r="O3021" s="2264">
        <f>K3021*G3021</f>
        <v>0</v>
      </c>
      <c r="P3021" s="2265"/>
      <c r="Q3021" s="2266"/>
      <c r="R3021" s="2266"/>
      <c r="S3021" s="2266"/>
    </row>
    <row r="3022" spans="1:19" s="2105" customFormat="1" outlineLevel="1">
      <c r="A3022" s="2182" t="str">
        <f t="shared" si="630"/>
        <v/>
      </c>
      <c r="B3022" s="2252" t="s">
        <v>1352</v>
      </c>
      <c r="C3022" s="2268"/>
      <c r="D3022" s="2152">
        <v>0</v>
      </c>
      <c r="E3022" s="2194" t="s">
        <v>3014</v>
      </c>
      <c r="F3022" s="2152" t="s">
        <v>2555</v>
      </c>
      <c r="G3022" s="2270">
        <f>G3018*2</f>
        <v>0</v>
      </c>
      <c r="H3022" s="2264">
        <v>4022000</v>
      </c>
      <c r="I3022" s="2264"/>
      <c r="J3022" s="2264">
        <v>0</v>
      </c>
      <c r="K3022" s="2264">
        <v>0</v>
      </c>
      <c r="L3022" s="2264">
        <f t="shared" ref="L3022:L3027" si="631">H3022*G3022</f>
        <v>0</v>
      </c>
      <c r="M3022" s="2264">
        <f t="shared" ref="M3022:M3027" si="632">I3022*G3022</f>
        <v>0</v>
      </c>
      <c r="N3022" s="2264">
        <f t="shared" ref="N3022:N3027" si="633">J3022*G3022</f>
        <v>0</v>
      </c>
      <c r="O3022" s="2264">
        <f t="shared" ref="O3022:O3027" si="634">K3022*G3022</f>
        <v>0</v>
      </c>
      <c r="P3022" s="2265"/>
      <c r="Q3022" s="2266"/>
      <c r="R3022" s="2266"/>
      <c r="S3022" s="2266"/>
    </row>
    <row r="3023" spans="1:19" s="2105" customFormat="1" outlineLevel="1">
      <c r="A3023" s="2182" t="str">
        <f t="shared" si="630"/>
        <v/>
      </c>
      <c r="B3023" s="2252" t="s">
        <v>470</v>
      </c>
      <c r="C3023" s="2268"/>
      <c r="D3023" s="2152">
        <v>0</v>
      </c>
      <c r="E3023" s="2194" t="s">
        <v>6385</v>
      </c>
      <c r="F3023" s="2152" t="s">
        <v>2532</v>
      </c>
      <c r="G3023" s="2270">
        <f>(1.2+2.4)*G3018</f>
        <v>0</v>
      </c>
      <c r="H3023" s="2264">
        <v>763500</v>
      </c>
      <c r="I3023" s="2264"/>
      <c r="J3023" s="2264">
        <v>0</v>
      </c>
      <c r="K3023" s="2264">
        <v>0</v>
      </c>
      <c r="L3023" s="2264">
        <f t="shared" si="631"/>
        <v>0</v>
      </c>
      <c r="M3023" s="2264">
        <f t="shared" si="632"/>
        <v>0</v>
      </c>
      <c r="N3023" s="2264">
        <f t="shared" si="633"/>
        <v>0</v>
      </c>
      <c r="O3023" s="2264">
        <f t="shared" si="634"/>
        <v>0</v>
      </c>
      <c r="P3023" s="2265"/>
      <c r="Q3023" s="2266"/>
      <c r="R3023" s="2266"/>
      <c r="S3023" s="2266"/>
    </row>
    <row r="3024" spans="1:19" s="2105" customFormat="1" outlineLevel="1">
      <c r="A3024" s="2182" t="str">
        <f t="shared" si="630"/>
        <v/>
      </c>
      <c r="B3024" s="2252" t="s">
        <v>271</v>
      </c>
      <c r="C3024" s="2268"/>
      <c r="D3024" s="2152">
        <v>0</v>
      </c>
      <c r="E3024" s="2194" t="s">
        <v>6386</v>
      </c>
      <c r="F3024" s="2152" t="s">
        <v>2532</v>
      </c>
      <c r="G3024" s="2270">
        <f>G3023*0</f>
        <v>0</v>
      </c>
      <c r="H3024" s="2264">
        <v>204900</v>
      </c>
      <c r="I3024" s="2264"/>
      <c r="J3024" s="2264">
        <v>0</v>
      </c>
      <c r="K3024" s="2264">
        <v>0</v>
      </c>
      <c r="L3024" s="2264">
        <f t="shared" si="631"/>
        <v>0</v>
      </c>
      <c r="M3024" s="2264">
        <f t="shared" si="632"/>
        <v>0</v>
      </c>
      <c r="N3024" s="2264">
        <f t="shared" si="633"/>
        <v>0</v>
      </c>
      <c r="O3024" s="2264">
        <f t="shared" si="634"/>
        <v>0</v>
      </c>
      <c r="P3024" s="2265"/>
      <c r="Q3024" s="2266"/>
      <c r="R3024" s="2266"/>
      <c r="S3024" s="2266"/>
    </row>
    <row r="3025" spans="1:19" s="2105" customFormat="1" outlineLevel="1">
      <c r="A3025" s="2182" t="str">
        <f t="shared" si="630"/>
        <v/>
      </c>
      <c r="B3025" s="2252" t="s">
        <v>1353</v>
      </c>
      <c r="C3025" s="2268"/>
      <c r="D3025" s="2152">
        <v>0</v>
      </c>
      <c r="E3025" s="2194" t="s">
        <v>3021</v>
      </c>
      <c r="F3025" s="2152" t="s">
        <v>2555</v>
      </c>
      <c r="G3025" s="2270">
        <f>G3018*3</f>
        <v>0</v>
      </c>
      <c r="H3025" s="2264">
        <v>5242230</v>
      </c>
      <c r="I3025" s="2264"/>
      <c r="J3025" s="2264">
        <v>0</v>
      </c>
      <c r="K3025" s="2264">
        <v>0</v>
      </c>
      <c r="L3025" s="2264">
        <f t="shared" si="631"/>
        <v>0</v>
      </c>
      <c r="M3025" s="2264">
        <f t="shared" si="632"/>
        <v>0</v>
      </c>
      <c r="N3025" s="2264">
        <f t="shared" si="633"/>
        <v>0</v>
      </c>
      <c r="O3025" s="2264">
        <f t="shared" si="634"/>
        <v>0</v>
      </c>
      <c r="P3025" s="2265"/>
      <c r="Q3025" s="2266"/>
      <c r="R3025" s="2266"/>
      <c r="S3025" s="2266"/>
    </row>
    <row r="3026" spans="1:19" s="2105" customFormat="1" outlineLevel="1">
      <c r="A3026" s="2182" t="str">
        <f t="shared" si="630"/>
        <v/>
      </c>
      <c r="B3026" s="2252" t="s">
        <v>1674</v>
      </c>
      <c r="C3026" s="2268"/>
      <c r="D3026" s="2152" t="s">
        <v>5459</v>
      </c>
      <c r="E3026" s="2194" t="s">
        <v>3178</v>
      </c>
      <c r="F3026" s="2152" t="s">
        <v>2555</v>
      </c>
      <c r="G3026" s="2270">
        <f>G3022+G3025</f>
        <v>0</v>
      </c>
      <c r="H3026" s="2264">
        <v>11340</v>
      </c>
      <c r="I3026" s="2264"/>
      <c r="J3026" s="2264">
        <v>621381.64999999991</v>
      </c>
      <c r="K3026" s="2264">
        <v>0</v>
      </c>
      <c r="L3026" s="2264">
        <f t="shared" si="631"/>
        <v>0</v>
      </c>
      <c r="M3026" s="2264">
        <f t="shared" si="632"/>
        <v>0</v>
      </c>
      <c r="N3026" s="2264">
        <f t="shared" si="633"/>
        <v>0</v>
      </c>
      <c r="O3026" s="2264">
        <f t="shared" si="634"/>
        <v>0</v>
      </c>
      <c r="P3026" s="2265"/>
      <c r="Q3026" s="2266"/>
      <c r="R3026" s="2266"/>
      <c r="S3026" s="2266"/>
    </row>
    <row r="3027" spans="1:19" s="2105" customFormat="1" outlineLevel="1">
      <c r="A3027" s="2182" t="str">
        <f t="shared" si="630"/>
        <v/>
      </c>
      <c r="B3027" s="2252" t="s">
        <v>1182</v>
      </c>
      <c r="C3027" s="2268"/>
      <c r="D3027" s="2152" t="s">
        <v>5552</v>
      </c>
      <c r="E3027" s="2194" t="s">
        <v>3259</v>
      </c>
      <c r="F3027" s="2152" t="s">
        <v>2532</v>
      </c>
      <c r="G3027" s="2270">
        <f>G3020+G3023</f>
        <v>0</v>
      </c>
      <c r="H3027" s="2264">
        <v>546.91999999999996</v>
      </c>
      <c r="I3027" s="2264"/>
      <c r="J3027" s="2264">
        <v>21459.713</v>
      </c>
      <c r="K3027" s="2264">
        <v>0</v>
      </c>
      <c r="L3027" s="2264">
        <f t="shared" si="631"/>
        <v>0</v>
      </c>
      <c r="M3027" s="2264">
        <f t="shared" si="632"/>
        <v>0</v>
      </c>
      <c r="N3027" s="2264">
        <f t="shared" si="633"/>
        <v>0</v>
      </c>
      <c r="O3027" s="2264">
        <f t="shared" si="634"/>
        <v>0</v>
      </c>
      <c r="P3027" s="2265"/>
      <c r="Q3027" s="2266"/>
      <c r="R3027" s="2266"/>
      <c r="S3027" s="2266"/>
    </row>
    <row r="3028" spans="1:19" s="2105" customFormat="1" outlineLevel="1">
      <c r="A3028" s="2182" t="str">
        <f t="shared" si="630"/>
        <v/>
      </c>
      <c r="B3028" s="2252" t="s">
        <v>1525</v>
      </c>
      <c r="C3028" s="2268"/>
      <c r="D3028" s="2152" t="s">
        <v>5571</v>
      </c>
      <c r="E3028" s="2194" t="s">
        <v>3292</v>
      </c>
      <c r="F3028" s="2152" t="s">
        <v>1823</v>
      </c>
      <c r="G3028" s="2270">
        <f>G3021</f>
        <v>0</v>
      </c>
      <c r="H3028" s="2264">
        <v>0</v>
      </c>
      <c r="I3028" s="2264"/>
      <c r="J3028" s="2264">
        <v>13915</v>
      </c>
      <c r="K3028" s="2264">
        <v>0</v>
      </c>
      <c r="L3028" s="2264">
        <f>H3028*G3028</f>
        <v>0</v>
      </c>
      <c r="M3028" s="2264">
        <f>I3028*G3028</f>
        <v>0</v>
      </c>
      <c r="N3028" s="2264">
        <f>J3028*G3028</f>
        <v>0</v>
      </c>
      <c r="O3028" s="2264">
        <f>K3028*G3028</f>
        <v>0</v>
      </c>
      <c r="P3028" s="2265"/>
      <c r="Q3028" s="2266"/>
      <c r="R3028" s="2266"/>
      <c r="S3028" s="2266"/>
    </row>
    <row r="3029" spans="1:19" s="2105" customFormat="1" outlineLevel="1">
      <c r="A3029" s="2182" t="str">
        <f t="shared" si="630"/>
        <v/>
      </c>
      <c r="B3029" s="2252" t="s">
        <v>1349</v>
      </c>
      <c r="C3029" s="2268"/>
      <c r="D3029" s="2152">
        <v>0</v>
      </c>
      <c r="E3029" s="2194" t="s">
        <v>3518</v>
      </c>
      <c r="F3029" s="2152" t="s">
        <v>3519</v>
      </c>
      <c r="G3029" s="2270">
        <f>G3018*2</f>
        <v>0</v>
      </c>
      <c r="H3029" s="2264">
        <v>15000</v>
      </c>
      <c r="I3029" s="2264"/>
      <c r="J3029" s="2264">
        <v>0</v>
      </c>
      <c r="K3029" s="2264">
        <v>0</v>
      </c>
      <c r="L3029" s="2264">
        <f>H3029*G3029</f>
        <v>0</v>
      </c>
      <c r="M3029" s="2264">
        <f>I3029*G3029</f>
        <v>0</v>
      </c>
      <c r="N3029" s="2264">
        <f>J3029*G3029</f>
        <v>0</v>
      </c>
      <c r="O3029" s="2264">
        <f>K3029*G3029</f>
        <v>0</v>
      </c>
      <c r="P3029" s="2265"/>
      <c r="Q3029" s="2266"/>
      <c r="R3029" s="2266"/>
      <c r="S3029" s="2266"/>
    </row>
    <row r="3030" spans="1:19" s="2105" customFormat="1" outlineLevel="1">
      <c r="A3030" s="2182" t="str">
        <f t="shared" si="630"/>
        <v/>
      </c>
      <c r="B3030" s="2261"/>
      <c r="C3030" s="2258">
        <f>IF(G3030&gt;0,C3018+1,C3018)</f>
        <v>0</v>
      </c>
      <c r="D3030" s="2259"/>
      <c r="E3030" s="2260" t="s">
        <v>3727</v>
      </c>
      <c r="F3030" s="2258" t="s">
        <v>2385</v>
      </c>
      <c r="G3030" s="2263">
        <f>G2932</f>
        <v>0</v>
      </c>
      <c r="H3030" s="2264"/>
      <c r="I3030" s="2264"/>
      <c r="J3030" s="2264"/>
      <c r="K3030" s="2264"/>
      <c r="L3030" s="2264"/>
      <c r="M3030" s="2264"/>
      <c r="N3030" s="2264"/>
      <c r="O3030" s="2264"/>
      <c r="P3030" s="2265"/>
      <c r="Q3030" s="2266"/>
      <c r="R3030" s="2266"/>
      <c r="S3030" s="2266"/>
    </row>
    <row r="3031" spans="1:19" s="2105" customFormat="1" ht="14.4" outlineLevel="1">
      <c r="A3031" s="2182" t="str">
        <f>A3030</f>
        <v/>
      </c>
      <c r="B3031" s="2261"/>
      <c r="C3031" s="2258"/>
      <c r="D3031" s="2259"/>
      <c r="E3031" s="2274" t="s">
        <v>6133</v>
      </c>
      <c r="F3031" s="2258"/>
      <c r="G3031" s="2263"/>
      <c r="H3031" s="2264"/>
      <c r="I3031" s="2264"/>
      <c r="J3031" s="2264"/>
      <c r="K3031" s="2264"/>
      <c r="L3031" s="2264"/>
      <c r="M3031" s="2264"/>
      <c r="N3031" s="2264"/>
      <c r="O3031" s="2264"/>
      <c r="P3031" s="2265"/>
      <c r="Q3031" s="2266"/>
      <c r="R3031" s="2266"/>
      <c r="S3031" s="2266"/>
    </row>
    <row r="3032" spans="1:19" s="2105" customFormat="1" outlineLevel="1">
      <c r="A3032" s="2182" t="str">
        <f t="shared" ref="A3032:A3037" si="635">IF(G3032&lt;&gt;0,1,"")</f>
        <v/>
      </c>
      <c r="B3032" s="2252" t="s">
        <v>697</v>
      </c>
      <c r="C3032" s="2268"/>
      <c r="D3032" s="2152">
        <v>0</v>
      </c>
      <c r="E3032" s="2194" t="s">
        <v>5087</v>
      </c>
      <c r="F3032" s="2152" t="s">
        <v>2532</v>
      </c>
      <c r="G3032" s="2269">
        <f>G3030*9*3</f>
        <v>0</v>
      </c>
      <c r="H3032" s="2264">
        <v>50996</v>
      </c>
      <c r="I3032" s="2264"/>
      <c r="J3032" s="2264">
        <v>0</v>
      </c>
      <c r="K3032" s="2264">
        <v>0</v>
      </c>
      <c r="L3032" s="2264">
        <f t="shared" ref="L3032:L3037" si="636">H3032*G3032</f>
        <v>0</v>
      </c>
      <c r="M3032" s="2264">
        <f>I3032*G3032</f>
        <v>0</v>
      </c>
      <c r="N3032" s="2264">
        <f t="shared" ref="N3032:N3037" si="637">J3032*G3032</f>
        <v>0</v>
      </c>
      <c r="O3032" s="2264">
        <f t="shared" ref="O3032:O3037" si="638">K3032*G3032</f>
        <v>0</v>
      </c>
      <c r="P3032" s="2265"/>
      <c r="Q3032" s="2266"/>
      <c r="R3032" s="2266"/>
      <c r="S3032" s="2266"/>
    </row>
    <row r="3033" spans="1:19" s="2105" customFormat="1" outlineLevel="1">
      <c r="A3033" s="2182" t="str">
        <f t="shared" si="635"/>
        <v/>
      </c>
      <c r="B3033" s="2357" t="s">
        <v>1115</v>
      </c>
      <c r="C3033" s="2268"/>
      <c r="D3033" s="2152">
        <v>0</v>
      </c>
      <c r="E3033" s="2194" t="s">
        <v>2871</v>
      </c>
      <c r="F3033" s="2152" t="s">
        <v>2555</v>
      </c>
      <c r="G3033" s="2269">
        <f>G3030*3*2</f>
        <v>0</v>
      </c>
      <c r="H3033" s="2264">
        <v>6000</v>
      </c>
      <c r="I3033" s="2264"/>
      <c r="J3033" s="2264">
        <v>0</v>
      </c>
      <c r="K3033" s="2264">
        <v>0</v>
      </c>
      <c r="L3033" s="2264">
        <f t="shared" si="636"/>
        <v>0</v>
      </c>
      <c r="M3033" s="2264">
        <v>0</v>
      </c>
      <c r="N3033" s="2264">
        <f t="shared" si="637"/>
        <v>0</v>
      </c>
      <c r="O3033" s="2264">
        <f t="shared" si="638"/>
        <v>0</v>
      </c>
      <c r="P3033" s="2265"/>
      <c r="Q3033" s="2266"/>
      <c r="R3033" s="2266"/>
      <c r="S3033" s="2266"/>
    </row>
    <row r="3034" spans="1:19" s="2105" customFormat="1" outlineLevel="1">
      <c r="A3034" s="2182" t="str">
        <f t="shared" si="635"/>
        <v/>
      </c>
      <c r="B3034" s="2357" t="s">
        <v>1479</v>
      </c>
      <c r="C3034" s="2268"/>
      <c r="D3034" s="2152">
        <v>0</v>
      </c>
      <c r="E3034" s="2194" t="s">
        <v>3791</v>
      </c>
      <c r="F3034" s="2152" t="s">
        <v>2555</v>
      </c>
      <c r="G3034" s="2269">
        <f>G3030*3</f>
        <v>0</v>
      </c>
      <c r="H3034" s="2264">
        <v>46000</v>
      </c>
      <c r="I3034" s="2264"/>
      <c r="J3034" s="2264">
        <v>0</v>
      </c>
      <c r="K3034" s="2264">
        <v>0</v>
      </c>
      <c r="L3034" s="2264">
        <f t="shared" si="636"/>
        <v>0</v>
      </c>
      <c r="M3034" s="2264">
        <f>I3034*G3034</f>
        <v>0</v>
      </c>
      <c r="N3034" s="2264">
        <f t="shared" si="637"/>
        <v>0</v>
      </c>
      <c r="O3034" s="2264">
        <f t="shared" si="638"/>
        <v>0</v>
      </c>
      <c r="P3034" s="2265"/>
      <c r="Q3034" s="2266"/>
      <c r="R3034" s="2266"/>
      <c r="S3034" s="2266"/>
    </row>
    <row r="3035" spans="1:19" s="2105" customFormat="1" outlineLevel="1">
      <c r="A3035" s="2182" t="str">
        <f t="shared" si="635"/>
        <v/>
      </c>
      <c r="B3035" s="2357" t="s">
        <v>1477</v>
      </c>
      <c r="C3035" s="2268"/>
      <c r="D3035" s="2152">
        <v>0</v>
      </c>
      <c r="E3035" s="2194" t="s">
        <v>6346</v>
      </c>
      <c r="F3035" s="2152" t="s">
        <v>2555</v>
      </c>
      <c r="G3035" s="2269">
        <f>G3034</f>
        <v>0</v>
      </c>
      <c r="H3035" s="2264">
        <v>77000</v>
      </c>
      <c r="I3035" s="2264"/>
      <c r="J3035" s="2264">
        <v>0</v>
      </c>
      <c r="K3035" s="2264">
        <v>0</v>
      </c>
      <c r="L3035" s="2264">
        <f t="shared" si="636"/>
        <v>0</v>
      </c>
      <c r="M3035" s="2264">
        <f>I3035*G3035</f>
        <v>0</v>
      </c>
      <c r="N3035" s="2264">
        <f t="shared" si="637"/>
        <v>0</v>
      </c>
      <c r="O3035" s="2264">
        <f t="shared" si="638"/>
        <v>0</v>
      </c>
      <c r="P3035" s="2265"/>
      <c r="Q3035" s="2266"/>
      <c r="R3035" s="2266"/>
      <c r="S3035" s="2266"/>
    </row>
    <row r="3036" spans="1:19" s="2105" customFormat="1" outlineLevel="1">
      <c r="A3036" s="2182" t="str">
        <f t="shared" si="635"/>
        <v/>
      </c>
      <c r="B3036" s="2252" t="s">
        <v>696</v>
      </c>
      <c r="C3036" s="2389"/>
      <c r="D3036" s="2152">
        <v>0</v>
      </c>
      <c r="E3036" s="2194" t="s">
        <v>2936</v>
      </c>
      <c r="F3036" s="2152" t="s">
        <v>2555</v>
      </c>
      <c r="G3036" s="2269">
        <f>+G3030*3*3</f>
        <v>0</v>
      </c>
      <c r="H3036" s="2264">
        <v>205000</v>
      </c>
      <c r="I3036" s="2264"/>
      <c r="J3036" s="2264">
        <v>0</v>
      </c>
      <c r="K3036" s="2264">
        <v>0</v>
      </c>
      <c r="L3036" s="2264">
        <f t="shared" si="636"/>
        <v>0</v>
      </c>
      <c r="M3036" s="2264">
        <f>I3036*G3036</f>
        <v>0</v>
      </c>
      <c r="N3036" s="2264">
        <f t="shared" si="637"/>
        <v>0</v>
      </c>
      <c r="O3036" s="2264">
        <f t="shared" si="638"/>
        <v>0</v>
      </c>
      <c r="P3036" s="2265"/>
      <c r="Q3036" s="2266"/>
      <c r="R3036" s="2266"/>
      <c r="S3036" s="2266"/>
    </row>
    <row r="3037" spans="1:19" s="2105" customFormat="1" outlineLevel="1">
      <c r="A3037" s="2182" t="str">
        <f t="shared" si="635"/>
        <v/>
      </c>
      <c r="B3037" s="2252" t="s">
        <v>1265</v>
      </c>
      <c r="C3037" s="2268"/>
      <c r="D3037" s="2152">
        <v>0</v>
      </c>
      <c r="E3037" s="2194" t="s">
        <v>2823</v>
      </c>
      <c r="F3037" s="2152" t="s">
        <v>2555</v>
      </c>
      <c r="G3037" s="2269">
        <f>+G3036</f>
        <v>0</v>
      </c>
      <c r="H3037" s="2264">
        <v>65000</v>
      </c>
      <c r="I3037" s="2264"/>
      <c r="J3037" s="2264">
        <v>0</v>
      </c>
      <c r="K3037" s="2264">
        <v>0</v>
      </c>
      <c r="L3037" s="2264">
        <f t="shared" si="636"/>
        <v>0</v>
      </c>
      <c r="M3037" s="2264">
        <f>I3037*G3037</f>
        <v>0</v>
      </c>
      <c r="N3037" s="2264">
        <f t="shared" si="637"/>
        <v>0</v>
      </c>
      <c r="O3037" s="2264">
        <f t="shared" si="638"/>
        <v>0</v>
      </c>
      <c r="P3037" s="2265"/>
      <c r="Q3037" s="2266"/>
      <c r="R3037" s="2266"/>
      <c r="S3037" s="2266"/>
    </row>
    <row r="3038" spans="1:19" s="2105" customFormat="1" outlineLevel="1">
      <c r="A3038" s="2182" t="str">
        <f>IF(G3038&lt;&gt;0,1,"")</f>
        <v/>
      </c>
      <c r="B3038" s="2252" t="s">
        <v>347</v>
      </c>
      <c r="C3038" s="2268"/>
      <c r="D3038" s="2152" t="s">
        <v>5560</v>
      </c>
      <c r="E3038" s="2194" t="s">
        <v>3271</v>
      </c>
      <c r="F3038" s="2152" t="s">
        <v>2439</v>
      </c>
      <c r="G3038" s="2269">
        <f>G3036</f>
        <v>0</v>
      </c>
      <c r="H3038" s="2264">
        <v>510</v>
      </c>
      <c r="I3038" s="2264"/>
      <c r="J3038" s="2264">
        <v>58277.49</v>
      </c>
      <c r="K3038" s="2264">
        <v>0</v>
      </c>
      <c r="L3038" s="2264">
        <f>H3038*G3038</f>
        <v>0</v>
      </c>
      <c r="M3038" s="2264">
        <f>I3038*G3038</f>
        <v>0</v>
      </c>
      <c r="N3038" s="2264">
        <f>J3038*G3038</f>
        <v>0</v>
      </c>
      <c r="O3038" s="2264">
        <f>K3038*G3038</f>
        <v>0</v>
      </c>
      <c r="P3038" s="2265"/>
      <c r="Q3038" s="2266"/>
      <c r="R3038" s="2266"/>
      <c r="S3038" s="2266"/>
    </row>
    <row r="3039" spans="1:19" s="2105" customFormat="1" outlineLevel="1">
      <c r="A3039" s="2182" t="str">
        <f>IF(G3039&lt;&gt;0,1,"")</f>
        <v/>
      </c>
      <c r="B3039" s="2252"/>
      <c r="C3039" s="2258">
        <f>IF(G3039&gt;0,C3030+1,C3030)</f>
        <v>0</v>
      </c>
      <c r="D3039" s="2259"/>
      <c r="E3039" s="2260" t="s">
        <v>6293</v>
      </c>
      <c r="F3039" s="2258" t="s">
        <v>2385</v>
      </c>
      <c r="G3039" s="2269">
        <f>G3018+G3030</f>
        <v>0</v>
      </c>
      <c r="H3039" s="2264"/>
      <c r="I3039" s="2264"/>
      <c r="J3039" s="2264"/>
      <c r="K3039" s="2264"/>
      <c r="L3039" s="2264"/>
      <c r="M3039" s="2264"/>
      <c r="N3039" s="2264"/>
      <c r="O3039" s="2264"/>
      <c r="P3039" s="2265"/>
      <c r="Q3039" s="2266"/>
      <c r="R3039" s="2266"/>
      <c r="S3039" s="2266"/>
    </row>
    <row r="3040" spans="1:19" s="2105" customFormat="1" ht="14.4" outlineLevel="1">
      <c r="A3040" s="2182" t="str">
        <f>A3039</f>
        <v/>
      </c>
      <c r="B3040" s="2252"/>
      <c r="C3040" s="2258"/>
      <c r="D3040" s="2259"/>
      <c r="E3040" s="2274" t="s">
        <v>6133</v>
      </c>
      <c r="F3040" s="2258"/>
      <c r="G3040" s="2269"/>
      <c r="H3040" s="2264"/>
      <c r="I3040" s="2264"/>
      <c r="J3040" s="2264"/>
      <c r="K3040" s="2264"/>
      <c r="L3040" s="2264"/>
      <c r="M3040" s="2264"/>
      <c r="N3040" s="2264"/>
      <c r="O3040" s="2264"/>
      <c r="P3040" s="2265"/>
      <c r="Q3040" s="2266"/>
      <c r="R3040" s="2266"/>
      <c r="S3040" s="2266"/>
    </row>
    <row r="3041" spans="1:19" s="2105" customFormat="1" outlineLevel="1">
      <c r="A3041" s="2182" t="str">
        <f t="shared" ref="A3041:A3049" si="639">IF(G3041&lt;&gt;0,1,"")</f>
        <v/>
      </c>
      <c r="B3041" s="2261" t="s">
        <v>1238</v>
      </c>
      <c r="C3041" s="2268"/>
      <c r="D3041" s="2570"/>
      <c r="E3041" s="2194" t="s">
        <v>2748</v>
      </c>
      <c r="F3041" s="2152" t="s">
        <v>2532</v>
      </c>
      <c r="G3041" s="2269">
        <f>G3039*(8*3*4+2*8)</f>
        <v>0</v>
      </c>
      <c r="H3041" s="2264">
        <v>479000</v>
      </c>
      <c r="I3041" s="2264"/>
      <c r="J3041" s="2264">
        <v>0</v>
      </c>
      <c r="K3041" s="2264">
        <v>0</v>
      </c>
      <c r="L3041" s="2264">
        <f t="shared" ref="L3041:L3049" si="640">H3041*G3041</f>
        <v>0</v>
      </c>
      <c r="M3041" s="2264">
        <f t="shared" ref="M3041:M3049" si="641">I3041*G3041</f>
        <v>0</v>
      </c>
      <c r="N3041" s="2264">
        <f t="shared" ref="N3041:N3049" si="642">J3041*G3041</f>
        <v>0</v>
      </c>
      <c r="O3041" s="2264">
        <f t="shared" ref="O3041:O3049" si="643">K3041*G3041</f>
        <v>0</v>
      </c>
      <c r="P3041" s="2265"/>
      <c r="Q3041" s="2266"/>
      <c r="R3041" s="2266">
        <f>48*(30+6)</f>
        <v>1728</v>
      </c>
      <c r="S3041" s="2266"/>
    </row>
    <row r="3042" spans="1:19" s="2105" customFormat="1" outlineLevel="1">
      <c r="A3042" s="2182" t="str">
        <f t="shared" si="639"/>
        <v/>
      </c>
      <c r="B3042" s="2261" t="s">
        <v>448</v>
      </c>
      <c r="C3042" s="2268"/>
      <c r="D3042" s="2152" t="s">
        <v>5732</v>
      </c>
      <c r="E3042" s="2194" t="s">
        <v>6397</v>
      </c>
      <c r="F3042" s="2152" t="s">
        <v>2555</v>
      </c>
      <c r="G3042" s="2269">
        <f>+G3039*28</f>
        <v>0</v>
      </c>
      <c r="H3042" s="2264">
        <v>70000</v>
      </c>
      <c r="I3042" s="2264"/>
      <c r="J3042" s="2264">
        <v>59410.148000000001</v>
      </c>
      <c r="K3042" s="2264">
        <v>5554.0464950000005</v>
      </c>
      <c r="L3042" s="2264">
        <f t="shared" si="640"/>
        <v>0</v>
      </c>
      <c r="M3042" s="2264">
        <f t="shared" si="641"/>
        <v>0</v>
      </c>
      <c r="N3042" s="2264">
        <f t="shared" si="642"/>
        <v>0</v>
      </c>
      <c r="O3042" s="2264">
        <f t="shared" si="643"/>
        <v>0</v>
      </c>
      <c r="P3042" s="2265"/>
      <c r="Q3042" s="2266"/>
      <c r="R3042" s="2266"/>
      <c r="S3042" s="2266"/>
    </row>
    <row r="3043" spans="1:19" s="2105" customFormat="1" outlineLevel="1">
      <c r="A3043" s="2182" t="str">
        <f t="shared" si="639"/>
        <v/>
      </c>
      <c r="B3043" s="2261" t="s">
        <v>1072</v>
      </c>
      <c r="C3043" s="2268"/>
      <c r="D3043" s="2152">
        <v>0</v>
      </c>
      <c r="E3043" s="2194" t="s">
        <v>6398</v>
      </c>
      <c r="F3043" s="2152" t="s">
        <v>2555</v>
      </c>
      <c r="G3043" s="2269">
        <f>G3042</f>
        <v>0</v>
      </c>
      <c r="H3043" s="2264">
        <v>6000</v>
      </c>
      <c r="I3043" s="2264"/>
      <c r="J3043" s="2264">
        <v>0</v>
      </c>
      <c r="K3043" s="2264">
        <v>0</v>
      </c>
      <c r="L3043" s="2264">
        <f t="shared" si="640"/>
        <v>0</v>
      </c>
      <c r="M3043" s="2264">
        <f t="shared" si="641"/>
        <v>0</v>
      </c>
      <c r="N3043" s="2264">
        <f t="shared" si="642"/>
        <v>0</v>
      </c>
      <c r="O3043" s="2264">
        <f t="shared" si="643"/>
        <v>0</v>
      </c>
      <c r="P3043" s="2265"/>
      <c r="Q3043" s="2266"/>
      <c r="R3043" s="2266"/>
      <c r="S3043" s="2266"/>
    </row>
    <row r="3044" spans="1:19" s="2105" customFormat="1" outlineLevel="1">
      <c r="A3044" s="2182" t="str">
        <f t="shared" si="639"/>
        <v/>
      </c>
      <c r="B3044" s="2261" t="s">
        <v>1042</v>
      </c>
      <c r="C3044" s="2268"/>
      <c r="D3044" s="2152">
        <v>0</v>
      </c>
      <c r="E3044" s="2194" t="s">
        <v>3531</v>
      </c>
      <c r="F3044" s="2152" t="s">
        <v>1823</v>
      </c>
      <c r="G3044" s="2269">
        <f>6*G3039*$L$2</f>
        <v>0</v>
      </c>
      <c r="H3044" s="2264">
        <v>103700</v>
      </c>
      <c r="I3044" s="2264"/>
      <c r="J3044" s="2264">
        <v>0</v>
      </c>
      <c r="K3044" s="2264">
        <v>0</v>
      </c>
      <c r="L3044" s="2264">
        <f t="shared" si="640"/>
        <v>0</v>
      </c>
      <c r="M3044" s="2264">
        <f t="shared" si="641"/>
        <v>0</v>
      </c>
      <c r="N3044" s="2264">
        <f t="shared" si="642"/>
        <v>0</v>
      </c>
      <c r="O3044" s="2264">
        <f t="shared" si="643"/>
        <v>0</v>
      </c>
      <c r="P3044" s="2265"/>
      <c r="Q3044" s="2266"/>
      <c r="R3044" s="2266"/>
      <c r="S3044" s="2266"/>
    </row>
    <row r="3045" spans="1:19" s="2105" customFormat="1" outlineLevel="1">
      <c r="A3045" s="2182" t="str">
        <f t="shared" si="639"/>
        <v/>
      </c>
      <c r="B3045" s="2252" t="s">
        <v>731</v>
      </c>
      <c r="C3045" s="2268"/>
      <c r="D3045" s="2152">
        <v>0</v>
      </c>
      <c r="E3045" s="2194" t="s">
        <v>5258</v>
      </c>
      <c r="F3045" s="2152" t="s">
        <v>2439</v>
      </c>
      <c r="G3045" s="2269">
        <f>G3039*2*$L$2*0</f>
        <v>0</v>
      </c>
      <c r="H3045" s="2264">
        <v>50000</v>
      </c>
      <c r="I3045" s="2264"/>
      <c r="J3045" s="2264">
        <v>0</v>
      </c>
      <c r="K3045" s="2264">
        <v>0</v>
      </c>
      <c r="L3045" s="2264">
        <f t="shared" si="640"/>
        <v>0</v>
      </c>
      <c r="M3045" s="2264">
        <f t="shared" si="641"/>
        <v>0</v>
      </c>
      <c r="N3045" s="2264">
        <f t="shared" si="642"/>
        <v>0</v>
      </c>
      <c r="O3045" s="2264">
        <f t="shared" si="643"/>
        <v>0</v>
      </c>
      <c r="P3045" s="2265"/>
      <c r="Q3045" s="2422"/>
      <c r="R3045" s="2266"/>
      <c r="S3045" s="2266"/>
    </row>
    <row r="3046" spans="1:19" s="2105" customFormat="1" outlineLevel="1">
      <c r="A3046" s="2182" t="str">
        <f t="shared" si="639"/>
        <v/>
      </c>
      <c r="B3046" s="2261" t="s">
        <v>1043</v>
      </c>
      <c r="C3046" s="2268"/>
      <c r="D3046" s="2152">
        <v>0</v>
      </c>
      <c r="E3046" s="2194" t="s">
        <v>5798</v>
      </c>
      <c r="F3046" s="2152" t="s">
        <v>2555</v>
      </c>
      <c r="G3046" s="2269">
        <f>G3039*2*$L$2*0</f>
        <v>0</v>
      </c>
      <c r="H3046" s="2264">
        <v>104800</v>
      </c>
      <c r="I3046" s="2264"/>
      <c r="J3046" s="2264">
        <v>0</v>
      </c>
      <c r="K3046" s="2264">
        <v>0</v>
      </c>
      <c r="L3046" s="2264">
        <f t="shared" si="640"/>
        <v>0</v>
      </c>
      <c r="M3046" s="2264">
        <f t="shared" si="641"/>
        <v>0</v>
      </c>
      <c r="N3046" s="2264">
        <f t="shared" si="642"/>
        <v>0</v>
      </c>
      <c r="O3046" s="2264">
        <f t="shared" si="643"/>
        <v>0</v>
      </c>
      <c r="P3046" s="2265"/>
      <c r="Q3046" s="2266"/>
      <c r="R3046" s="2266"/>
      <c r="S3046" s="2266"/>
    </row>
    <row r="3047" spans="1:19" s="2105" customFormat="1" outlineLevel="1">
      <c r="A3047" s="2182" t="str">
        <f t="shared" si="639"/>
        <v/>
      </c>
      <c r="B3047" s="2261" t="s">
        <v>2167</v>
      </c>
      <c r="C3047" s="2268"/>
      <c r="D3047" s="2152">
        <v>0</v>
      </c>
      <c r="E3047" s="2194" t="s">
        <v>3575</v>
      </c>
      <c r="F3047" s="2152" t="s">
        <v>2555</v>
      </c>
      <c r="G3047" s="2269">
        <f>G3039*$L$2*0</f>
        <v>0</v>
      </c>
      <c r="H3047" s="2264">
        <v>41900</v>
      </c>
      <c r="I3047" s="2264"/>
      <c r="J3047" s="2264">
        <v>0</v>
      </c>
      <c r="K3047" s="2264">
        <v>0</v>
      </c>
      <c r="L3047" s="2264">
        <f t="shared" si="640"/>
        <v>0</v>
      </c>
      <c r="M3047" s="2264">
        <f t="shared" si="641"/>
        <v>0</v>
      </c>
      <c r="N3047" s="2264">
        <f t="shared" si="642"/>
        <v>0</v>
      </c>
      <c r="O3047" s="2264">
        <f t="shared" si="643"/>
        <v>0</v>
      </c>
      <c r="P3047" s="2265"/>
      <c r="Q3047" s="2266"/>
      <c r="R3047" s="2266"/>
      <c r="S3047" s="2266"/>
    </row>
    <row r="3048" spans="1:19" s="2105" customFormat="1" outlineLevel="1">
      <c r="A3048" s="2182" t="str">
        <f t="shared" si="639"/>
        <v/>
      </c>
      <c r="B3048" s="2261" t="s">
        <v>2168</v>
      </c>
      <c r="C3048" s="2268"/>
      <c r="D3048" s="2152">
        <v>0</v>
      </c>
      <c r="E3048" s="2194" t="s">
        <v>6399</v>
      </c>
      <c r="F3048" s="2152" t="s">
        <v>2555</v>
      </c>
      <c r="G3048" s="2269">
        <f>G3047</f>
        <v>0</v>
      </c>
      <c r="H3048" s="2264">
        <v>41900</v>
      </c>
      <c r="I3048" s="2264"/>
      <c r="J3048" s="2264">
        <v>0</v>
      </c>
      <c r="K3048" s="2264">
        <v>0</v>
      </c>
      <c r="L3048" s="2264">
        <f t="shared" si="640"/>
        <v>0</v>
      </c>
      <c r="M3048" s="2264">
        <f t="shared" si="641"/>
        <v>0</v>
      </c>
      <c r="N3048" s="2264">
        <f t="shared" si="642"/>
        <v>0</v>
      </c>
      <c r="O3048" s="2264">
        <f t="shared" si="643"/>
        <v>0</v>
      </c>
      <c r="P3048" s="2265"/>
      <c r="Q3048" s="2266"/>
      <c r="R3048" s="2266"/>
      <c r="S3048" s="2266"/>
    </row>
    <row r="3049" spans="1:19" s="2105" customFormat="1" outlineLevel="1">
      <c r="A3049" s="2182" t="str">
        <f t="shared" si="639"/>
        <v/>
      </c>
      <c r="B3049" s="2261" t="s">
        <v>726</v>
      </c>
      <c r="C3049" s="2268"/>
      <c r="D3049" s="2152">
        <v>0</v>
      </c>
      <c r="E3049" s="2194" t="s">
        <v>6400</v>
      </c>
      <c r="F3049" s="2152" t="s">
        <v>388</v>
      </c>
      <c r="G3049" s="2269">
        <f>G3039*2*$L$2*0</f>
        <v>0</v>
      </c>
      <c r="H3049" s="2264">
        <v>54100</v>
      </c>
      <c r="I3049" s="2264"/>
      <c r="J3049" s="2264">
        <v>0</v>
      </c>
      <c r="K3049" s="2264">
        <v>0</v>
      </c>
      <c r="L3049" s="2264">
        <f t="shared" si="640"/>
        <v>0</v>
      </c>
      <c r="M3049" s="2264">
        <f t="shared" si="641"/>
        <v>0</v>
      </c>
      <c r="N3049" s="2264">
        <f t="shared" si="642"/>
        <v>0</v>
      </c>
      <c r="O3049" s="2264">
        <f t="shared" si="643"/>
        <v>0</v>
      </c>
      <c r="P3049" s="2265"/>
      <c r="Q3049" s="2266"/>
      <c r="R3049" s="2266"/>
      <c r="S3049" s="2266"/>
    </row>
    <row r="3050" spans="1:19" s="2105" customFormat="1" outlineLevel="1">
      <c r="A3050" s="2182" t="str">
        <f>IF(G3050&lt;&gt;0,1,"")</f>
        <v/>
      </c>
      <c r="B3050" s="2252" t="s">
        <v>6</v>
      </c>
      <c r="C3050" s="2268"/>
      <c r="D3050" s="2152"/>
      <c r="E3050" s="2194" t="s">
        <v>6401</v>
      </c>
      <c r="F3050" s="2152" t="s">
        <v>5806</v>
      </c>
      <c r="G3050" s="2269"/>
      <c r="H3050" s="2264">
        <v>45000</v>
      </c>
      <c r="I3050" s="2264"/>
      <c r="J3050" s="2264"/>
      <c r="K3050" s="2264"/>
      <c r="L3050" s="2264">
        <f>H3050*G3050</f>
        <v>0</v>
      </c>
      <c r="M3050" s="2264">
        <f>I3050*G3050</f>
        <v>0</v>
      </c>
      <c r="N3050" s="2264">
        <f>J3050*G3050</f>
        <v>0</v>
      </c>
      <c r="O3050" s="2264">
        <f>K3050*G3050</f>
        <v>0</v>
      </c>
      <c r="P3050" s="2265"/>
      <c r="Q3050" s="2266"/>
      <c r="R3050" s="2266"/>
      <c r="S3050" s="2266"/>
    </row>
    <row r="3051" spans="1:19" s="2105" customFormat="1" outlineLevel="1">
      <c r="A3051" s="2182" t="str">
        <f>IF(G3051&lt;&gt;0,1,"")</f>
        <v/>
      </c>
      <c r="B3051" s="2261" t="s">
        <v>1348</v>
      </c>
      <c r="C3051" s="2268"/>
      <c r="D3051" s="2152">
        <v>0</v>
      </c>
      <c r="E3051" s="2194" t="s">
        <v>3518</v>
      </c>
      <c r="F3051" s="2152" t="s">
        <v>3519</v>
      </c>
      <c r="G3051" s="2269">
        <f>G3039</f>
        <v>0</v>
      </c>
      <c r="H3051" s="2264">
        <v>15000</v>
      </c>
      <c r="I3051" s="2264"/>
      <c r="J3051" s="2264">
        <v>0</v>
      </c>
      <c r="K3051" s="2264">
        <v>0</v>
      </c>
      <c r="L3051" s="2264">
        <f>H3051*G3051</f>
        <v>0</v>
      </c>
      <c r="M3051" s="2264">
        <f>I3051*G3051</f>
        <v>0</v>
      </c>
      <c r="N3051" s="2264">
        <f>J3051*G3051</f>
        <v>0</v>
      </c>
      <c r="O3051" s="2264">
        <f>K3051*G3051</f>
        <v>0</v>
      </c>
      <c r="P3051" s="2265"/>
      <c r="Q3051" s="2266"/>
      <c r="R3051" s="2266"/>
      <c r="S3051" s="2266"/>
    </row>
    <row r="3052" spans="1:19" s="2105" customFormat="1" outlineLevel="1">
      <c r="A3052" s="2182" t="str">
        <f>IF(G3052&lt;&gt;0,1,"")</f>
        <v/>
      </c>
      <c r="B3052" s="2252" t="s">
        <v>672</v>
      </c>
      <c r="C3052" s="2268"/>
      <c r="D3052" s="2152">
        <v>0</v>
      </c>
      <c r="E3052" s="2194" t="s">
        <v>5801</v>
      </c>
      <c r="F3052" s="2152" t="s">
        <v>3566</v>
      </c>
      <c r="G3052" s="2269">
        <f>G3039*5</f>
        <v>0</v>
      </c>
      <c r="H3052" s="2264">
        <v>6500</v>
      </c>
      <c r="I3052" s="2264"/>
      <c r="J3052" s="2264">
        <v>0</v>
      </c>
      <c r="K3052" s="2264">
        <v>0</v>
      </c>
      <c r="L3052" s="2264">
        <f>H3052*G3052</f>
        <v>0</v>
      </c>
      <c r="M3052" s="2264">
        <f>I3052*G3052</f>
        <v>0</v>
      </c>
      <c r="N3052" s="2264">
        <f>J3052*G3052</f>
        <v>0</v>
      </c>
      <c r="O3052" s="2264">
        <f>K3052*G3052</f>
        <v>0</v>
      </c>
      <c r="P3052" s="2265"/>
      <c r="Q3052" s="2266"/>
      <c r="R3052" s="2266"/>
      <c r="S3052" s="2266"/>
    </row>
    <row r="3053" spans="1:19" s="2105" customFormat="1" outlineLevel="1">
      <c r="A3053" s="2182" t="str">
        <f>IF(G3053&lt;&gt;0,1,"")</f>
        <v/>
      </c>
      <c r="B3053" s="2252" t="s">
        <v>247</v>
      </c>
      <c r="C3053" s="2571"/>
      <c r="D3053" s="2152" t="s">
        <v>5573</v>
      </c>
      <c r="E3053" s="2194" t="s">
        <v>6402</v>
      </c>
      <c r="F3053" s="2152" t="s">
        <v>1823</v>
      </c>
      <c r="G3053" s="2269">
        <f>G3041</f>
        <v>0</v>
      </c>
      <c r="H3053" s="2264">
        <v>0</v>
      </c>
      <c r="I3053" s="2264"/>
      <c r="J3053" s="2264">
        <v>47311</v>
      </c>
      <c r="K3053" s="2264">
        <v>0</v>
      </c>
      <c r="L3053" s="2264">
        <f>H3053*G3053</f>
        <v>0</v>
      </c>
      <c r="M3053" s="2264">
        <f>I3053*G3053</f>
        <v>0</v>
      </c>
      <c r="N3053" s="2264">
        <f>J3053*G3053</f>
        <v>0</v>
      </c>
      <c r="O3053" s="2264">
        <f>K3053*G3053</f>
        <v>0</v>
      </c>
      <c r="P3053" s="2265"/>
      <c r="Q3053" s="2266"/>
      <c r="R3053" s="2266"/>
      <c r="S3053" s="2266"/>
    </row>
    <row r="3054" spans="1:19" s="2105" customFormat="1" outlineLevel="1">
      <c r="A3054" s="2182" t="str">
        <f>IF(G3054&lt;&gt;0,1,"")</f>
        <v/>
      </c>
      <c r="B3054" s="2252"/>
      <c r="C3054" s="2258">
        <f>IF(G3054&gt;0,C3039+1,C3039)</f>
        <v>0</v>
      </c>
      <c r="D3054" s="2259"/>
      <c r="E3054" s="2260" t="s">
        <v>6253</v>
      </c>
      <c r="F3054" s="2258" t="s">
        <v>2385</v>
      </c>
      <c r="G3054" s="2269">
        <f>G2942</f>
        <v>0</v>
      </c>
      <c r="H3054" s="2264"/>
      <c r="I3054" s="2264"/>
      <c r="J3054" s="2264"/>
      <c r="K3054" s="2264"/>
      <c r="L3054" s="2264"/>
      <c r="M3054" s="2264"/>
      <c r="N3054" s="2264"/>
      <c r="O3054" s="2264"/>
      <c r="P3054" s="2265"/>
      <c r="Q3054" s="2266"/>
      <c r="R3054" s="2266"/>
      <c r="S3054" s="2266"/>
    </row>
    <row r="3055" spans="1:19" s="2288" customFormat="1" ht="14.4" outlineLevel="1">
      <c r="A3055" s="2182" t="str">
        <f>A3054</f>
        <v/>
      </c>
      <c r="B3055" s="2500"/>
      <c r="C3055" s="2258"/>
      <c r="D3055" s="2259"/>
      <c r="E3055" s="2274" t="s">
        <v>6133</v>
      </c>
      <c r="F3055" s="2258" t="s">
        <v>2385</v>
      </c>
      <c r="G3055" s="2263"/>
      <c r="H3055" s="2264"/>
      <c r="I3055" s="2264"/>
      <c r="J3055" s="2264"/>
      <c r="K3055" s="2264"/>
      <c r="L3055" s="2264">
        <f>SUBTOTAL(9,L3056:L3076)*0</f>
        <v>0</v>
      </c>
      <c r="M3055" s="2264">
        <f>SUBTOTAL(9,M3056:M3076)</f>
        <v>0</v>
      </c>
      <c r="N3055" s="2264">
        <f>SUBTOTAL(9,N3056:N3076)*0</f>
        <v>0</v>
      </c>
      <c r="O3055" s="2264">
        <f>SUBTOTAL(9,O3056:O3076)*0</f>
        <v>0</v>
      </c>
      <c r="P3055" s="2265"/>
      <c r="Q3055" s="2433"/>
      <c r="R3055" s="2433"/>
      <c r="S3055" s="2433"/>
    </row>
    <row r="3056" spans="1:19" s="2105" customFormat="1" outlineLevel="1">
      <c r="A3056" s="2182">
        <f>IF(G3056=0,0,1)</f>
        <v>0</v>
      </c>
      <c r="B3056" s="2261" t="s">
        <v>2276</v>
      </c>
      <c r="C3056" s="2389"/>
      <c r="D3056" s="2152">
        <v>0</v>
      </c>
      <c r="E3056" s="2359" t="s">
        <v>2786</v>
      </c>
      <c r="F3056" s="2501" t="s">
        <v>2532</v>
      </c>
      <c r="G3056" s="2269">
        <f>G3054*33</f>
        <v>0</v>
      </c>
      <c r="H3056" s="2264">
        <v>63200</v>
      </c>
      <c r="I3056" s="2264"/>
      <c r="J3056" s="2264">
        <v>0</v>
      </c>
      <c r="K3056" s="2264">
        <v>0</v>
      </c>
      <c r="L3056" s="2264">
        <f t="shared" ref="L3056:O3076" si="644">H3056*$G3056</f>
        <v>0</v>
      </c>
      <c r="M3056" s="2264">
        <f t="shared" si="644"/>
        <v>0</v>
      </c>
      <c r="N3056" s="2264">
        <f t="shared" si="644"/>
        <v>0</v>
      </c>
      <c r="O3056" s="2264">
        <f t="shared" si="644"/>
        <v>0</v>
      </c>
      <c r="P3056" s="2265"/>
      <c r="Q3056" s="2266"/>
      <c r="R3056" s="2266"/>
      <c r="S3056" s="2266"/>
    </row>
    <row r="3057" spans="1:19" s="2105" customFormat="1" outlineLevel="1">
      <c r="A3057" s="2182">
        <f>IF(G3057=0,0,1)</f>
        <v>0</v>
      </c>
      <c r="B3057" s="2252" t="s">
        <v>6254</v>
      </c>
      <c r="C3057" s="2268"/>
      <c r="D3057" s="2152">
        <v>0</v>
      </c>
      <c r="E3057" s="2359" t="s">
        <v>5053</v>
      </c>
      <c r="F3057" s="2501" t="s">
        <v>2439</v>
      </c>
      <c r="G3057" s="2269">
        <f>G3054*24</f>
        <v>0</v>
      </c>
      <c r="H3057" s="2264">
        <v>7900</v>
      </c>
      <c r="I3057" s="2264"/>
      <c r="J3057" s="2264">
        <v>0</v>
      </c>
      <c r="K3057" s="2264">
        <v>0</v>
      </c>
      <c r="L3057" s="2264">
        <f t="shared" si="644"/>
        <v>0</v>
      </c>
      <c r="M3057" s="2264">
        <f t="shared" si="644"/>
        <v>0</v>
      </c>
      <c r="N3057" s="2264">
        <f t="shared" si="644"/>
        <v>0</v>
      </c>
      <c r="O3057" s="2264">
        <f t="shared" si="644"/>
        <v>0</v>
      </c>
      <c r="P3057" s="2265"/>
      <c r="Q3057" s="2266"/>
      <c r="R3057" s="2266"/>
      <c r="S3057" s="2266"/>
    </row>
    <row r="3058" spans="1:19" s="2105" customFormat="1" outlineLevel="1">
      <c r="A3058" s="2182">
        <f>IF(G3058=0,0,1)</f>
        <v>0</v>
      </c>
      <c r="B3058" s="2252" t="s">
        <v>6255</v>
      </c>
      <c r="C3058" s="2268"/>
      <c r="D3058" s="2152">
        <v>0</v>
      </c>
      <c r="E3058" s="2359" t="s">
        <v>2624</v>
      </c>
      <c r="F3058" s="2501" t="s">
        <v>2439</v>
      </c>
      <c r="G3058" s="2269">
        <f>G3057</f>
        <v>0</v>
      </c>
      <c r="H3058" s="2264">
        <v>1500</v>
      </c>
      <c r="I3058" s="2264"/>
      <c r="J3058" s="2264">
        <v>0</v>
      </c>
      <c r="K3058" s="2264">
        <v>0</v>
      </c>
      <c r="L3058" s="2264">
        <f t="shared" si="644"/>
        <v>0</v>
      </c>
      <c r="M3058" s="2264">
        <f t="shared" si="644"/>
        <v>0</v>
      </c>
      <c r="N3058" s="2264">
        <f t="shared" si="644"/>
        <v>0</v>
      </c>
      <c r="O3058" s="2264">
        <f t="shared" si="644"/>
        <v>0</v>
      </c>
      <c r="P3058" s="2265"/>
      <c r="Q3058" s="2266"/>
      <c r="R3058" s="2266"/>
      <c r="S3058" s="2266"/>
    </row>
    <row r="3059" spans="1:19" s="2105" customFormat="1" outlineLevel="1">
      <c r="A3059" s="2182">
        <f t="shared" ref="A3059:A3076" si="645">IF(G3059=0,0,1)</f>
        <v>0</v>
      </c>
      <c r="B3059" s="2261" t="s">
        <v>246</v>
      </c>
      <c r="C3059" s="2389"/>
      <c r="D3059" s="2152">
        <v>0</v>
      </c>
      <c r="E3059" s="2359" t="s">
        <v>5869</v>
      </c>
      <c r="F3059" s="2501" t="s">
        <v>2555</v>
      </c>
      <c r="G3059" s="2269">
        <f>G3054*24</f>
        <v>0</v>
      </c>
      <c r="H3059" s="2264">
        <v>40500</v>
      </c>
      <c r="I3059" s="2264"/>
      <c r="J3059" s="2264">
        <v>39758</v>
      </c>
      <c r="K3059" s="2264">
        <v>0</v>
      </c>
      <c r="L3059" s="2264">
        <f t="shared" si="644"/>
        <v>0</v>
      </c>
      <c r="M3059" s="2264">
        <f t="shared" si="644"/>
        <v>0</v>
      </c>
      <c r="N3059" s="2264">
        <f t="shared" si="644"/>
        <v>0</v>
      </c>
      <c r="O3059" s="2264">
        <f t="shared" si="644"/>
        <v>0</v>
      </c>
      <c r="P3059" s="2265"/>
      <c r="Q3059" s="2266"/>
      <c r="R3059" s="2266"/>
      <c r="S3059" s="2266"/>
    </row>
    <row r="3060" spans="1:19" s="2105" customFormat="1" outlineLevel="1">
      <c r="A3060" s="2182">
        <f t="shared" si="645"/>
        <v>0</v>
      </c>
      <c r="B3060" s="2261" t="s">
        <v>1865</v>
      </c>
      <c r="C3060" s="2268"/>
      <c r="D3060" s="2152">
        <v>0</v>
      </c>
      <c r="E3060" s="2359" t="s">
        <v>3471</v>
      </c>
      <c r="F3060" s="2501" t="s">
        <v>2555</v>
      </c>
      <c r="G3060" s="2269">
        <f>G3054*16</f>
        <v>0</v>
      </c>
      <c r="H3060" s="2264">
        <v>1700</v>
      </c>
      <c r="I3060" s="2264"/>
      <c r="J3060" s="2264">
        <v>0</v>
      </c>
      <c r="K3060" s="2264">
        <v>0</v>
      </c>
      <c r="L3060" s="2264">
        <f t="shared" si="644"/>
        <v>0</v>
      </c>
      <c r="M3060" s="2264">
        <f t="shared" si="644"/>
        <v>0</v>
      </c>
      <c r="N3060" s="2264">
        <f t="shared" si="644"/>
        <v>0</v>
      </c>
      <c r="O3060" s="2264">
        <f t="shared" si="644"/>
        <v>0</v>
      </c>
      <c r="P3060" s="2265"/>
      <c r="Q3060" s="2266"/>
      <c r="R3060" s="2266"/>
      <c r="S3060" s="2266"/>
    </row>
    <row r="3061" spans="1:19" s="2105" customFormat="1" outlineLevel="1">
      <c r="A3061" s="2182">
        <f t="shared" si="645"/>
        <v>0</v>
      </c>
      <c r="B3061" s="2261" t="s">
        <v>1510</v>
      </c>
      <c r="C3061" s="2268"/>
      <c r="D3061" s="2152">
        <v>0</v>
      </c>
      <c r="E3061" s="2359" t="s">
        <v>3515</v>
      </c>
      <c r="F3061" s="2501" t="s">
        <v>2532</v>
      </c>
      <c r="G3061" s="2269">
        <f>6*G3054</f>
        <v>0</v>
      </c>
      <c r="H3061" s="2264">
        <v>860</v>
      </c>
      <c r="I3061" s="2264"/>
      <c r="J3061" s="2264">
        <v>0</v>
      </c>
      <c r="K3061" s="2264">
        <v>0</v>
      </c>
      <c r="L3061" s="2264">
        <f t="shared" si="644"/>
        <v>0</v>
      </c>
      <c r="M3061" s="2264">
        <f t="shared" si="644"/>
        <v>0</v>
      </c>
      <c r="N3061" s="2264">
        <f t="shared" si="644"/>
        <v>0</v>
      </c>
      <c r="O3061" s="2264">
        <f t="shared" si="644"/>
        <v>0</v>
      </c>
      <c r="P3061" s="2265"/>
      <c r="Q3061" s="2266"/>
      <c r="R3061" s="2266"/>
      <c r="S3061" s="2266"/>
    </row>
    <row r="3062" spans="1:19" s="2105" customFormat="1" outlineLevel="1">
      <c r="A3062" s="2182">
        <f t="shared" si="645"/>
        <v>0</v>
      </c>
      <c r="B3062" s="2261" t="s">
        <v>816</v>
      </c>
      <c r="C3062" s="2268"/>
      <c r="D3062" s="2152">
        <v>0</v>
      </c>
      <c r="E3062" s="2359" t="s">
        <v>3581</v>
      </c>
      <c r="F3062" s="2501" t="s">
        <v>2555</v>
      </c>
      <c r="G3062" s="2269">
        <f>+G3054*3</f>
        <v>0</v>
      </c>
      <c r="H3062" s="2264">
        <v>17600</v>
      </c>
      <c r="I3062" s="2264"/>
      <c r="J3062" s="2264">
        <v>0</v>
      </c>
      <c r="K3062" s="2264">
        <v>0</v>
      </c>
      <c r="L3062" s="2264">
        <f t="shared" si="644"/>
        <v>0</v>
      </c>
      <c r="M3062" s="2264">
        <f t="shared" si="644"/>
        <v>0</v>
      </c>
      <c r="N3062" s="2264">
        <f t="shared" si="644"/>
        <v>0</v>
      </c>
      <c r="O3062" s="2264">
        <f t="shared" si="644"/>
        <v>0</v>
      </c>
      <c r="P3062" s="2265"/>
      <c r="Q3062" s="2266"/>
      <c r="R3062" s="2266"/>
      <c r="S3062" s="2266"/>
    </row>
    <row r="3063" spans="1:19" s="2105" customFormat="1" outlineLevel="1">
      <c r="A3063" s="2182">
        <f t="shared" si="645"/>
        <v>0</v>
      </c>
      <c r="B3063" s="2261" t="s">
        <v>2141</v>
      </c>
      <c r="C3063" s="2268"/>
      <c r="D3063" s="2152">
        <v>0</v>
      </c>
      <c r="E3063" s="2359" t="s">
        <v>3535</v>
      </c>
      <c r="F3063" s="2501" t="s">
        <v>1823</v>
      </c>
      <c r="G3063" s="2269">
        <f>G3072*10</f>
        <v>0</v>
      </c>
      <c r="H3063" s="2264">
        <v>16100</v>
      </c>
      <c r="I3063" s="2264"/>
      <c r="J3063" s="2264">
        <v>0</v>
      </c>
      <c r="K3063" s="2264">
        <v>0</v>
      </c>
      <c r="L3063" s="2264">
        <f t="shared" si="644"/>
        <v>0</v>
      </c>
      <c r="M3063" s="2264">
        <f t="shared" si="644"/>
        <v>0</v>
      </c>
      <c r="N3063" s="2264">
        <f t="shared" si="644"/>
        <v>0</v>
      </c>
      <c r="O3063" s="2264">
        <f t="shared" si="644"/>
        <v>0</v>
      </c>
      <c r="P3063" s="2265"/>
      <c r="Q3063" s="2266"/>
      <c r="R3063" s="2266"/>
      <c r="S3063" s="2266"/>
    </row>
    <row r="3064" spans="1:19" s="2105" customFormat="1" outlineLevel="1">
      <c r="A3064" s="2182">
        <f t="shared" si="645"/>
        <v>0</v>
      </c>
      <c r="B3064" s="2252" t="s">
        <v>204</v>
      </c>
      <c r="C3064" s="2268"/>
      <c r="D3064" s="2152">
        <v>0</v>
      </c>
      <c r="E3064" s="2359" t="s">
        <v>2979</v>
      </c>
      <c r="F3064" s="2501" t="s">
        <v>2439</v>
      </c>
      <c r="G3064" s="2269">
        <f>G3054*4</f>
        <v>0</v>
      </c>
      <c r="H3064" s="2264">
        <v>34000</v>
      </c>
      <c r="I3064" s="2264"/>
      <c r="J3064" s="2264">
        <v>0</v>
      </c>
      <c r="K3064" s="2264">
        <v>0</v>
      </c>
      <c r="L3064" s="2264">
        <f t="shared" si="644"/>
        <v>0</v>
      </c>
      <c r="M3064" s="2264">
        <f t="shared" si="644"/>
        <v>0</v>
      </c>
      <c r="N3064" s="2264">
        <f t="shared" si="644"/>
        <v>0</v>
      </c>
      <c r="O3064" s="2264">
        <f t="shared" si="644"/>
        <v>0</v>
      </c>
      <c r="P3064" s="2265"/>
      <c r="Q3064" s="2266"/>
      <c r="R3064" s="2266"/>
      <c r="S3064" s="2266"/>
    </row>
    <row r="3065" spans="1:19" s="2105" customFormat="1" outlineLevel="1">
      <c r="A3065" s="2182">
        <f t="shared" si="645"/>
        <v>0</v>
      </c>
      <c r="B3065" s="2261" t="s">
        <v>1616</v>
      </c>
      <c r="C3065" s="2268"/>
      <c r="D3065" s="2152">
        <v>0</v>
      </c>
      <c r="E3065" s="2359" t="s">
        <v>3542</v>
      </c>
      <c r="F3065" s="2501" t="s">
        <v>2555</v>
      </c>
      <c r="G3065" s="2269">
        <f>G3054*6</f>
        <v>0</v>
      </c>
      <c r="H3065" s="2264">
        <v>11400</v>
      </c>
      <c r="I3065" s="2264"/>
      <c r="J3065" s="2264">
        <v>0</v>
      </c>
      <c r="K3065" s="2264">
        <v>0</v>
      </c>
      <c r="L3065" s="2264">
        <f t="shared" si="644"/>
        <v>0</v>
      </c>
      <c r="M3065" s="2264">
        <f t="shared" si="644"/>
        <v>0</v>
      </c>
      <c r="N3065" s="2264">
        <f t="shared" si="644"/>
        <v>0</v>
      </c>
      <c r="O3065" s="2264">
        <f t="shared" si="644"/>
        <v>0</v>
      </c>
      <c r="P3065" s="2265"/>
      <c r="Q3065" s="2266"/>
      <c r="R3065" s="2266"/>
      <c r="S3065" s="2266"/>
    </row>
    <row r="3066" spans="1:19" s="2105" customFormat="1" outlineLevel="1">
      <c r="A3066" s="2182">
        <f t="shared" si="645"/>
        <v>0</v>
      </c>
      <c r="B3066" s="2261" t="s">
        <v>1050</v>
      </c>
      <c r="C3066" s="2268"/>
      <c r="D3066" s="2152">
        <v>0</v>
      </c>
      <c r="E3066" s="2359" t="s">
        <v>3543</v>
      </c>
      <c r="F3066" s="2501" t="s">
        <v>2555</v>
      </c>
      <c r="G3066" s="2269">
        <f>G3054*5</f>
        <v>0</v>
      </c>
      <c r="H3066" s="2264">
        <v>21000</v>
      </c>
      <c r="I3066" s="2264"/>
      <c r="J3066" s="2264">
        <v>0</v>
      </c>
      <c r="K3066" s="2264">
        <v>0</v>
      </c>
      <c r="L3066" s="2264">
        <f t="shared" si="644"/>
        <v>0</v>
      </c>
      <c r="M3066" s="2264">
        <f t="shared" si="644"/>
        <v>0</v>
      </c>
      <c r="N3066" s="2264">
        <f t="shared" si="644"/>
        <v>0</v>
      </c>
      <c r="O3066" s="2264">
        <f t="shared" si="644"/>
        <v>0</v>
      </c>
      <c r="P3066" s="2265"/>
      <c r="Q3066" s="2266"/>
      <c r="R3066" s="2266"/>
      <c r="S3066" s="2266"/>
    </row>
    <row r="3067" spans="1:19" s="2105" customFormat="1" outlineLevel="1">
      <c r="A3067" s="2182">
        <f t="shared" si="645"/>
        <v>0</v>
      </c>
      <c r="B3067" s="2261" t="s">
        <v>726</v>
      </c>
      <c r="C3067" s="2268"/>
      <c r="D3067" s="2152">
        <v>0</v>
      </c>
      <c r="E3067" s="2359" t="s">
        <v>3572</v>
      </c>
      <c r="F3067" s="2501" t="s">
        <v>388</v>
      </c>
      <c r="G3067" s="2269">
        <f>G3054</f>
        <v>0</v>
      </c>
      <c r="H3067" s="2264">
        <v>54100</v>
      </c>
      <c r="I3067" s="2264"/>
      <c r="J3067" s="2264">
        <v>0</v>
      </c>
      <c r="K3067" s="2264">
        <v>0</v>
      </c>
      <c r="L3067" s="2264">
        <f t="shared" si="644"/>
        <v>0</v>
      </c>
      <c r="M3067" s="2264">
        <f t="shared" si="644"/>
        <v>0</v>
      </c>
      <c r="N3067" s="2264">
        <f t="shared" si="644"/>
        <v>0</v>
      </c>
      <c r="O3067" s="2264">
        <f t="shared" si="644"/>
        <v>0</v>
      </c>
      <c r="P3067" s="2265"/>
      <c r="Q3067" s="2266"/>
      <c r="R3067" s="2266"/>
      <c r="S3067" s="2266"/>
    </row>
    <row r="3068" spans="1:19" s="2105" customFormat="1" outlineLevel="1">
      <c r="A3068" s="2182">
        <f t="shared" si="645"/>
        <v>0</v>
      </c>
      <c r="B3068" s="2252" t="s">
        <v>672</v>
      </c>
      <c r="C3068" s="2268"/>
      <c r="D3068" s="2152">
        <v>0</v>
      </c>
      <c r="E3068" s="2359" t="s">
        <v>5801</v>
      </c>
      <c r="F3068" s="2501" t="s">
        <v>3566</v>
      </c>
      <c r="G3068" s="2269">
        <f>G3054</f>
        <v>0</v>
      </c>
      <c r="H3068" s="2264">
        <v>6500</v>
      </c>
      <c r="I3068" s="2264"/>
      <c r="J3068" s="2264">
        <v>0</v>
      </c>
      <c r="K3068" s="2264">
        <v>0</v>
      </c>
      <c r="L3068" s="2264">
        <f t="shared" si="644"/>
        <v>0</v>
      </c>
      <c r="M3068" s="2264">
        <f t="shared" si="644"/>
        <v>0</v>
      </c>
      <c r="N3068" s="2264">
        <f t="shared" si="644"/>
        <v>0</v>
      </c>
      <c r="O3068" s="2264">
        <f t="shared" si="644"/>
        <v>0</v>
      </c>
      <c r="P3068" s="2265"/>
      <c r="Q3068" s="2266"/>
      <c r="R3068" s="2266"/>
      <c r="S3068" s="2266"/>
    </row>
    <row r="3069" spans="1:19" s="2105" customFormat="1" outlineLevel="1">
      <c r="A3069" s="2182">
        <f t="shared" si="645"/>
        <v>0</v>
      </c>
      <c r="B3069" s="2261" t="s">
        <v>2120</v>
      </c>
      <c r="C3069" s="2268"/>
      <c r="D3069" s="2152">
        <v>0</v>
      </c>
      <c r="E3069" s="2359" t="s">
        <v>3573</v>
      </c>
      <c r="F3069" s="2501" t="s">
        <v>2555</v>
      </c>
      <c r="G3069" s="2269">
        <f>G3054</f>
        <v>0</v>
      </c>
      <c r="H3069" s="2264">
        <v>5000</v>
      </c>
      <c r="I3069" s="2264"/>
      <c r="J3069" s="2264">
        <v>0</v>
      </c>
      <c r="K3069" s="2264">
        <v>0</v>
      </c>
      <c r="L3069" s="2264">
        <f t="shared" si="644"/>
        <v>0</v>
      </c>
      <c r="M3069" s="2264">
        <f t="shared" si="644"/>
        <v>0</v>
      </c>
      <c r="N3069" s="2264">
        <f t="shared" si="644"/>
        <v>0</v>
      </c>
      <c r="O3069" s="2264">
        <f t="shared" si="644"/>
        <v>0</v>
      </c>
      <c r="P3069" s="2265"/>
      <c r="Q3069" s="2266"/>
      <c r="R3069" s="2266"/>
      <c r="S3069" s="2266"/>
    </row>
    <row r="3070" spans="1:19" s="2105" customFormat="1" outlineLevel="1">
      <c r="A3070" s="2182">
        <f t="shared" si="645"/>
        <v>0</v>
      </c>
      <c r="B3070" s="2252" t="s">
        <v>959</v>
      </c>
      <c r="C3070" s="2268"/>
      <c r="D3070" s="2152">
        <v>0</v>
      </c>
      <c r="E3070" s="2359" t="s">
        <v>3577</v>
      </c>
      <c r="F3070" s="2501" t="s">
        <v>2555</v>
      </c>
      <c r="G3070" s="2269">
        <f>G3054</f>
        <v>0</v>
      </c>
      <c r="H3070" s="2264">
        <v>5200</v>
      </c>
      <c r="I3070" s="2264"/>
      <c r="J3070" s="2264">
        <v>0</v>
      </c>
      <c r="K3070" s="2264">
        <v>0</v>
      </c>
      <c r="L3070" s="2264">
        <f t="shared" si="644"/>
        <v>0</v>
      </c>
      <c r="M3070" s="2264">
        <f t="shared" si="644"/>
        <v>0</v>
      </c>
      <c r="N3070" s="2264">
        <f t="shared" si="644"/>
        <v>0</v>
      </c>
      <c r="O3070" s="2264">
        <f t="shared" si="644"/>
        <v>0</v>
      </c>
      <c r="P3070" s="2265"/>
      <c r="Q3070" s="2266"/>
      <c r="R3070" s="2266"/>
      <c r="S3070" s="2266"/>
    </row>
    <row r="3071" spans="1:19" s="2105" customFormat="1" outlineLevel="1">
      <c r="A3071" s="2182">
        <f t="shared" si="645"/>
        <v>0</v>
      </c>
      <c r="B3071" s="2252" t="s">
        <v>319</v>
      </c>
      <c r="C3071" s="2268"/>
      <c r="D3071" s="2152">
        <v>0</v>
      </c>
      <c r="E3071" s="2359" t="s">
        <v>5269</v>
      </c>
      <c r="F3071" s="2501" t="s">
        <v>2439</v>
      </c>
      <c r="G3071" s="2269">
        <f>G3054*2</f>
        <v>0</v>
      </c>
      <c r="H3071" s="2264">
        <v>168000</v>
      </c>
      <c r="I3071" s="2264"/>
      <c r="J3071" s="2264">
        <v>0</v>
      </c>
      <c r="K3071" s="2264">
        <v>0</v>
      </c>
      <c r="L3071" s="2264">
        <f t="shared" si="644"/>
        <v>0</v>
      </c>
      <c r="M3071" s="2264">
        <f t="shared" si="644"/>
        <v>0</v>
      </c>
      <c r="N3071" s="2264">
        <f t="shared" si="644"/>
        <v>0</v>
      </c>
      <c r="O3071" s="2264">
        <f t="shared" si="644"/>
        <v>0</v>
      </c>
      <c r="P3071" s="2265"/>
      <c r="Q3071" s="2266"/>
      <c r="R3071" s="2266"/>
      <c r="S3071" s="2266"/>
    </row>
    <row r="3072" spans="1:19" s="2105" customFormat="1" outlineLevel="1">
      <c r="A3072" s="2182">
        <f t="shared" si="645"/>
        <v>0</v>
      </c>
      <c r="B3072" s="2252" t="s">
        <v>1915</v>
      </c>
      <c r="C3072" s="2268"/>
      <c r="D3072" s="2152" t="s">
        <v>5655</v>
      </c>
      <c r="E3072" s="2359" t="s">
        <v>3394</v>
      </c>
      <c r="F3072" s="2501" t="s">
        <v>2555</v>
      </c>
      <c r="G3072" s="2269">
        <f>G3054</f>
        <v>0</v>
      </c>
      <c r="H3072" s="2264">
        <v>845331</v>
      </c>
      <c r="I3072" s="2264"/>
      <c r="J3072" s="2264">
        <v>599038</v>
      </c>
      <c r="K3072" s="2264">
        <v>97369</v>
      </c>
      <c r="L3072" s="2264">
        <f t="shared" si="644"/>
        <v>0</v>
      </c>
      <c r="M3072" s="2264">
        <f t="shared" si="644"/>
        <v>0</v>
      </c>
      <c r="N3072" s="2264">
        <f t="shared" si="644"/>
        <v>0</v>
      </c>
      <c r="O3072" s="2264">
        <f t="shared" si="644"/>
        <v>0</v>
      </c>
      <c r="P3072" s="2265"/>
      <c r="Q3072" s="2266"/>
      <c r="R3072" s="2266"/>
      <c r="S3072" s="2266"/>
    </row>
    <row r="3073" spans="1:19" s="2105" customFormat="1" outlineLevel="1">
      <c r="A3073" s="2182">
        <f t="shared" si="645"/>
        <v>0</v>
      </c>
      <c r="B3073" s="2252" t="s">
        <v>6</v>
      </c>
      <c r="C3073" s="2268"/>
      <c r="D3073" s="2152">
        <v>0</v>
      </c>
      <c r="E3073" s="2359" t="s">
        <v>3567</v>
      </c>
      <c r="F3073" s="2501" t="s">
        <v>5806</v>
      </c>
      <c r="G3073" s="2269">
        <f>G3054*2</f>
        <v>0</v>
      </c>
      <c r="H3073" s="2264">
        <v>45000</v>
      </c>
      <c r="I3073" s="2264"/>
      <c r="J3073" s="2264">
        <v>0</v>
      </c>
      <c r="K3073" s="2264">
        <v>0</v>
      </c>
      <c r="L3073" s="2264">
        <f t="shared" si="644"/>
        <v>0</v>
      </c>
      <c r="M3073" s="2264">
        <f t="shared" si="644"/>
        <v>0</v>
      </c>
      <c r="N3073" s="2264">
        <f t="shared" si="644"/>
        <v>0</v>
      </c>
      <c r="O3073" s="2264">
        <f t="shared" si="644"/>
        <v>0</v>
      </c>
      <c r="P3073" s="2265"/>
      <c r="Q3073" s="2266"/>
      <c r="R3073" s="2266"/>
      <c r="S3073" s="2266"/>
    </row>
    <row r="3074" spans="1:19" s="2105" customFormat="1" outlineLevel="1">
      <c r="A3074" s="2182">
        <f t="shared" si="645"/>
        <v>0</v>
      </c>
      <c r="B3074" s="2252" t="s">
        <v>2139</v>
      </c>
      <c r="C3074" s="2268"/>
      <c r="D3074" s="2152">
        <v>0</v>
      </c>
      <c r="E3074" s="2359" t="s">
        <v>2785</v>
      </c>
      <c r="F3074" s="2501" t="s">
        <v>2532</v>
      </c>
      <c r="G3074" s="2269">
        <f>G3054*4</f>
        <v>0</v>
      </c>
      <c r="H3074" s="2264">
        <v>5000</v>
      </c>
      <c r="I3074" s="2264"/>
      <c r="J3074" s="2264">
        <v>0</v>
      </c>
      <c r="K3074" s="2264">
        <v>0</v>
      </c>
      <c r="L3074" s="2264">
        <f t="shared" si="644"/>
        <v>0</v>
      </c>
      <c r="M3074" s="2264">
        <f t="shared" si="644"/>
        <v>0</v>
      </c>
      <c r="N3074" s="2264">
        <f t="shared" si="644"/>
        <v>0</v>
      </c>
      <c r="O3074" s="2264">
        <f t="shared" si="644"/>
        <v>0</v>
      </c>
      <c r="P3074" s="2265"/>
      <c r="Q3074" s="2266"/>
      <c r="R3074" s="2266"/>
      <c r="S3074" s="2266"/>
    </row>
    <row r="3075" spans="1:19" s="2105" customFormat="1" outlineLevel="1">
      <c r="A3075" s="2182">
        <f t="shared" si="645"/>
        <v>0</v>
      </c>
      <c r="B3075" s="2252" t="s">
        <v>1035</v>
      </c>
      <c r="C3075" s="2268"/>
      <c r="D3075" s="2152">
        <v>0</v>
      </c>
      <c r="E3075" s="2359" t="s">
        <v>2956</v>
      </c>
      <c r="F3075" s="2501" t="s">
        <v>2248</v>
      </c>
      <c r="G3075" s="2270">
        <f>3.77*G3054*2*0.3</f>
        <v>0</v>
      </c>
      <c r="H3075" s="2264">
        <v>31625</v>
      </c>
      <c r="I3075" s="2264"/>
      <c r="J3075" s="2264">
        <v>0</v>
      </c>
      <c r="K3075" s="2264">
        <v>0</v>
      </c>
      <c r="L3075" s="2264">
        <f t="shared" si="644"/>
        <v>0</v>
      </c>
      <c r="M3075" s="2264">
        <f t="shared" si="644"/>
        <v>0</v>
      </c>
      <c r="N3075" s="2264">
        <f t="shared" si="644"/>
        <v>0</v>
      </c>
      <c r="O3075" s="2264">
        <f t="shared" si="644"/>
        <v>0</v>
      </c>
      <c r="P3075" s="2265"/>
      <c r="Q3075" s="2266"/>
      <c r="R3075" s="2266"/>
      <c r="S3075" s="2266"/>
    </row>
    <row r="3076" spans="1:19" s="2105" customFormat="1" outlineLevel="1">
      <c r="A3076" s="2182">
        <f t="shared" si="645"/>
        <v>0</v>
      </c>
      <c r="B3076" s="2252" t="s">
        <v>6255</v>
      </c>
      <c r="C3076" s="2268"/>
      <c r="D3076" s="2152">
        <v>0</v>
      </c>
      <c r="E3076" s="2359" t="s">
        <v>2624</v>
      </c>
      <c r="F3076" s="2501" t="s">
        <v>2439</v>
      </c>
      <c r="G3076" s="2269">
        <f>4*G3054</f>
        <v>0</v>
      </c>
      <c r="H3076" s="2264">
        <v>1500</v>
      </c>
      <c r="I3076" s="2264"/>
      <c r="J3076" s="2264">
        <v>0</v>
      </c>
      <c r="K3076" s="2264">
        <v>0</v>
      </c>
      <c r="L3076" s="2264">
        <f t="shared" si="644"/>
        <v>0</v>
      </c>
      <c r="M3076" s="2264">
        <f t="shared" si="644"/>
        <v>0</v>
      </c>
      <c r="N3076" s="2264">
        <f t="shared" si="644"/>
        <v>0</v>
      </c>
      <c r="O3076" s="2264">
        <f t="shared" si="644"/>
        <v>0</v>
      </c>
      <c r="P3076" s="2265"/>
      <c r="Q3076" s="2266"/>
      <c r="R3076" s="2266"/>
      <c r="S3076" s="2266"/>
    </row>
    <row r="3077" spans="1:19" s="2105" customFormat="1" outlineLevel="1">
      <c r="A3077" s="2182">
        <f>A2927</f>
        <v>0</v>
      </c>
      <c r="B3077" s="2357"/>
      <c r="C3077" s="2572"/>
      <c r="D3077" s="2424"/>
      <c r="E3077" s="2399"/>
      <c r="F3077" s="2637"/>
      <c r="G3077" s="2638"/>
      <c r="H3077" s="2637"/>
      <c r="I3077" s="2637"/>
      <c r="J3077" s="2647" t="s">
        <v>6131</v>
      </c>
      <c r="K3077" s="2647"/>
      <c r="L3077" s="2425">
        <f>SUM(L2946:L3076)</f>
        <v>0</v>
      </c>
      <c r="M3077" s="2425">
        <f>SUM(M2946:M3076)</f>
        <v>0</v>
      </c>
      <c r="N3077" s="2425">
        <f>SUM(N2946:N3076)</f>
        <v>0</v>
      </c>
      <c r="O3077" s="2425">
        <f>SUM(O2946:O3076)</f>
        <v>0</v>
      </c>
      <c r="P3077" s="2568"/>
      <c r="Q3077" s="2266"/>
      <c r="R3077" s="2266"/>
      <c r="S3077" s="2266"/>
    </row>
    <row r="3078" spans="1:19" s="2105" customFormat="1" outlineLevel="1">
      <c r="A3078" s="2182"/>
      <c r="B3078" s="2357"/>
      <c r="C3078" s="2527"/>
      <c r="D3078" s="2527"/>
      <c r="E3078" s="2528"/>
      <c r="F3078" s="2645"/>
      <c r="G3078" s="2644"/>
      <c r="H3078" s="2645"/>
      <c r="I3078" s="2645"/>
      <c r="J3078" s="2528"/>
      <c r="K3078" s="2528"/>
      <c r="L3078" s="2529"/>
      <c r="M3078" s="2529"/>
      <c r="N3078" s="2529"/>
      <c r="O3078" s="2529"/>
      <c r="P3078" s="2386"/>
      <c r="Q3078" s="2266"/>
      <c r="R3078" s="2266"/>
      <c r="S3078" s="2266"/>
    </row>
    <row r="3079" spans="1:19" s="2105" customFormat="1" ht="13.95" customHeight="1">
      <c r="A3079" s="2386">
        <f>IF(G3084&gt;0,1,)</f>
        <v>0</v>
      </c>
      <c r="B3079" s="2252"/>
      <c r="C3079" s="2266"/>
      <c r="D3079" s="2266"/>
      <c r="E3079" s="2436"/>
      <c r="F3079" s="2266"/>
      <c r="G3079" s="2437"/>
      <c r="H3079" s="2266"/>
      <c r="I3079" s="2266"/>
      <c r="J3079" s="2266"/>
      <c r="K3079" s="2266"/>
      <c r="L3079" s="2266"/>
      <c r="M3079" s="2266"/>
      <c r="N3079" s="2266"/>
      <c r="O3079" s="2266"/>
      <c r="P3079" s="2266"/>
      <c r="Q3079" s="2266"/>
      <c r="R3079" s="2266"/>
      <c r="S3079" s="2266"/>
    </row>
    <row r="3080" spans="1:19" s="2105" customFormat="1" outlineLevel="1">
      <c r="A3080" s="2182">
        <f>A3079</f>
        <v>0</v>
      </c>
      <c r="B3080" s="2387"/>
      <c r="C3080" s="2624" t="str">
        <f>"BẢNG TỔNG HỢP VẬT LIỆU, NHÂN CÔNG, MÁY THI CÔNG: "&amp;K19&amp;" TRẠM 3P_1500KVA"</f>
        <v>BẢNG TỔNG HỢP VẬT LIỆU, NHÂN CÔNG, MÁY THI CÔNG: 0 TRẠM 3P_1500KVA</v>
      </c>
      <c r="D3080" s="2639"/>
      <c r="E3080" s="2639"/>
      <c r="F3080" s="2639"/>
      <c r="G3080" s="2639"/>
      <c r="H3080" s="2640"/>
      <c r="I3080" s="2528"/>
      <c r="J3080" s="2640"/>
      <c r="K3080" s="2640"/>
      <c r="L3080" s="2640"/>
      <c r="M3080" s="2528"/>
      <c r="N3080" s="2640"/>
      <c r="O3080" s="2640"/>
      <c r="P3080" s="2642"/>
      <c r="Q3080" s="2266"/>
      <c r="R3080" s="2266"/>
      <c r="S3080" s="2266"/>
    </row>
    <row r="3081" spans="1:19" s="2105" customFormat="1" outlineLevel="1">
      <c r="A3081" s="2182">
        <f>A3079</f>
        <v>0</v>
      </c>
      <c r="B3081" s="2261" t="s">
        <v>6112</v>
      </c>
      <c r="C3081" s="2648" t="s">
        <v>1708</v>
      </c>
      <c r="D3081" s="2649" t="s">
        <v>2597</v>
      </c>
      <c r="E3081" s="2651" t="s">
        <v>2598</v>
      </c>
      <c r="F3081" s="2648" t="s">
        <v>2593</v>
      </c>
      <c r="G3081" s="2109" t="s">
        <v>6113</v>
      </c>
      <c r="H3081" s="2112" t="s">
        <v>6114</v>
      </c>
      <c r="I3081" s="2619"/>
      <c r="J3081" s="2619"/>
      <c r="K3081" s="2620"/>
      <c r="L3081" s="2112" t="s">
        <v>6115</v>
      </c>
      <c r="M3081" s="2619"/>
      <c r="N3081" s="2619"/>
      <c r="O3081" s="2620"/>
      <c r="P3081" s="2648" t="s">
        <v>2599</v>
      </c>
      <c r="Q3081" s="2266"/>
      <c r="R3081" s="2266"/>
      <c r="S3081" s="2266"/>
    </row>
    <row r="3082" spans="1:19" s="2105" customFormat="1" outlineLevel="1">
      <c r="A3082" s="2182">
        <f>A3081</f>
        <v>0</v>
      </c>
      <c r="B3082" s="2261"/>
      <c r="C3082" s="2648"/>
      <c r="D3082" s="2650"/>
      <c r="E3082" s="2652"/>
      <c r="F3082" s="2648"/>
      <c r="G3082" s="2111" t="s">
        <v>2286</v>
      </c>
      <c r="H3082" s="2112" t="s">
        <v>6116</v>
      </c>
      <c r="I3082" s="2112" t="s">
        <v>6117</v>
      </c>
      <c r="J3082" s="2112" t="s">
        <v>6118</v>
      </c>
      <c r="K3082" s="2112" t="s">
        <v>6119</v>
      </c>
      <c r="L3082" s="2112" t="s">
        <v>6116</v>
      </c>
      <c r="M3082" s="2112" t="s">
        <v>6117</v>
      </c>
      <c r="N3082" s="2112" t="s">
        <v>6118</v>
      </c>
      <c r="O3082" s="2112" t="s">
        <v>6119</v>
      </c>
      <c r="P3082" s="2648"/>
      <c r="Q3082" s="2266"/>
      <c r="R3082" s="2266"/>
      <c r="S3082" s="2266"/>
    </row>
    <row r="3083" spans="1:19" s="2105" customFormat="1" outlineLevel="1">
      <c r="A3083" s="2182">
        <f>A3082</f>
        <v>0</v>
      </c>
      <c r="B3083" s="2261"/>
      <c r="C3083" s="2113"/>
      <c r="D3083" s="2114"/>
      <c r="E3083" s="2115" t="s">
        <v>3672</v>
      </c>
      <c r="F3083" s="2116"/>
      <c r="G3083" s="2116"/>
      <c r="H3083" s="2116"/>
      <c r="I3083" s="2116"/>
      <c r="J3083" s="2116"/>
      <c r="K3083" s="2116"/>
      <c r="L3083" s="2116"/>
      <c r="M3083" s="2116"/>
      <c r="N3083" s="2116"/>
      <c r="O3083" s="2114"/>
      <c r="P3083" s="2117"/>
      <c r="Q3083" s="2266"/>
      <c r="R3083" s="2266"/>
      <c r="S3083" s="2266"/>
    </row>
    <row r="3084" spans="1:19" s="2105" customFormat="1" outlineLevel="1">
      <c r="A3084" s="2182" t="str">
        <f t="shared" ref="A3084:A3094" si="646">IF(G3084&lt;&gt;0,1,"")</f>
        <v/>
      </c>
      <c r="B3084" s="2252" t="str">
        <f>IF($F$8=15,"tr1500","tr15001")</f>
        <v>tr15001</v>
      </c>
      <c r="C3084" s="2268">
        <f>IF(G3084&gt;0,1,0)</f>
        <v>0</v>
      </c>
      <c r="D3084" s="2152" t="s">
        <v>5594</v>
      </c>
      <c r="E3084" s="2194" t="s">
        <v>3337</v>
      </c>
      <c r="F3084" s="2152" t="s">
        <v>3300</v>
      </c>
      <c r="G3084" s="2563">
        <f>$K$19</f>
        <v>0</v>
      </c>
      <c r="H3084" s="2359">
        <v>420236000</v>
      </c>
      <c r="I3084" s="2359"/>
      <c r="J3084" s="2359">
        <v>1928901</v>
      </c>
      <c r="K3084" s="2359">
        <v>426761</v>
      </c>
      <c r="L3084" s="2360">
        <f t="shared" ref="L3084:L3094" si="647">H3084*G3084</f>
        <v>0</v>
      </c>
      <c r="M3084" s="2360">
        <f t="shared" ref="M3084:M3094" si="648">I3084*G3084</f>
        <v>0</v>
      </c>
      <c r="N3084" s="2360">
        <f t="shared" ref="N3084:N3094" si="649">J3084*G3084</f>
        <v>0</v>
      </c>
      <c r="O3084" s="2361">
        <f t="shared" ref="O3084:O3094" si="650">K3084*G3084</f>
        <v>0</v>
      </c>
      <c r="P3084" s="2564"/>
      <c r="Q3084" s="2266"/>
      <c r="R3084" s="2266"/>
      <c r="S3084" s="2266"/>
    </row>
    <row r="3085" spans="1:19" s="2105" customFormat="1" outlineLevel="1">
      <c r="A3085" s="2182" t="str">
        <f t="shared" si="646"/>
        <v/>
      </c>
      <c r="B3085" s="2357" t="s">
        <v>393</v>
      </c>
      <c r="C3085" s="2268">
        <f>IF(G3085&gt;0,C3084+1,C3084)</f>
        <v>0</v>
      </c>
      <c r="D3085" s="2152" t="s">
        <v>5600</v>
      </c>
      <c r="E3085" s="2194" t="s">
        <v>1593</v>
      </c>
      <c r="F3085" s="2152" t="s">
        <v>2439</v>
      </c>
      <c r="G3085" s="2269">
        <f>G3084*0</f>
        <v>0</v>
      </c>
      <c r="H3085" s="2359">
        <v>16664000</v>
      </c>
      <c r="I3085" s="2359">
        <v>0</v>
      </c>
      <c r="J3085" s="2359">
        <v>0</v>
      </c>
      <c r="K3085" s="2359">
        <v>262622</v>
      </c>
      <c r="L3085" s="2360">
        <f t="shared" si="647"/>
        <v>0</v>
      </c>
      <c r="M3085" s="2360">
        <f t="shared" si="648"/>
        <v>0</v>
      </c>
      <c r="N3085" s="2360">
        <f t="shared" si="649"/>
        <v>0</v>
      </c>
      <c r="O3085" s="2361">
        <f t="shared" si="650"/>
        <v>0</v>
      </c>
      <c r="P3085" s="2265"/>
      <c r="Q3085" s="2266"/>
      <c r="R3085" s="2266"/>
      <c r="S3085" s="2266"/>
    </row>
    <row r="3086" spans="1:19" s="2105" customFormat="1" outlineLevel="1">
      <c r="A3086" s="2182" t="str">
        <f t="shared" si="646"/>
        <v/>
      </c>
      <c r="B3086" s="2261" t="s">
        <v>1</v>
      </c>
      <c r="C3086" s="2268">
        <f t="shared" ref="C3086:C3091" si="651">IF(G3086&gt;0,C3085+1,C3085)</f>
        <v>0</v>
      </c>
      <c r="D3086" s="2152" t="s">
        <v>1388</v>
      </c>
      <c r="E3086" s="2194" t="s">
        <v>3384</v>
      </c>
      <c r="F3086" s="2152" t="s">
        <v>3370</v>
      </c>
      <c r="G3086" s="2269">
        <f>G3084*0</f>
        <v>0</v>
      </c>
      <c r="H3086" s="2359">
        <v>0</v>
      </c>
      <c r="I3086" s="2359">
        <v>0</v>
      </c>
      <c r="J3086" s="2359">
        <v>286129</v>
      </c>
      <c r="K3086" s="2359">
        <v>59254</v>
      </c>
      <c r="L3086" s="2360">
        <f t="shared" si="647"/>
        <v>0</v>
      </c>
      <c r="M3086" s="2360">
        <f t="shared" si="648"/>
        <v>0</v>
      </c>
      <c r="N3086" s="2360">
        <f t="shared" si="649"/>
        <v>0</v>
      </c>
      <c r="O3086" s="2361">
        <f t="shared" si="650"/>
        <v>0</v>
      </c>
      <c r="P3086" s="2389" t="s">
        <v>6285</v>
      </c>
      <c r="Q3086" s="2266"/>
      <c r="R3086" s="2266"/>
      <c r="S3086" s="2266"/>
    </row>
    <row r="3087" spans="1:19" s="2105" customFormat="1" outlineLevel="1">
      <c r="A3087" s="2182" t="str">
        <f t="shared" si="646"/>
        <v/>
      </c>
      <c r="B3087" s="2118" t="str">
        <f>"FCO100-"&amp;$F$8</f>
        <v>FCO100-22</v>
      </c>
      <c r="C3087" s="2268">
        <f t="shared" si="651"/>
        <v>0</v>
      </c>
      <c r="D3087" s="2152" t="s">
        <v>5598</v>
      </c>
      <c r="E3087" s="2194" t="s">
        <v>95</v>
      </c>
      <c r="F3087" s="2152" t="s">
        <v>2555</v>
      </c>
      <c r="G3087" s="2269">
        <f>+G3084*3</f>
        <v>0</v>
      </c>
      <c r="H3087" s="2264">
        <v>2244280</v>
      </c>
      <c r="I3087" s="2264">
        <v>0</v>
      </c>
      <c r="J3087" s="2264">
        <v>222639.99999999997</v>
      </c>
      <c r="K3087" s="2264">
        <v>0</v>
      </c>
      <c r="L3087" s="2264">
        <f t="shared" si="647"/>
        <v>0</v>
      </c>
      <c r="M3087" s="2264">
        <f t="shared" si="648"/>
        <v>0</v>
      </c>
      <c r="N3087" s="2264">
        <f t="shared" si="649"/>
        <v>0</v>
      </c>
      <c r="O3087" s="2264">
        <f t="shared" si="650"/>
        <v>0</v>
      </c>
      <c r="P3087" s="2265"/>
      <c r="Q3087" s="2266"/>
      <c r="R3087" s="2266"/>
      <c r="S3087" s="2266"/>
    </row>
    <row r="3088" spans="1:19" s="2105" customFormat="1" outlineLevel="1">
      <c r="A3088" s="2182" t="str">
        <f t="shared" si="646"/>
        <v/>
      </c>
      <c r="B3088" s="2252" t="str">
        <f>IF($F$8=15,"CHI100K","CHI65K")</f>
        <v>CHI65K</v>
      </c>
      <c r="C3088" s="2268">
        <f t="shared" si="651"/>
        <v>0</v>
      </c>
      <c r="D3088" s="2152">
        <v>0</v>
      </c>
      <c r="E3088" s="2194" t="s">
        <v>3433</v>
      </c>
      <c r="F3088" s="2152" t="s">
        <v>2600</v>
      </c>
      <c r="G3088" s="2269">
        <f>G3087</f>
        <v>0</v>
      </c>
      <c r="H3088" s="2264">
        <v>120000</v>
      </c>
      <c r="I3088" s="2264">
        <v>0</v>
      </c>
      <c r="J3088" s="2264">
        <v>0</v>
      </c>
      <c r="K3088" s="2264">
        <v>0</v>
      </c>
      <c r="L3088" s="2264">
        <f t="shared" si="647"/>
        <v>0</v>
      </c>
      <c r="M3088" s="2264">
        <f t="shared" si="648"/>
        <v>0</v>
      </c>
      <c r="N3088" s="2264">
        <f t="shared" si="649"/>
        <v>0</v>
      </c>
      <c r="O3088" s="2264">
        <f t="shared" si="650"/>
        <v>0</v>
      </c>
      <c r="P3088" s="2265"/>
      <c r="Q3088" s="2266"/>
      <c r="R3088" s="2266"/>
      <c r="S3088" s="2266"/>
    </row>
    <row r="3089" spans="1:19" s="2105" customFormat="1" outlineLevel="1">
      <c r="A3089" s="2182" t="str">
        <f t="shared" si="646"/>
        <v/>
      </c>
      <c r="B3089" s="2261" t="str">
        <f>"LA"&amp;$F$6</f>
        <v>LA18</v>
      </c>
      <c r="C3089" s="2268">
        <f t="shared" si="651"/>
        <v>0</v>
      </c>
      <c r="D3089" s="2152" t="s">
        <v>5602</v>
      </c>
      <c r="E3089" s="2194" t="s">
        <v>1193</v>
      </c>
      <c r="F3089" s="2152" t="s">
        <v>2555</v>
      </c>
      <c r="G3089" s="2269">
        <f>G3084*3</f>
        <v>0</v>
      </c>
      <c r="H3089" s="2264">
        <v>1106000</v>
      </c>
      <c r="I3089" s="2264">
        <v>0</v>
      </c>
      <c r="J3089" s="2264">
        <v>83490</v>
      </c>
      <c r="K3089" s="2264">
        <v>0</v>
      </c>
      <c r="L3089" s="2264">
        <f t="shared" si="647"/>
        <v>0</v>
      </c>
      <c r="M3089" s="2264">
        <f t="shared" si="648"/>
        <v>0</v>
      </c>
      <c r="N3089" s="2264">
        <f t="shared" si="649"/>
        <v>0</v>
      </c>
      <c r="O3089" s="2264">
        <f t="shared" si="650"/>
        <v>0</v>
      </c>
      <c r="P3089" s="2265"/>
      <c r="Q3089" s="2266"/>
      <c r="R3089" s="2266"/>
      <c r="S3089" s="2266"/>
    </row>
    <row r="3090" spans="1:19" s="2105" customFormat="1" outlineLevel="1">
      <c r="A3090" s="2182" t="str">
        <f t="shared" si="646"/>
        <v/>
      </c>
      <c r="B3090" s="2357" t="s">
        <v>1135</v>
      </c>
      <c r="C3090" s="2268">
        <f t="shared" si="651"/>
        <v>0</v>
      </c>
      <c r="D3090" s="2152">
        <v>0</v>
      </c>
      <c r="E3090" s="2194" t="s">
        <v>3415</v>
      </c>
      <c r="F3090" s="2152" t="s">
        <v>2555</v>
      </c>
      <c r="G3090" s="2269">
        <f>G3084</f>
        <v>0</v>
      </c>
      <c r="H3090" s="2565">
        <v>113827000</v>
      </c>
      <c r="I3090" s="2264">
        <v>0</v>
      </c>
      <c r="J3090" s="2264">
        <v>0</v>
      </c>
      <c r="K3090" s="2264">
        <v>0</v>
      </c>
      <c r="L3090" s="2264">
        <f t="shared" si="647"/>
        <v>0</v>
      </c>
      <c r="M3090" s="2264">
        <f t="shared" si="648"/>
        <v>0</v>
      </c>
      <c r="N3090" s="2264">
        <f t="shared" si="649"/>
        <v>0</v>
      </c>
      <c r="O3090" s="2264">
        <f t="shared" si="650"/>
        <v>0</v>
      </c>
      <c r="P3090" s="2265"/>
      <c r="Q3090" s="2266"/>
      <c r="R3090" s="2266"/>
      <c r="S3090" s="2266"/>
    </row>
    <row r="3091" spans="1:19" s="2105" customFormat="1" outlineLevel="1">
      <c r="A3091" s="2182" t="str">
        <f t="shared" si="646"/>
        <v/>
      </c>
      <c r="B3091" s="2357" t="s">
        <v>6294</v>
      </c>
      <c r="C3091" s="2268">
        <f t="shared" si="651"/>
        <v>0</v>
      </c>
      <c r="D3091" s="2152" t="s">
        <v>1025</v>
      </c>
      <c r="E3091" s="2194" t="s">
        <v>3372</v>
      </c>
      <c r="F3091" s="2152" t="s">
        <v>3370</v>
      </c>
      <c r="G3091" s="2269">
        <f>G3090</f>
        <v>0</v>
      </c>
      <c r="H3091" s="2565">
        <v>138000415</v>
      </c>
      <c r="I3091" s="2264">
        <v>0</v>
      </c>
      <c r="J3091" s="2264">
        <v>98101</v>
      </c>
      <c r="K3091" s="2264">
        <v>59254</v>
      </c>
      <c r="L3091" s="2264">
        <f t="shared" si="647"/>
        <v>0</v>
      </c>
      <c r="M3091" s="2264">
        <f t="shared" si="648"/>
        <v>0</v>
      </c>
      <c r="N3091" s="2264">
        <f t="shared" si="649"/>
        <v>0</v>
      </c>
      <c r="O3091" s="2264">
        <f t="shared" si="650"/>
        <v>0</v>
      </c>
      <c r="P3091" s="2265"/>
      <c r="Q3091" s="2266"/>
      <c r="R3091" s="2266"/>
      <c r="S3091" s="2266"/>
    </row>
    <row r="3092" spans="1:19" s="2105" customFormat="1" outlineLevel="1">
      <c r="A3092" s="2182" t="str">
        <f t="shared" si="646"/>
        <v/>
      </c>
      <c r="B3092" s="2252" t="str">
        <f>IF($F$8=15,"TI50","TI40")</f>
        <v>TI40</v>
      </c>
      <c r="C3092" s="2268">
        <f>IF(G3092&gt;0,C3091+1,C3091)</f>
        <v>0</v>
      </c>
      <c r="D3092" s="2152">
        <v>0</v>
      </c>
      <c r="E3092" s="2194" t="s">
        <v>3349</v>
      </c>
      <c r="F3092" s="2152" t="s">
        <v>2555</v>
      </c>
      <c r="G3092" s="2390">
        <f>G3084*3</f>
        <v>0</v>
      </c>
      <c r="H3092" s="2264">
        <v>0</v>
      </c>
      <c r="I3092" s="2264">
        <v>0</v>
      </c>
      <c r="J3092" s="2264">
        <v>0</v>
      </c>
      <c r="K3092" s="2264">
        <v>0</v>
      </c>
      <c r="L3092" s="2264">
        <f t="shared" si="647"/>
        <v>0</v>
      </c>
      <c r="M3092" s="2264">
        <f t="shared" si="648"/>
        <v>0</v>
      </c>
      <c r="N3092" s="2264">
        <f t="shared" si="649"/>
        <v>0</v>
      </c>
      <c r="O3092" s="2264">
        <f t="shared" si="650"/>
        <v>0</v>
      </c>
      <c r="P3092" s="2391" t="s">
        <v>2601</v>
      </c>
      <c r="Q3092" s="2266"/>
      <c r="R3092" s="2266"/>
      <c r="S3092" s="2266"/>
    </row>
    <row r="3093" spans="1:19" s="2105" customFormat="1" outlineLevel="1">
      <c r="A3093" s="2182" t="str">
        <f t="shared" si="646"/>
        <v/>
      </c>
      <c r="B3093" s="2252" t="str">
        <f>IF($F$8=15,"TU15","TU22")</f>
        <v>TU22</v>
      </c>
      <c r="C3093" s="2268">
        <f>IF(G3093&gt;0,C3092+1,C3092)</f>
        <v>0</v>
      </c>
      <c r="D3093" s="2152">
        <v>0</v>
      </c>
      <c r="E3093" s="2194" t="s">
        <v>5611</v>
      </c>
      <c r="F3093" s="2152" t="s">
        <v>2555</v>
      </c>
      <c r="G3093" s="2566">
        <f>G3092</f>
        <v>0</v>
      </c>
      <c r="H3093" s="2264">
        <v>0</v>
      </c>
      <c r="I3093" s="2264"/>
      <c r="J3093" s="2264">
        <v>92703</v>
      </c>
      <c r="K3093" s="2264">
        <v>84261</v>
      </c>
      <c r="L3093" s="2264">
        <f t="shared" si="647"/>
        <v>0</v>
      </c>
      <c r="M3093" s="2264">
        <f t="shared" si="648"/>
        <v>0</v>
      </c>
      <c r="N3093" s="2264">
        <f t="shared" si="649"/>
        <v>0</v>
      </c>
      <c r="O3093" s="2264">
        <f t="shared" si="650"/>
        <v>0</v>
      </c>
      <c r="P3093" s="2391" t="s">
        <v>2601</v>
      </c>
      <c r="Q3093" s="2266"/>
      <c r="R3093" s="2266"/>
      <c r="S3093" s="2266"/>
    </row>
    <row r="3094" spans="1:19" s="2105" customFormat="1" outlineLevel="1">
      <c r="A3094" s="2182" t="str">
        <f t="shared" si="646"/>
        <v/>
      </c>
      <c r="B3094" s="2567" t="s">
        <v>1837</v>
      </c>
      <c r="C3094" s="2268">
        <f>IF(G3094&gt;0,C3093+1,C3093)</f>
        <v>0</v>
      </c>
      <c r="D3094" s="2152">
        <v>0</v>
      </c>
      <c r="E3094" s="2194" t="s">
        <v>5709</v>
      </c>
      <c r="F3094" s="2152" t="s">
        <v>2555</v>
      </c>
      <c r="G3094" s="2390">
        <f>G3084</f>
        <v>0</v>
      </c>
      <c r="H3094" s="2359">
        <v>0</v>
      </c>
      <c r="I3094" s="2359">
        <v>0</v>
      </c>
      <c r="J3094" s="2359">
        <v>0</v>
      </c>
      <c r="K3094" s="2359">
        <v>0</v>
      </c>
      <c r="L3094" s="2264">
        <f t="shared" si="647"/>
        <v>0</v>
      </c>
      <c r="M3094" s="2360">
        <f t="shared" si="648"/>
        <v>0</v>
      </c>
      <c r="N3094" s="2360">
        <f t="shared" si="649"/>
        <v>0</v>
      </c>
      <c r="O3094" s="2361">
        <f t="shared" si="650"/>
        <v>0</v>
      </c>
      <c r="P3094" s="2392" t="s">
        <v>2601</v>
      </c>
      <c r="Q3094" s="2266"/>
      <c r="R3094" s="2266"/>
      <c r="S3094" s="2266"/>
    </row>
    <row r="3095" spans="1:19" s="2105" customFormat="1" outlineLevel="1">
      <c r="A3095" s="2182">
        <f>A3079</f>
        <v>0</v>
      </c>
      <c r="B3095" s="2261"/>
      <c r="C3095" s="2393"/>
      <c r="D3095" s="2394"/>
      <c r="E3095" s="2395"/>
      <c r="F3095" s="2393"/>
      <c r="G3095" s="2636"/>
      <c r="H3095" s="2393"/>
      <c r="I3095" s="2393"/>
      <c r="J3095" s="2117" t="s">
        <v>6121</v>
      </c>
      <c r="K3095" s="2393"/>
      <c r="L3095" s="2395">
        <f>SUM(L3084:L3094)</f>
        <v>0</v>
      </c>
      <c r="M3095" s="2395">
        <f>SUM(M3084:M3094)</f>
        <v>0</v>
      </c>
      <c r="N3095" s="2395">
        <f>SUM(N3084:N3094)</f>
        <v>0</v>
      </c>
      <c r="O3095" s="2395">
        <f>SUM(O3084:O3094)</f>
        <v>0</v>
      </c>
      <c r="P3095" s="2568"/>
      <c r="Q3095" s="2266"/>
      <c r="R3095" s="2266"/>
      <c r="S3095" s="2266"/>
    </row>
    <row r="3096" spans="1:19" s="2105" customFormat="1" outlineLevel="1">
      <c r="A3096" s="2182">
        <f>A3079</f>
        <v>0</v>
      </c>
      <c r="B3096" s="2261"/>
      <c r="C3096" s="2397"/>
      <c r="D3096" s="2398"/>
      <c r="E3096" s="2399" t="s">
        <v>3673</v>
      </c>
      <c r="F3096" s="2399"/>
      <c r="G3096" s="2400"/>
      <c r="H3096" s="2399"/>
      <c r="I3096" s="2399"/>
      <c r="J3096" s="2399"/>
      <c r="K3096" s="2399"/>
      <c r="L3096" s="2399"/>
      <c r="M3096" s="2399"/>
      <c r="N3096" s="2399"/>
      <c r="O3096" s="2398"/>
      <c r="P3096" s="2568"/>
      <c r="Q3096" s="2266"/>
      <c r="R3096" s="2266"/>
      <c r="S3096" s="2266"/>
    </row>
    <row r="3097" spans="1:19" s="2105" customFormat="1" outlineLevel="1">
      <c r="A3097" s="2182" t="str">
        <f t="shared" ref="A3097:A3110" si="652">IF(G3097&lt;&gt;0,1,"")</f>
        <v/>
      </c>
      <c r="B3097" s="2401"/>
      <c r="C3097" s="2402">
        <f>IF(G3097&gt;0,1,0)</f>
        <v>0</v>
      </c>
      <c r="D3097" s="2152"/>
      <c r="E3097" s="2403" t="s">
        <v>6217</v>
      </c>
      <c r="F3097" s="2404" t="s">
        <v>2277</v>
      </c>
      <c r="G3097" s="2409">
        <f>G3084*0</f>
        <v>0</v>
      </c>
      <c r="H3097" s="2404"/>
      <c r="I3097" s="2404"/>
      <c r="J3097" s="2404"/>
      <c r="K3097" s="2404"/>
      <c r="L3097" s="2405"/>
      <c r="M3097" s="2405"/>
      <c r="N3097" s="2405"/>
      <c r="O3097" s="2406"/>
      <c r="P3097" s="2265"/>
      <c r="Q3097" s="2266"/>
      <c r="R3097" s="2266"/>
      <c r="S3097" s="2266"/>
    </row>
    <row r="3098" spans="1:19" s="2105" customFormat="1" outlineLevel="1">
      <c r="A3098" s="2182" t="str">
        <f t="shared" si="652"/>
        <v/>
      </c>
      <c r="B3098" s="2357" t="s">
        <v>2233</v>
      </c>
      <c r="C3098" s="2407"/>
      <c r="D3098" s="2152"/>
      <c r="E3098" s="2408" t="s">
        <v>2991</v>
      </c>
      <c r="F3098" s="2152" t="s">
        <v>2831</v>
      </c>
      <c r="G3098" s="2152">
        <f>G3097</f>
        <v>0</v>
      </c>
      <c r="H3098" s="2359">
        <v>4200000</v>
      </c>
      <c r="I3098" s="2258"/>
      <c r="J3098" s="2359"/>
      <c r="K3098" s="2258"/>
      <c r="L3098" s="2360">
        <f>H3098*G3098</f>
        <v>0</v>
      </c>
      <c r="M3098" s="2360">
        <f>I3098*G3098</f>
        <v>0</v>
      </c>
      <c r="N3098" s="2360">
        <f>J3098*G3098</f>
        <v>0</v>
      </c>
      <c r="O3098" s="2360">
        <f>K3098*G3098</f>
        <v>0</v>
      </c>
      <c r="P3098" s="2265"/>
      <c r="Q3098" s="2266"/>
      <c r="R3098" s="2266"/>
      <c r="S3098" s="2266"/>
    </row>
    <row r="3099" spans="1:19" s="2105" customFormat="1" outlineLevel="1">
      <c r="A3099" s="2182" t="str">
        <f t="shared" si="652"/>
        <v/>
      </c>
      <c r="B3099" s="2357" t="s">
        <v>1814</v>
      </c>
      <c r="C3099" s="2407"/>
      <c r="D3099" s="2152"/>
      <c r="E3099" s="2408" t="s">
        <v>2830</v>
      </c>
      <c r="F3099" s="2152" t="s">
        <v>2831</v>
      </c>
      <c r="G3099" s="2152">
        <f>G3098</f>
        <v>0</v>
      </c>
      <c r="H3099" s="2359">
        <v>17400</v>
      </c>
      <c r="I3099" s="2359"/>
      <c r="J3099" s="2258"/>
      <c r="K3099" s="2258"/>
      <c r="L3099" s="2360">
        <f>H3099*G3099</f>
        <v>0</v>
      </c>
      <c r="M3099" s="2360">
        <f>I3099*G3099</f>
        <v>0</v>
      </c>
      <c r="N3099" s="2360">
        <f>J3099*G3099</f>
        <v>0</v>
      </c>
      <c r="O3099" s="2360">
        <f>K3099*G3099</f>
        <v>0</v>
      </c>
      <c r="P3099" s="2265"/>
      <c r="Q3099" s="2266"/>
      <c r="R3099" s="2266"/>
      <c r="S3099" s="2266"/>
    </row>
    <row r="3100" spans="1:19" s="2105" customFormat="1" outlineLevel="1">
      <c r="A3100" s="2182" t="str">
        <f t="shared" si="652"/>
        <v/>
      </c>
      <c r="B3100" s="2357" t="s">
        <v>1612</v>
      </c>
      <c r="C3100" s="2407"/>
      <c r="D3100" s="2152" t="s">
        <v>5357</v>
      </c>
      <c r="E3100" s="2408" t="s">
        <v>5358</v>
      </c>
      <c r="F3100" s="2152" t="s">
        <v>2831</v>
      </c>
      <c r="G3100" s="2152">
        <f>G3098</f>
        <v>0</v>
      </c>
      <c r="H3100" s="2408"/>
      <c r="I3100" s="2359"/>
      <c r="J3100" s="2359">
        <v>551034</v>
      </c>
      <c r="K3100" s="2359">
        <v>141795.29</v>
      </c>
      <c r="L3100" s="2360">
        <f>H3100*G3100</f>
        <v>0</v>
      </c>
      <c r="M3100" s="2360">
        <f>I3100*G3100</f>
        <v>0</v>
      </c>
      <c r="N3100" s="2360">
        <f>J3100*G3100</f>
        <v>0</v>
      </c>
      <c r="O3100" s="2360">
        <f>K3100*G3100</f>
        <v>0</v>
      </c>
      <c r="P3100" s="2265"/>
      <c r="Q3100" s="2266"/>
      <c r="R3100" s="2266"/>
      <c r="S3100" s="2266"/>
    </row>
    <row r="3101" spans="1:19" s="2105" customFormat="1" outlineLevel="1">
      <c r="A3101" s="2182" t="str">
        <f t="shared" si="652"/>
        <v/>
      </c>
      <c r="B3101" s="2357" t="s">
        <v>2234</v>
      </c>
      <c r="C3101" s="2407"/>
      <c r="D3101" s="2152"/>
      <c r="E3101" s="2408" t="s">
        <v>5324</v>
      </c>
      <c r="F3101" s="2152" t="s">
        <v>856</v>
      </c>
      <c r="G3101" s="2152">
        <f>G3097*0.201</f>
        <v>0</v>
      </c>
      <c r="H3101" s="2359">
        <v>0</v>
      </c>
      <c r="I3101" s="2359"/>
      <c r="J3101" s="2359">
        <v>296500.89999999997</v>
      </c>
      <c r="K3101" s="2359">
        <v>0</v>
      </c>
      <c r="L3101" s="2360">
        <f>H3101*G3101</f>
        <v>0</v>
      </c>
      <c r="M3101" s="2360">
        <f>I3101*G3101</f>
        <v>0</v>
      </c>
      <c r="N3101" s="2360">
        <f>J3101*G3101</f>
        <v>0</v>
      </c>
      <c r="O3101" s="2360">
        <f>K3101*G3101</f>
        <v>0</v>
      </c>
      <c r="P3101" s="2265"/>
      <c r="Q3101" s="2266"/>
      <c r="R3101" s="2266"/>
      <c r="S3101" s="2266"/>
    </row>
    <row r="3102" spans="1:19" s="2105" customFormat="1" outlineLevel="1">
      <c r="A3102" s="2182" t="str">
        <f t="shared" si="652"/>
        <v/>
      </c>
      <c r="B3102" s="2357" t="s">
        <v>21</v>
      </c>
      <c r="C3102" s="2407"/>
      <c r="D3102" s="2152" t="s">
        <v>5325</v>
      </c>
      <c r="E3102" s="2408" t="s">
        <v>5326</v>
      </c>
      <c r="F3102" s="2152" t="s">
        <v>856</v>
      </c>
      <c r="G3102" s="2152">
        <f>G3097*0.182</f>
        <v>0</v>
      </c>
      <c r="H3102" s="2408"/>
      <c r="I3102" s="2359"/>
      <c r="J3102" s="2359">
        <v>117703.6</v>
      </c>
      <c r="K3102" s="2359">
        <v>0</v>
      </c>
      <c r="L3102" s="2360">
        <f>H3102*G3102</f>
        <v>0</v>
      </c>
      <c r="M3102" s="2360">
        <f>I3102*G3102</f>
        <v>0</v>
      </c>
      <c r="N3102" s="2360">
        <f>J3102*G3102</f>
        <v>0</v>
      </c>
      <c r="O3102" s="2360">
        <f>K3102*G3102</f>
        <v>0</v>
      </c>
      <c r="P3102" s="2265"/>
      <c r="Q3102" s="2266"/>
      <c r="R3102" s="2266"/>
      <c r="S3102" s="2266"/>
    </row>
    <row r="3103" spans="1:19" s="2105" customFormat="1" outlineLevel="1">
      <c r="A3103" s="2182" t="str">
        <f t="shared" si="652"/>
        <v/>
      </c>
      <c r="B3103" s="2357"/>
      <c r="C3103" s="2258">
        <f>IF(G3103&gt;0,C3097+1,C3097)</f>
        <v>0</v>
      </c>
      <c r="D3103" s="2152"/>
      <c r="E3103" s="2403" t="s">
        <v>6295</v>
      </c>
      <c r="F3103" s="2404" t="s">
        <v>2327</v>
      </c>
      <c r="G3103" s="2409">
        <f>G3097</f>
        <v>0</v>
      </c>
      <c r="H3103" s="2258"/>
      <c r="I3103" s="2258"/>
      <c r="J3103" s="2258"/>
      <c r="K3103" s="2258"/>
      <c r="L3103" s="2258"/>
      <c r="M3103" s="2258"/>
      <c r="N3103" s="2258"/>
      <c r="O3103" s="2410"/>
      <c r="P3103" s="2265"/>
      <c r="Q3103" s="2266"/>
      <c r="R3103" s="2266"/>
      <c r="S3103" s="2266"/>
    </row>
    <row r="3104" spans="1:19" s="2105" customFormat="1" outlineLevel="1">
      <c r="A3104" s="2182" t="str">
        <f t="shared" si="652"/>
        <v/>
      </c>
      <c r="B3104" s="2357" t="s">
        <v>751</v>
      </c>
      <c r="C3104" s="2407"/>
      <c r="D3104" s="2152">
        <v>0</v>
      </c>
      <c r="E3104" s="2408" t="s">
        <v>5289</v>
      </c>
      <c r="F3104" s="2152" t="s">
        <v>2248</v>
      </c>
      <c r="G3104" s="2152">
        <f>204*G3103</f>
        <v>0</v>
      </c>
      <c r="H3104" s="2359">
        <v>1740</v>
      </c>
      <c r="I3104" s="2359"/>
      <c r="J3104" s="2359">
        <v>0</v>
      </c>
      <c r="K3104" s="2258"/>
      <c r="L3104" s="2360">
        <f t="shared" ref="L3104:L3142" si="653">H3104*G3104</f>
        <v>0</v>
      </c>
      <c r="M3104" s="2360">
        <f t="shared" ref="M3104:M3116" si="654">I3104*G3104</f>
        <v>0</v>
      </c>
      <c r="N3104" s="2360">
        <f t="shared" ref="N3104:N3116" si="655">J3104*G3104</f>
        <v>0</v>
      </c>
      <c r="O3104" s="2360">
        <f t="shared" ref="O3104:O3116" si="656">K3104*G3104</f>
        <v>0</v>
      </c>
      <c r="P3104" s="2265"/>
      <c r="Q3104" s="2266"/>
      <c r="R3104" s="2266"/>
      <c r="S3104" s="2266"/>
    </row>
    <row r="3105" spans="1:19" s="2105" customFormat="1" outlineLevel="1">
      <c r="A3105" s="2182" t="str">
        <f t="shared" si="652"/>
        <v/>
      </c>
      <c r="B3105" s="2357" t="s">
        <v>752</v>
      </c>
      <c r="C3105" s="2407"/>
      <c r="D3105" s="2152"/>
      <c r="E3105" s="2408" t="s">
        <v>3004</v>
      </c>
      <c r="F3105" s="2152" t="s">
        <v>856</v>
      </c>
      <c r="G3105" s="2152">
        <f>+G3103*0.5327</f>
        <v>0</v>
      </c>
      <c r="H3105" s="2359">
        <v>512000</v>
      </c>
      <c r="I3105" s="2408"/>
      <c r="J3105" s="2408"/>
      <c r="K3105" s="2258"/>
      <c r="L3105" s="2360">
        <f t="shared" si="653"/>
        <v>0</v>
      </c>
      <c r="M3105" s="2360">
        <f t="shared" si="654"/>
        <v>0</v>
      </c>
      <c r="N3105" s="2360">
        <f t="shared" si="655"/>
        <v>0</v>
      </c>
      <c r="O3105" s="2360">
        <f t="shared" si="656"/>
        <v>0</v>
      </c>
      <c r="P3105" s="2265"/>
      <c r="Q3105" s="2266"/>
      <c r="R3105" s="2266"/>
      <c r="S3105" s="2266"/>
    </row>
    <row r="3106" spans="1:19" s="2105" customFormat="1" outlineLevel="1">
      <c r="A3106" s="2182" t="str">
        <f>IF(G3106&lt;&gt;0,1,"")</f>
        <v/>
      </c>
      <c r="B3106" s="2357" t="s">
        <v>867</v>
      </c>
      <c r="C3106" s="2407"/>
      <c r="D3106" s="2152">
        <v>0</v>
      </c>
      <c r="E3106" s="2408" t="s">
        <v>3000</v>
      </c>
      <c r="F3106" s="2152" t="s">
        <v>856</v>
      </c>
      <c r="G3106" s="2152">
        <f>+G3103*0.607</f>
        <v>0</v>
      </c>
      <c r="H3106" s="2359">
        <v>335000</v>
      </c>
      <c r="I3106" s="2359"/>
      <c r="J3106" s="2359">
        <v>0</v>
      </c>
      <c r="K3106" s="2258"/>
      <c r="L3106" s="2360">
        <f t="shared" si="653"/>
        <v>0</v>
      </c>
      <c r="M3106" s="2360">
        <f>I3106*G3106</f>
        <v>0</v>
      </c>
      <c r="N3106" s="2360">
        <f>J3106*G3106</f>
        <v>0</v>
      </c>
      <c r="O3106" s="2360">
        <f>K3106*G3106</f>
        <v>0</v>
      </c>
      <c r="P3106" s="2265"/>
      <c r="Q3106" s="2266"/>
      <c r="R3106" s="2266"/>
      <c r="S3106" s="2266"/>
    </row>
    <row r="3107" spans="1:19" s="2105" customFormat="1" outlineLevel="1">
      <c r="A3107" s="2182" t="str">
        <f>IF(G3107&lt;&gt;0,1,"")</f>
        <v/>
      </c>
      <c r="B3107" s="2357" t="s">
        <v>2008</v>
      </c>
      <c r="C3107" s="2407"/>
      <c r="D3107" s="2152"/>
      <c r="E3107" s="2408" t="s">
        <v>5247</v>
      </c>
      <c r="F3107" s="2152" t="s">
        <v>2248</v>
      </c>
      <c r="G3107" s="2152">
        <f>+G3103*20.08</f>
        <v>0</v>
      </c>
      <c r="H3107" s="2359">
        <v>13300</v>
      </c>
      <c r="I3107" s="2408"/>
      <c r="J3107" s="2408"/>
      <c r="K3107" s="2258"/>
      <c r="L3107" s="2360">
        <f t="shared" si="653"/>
        <v>0</v>
      </c>
      <c r="M3107" s="2360">
        <f>I3107*G3107</f>
        <v>0</v>
      </c>
      <c r="N3107" s="2360">
        <f>J3107*G3107</f>
        <v>0</v>
      </c>
      <c r="O3107" s="2360">
        <f>K3107*G3107</f>
        <v>0</v>
      </c>
      <c r="P3107" s="2265"/>
      <c r="Q3107" s="2266"/>
      <c r="R3107" s="2266"/>
      <c r="S3107" s="2266"/>
    </row>
    <row r="3108" spans="1:19" s="2105" customFormat="1" outlineLevel="1">
      <c r="A3108" s="2182" t="str">
        <f>IF(G3108&lt;&gt;0,1,"")</f>
        <v/>
      </c>
      <c r="B3108" s="2357" t="s">
        <v>1425</v>
      </c>
      <c r="C3108" s="2407"/>
      <c r="D3108" s="2152">
        <v>0</v>
      </c>
      <c r="E3108" s="2408" t="s">
        <v>3569</v>
      </c>
      <c r="F3108" s="2152" t="s">
        <v>2248</v>
      </c>
      <c r="G3108" s="2152">
        <f>+G3103*0.43</f>
        <v>0</v>
      </c>
      <c r="H3108" s="2359">
        <v>10500</v>
      </c>
      <c r="I3108" s="2359"/>
      <c r="J3108" s="2359">
        <v>0</v>
      </c>
      <c r="K3108" s="2258"/>
      <c r="L3108" s="2360">
        <f t="shared" si="653"/>
        <v>0</v>
      </c>
      <c r="M3108" s="2360">
        <f>I3108*G3108</f>
        <v>0</v>
      </c>
      <c r="N3108" s="2360">
        <f>J3108*G3108</f>
        <v>0</v>
      </c>
      <c r="O3108" s="2360">
        <f>K3108*G3108</f>
        <v>0</v>
      </c>
      <c r="P3108" s="2265"/>
      <c r="Q3108" s="2266"/>
      <c r="R3108" s="2266"/>
      <c r="S3108" s="2266"/>
    </row>
    <row r="3109" spans="1:19" s="2105" customFormat="1" outlineLevel="1">
      <c r="A3109" s="2182" t="str">
        <f t="shared" si="652"/>
        <v/>
      </c>
      <c r="B3109" s="2357" t="s">
        <v>639</v>
      </c>
      <c r="C3109" s="2407"/>
      <c r="D3109" s="2152" t="s">
        <v>1747</v>
      </c>
      <c r="E3109" s="2408" t="s">
        <v>5324</v>
      </c>
      <c r="F3109" s="2152" t="s">
        <v>856</v>
      </c>
      <c r="G3109" s="2152">
        <f>+G3103*0.77</f>
        <v>0</v>
      </c>
      <c r="H3109" s="2359">
        <v>0</v>
      </c>
      <c r="I3109" s="2359"/>
      <c r="J3109" s="2359">
        <v>296500.89999999997</v>
      </c>
      <c r="K3109" s="2258"/>
      <c r="L3109" s="2360">
        <f t="shared" si="653"/>
        <v>0</v>
      </c>
      <c r="M3109" s="2360">
        <f t="shared" si="654"/>
        <v>0</v>
      </c>
      <c r="N3109" s="2360">
        <f t="shared" si="655"/>
        <v>0</v>
      </c>
      <c r="O3109" s="2360">
        <f t="shared" si="656"/>
        <v>0</v>
      </c>
      <c r="P3109" s="2265"/>
      <c r="Q3109" s="2266"/>
      <c r="R3109" s="2266"/>
      <c r="S3109" s="2266"/>
    </row>
    <row r="3110" spans="1:19" s="2105" customFormat="1" outlineLevel="1">
      <c r="A3110" s="2182" t="str">
        <f t="shared" si="652"/>
        <v/>
      </c>
      <c r="B3110" s="2569" t="s">
        <v>1835</v>
      </c>
      <c r="C3110" s="2407"/>
      <c r="D3110" s="2152" t="s">
        <v>5471</v>
      </c>
      <c r="E3110" s="2408" t="s">
        <v>5473</v>
      </c>
      <c r="F3110" s="2152" t="s">
        <v>856</v>
      </c>
      <c r="G3110" s="2152">
        <f>+G3103*0.689</f>
        <v>0</v>
      </c>
      <c r="H3110" s="2359">
        <v>461871</v>
      </c>
      <c r="I3110" s="2359"/>
      <c r="J3110" s="2359">
        <v>414064.45</v>
      </c>
      <c r="K3110" s="2258"/>
      <c r="L3110" s="2360">
        <f t="shared" si="653"/>
        <v>0</v>
      </c>
      <c r="M3110" s="2360">
        <f t="shared" si="654"/>
        <v>0</v>
      </c>
      <c r="N3110" s="2360">
        <f t="shared" si="655"/>
        <v>0</v>
      </c>
      <c r="O3110" s="2360">
        <f t="shared" si="656"/>
        <v>0</v>
      </c>
      <c r="P3110" s="2265"/>
      <c r="Q3110" s="2266"/>
      <c r="R3110" s="2266"/>
      <c r="S3110" s="2266"/>
    </row>
    <row r="3111" spans="1:19" s="2105" customFormat="1" outlineLevel="1">
      <c r="A3111" s="2182" t="str">
        <f>IF(G3111&lt;&gt;0,1,"")</f>
        <v/>
      </c>
      <c r="B3111" s="2261"/>
      <c r="C3111" s="2258">
        <f>IF(G3111&gt;0,C3103+1,C3103)</f>
        <v>0</v>
      </c>
      <c r="D3111" s="2259"/>
      <c r="E3111" s="2417" t="s">
        <v>6271</v>
      </c>
      <c r="F3111" s="2258" t="s">
        <v>2385</v>
      </c>
      <c r="G3111" s="2263"/>
      <c r="H3111" s="2416"/>
      <c r="I3111" s="2416"/>
      <c r="J3111" s="2416"/>
      <c r="K3111" s="2416"/>
      <c r="L3111" s="2360">
        <f t="shared" si="653"/>
        <v>0</v>
      </c>
      <c r="M3111" s="2360">
        <f t="shared" si="654"/>
        <v>0</v>
      </c>
      <c r="N3111" s="2360">
        <f t="shared" si="655"/>
        <v>0</v>
      </c>
      <c r="O3111" s="2360">
        <f t="shared" si="656"/>
        <v>0</v>
      </c>
      <c r="P3111" s="2265"/>
      <c r="Q3111" s="2266"/>
      <c r="R3111" s="2266"/>
      <c r="S3111" s="2266"/>
    </row>
    <row r="3112" spans="1:19" s="2105" customFormat="1" ht="14.4" outlineLevel="1">
      <c r="A3112" s="2182" t="str">
        <f>A3111</f>
        <v/>
      </c>
      <c r="B3112" s="2261"/>
      <c r="C3112" s="2258"/>
      <c r="D3112" s="2259"/>
      <c r="E3112" s="2267" t="s">
        <v>6133</v>
      </c>
      <c r="F3112" s="2268"/>
      <c r="G3112" s="2269"/>
      <c r="H3112" s="2416"/>
      <c r="I3112" s="2416"/>
      <c r="J3112" s="2416"/>
      <c r="K3112" s="2416"/>
      <c r="L3112" s="2360">
        <f t="shared" si="653"/>
        <v>0</v>
      </c>
      <c r="M3112" s="2360">
        <f t="shared" si="654"/>
        <v>0</v>
      </c>
      <c r="N3112" s="2360">
        <f t="shared" si="655"/>
        <v>0</v>
      </c>
      <c r="O3112" s="2360">
        <f t="shared" si="656"/>
        <v>0</v>
      </c>
      <c r="P3112" s="2265"/>
      <c r="Q3112" s="2266"/>
      <c r="R3112" s="2266"/>
      <c r="S3112" s="2266"/>
    </row>
    <row r="3113" spans="1:19" s="2105" customFormat="1" outlineLevel="1">
      <c r="A3113" s="2182" t="str">
        <f t="shared" ref="A3113:A3118" si="657">IF(G3113&lt;&gt;0,1,"")</f>
        <v/>
      </c>
      <c r="B3113" s="2252" t="s">
        <v>2022</v>
      </c>
      <c r="C3113" s="2258"/>
      <c r="D3113" s="2152">
        <v>0</v>
      </c>
      <c r="E3113" s="2194" t="s">
        <v>2437</v>
      </c>
      <c r="F3113" s="2152" t="s">
        <v>2248</v>
      </c>
      <c r="G3113" s="2270">
        <f>G3111*9.02*(2.6+3*0.07)*2</f>
        <v>0</v>
      </c>
      <c r="H3113" s="2359">
        <v>11500</v>
      </c>
      <c r="I3113" s="2359"/>
      <c r="J3113" s="2359">
        <v>0</v>
      </c>
      <c r="K3113" s="2359">
        <v>0</v>
      </c>
      <c r="L3113" s="2360">
        <f t="shared" si="653"/>
        <v>0</v>
      </c>
      <c r="M3113" s="2360">
        <f t="shared" si="654"/>
        <v>0</v>
      </c>
      <c r="N3113" s="2360">
        <f t="shared" si="655"/>
        <v>0</v>
      </c>
      <c r="O3113" s="2360">
        <f t="shared" si="656"/>
        <v>0</v>
      </c>
      <c r="P3113" s="2265"/>
      <c r="Q3113" s="2266"/>
      <c r="R3113" s="2266"/>
      <c r="S3113" s="2266"/>
    </row>
    <row r="3114" spans="1:19" s="2105" customFormat="1" outlineLevel="1">
      <c r="A3114" s="2182" t="str">
        <f t="shared" si="657"/>
        <v/>
      </c>
      <c r="B3114" s="2261" t="s">
        <v>1784</v>
      </c>
      <c r="C3114" s="2258"/>
      <c r="D3114" s="2152">
        <v>0</v>
      </c>
      <c r="E3114" s="2194" t="s">
        <v>2660</v>
      </c>
      <c r="F3114" s="2152" t="s">
        <v>2385</v>
      </c>
      <c r="G3114" s="2269">
        <f>G3111*2</f>
        <v>0</v>
      </c>
      <c r="H3114" s="2359">
        <v>12340</v>
      </c>
      <c r="I3114" s="2359">
        <v>0</v>
      </c>
      <c r="J3114" s="2359">
        <v>0</v>
      </c>
      <c r="K3114" s="2359">
        <v>0</v>
      </c>
      <c r="L3114" s="2360">
        <f t="shared" si="653"/>
        <v>0</v>
      </c>
      <c r="M3114" s="2360">
        <f t="shared" si="654"/>
        <v>0</v>
      </c>
      <c r="N3114" s="2360">
        <f t="shared" si="655"/>
        <v>0</v>
      </c>
      <c r="O3114" s="2360">
        <f t="shared" si="656"/>
        <v>0</v>
      </c>
      <c r="P3114" s="2265"/>
      <c r="Q3114" s="2266"/>
      <c r="R3114" s="2266"/>
      <c r="S3114" s="2266"/>
    </row>
    <row r="3115" spans="1:19" s="2105" customFormat="1" outlineLevel="1">
      <c r="A3115" s="2182" t="str">
        <f t="shared" si="657"/>
        <v/>
      </c>
      <c r="B3115" s="2261" t="s">
        <v>1610</v>
      </c>
      <c r="C3115" s="2258"/>
      <c r="D3115" s="2152">
        <v>0</v>
      </c>
      <c r="E3115" s="2194" t="s">
        <v>2649</v>
      </c>
      <c r="F3115" s="2152" t="s">
        <v>2385</v>
      </c>
      <c r="G3115" s="2269">
        <f>G3111*2</f>
        <v>0</v>
      </c>
      <c r="H3115" s="2359">
        <v>9120</v>
      </c>
      <c r="I3115" s="2359">
        <v>0</v>
      </c>
      <c r="J3115" s="2359">
        <v>0</v>
      </c>
      <c r="K3115" s="2359">
        <v>0</v>
      </c>
      <c r="L3115" s="2360">
        <f t="shared" si="653"/>
        <v>0</v>
      </c>
      <c r="M3115" s="2360">
        <f t="shared" si="654"/>
        <v>0</v>
      </c>
      <c r="N3115" s="2360">
        <f t="shared" si="655"/>
        <v>0</v>
      </c>
      <c r="O3115" s="2360">
        <f t="shared" si="656"/>
        <v>0</v>
      </c>
      <c r="P3115" s="2265"/>
      <c r="Q3115" s="2266"/>
      <c r="R3115" s="2266"/>
      <c r="S3115" s="2266"/>
    </row>
    <row r="3116" spans="1:19" s="2105" customFormat="1" outlineLevel="1">
      <c r="A3116" s="2182" t="str">
        <f t="shared" si="657"/>
        <v/>
      </c>
      <c r="B3116" s="2261" t="s">
        <v>1609</v>
      </c>
      <c r="C3116" s="2258"/>
      <c r="D3116" s="2152">
        <v>0</v>
      </c>
      <c r="E3116" s="2194" t="s">
        <v>2645</v>
      </c>
      <c r="F3116" s="2152" t="s">
        <v>2385</v>
      </c>
      <c r="G3116" s="2269">
        <f>G3115</f>
        <v>0</v>
      </c>
      <c r="H3116" s="2359">
        <v>9220</v>
      </c>
      <c r="I3116" s="2359">
        <v>0</v>
      </c>
      <c r="J3116" s="2359">
        <v>0</v>
      </c>
      <c r="K3116" s="2359">
        <v>0</v>
      </c>
      <c r="L3116" s="2360">
        <f t="shared" si="653"/>
        <v>0</v>
      </c>
      <c r="M3116" s="2360">
        <f t="shared" si="654"/>
        <v>0</v>
      </c>
      <c r="N3116" s="2360">
        <f t="shared" si="655"/>
        <v>0</v>
      </c>
      <c r="O3116" s="2360">
        <f t="shared" si="656"/>
        <v>0</v>
      </c>
      <c r="P3116" s="2265"/>
      <c r="Q3116" s="2266"/>
      <c r="R3116" s="2266"/>
      <c r="S3116" s="2266"/>
    </row>
    <row r="3117" spans="1:19" s="2105" customFormat="1" outlineLevel="1">
      <c r="A3117" s="2182" t="str">
        <f t="shared" si="657"/>
        <v/>
      </c>
      <c r="B3117" s="2261" t="s">
        <v>2242</v>
      </c>
      <c r="C3117" s="2258"/>
      <c r="D3117" s="2152" t="s">
        <v>730</v>
      </c>
      <c r="E3117" s="2194" t="s">
        <v>2440</v>
      </c>
      <c r="F3117" s="2152" t="s">
        <v>2385</v>
      </c>
      <c r="G3117" s="2269">
        <f>G3111</f>
        <v>0</v>
      </c>
      <c r="H3117" s="2359">
        <v>0</v>
      </c>
      <c r="I3117" s="2359"/>
      <c r="J3117" s="2359" t="s">
        <v>6345</v>
      </c>
      <c r="K3117" s="2359"/>
      <c r="L3117" s="2360">
        <f t="shared" si="653"/>
        <v>0</v>
      </c>
      <c r="M3117" s="2360"/>
      <c r="N3117" s="2359">
        <v>0</v>
      </c>
      <c r="O3117" s="2360"/>
      <c r="P3117" s="2265"/>
      <c r="Q3117" s="2266"/>
      <c r="R3117" s="2266"/>
      <c r="S3117" s="2266"/>
    </row>
    <row r="3118" spans="1:19" s="2105" customFormat="1" outlineLevel="1" collapsed="1">
      <c r="A3118" s="2182" t="str">
        <f t="shared" si="657"/>
        <v/>
      </c>
      <c r="B3118" s="2261"/>
      <c r="C3118" s="2258">
        <f>IF(G3118&gt;0,C3111+1,C3111)</f>
        <v>0</v>
      </c>
      <c r="D3118" s="2259"/>
      <c r="E3118" s="2417" t="s">
        <v>6296</v>
      </c>
      <c r="F3118" s="2258" t="s">
        <v>2385</v>
      </c>
      <c r="G3118" s="2263">
        <f>G3084*2</f>
        <v>0</v>
      </c>
      <c r="H3118" s="2264"/>
      <c r="I3118" s="2264"/>
      <c r="J3118" s="2264"/>
      <c r="K3118" s="2264"/>
      <c r="L3118" s="2264">
        <f t="shared" si="653"/>
        <v>0</v>
      </c>
      <c r="M3118" s="2264">
        <f>I3118*G3118</f>
        <v>0</v>
      </c>
      <c r="N3118" s="2264">
        <f>J3118*G3118</f>
        <v>0</v>
      </c>
      <c r="O3118" s="2264">
        <f>K3118*G3118</f>
        <v>0</v>
      </c>
      <c r="P3118" s="2265"/>
      <c r="Q3118" s="2266"/>
      <c r="R3118" s="2266"/>
      <c r="S3118" s="2266"/>
    </row>
    <row r="3119" spans="1:19" s="2105" customFormat="1" ht="14.4" outlineLevel="1">
      <c r="A3119" s="2182" t="str">
        <f>A3118</f>
        <v/>
      </c>
      <c r="B3119" s="2261"/>
      <c r="C3119" s="2258"/>
      <c r="D3119" s="2259"/>
      <c r="E3119" s="2267" t="s">
        <v>6133</v>
      </c>
      <c r="F3119" s="2268"/>
      <c r="G3119" s="2269"/>
      <c r="H3119" s="2264"/>
      <c r="I3119" s="2264"/>
      <c r="J3119" s="2264"/>
      <c r="K3119" s="2264"/>
      <c r="L3119" s="2264">
        <f t="shared" si="653"/>
        <v>0</v>
      </c>
      <c r="M3119" s="2264">
        <f>I3119*G3119</f>
        <v>0</v>
      </c>
      <c r="N3119" s="2264">
        <f>J3119*G3119</f>
        <v>0</v>
      </c>
      <c r="O3119" s="2264">
        <f>K3119*G3119</f>
        <v>0</v>
      </c>
      <c r="P3119" s="2265"/>
      <c r="Q3119" s="2266"/>
      <c r="R3119" s="2266"/>
      <c r="S3119" s="2266"/>
    </row>
    <row r="3120" spans="1:19" s="2105" customFormat="1" outlineLevel="1">
      <c r="A3120" s="2182" t="str">
        <f t="shared" ref="A3120:A3126" si="658">IF(G3120&lt;&gt;0,1,"")</f>
        <v/>
      </c>
      <c r="B3120" s="2261" t="s">
        <v>2022</v>
      </c>
      <c r="C3120" s="2258"/>
      <c r="D3120" s="2152">
        <v>0</v>
      </c>
      <c r="E3120" s="2194" t="s">
        <v>2437</v>
      </c>
      <c r="F3120" s="2152" t="s">
        <v>2248</v>
      </c>
      <c r="G3120" s="2270">
        <f>G3118*9.02*(2.2+4*0.07)*2</f>
        <v>0</v>
      </c>
      <c r="H3120" s="2264">
        <v>11500</v>
      </c>
      <c r="I3120" s="2264"/>
      <c r="J3120" s="2264">
        <v>0</v>
      </c>
      <c r="K3120" s="2264"/>
      <c r="L3120" s="2264">
        <f t="shared" si="653"/>
        <v>0</v>
      </c>
      <c r="M3120" s="2264"/>
      <c r="N3120" s="2264"/>
      <c r="O3120" s="2264"/>
      <c r="P3120" s="2265"/>
      <c r="Q3120" s="2266"/>
      <c r="R3120" s="2266"/>
      <c r="S3120" s="2266"/>
    </row>
    <row r="3121" spans="1:19" s="2105" customFormat="1" outlineLevel="1">
      <c r="A3121" s="2182" t="str">
        <f t="shared" si="658"/>
        <v/>
      </c>
      <c r="B3121" s="2261" t="s">
        <v>1035</v>
      </c>
      <c r="C3121" s="2258"/>
      <c r="D3121" s="2152" t="s">
        <v>554</v>
      </c>
      <c r="E3121" s="2194" t="s">
        <v>2956</v>
      </c>
      <c r="F3121" s="2152" t="s">
        <v>2248</v>
      </c>
      <c r="G3121" s="2270">
        <f>G3118*3.77*0.81*4</f>
        <v>0</v>
      </c>
      <c r="H3121" s="2264">
        <v>11500</v>
      </c>
      <c r="I3121" s="2264"/>
      <c r="J3121" s="2264">
        <v>0</v>
      </c>
      <c r="K3121" s="2264"/>
      <c r="L3121" s="2264">
        <f t="shared" si="653"/>
        <v>0</v>
      </c>
      <c r="M3121" s="2264"/>
      <c r="N3121" s="2264"/>
      <c r="O3121" s="2264"/>
      <c r="P3121" s="2265"/>
      <c r="Q3121" s="2266"/>
      <c r="R3121" s="2266"/>
      <c r="S3121" s="2266"/>
    </row>
    <row r="3122" spans="1:19" s="2105" customFormat="1" outlineLevel="1">
      <c r="A3122" s="2182" t="str">
        <f t="shared" si="658"/>
        <v/>
      </c>
      <c r="B3122" s="2261" t="s">
        <v>1610</v>
      </c>
      <c r="C3122" s="2258"/>
      <c r="D3122" s="2152">
        <v>0</v>
      </c>
      <c r="E3122" s="2194" t="s">
        <v>2649</v>
      </c>
      <c r="F3122" s="2152" t="s">
        <v>2385</v>
      </c>
      <c r="G3122" s="2269">
        <f>G3118*2</f>
        <v>0</v>
      </c>
      <c r="H3122" s="2264">
        <v>9120</v>
      </c>
      <c r="I3122" s="2264">
        <v>0</v>
      </c>
      <c r="J3122" s="2264">
        <v>0</v>
      </c>
      <c r="K3122" s="2264"/>
      <c r="L3122" s="2264">
        <f t="shared" si="653"/>
        <v>0</v>
      </c>
      <c r="M3122" s="2264"/>
      <c r="N3122" s="2264"/>
      <c r="O3122" s="2264"/>
      <c r="P3122" s="2265"/>
      <c r="Q3122" s="2266"/>
      <c r="R3122" s="2266"/>
      <c r="S3122" s="2266"/>
    </row>
    <row r="3123" spans="1:19" s="2105" customFormat="1" outlineLevel="1">
      <c r="A3123" s="2182" t="str">
        <f t="shared" si="658"/>
        <v/>
      </c>
      <c r="B3123" s="2261" t="s">
        <v>1786</v>
      </c>
      <c r="C3123" s="2258"/>
      <c r="D3123" s="2152">
        <v>0</v>
      </c>
      <c r="E3123" s="2194" t="s">
        <v>2639</v>
      </c>
      <c r="F3123" s="2152" t="s">
        <v>2385</v>
      </c>
      <c r="G3123" s="2269">
        <f>G3118*4</f>
        <v>0</v>
      </c>
      <c r="H3123" s="2264">
        <v>4620</v>
      </c>
      <c r="I3123" s="2264">
        <v>0</v>
      </c>
      <c r="J3123" s="2264">
        <v>0</v>
      </c>
      <c r="K3123" s="2264"/>
      <c r="L3123" s="2264">
        <f t="shared" si="653"/>
        <v>0</v>
      </c>
      <c r="M3123" s="2264"/>
      <c r="N3123" s="2264"/>
      <c r="O3123" s="2264"/>
      <c r="P3123" s="2265"/>
      <c r="Q3123" s="2266"/>
      <c r="R3123" s="2266"/>
      <c r="S3123" s="2266"/>
    </row>
    <row r="3124" spans="1:19" s="2105" customFormat="1" outlineLevel="1">
      <c r="A3124" s="2182" t="str">
        <f t="shared" si="658"/>
        <v/>
      </c>
      <c r="B3124" s="2261" t="s">
        <v>1784</v>
      </c>
      <c r="C3124" s="2258"/>
      <c r="D3124" s="2152">
        <v>0</v>
      </c>
      <c r="E3124" s="2194" t="s">
        <v>2660</v>
      </c>
      <c r="F3124" s="2152" t="s">
        <v>2385</v>
      </c>
      <c r="G3124" s="2269">
        <f>G3118*4</f>
        <v>0</v>
      </c>
      <c r="H3124" s="2264">
        <v>12340</v>
      </c>
      <c r="I3124" s="2264">
        <v>0</v>
      </c>
      <c r="J3124" s="2264">
        <v>0</v>
      </c>
      <c r="K3124" s="2264">
        <v>0</v>
      </c>
      <c r="L3124" s="2264">
        <f t="shared" si="653"/>
        <v>0</v>
      </c>
      <c r="M3124" s="2264">
        <f>I3124*G3124</f>
        <v>0</v>
      </c>
      <c r="N3124" s="2264">
        <f>J3124*G3124</f>
        <v>0</v>
      </c>
      <c r="O3124" s="2264">
        <f>K3124*G3124</f>
        <v>0</v>
      </c>
      <c r="P3124" s="2265"/>
      <c r="Q3124" s="2266"/>
      <c r="R3124" s="2266"/>
      <c r="S3124" s="2266"/>
    </row>
    <row r="3125" spans="1:19" s="2105" customFormat="1" outlineLevel="1">
      <c r="A3125" s="2182" t="str">
        <f t="shared" si="658"/>
        <v/>
      </c>
      <c r="B3125" s="2261" t="s">
        <v>516</v>
      </c>
      <c r="C3125" s="2258"/>
      <c r="D3125" s="2152" t="s">
        <v>1457</v>
      </c>
      <c r="E3125" s="2194" t="s">
        <v>5422</v>
      </c>
      <c r="F3125" s="2152" t="s">
        <v>2385</v>
      </c>
      <c r="G3125" s="2269">
        <f>G3118</f>
        <v>0</v>
      </c>
      <c r="H3125" s="2264">
        <v>0</v>
      </c>
      <c r="I3125" s="2264"/>
      <c r="J3125" s="2264" t="s">
        <v>6391</v>
      </c>
      <c r="K3125" s="2264"/>
      <c r="L3125" s="2264">
        <f t="shared" si="653"/>
        <v>0</v>
      </c>
      <c r="M3125" s="2264"/>
      <c r="N3125" s="2264">
        <v>0</v>
      </c>
      <c r="O3125" s="2264"/>
      <c r="P3125" s="2265"/>
      <c r="Q3125" s="2266"/>
      <c r="R3125" s="2266"/>
      <c r="S3125" s="2266"/>
    </row>
    <row r="3126" spans="1:19" s="2105" customFormat="1" outlineLevel="1">
      <c r="A3126" s="2182" t="str">
        <f t="shared" si="658"/>
        <v/>
      </c>
      <c r="B3126" s="2261"/>
      <c r="C3126" s="2258">
        <f>IF(G3126&gt;0,C3118+1,C3118)</f>
        <v>0</v>
      </c>
      <c r="D3126" s="2259"/>
      <c r="E3126" s="2417" t="s">
        <v>6289</v>
      </c>
      <c r="F3126" s="2258" t="s">
        <v>2385</v>
      </c>
      <c r="G3126" s="2263">
        <f>G3084*2</f>
        <v>0</v>
      </c>
      <c r="H3126" s="2264"/>
      <c r="I3126" s="2264"/>
      <c r="J3126" s="2264"/>
      <c r="K3126" s="2264"/>
      <c r="L3126" s="2264">
        <f t="shared" si="653"/>
        <v>0</v>
      </c>
      <c r="M3126" s="2264">
        <f>I3126*G3126</f>
        <v>0</v>
      </c>
      <c r="N3126" s="2264">
        <f>J3126*G3126</f>
        <v>0</v>
      </c>
      <c r="O3126" s="2264">
        <f>K3126*G3126</f>
        <v>0</v>
      </c>
      <c r="P3126" s="2265"/>
      <c r="Q3126" s="2266"/>
      <c r="R3126" s="2266"/>
      <c r="S3126" s="2266"/>
    </row>
    <row r="3127" spans="1:19" s="2105" customFormat="1" ht="14.4" outlineLevel="1">
      <c r="A3127" s="2182" t="str">
        <f>A3126</f>
        <v/>
      </c>
      <c r="B3127" s="2261"/>
      <c r="C3127" s="2258"/>
      <c r="D3127" s="2259"/>
      <c r="E3127" s="2267" t="s">
        <v>6133</v>
      </c>
      <c r="F3127" s="2268"/>
      <c r="G3127" s="2269"/>
      <c r="H3127" s="2264"/>
      <c r="I3127" s="2264"/>
      <c r="J3127" s="2264"/>
      <c r="K3127" s="2264"/>
      <c r="L3127" s="2264">
        <f t="shared" si="653"/>
        <v>0</v>
      </c>
      <c r="M3127" s="2264">
        <f>I3127*G3127</f>
        <v>0</v>
      </c>
      <c r="N3127" s="2264">
        <f>J3127*G3127</f>
        <v>0</v>
      </c>
      <c r="O3127" s="2264">
        <f>K3127*G3127</f>
        <v>0</v>
      </c>
      <c r="P3127" s="2265"/>
      <c r="Q3127" s="2266"/>
      <c r="R3127" s="2266"/>
      <c r="S3127" s="2266"/>
    </row>
    <row r="3128" spans="1:19" s="2105" customFormat="1" outlineLevel="1">
      <c r="A3128" s="2182" t="str">
        <f t="shared" ref="A3128:A3134" si="659">IF(G3128&lt;&gt;0,1,"")</f>
        <v/>
      </c>
      <c r="B3128" s="2261" t="s">
        <v>2022</v>
      </c>
      <c r="C3128" s="2258"/>
      <c r="D3128" s="2152">
        <v>0</v>
      </c>
      <c r="E3128" s="2194" t="s">
        <v>2437</v>
      </c>
      <c r="F3128" s="2152" t="s">
        <v>2248</v>
      </c>
      <c r="G3128" s="2270">
        <f>G3126*9.02*(2.2+4*0.07)</f>
        <v>0</v>
      </c>
      <c r="H3128" s="2264">
        <v>31625</v>
      </c>
      <c r="I3128" s="2264"/>
      <c r="J3128" s="2264">
        <v>0</v>
      </c>
      <c r="K3128" s="2264"/>
      <c r="L3128" s="2264">
        <f t="shared" si="653"/>
        <v>0</v>
      </c>
      <c r="M3128" s="2264"/>
      <c r="N3128" s="2264"/>
      <c r="O3128" s="2264"/>
      <c r="P3128" s="2265"/>
      <c r="Q3128" s="2266"/>
      <c r="R3128" s="2266"/>
      <c r="S3128" s="2266"/>
    </row>
    <row r="3129" spans="1:19" s="2105" customFormat="1" outlineLevel="1">
      <c r="A3129" s="2182" t="str">
        <f t="shared" si="659"/>
        <v/>
      </c>
      <c r="B3129" s="2261" t="s">
        <v>1035</v>
      </c>
      <c r="C3129" s="2258"/>
      <c r="D3129" s="2152">
        <v>0</v>
      </c>
      <c r="E3129" s="2194" t="s">
        <v>2956</v>
      </c>
      <c r="F3129" s="2152" t="s">
        <v>2248</v>
      </c>
      <c r="G3129" s="2270">
        <f>G3126*3.77*0.81*2</f>
        <v>0</v>
      </c>
      <c r="H3129" s="2264">
        <v>31625</v>
      </c>
      <c r="I3129" s="2264"/>
      <c r="J3129" s="2264">
        <v>0</v>
      </c>
      <c r="K3129" s="2264"/>
      <c r="L3129" s="2264">
        <f t="shared" si="653"/>
        <v>0</v>
      </c>
      <c r="M3129" s="2264"/>
      <c r="N3129" s="2264"/>
      <c r="O3129" s="2264"/>
      <c r="P3129" s="2265"/>
      <c r="Q3129" s="2266"/>
      <c r="R3129" s="2266"/>
      <c r="S3129" s="2266"/>
    </row>
    <row r="3130" spans="1:19" s="2105" customFormat="1" outlineLevel="1">
      <c r="A3130" s="2182" t="str">
        <f t="shared" si="659"/>
        <v/>
      </c>
      <c r="B3130" s="2261" t="s">
        <v>1079</v>
      </c>
      <c r="C3130" s="2258"/>
      <c r="D3130" s="2152">
        <v>0</v>
      </c>
      <c r="E3130" s="2194" t="s">
        <v>2651</v>
      </c>
      <c r="F3130" s="2152" t="s">
        <v>2385</v>
      </c>
      <c r="G3130" s="2269">
        <f>G3126*2</f>
        <v>0</v>
      </c>
      <c r="H3130" s="2264">
        <v>27900</v>
      </c>
      <c r="I3130" s="2264">
        <v>0</v>
      </c>
      <c r="J3130" s="2264">
        <v>0</v>
      </c>
      <c r="K3130" s="2264"/>
      <c r="L3130" s="2264">
        <f t="shared" si="653"/>
        <v>0</v>
      </c>
      <c r="M3130" s="2264"/>
      <c r="N3130" s="2264"/>
      <c r="O3130" s="2264"/>
      <c r="P3130" s="2265"/>
      <c r="Q3130" s="2266"/>
      <c r="R3130" s="2266"/>
      <c r="S3130" s="2266"/>
    </row>
    <row r="3131" spans="1:19" s="2105" customFormat="1" outlineLevel="1">
      <c r="A3131" s="2182" t="str">
        <f t="shared" si="659"/>
        <v/>
      </c>
      <c r="B3131" s="2261" t="s">
        <v>1786</v>
      </c>
      <c r="C3131" s="2258"/>
      <c r="D3131" s="2152">
        <v>0</v>
      </c>
      <c r="E3131" s="2194" t="s">
        <v>2639</v>
      </c>
      <c r="F3131" s="2152" t="s">
        <v>2385</v>
      </c>
      <c r="G3131" s="2269">
        <f>G3126*2</f>
        <v>0</v>
      </c>
      <c r="H3131" s="2264">
        <v>12400</v>
      </c>
      <c r="I3131" s="2264">
        <v>0</v>
      </c>
      <c r="J3131" s="2264">
        <v>0</v>
      </c>
      <c r="K3131" s="2264"/>
      <c r="L3131" s="2264">
        <f t="shared" si="653"/>
        <v>0</v>
      </c>
      <c r="M3131" s="2264"/>
      <c r="N3131" s="2264"/>
      <c r="O3131" s="2264"/>
      <c r="P3131" s="2265"/>
      <c r="Q3131" s="2266"/>
      <c r="R3131" s="2266"/>
      <c r="S3131" s="2266"/>
    </row>
    <row r="3132" spans="1:19" s="2105" customFormat="1" outlineLevel="1">
      <c r="A3132" s="2182" t="str">
        <f t="shared" si="659"/>
        <v/>
      </c>
      <c r="B3132" s="2261" t="s">
        <v>988</v>
      </c>
      <c r="C3132" s="2258"/>
      <c r="D3132" s="2152">
        <v>0</v>
      </c>
      <c r="E3132" s="2194" t="s">
        <v>5270</v>
      </c>
      <c r="F3132" s="2152" t="s">
        <v>2385</v>
      </c>
      <c r="G3132" s="2269">
        <f>G3126/3</f>
        <v>0</v>
      </c>
      <c r="H3132" s="2264">
        <v>178900</v>
      </c>
      <c r="I3132" s="2264">
        <v>0</v>
      </c>
      <c r="J3132" s="2264">
        <v>0</v>
      </c>
      <c r="K3132" s="2264"/>
      <c r="L3132" s="2264">
        <f t="shared" si="653"/>
        <v>0</v>
      </c>
      <c r="M3132" s="2264"/>
      <c r="N3132" s="2264"/>
      <c r="O3132" s="2264"/>
      <c r="P3132" s="2265"/>
      <c r="Q3132" s="2266"/>
      <c r="R3132" s="2266"/>
      <c r="S3132" s="2266"/>
    </row>
    <row r="3133" spans="1:19" s="2105" customFormat="1" outlineLevel="1">
      <c r="A3133" s="2182" t="str">
        <f t="shared" si="659"/>
        <v/>
      </c>
      <c r="B3133" s="2261" t="s">
        <v>1995</v>
      </c>
      <c r="C3133" s="2258"/>
      <c r="D3133" s="2152" t="s">
        <v>2265</v>
      </c>
      <c r="E3133" s="2194" t="s">
        <v>5379</v>
      </c>
      <c r="F3133" s="2152" t="s">
        <v>2385</v>
      </c>
      <c r="G3133" s="2269">
        <f>G3126</f>
        <v>0</v>
      </c>
      <c r="H3133" s="2264">
        <v>0</v>
      </c>
      <c r="I3133" s="2264"/>
      <c r="J3133" s="2264" t="s">
        <v>6344</v>
      </c>
      <c r="K3133" s="2264"/>
      <c r="L3133" s="2264">
        <f t="shared" si="653"/>
        <v>0</v>
      </c>
      <c r="M3133" s="2264"/>
      <c r="N3133" s="2264">
        <v>0</v>
      </c>
      <c r="O3133" s="2264"/>
      <c r="P3133" s="2265"/>
      <c r="Q3133" s="2266"/>
      <c r="R3133" s="2266"/>
      <c r="S3133" s="2266"/>
    </row>
    <row r="3134" spans="1:19" s="2105" customFormat="1" outlineLevel="1">
      <c r="A3134" s="2182" t="str">
        <f t="shared" si="659"/>
        <v/>
      </c>
      <c r="B3134" s="2261"/>
      <c r="C3134" s="2258">
        <f>IF(G3134&gt;0,C3126+1,C3126)</f>
        <v>0</v>
      </c>
      <c r="D3134" s="2259"/>
      <c r="E3134" s="2417" t="s">
        <v>4377</v>
      </c>
      <c r="F3134" s="2258" t="s">
        <v>2385</v>
      </c>
      <c r="G3134" s="2263">
        <f>G3084</f>
        <v>0</v>
      </c>
      <c r="H3134" s="2264"/>
      <c r="I3134" s="2264"/>
      <c r="J3134" s="2264"/>
      <c r="K3134" s="2264"/>
      <c r="L3134" s="2264">
        <f t="shared" si="653"/>
        <v>0</v>
      </c>
      <c r="M3134" s="2264">
        <f>I3134*G3134</f>
        <v>0</v>
      </c>
      <c r="N3134" s="2264">
        <f t="shared" ref="N3134:N3142" si="660">J3134*G3134</f>
        <v>0</v>
      </c>
      <c r="O3134" s="2264">
        <f>K3134*G3134</f>
        <v>0</v>
      </c>
      <c r="P3134" s="2265"/>
      <c r="Q3134" s="2266"/>
      <c r="R3134" s="2266"/>
      <c r="S3134" s="2266"/>
    </row>
    <row r="3135" spans="1:19" s="2105" customFormat="1" ht="14.4" outlineLevel="1">
      <c r="A3135" s="2182" t="str">
        <f>A3134</f>
        <v/>
      </c>
      <c r="B3135" s="2418"/>
      <c r="C3135" s="2258"/>
      <c r="D3135" s="2259"/>
      <c r="E3135" s="2267" t="s">
        <v>6290</v>
      </c>
      <c r="F3135" s="2268"/>
      <c r="G3135" s="2269"/>
      <c r="H3135" s="2264"/>
      <c r="I3135" s="2264"/>
      <c r="J3135" s="2264"/>
      <c r="K3135" s="2264"/>
      <c r="L3135" s="2264">
        <f t="shared" si="653"/>
        <v>0</v>
      </c>
      <c r="M3135" s="2264">
        <f>I3135*G3135</f>
        <v>0</v>
      </c>
      <c r="N3135" s="2264">
        <f t="shared" si="660"/>
        <v>0</v>
      </c>
      <c r="O3135" s="2264">
        <f>K3135*G3135</f>
        <v>0</v>
      </c>
      <c r="P3135" s="2265"/>
      <c r="Q3135" s="2266"/>
      <c r="R3135" s="2266"/>
      <c r="S3135" s="2266"/>
    </row>
    <row r="3136" spans="1:19" s="2105" customFormat="1" outlineLevel="1">
      <c r="A3136" s="2182" t="str">
        <f t="shared" ref="A3136:A3142" si="661">IF(G3136&lt;&gt;0,1,"")</f>
        <v/>
      </c>
      <c r="B3136" s="2261" t="s">
        <v>1033</v>
      </c>
      <c r="C3136" s="2258"/>
      <c r="D3136" s="2152">
        <v>0</v>
      </c>
      <c r="E3136" s="2194" t="s">
        <v>2700</v>
      </c>
      <c r="F3136" s="2152" t="s">
        <v>2248</v>
      </c>
      <c r="G3136" s="2270">
        <f>H3*0.224*G3134</f>
        <v>0</v>
      </c>
      <c r="H3136" s="2264">
        <v>255500</v>
      </c>
      <c r="I3136" s="2264"/>
      <c r="J3136" s="2264">
        <v>0</v>
      </c>
      <c r="K3136" s="2264">
        <v>0</v>
      </c>
      <c r="L3136" s="2264">
        <f t="shared" si="653"/>
        <v>0</v>
      </c>
      <c r="M3136" s="2264">
        <f>I3136*G3136</f>
        <v>0</v>
      </c>
      <c r="N3136" s="2264">
        <f t="shared" si="660"/>
        <v>0</v>
      </c>
      <c r="O3136" s="2264">
        <f>K3136*G3136</f>
        <v>0</v>
      </c>
      <c r="P3136" s="2265"/>
      <c r="Q3136" s="2266"/>
      <c r="R3136" s="2266"/>
      <c r="S3136" s="2266"/>
    </row>
    <row r="3137" spans="1:19" s="2105" customFormat="1" outlineLevel="1">
      <c r="A3137" s="2182" t="str">
        <f t="shared" si="661"/>
        <v/>
      </c>
      <c r="B3137" s="2252" t="s">
        <v>1508</v>
      </c>
      <c r="C3137" s="2258"/>
      <c r="D3137" s="2152">
        <v>0</v>
      </c>
      <c r="E3137" s="2194" t="s">
        <v>5163</v>
      </c>
      <c r="F3137" s="2152" t="s">
        <v>2439</v>
      </c>
      <c r="G3137" s="2269">
        <f>(H2+L3)*G3134</f>
        <v>0</v>
      </c>
      <c r="H3137" s="2264">
        <v>160000</v>
      </c>
      <c r="I3137" s="2264"/>
      <c r="J3137" s="2264">
        <v>0</v>
      </c>
      <c r="K3137" s="2264">
        <v>0</v>
      </c>
      <c r="L3137" s="2264">
        <f t="shared" si="653"/>
        <v>0</v>
      </c>
      <c r="M3137" s="2264">
        <f>I3137*G3137</f>
        <v>0</v>
      </c>
      <c r="N3137" s="2264">
        <f t="shared" si="660"/>
        <v>0</v>
      </c>
      <c r="O3137" s="2264">
        <f>K3137*G3137</f>
        <v>0</v>
      </c>
      <c r="P3137" s="2265"/>
      <c r="Q3137" s="2266"/>
      <c r="R3137" s="2266"/>
      <c r="S3137" s="2266"/>
    </row>
    <row r="3138" spans="1:19" s="2105" customFormat="1" outlineLevel="1">
      <c r="A3138" s="2182" t="str">
        <f>IF(G3138&lt;&gt;0,1,"")</f>
        <v/>
      </c>
      <c r="B3138" s="2252" t="s">
        <v>1585</v>
      </c>
      <c r="C3138" s="2258"/>
      <c r="D3138" s="2152">
        <v>0</v>
      </c>
      <c r="E3138" s="2194" t="s">
        <v>5713</v>
      </c>
      <c r="F3138" s="2152" t="s">
        <v>3445</v>
      </c>
      <c r="G3138" s="2269">
        <f>G3134*$L$3</f>
        <v>0</v>
      </c>
      <c r="H3138" s="2264">
        <v>0</v>
      </c>
      <c r="I3138" s="2264"/>
      <c r="J3138" s="2264">
        <v>1500000</v>
      </c>
      <c r="K3138" s="2264">
        <v>0</v>
      </c>
      <c r="L3138" s="2264">
        <f>H3138*G3138</f>
        <v>0</v>
      </c>
      <c r="M3138" s="2264">
        <f>I3138*G3138</f>
        <v>0</v>
      </c>
      <c r="N3138" s="2264">
        <f>J3138*G3138</f>
        <v>0</v>
      </c>
      <c r="O3138" s="2264">
        <f>K3138*G3138</f>
        <v>0</v>
      </c>
      <c r="P3138" s="2265"/>
      <c r="Q3138" s="2266"/>
      <c r="R3138" s="2266"/>
      <c r="S3138" s="2266"/>
    </row>
    <row r="3139" spans="1:19" s="2105" customFormat="1" outlineLevel="1">
      <c r="A3139" s="2182" t="str">
        <f>IF(G3139&lt;&gt;0,1,"")</f>
        <v/>
      </c>
      <c r="B3139" s="2261" t="s">
        <v>1579</v>
      </c>
      <c r="C3139" s="2258"/>
      <c r="D3139" s="2152">
        <v>0</v>
      </c>
      <c r="E3139" s="2194" t="s">
        <v>2873</v>
      </c>
      <c r="F3139" s="2152" t="s">
        <v>2555</v>
      </c>
      <c r="G3139" s="2269">
        <f>2*G3134*0</f>
        <v>0</v>
      </c>
      <c r="H3139" s="2264">
        <v>8000</v>
      </c>
      <c r="I3139" s="2264"/>
      <c r="J3139" s="2264">
        <v>0</v>
      </c>
      <c r="K3139" s="2264"/>
      <c r="L3139" s="2264">
        <f t="shared" si="653"/>
        <v>0</v>
      </c>
      <c r="M3139" s="2264"/>
      <c r="N3139" s="2264">
        <f t="shared" si="660"/>
        <v>0</v>
      </c>
      <c r="O3139" s="2264"/>
      <c r="P3139" s="2265"/>
      <c r="Q3139" s="2266"/>
      <c r="R3139" s="2266"/>
      <c r="S3139" s="2266"/>
    </row>
    <row r="3140" spans="1:19" s="2105" customFormat="1" outlineLevel="1">
      <c r="A3140" s="2182" t="str">
        <f t="shared" si="661"/>
        <v/>
      </c>
      <c r="B3140" s="2261" t="s">
        <v>816</v>
      </c>
      <c r="C3140" s="2258"/>
      <c r="D3140" s="2152">
        <v>0</v>
      </c>
      <c r="E3140" s="2194" t="s">
        <v>3581</v>
      </c>
      <c r="F3140" s="2152" t="s">
        <v>2555</v>
      </c>
      <c r="G3140" s="2269">
        <f>IF(G3137&lt;=12,15,21)*G3134</f>
        <v>0</v>
      </c>
      <c r="H3140" s="2264">
        <v>17600</v>
      </c>
      <c r="I3140" s="2264"/>
      <c r="J3140" s="2264">
        <v>0</v>
      </c>
      <c r="K3140" s="2264"/>
      <c r="L3140" s="2264">
        <f t="shared" si="653"/>
        <v>0</v>
      </c>
      <c r="M3140" s="2264">
        <f>I3140*G3140</f>
        <v>0</v>
      </c>
      <c r="N3140" s="2264">
        <f t="shared" si="660"/>
        <v>0</v>
      </c>
      <c r="O3140" s="2264">
        <f>K3140*G3140</f>
        <v>0</v>
      </c>
      <c r="P3140" s="2265"/>
      <c r="Q3140" s="2266"/>
      <c r="R3140" s="2266"/>
      <c r="S3140" s="2266"/>
    </row>
    <row r="3141" spans="1:19" s="2105" customFormat="1" outlineLevel="1">
      <c r="A3141" s="2182" t="str">
        <f t="shared" si="661"/>
        <v/>
      </c>
      <c r="B3141" s="2252" t="s">
        <v>525</v>
      </c>
      <c r="C3141" s="2258"/>
      <c r="D3141" s="2152">
        <v>0</v>
      </c>
      <c r="E3141" s="2194" t="s">
        <v>5252</v>
      </c>
      <c r="F3141" s="2152" t="s">
        <v>2439</v>
      </c>
      <c r="G3141" s="2269">
        <f>G3134*2</f>
        <v>0</v>
      </c>
      <c r="H3141" s="2264">
        <v>43000</v>
      </c>
      <c r="I3141" s="2264"/>
      <c r="J3141" s="2264">
        <v>0</v>
      </c>
      <c r="K3141" s="2264">
        <v>0</v>
      </c>
      <c r="L3141" s="2264">
        <f t="shared" si="653"/>
        <v>0</v>
      </c>
      <c r="M3141" s="2264">
        <f>I3141*G3141</f>
        <v>0</v>
      </c>
      <c r="N3141" s="2264">
        <f t="shared" si="660"/>
        <v>0</v>
      </c>
      <c r="O3141" s="2264">
        <f>K3141*G3141</f>
        <v>0</v>
      </c>
      <c r="P3141" s="2265"/>
      <c r="Q3141" s="2266"/>
      <c r="R3141" s="2266"/>
      <c r="S3141" s="2266"/>
    </row>
    <row r="3142" spans="1:19" s="2105" customFormat="1" outlineLevel="1">
      <c r="A3142" s="2182" t="str">
        <f t="shared" si="661"/>
        <v/>
      </c>
      <c r="B3142" s="2252" t="s">
        <v>1490</v>
      </c>
      <c r="C3142" s="2258"/>
      <c r="D3142" s="2152">
        <v>0</v>
      </c>
      <c r="E3142" s="2194" t="s">
        <v>3536</v>
      </c>
      <c r="F3142" s="2152" t="s">
        <v>1823</v>
      </c>
      <c r="G3142" s="2269">
        <f>G3134*3</f>
        <v>0</v>
      </c>
      <c r="H3142" s="2264">
        <v>6200</v>
      </c>
      <c r="I3142" s="2264"/>
      <c r="J3142" s="2264">
        <v>0</v>
      </c>
      <c r="K3142" s="2264">
        <v>0</v>
      </c>
      <c r="L3142" s="2264">
        <f t="shared" si="653"/>
        <v>0</v>
      </c>
      <c r="M3142" s="2264">
        <f>I3142*G3142</f>
        <v>0</v>
      </c>
      <c r="N3142" s="2264">
        <f t="shared" si="660"/>
        <v>0</v>
      </c>
      <c r="O3142" s="2264">
        <f>K3142*G3142</f>
        <v>0</v>
      </c>
      <c r="P3142" s="2265"/>
      <c r="Q3142" s="2266"/>
      <c r="R3142" s="2266"/>
      <c r="S3142" s="2266"/>
    </row>
    <row r="3143" spans="1:19" s="2105" customFormat="1" outlineLevel="1">
      <c r="A3143" s="2182">
        <f>IF(G3143=0,0,1)</f>
        <v>0</v>
      </c>
      <c r="B3143" s="2252" t="s">
        <v>794</v>
      </c>
      <c r="C3143" s="2268"/>
      <c r="D3143" s="2152" t="s">
        <v>5336</v>
      </c>
      <c r="E3143" s="2194" t="s">
        <v>3068</v>
      </c>
      <c r="F3143" s="2501" t="s">
        <v>856</v>
      </c>
      <c r="G3143" s="2420">
        <f>H4*G3134</f>
        <v>0</v>
      </c>
      <c r="H3143" s="2264">
        <v>0</v>
      </c>
      <c r="I3143" s="2264"/>
      <c r="J3143" s="2264">
        <v>283749.75</v>
      </c>
      <c r="K3143" s="2264">
        <v>0</v>
      </c>
      <c r="L3143" s="2264">
        <f t="shared" ref="L3143:O3144" si="662">H3143*$G3143</f>
        <v>0</v>
      </c>
      <c r="M3143" s="2264">
        <f t="shared" si="662"/>
        <v>0</v>
      </c>
      <c r="N3143" s="2264">
        <f t="shared" si="662"/>
        <v>0</v>
      </c>
      <c r="O3143" s="2264">
        <f t="shared" si="662"/>
        <v>0</v>
      </c>
      <c r="P3143" s="2265"/>
      <c r="Q3143" s="2266"/>
      <c r="R3143" s="2266"/>
      <c r="S3143" s="2266"/>
    </row>
    <row r="3144" spans="1:19" s="2105" customFormat="1" outlineLevel="1">
      <c r="A3144" s="2182">
        <f>IF(G3144=0,0,1)</f>
        <v>0</v>
      </c>
      <c r="B3144" s="2252" t="s">
        <v>798</v>
      </c>
      <c r="C3144" s="2268"/>
      <c r="D3144" s="2152" t="s">
        <v>5325</v>
      </c>
      <c r="E3144" s="2194" t="s">
        <v>5337</v>
      </c>
      <c r="F3144" s="2501" t="s">
        <v>856</v>
      </c>
      <c r="G3144" s="2420">
        <f>+G3143</f>
        <v>0</v>
      </c>
      <c r="H3144" s="2264">
        <v>0</v>
      </c>
      <c r="I3144" s="2264"/>
      <c r="J3144" s="2264">
        <v>117703.6</v>
      </c>
      <c r="K3144" s="2264">
        <v>0</v>
      </c>
      <c r="L3144" s="2264">
        <f t="shared" si="662"/>
        <v>0</v>
      </c>
      <c r="M3144" s="2264">
        <f t="shared" si="662"/>
        <v>0</v>
      </c>
      <c r="N3144" s="2264">
        <f t="shared" si="662"/>
        <v>0</v>
      </c>
      <c r="O3144" s="2264">
        <f t="shared" si="662"/>
        <v>0</v>
      </c>
      <c r="P3144" s="2265"/>
      <c r="Q3144" s="2266"/>
      <c r="R3144" s="2266"/>
      <c r="S3144" s="2266"/>
    </row>
    <row r="3145" spans="1:19" s="2105" customFormat="1" outlineLevel="1">
      <c r="A3145" s="2182">
        <f>IF(G3145=0,0,1)</f>
        <v>0</v>
      </c>
      <c r="B3145" s="2252" t="s">
        <v>902</v>
      </c>
      <c r="C3145" s="2268"/>
      <c r="D3145" s="2152" t="s">
        <v>5351</v>
      </c>
      <c r="E3145" s="2194" t="s">
        <v>5352</v>
      </c>
      <c r="F3145" s="2501" t="s">
        <v>856</v>
      </c>
      <c r="G3145" s="2420">
        <f>G3137</f>
        <v>0</v>
      </c>
      <c r="H3145" s="2264">
        <v>0</v>
      </c>
      <c r="I3145" s="2264"/>
      <c r="J3145" s="2264" t="s">
        <v>6312</v>
      </c>
      <c r="K3145" s="2264">
        <v>0</v>
      </c>
      <c r="L3145" s="2264">
        <f>H3145*$G3145</f>
        <v>0</v>
      </c>
      <c r="M3145" s="2264">
        <f>I3145*$G3145</f>
        <v>0</v>
      </c>
      <c r="N3145" s="2264">
        <v>0</v>
      </c>
      <c r="O3145" s="2264">
        <f>K3145*$G3145</f>
        <v>0</v>
      </c>
      <c r="P3145" s="2265"/>
      <c r="Q3145" s="2266"/>
      <c r="R3145" s="2266"/>
      <c r="S3145" s="2266"/>
    </row>
    <row r="3146" spans="1:19" s="2105" customFormat="1" outlineLevel="1">
      <c r="A3146" s="2182" t="str">
        <f>IF(G3146&lt;&gt;0,1,"")</f>
        <v/>
      </c>
      <c r="B3146" s="2252" t="s">
        <v>1437</v>
      </c>
      <c r="C3146" s="2258"/>
      <c r="D3146" s="2152" t="s">
        <v>5346</v>
      </c>
      <c r="E3146" s="2194" t="s">
        <v>5347</v>
      </c>
      <c r="F3146" s="2152" t="s">
        <v>2532</v>
      </c>
      <c r="G3146" s="2269">
        <f>G3136/0.224*G3134</f>
        <v>0</v>
      </c>
      <c r="H3146" s="2264">
        <v>0</v>
      </c>
      <c r="I3146" s="2264"/>
      <c r="J3146" s="2264">
        <v>8070.7000000000007</v>
      </c>
      <c r="K3146" s="2264">
        <v>2044.9974999999999</v>
      </c>
      <c r="L3146" s="2264">
        <f>H3146*G3146</f>
        <v>0</v>
      </c>
      <c r="M3146" s="2264">
        <f>I3146*G3146</f>
        <v>0</v>
      </c>
      <c r="N3146" s="2264">
        <f>J3146*G3146</f>
        <v>0</v>
      </c>
      <c r="O3146" s="2264">
        <f>K3146*G3146</f>
        <v>0</v>
      </c>
      <c r="P3146" s="2265"/>
      <c r="Q3146" s="2266"/>
      <c r="R3146" s="2266"/>
      <c r="S3146" s="2266"/>
    </row>
    <row r="3147" spans="1:19" s="2105" customFormat="1" outlineLevel="1">
      <c r="A3147" s="2182" t="str">
        <f>IF(G3147&lt;&gt;0,1,"")</f>
        <v/>
      </c>
      <c r="B3147" s="2261"/>
      <c r="C3147" s="2258">
        <f>IF(G3147&gt;0,C3134+1,C3134)</f>
        <v>0</v>
      </c>
      <c r="D3147" s="2259"/>
      <c r="E3147" s="2376" t="s">
        <v>6291</v>
      </c>
      <c r="F3147" s="2258" t="s">
        <v>2385</v>
      </c>
      <c r="G3147" s="2263">
        <f>G3084</f>
        <v>0</v>
      </c>
      <c r="H3147" s="2264"/>
      <c r="I3147" s="2264"/>
      <c r="J3147" s="2264"/>
      <c r="K3147" s="2264"/>
      <c r="L3147" s="2264">
        <f t="shared" ref="L3147:L3169" si="663">H3147*G3147</f>
        <v>0</v>
      </c>
      <c r="M3147" s="2264">
        <f t="shared" ref="M3147:M3169" si="664">I3147*G3147</f>
        <v>0</v>
      </c>
      <c r="N3147" s="2264">
        <f t="shared" ref="N3147:N3169" si="665">J3147*G3147</f>
        <v>0</v>
      </c>
      <c r="O3147" s="2264">
        <f t="shared" ref="O3147:O3169" si="666">K3147*G3147</f>
        <v>0</v>
      </c>
      <c r="P3147" s="2265"/>
      <c r="Q3147" s="2266"/>
      <c r="R3147" s="2266"/>
      <c r="S3147" s="2266"/>
    </row>
    <row r="3148" spans="1:19" s="2105" customFormat="1" ht="14.4" outlineLevel="1">
      <c r="A3148" s="2182" t="str">
        <f>A3147</f>
        <v/>
      </c>
      <c r="B3148" s="2261"/>
      <c r="C3148" s="2258"/>
      <c r="D3148" s="2259"/>
      <c r="E3148" s="2267" t="s">
        <v>6133</v>
      </c>
      <c r="F3148" s="2268"/>
      <c r="G3148" s="2269"/>
      <c r="H3148" s="2264"/>
      <c r="I3148" s="2264"/>
      <c r="J3148" s="2264"/>
      <c r="K3148" s="2264"/>
      <c r="L3148" s="2264">
        <f t="shared" si="663"/>
        <v>0</v>
      </c>
      <c r="M3148" s="2264">
        <f t="shared" si="664"/>
        <v>0</v>
      </c>
      <c r="N3148" s="2264">
        <f t="shared" si="665"/>
        <v>0</v>
      </c>
      <c r="O3148" s="2264">
        <f t="shared" si="666"/>
        <v>0</v>
      </c>
      <c r="P3148" s="2265"/>
      <c r="Q3148" s="2266"/>
      <c r="R3148" s="2266"/>
      <c r="S3148" s="2266"/>
    </row>
    <row r="3149" spans="1:19" s="2105" customFormat="1" outlineLevel="1">
      <c r="A3149" s="2182" t="str">
        <f>IF(G3149&lt;&gt;0,1,"")</f>
        <v/>
      </c>
      <c r="B3149" s="2261" t="s">
        <v>6297</v>
      </c>
      <c r="C3149" s="2268"/>
      <c r="D3149" s="2152" t="s">
        <v>5633</v>
      </c>
      <c r="E3149" s="2194" t="s">
        <v>5639</v>
      </c>
      <c r="F3149" s="2152" t="s">
        <v>2555</v>
      </c>
      <c r="G3149" s="2270">
        <f>G3147</f>
        <v>0</v>
      </c>
      <c r="H3149" s="2264">
        <v>70000000</v>
      </c>
      <c r="I3149" s="2264"/>
      <c r="J3149" s="2264">
        <v>690091</v>
      </c>
      <c r="K3149" s="2264">
        <v>97369</v>
      </c>
      <c r="L3149" s="2264">
        <f t="shared" si="663"/>
        <v>0</v>
      </c>
      <c r="M3149" s="2264">
        <f t="shared" si="664"/>
        <v>0</v>
      </c>
      <c r="N3149" s="2264">
        <f t="shared" si="665"/>
        <v>0</v>
      </c>
      <c r="O3149" s="2264">
        <f t="shared" si="666"/>
        <v>0</v>
      </c>
      <c r="P3149" s="2265"/>
      <c r="Q3149" s="2266"/>
      <c r="R3149" s="2266"/>
      <c r="S3149" s="2266"/>
    </row>
    <row r="3150" spans="1:19" s="2105" customFormat="1" outlineLevel="1">
      <c r="A3150" s="2182" t="str">
        <f>IF(G3150&lt;&gt;0,1,"")</f>
        <v/>
      </c>
      <c r="B3150" s="2261" t="s">
        <v>289</v>
      </c>
      <c r="C3150" s="2268"/>
      <c r="D3150" s="2152">
        <v>0</v>
      </c>
      <c r="E3150" s="2194" t="s">
        <v>5712</v>
      </c>
      <c r="F3150" s="2152" t="s">
        <v>2555</v>
      </c>
      <c r="G3150" s="2270">
        <f>G3147</f>
        <v>0</v>
      </c>
      <c r="H3150" s="2264">
        <v>300000</v>
      </c>
      <c r="I3150" s="2264"/>
      <c r="J3150" s="2264">
        <v>0</v>
      </c>
      <c r="K3150" s="2264">
        <v>0</v>
      </c>
      <c r="L3150" s="2264">
        <f t="shared" si="663"/>
        <v>0</v>
      </c>
      <c r="M3150" s="2264">
        <f t="shared" si="664"/>
        <v>0</v>
      </c>
      <c r="N3150" s="2264">
        <f t="shared" si="665"/>
        <v>0</v>
      </c>
      <c r="O3150" s="2264">
        <f t="shared" si="666"/>
        <v>0</v>
      </c>
      <c r="P3150" s="2265"/>
      <c r="Q3150" s="2266"/>
      <c r="R3150" s="2266"/>
      <c r="S3150" s="2266"/>
    </row>
    <row r="3151" spans="1:19" s="2105" customFormat="1" outlineLevel="1">
      <c r="A3151" s="2182" t="str">
        <f>IF(G3151&lt;&gt;0,1,"")</f>
        <v/>
      </c>
      <c r="B3151" s="2261"/>
      <c r="C3151" s="2258">
        <f>IF(G3151&gt;0,C3147+1,C3147)</f>
        <v>0</v>
      </c>
      <c r="D3151" s="2259"/>
      <c r="E3151" s="2262" t="s">
        <v>3757</v>
      </c>
      <c r="F3151" s="2258" t="s">
        <v>2532</v>
      </c>
      <c r="G3151" s="2562"/>
      <c r="H3151" s="2264"/>
      <c r="I3151" s="2264"/>
      <c r="J3151" s="2264"/>
      <c r="K3151" s="2264"/>
      <c r="L3151" s="2264">
        <f t="shared" si="663"/>
        <v>0</v>
      </c>
      <c r="M3151" s="2264">
        <f t="shared" si="664"/>
        <v>0</v>
      </c>
      <c r="N3151" s="2264">
        <f t="shared" si="665"/>
        <v>0</v>
      </c>
      <c r="O3151" s="2264">
        <f t="shared" si="666"/>
        <v>0</v>
      </c>
      <c r="P3151" s="2265"/>
      <c r="Q3151" s="2266"/>
      <c r="R3151" s="2266"/>
      <c r="S3151" s="2266"/>
    </row>
    <row r="3152" spans="1:19" s="2105" customFormat="1" ht="14.4" outlineLevel="1">
      <c r="A3152" s="2182" t="str">
        <f>A3151</f>
        <v/>
      </c>
      <c r="B3152" s="2261"/>
      <c r="C3152" s="2258"/>
      <c r="D3152" s="2259"/>
      <c r="E3152" s="2267" t="s">
        <v>6133</v>
      </c>
      <c r="F3152" s="2268"/>
      <c r="G3152" s="2421"/>
      <c r="H3152" s="2264"/>
      <c r="I3152" s="2264"/>
      <c r="J3152" s="2264"/>
      <c r="K3152" s="2264"/>
      <c r="L3152" s="2264">
        <f t="shared" si="663"/>
        <v>0</v>
      </c>
      <c r="M3152" s="2264">
        <f t="shared" si="664"/>
        <v>0</v>
      </c>
      <c r="N3152" s="2264">
        <f t="shared" si="665"/>
        <v>0</v>
      </c>
      <c r="O3152" s="2264">
        <f t="shared" si="666"/>
        <v>0</v>
      </c>
      <c r="P3152" s="2265"/>
      <c r="Q3152" s="2266"/>
      <c r="R3152" s="2266"/>
      <c r="S3152" s="2266"/>
    </row>
    <row r="3153" spans="1:19" s="2105" customFormat="1" outlineLevel="1">
      <c r="A3153" s="2182" t="str">
        <f t="shared" ref="A3153:A3161" si="667">IF(G3153&lt;&gt;0,1,"")</f>
        <v/>
      </c>
      <c r="B3153" s="2554" t="s">
        <v>752</v>
      </c>
      <c r="C3153" s="2268"/>
      <c r="D3153" s="2152">
        <v>0</v>
      </c>
      <c r="E3153" s="2359" t="s">
        <v>6392</v>
      </c>
      <c r="F3153" s="2152" t="s">
        <v>856</v>
      </c>
      <c r="G3153" s="2270">
        <f>G3151*0.38</f>
        <v>0</v>
      </c>
      <c r="H3153" s="2264">
        <v>512000</v>
      </c>
      <c r="I3153" s="2264"/>
      <c r="J3153" s="2264">
        <v>0</v>
      </c>
      <c r="K3153" s="2264">
        <v>0</v>
      </c>
      <c r="L3153" s="2264">
        <f t="shared" si="663"/>
        <v>0</v>
      </c>
      <c r="M3153" s="2264">
        <f t="shared" si="664"/>
        <v>0</v>
      </c>
      <c r="N3153" s="2264">
        <f t="shared" si="665"/>
        <v>0</v>
      </c>
      <c r="O3153" s="2264">
        <f t="shared" si="666"/>
        <v>0</v>
      </c>
      <c r="P3153" s="2265"/>
      <c r="Q3153" s="2266"/>
      <c r="R3153" s="2266"/>
      <c r="S3153" s="2266"/>
    </row>
    <row r="3154" spans="1:19" s="2105" customFormat="1" outlineLevel="1">
      <c r="A3154" s="2182" t="str">
        <f t="shared" si="667"/>
        <v/>
      </c>
      <c r="B3154" s="2554" t="s">
        <v>867</v>
      </c>
      <c r="C3154" s="2268"/>
      <c r="D3154" s="2152">
        <v>0</v>
      </c>
      <c r="E3154" s="2359" t="s">
        <v>6393</v>
      </c>
      <c r="F3154" s="2152" t="s">
        <v>856</v>
      </c>
      <c r="G3154" s="2270">
        <f>0.12*G3151*0</f>
        <v>0</v>
      </c>
      <c r="H3154" s="2264">
        <v>335000</v>
      </c>
      <c r="I3154" s="2264"/>
      <c r="J3154" s="2264">
        <v>0</v>
      </c>
      <c r="K3154" s="2264">
        <v>0</v>
      </c>
      <c r="L3154" s="2264">
        <f t="shared" si="663"/>
        <v>0</v>
      </c>
      <c r="M3154" s="2264">
        <f t="shared" si="664"/>
        <v>0</v>
      </c>
      <c r="N3154" s="2264">
        <f t="shared" si="665"/>
        <v>0</v>
      </c>
      <c r="O3154" s="2264">
        <f t="shared" si="666"/>
        <v>0</v>
      </c>
      <c r="P3154" s="2265"/>
      <c r="Q3154" s="2266"/>
      <c r="R3154" s="2266"/>
      <c r="S3154" s="2266"/>
    </row>
    <row r="3155" spans="1:19" s="2105" customFormat="1" outlineLevel="1">
      <c r="A3155" s="2182" t="str">
        <f t="shared" si="667"/>
        <v/>
      </c>
      <c r="B3155" s="2554" t="s">
        <v>1675</v>
      </c>
      <c r="C3155" s="2268"/>
      <c r="D3155" s="2152">
        <v>0</v>
      </c>
      <c r="E3155" s="2359" t="s">
        <v>6377</v>
      </c>
      <c r="F3155" s="2152" t="s">
        <v>3006</v>
      </c>
      <c r="G3155" s="2270">
        <f>3.3*G3151</f>
        <v>0</v>
      </c>
      <c r="H3155" s="2264">
        <v>7000</v>
      </c>
      <c r="I3155" s="2264"/>
      <c r="J3155" s="2264">
        <v>0</v>
      </c>
      <c r="K3155" s="2264">
        <v>0</v>
      </c>
      <c r="L3155" s="2264">
        <f t="shared" si="663"/>
        <v>0</v>
      </c>
      <c r="M3155" s="2264">
        <f t="shared" si="664"/>
        <v>0</v>
      </c>
      <c r="N3155" s="2264">
        <f t="shared" si="665"/>
        <v>0</v>
      </c>
      <c r="O3155" s="2264">
        <f t="shared" si="666"/>
        <v>0</v>
      </c>
      <c r="P3155" s="2265"/>
      <c r="Q3155" s="2266"/>
      <c r="R3155" s="2266"/>
      <c r="S3155" s="2266"/>
    </row>
    <row r="3156" spans="1:19" s="2105" customFormat="1" outlineLevel="1">
      <c r="A3156" s="2182" t="str">
        <f t="shared" si="667"/>
        <v/>
      </c>
      <c r="B3156" s="2554" t="s">
        <v>1676</v>
      </c>
      <c r="C3156" s="2268"/>
      <c r="D3156" s="2152" t="s">
        <v>5290</v>
      </c>
      <c r="E3156" s="2359" t="s">
        <v>6378</v>
      </c>
      <c r="F3156" s="2152" t="s">
        <v>1960</v>
      </c>
      <c r="G3156" s="2270">
        <f>0.4*G3151</f>
        <v>0</v>
      </c>
      <c r="H3156" s="2264">
        <v>10000</v>
      </c>
      <c r="I3156" s="2264"/>
      <c r="J3156" s="2264">
        <v>1187.155</v>
      </c>
      <c r="K3156" s="2264">
        <v>0</v>
      </c>
      <c r="L3156" s="2264">
        <f t="shared" si="663"/>
        <v>0</v>
      </c>
      <c r="M3156" s="2264">
        <f t="shared" si="664"/>
        <v>0</v>
      </c>
      <c r="N3156" s="2264">
        <f t="shared" si="665"/>
        <v>0</v>
      </c>
      <c r="O3156" s="2264">
        <f t="shared" si="666"/>
        <v>0</v>
      </c>
      <c r="P3156" s="2265"/>
      <c r="Q3156" s="2266"/>
      <c r="R3156" s="2266"/>
      <c r="S3156" s="2266"/>
    </row>
    <row r="3157" spans="1:19" s="2105" customFormat="1" outlineLevel="1">
      <c r="A3157" s="2182" t="str">
        <f t="shared" si="667"/>
        <v/>
      </c>
      <c r="B3157" s="2554" t="s">
        <v>1518</v>
      </c>
      <c r="C3157" s="2258"/>
      <c r="D3157" s="2152">
        <v>0</v>
      </c>
      <c r="E3157" s="2359" t="s">
        <v>3530</v>
      </c>
      <c r="F3157" s="2152" t="s">
        <v>1823</v>
      </c>
      <c r="G3157" s="2270">
        <f>1*G3151</f>
        <v>0</v>
      </c>
      <c r="H3157" s="2264">
        <v>165250</v>
      </c>
      <c r="I3157" s="2264"/>
      <c r="J3157" s="2264">
        <v>0</v>
      </c>
      <c r="K3157" s="2264">
        <v>0</v>
      </c>
      <c r="L3157" s="2264">
        <f t="shared" si="663"/>
        <v>0</v>
      </c>
      <c r="M3157" s="2264">
        <f t="shared" si="664"/>
        <v>0</v>
      </c>
      <c r="N3157" s="2264">
        <f t="shared" si="665"/>
        <v>0</v>
      </c>
      <c r="O3157" s="2264">
        <f t="shared" si="666"/>
        <v>0</v>
      </c>
      <c r="P3157" s="2265"/>
      <c r="Q3157" s="2266"/>
      <c r="R3157" s="2266"/>
      <c r="S3157" s="2266"/>
    </row>
    <row r="3158" spans="1:19" s="2105" customFormat="1" outlineLevel="1">
      <c r="A3158" s="2182" t="str">
        <f t="shared" si="667"/>
        <v/>
      </c>
      <c r="B3158" s="2554" t="s">
        <v>1678</v>
      </c>
      <c r="C3158" s="2268"/>
      <c r="D3158" s="2152" t="s">
        <v>5333</v>
      </c>
      <c r="E3158" s="2359" t="s">
        <v>5334</v>
      </c>
      <c r="F3158" s="2152" t="s">
        <v>856</v>
      </c>
      <c r="G3158" s="2270">
        <f>G3153+G3154</f>
        <v>0</v>
      </c>
      <c r="H3158" s="2264">
        <v>0</v>
      </c>
      <c r="I3158" s="2264"/>
      <c r="J3158" s="2264">
        <v>315277.5</v>
      </c>
      <c r="K3158" s="2264">
        <v>0</v>
      </c>
      <c r="L3158" s="2264">
        <f t="shared" si="663"/>
        <v>0</v>
      </c>
      <c r="M3158" s="2264">
        <f t="shared" si="664"/>
        <v>0</v>
      </c>
      <c r="N3158" s="2264">
        <f t="shared" si="665"/>
        <v>0</v>
      </c>
      <c r="O3158" s="2264">
        <f t="shared" si="666"/>
        <v>0</v>
      </c>
      <c r="P3158" s="2265"/>
      <c r="Q3158" s="2266"/>
      <c r="R3158" s="2266"/>
      <c r="S3158" s="2266"/>
    </row>
    <row r="3159" spans="1:19" s="2105" customFormat="1" outlineLevel="1">
      <c r="A3159" s="2182" t="str">
        <f t="shared" si="667"/>
        <v/>
      </c>
      <c r="B3159" s="2554" t="s">
        <v>144</v>
      </c>
      <c r="C3159" s="2268"/>
      <c r="D3159" s="2152" t="s">
        <v>5327</v>
      </c>
      <c r="E3159" s="2359" t="s">
        <v>6380</v>
      </c>
      <c r="F3159" s="2152" t="s">
        <v>856</v>
      </c>
      <c r="G3159" s="2270">
        <f>G3151*0.48</f>
        <v>0</v>
      </c>
      <c r="H3159" s="2264">
        <v>0</v>
      </c>
      <c r="I3159" s="2264"/>
      <c r="J3159" s="2264">
        <v>640731.36</v>
      </c>
      <c r="K3159" s="2264">
        <v>0</v>
      </c>
      <c r="L3159" s="2264">
        <f t="shared" si="663"/>
        <v>0</v>
      </c>
      <c r="M3159" s="2264">
        <f t="shared" si="664"/>
        <v>0</v>
      </c>
      <c r="N3159" s="2264">
        <f t="shared" si="665"/>
        <v>0</v>
      </c>
      <c r="O3159" s="2264">
        <f t="shared" si="666"/>
        <v>0</v>
      </c>
      <c r="P3159" s="2265"/>
      <c r="Q3159" s="2266"/>
      <c r="R3159" s="2266"/>
      <c r="S3159" s="2266"/>
    </row>
    <row r="3160" spans="1:19" s="2105" customFormat="1" outlineLevel="1">
      <c r="A3160" s="2182" t="str">
        <f t="shared" si="667"/>
        <v/>
      </c>
      <c r="B3160" s="2554" t="s">
        <v>529</v>
      </c>
      <c r="C3160" s="2268"/>
      <c r="D3160" s="2152" t="s">
        <v>5332</v>
      </c>
      <c r="E3160" s="2359" t="s">
        <v>6394</v>
      </c>
      <c r="F3160" s="2152" t="s">
        <v>856</v>
      </c>
      <c r="G3160" s="2270">
        <f>0.16*G3151</f>
        <v>0</v>
      </c>
      <c r="H3160" s="2264">
        <v>0</v>
      </c>
      <c r="I3160" s="2264"/>
      <c r="J3160" s="2264">
        <v>21935.133999999998</v>
      </c>
      <c r="K3160" s="2264">
        <v>0</v>
      </c>
      <c r="L3160" s="2264">
        <f t="shared" si="663"/>
        <v>0</v>
      </c>
      <c r="M3160" s="2264">
        <f t="shared" si="664"/>
        <v>0</v>
      </c>
      <c r="N3160" s="2264">
        <f t="shared" si="665"/>
        <v>0</v>
      </c>
      <c r="O3160" s="2264">
        <f t="shared" si="666"/>
        <v>0</v>
      </c>
      <c r="P3160" s="2265"/>
      <c r="Q3160" s="2266"/>
      <c r="R3160" s="2422">
        <v>0.47499999999999998</v>
      </c>
      <c r="S3160" s="2266"/>
    </row>
    <row r="3161" spans="1:19" s="2105" customFormat="1" outlineLevel="1">
      <c r="A3161" s="2182" t="str">
        <f t="shared" si="667"/>
        <v/>
      </c>
      <c r="B3161" s="2261"/>
      <c r="C3161" s="2258">
        <f>IF(G3161&gt;0,C3151+1,C3151)</f>
        <v>0</v>
      </c>
      <c r="D3161" s="2259"/>
      <c r="E3161" s="2262" t="s">
        <v>3758</v>
      </c>
      <c r="F3161" s="2258" t="s">
        <v>2385</v>
      </c>
      <c r="G3161" s="2263"/>
      <c r="H3161" s="2264"/>
      <c r="I3161" s="2264"/>
      <c r="J3161" s="2264"/>
      <c r="K3161" s="2264"/>
      <c r="L3161" s="2264">
        <f t="shared" si="663"/>
        <v>0</v>
      </c>
      <c r="M3161" s="2264">
        <f t="shared" si="664"/>
        <v>0</v>
      </c>
      <c r="N3161" s="2264">
        <f t="shared" si="665"/>
        <v>0</v>
      </c>
      <c r="O3161" s="2264">
        <f t="shared" si="666"/>
        <v>0</v>
      </c>
      <c r="P3161" s="2265"/>
      <c r="Q3161" s="2266"/>
      <c r="R3161" s="2422">
        <v>0.88100000000000001</v>
      </c>
      <c r="S3161" s="2266"/>
    </row>
    <row r="3162" spans="1:19" s="2105" customFormat="1" ht="14.4" outlineLevel="1">
      <c r="A3162" s="2182" t="str">
        <f>A3161</f>
        <v/>
      </c>
      <c r="B3162" s="2261"/>
      <c r="C3162" s="2258"/>
      <c r="D3162" s="2259"/>
      <c r="E3162" s="2267" t="s">
        <v>6133</v>
      </c>
      <c r="F3162" s="2268"/>
      <c r="G3162" s="2421"/>
      <c r="H3162" s="2264"/>
      <c r="I3162" s="2264"/>
      <c r="J3162" s="2264"/>
      <c r="K3162" s="2264"/>
      <c r="L3162" s="2264">
        <f t="shared" si="663"/>
        <v>0</v>
      </c>
      <c r="M3162" s="2264">
        <f t="shared" si="664"/>
        <v>0</v>
      </c>
      <c r="N3162" s="2264">
        <f t="shared" si="665"/>
        <v>0</v>
      </c>
      <c r="O3162" s="2264">
        <f t="shared" si="666"/>
        <v>0</v>
      </c>
      <c r="P3162" s="2265"/>
      <c r="Q3162" s="2266"/>
      <c r="R3162" s="2266"/>
      <c r="S3162" s="2266"/>
    </row>
    <row r="3163" spans="1:19" s="2105" customFormat="1" outlineLevel="1">
      <c r="A3163" s="2182" t="str">
        <f t="shared" ref="A3163:A3170" si="668">IF(G3163&lt;&gt;0,1,"")</f>
        <v/>
      </c>
      <c r="B3163" s="2261" t="s">
        <v>623</v>
      </c>
      <c r="C3163" s="2268"/>
      <c r="D3163" s="2152" t="s">
        <v>5305</v>
      </c>
      <c r="E3163" s="2194" t="s">
        <v>5306</v>
      </c>
      <c r="F3163" s="2152" t="s">
        <v>2532</v>
      </c>
      <c r="G3163" s="2270">
        <f>G3161*4</f>
        <v>0</v>
      </c>
      <c r="H3163" s="2264">
        <v>278000</v>
      </c>
      <c r="I3163" s="2264"/>
      <c r="J3163" s="2264">
        <v>127101.65849999999</v>
      </c>
      <c r="K3163" s="2264">
        <v>0</v>
      </c>
      <c r="L3163" s="2264">
        <f t="shared" si="663"/>
        <v>0</v>
      </c>
      <c r="M3163" s="2264">
        <f t="shared" si="664"/>
        <v>0</v>
      </c>
      <c r="N3163" s="2264">
        <f t="shared" si="665"/>
        <v>0</v>
      </c>
      <c r="O3163" s="2264">
        <f t="shared" si="666"/>
        <v>0</v>
      </c>
      <c r="P3163" s="2265"/>
      <c r="Q3163" s="2266"/>
      <c r="R3163" s="2266"/>
      <c r="S3163" s="2266"/>
    </row>
    <row r="3164" spans="1:19" s="2105" customFormat="1" outlineLevel="1">
      <c r="A3164" s="2182" t="str">
        <f t="shared" si="668"/>
        <v/>
      </c>
      <c r="B3164" s="2554" t="s">
        <v>473</v>
      </c>
      <c r="C3164" s="2258"/>
      <c r="D3164" s="2152">
        <v>0</v>
      </c>
      <c r="E3164" s="2194" t="s">
        <v>3552</v>
      </c>
      <c r="F3164" s="2152" t="s">
        <v>2555</v>
      </c>
      <c r="G3164" s="2270">
        <f>G3161*1</f>
        <v>0</v>
      </c>
      <c r="H3164" s="2264">
        <v>138000</v>
      </c>
      <c r="I3164" s="2264"/>
      <c r="J3164" s="2264">
        <v>0</v>
      </c>
      <c r="K3164" s="2264">
        <v>0</v>
      </c>
      <c r="L3164" s="2264">
        <f t="shared" si="663"/>
        <v>0</v>
      </c>
      <c r="M3164" s="2264">
        <f t="shared" si="664"/>
        <v>0</v>
      </c>
      <c r="N3164" s="2264">
        <f t="shared" si="665"/>
        <v>0</v>
      </c>
      <c r="O3164" s="2264">
        <f t="shared" si="666"/>
        <v>0</v>
      </c>
      <c r="P3164" s="2265"/>
      <c r="Q3164" s="2266"/>
      <c r="R3164" s="2266"/>
      <c r="S3164" s="2266"/>
    </row>
    <row r="3165" spans="1:19" s="2105" customFormat="1" outlineLevel="1">
      <c r="A3165" s="2182" t="str">
        <f t="shared" si="668"/>
        <v/>
      </c>
      <c r="B3165" s="2261" t="s">
        <v>120</v>
      </c>
      <c r="C3165" s="2268"/>
      <c r="D3165" s="2152">
        <v>0</v>
      </c>
      <c r="E3165" s="2194" t="s">
        <v>2981</v>
      </c>
      <c r="F3165" s="2152" t="s">
        <v>2439</v>
      </c>
      <c r="G3165" s="2270">
        <f>G3161*2</f>
        <v>0</v>
      </c>
      <c r="H3165" s="2264">
        <v>40000</v>
      </c>
      <c r="I3165" s="2264"/>
      <c r="J3165" s="2264">
        <v>0</v>
      </c>
      <c r="K3165" s="2264">
        <v>0</v>
      </c>
      <c r="L3165" s="2264">
        <f t="shared" si="663"/>
        <v>0</v>
      </c>
      <c r="M3165" s="2264">
        <f t="shared" si="664"/>
        <v>0</v>
      </c>
      <c r="N3165" s="2264">
        <f t="shared" si="665"/>
        <v>0</v>
      </c>
      <c r="O3165" s="2264">
        <f t="shared" si="666"/>
        <v>0</v>
      </c>
      <c r="P3165" s="2265"/>
      <c r="Q3165" s="2266"/>
      <c r="R3165" s="2266"/>
      <c r="S3165" s="2266"/>
    </row>
    <row r="3166" spans="1:19" s="2105" customFormat="1" outlineLevel="1">
      <c r="A3166" s="2182" t="str">
        <f t="shared" si="668"/>
        <v/>
      </c>
      <c r="B3166" s="2252" t="s">
        <v>1409</v>
      </c>
      <c r="C3166" s="2268"/>
      <c r="D3166" s="2152">
        <v>0</v>
      </c>
      <c r="E3166" s="2194" t="s">
        <v>3449</v>
      </c>
      <c r="F3166" s="2152" t="s">
        <v>2439</v>
      </c>
      <c r="G3166" s="2270">
        <f>G3161</f>
        <v>0</v>
      </c>
      <c r="H3166" s="2264">
        <v>150000</v>
      </c>
      <c r="I3166" s="2264"/>
      <c r="J3166" s="2264">
        <v>0</v>
      </c>
      <c r="K3166" s="2264">
        <v>0</v>
      </c>
      <c r="L3166" s="2264">
        <f t="shared" si="663"/>
        <v>0</v>
      </c>
      <c r="M3166" s="2264">
        <f t="shared" si="664"/>
        <v>0</v>
      </c>
      <c r="N3166" s="2264">
        <f t="shared" si="665"/>
        <v>0</v>
      </c>
      <c r="O3166" s="2264">
        <f t="shared" si="666"/>
        <v>0</v>
      </c>
      <c r="P3166" s="2265"/>
      <c r="Q3166" s="2266"/>
      <c r="R3166" s="2266"/>
      <c r="S3166" s="2266"/>
    </row>
    <row r="3167" spans="1:19" s="2105" customFormat="1" outlineLevel="1">
      <c r="A3167" s="2182" t="str">
        <f t="shared" si="668"/>
        <v/>
      </c>
      <c r="B3167" s="2252" t="s">
        <v>984</v>
      </c>
      <c r="C3167" s="2268"/>
      <c r="D3167" s="2152">
        <v>0</v>
      </c>
      <c r="E3167" s="2194" t="s">
        <v>3454</v>
      </c>
      <c r="F3167" s="2152" t="s">
        <v>2439</v>
      </c>
      <c r="G3167" s="2270">
        <f>G3161</f>
        <v>0</v>
      </c>
      <c r="H3167" s="2264">
        <v>224832</v>
      </c>
      <c r="I3167" s="2264"/>
      <c r="J3167" s="2264">
        <v>3635</v>
      </c>
      <c r="K3167" s="2264">
        <v>6321</v>
      </c>
      <c r="L3167" s="2264">
        <f t="shared" si="663"/>
        <v>0</v>
      </c>
      <c r="M3167" s="2264">
        <f t="shared" si="664"/>
        <v>0</v>
      </c>
      <c r="N3167" s="2264">
        <f t="shared" si="665"/>
        <v>0</v>
      </c>
      <c r="O3167" s="2264">
        <f t="shared" si="666"/>
        <v>0</v>
      </c>
      <c r="P3167" s="2265"/>
      <c r="Q3167" s="2266"/>
      <c r="R3167" s="2266"/>
      <c r="S3167" s="2266"/>
    </row>
    <row r="3168" spans="1:19" s="2105" customFormat="1" outlineLevel="1">
      <c r="A3168" s="2182" t="str">
        <f t="shared" si="668"/>
        <v/>
      </c>
      <c r="B3168" s="2261" t="s">
        <v>1410</v>
      </c>
      <c r="C3168" s="2258"/>
      <c r="D3168" s="2152" t="s">
        <v>5341</v>
      </c>
      <c r="E3168" s="2194" t="s">
        <v>5342</v>
      </c>
      <c r="F3168" s="2152" t="s">
        <v>2439</v>
      </c>
      <c r="G3168" s="2270">
        <f>G3166</f>
        <v>0</v>
      </c>
      <c r="H3168" s="2264">
        <v>0</v>
      </c>
      <c r="I3168" s="2264"/>
      <c r="J3168" s="2264">
        <v>28219.62</v>
      </c>
      <c r="K3168" s="2264">
        <v>0</v>
      </c>
      <c r="L3168" s="2264">
        <f t="shared" si="663"/>
        <v>0</v>
      </c>
      <c r="M3168" s="2264">
        <f t="shared" si="664"/>
        <v>0</v>
      </c>
      <c r="N3168" s="2264">
        <f t="shared" si="665"/>
        <v>0</v>
      </c>
      <c r="O3168" s="2264">
        <f t="shared" si="666"/>
        <v>0</v>
      </c>
      <c r="P3168" s="2265"/>
      <c r="Q3168" s="2266"/>
      <c r="R3168" s="2266"/>
      <c r="S3168" s="2266"/>
    </row>
    <row r="3169" spans="1:19" s="2105" customFormat="1" outlineLevel="1">
      <c r="A3169" s="2182" t="str">
        <f t="shared" si="668"/>
        <v/>
      </c>
      <c r="B3169" s="2261" t="s">
        <v>289</v>
      </c>
      <c r="C3169" s="2268"/>
      <c r="D3169" s="2152">
        <v>0</v>
      </c>
      <c r="E3169" s="2194" t="s">
        <v>5712</v>
      </c>
      <c r="F3169" s="2152" t="s">
        <v>2555</v>
      </c>
      <c r="G3169" s="2270">
        <f>G3161</f>
        <v>0</v>
      </c>
      <c r="H3169" s="2264">
        <v>300000</v>
      </c>
      <c r="I3169" s="2264"/>
      <c r="J3169" s="2264">
        <v>0</v>
      </c>
      <c r="K3169" s="2264">
        <v>0</v>
      </c>
      <c r="L3169" s="2264">
        <f t="shared" si="663"/>
        <v>0</v>
      </c>
      <c r="M3169" s="2264">
        <f t="shared" si="664"/>
        <v>0</v>
      </c>
      <c r="N3169" s="2264">
        <f t="shared" si="665"/>
        <v>0</v>
      </c>
      <c r="O3169" s="2264">
        <f t="shared" si="666"/>
        <v>0</v>
      </c>
      <c r="P3169" s="2265"/>
      <c r="Q3169" s="2266"/>
      <c r="R3169" s="2266"/>
      <c r="S3169" s="2266"/>
    </row>
    <row r="3170" spans="1:19" s="2105" customFormat="1" outlineLevel="1">
      <c r="A3170" s="2182" t="str">
        <f t="shared" si="668"/>
        <v/>
      </c>
      <c r="B3170" s="2261"/>
      <c r="C3170" s="2258">
        <f>IF(G3170&gt;0,C3161+1,C3161)</f>
        <v>0</v>
      </c>
      <c r="D3170" s="2259"/>
      <c r="E3170" s="2260" t="s">
        <v>3740</v>
      </c>
      <c r="F3170" s="2258" t="s">
        <v>2385</v>
      </c>
      <c r="G3170" s="2263"/>
      <c r="H3170" s="2264"/>
      <c r="I3170" s="2264"/>
      <c r="J3170" s="2264"/>
      <c r="K3170" s="2264"/>
      <c r="L3170" s="2264"/>
      <c r="M3170" s="2264"/>
      <c r="N3170" s="2264"/>
      <c r="O3170" s="2264"/>
      <c r="P3170" s="2265"/>
      <c r="Q3170" s="2266"/>
      <c r="R3170" s="2266"/>
      <c r="S3170" s="2266"/>
    </row>
    <row r="3171" spans="1:19" s="2105" customFormat="1" ht="14.4" outlineLevel="1">
      <c r="A3171" s="2182" t="str">
        <f>A3170</f>
        <v/>
      </c>
      <c r="B3171" s="2261"/>
      <c r="C3171" s="2258"/>
      <c r="D3171" s="2259"/>
      <c r="E3171" s="2274" t="s">
        <v>6133</v>
      </c>
      <c r="F3171" s="2258"/>
      <c r="G3171" s="2263"/>
      <c r="H3171" s="2264"/>
      <c r="I3171" s="2264"/>
      <c r="J3171" s="2264"/>
      <c r="K3171" s="2264"/>
      <c r="L3171" s="2264"/>
      <c r="M3171" s="2264"/>
      <c r="N3171" s="2264"/>
      <c r="O3171" s="2264"/>
      <c r="P3171" s="2265"/>
      <c r="Q3171" s="2266"/>
      <c r="R3171" s="2266"/>
      <c r="S3171" s="2266"/>
    </row>
    <row r="3172" spans="1:19" s="2105" customFormat="1" outlineLevel="1">
      <c r="A3172" s="2182" t="str">
        <f>IF(G3172&lt;&gt;0,1,"")</f>
        <v/>
      </c>
      <c r="B3172" s="2252" t="s">
        <v>470</v>
      </c>
      <c r="C3172" s="2268"/>
      <c r="D3172" s="2152">
        <v>0</v>
      </c>
      <c r="E3172" s="2194" t="s">
        <v>2739</v>
      </c>
      <c r="F3172" s="2152" t="s">
        <v>2532</v>
      </c>
      <c r="G3172" s="2270">
        <f>(3+10)*1.02*G3170</f>
        <v>0</v>
      </c>
      <c r="H3172" s="2264">
        <v>763500</v>
      </c>
      <c r="I3172" s="2264"/>
      <c r="J3172" s="2264">
        <v>0</v>
      </c>
      <c r="K3172" s="2264">
        <v>0</v>
      </c>
      <c r="L3172" s="2264">
        <f>H3172*G3172</f>
        <v>0</v>
      </c>
      <c r="M3172" s="2264">
        <f>I3172*G3172</f>
        <v>0</v>
      </c>
      <c r="N3172" s="2264">
        <f>J3172*G3172</f>
        <v>0</v>
      </c>
      <c r="O3172" s="2264">
        <f>K3172*G3172</f>
        <v>0</v>
      </c>
      <c r="P3172" s="2265"/>
      <c r="Q3172" s="2266"/>
      <c r="R3172" s="2266"/>
      <c r="S3172" s="2266"/>
    </row>
    <row r="3173" spans="1:19" s="2105" customFormat="1" outlineLevel="1">
      <c r="A3173" s="2182" t="str">
        <f t="shared" ref="A3173:A3182" si="669">IF(G3173&lt;&gt;0,1,"")</f>
        <v/>
      </c>
      <c r="B3173" s="2252" t="s">
        <v>271</v>
      </c>
      <c r="C3173" s="2268"/>
      <c r="D3173" s="2152">
        <v>0</v>
      </c>
      <c r="E3173" s="2194" t="s">
        <v>2708</v>
      </c>
      <c r="F3173" s="2152" t="s">
        <v>2532</v>
      </c>
      <c r="G3173" s="2270">
        <f>G3170*0.5*3</f>
        <v>0</v>
      </c>
      <c r="H3173" s="2264">
        <v>204900</v>
      </c>
      <c r="I3173" s="2264"/>
      <c r="J3173" s="2264">
        <v>0</v>
      </c>
      <c r="K3173" s="2264">
        <v>0</v>
      </c>
      <c r="L3173" s="2264">
        <f>H3173*G3173</f>
        <v>0</v>
      </c>
      <c r="M3173" s="2264">
        <f>I3173*G3173</f>
        <v>0</v>
      </c>
      <c r="N3173" s="2264">
        <f>J3173*G3173</f>
        <v>0</v>
      </c>
      <c r="O3173" s="2264">
        <f>K3173*G3173</f>
        <v>0</v>
      </c>
      <c r="P3173" s="2265"/>
      <c r="Q3173" s="2266"/>
      <c r="R3173" s="2266"/>
      <c r="S3173" s="2266"/>
    </row>
    <row r="3174" spans="1:19" s="2105" customFormat="1" outlineLevel="1">
      <c r="A3174" s="2182" t="str">
        <f t="shared" si="669"/>
        <v/>
      </c>
      <c r="B3174" s="2252" t="s">
        <v>1352</v>
      </c>
      <c r="C3174" s="2268"/>
      <c r="D3174" s="2152">
        <v>0</v>
      </c>
      <c r="E3174" s="2194" t="s">
        <v>3014</v>
      </c>
      <c r="F3174" s="2152" t="s">
        <v>2555</v>
      </c>
      <c r="G3174" s="2270">
        <f>G3170*2</f>
        <v>0</v>
      </c>
      <c r="H3174" s="2264">
        <v>4022000</v>
      </c>
      <c r="I3174" s="2264"/>
      <c r="J3174" s="2264">
        <v>0</v>
      </c>
      <c r="K3174" s="2264">
        <v>0</v>
      </c>
      <c r="L3174" s="2264">
        <f t="shared" ref="L3174:L3179" si="670">H3174*G3174</f>
        <v>0</v>
      </c>
      <c r="M3174" s="2264">
        <f t="shared" ref="M3174:M3179" si="671">I3174*G3174</f>
        <v>0</v>
      </c>
      <c r="N3174" s="2264">
        <f t="shared" ref="N3174:N3179" si="672">J3174*G3174</f>
        <v>0</v>
      </c>
      <c r="O3174" s="2264">
        <f t="shared" ref="O3174:O3179" si="673">K3174*G3174</f>
        <v>0</v>
      </c>
      <c r="P3174" s="2265"/>
      <c r="Q3174" s="2266"/>
      <c r="R3174" s="2266"/>
      <c r="S3174" s="2266"/>
    </row>
    <row r="3175" spans="1:19" s="2105" customFormat="1" outlineLevel="1">
      <c r="A3175" s="2182" t="str">
        <f t="shared" si="669"/>
        <v/>
      </c>
      <c r="B3175" s="2252" t="s">
        <v>470</v>
      </c>
      <c r="C3175" s="2268"/>
      <c r="D3175" s="2152">
        <v>0</v>
      </c>
      <c r="E3175" s="2194" t="s">
        <v>2739</v>
      </c>
      <c r="F3175" s="2152" t="s">
        <v>2532</v>
      </c>
      <c r="G3175" s="2270">
        <f>(1.2+2.4)*G3170</f>
        <v>0</v>
      </c>
      <c r="H3175" s="2264">
        <v>763500</v>
      </c>
      <c r="I3175" s="2264"/>
      <c r="J3175" s="2264">
        <v>0</v>
      </c>
      <c r="K3175" s="2264">
        <v>0</v>
      </c>
      <c r="L3175" s="2264">
        <f t="shared" si="670"/>
        <v>0</v>
      </c>
      <c r="M3175" s="2264">
        <f t="shared" si="671"/>
        <v>0</v>
      </c>
      <c r="N3175" s="2264">
        <f t="shared" si="672"/>
        <v>0</v>
      </c>
      <c r="O3175" s="2264">
        <f t="shared" si="673"/>
        <v>0</v>
      </c>
      <c r="P3175" s="2265"/>
      <c r="Q3175" s="2266"/>
      <c r="R3175" s="2266"/>
      <c r="S3175" s="2266"/>
    </row>
    <row r="3176" spans="1:19" s="2105" customFormat="1" outlineLevel="1">
      <c r="A3176" s="2182" t="str">
        <f t="shared" si="669"/>
        <v/>
      </c>
      <c r="B3176" s="2252" t="s">
        <v>271</v>
      </c>
      <c r="C3176" s="2268"/>
      <c r="D3176" s="2152">
        <v>0</v>
      </c>
      <c r="E3176" s="2194" t="s">
        <v>2708</v>
      </c>
      <c r="F3176" s="2152" t="s">
        <v>2532</v>
      </c>
      <c r="G3176" s="2270">
        <f>G3175*0</f>
        <v>0</v>
      </c>
      <c r="H3176" s="2264">
        <v>204900</v>
      </c>
      <c r="I3176" s="2264"/>
      <c r="J3176" s="2264">
        <v>0</v>
      </c>
      <c r="K3176" s="2264">
        <v>0</v>
      </c>
      <c r="L3176" s="2264">
        <f t="shared" si="670"/>
        <v>0</v>
      </c>
      <c r="M3176" s="2264">
        <f t="shared" si="671"/>
        <v>0</v>
      </c>
      <c r="N3176" s="2264">
        <f t="shared" si="672"/>
        <v>0</v>
      </c>
      <c r="O3176" s="2264">
        <f t="shared" si="673"/>
        <v>0</v>
      </c>
      <c r="P3176" s="2265"/>
      <c r="Q3176" s="2266"/>
      <c r="R3176" s="2266"/>
      <c r="S3176" s="2266"/>
    </row>
    <row r="3177" spans="1:19" s="2105" customFormat="1" outlineLevel="1">
      <c r="A3177" s="2182" t="str">
        <f t="shared" si="669"/>
        <v/>
      </c>
      <c r="B3177" s="2252" t="s">
        <v>1353</v>
      </c>
      <c r="C3177" s="2268"/>
      <c r="D3177" s="2152">
        <v>0</v>
      </c>
      <c r="E3177" s="2194" t="s">
        <v>3021</v>
      </c>
      <c r="F3177" s="2152" t="s">
        <v>2555</v>
      </c>
      <c r="G3177" s="2270">
        <f>G3170*3</f>
        <v>0</v>
      </c>
      <c r="H3177" s="2264">
        <v>5242230</v>
      </c>
      <c r="I3177" s="2264"/>
      <c r="J3177" s="2264">
        <v>0</v>
      </c>
      <c r="K3177" s="2264">
        <v>0</v>
      </c>
      <c r="L3177" s="2264">
        <f t="shared" si="670"/>
        <v>0</v>
      </c>
      <c r="M3177" s="2264">
        <f t="shared" si="671"/>
        <v>0</v>
      </c>
      <c r="N3177" s="2264">
        <f t="shared" si="672"/>
        <v>0</v>
      </c>
      <c r="O3177" s="2264">
        <f t="shared" si="673"/>
        <v>0</v>
      </c>
      <c r="P3177" s="2265"/>
      <c r="Q3177" s="2266"/>
      <c r="R3177" s="2266"/>
      <c r="S3177" s="2266"/>
    </row>
    <row r="3178" spans="1:19" s="2105" customFormat="1" outlineLevel="1">
      <c r="A3178" s="2182" t="str">
        <f t="shared" si="669"/>
        <v/>
      </c>
      <c r="B3178" s="2252" t="s">
        <v>1674</v>
      </c>
      <c r="C3178" s="2268"/>
      <c r="D3178" s="2152" t="s">
        <v>5459</v>
      </c>
      <c r="E3178" s="2194" t="s">
        <v>3178</v>
      </c>
      <c r="F3178" s="2152" t="s">
        <v>2555</v>
      </c>
      <c r="G3178" s="2270">
        <f>G3174+G3177</f>
        <v>0</v>
      </c>
      <c r="H3178" s="2264">
        <v>11340</v>
      </c>
      <c r="I3178" s="2264"/>
      <c r="J3178" s="2264">
        <v>621381.64999999991</v>
      </c>
      <c r="K3178" s="2264">
        <v>0</v>
      </c>
      <c r="L3178" s="2264">
        <f t="shared" si="670"/>
        <v>0</v>
      </c>
      <c r="M3178" s="2264">
        <f t="shared" si="671"/>
        <v>0</v>
      </c>
      <c r="N3178" s="2264">
        <f t="shared" si="672"/>
        <v>0</v>
      </c>
      <c r="O3178" s="2264">
        <f t="shared" si="673"/>
        <v>0</v>
      </c>
      <c r="P3178" s="2265"/>
      <c r="Q3178" s="2266"/>
      <c r="R3178" s="2266"/>
      <c r="S3178" s="2266"/>
    </row>
    <row r="3179" spans="1:19" s="2105" customFormat="1" outlineLevel="1">
      <c r="A3179" s="2182" t="str">
        <f t="shared" si="669"/>
        <v/>
      </c>
      <c r="B3179" s="2252" t="s">
        <v>1182</v>
      </c>
      <c r="C3179" s="2268"/>
      <c r="D3179" s="2152" t="s">
        <v>5552</v>
      </c>
      <c r="E3179" s="2194" t="s">
        <v>3259</v>
      </c>
      <c r="F3179" s="2152" t="s">
        <v>2532</v>
      </c>
      <c r="G3179" s="2270">
        <f>G3172+G3175</f>
        <v>0</v>
      </c>
      <c r="H3179" s="2264">
        <v>546.91999999999996</v>
      </c>
      <c r="I3179" s="2264"/>
      <c r="J3179" s="2264">
        <v>21459.713</v>
      </c>
      <c r="K3179" s="2264">
        <v>0</v>
      </c>
      <c r="L3179" s="2264">
        <f t="shared" si="670"/>
        <v>0</v>
      </c>
      <c r="M3179" s="2264">
        <f t="shared" si="671"/>
        <v>0</v>
      </c>
      <c r="N3179" s="2264">
        <f t="shared" si="672"/>
        <v>0</v>
      </c>
      <c r="O3179" s="2264">
        <f t="shared" si="673"/>
        <v>0</v>
      </c>
      <c r="P3179" s="2265"/>
      <c r="Q3179" s="2266"/>
      <c r="R3179" s="2266"/>
      <c r="S3179" s="2266"/>
    </row>
    <row r="3180" spans="1:19" s="2105" customFormat="1" outlineLevel="1">
      <c r="A3180" s="2182" t="str">
        <f t="shared" si="669"/>
        <v/>
      </c>
      <c r="B3180" s="2252" t="s">
        <v>1525</v>
      </c>
      <c r="C3180" s="2268"/>
      <c r="D3180" s="2152" t="s">
        <v>5571</v>
      </c>
      <c r="E3180" s="2194" t="s">
        <v>3292</v>
      </c>
      <c r="F3180" s="2152" t="s">
        <v>1823</v>
      </c>
      <c r="G3180" s="2270">
        <f>G3173</f>
        <v>0</v>
      </c>
      <c r="H3180" s="2264">
        <v>0</v>
      </c>
      <c r="I3180" s="2264"/>
      <c r="J3180" s="2264">
        <v>13915</v>
      </c>
      <c r="K3180" s="2264">
        <v>0</v>
      </c>
      <c r="L3180" s="2264">
        <f>H3180*G3180</f>
        <v>0</v>
      </c>
      <c r="M3180" s="2264">
        <f>I3180*G3180</f>
        <v>0</v>
      </c>
      <c r="N3180" s="2264">
        <f>J3180*G3180</f>
        <v>0</v>
      </c>
      <c r="O3180" s="2264">
        <f>K3180*G3180</f>
        <v>0</v>
      </c>
      <c r="P3180" s="2265"/>
      <c r="Q3180" s="2266"/>
      <c r="R3180" s="2266"/>
      <c r="S3180" s="2266"/>
    </row>
    <row r="3181" spans="1:19" s="2105" customFormat="1" outlineLevel="1">
      <c r="A3181" s="2182" t="str">
        <f t="shared" si="669"/>
        <v/>
      </c>
      <c r="B3181" s="2252" t="s">
        <v>1349</v>
      </c>
      <c r="C3181" s="2268"/>
      <c r="D3181" s="2152">
        <v>0</v>
      </c>
      <c r="E3181" s="2194" t="s">
        <v>3518</v>
      </c>
      <c r="F3181" s="2152" t="s">
        <v>3519</v>
      </c>
      <c r="G3181" s="2270">
        <f>G3170*2</f>
        <v>0</v>
      </c>
      <c r="H3181" s="2264">
        <v>15000</v>
      </c>
      <c r="I3181" s="2264"/>
      <c r="J3181" s="2264">
        <v>0</v>
      </c>
      <c r="K3181" s="2264">
        <v>0</v>
      </c>
      <c r="L3181" s="2264">
        <f>H3181*G3181</f>
        <v>0</v>
      </c>
      <c r="M3181" s="2264">
        <f>I3181*G3181</f>
        <v>0</v>
      </c>
      <c r="N3181" s="2264">
        <f>J3181*G3181</f>
        <v>0</v>
      </c>
      <c r="O3181" s="2264">
        <f>K3181*G3181</f>
        <v>0</v>
      </c>
      <c r="P3181" s="2265"/>
      <c r="Q3181" s="2266"/>
      <c r="R3181" s="2266"/>
      <c r="S3181" s="2266"/>
    </row>
    <row r="3182" spans="1:19" s="2105" customFormat="1" outlineLevel="1">
      <c r="A3182" s="2182" t="str">
        <f t="shared" si="669"/>
        <v/>
      </c>
      <c r="B3182" s="2261"/>
      <c r="C3182" s="2258">
        <f>IF(G3182&gt;0,C3170+1,C3170)</f>
        <v>0</v>
      </c>
      <c r="D3182" s="2259"/>
      <c r="E3182" s="2260" t="s">
        <v>3727</v>
      </c>
      <c r="F3182" s="2258" t="s">
        <v>2385</v>
      </c>
      <c r="G3182" s="2263">
        <f>G3084</f>
        <v>0</v>
      </c>
      <c r="H3182" s="2264"/>
      <c r="I3182" s="2264"/>
      <c r="J3182" s="2264"/>
      <c r="K3182" s="2264"/>
      <c r="L3182" s="2264"/>
      <c r="M3182" s="2264"/>
      <c r="N3182" s="2264"/>
      <c r="O3182" s="2264"/>
      <c r="P3182" s="2265"/>
      <c r="Q3182" s="2266"/>
      <c r="R3182" s="2266"/>
      <c r="S3182" s="2266"/>
    </row>
    <row r="3183" spans="1:19" s="2105" customFormat="1" ht="14.4" outlineLevel="1">
      <c r="A3183" s="2182" t="str">
        <f>A3182</f>
        <v/>
      </c>
      <c r="B3183" s="2261"/>
      <c r="C3183" s="2258"/>
      <c r="D3183" s="2259"/>
      <c r="E3183" s="2274" t="s">
        <v>6133</v>
      </c>
      <c r="F3183" s="2258"/>
      <c r="G3183" s="2263"/>
      <c r="H3183" s="2264"/>
      <c r="I3183" s="2264"/>
      <c r="J3183" s="2264"/>
      <c r="K3183" s="2264"/>
      <c r="L3183" s="2264"/>
      <c r="M3183" s="2264"/>
      <c r="N3183" s="2264"/>
      <c r="O3183" s="2264"/>
      <c r="P3183" s="2265"/>
      <c r="Q3183" s="2266"/>
      <c r="R3183" s="2266"/>
      <c r="S3183" s="2266"/>
    </row>
    <row r="3184" spans="1:19" s="2105" customFormat="1" outlineLevel="1">
      <c r="A3184" s="2182" t="str">
        <f t="shared" ref="A3184:A3189" si="674">IF(G3184&lt;&gt;0,1,"")</f>
        <v/>
      </c>
      <c r="B3184" s="2252" t="s">
        <v>697</v>
      </c>
      <c r="C3184" s="2268"/>
      <c r="D3184" s="2152">
        <v>0</v>
      </c>
      <c r="E3184" s="2194" t="s">
        <v>5087</v>
      </c>
      <c r="F3184" s="2152" t="s">
        <v>2532</v>
      </c>
      <c r="G3184" s="2269">
        <f>G3182*9*3</f>
        <v>0</v>
      </c>
      <c r="H3184" s="2264">
        <v>50996</v>
      </c>
      <c r="I3184" s="2264"/>
      <c r="J3184" s="2264">
        <v>0</v>
      </c>
      <c r="K3184" s="2264">
        <v>0</v>
      </c>
      <c r="L3184" s="2264">
        <f t="shared" ref="L3184:L3189" si="675">H3184*G3184</f>
        <v>0</v>
      </c>
      <c r="M3184" s="2264">
        <f>I3184*G3184</f>
        <v>0</v>
      </c>
      <c r="N3184" s="2264">
        <f t="shared" ref="N3184:N3189" si="676">J3184*G3184</f>
        <v>0</v>
      </c>
      <c r="O3184" s="2264">
        <f t="shared" ref="O3184:O3189" si="677">K3184*G3184</f>
        <v>0</v>
      </c>
      <c r="P3184" s="2265"/>
      <c r="Q3184" s="2266"/>
      <c r="R3184" s="2266"/>
      <c r="S3184" s="2266"/>
    </row>
    <row r="3185" spans="1:19" s="2105" customFormat="1" outlineLevel="1">
      <c r="A3185" s="2182" t="str">
        <f t="shared" si="674"/>
        <v/>
      </c>
      <c r="B3185" s="2357" t="s">
        <v>1115</v>
      </c>
      <c r="C3185" s="2268"/>
      <c r="D3185" s="2152">
        <v>0</v>
      </c>
      <c r="E3185" s="2194" t="s">
        <v>2871</v>
      </c>
      <c r="F3185" s="2152" t="s">
        <v>2555</v>
      </c>
      <c r="G3185" s="2269">
        <f>G3182*3*2</f>
        <v>0</v>
      </c>
      <c r="H3185" s="2264">
        <v>6000</v>
      </c>
      <c r="I3185" s="2264"/>
      <c r="J3185" s="2264">
        <v>0</v>
      </c>
      <c r="K3185" s="2264">
        <v>0</v>
      </c>
      <c r="L3185" s="2264">
        <f t="shared" si="675"/>
        <v>0</v>
      </c>
      <c r="M3185" s="2264">
        <v>0</v>
      </c>
      <c r="N3185" s="2264">
        <f t="shared" si="676"/>
        <v>0</v>
      </c>
      <c r="O3185" s="2264">
        <f t="shared" si="677"/>
        <v>0</v>
      </c>
      <c r="P3185" s="2265"/>
      <c r="Q3185" s="2266"/>
      <c r="R3185" s="2266"/>
      <c r="S3185" s="2266"/>
    </row>
    <row r="3186" spans="1:19" s="2105" customFormat="1" outlineLevel="1">
      <c r="A3186" s="2182" t="str">
        <f t="shared" si="674"/>
        <v/>
      </c>
      <c r="B3186" s="2357" t="s">
        <v>1479</v>
      </c>
      <c r="C3186" s="2268"/>
      <c r="D3186" s="2152">
        <v>0</v>
      </c>
      <c r="E3186" s="2194" t="s">
        <v>3791</v>
      </c>
      <c r="F3186" s="2152" t="s">
        <v>2555</v>
      </c>
      <c r="G3186" s="2269">
        <f>G3182*3</f>
        <v>0</v>
      </c>
      <c r="H3186" s="2264">
        <v>46000</v>
      </c>
      <c r="I3186" s="2264"/>
      <c r="J3186" s="2264">
        <v>0</v>
      </c>
      <c r="K3186" s="2264">
        <v>0</v>
      </c>
      <c r="L3186" s="2264">
        <f t="shared" si="675"/>
        <v>0</v>
      </c>
      <c r="M3186" s="2264">
        <f>I3186*G3186</f>
        <v>0</v>
      </c>
      <c r="N3186" s="2264">
        <f t="shared" si="676"/>
        <v>0</v>
      </c>
      <c r="O3186" s="2264">
        <f t="shared" si="677"/>
        <v>0</v>
      </c>
      <c r="P3186" s="2265"/>
      <c r="Q3186" s="2266"/>
      <c r="R3186" s="2266"/>
      <c r="S3186" s="2266"/>
    </row>
    <row r="3187" spans="1:19" s="2105" customFormat="1" outlineLevel="1">
      <c r="A3187" s="2182" t="str">
        <f t="shared" si="674"/>
        <v/>
      </c>
      <c r="B3187" s="2357" t="s">
        <v>1477</v>
      </c>
      <c r="C3187" s="2268"/>
      <c r="D3187" s="2152">
        <v>0</v>
      </c>
      <c r="E3187" s="2194" t="s">
        <v>6346</v>
      </c>
      <c r="F3187" s="2152" t="s">
        <v>2555</v>
      </c>
      <c r="G3187" s="2269">
        <f>G3186</f>
        <v>0</v>
      </c>
      <c r="H3187" s="2264">
        <v>77000</v>
      </c>
      <c r="I3187" s="2264"/>
      <c r="J3187" s="2264">
        <v>0</v>
      </c>
      <c r="K3187" s="2264">
        <v>0</v>
      </c>
      <c r="L3187" s="2264">
        <f t="shared" si="675"/>
        <v>0</v>
      </c>
      <c r="M3187" s="2264">
        <f>I3187*G3187</f>
        <v>0</v>
      </c>
      <c r="N3187" s="2264">
        <f t="shared" si="676"/>
        <v>0</v>
      </c>
      <c r="O3187" s="2264">
        <f t="shared" si="677"/>
        <v>0</v>
      </c>
      <c r="P3187" s="2265"/>
      <c r="Q3187" s="2266"/>
      <c r="R3187" s="2266"/>
      <c r="S3187" s="2266"/>
    </row>
    <row r="3188" spans="1:19" s="2105" customFormat="1" outlineLevel="1">
      <c r="A3188" s="2182" t="str">
        <f t="shared" si="674"/>
        <v/>
      </c>
      <c r="B3188" s="2252" t="s">
        <v>696</v>
      </c>
      <c r="C3188" s="2389"/>
      <c r="D3188" s="2152">
        <v>0</v>
      </c>
      <c r="E3188" s="2194" t="s">
        <v>2936</v>
      </c>
      <c r="F3188" s="2152" t="s">
        <v>2555</v>
      </c>
      <c r="G3188" s="2269">
        <f>+G3182*3*3</f>
        <v>0</v>
      </c>
      <c r="H3188" s="2264">
        <v>205000</v>
      </c>
      <c r="I3188" s="2264"/>
      <c r="J3188" s="2264">
        <v>0</v>
      </c>
      <c r="K3188" s="2264">
        <v>0</v>
      </c>
      <c r="L3188" s="2264">
        <f t="shared" si="675"/>
        <v>0</v>
      </c>
      <c r="M3188" s="2264">
        <f>I3188*G3188</f>
        <v>0</v>
      </c>
      <c r="N3188" s="2264">
        <f t="shared" si="676"/>
        <v>0</v>
      </c>
      <c r="O3188" s="2264">
        <f t="shared" si="677"/>
        <v>0</v>
      </c>
      <c r="P3188" s="2265"/>
      <c r="Q3188" s="2266"/>
      <c r="R3188" s="2266"/>
      <c r="S3188" s="2266"/>
    </row>
    <row r="3189" spans="1:19" s="2105" customFormat="1" outlineLevel="1">
      <c r="A3189" s="2182" t="str">
        <f t="shared" si="674"/>
        <v/>
      </c>
      <c r="B3189" s="2252" t="s">
        <v>1265</v>
      </c>
      <c r="C3189" s="2268"/>
      <c r="D3189" s="2152">
        <v>0</v>
      </c>
      <c r="E3189" s="2194" t="s">
        <v>2823</v>
      </c>
      <c r="F3189" s="2152" t="s">
        <v>2555</v>
      </c>
      <c r="G3189" s="2269">
        <f>+G3188</f>
        <v>0</v>
      </c>
      <c r="H3189" s="2264">
        <v>65000</v>
      </c>
      <c r="I3189" s="2264"/>
      <c r="J3189" s="2264">
        <v>0</v>
      </c>
      <c r="K3189" s="2264">
        <v>0</v>
      </c>
      <c r="L3189" s="2264">
        <f t="shared" si="675"/>
        <v>0</v>
      </c>
      <c r="M3189" s="2264">
        <f>I3189*G3189</f>
        <v>0</v>
      </c>
      <c r="N3189" s="2264">
        <f t="shared" si="676"/>
        <v>0</v>
      </c>
      <c r="O3189" s="2264">
        <f t="shared" si="677"/>
        <v>0</v>
      </c>
      <c r="P3189" s="2265"/>
      <c r="Q3189" s="2266"/>
      <c r="R3189" s="2266"/>
      <c r="S3189" s="2266"/>
    </row>
    <row r="3190" spans="1:19" s="2105" customFormat="1" outlineLevel="1">
      <c r="A3190" s="2182" t="str">
        <f>IF(G3190&lt;&gt;0,1,"")</f>
        <v/>
      </c>
      <c r="B3190" s="2252" t="s">
        <v>347</v>
      </c>
      <c r="C3190" s="2268"/>
      <c r="D3190" s="2152" t="s">
        <v>5560</v>
      </c>
      <c r="E3190" s="2194" t="s">
        <v>3271</v>
      </c>
      <c r="F3190" s="2152" t="s">
        <v>2439</v>
      </c>
      <c r="G3190" s="2269">
        <f>G3188</f>
        <v>0</v>
      </c>
      <c r="H3190" s="2264">
        <v>510</v>
      </c>
      <c r="I3190" s="2264"/>
      <c r="J3190" s="2264">
        <v>58277.49</v>
      </c>
      <c r="K3190" s="2264">
        <v>0</v>
      </c>
      <c r="L3190" s="2264">
        <f>H3190*G3190</f>
        <v>0</v>
      </c>
      <c r="M3190" s="2264">
        <f>I3190*G3190</f>
        <v>0</v>
      </c>
      <c r="N3190" s="2264">
        <f>J3190*G3190</f>
        <v>0</v>
      </c>
      <c r="O3190" s="2264">
        <f>K3190*G3190</f>
        <v>0</v>
      </c>
      <c r="P3190" s="2265"/>
      <c r="Q3190" s="2266"/>
      <c r="R3190" s="2266"/>
      <c r="S3190" s="2266"/>
    </row>
    <row r="3191" spans="1:19" s="2105" customFormat="1" outlineLevel="1">
      <c r="A3191" s="2182" t="str">
        <f>IF(G3191&lt;&gt;0,1,"")</f>
        <v/>
      </c>
      <c r="B3191" s="2252"/>
      <c r="C3191" s="2258">
        <f>IF(G3191&gt;0,C3182+1,C3182)</f>
        <v>0</v>
      </c>
      <c r="D3191" s="2259"/>
      <c r="E3191" s="2260" t="s">
        <v>6293</v>
      </c>
      <c r="F3191" s="2258" t="s">
        <v>2385</v>
      </c>
      <c r="G3191" s="2269">
        <f>G3170+G3182</f>
        <v>0</v>
      </c>
      <c r="H3191" s="2264"/>
      <c r="I3191" s="2264"/>
      <c r="J3191" s="2264"/>
      <c r="K3191" s="2264"/>
      <c r="L3191" s="2264"/>
      <c r="M3191" s="2264"/>
      <c r="N3191" s="2264"/>
      <c r="O3191" s="2264"/>
      <c r="P3191" s="2265"/>
      <c r="Q3191" s="2266"/>
      <c r="R3191" s="2266"/>
      <c r="S3191" s="2266"/>
    </row>
    <row r="3192" spans="1:19" s="2105" customFormat="1" ht="14.4" outlineLevel="1">
      <c r="A3192" s="2182" t="str">
        <f>A3191</f>
        <v/>
      </c>
      <c r="B3192" s="2252"/>
      <c r="C3192" s="2258"/>
      <c r="D3192" s="2259"/>
      <c r="E3192" s="2274" t="s">
        <v>6133</v>
      </c>
      <c r="F3192" s="2258"/>
      <c r="G3192" s="2269"/>
      <c r="H3192" s="2264"/>
      <c r="I3192" s="2264"/>
      <c r="J3192" s="2264"/>
      <c r="K3192" s="2264"/>
      <c r="L3192" s="2264"/>
      <c r="M3192" s="2264"/>
      <c r="N3192" s="2264"/>
      <c r="O3192" s="2264"/>
      <c r="P3192" s="2265"/>
      <c r="Q3192" s="2266"/>
      <c r="R3192" s="2266"/>
      <c r="S3192" s="2266"/>
    </row>
    <row r="3193" spans="1:19" s="2105" customFormat="1" outlineLevel="1">
      <c r="A3193" s="2182" t="str">
        <f t="shared" ref="A3193:A3201" si="678">IF(G3193&lt;&gt;0,1,"")</f>
        <v/>
      </c>
      <c r="B3193" s="2261" t="s">
        <v>1238</v>
      </c>
      <c r="C3193" s="2268"/>
      <c r="D3193" s="2570"/>
      <c r="E3193" s="2194" t="s">
        <v>2748</v>
      </c>
      <c r="F3193" s="2152" t="s">
        <v>2532</v>
      </c>
      <c r="G3193" s="2269">
        <f>G3191*(8*3*4+2*8)</f>
        <v>0</v>
      </c>
      <c r="H3193" s="2264">
        <v>479000</v>
      </c>
      <c r="I3193" s="2264"/>
      <c r="J3193" s="2264">
        <v>0</v>
      </c>
      <c r="K3193" s="2264">
        <v>0</v>
      </c>
      <c r="L3193" s="2264">
        <f t="shared" ref="L3193:L3201" si="679">H3193*G3193</f>
        <v>0</v>
      </c>
      <c r="M3193" s="2264">
        <f t="shared" ref="M3193:M3201" si="680">I3193*G3193</f>
        <v>0</v>
      </c>
      <c r="N3193" s="2264">
        <f t="shared" ref="N3193:N3201" si="681">J3193*G3193</f>
        <v>0</v>
      </c>
      <c r="O3193" s="2264">
        <f t="shared" ref="O3193:O3201" si="682">K3193*G3193</f>
        <v>0</v>
      </c>
      <c r="P3193" s="2265"/>
      <c r="Q3193" s="2266"/>
      <c r="R3193" s="2266">
        <f>48*(30+6)</f>
        <v>1728</v>
      </c>
      <c r="S3193" s="2266"/>
    </row>
    <row r="3194" spans="1:19" s="2105" customFormat="1" outlineLevel="1">
      <c r="A3194" s="2182" t="str">
        <f t="shared" si="678"/>
        <v/>
      </c>
      <c r="B3194" s="2261" t="s">
        <v>448</v>
      </c>
      <c r="C3194" s="2268"/>
      <c r="D3194" s="2152" t="s">
        <v>5732</v>
      </c>
      <c r="E3194" s="2194" t="s">
        <v>6397</v>
      </c>
      <c r="F3194" s="2152" t="s">
        <v>2555</v>
      </c>
      <c r="G3194" s="2269">
        <f>+G3191*28</f>
        <v>0</v>
      </c>
      <c r="H3194" s="2264">
        <v>70000</v>
      </c>
      <c r="I3194" s="2264"/>
      <c r="J3194" s="2264">
        <v>59410.148000000001</v>
      </c>
      <c r="K3194" s="2264">
        <v>5554.0464950000005</v>
      </c>
      <c r="L3194" s="2264">
        <f t="shared" si="679"/>
        <v>0</v>
      </c>
      <c r="M3194" s="2264">
        <f t="shared" si="680"/>
        <v>0</v>
      </c>
      <c r="N3194" s="2264">
        <f t="shared" si="681"/>
        <v>0</v>
      </c>
      <c r="O3194" s="2264">
        <f t="shared" si="682"/>
        <v>0</v>
      </c>
      <c r="P3194" s="2265"/>
      <c r="Q3194" s="2266"/>
      <c r="R3194" s="2266"/>
      <c r="S3194" s="2266"/>
    </row>
    <row r="3195" spans="1:19" s="2105" customFormat="1" outlineLevel="1">
      <c r="A3195" s="2182" t="str">
        <f t="shared" si="678"/>
        <v/>
      </c>
      <c r="B3195" s="2261" t="s">
        <v>1072</v>
      </c>
      <c r="C3195" s="2268"/>
      <c r="D3195" s="2152">
        <v>0</v>
      </c>
      <c r="E3195" s="2194" t="s">
        <v>6398</v>
      </c>
      <c r="F3195" s="2152" t="s">
        <v>2555</v>
      </c>
      <c r="G3195" s="2269">
        <f>G3194</f>
        <v>0</v>
      </c>
      <c r="H3195" s="2264">
        <v>6000</v>
      </c>
      <c r="I3195" s="2264"/>
      <c r="J3195" s="2264">
        <v>0</v>
      </c>
      <c r="K3195" s="2264">
        <v>0</v>
      </c>
      <c r="L3195" s="2264">
        <f t="shared" si="679"/>
        <v>0</v>
      </c>
      <c r="M3195" s="2264">
        <f t="shared" si="680"/>
        <v>0</v>
      </c>
      <c r="N3195" s="2264">
        <f t="shared" si="681"/>
        <v>0</v>
      </c>
      <c r="O3195" s="2264">
        <f t="shared" si="682"/>
        <v>0</v>
      </c>
      <c r="P3195" s="2265"/>
      <c r="Q3195" s="2266"/>
      <c r="R3195" s="2266"/>
      <c r="S3195" s="2266"/>
    </row>
    <row r="3196" spans="1:19" s="2105" customFormat="1" outlineLevel="1">
      <c r="A3196" s="2182" t="str">
        <f t="shared" si="678"/>
        <v/>
      </c>
      <c r="B3196" s="2261" t="s">
        <v>1042</v>
      </c>
      <c r="C3196" s="2268"/>
      <c r="D3196" s="2152">
        <v>0</v>
      </c>
      <c r="E3196" s="2194" t="s">
        <v>3531</v>
      </c>
      <c r="F3196" s="2152" t="s">
        <v>1823</v>
      </c>
      <c r="G3196" s="2269">
        <f>6*G3191*$L$2*0</f>
        <v>0</v>
      </c>
      <c r="H3196" s="2264">
        <v>103700</v>
      </c>
      <c r="I3196" s="2264"/>
      <c r="J3196" s="2264">
        <v>0</v>
      </c>
      <c r="K3196" s="2264">
        <v>0</v>
      </c>
      <c r="L3196" s="2264">
        <f t="shared" si="679"/>
        <v>0</v>
      </c>
      <c r="M3196" s="2264">
        <f t="shared" si="680"/>
        <v>0</v>
      </c>
      <c r="N3196" s="2264">
        <f t="shared" si="681"/>
        <v>0</v>
      </c>
      <c r="O3196" s="2264">
        <f t="shared" si="682"/>
        <v>0</v>
      </c>
      <c r="P3196" s="2265"/>
      <c r="Q3196" s="2266"/>
      <c r="R3196" s="2266"/>
      <c r="S3196" s="2266"/>
    </row>
    <row r="3197" spans="1:19" s="2105" customFormat="1" outlineLevel="1">
      <c r="A3197" s="2182" t="str">
        <f t="shared" si="678"/>
        <v/>
      </c>
      <c r="B3197" s="2252" t="s">
        <v>731</v>
      </c>
      <c r="C3197" s="2268"/>
      <c r="D3197" s="2152">
        <v>0</v>
      </c>
      <c r="E3197" s="2194" t="s">
        <v>5258</v>
      </c>
      <c r="F3197" s="2152" t="s">
        <v>2439</v>
      </c>
      <c r="G3197" s="2269">
        <f>G3191*2*$L$2*0</f>
        <v>0</v>
      </c>
      <c r="H3197" s="2264">
        <v>50000</v>
      </c>
      <c r="I3197" s="2264"/>
      <c r="J3197" s="2264">
        <v>0</v>
      </c>
      <c r="K3197" s="2264">
        <v>0</v>
      </c>
      <c r="L3197" s="2264">
        <f t="shared" si="679"/>
        <v>0</v>
      </c>
      <c r="M3197" s="2264">
        <f t="shared" si="680"/>
        <v>0</v>
      </c>
      <c r="N3197" s="2264">
        <f t="shared" si="681"/>
        <v>0</v>
      </c>
      <c r="O3197" s="2264">
        <f t="shared" si="682"/>
        <v>0</v>
      </c>
      <c r="P3197" s="2265"/>
      <c r="Q3197" s="2422"/>
      <c r="R3197" s="2266"/>
      <c r="S3197" s="2266"/>
    </row>
    <row r="3198" spans="1:19" s="2105" customFormat="1" outlineLevel="1">
      <c r="A3198" s="2182" t="str">
        <f t="shared" si="678"/>
        <v/>
      </c>
      <c r="B3198" s="2261" t="s">
        <v>1043</v>
      </c>
      <c r="C3198" s="2268"/>
      <c r="D3198" s="2152">
        <v>0</v>
      </c>
      <c r="E3198" s="2194" t="s">
        <v>5798</v>
      </c>
      <c r="F3198" s="2152" t="s">
        <v>2555</v>
      </c>
      <c r="G3198" s="2269">
        <f>G3191*2*$L$2*0</f>
        <v>0</v>
      </c>
      <c r="H3198" s="2264">
        <v>104800</v>
      </c>
      <c r="I3198" s="2264"/>
      <c r="J3198" s="2264">
        <v>0</v>
      </c>
      <c r="K3198" s="2264">
        <v>0</v>
      </c>
      <c r="L3198" s="2264">
        <f t="shared" si="679"/>
        <v>0</v>
      </c>
      <c r="M3198" s="2264">
        <f t="shared" si="680"/>
        <v>0</v>
      </c>
      <c r="N3198" s="2264">
        <f t="shared" si="681"/>
        <v>0</v>
      </c>
      <c r="O3198" s="2264">
        <f t="shared" si="682"/>
        <v>0</v>
      </c>
      <c r="P3198" s="2265"/>
      <c r="Q3198" s="2266"/>
      <c r="R3198" s="2266"/>
      <c r="S3198" s="2266"/>
    </row>
    <row r="3199" spans="1:19" s="2105" customFormat="1" outlineLevel="1">
      <c r="A3199" s="2182" t="str">
        <f t="shared" si="678"/>
        <v/>
      </c>
      <c r="B3199" s="2261" t="s">
        <v>2167</v>
      </c>
      <c r="C3199" s="2268"/>
      <c r="D3199" s="2152">
        <v>0</v>
      </c>
      <c r="E3199" s="2194" t="s">
        <v>3575</v>
      </c>
      <c r="F3199" s="2152" t="s">
        <v>2555</v>
      </c>
      <c r="G3199" s="2269">
        <f>G3191*$L$2*0</f>
        <v>0</v>
      </c>
      <c r="H3199" s="2264">
        <v>41900</v>
      </c>
      <c r="I3199" s="2264"/>
      <c r="J3199" s="2264">
        <v>0</v>
      </c>
      <c r="K3199" s="2264">
        <v>0</v>
      </c>
      <c r="L3199" s="2264">
        <f t="shared" si="679"/>
        <v>0</v>
      </c>
      <c r="M3199" s="2264">
        <f t="shared" si="680"/>
        <v>0</v>
      </c>
      <c r="N3199" s="2264">
        <f t="shared" si="681"/>
        <v>0</v>
      </c>
      <c r="O3199" s="2264">
        <f t="shared" si="682"/>
        <v>0</v>
      </c>
      <c r="P3199" s="2265"/>
      <c r="Q3199" s="2266"/>
      <c r="R3199" s="2266"/>
      <c r="S3199" s="2266"/>
    </row>
    <row r="3200" spans="1:19" s="2105" customFormat="1" outlineLevel="1">
      <c r="A3200" s="2182" t="str">
        <f t="shared" si="678"/>
        <v/>
      </c>
      <c r="B3200" s="2261" t="s">
        <v>2168</v>
      </c>
      <c r="C3200" s="2268"/>
      <c r="D3200" s="2152">
        <v>0</v>
      </c>
      <c r="E3200" s="2194" t="s">
        <v>6399</v>
      </c>
      <c r="F3200" s="2152" t="s">
        <v>2555</v>
      </c>
      <c r="G3200" s="2269">
        <f>G3199</f>
        <v>0</v>
      </c>
      <c r="H3200" s="2264">
        <v>41900</v>
      </c>
      <c r="I3200" s="2264"/>
      <c r="J3200" s="2264">
        <v>0</v>
      </c>
      <c r="K3200" s="2264">
        <v>0</v>
      </c>
      <c r="L3200" s="2264">
        <f t="shared" si="679"/>
        <v>0</v>
      </c>
      <c r="M3200" s="2264">
        <f t="shared" si="680"/>
        <v>0</v>
      </c>
      <c r="N3200" s="2264">
        <f t="shared" si="681"/>
        <v>0</v>
      </c>
      <c r="O3200" s="2264">
        <f t="shared" si="682"/>
        <v>0</v>
      </c>
      <c r="P3200" s="2265"/>
      <c r="Q3200" s="2266"/>
      <c r="R3200" s="2266"/>
      <c r="S3200" s="2266"/>
    </row>
    <row r="3201" spans="1:19" s="2105" customFormat="1" outlineLevel="1">
      <c r="A3201" s="2182" t="str">
        <f t="shared" si="678"/>
        <v/>
      </c>
      <c r="B3201" s="2261" t="s">
        <v>726</v>
      </c>
      <c r="C3201" s="2268"/>
      <c r="D3201" s="2152">
        <v>0</v>
      </c>
      <c r="E3201" s="2194" t="s">
        <v>6400</v>
      </c>
      <c r="F3201" s="2152" t="s">
        <v>388</v>
      </c>
      <c r="G3201" s="2269">
        <f>G3191*2*$L$2*0</f>
        <v>0</v>
      </c>
      <c r="H3201" s="2264">
        <v>54100</v>
      </c>
      <c r="I3201" s="2264"/>
      <c r="J3201" s="2264">
        <v>0</v>
      </c>
      <c r="K3201" s="2264">
        <v>0</v>
      </c>
      <c r="L3201" s="2264">
        <f t="shared" si="679"/>
        <v>0</v>
      </c>
      <c r="M3201" s="2264">
        <f t="shared" si="680"/>
        <v>0</v>
      </c>
      <c r="N3201" s="2264">
        <f t="shared" si="681"/>
        <v>0</v>
      </c>
      <c r="O3201" s="2264">
        <f t="shared" si="682"/>
        <v>0</v>
      </c>
      <c r="P3201" s="2265"/>
      <c r="Q3201" s="2266"/>
      <c r="R3201" s="2266"/>
      <c r="S3201" s="2266"/>
    </row>
    <row r="3202" spans="1:19" s="2105" customFormat="1" outlineLevel="1">
      <c r="A3202" s="2182" t="str">
        <f>IF(G3202&lt;&gt;0,1,"")</f>
        <v/>
      </c>
      <c r="B3202" s="2252" t="s">
        <v>6</v>
      </c>
      <c r="C3202" s="2268"/>
      <c r="D3202" s="2152"/>
      <c r="E3202" s="2194" t="s">
        <v>6401</v>
      </c>
      <c r="F3202" s="2152" t="s">
        <v>5806</v>
      </c>
      <c r="G3202" s="2269"/>
      <c r="H3202" s="2264">
        <v>45000</v>
      </c>
      <c r="I3202" s="2264"/>
      <c r="J3202" s="2264"/>
      <c r="K3202" s="2264"/>
      <c r="L3202" s="2264">
        <f>H3202*G3202</f>
        <v>0</v>
      </c>
      <c r="M3202" s="2264">
        <f>I3202*G3202</f>
        <v>0</v>
      </c>
      <c r="N3202" s="2264">
        <f>J3202*G3202</f>
        <v>0</v>
      </c>
      <c r="O3202" s="2264">
        <f>K3202*G3202</f>
        <v>0</v>
      </c>
      <c r="P3202" s="2265"/>
      <c r="Q3202" s="2266"/>
      <c r="R3202" s="2266"/>
      <c r="S3202" s="2266"/>
    </row>
    <row r="3203" spans="1:19" s="2105" customFormat="1" outlineLevel="1">
      <c r="A3203" s="2182" t="str">
        <f>IF(G3203&lt;&gt;0,1,"")</f>
        <v/>
      </c>
      <c r="B3203" s="2261" t="s">
        <v>1348</v>
      </c>
      <c r="C3203" s="2268"/>
      <c r="D3203" s="2152">
        <v>0</v>
      </c>
      <c r="E3203" s="2194" t="s">
        <v>3518</v>
      </c>
      <c r="F3203" s="2152" t="s">
        <v>3519</v>
      </c>
      <c r="G3203" s="2269">
        <f>G3191</f>
        <v>0</v>
      </c>
      <c r="H3203" s="2264">
        <v>15000</v>
      </c>
      <c r="I3203" s="2264"/>
      <c r="J3203" s="2264">
        <v>0</v>
      </c>
      <c r="K3203" s="2264">
        <v>0</v>
      </c>
      <c r="L3203" s="2264">
        <f>H3203*G3203</f>
        <v>0</v>
      </c>
      <c r="M3203" s="2264">
        <f>I3203*G3203</f>
        <v>0</v>
      </c>
      <c r="N3203" s="2264">
        <f>J3203*G3203</f>
        <v>0</v>
      </c>
      <c r="O3203" s="2264">
        <f>K3203*G3203</f>
        <v>0</v>
      </c>
      <c r="P3203" s="2265"/>
      <c r="Q3203" s="2266"/>
      <c r="R3203" s="2266"/>
      <c r="S3203" s="2266"/>
    </row>
    <row r="3204" spans="1:19" s="2105" customFormat="1" outlineLevel="1">
      <c r="A3204" s="2182" t="str">
        <f>IF(G3204&lt;&gt;0,1,"")</f>
        <v/>
      </c>
      <c r="B3204" s="2252" t="s">
        <v>672</v>
      </c>
      <c r="C3204" s="2268"/>
      <c r="D3204" s="2152">
        <v>0</v>
      </c>
      <c r="E3204" s="2194" t="s">
        <v>5801</v>
      </c>
      <c r="F3204" s="2152" t="s">
        <v>3566</v>
      </c>
      <c r="G3204" s="2269">
        <f>G3191*5</f>
        <v>0</v>
      </c>
      <c r="H3204" s="2264">
        <v>6500</v>
      </c>
      <c r="I3204" s="2264"/>
      <c r="J3204" s="2264">
        <v>0</v>
      </c>
      <c r="K3204" s="2264">
        <v>0</v>
      </c>
      <c r="L3204" s="2264">
        <f>H3204*G3204</f>
        <v>0</v>
      </c>
      <c r="M3204" s="2264">
        <f>I3204*G3204</f>
        <v>0</v>
      </c>
      <c r="N3204" s="2264">
        <f>J3204*G3204</f>
        <v>0</v>
      </c>
      <c r="O3204" s="2264">
        <f>K3204*G3204</f>
        <v>0</v>
      </c>
      <c r="P3204" s="2265"/>
      <c r="Q3204" s="2266"/>
      <c r="R3204" s="2266"/>
      <c r="S3204" s="2266"/>
    </row>
    <row r="3205" spans="1:19" s="2105" customFormat="1" outlineLevel="1">
      <c r="A3205" s="2182" t="str">
        <f>IF(G3205&lt;&gt;0,1,"")</f>
        <v/>
      </c>
      <c r="B3205" s="2252" t="s">
        <v>247</v>
      </c>
      <c r="C3205" s="2571"/>
      <c r="D3205" s="2152" t="s">
        <v>5573</v>
      </c>
      <c r="E3205" s="2194" t="s">
        <v>6402</v>
      </c>
      <c r="F3205" s="2152" t="s">
        <v>1823</v>
      </c>
      <c r="G3205" s="2269">
        <f>G3193</f>
        <v>0</v>
      </c>
      <c r="H3205" s="2264">
        <v>0</v>
      </c>
      <c r="I3205" s="2264"/>
      <c r="J3205" s="2264">
        <v>47311</v>
      </c>
      <c r="K3205" s="2264">
        <v>0</v>
      </c>
      <c r="L3205" s="2264">
        <f>H3205*G3205</f>
        <v>0</v>
      </c>
      <c r="M3205" s="2264">
        <f>I3205*G3205</f>
        <v>0</v>
      </c>
      <c r="N3205" s="2264">
        <f>J3205*G3205</f>
        <v>0</v>
      </c>
      <c r="O3205" s="2264">
        <f>K3205*G3205</f>
        <v>0</v>
      </c>
      <c r="P3205" s="2265"/>
      <c r="Q3205" s="2266"/>
      <c r="R3205" s="2266"/>
      <c r="S3205" s="2266"/>
    </row>
    <row r="3206" spans="1:19" s="2105" customFormat="1" outlineLevel="1">
      <c r="A3206" s="2182" t="str">
        <f>IF(G3206&lt;&gt;0,1,"")</f>
        <v/>
      </c>
      <c r="B3206" s="2252"/>
      <c r="C3206" s="2258">
        <f>IF(G3206&gt;0,C3191+1,C3191)</f>
        <v>0</v>
      </c>
      <c r="D3206" s="2259"/>
      <c r="E3206" s="2260" t="s">
        <v>6253</v>
      </c>
      <c r="F3206" s="2258" t="s">
        <v>2385</v>
      </c>
      <c r="G3206" s="2269">
        <f>G3094</f>
        <v>0</v>
      </c>
      <c r="H3206" s="2264"/>
      <c r="I3206" s="2264"/>
      <c r="J3206" s="2264"/>
      <c r="K3206" s="2264"/>
      <c r="L3206" s="2264"/>
      <c r="M3206" s="2264"/>
      <c r="N3206" s="2264"/>
      <c r="O3206" s="2264"/>
      <c r="P3206" s="2265"/>
      <c r="Q3206" s="2266"/>
      <c r="R3206" s="2266"/>
      <c r="S3206" s="2266"/>
    </row>
    <row r="3207" spans="1:19" s="2288" customFormat="1" ht="14.4" outlineLevel="1">
      <c r="A3207" s="2182" t="str">
        <f>A3206</f>
        <v/>
      </c>
      <c r="B3207" s="2500"/>
      <c r="C3207" s="2258"/>
      <c r="D3207" s="2259"/>
      <c r="E3207" s="2274" t="s">
        <v>6133</v>
      </c>
      <c r="F3207" s="2258" t="s">
        <v>2385</v>
      </c>
      <c r="G3207" s="2263"/>
      <c r="H3207" s="2264"/>
      <c r="I3207" s="2264"/>
      <c r="J3207" s="2264"/>
      <c r="K3207" s="2264"/>
      <c r="L3207" s="2264">
        <f>SUBTOTAL(9,L3208:L3228)*0</f>
        <v>0</v>
      </c>
      <c r="M3207" s="2264">
        <f>SUBTOTAL(9,M3208:M3228)</f>
        <v>0</v>
      </c>
      <c r="N3207" s="2264">
        <f>SUBTOTAL(9,N3208:N3228)*0</f>
        <v>0</v>
      </c>
      <c r="O3207" s="2264">
        <f>SUBTOTAL(9,O3208:O3228)*0</f>
        <v>0</v>
      </c>
      <c r="P3207" s="2265"/>
      <c r="Q3207" s="2433"/>
      <c r="R3207" s="2433"/>
      <c r="S3207" s="2433"/>
    </row>
    <row r="3208" spans="1:19" s="2105" customFormat="1" outlineLevel="1">
      <c r="A3208" s="2182">
        <f t="shared" ref="A3208:A3228" si="683">IF(G3208=0,0,1)</f>
        <v>0</v>
      </c>
      <c r="B3208" s="2261" t="s">
        <v>1822</v>
      </c>
      <c r="C3208" s="2389"/>
      <c r="D3208" s="2152" t="s">
        <v>1527</v>
      </c>
      <c r="E3208" s="2359" t="s">
        <v>2784</v>
      </c>
      <c r="F3208" s="2501" t="s">
        <v>2532</v>
      </c>
      <c r="G3208" s="2269">
        <f>G3206*26</f>
        <v>0</v>
      </c>
      <c r="H3208" s="2264">
        <v>28200</v>
      </c>
      <c r="I3208" s="2264"/>
      <c r="J3208" s="2264">
        <v>0</v>
      </c>
      <c r="K3208" s="2264">
        <v>0</v>
      </c>
      <c r="L3208" s="2264">
        <f t="shared" ref="L3208:O3228" si="684">H3208*$G3208</f>
        <v>0</v>
      </c>
      <c r="M3208" s="2264">
        <f t="shared" si="684"/>
        <v>0</v>
      </c>
      <c r="N3208" s="2264">
        <f t="shared" si="684"/>
        <v>0</v>
      </c>
      <c r="O3208" s="2264">
        <f t="shared" si="684"/>
        <v>0</v>
      </c>
      <c r="P3208" s="2265"/>
      <c r="Q3208" s="2266"/>
      <c r="R3208" s="2266"/>
      <c r="S3208" s="2266"/>
    </row>
    <row r="3209" spans="1:19" s="2105" customFormat="1" outlineLevel="1">
      <c r="A3209" s="2182">
        <f>IF(G3209=0,0,1)</f>
        <v>0</v>
      </c>
      <c r="B3209" s="2252" t="s">
        <v>6254</v>
      </c>
      <c r="C3209" s="2268"/>
      <c r="D3209" s="2152">
        <v>0</v>
      </c>
      <c r="E3209" s="2359" t="s">
        <v>5053</v>
      </c>
      <c r="F3209" s="2501" t="s">
        <v>2439</v>
      </c>
      <c r="G3209" s="2269">
        <f>G3206*24</f>
        <v>0</v>
      </c>
      <c r="H3209" s="2264">
        <v>7900</v>
      </c>
      <c r="I3209" s="2264"/>
      <c r="J3209" s="2264">
        <v>0</v>
      </c>
      <c r="K3209" s="2264">
        <v>0</v>
      </c>
      <c r="L3209" s="2264">
        <f t="shared" si="684"/>
        <v>0</v>
      </c>
      <c r="M3209" s="2264">
        <f t="shared" si="684"/>
        <v>0</v>
      </c>
      <c r="N3209" s="2264">
        <f t="shared" si="684"/>
        <v>0</v>
      </c>
      <c r="O3209" s="2264">
        <f t="shared" si="684"/>
        <v>0</v>
      </c>
      <c r="P3209" s="2265"/>
      <c r="Q3209" s="2266"/>
      <c r="R3209" s="2266"/>
      <c r="S3209" s="2266"/>
    </row>
    <row r="3210" spans="1:19" s="2105" customFormat="1" outlineLevel="1">
      <c r="A3210" s="2182">
        <f>IF(G3210=0,0,1)</f>
        <v>0</v>
      </c>
      <c r="B3210" s="2252" t="s">
        <v>6255</v>
      </c>
      <c r="C3210" s="2268"/>
      <c r="D3210" s="2152">
        <v>0</v>
      </c>
      <c r="E3210" s="2359" t="s">
        <v>2624</v>
      </c>
      <c r="F3210" s="2501" t="s">
        <v>2439</v>
      </c>
      <c r="G3210" s="2269">
        <f>G3209</f>
        <v>0</v>
      </c>
      <c r="H3210" s="2264">
        <v>1500</v>
      </c>
      <c r="I3210" s="2264"/>
      <c r="J3210" s="2264">
        <v>0</v>
      </c>
      <c r="K3210" s="2264">
        <v>0</v>
      </c>
      <c r="L3210" s="2264">
        <f t="shared" si="684"/>
        <v>0</v>
      </c>
      <c r="M3210" s="2264">
        <f t="shared" si="684"/>
        <v>0</v>
      </c>
      <c r="N3210" s="2264">
        <f t="shared" si="684"/>
        <v>0</v>
      </c>
      <c r="O3210" s="2264">
        <f t="shared" si="684"/>
        <v>0</v>
      </c>
      <c r="P3210" s="2265"/>
      <c r="Q3210" s="2266"/>
      <c r="R3210" s="2266"/>
      <c r="S3210" s="2266"/>
    </row>
    <row r="3211" spans="1:19" s="2105" customFormat="1" outlineLevel="1">
      <c r="A3211" s="2182">
        <f t="shared" si="683"/>
        <v>0</v>
      </c>
      <c r="B3211" s="2261" t="s">
        <v>246</v>
      </c>
      <c r="C3211" s="2389"/>
      <c r="D3211" s="2152">
        <v>0</v>
      </c>
      <c r="E3211" s="2359" t="s">
        <v>5869</v>
      </c>
      <c r="F3211" s="2501" t="s">
        <v>2555</v>
      </c>
      <c r="G3211" s="2269">
        <f>G3206*24</f>
        <v>0</v>
      </c>
      <c r="H3211" s="2264">
        <v>40500</v>
      </c>
      <c r="I3211" s="2264"/>
      <c r="J3211" s="2264">
        <v>39758</v>
      </c>
      <c r="K3211" s="2264">
        <v>0</v>
      </c>
      <c r="L3211" s="2264">
        <f t="shared" si="684"/>
        <v>0</v>
      </c>
      <c r="M3211" s="2264">
        <f t="shared" si="684"/>
        <v>0</v>
      </c>
      <c r="N3211" s="2264">
        <f t="shared" si="684"/>
        <v>0</v>
      </c>
      <c r="O3211" s="2264">
        <f t="shared" si="684"/>
        <v>0</v>
      </c>
      <c r="P3211" s="2265"/>
      <c r="Q3211" s="2266"/>
      <c r="R3211" s="2266"/>
      <c r="S3211" s="2266"/>
    </row>
    <row r="3212" spans="1:19" s="2105" customFormat="1" outlineLevel="1">
      <c r="A3212" s="2182">
        <f t="shared" si="683"/>
        <v>0</v>
      </c>
      <c r="B3212" s="2261" t="s">
        <v>1865</v>
      </c>
      <c r="C3212" s="2268"/>
      <c r="D3212" s="2152">
        <v>0</v>
      </c>
      <c r="E3212" s="2359" t="s">
        <v>3471</v>
      </c>
      <c r="F3212" s="2501" t="s">
        <v>2555</v>
      </c>
      <c r="G3212" s="2269">
        <f>G3206*16</f>
        <v>0</v>
      </c>
      <c r="H3212" s="2264">
        <v>1700</v>
      </c>
      <c r="I3212" s="2264"/>
      <c r="J3212" s="2264">
        <v>0</v>
      </c>
      <c r="K3212" s="2264">
        <v>0</v>
      </c>
      <c r="L3212" s="2264">
        <f t="shared" si="684"/>
        <v>0</v>
      </c>
      <c r="M3212" s="2264">
        <f t="shared" si="684"/>
        <v>0</v>
      </c>
      <c r="N3212" s="2264">
        <f t="shared" si="684"/>
        <v>0</v>
      </c>
      <c r="O3212" s="2264">
        <f t="shared" si="684"/>
        <v>0</v>
      </c>
      <c r="P3212" s="2265"/>
      <c r="Q3212" s="2266"/>
      <c r="R3212" s="2266"/>
      <c r="S3212" s="2266"/>
    </row>
    <row r="3213" spans="1:19" s="2105" customFormat="1" outlineLevel="1">
      <c r="A3213" s="2182">
        <f t="shared" si="683"/>
        <v>0</v>
      </c>
      <c r="B3213" s="2261" t="s">
        <v>1510</v>
      </c>
      <c r="C3213" s="2268"/>
      <c r="D3213" s="2152">
        <v>0</v>
      </c>
      <c r="E3213" s="2359" t="s">
        <v>3515</v>
      </c>
      <c r="F3213" s="2501" t="s">
        <v>2532</v>
      </c>
      <c r="G3213" s="2269">
        <f>6*G3206</f>
        <v>0</v>
      </c>
      <c r="H3213" s="2264">
        <v>860</v>
      </c>
      <c r="I3213" s="2264"/>
      <c r="J3213" s="2264">
        <v>0</v>
      </c>
      <c r="K3213" s="2264">
        <v>0</v>
      </c>
      <c r="L3213" s="2264">
        <f t="shared" si="684"/>
        <v>0</v>
      </c>
      <c r="M3213" s="2264">
        <f t="shared" si="684"/>
        <v>0</v>
      </c>
      <c r="N3213" s="2264">
        <f t="shared" si="684"/>
        <v>0</v>
      </c>
      <c r="O3213" s="2264">
        <f t="shared" si="684"/>
        <v>0</v>
      </c>
      <c r="P3213" s="2265"/>
      <c r="Q3213" s="2266"/>
      <c r="R3213" s="2266"/>
      <c r="S3213" s="2266"/>
    </row>
    <row r="3214" spans="1:19" s="2105" customFormat="1" outlineLevel="1">
      <c r="A3214" s="2182">
        <f t="shared" si="683"/>
        <v>0</v>
      </c>
      <c r="B3214" s="2261" t="s">
        <v>816</v>
      </c>
      <c r="C3214" s="2268"/>
      <c r="D3214" s="2152">
        <v>0</v>
      </c>
      <c r="E3214" s="2359" t="s">
        <v>3581</v>
      </c>
      <c r="F3214" s="2501" t="s">
        <v>2555</v>
      </c>
      <c r="G3214" s="2269">
        <f>+G3206*3</f>
        <v>0</v>
      </c>
      <c r="H3214" s="2264">
        <v>17600</v>
      </c>
      <c r="I3214" s="2264"/>
      <c r="J3214" s="2264">
        <v>0</v>
      </c>
      <c r="K3214" s="2264">
        <v>0</v>
      </c>
      <c r="L3214" s="2264">
        <f t="shared" si="684"/>
        <v>0</v>
      </c>
      <c r="M3214" s="2264">
        <f t="shared" si="684"/>
        <v>0</v>
      </c>
      <c r="N3214" s="2264">
        <f t="shared" si="684"/>
        <v>0</v>
      </c>
      <c r="O3214" s="2264">
        <f t="shared" si="684"/>
        <v>0</v>
      </c>
      <c r="P3214" s="2265"/>
      <c r="Q3214" s="2266"/>
      <c r="R3214" s="2266"/>
      <c r="S3214" s="2266"/>
    </row>
    <row r="3215" spans="1:19" s="2105" customFormat="1" outlineLevel="1">
      <c r="A3215" s="2182">
        <f t="shared" si="683"/>
        <v>0</v>
      </c>
      <c r="B3215" s="2261" t="s">
        <v>2141</v>
      </c>
      <c r="C3215" s="2268"/>
      <c r="D3215" s="2152">
        <v>0</v>
      </c>
      <c r="E3215" s="2359" t="s">
        <v>3535</v>
      </c>
      <c r="F3215" s="2501" t="s">
        <v>1823</v>
      </c>
      <c r="G3215" s="2269">
        <f>G3224*10</f>
        <v>0</v>
      </c>
      <c r="H3215" s="2264">
        <v>16100</v>
      </c>
      <c r="I3215" s="2264"/>
      <c r="J3215" s="2264">
        <v>0</v>
      </c>
      <c r="K3215" s="2264">
        <v>0</v>
      </c>
      <c r="L3215" s="2264">
        <f t="shared" si="684"/>
        <v>0</v>
      </c>
      <c r="M3215" s="2264">
        <f t="shared" si="684"/>
        <v>0</v>
      </c>
      <c r="N3215" s="2264">
        <f t="shared" si="684"/>
        <v>0</v>
      </c>
      <c r="O3215" s="2264">
        <f t="shared" si="684"/>
        <v>0</v>
      </c>
      <c r="P3215" s="2265"/>
      <c r="Q3215" s="2266"/>
      <c r="R3215" s="2266"/>
      <c r="S3215" s="2266"/>
    </row>
    <row r="3216" spans="1:19" s="2105" customFormat="1" outlineLevel="1">
      <c r="A3216" s="2182">
        <f t="shared" si="683"/>
        <v>0</v>
      </c>
      <c r="B3216" s="2252" t="s">
        <v>204</v>
      </c>
      <c r="C3216" s="2268"/>
      <c r="D3216" s="2152">
        <v>0</v>
      </c>
      <c r="E3216" s="2359" t="s">
        <v>2979</v>
      </c>
      <c r="F3216" s="2501" t="s">
        <v>2439</v>
      </c>
      <c r="G3216" s="2269">
        <f>G3206*4</f>
        <v>0</v>
      </c>
      <c r="H3216" s="2264">
        <v>34000</v>
      </c>
      <c r="I3216" s="2264"/>
      <c r="J3216" s="2264">
        <v>0</v>
      </c>
      <c r="K3216" s="2264">
        <v>0</v>
      </c>
      <c r="L3216" s="2264">
        <f t="shared" si="684"/>
        <v>0</v>
      </c>
      <c r="M3216" s="2264">
        <f t="shared" si="684"/>
        <v>0</v>
      </c>
      <c r="N3216" s="2264">
        <f t="shared" si="684"/>
        <v>0</v>
      </c>
      <c r="O3216" s="2264">
        <f t="shared" si="684"/>
        <v>0</v>
      </c>
      <c r="P3216" s="2265"/>
      <c r="Q3216" s="2266"/>
      <c r="R3216" s="2266"/>
      <c r="S3216" s="2266"/>
    </row>
    <row r="3217" spans="1:19" s="2105" customFormat="1" outlineLevel="1">
      <c r="A3217" s="2182">
        <f t="shared" si="683"/>
        <v>0</v>
      </c>
      <c r="B3217" s="2261" t="s">
        <v>1616</v>
      </c>
      <c r="C3217" s="2268"/>
      <c r="D3217" s="2152">
        <v>0</v>
      </c>
      <c r="E3217" s="2359" t="s">
        <v>3542</v>
      </c>
      <c r="F3217" s="2501" t="s">
        <v>2555</v>
      </c>
      <c r="G3217" s="2269">
        <f>G3206*6</f>
        <v>0</v>
      </c>
      <c r="H3217" s="2264">
        <v>11400</v>
      </c>
      <c r="I3217" s="2264"/>
      <c r="J3217" s="2264">
        <v>0</v>
      </c>
      <c r="K3217" s="2264">
        <v>0</v>
      </c>
      <c r="L3217" s="2264">
        <f t="shared" si="684"/>
        <v>0</v>
      </c>
      <c r="M3217" s="2264">
        <f t="shared" si="684"/>
        <v>0</v>
      </c>
      <c r="N3217" s="2264">
        <f t="shared" si="684"/>
        <v>0</v>
      </c>
      <c r="O3217" s="2264">
        <f t="shared" si="684"/>
        <v>0</v>
      </c>
      <c r="P3217" s="2265"/>
      <c r="Q3217" s="2266"/>
      <c r="R3217" s="2266"/>
      <c r="S3217" s="2266"/>
    </row>
    <row r="3218" spans="1:19" s="2105" customFormat="1" outlineLevel="1">
      <c r="A3218" s="2182">
        <f t="shared" si="683"/>
        <v>0</v>
      </c>
      <c r="B3218" s="2261" t="s">
        <v>1050</v>
      </c>
      <c r="C3218" s="2268"/>
      <c r="D3218" s="2152">
        <v>0</v>
      </c>
      <c r="E3218" s="2359" t="s">
        <v>3543</v>
      </c>
      <c r="F3218" s="2501" t="s">
        <v>2555</v>
      </c>
      <c r="G3218" s="2269">
        <f>G3206*5</f>
        <v>0</v>
      </c>
      <c r="H3218" s="2264">
        <v>21000</v>
      </c>
      <c r="I3218" s="2264"/>
      <c r="J3218" s="2264">
        <v>0</v>
      </c>
      <c r="K3218" s="2264">
        <v>0</v>
      </c>
      <c r="L3218" s="2264">
        <f t="shared" si="684"/>
        <v>0</v>
      </c>
      <c r="M3218" s="2264">
        <f t="shared" si="684"/>
        <v>0</v>
      </c>
      <c r="N3218" s="2264">
        <f t="shared" si="684"/>
        <v>0</v>
      </c>
      <c r="O3218" s="2264">
        <f t="shared" si="684"/>
        <v>0</v>
      </c>
      <c r="P3218" s="2265"/>
      <c r="Q3218" s="2266"/>
      <c r="R3218" s="2266"/>
      <c r="S3218" s="2266"/>
    </row>
    <row r="3219" spans="1:19" s="2105" customFormat="1" outlineLevel="1">
      <c r="A3219" s="2182">
        <f t="shared" si="683"/>
        <v>0</v>
      </c>
      <c r="B3219" s="2261" t="s">
        <v>726</v>
      </c>
      <c r="C3219" s="2268"/>
      <c r="D3219" s="2152">
        <v>0</v>
      </c>
      <c r="E3219" s="2359" t="s">
        <v>3572</v>
      </c>
      <c r="F3219" s="2501" t="s">
        <v>388</v>
      </c>
      <c r="G3219" s="2269">
        <f>G3206</f>
        <v>0</v>
      </c>
      <c r="H3219" s="2264">
        <v>54100</v>
      </c>
      <c r="I3219" s="2264"/>
      <c r="J3219" s="2264">
        <v>0</v>
      </c>
      <c r="K3219" s="2264">
        <v>0</v>
      </c>
      <c r="L3219" s="2264">
        <f t="shared" si="684"/>
        <v>0</v>
      </c>
      <c r="M3219" s="2264">
        <f t="shared" si="684"/>
        <v>0</v>
      </c>
      <c r="N3219" s="2264">
        <f t="shared" si="684"/>
        <v>0</v>
      </c>
      <c r="O3219" s="2264">
        <f t="shared" si="684"/>
        <v>0</v>
      </c>
      <c r="P3219" s="2265"/>
      <c r="Q3219" s="2266"/>
      <c r="R3219" s="2266"/>
      <c r="S3219" s="2266"/>
    </row>
    <row r="3220" spans="1:19" s="2105" customFormat="1" outlineLevel="1">
      <c r="A3220" s="2182">
        <f t="shared" si="683"/>
        <v>0</v>
      </c>
      <c r="B3220" s="2252" t="s">
        <v>672</v>
      </c>
      <c r="C3220" s="2268"/>
      <c r="D3220" s="2152">
        <v>0</v>
      </c>
      <c r="E3220" s="2359" t="s">
        <v>5801</v>
      </c>
      <c r="F3220" s="2501" t="s">
        <v>3566</v>
      </c>
      <c r="G3220" s="2269">
        <f>G3206</f>
        <v>0</v>
      </c>
      <c r="H3220" s="2264">
        <v>6500</v>
      </c>
      <c r="I3220" s="2264"/>
      <c r="J3220" s="2264">
        <v>0</v>
      </c>
      <c r="K3220" s="2264">
        <v>0</v>
      </c>
      <c r="L3220" s="2264">
        <f t="shared" si="684"/>
        <v>0</v>
      </c>
      <c r="M3220" s="2264">
        <f t="shared" si="684"/>
        <v>0</v>
      </c>
      <c r="N3220" s="2264">
        <f t="shared" si="684"/>
        <v>0</v>
      </c>
      <c r="O3220" s="2264">
        <f t="shared" si="684"/>
        <v>0</v>
      </c>
      <c r="P3220" s="2265"/>
      <c r="Q3220" s="2266"/>
      <c r="R3220" s="2266"/>
      <c r="S3220" s="2266"/>
    </row>
    <row r="3221" spans="1:19" s="2105" customFormat="1" outlineLevel="1">
      <c r="A3221" s="2182">
        <f t="shared" si="683"/>
        <v>0</v>
      </c>
      <c r="B3221" s="2261" t="s">
        <v>2120</v>
      </c>
      <c r="C3221" s="2268"/>
      <c r="D3221" s="2152">
        <v>0</v>
      </c>
      <c r="E3221" s="2359" t="s">
        <v>3573</v>
      </c>
      <c r="F3221" s="2501" t="s">
        <v>2555</v>
      </c>
      <c r="G3221" s="2269">
        <f>G3206</f>
        <v>0</v>
      </c>
      <c r="H3221" s="2264">
        <v>5000</v>
      </c>
      <c r="I3221" s="2264"/>
      <c r="J3221" s="2264">
        <v>0</v>
      </c>
      <c r="K3221" s="2264">
        <v>0</v>
      </c>
      <c r="L3221" s="2264">
        <f t="shared" si="684"/>
        <v>0</v>
      </c>
      <c r="M3221" s="2264">
        <f t="shared" si="684"/>
        <v>0</v>
      </c>
      <c r="N3221" s="2264">
        <f t="shared" si="684"/>
        <v>0</v>
      </c>
      <c r="O3221" s="2264">
        <f t="shared" si="684"/>
        <v>0</v>
      </c>
      <c r="P3221" s="2265"/>
      <c r="Q3221" s="2266"/>
      <c r="R3221" s="2266"/>
      <c r="S3221" s="2266"/>
    </row>
    <row r="3222" spans="1:19" s="2105" customFormat="1" outlineLevel="1">
      <c r="A3222" s="2182">
        <f t="shared" si="683"/>
        <v>0</v>
      </c>
      <c r="B3222" s="2252" t="s">
        <v>959</v>
      </c>
      <c r="C3222" s="2268"/>
      <c r="D3222" s="2152">
        <v>0</v>
      </c>
      <c r="E3222" s="2359" t="s">
        <v>3577</v>
      </c>
      <c r="F3222" s="2501" t="s">
        <v>2555</v>
      </c>
      <c r="G3222" s="2269">
        <f>G3206</f>
        <v>0</v>
      </c>
      <c r="H3222" s="2264">
        <v>5200</v>
      </c>
      <c r="I3222" s="2264"/>
      <c r="J3222" s="2264">
        <v>0</v>
      </c>
      <c r="K3222" s="2264">
        <v>0</v>
      </c>
      <c r="L3222" s="2264">
        <f t="shared" si="684"/>
        <v>0</v>
      </c>
      <c r="M3222" s="2264">
        <f t="shared" si="684"/>
        <v>0</v>
      </c>
      <c r="N3222" s="2264">
        <f t="shared" si="684"/>
        <v>0</v>
      </c>
      <c r="O3222" s="2264">
        <f t="shared" si="684"/>
        <v>0</v>
      </c>
      <c r="P3222" s="2265"/>
      <c r="Q3222" s="2266"/>
      <c r="R3222" s="2266"/>
      <c r="S3222" s="2266"/>
    </row>
    <row r="3223" spans="1:19" s="2105" customFormat="1" outlineLevel="1">
      <c r="A3223" s="2182">
        <f t="shared" si="683"/>
        <v>0</v>
      </c>
      <c r="B3223" s="2252" t="s">
        <v>319</v>
      </c>
      <c r="C3223" s="2268"/>
      <c r="D3223" s="2152">
        <v>0</v>
      </c>
      <c r="E3223" s="2359" t="s">
        <v>5269</v>
      </c>
      <c r="F3223" s="2501" t="s">
        <v>2439</v>
      </c>
      <c r="G3223" s="2269">
        <f>G3206*2</f>
        <v>0</v>
      </c>
      <c r="H3223" s="2264">
        <v>168000</v>
      </c>
      <c r="I3223" s="2264"/>
      <c r="J3223" s="2264">
        <v>0</v>
      </c>
      <c r="K3223" s="2264">
        <v>0</v>
      </c>
      <c r="L3223" s="2264">
        <f t="shared" si="684"/>
        <v>0</v>
      </c>
      <c r="M3223" s="2264">
        <f t="shared" si="684"/>
        <v>0</v>
      </c>
      <c r="N3223" s="2264">
        <f t="shared" si="684"/>
        <v>0</v>
      </c>
      <c r="O3223" s="2264">
        <f t="shared" si="684"/>
        <v>0</v>
      </c>
      <c r="P3223" s="2265"/>
      <c r="Q3223" s="2266"/>
      <c r="R3223" s="2266"/>
      <c r="S3223" s="2266"/>
    </row>
    <row r="3224" spans="1:19" s="2105" customFormat="1" outlineLevel="1">
      <c r="A3224" s="2182">
        <f t="shared" si="683"/>
        <v>0</v>
      </c>
      <c r="B3224" s="2252" t="s">
        <v>1915</v>
      </c>
      <c r="C3224" s="2268"/>
      <c r="D3224" s="2152" t="s">
        <v>5655</v>
      </c>
      <c r="E3224" s="2359" t="s">
        <v>3394</v>
      </c>
      <c r="F3224" s="2501" t="s">
        <v>2555</v>
      </c>
      <c r="G3224" s="2269">
        <f>G3206</f>
        <v>0</v>
      </c>
      <c r="H3224" s="2264">
        <v>845331</v>
      </c>
      <c r="I3224" s="2264"/>
      <c r="J3224" s="2264">
        <v>599038</v>
      </c>
      <c r="K3224" s="2264">
        <v>97369</v>
      </c>
      <c r="L3224" s="2264">
        <f t="shared" si="684"/>
        <v>0</v>
      </c>
      <c r="M3224" s="2264">
        <f t="shared" si="684"/>
        <v>0</v>
      </c>
      <c r="N3224" s="2264">
        <f t="shared" si="684"/>
        <v>0</v>
      </c>
      <c r="O3224" s="2264">
        <f t="shared" si="684"/>
        <v>0</v>
      </c>
      <c r="P3224" s="2265"/>
      <c r="Q3224" s="2266"/>
      <c r="R3224" s="2266"/>
      <c r="S3224" s="2266"/>
    </row>
    <row r="3225" spans="1:19" s="2105" customFormat="1" outlineLevel="1">
      <c r="A3225" s="2182">
        <f t="shared" si="683"/>
        <v>0</v>
      </c>
      <c r="B3225" s="2252" t="s">
        <v>6</v>
      </c>
      <c r="C3225" s="2268"/>
      <c r="D3225" s="2152">
        <v>0</v>
      </c>
      <c r="E3225" s="2359" t="s">
        <v>3567</v>
      </c>
      <c r="F3225" s="2501" t="s">
        <v>5806</v>
      </c>
      <c r="G3225" s="2269">
        <f>G3206*2</f>
        <v>0</v>
      </c>
      <c r="H3225" s="2264">
        <v>45000</v>
      </c>
      <c r="I3225" s="2264"/>
      <c r="J3225" s="2264">
        <v>0</v>
      </c>
      <c r="K3225" s="2264">
        <v>0</v>
      </c>
      <c r="L3225" s="2264">
        <f t="shared" si="684"/>
        <v>0</v>
      </c>
      <c r="M3225" s="2264">
        <f t="shared" si="684"/>
        <v>0</v>
      </c>
      <c r="N3225" s="2264">
        <f t="shared" si="684"/>
        <v>0</v>
      </c>
      <c r="O3225" s="2264">
        <f t="shared" si="684"/>
        <v>0</v>
      </c>
      <c r="P3225" s="2265"/>
      <c r="Q3225" s="2266"/>
      <c r="R3225" s="2266"/>
      <c r="S3225" s="2266"/>
    </row>
    <row r="3226" spans="1:19" s="2105" customFormat="1" outlineLevel="1">
      <c r="A3226" s="2182">
        <f t="shared" si="683"/>
        <v>0</v>
      </c>
      <c r="B3226" s="2252" t="s">
        <v>2139</v>
      </c>
      <c r="C3226" s="2268"/>
      <c r="D3226" s="2152">
        <v>0</v>
      </c>
      <c r="E3226" s="2359" t="s">
        <v>2785</v>
      </c>
      <c r="F3226" s="2501" t="s">
        <v>2532</v>
      </c>
      <c r="G3226" s="2269">
        <f>G3206*4</f>
        <v>0</v>
      </c>
      <c r="H3226" s="2264">
        <v>5000</v>
      </c>
      <c r="I3226" s="2264"/>
      <c r="J3226" s="2264">
        <v>0</v>
      </c>
      <c r="K3226" s="2264">
        <v>0</v>
      </c>
      <c r="L3226" s="2264">
        <f t="shared" si="684"/>
        <v>0</v>
      </c>
      <c r="M3226" s="2264">
        <f t="shared" si="684"/>
        <v>0</v>
      </c>
      <c r="N3226" s="2264">
        <f t="shared" si="684"/>
        <v>0</v>
      </c>
      <c r="O3226" s="2264">
        <f t="shared" si="684"/>
        <v>0</v>
      </c>
      <c r="P3226" s="2265"/>
      <c r="Q3226" s="2266"/>
      <c r="R3226" s="2266"/>
      <c r="S3226" s="2266"/>
    </row>
    <row r="3227" spans="1:19" s="2105" customFormat="1" outlineLevel="1">
      <c r="A3227" s="2182">
        <f t="shared" si="683"/>
        <v>0</v>
      </c>
      <c r="B3227" s="2252" t="s">
        <v>1035</v>
      </c>
      <c r="C3227" s="2268"/>
      <c r="D3227" s="2152">
        <v>0</v>
      </c>
      <c r="E3227" s="2359" t="s">
        <v>6389</v>
      </c>
      <c r="F3227" s="2501" t="s">
        <v>2248</v>
      </c>
      <c r="G3227" s="2270">
        <f>3.77*G3206*2*0.3</f>
        <v>0</v>
      </c>
      <c r="H3227" s="2264">
        <v>31625</v>
      </c>
      <c r="I3227" s="2264"/>
      <c r="J3227" s="2264">
        <v>0</v>
      </c>
      <c r="K3227" s="2264">
        <v>0</v>
      </c>
      <c r="L3227" s="2264">
        <f t="shared" si="684"/>
        <v>0</v>
      </c>
      <c r="M3227" s="2264">
        <f t="shared" si="684"/>
        <v>0</v>
      </c>
      <c r="N3227" s="2264">
        <f t="shared" si="684"/>
        <v>0</v>
      </c>
      <c r="O3227" s="2264">
        <f t="shared" si="684"/>
        <v>0</v>
      </c>
      <c r="P3227" s="2265"/>
      <c r="Q3227" s="2266"/>
      <c r="R3227" s="2266"/>
      <c r="S3227" s="2266"/>
    </row>
    <row r="3228" spans="1:19" s="2105" customFormat="1" outlineLevel="1">
      <c r="A3228" s="2182">
        <f t="shared" si="683"/>
        <v>0</v>
      </c>
      <c r="B3228" s="2252" t="s">
        <v>6255</v>
      </c>
      <c r="C3228" s="2268"/>
      <c r="D3228" s="2152">
        <v>0</v>
      </c>
      <c r="E3228" s="2359" t="s">
        <v>2624</v>
      </c>
      <c r="F3228" s="2501" t="s">
        <v>2439</v>
      </c>
      <c r="G3228" s="2269">
        <f>4*G3206</f>
        <v>0</v>
      </c>
      <c r="H3228" s="2264">
        <v>1500</v>
      </c>
      <c r="I3228" s="2264"/>
      <c r="J3228" s="2264">
        <v>0</v>
      </c>
      <c r="K3228" s="2264">
        <v>0</v>
      </c>
      <c r="L3228" s="2264">
        <f t="shared" si="684"/>
        <v>0</v>
      </c>
      <c r="M3228" s="2264">
        <f t="shared" si="684"/>
        <v>0</v>
      </c>
      <c r="N3228" s="2264">
        <f t="shared" si="684"/>
        <v>0</v>
      </c>
      <c r="O3228" s="2264">
        <f t="shared" si="684"/>
        <v>0</v>
      </c>
      <c r="P3228" s="2265"/>
      <c r="Q3228" s="2266"/>
      <c r="R3228" s="2266"/>
      <c r="S3228" s="2266"/>
    </row>
    <row r="3229" spans="1:19" s="2105" customFormat="1" outlineLevel="1">
      <c r="A3229" s="2182">
        <f>A3079</f>
        <v>0</v>
      </c>
      <c r="B3229" s="2357"/>
      <c r="C3229" s="2572"/>
      <c r="D3229" s="2424"/>
      <c r="E3229" s="2399"/>
      <c r="F3229" s="2637"/>
      <c r="G3229" s="2638"/>
      <c r="H3229" s="2637"/>
      <c r="I3229" s="2637"/>
      <c r="J3229" s="2647" t="s">
        <v>6131</v>
      </c>
      <c r="K3229" s="2647"/>
      <c r="L3229" s="2425">
        <f>SUM(L3098:L3228)</f>
        <v>0</v>
      </c>
      <c r="M3229" s="2425">
        <f>SUM(M3098:M3228)</f>
        <v>0</v>
      </c>
      <c r="N3229" s="2425">
        <f>SUM(N3098:N3228)</f>
        <v>0</v>
      </c>
      <c r="O3229" s="2425">
        <f>SUM(O3098:O3228)</f>
        <v>0</v>
      </c>
      <c r="P3229" s="2568"/>
      <c r="Q3229" s="2266"/>
      <c r="R3229" s="2266"/>
      <c r="S3229" s="2266"/>
    </row>
    <row r="3230" spans="1:19" s="2105" customFormat="1" outlineLevel="1">
      <c r="A3230" s="2182"/>
      <c r="B3230" s="2357"/>
      <c r="C3230" s="2527"/>
      <c r="D3230" s="2527"/>
      <c r="E3230" s="2528"/>
      <c r="F3230" s="2645"/>
      <c r="G3230" s="2644"/>
      <c r="H3230" s="2645"/>
      <c r="I3230" s="2645"/>
      <c r="J3230" s="2528"/>
      <c r="K3230" s="2528"/>
      <c r="L3230" s="2529"/>
      <c r="M3230" s="2529"/>
      <c r="N3230" s="2529"/>
      <c r="O3230" s="2529"/>
      <c r="P3230" s="2266"/>
      <c r="Q3230" s="2266"/>
      <c r="R3230" s="2266"/>
      <c r="S3230" s="2266"/>
    </row>
    <row r="3231" spans="1:19" s="2105" customFormat="1" ht="13.95" customHeight="1">
      <c r="A3231" s="2386">
        <f>IF(G3236&gt;0,1,)</f>
        <v>0</v>
      </c>
      <c r="B3231" s="2252"/>
      <c r="C3231" s="2266"/>
      <c r="D3231" s="2266"/>
      <c r="E3231" s="2436"/>
      <c r="F3231" s="2266"/>
      <c r="G3231" s="2437"/>
      <c r="H3231" s="2266"/>
      <c r="I3231" s="2266"/>
      <c r="J3231" s="2266"/>
      <c r="K3231" s="2266"/>
      <c r="L3231" s="2266"/>
      <c r="M3231" s="2266"/>
      <c r="N3231" s="2266"/>
      <c r="O3231" s="2266"/>
      <c r="P3231" s="2266"/>
      <c r="Q3231" s="2266"/>
      <c r="R3231" s="2266"/>
      <c r="S3231" s="2266"/>
    </row>
    <row r="3232" spans="1:19" s="2105" customFormat="1" outlineLevel="1">
      <c r="A3232" s="2182">
        <f>A3231</f>
        <v>0</v>
      </c>
      <c r="B3232" s="2387"/>
      <c r="C3232" s="2624" t="str">
        <f>"BẢNG TỔNG HỢP VẬT LIỆU, NHÂN CÔNG, MÁY THI CÔNG: "&amp;K20&amp;" TRẠM 3P_1600KVA"</f>
        <v>BẢNG TỔNG HỢP VẬT LIỆU, NHÂN CÔNG, MÁY THI CÔNG: 0 TRẠM 3P_1600KVA</v>
      </c>
      <c r="D3232" s="2639"/>
      <c r="E3232" s="2639"/>
      <c r="F3232" s="2639"/>
      <c r="G3232" s="2639"/>
      <c r="H3232" s="2640"/>
      <c r="I3232" s="2528"/>
      <c r="J3232" s="2640"/>
      <c r="K3232" s="2640"/>
      <c r="L3232" s="2640"/>
      <c r="M3232" s="2528"/>
      <c r="N3232" s="2640"/>
      <c r="O3232" s="2640"/>
      <c r="P3232" s="2642"/>
      <c r="Q3232" s="2266"/>
      <c r="R3232" s="2266"/>
      <c r="S3232" s="2266"/>
    </row>
    <row r="3233" spans="1:19" s="2105" customFormat="1" outlineLevel="1">
      <c r="A3233" s="2182">
        <f>A3231</f>
        <v>0</v>
      </c>
      <c r="B3233" s="2261" t="s">
        <v>6112</v>
      </c>
      <c r="C3233" s="2648" t="s">
        <v>1708</v>
      </c>
      <c r="D3233" s="2649" t="s">
        <v>2597</v>
      </c>
      <c r="E3233" s="2651" t="s">
        <v>2598</v>
      </c>
      <c r="F3233" s="2648" t="s">
        <v>2593</v>
      </c>
      <c r="G3233" s="2109" t="s">
        <v>6113</v>
      </c>
      <c r="H3233" s="2112" t="s">
        <v>6114</v>
      </c>
      <c r="I3233" s="2619"/>
      <c r="J3233" s="2619"/>
      <c r="K3233" s="2620"/>
      <c r="L3233" s="2112" t="s">
        <v>6115</v>
      </c>
      <c r="M3233" s="2619"/>
      <c r="N3233" s="2619"/>
      <c r="O3233" s="2620"/>
      <c r="P3233" s="2648" t="s">
        <v>2599</v>
      </c>
      <c r="Q3233" s="2266"/>
      <c r="R3233" s="2266"/>
      <c r="S3233" s="2266"/>
    </row>
    <row r="3234" spans="1:19" s="2105" customFormat="1" outlineLevel="1">
      <c r="A3234" s="2182">
        <f>A3233</f>
        <v>0</v>
      </c>
      <c r="B3234" s="2261"/>
      <c r="C3234" s="2648"/>
      <c r="D3234" s="2650"/>
      <c r="E3234" s="2652"/>
      <c r="F3234" s="2648"/>
      <c r="G3234" s="2111" t="s">
        <v>2286</v>
      </c>
      <c r="H3234" s="2112" t="s">
        <v>6116</v>
      </c>
      <c r="I3234" s="2112" t="s">
        <v>6117</v>
      </c>
      <c r="J3234" s="2112" t="s">
        <v>6118</v>
      </c>
      <c r="K3234" s="2112" t="s">
        <v>6119</v>
      </c>
      <c r="L3234" s="2112" t="s">
        <v>6116</v>
      </c>
      <c r="M3234" s="2112" t="s">
        <v>6117</v>
      </c>
      <c r="N3234" s="2112" t="s">
        <v>6118</v>
      </c>
      <c r="O3234" s="2112" t="s">
        <v>6119</v>
      </c>
      <c r="P3234" s="2648"/>
      <c r="Q3234" s="2266"/>
      <c r="R3234" s="2266"/>
      <c r="S3234" s="2266"/>
    </row>
    <row r="3235" spans="1:19" s="2105" customFormat="1" outlineLevel="1">
      <c r="A3235" s="2182">
        <f>A3234</f>
        <v>0</v>
      </c>
      <c r="B3235" s="2261"/>
      <c r="C3235" s="2113"/>
      <c r="D3235" s="2114"/>
      <c r="E3235" s="2115" t="s">
        <v>3672</v>
      </c>
      <c r="F3235" s="2116"/>
      <c r="G3235" s="2116"/>
      <c r="H3235" s="2116"/>
      <c r="I3235" s="2116"/>
      <c r="J3235" s="2116"/>
      <c r="K3235" s="2116"/>
      <c r="L3235" s="2116"/>
      <c r="M3235" s="2116"/>
      <c r="N3235" s="2116"/>
      <c r="O3235" s="2114"/>
      <c r="P3235" s="2117"/>
      <c r="Q3235" s="2266"/>
      <c r="R3235" s="2266"/>
      <c r="S3235" s="2266"/>
    </row>
    <row r="3236" spans="1:19" s="2105" customFormat="1" outlineLevel="1">
      <c r="A3236" s="2182" t="str">
        <f t="shared" ref="A3236:A3246" si="685">IF(G3236&lt;&gt;0,1,"")</f>
        <v/>
      </c>
      <c r="B3236" s="2252" t="str">
        <f>IF($F$8=15,"tr1600","tr16001")</f>
        <v>tr16001</v>
      </c>
      <c r="C3236" s="2268">
        <f>IF(G3236&gt;0,1,0)</f>
        <v>0</v>
      </c>
      <c r="D3236" s="2152" t="s">
        <v>5594</v>
      </c>
      <c r="E3236" s="2194" t="s">
        <v>3338</v>
      </c>
      <c r="F3236" s="2152" t="s">
        <v>3300</v>
      </c>
      <c r="G3236" s="2563">
        <f>$K$20</f>
        <v>0</v>
      </c>
      <c r="H3236" s="2359">
        <v>448311000</v>
      </c>
      <c r="I3236" s="2359"/>
      <c r="J3236" s="2359">
        <v>1928901</v>
      </c>
      <c r="K3236" s="2359">
        <v>426761</v>
      </c>
      <c r="L3236" s="2360">
        <f t="shared" ref="L3236:L3246" si="686">H3236*G3236</f>
        <v>0</v>
      </c>
      <c r="M3236" s="2360">
        <f t="shared" ref="M3236:M3246" si="687">I3236*G3236</f>
        <v>0</v>
      </c>
      <c r="N3236" s="2360">
        <f t="shared" ref="N3236:N3246" si="688">J3236*G3236</f>
        <v>0</v>
      </c>
      <c r="O3236" s="2361">
        <f t="shared" ref="O3236:O3246" si="689">K3236*G3236</f>
        <v>0</v>
      </c>
      <c r="P3236" s="2564"/>
      <c r="Q3236" s="2266"/>
      <c r="R3236" s="2266"/>
      <c r="S3236" s="2266"/>
    </row>
    <row r="3237" spans="1:19" s="2105" customFormat="1" outlineLevel="1">
      <c r="A3237" s="2182" t="str">
        <f t="shared" si="685"/>
        <v/>
      </c>
      <c r="B3237" s="2357" t="s">
        <v>393</v>
      </c>
      <c r="C3237" s="2268">
        <f>IF(G3237&gt;0,C3236+1,C3236)</f>
        <v>0</v>
      </c>
      <c r="D3237" s="2152" t="s">
        <v>5600</v>
      </c>
      <c r="E3237" s="2194" t="s">
        <v>1593</v>
      </c>
      <c r="F3237" s="2152" t="s">
        <v>2439</v>
      </c>
      <c r="G3237" s="2269">
        <f>G3236*0</f>
        <v>0</v>
      </c>
      <c r="H3237" s="2359">
        <v>16664000</v>
      </c>
      <c r="I3237" s="2359">
        <v>0</v>
      </c>
      <c r="J3237" s="2359">
        <v>0</v>
      </c>
      <c r="K3237" s="2359">
        <v>262622</v>
      </c>
      <c r="L3237" s="2360">
        <f t="shared" si="686"/>
        <v>0</v>
      </c>
      <c r="M3237" s="2360">
        <f t="shared" si="687"/>
        <v>0</v>
      </c>
      <c r="N3237" s="2360">
        <f t="shared" si="688"/>
        <v>0</v>
      </c>
      <c r="O3237" s="2361">
        <f t="shared" si="689"/>
        <v>0</v>
      </c>
      <c r="P3237" s="2265"/>
      <c r="Q3237" s="2266"/>
      <c r="R3237" s="2266"/>
      <c r="S3237" s="2266"/>
    </row>
    <row r="3238" spans="1:19" s="2105" customFormat="1" outlineLevel="1">
      <c r="A3238" s="2182" t="str">
        <f t="shared" si="685"/>
        <v/>
      </c>
      <c r="B3238" s="2261" t="s">
        <v>1</v>
      </c>
      <c r="C3238" s="2268">
        <f t="shared" ref="C3238:C3243" si="690">IF(G3238&gt;0,C3237+1,C3237)</f>
        <v>0</v>
      </c>
      <c r="D3238" s="2152" t="s">
        <v>1388</v>
      </c>
      <c r="E3238" s="2194" t="s">
        <v>3384</v>
      </c>
      <c r="F3238" s="2152" t="s">
        <v>3370</v>
      </c>
      <c r="G3238" s="2269">
        <f>G3236*0</f>
        <v>0</v>
      </c>
      <c r="H3238" s="2359">
        <v>0</v>
      </c>
      <c r="I3238" s="2359">
        <v>0</v>
      </c>
      <c r="J3238" s="2359">
        <v>286129</v>
      </c>
      <c r="K3238" s="2359">
        <v>59254</v>
      </c>
      <c r="L3238" s="2360">
        <f t="shared" si="686"/>
        <v>0</v>
      </c>
      <c r="M3238" s="2360">
        <f t="shared" si="687"/>
        <v>0</v>
      </c>
      <c r="N3238" s="2360">
        <f t="shared" si="688"/>
        <v>0</v>
      </c>
      <c r="O3238" s="2361">
        <f t="shared" si="689"/>
        <v>0</v>
      </c>
      <c r="P3238" s="2389" t="s">
        <v>6285</v>
      </c>
      <c r="Q3238" s="2266"/>
      <c r="R3238" s="2266"/>
      <c r="S3238" s="2266"/>
    </row>
    <row r="3239" spans="1:19" s="2105" customFormat="1" outlineLevel="1">
      <c r="A3239" s="2182" t="str">
        <f t="shared" si="685"/>
        <v/>
      </c>
      <c r="B3239" s="2118" t="str">
        <f>"FCO200-"&amp;$F$8</f>
        <v>FCO200-22</v>
      </c>
      <c r="C3239" s="2268">
        <f t="shared" si="690"/>
        <v>0</v>
      </c>
      <c r="D3239" s="2152" t="s">
        <v>5598</v>
      </c>
      <c r="E3239" s="2194" t="s">
        <v>2030</v>
      </c>
      <c r="F3239" s="2152" t="s">
        <v>2555</v>
      </c>
      <c r="G3239" s="2269">
        <f>+G3236*3</f>
        <v>0</v>
      </c>
      <c r="H3239" s="2264">
        <v>4076000</v>
      </c>
      <c r="I3239" s="2264">
        <v>0</v>
      </c>
      <c r="J3239" s="2264">
        <v>176000</v>
      </c>
      <c r="K3239" s="2264">
        <v>0</v>
      </c>
      <c r="L3239" s="2264">
        <f t="shared" si="686"/>
        <v>0</v>
      </c>
      <c r="M3239" s="2264">
        <f t="shared" si="687"/>
        <v>0</v>
      </c>
      <c r="N3239" s="2264">
        <f t="shared" si="688"/>
        <v>0</v>
      </c>
      <c r="O3239" s="2264">
        <f t="shared" si="689"/>
        <v>0</v>
      </c>
      <c r="P3239" s="2265"/>
      <c r="Q3239" s="2266"/>
      <c r="R3239" s="2266"/>
      <c r="S3239" s="2266"/>
    </row>
    <row r="3240" spans="1:19" s="2105" customFormat="1" outlineLevel="1">
      <c r="A3240" s="2182" t="str">
        <f t="shared" si="685"/>
        <v/>
      </c>
      <c r="B3240" s="2252" t="str">
        <f>IF($F$8=15,"CHI100K","CHI65K")</f>
        <v>CHI65K</v>
      </c>
      <c r="C3240" s="2268">
        <f t="shared" si="690"/>
        <v>0</v>
      </c>
      <c r="D3240" s="2152">
        <v>0</v>
      </c>
      <c r="E3240" s="2194" t="s">
        <v>3433</v>
      </c>
      <c r="F3240" s="2152" t="s">
        <v>2600</v>
      </c>
      <c r="G3240" s="2269">
        <f>G3239</f>
        <v>0</v>
      </c>
      <c r="H3240" s="2264">
        <v>120000</v>
      </c>
      <c r="I3240" s="2264">
        <v>0</v>
      </c>
      <c r="J3240" s="2264">
        <v>0</v>
      </c>
      <c r="K3240" s="2264">
        <v>0</v>
      </c>
      <c r="L3240" s="2264">
        <f t="shared" si="686"/>
        <v>0</v>
      </c>
      <c r="M3240" s="2264">
        <f t="shared" si="687"/>
        <v>0</v>
      </c>
      <c r="N3240" s="2264">
        <f t="shared" si="688"/>
        <v>0</v>
      </c>
      <c r="O3240" s="2264">
        <f t="shared" si="689"/>
        <v>0</v>
      </c>
      <c r="P3240" s="2265"/>
      <c r="Q3240" s="2266"/>
      <c r="R3240" s="2266"/>
      <c r="S3240" s="2266"/>
    </row>
    <row r="3241" spans="1:19" s="2105" customFormat="1" outlineLevel="1">
      <c r="A3241" s="2182" t="str">
        <f t="shared" si="685"/>
        <v/>
      </c>
      <c r="B3241" s="2261" t="str">
        <f>"LA"&amp;$F$6</f>
        <v>LA18</v>
      </c>
      <c r="C3241" s="2268">
        <f t="shared" si="690"/>
        <v>0</v>
      </c>
      <c r="D3241" s="2152" t="s">
        <v>5602</v>
      </c>
      <c r="E3241" s="2194" t="s">
        <v>1193</v>
      </c>
      <c r="F3241" s="2152" t="s">
        <v>2555</v>
      </c>
      <c r="G3241" s="2269">
        <f>G3236*3</f>
        <v>0</v>
      </c>
      <c r="H3241" s="2264">
        <v>1106000</v>
      </c>
      <c r="I3241" s="2264">
        <v>0</v>
      </c>
      <c r="J3241" s="2264">
        <v>83490</v>
      </c>
      <c r="K3241" s="2264">
        <v>0</v>
      </c>
      <c r="L3241" s="2264">
        <f t="shared" si="686"/>
        <v>0</v>
      </c>
      <c r="M3241" s="2264">
        <f t="shared" si="687"/>
        <v>0</v>
      </c>
      <c r="N3241" s="2264">
        <f t="shared" si="688"/>
        <v>0</v>
      </c>
      <c r="O3241" s="2264">
        <f t="shared" si="689"/>
        <v>0</v>
      </c>
      <c r="P3241" s="2265"/>
      <c r="Q3241" s="2266"/>
      <c r="R3241" s="2266"/>
      <c r="S3241" s="2266"/>
    </row>
    <row r="3242" spans="1:19" s="2105" customFormat="1" outlineLevel="1">
      <c r="A3242" s="2182" t="str">
        <f t="shared" si="685"/>
        <v/>
      </c>
      <c r="B3242" s="2357" t="s">
        <v>1135</v>
      </c>
      <c r="C3242" s="2268">
        <f t="shared" si="690"/>
        <v>0</v>
      </c>
      <c r="D3242" s="2152">
        <v>0</v>
      </c>
      <c r="E3242" s="2194" t="s">
        <v>3415</v>
      </c>
      <c r="F3242" s="2152" t="s">
        <v>2555</v>
      </c>
      <c r="G3242" s="2269">
        <f>G3236</f>
        <v>0</v>
      </c>
      <c r="H3242" s="2264">
        <v>113827000</v>
      </c>
      <c r="I3242" s="2264">
        <v>0</v>
      </c>
      <c r="J3242" s="2264">
        <v>0</v>
      </c>
      <c r="K3242" s="2264">
        <v>0</v>
      </c>
      <c r="L3242" s="2264">
        <f t="shared" si="686"/>
        <v>0</v>
      </c>
      <c r="M3242" s="2264">
        <f t="shared" si="687"/>
        <v>0</v>
      </c>
      <c r="N3242" s="2264">
        <f t="shared" si="688"/>
        <v>0</v>
      </c>
      <c r="O3242" s="2264">
        <f t="shared" si="689"/>
        <v>0</v>
      </c>
      <c r="P3242" s="2265"/>
      <c r="Q3242" s="2266"/>
      <c r="R3242" s="2266"/>
      <c r="S3242" s="2266"/>
    </row>
    <row r="3243" spans="1:19" s="2105" customFormat="1" outlineLevel="1">
      <c r="A3243" s="2182" t="str">
        <f t="shared" si="685"/>
        <v/>
      </c>
      <c r="B3243" s="2357" t="s">
        <v>6294</v>
      </c>
      <c r="C3243" s="2268">
        <f t="shared" si="690"/>
        <v>0</v>
      </c>
      <c r="D3243" s="2152" t="s">
        <v>1025</v>
      </c>
      <c r="E3243" s="2194" t="s">
        <v>3372</v>
      </c>
      <c r="F3243" s="2152" t="s">
        <v>3370</v>
      </c>
      <c r="G3243" s="2269">
        <f>G3242</f>
        <v>0</v>
      </c>
      <c r="H3243" s="2264">
        <v>138000415</v>
      </c>
      <c r="I3243" s="2264">
        <v>0</v>
      </c>
      <c r="J3243" s="2264">
        <v>98101</v>
      </c>
      <c r="K3243" s="2264">
        <v>59254</v>
      </c>
      <c r="L3243" s="2264">
        <f t="shared" si="686"/>
        <v>0</v>
      </c>
      <c r="M3243" s="2264">
        <f t="shared" si="687"/>
        <v>0</v>
      </c>
      <c r="N3243" s="2264">
        <f t="shared" si="688"/>
        <v>0</v>
      </c>
      <c r="O3243" s="2264">
        <f t="shared" si="689"/>
        <v>0</v>
      </c>
      <c r="P3243" s="2265"/>
      <c r="Q3243" s="2266"/>
      <c r="R3243" s="2266"/>
      <c r="S3243" s="2266"/>
    </row>
    <row r="3244" spans="1:19" s="2105" customFormat="1" outlineLevel="1">
      <c r="A3244" s="2182" t="str">
        <f t="shared" si="685"/>
        <v/>
      </c>
      <c r="B3244" s="2252" t="str">
        <f>IF($F$8=15,"TI50","TI40")</f>
        <v>TI40</v>
      </c>
      <c r="C3244" s="2268">
        <f>IF(G3244&gt;0,C3243+1,C3243)</f>
        <v>0</v>
      </c>
      <c r="D3244" s="2152">
        <v>0</v>
      </c>
      <c r="E3244" s="2194" t="s">
        <v>3349</v>
      </c>
      <c r="F3244" s="2152" t="s">
        <v>2555</v>
      </c>
      <c r="G3244" s="2390">
        <f>G3236*3</f>
        <v>0</v>
      </c>
      <c r="H3244" s="2264">
        <v>0</v>
      </c>
      <c r="I3244" s="2264">
        <v>0</v>
      </c>
      <c r="J3244" s="2264">
        <v>0</v>
      </c>
      <c r="K3244" s="2264">
        <v>0</v>
      </c>
      <c r="L3244" s="2264">
        <f t="shared" si="686"/>
        <v>0</v>
      </c>
      <c r="M3244" s="2264">
        <f t="shared" si="687"/>
        <v>0</v>
      </c>
      <c r="N3244" s="2264">
        <f t="shared" si="688"/>
        <v>0</v>
      </c>
      <c r="O3244" s="2264">
        <f t="shared" si="689"/>
        <v>0</v>
      </c>
      <c r="P3244" s="2391" t="s">
        <v>2601</v>
      </c>
      <c r="Q3244" s="2266"/>
      <c r="R3244" s="2266"/>
      <c r="S3244" s="2266"/>
    </row>
    <row r="3245" spans="1:19" s="2105" customFormat="1" outlineLevel="1">
      <c r="A3245" s="2182" t="str">
        <f t="shared" si="685"/>
        <v/>
      </c>
      <c r="B3245" s="2252" t="str">
        <f>IF($F$8=15,"TU15","TU22")</f>
        <v>TU22</v>
      </c>
      <c r="C3245" s="2268">
        <f>IF(G3245&gt;0,C3244+1,C3244)</f>
        <v>0</v>
      </c>
      <c r="D3245" s="2152">
        <v>0</v>
      </c>
      <c r="E3245" s="2194" t="s">
        <v>5611</v>
      </c>
      <c r="F3245" s="2152" t="s">
        <v>2555</v>
      </c>
      <c r="G3245" s="2566">
        <f>G3244</f>
        <v>0</v>
      </c>
      <c r="H3245" s="2264">
        <v>0</v>
      </c>
      <c r="I3245" s="2264"/>
      <c r="J3245" s="2264">
        <v>92703</v>
      </c>
      <c r="K3245" s="2264">
        <v>84261</v>
      </c>
      <c r="L3245" s="2264">
        <f t="shared" si="686"/>
        <v>0</v>
      </c>
      <c r="M3245" s="2264">
        <f t="shared" si="687"/>
        <v>0</v>
      </c>
      <c r="N3245" s="2264">
        <f t="shared" si="688"/>
        <v>0</v>
      </c>
      <c r="O3245" s="2264">
        <f t="shared" si="689"/>
        <v>0</v>
      </c>
      <c r="P3245" s="2391" t="s">
        <v>2601</v>
      </c>
      <c r="Q3245" s="2266"/>
      <c r="R3245" s="2266"/>
      <c r="S3245" s="2266"/>
    </row>
    <row r="3246" spans="1:19" s="2105" customFormat="1" outlineLevel="1">
      <c r="A3246" s="2182" t="str">
        <f t="shared" si="685"/>
        <v/>
      </c>
      <c r="B3246" s="2567" t="s">
        <v>1837</v>
      </c>
      <c r="C3246" s="2268">
        <f>IF(G3246&gt;0,C3245+1,C3245)</f>
        <v>0</v>
      </c>
      <c r="D3246" s="2152">
        <v>0</v>
      </c>
      <c r="E3246" s="2194" t="s">
        <v>5709</v>
      </c>
      <c r="F3246" s="2152" t="s">
        <v>2555</v>
      </c>
      <c r="G3246" s="2390">
        <f>G3236</f>
        <v>0</v>
      </c>
      <c r="H3246" s="2359">
        <v>0</v>
      </c>
      <c r="I3246" s="2359">
        <v>0</v>
      </c>
      <c r="J3246" s="2359">
        <v>0</v>
      </c>
      <c r="K3246" s="2359">
        <v>0</v>
      </c>
      <c r="L3246" s="2264">
        <f t="shared" si="686"/>
        <v>0</v>
      </c>
      <c r="M3246" s="2360">
        <f t="shared" si="687"/>
        <v>0</v>
      </c>
      <c r="N3246" s="2360">
        <f t="shared" si="688"/>
        <v>0</v>
      </c>
      <c r="O3246" s="2361">
        <f t="shared" si="689"/>
        <v>0</v>
      </c>
      <c r="P3246" s="2392" t="s">
        <v>2601</v>
      </c>
      <c r="Q3246" s="2266"/>
      <c r="R3246" s="2266"/>
      <c r="S3246" s="2266"/>
    </row>
    <row r="3247" spans="1:19" s="2105" customFormat="1" outlineLevel="1">
      <c r="A3247" s="2182">
        <f>A3231</f>
        <v>0</v>
      </c>
      <c r="B3247" s="2261"/>
      <c r="C3247" s="2393"/>
      <c r="D3247" s="2394"/>
      <c r="E3247" s="2395"/>
      <c r="F3247" s="2393"/>
      <c r="G3247" s="2636"/>
      <c r="H3247" s="2393"/>
      <c r="I3247" s="2393"/>
      <c r="J3247" s="2117" t="s">
        <v>6121</v>
      </c>
      <c r="K3247" s="2393"/>
      <c r="L3247" s="2395">
        <f>SUM(L3236:L3246)</f>
        <v>0</v>
      </c>
      <c r="M3247" s="2395">
        <f>SUM(M3236:M3246)</f>
        <v>0</v>
      </c>
      <c r="N3247" s="2395">
        <f>SUM(N3236:N3246)</f>
        <v>0</v>
      </c>
      <c r="O3247" s="2395">
        <f>SUM(O3236:O3246)</f>
        <v>0</v>
      </c>
      <c r="P3247" s="2568"/>
      <c r="Q3247" s="2266"/>
      <c r="R3247" s="2266"/>
      <c r="S3247" s="2266"/>
    </row>
    <row r="3248" spans="1:19" s="2105" customFormat="1" outlineLevel="1">
      <c r="A3248" s="2182">
        <f>A3231</f>
        <v>0</v>
      </c>
      <c r="B3248" s="2261"/>
      <c r="C3248" s="2397"/>
      <c r="D3248" s="2398"/>
      <c r="E3248" s="2399" t="s">
        <v>3673</v>
      </c>
      <c r="F3248" s="2399"/>
      <c r="G3248" s="2400"/>
      <c r="H3248" s="2399"/>
      <c r="I3248" s="2399"/>
      <c r="J3248" s="2399"/>
      <c r="K3248" s="2399"/>
      <c r="L3248" s="2399"/>
      <c r="M3248" s="2399"/>
      <c r="N3248" s="2399"/>
      <c r="O3248" s="2398"/>
      <c r="P3248" s="2568"/>
      <c r="Q3248" s="2266"/>
      <c r="R3248" s="2266"/>
      <c r="S3248" s="2266"/>
    </row>
    <row r="3249" spans="1:19" s="2105" customFormat="1" outlineLevel="1">
      <c r="A3249" s="2182" t="str">
        <f t="shared" ref="A3249:A3263" si="691">IF(G3249&lt;&gt;0,1,"")</f>
        <v/>
      </c>
      <c r="B3249" s="2401"/>
      <c r="C3249" s="2402">
        <f>IF(G3249&gt;0,1,0)</f>
        <v>0</v>
      </c>
      <c r="D3249" s="2152"/>
      <c r="E3249" s="2403" t="s">
        <v>6217</v>
      </c>
      <c r="F3249" s="2404" t="s">
        <v>2277</v>
      </c>
      <c r="G3249" s="2409">
        <f>G3236*0</f>
        <v>0</v>
      </c>
      <c r="H3249" s="2404"/>
      <c r="I3249" s="2404"/>
      <c r="J3249" s="2404"/>
      <c r="K3249" s="2404"/>
      <c r="L3249" s="2405"/>
      <c r="M3249" s="2405"/>
      <c r="N3249" s="2405"/>
      <c r="O3249" s="2406"/>
      <c r="P3249" s="2265"/>
      <c r="Q3249" s="2266"/>
      <c r="R3249" s="2266"/>
      <c r="S3249" s="2266"/>
    </row>
    <row r="3250" spans="1:19" s="2105" customFormat="1" outlineLevel="1">
      <c r="A3250" s="2182" t="str">
        <f t="shared" si="691"/>
        <v/>
      </c>
      <c r="B3250" s="2357" t="s">
        <v>2233</v>
      </c>
      <c r="C3250" s="2407"/>
      <c r="D3250" s="2152"/>
      <c r="E3250" s="2408" t="s">
        <v>2991</v>
      </c>
      <c r="F3250" s="2152" t="s">
        <v>2831</v>
      </c>
      <c r="G3250" s="2152">
        <f>G3249</f>
        <v>0</v>
      </c>
      <c r="H3250" s="2359">
        <v>4200000</v>
      </c>
      <c r="I3250" s="2258"/>
      <c r="J3250" s="2359"/>
      <c r="K3250" s="2258"/>
      <c r="L3250" s="2360">
        <f>H3250*G3250</f>
        <v>0</v>
      </c>
      <c r="M3250" s="2360">
        <f>I3250*G3250</f>
        <v>0</v>
      </c>
      <c r="N3250" s="2360">
        <f>J3250*G3250</f>
        <v>0</v>
      </c>
      <c r="O3250" s="2360">
        <f>K3250*G3250</f>
        <v>0</v>
      </c>
      <c r="P3250" s="2265"/>
      <c r="Q3250" s="2266"/>
      <c r="R3250" s="2266"/>
      <c r="S3250" s="2266"/>
    </row>
    <row r="3251" spans="1:19" s="2105" customFormat="1" outlineLevel="1">
      <c r="A3251" s="2182" t="str">
        <f t="shared" si="691"/>
        <v/>
      </c>
      <c r="B3251" s="2357" t="s">
        <v>1814</v>
      </c>
      <c r="C3251" s="2407"/>
      <c r="D3251" s="2152"/>
      <c r="E3251" s="2408" t="s">
        <v>2830</v>
      </c>
      <c r="F3251" s="2152" t="s">
        <v>2831</v>
      </c>
      <c r="G3251" s="2152">
        <f>G3250</f>
        <v>0</v>
      </c>
      <c r="H3251" s="2359">
        <v>17400</v>
      </c>
      <c r="I3251" s="2359"/>
      <c r="J3251" s="2258"/>
      <c r="K3251" s="2258"/>
      <c r="L3251" s="2360">
        <f>H3251*G3251</f>
        <v>0</v>
      </c>
      <c r="M3251" s="2360">
        <f>I3251*G3251</f>
        <v>0</v>
      </c>
      <c r="N3251" s="2360">
        <f>J3251*G3251</f>
        <v>0</v>
      </c>
      <c r="O3251" s="2360">
        <f>K3251*G3251</f>
        <v>0</v>
      </c>
      <c r="P3251" s="2265"/>
      <c r="Q3251" s="2266"/>
      <c r="R3251" s="2266"/>
      <c r="S3251" s="2266"/>
    </row>
    <row r="3252" spans="1:19" s="2105" customFormat="1" outlineLevel="1">
      <c r="A3252" s="2182" t="str">
        <f t="shared" si="691"/>
        <v/>
      </c>
      <c r="B3252" s="2357" t="s">
        <v>1612</v>
      </c>
      <c r="C3252" s="2407"/>
      <c r="D3252" s="2152" t="s">
        <v>5357</v>
      </c>
      <c r="E3252" s="2408" t="s">
        <v>5358</v>
      </c>
      <c r="F3252" s="2152" t="s">
        <v>2831</v>
      </c>
      <c r="G3252" s="2152">
        <f>G3250</f>
        <v>0</v>
      </c>
      <c r="H3252" s="2408"/>
      <c r="I3252" s="2359"/>
      <c r="J3252" s="2359">
        <v>551034</v>
      </c>
      <c r="K3252" s="2359">
        <v>141795.29</v>
      </c>
      <c r="L3252" s="2360">
        <f>H3252*G3252</f>
        <v>0</v>
      </c>
      <c r="M3252" s="2360">
        <f>I3252*G3252</f>
        <v>0</v>
      </c>
      <c r="N3252" s="2360">
        <f>J3252*G3252</f>
        <v>0</v>
      </c>
      <c r="O3252" s="2360">
        <f>K3252*G3252</f>
        <v>0</v>
      </c>
      <c r="P3252" s="2265"/>
      <c r="Q3252" s="2266"/>
      <c r="R3252" s="2266"/>
      <c r="S3252" s="2266"/>
    </row>
    <row r="3253" spans="1:19" s="2105" customFormat="1" outlineLevel="1">
      <c r="A3253" s="2182" t="str">
        <f t="shared" si="691"/>
        <v/>
      </c>
      <c r="B3253" s="2357" t="s">
        <v>2234</v>
      </c>
      <c r="C3253" s="2407"/>
      <c r="D3253" s="2152"/>
      <c r="E3253" s="2408" t="s">
        <v>5324</v>
      </c>
      <c r="F3253" s="2152" t="s">
        <v>856</v>
      </c>
      <c r="G3253" s="2152">
        <f>G3249*0.201</f>
        <v>0</v>
      </c>
      <c r="H3253" s="2359">
        <v>0</v>
      </c>
      <c r="I3253" s="2359"/>
      <c r="J3253" s="2359">
        <v>296500.89999999997</v>
      </c>
      <c r="K3253" s="2359">
        <v>0</v>
      </c>
      <c r="L3253" s="2360">
        <f>H3253*G3253</f>
        <v>0</v>
      </c>
      <c r="M3253" s="2360">
        <f>I3253*G3253</f>
        <v>0</v>
      </c>
      <c r="N3253" s="2360">
        <f>J3253*G3253</f>
        <v>0</v>
      </c>
      <c r="O3253" s="2360">
        <f>K3253*G3253</f>
        <v>0</v>
      </c>
      <c r="P3253" s="2265"/>
      <c r="Q3253" s="2266"/>
      <c r="R3253" s="2266"/>
      <c r="S3253" s="2266"/>
    </row>
    <row r="3254" spans="1:19" s="2105" customFormat="1" outlineLevel="1">
      <c r="A3254" s="2182" t="str">
        <f t="shared" si="691"/>
        <v/>
      </c>
      <c r="B3254" s="2357" t="s">
        <v>21</v>
      </c>
      <c r="C3254" s="2407"/>
      <c r="D3254" s="2152" t="s">
        <v>5325</v>
      </c>
      <c r="E3254" s="2408" t="s">
        <v>5326</v>
      </c>
      <c r="F3254" s="2152" t="s">
        <v>856</v>
      </c>
      <c r="G3254" s="2152">
        <f>G3249*0.182</f>
        <v>0</v>
      </c>
      <c r="H3254" s="2408"/>
      <c r="I3254" s="2359"/>
      <c r="J3254" s="2359">
        <v>117703.6</v>
      </c>
      <c r="K3254" s="2359">
        <v>0</v>
      </c>
      <c r="L3254" s="2360">
        <f>H3254*G3254</f>
        <v>0</v>
      </c>
      <c r="M3254" s="2360">
        <f>I3254*G3254</f>
        <v>0</v>
      </c>
      <c r="N3254" s="2360">
        <f>J3254*G3254</f>
        <v>0</v>
      </c>
      <c r="O3254" s="2360">
        <f>K3254*G3254</f>
        <v>0</v>
      </c>
      <c r="P3254" s="2265"/>
      <c r="Q3254" s="2266"/>
      <c r="R3254" s="2266"/>
      <c r="S3254" s="2266"/>
    </row>
    <row r="3255" spans="1:19" s="2105" customFormat="1" outlineLevel="1">
      <c r="A3255" s="2182" t="str">
        <f t="shared" si="691"/>
        <v/>
      </c>
      <c r="B3255" s="2357"/>
      <c r="C3255" s="2258">
        <f>IF(G3255&gt;0,C3249+1,C3249)</f>
        <v>0</v>
      </c>
      <c r="D3255" s="2152"/>
      <c r="E3255" s="2403" t="s">
        <v>6295</v>
      </c>
      <c r="F3255" s="2404" t="s">
        <v>2327</v>
      </c>
      <c r="G3255" s="2409">
        <f>G3249</f>
        <v>0</v>
      </c>
      <c r="H3255" s="2258"/>
      <c r="I3255" s="2258"/>
      <c r="J3255" s="2258"/>
      <c r="K3255" s="2258"/>
      <c r="L3255" s="2258"/>
      <c r="M3255" s="2258"/>
      <c r="N3255" s="2258"/>
      <c r="O3255" s="2410"/>
      <c r="P3255" s="2265"/>
      <c r="Q3255" s="2266"/>
      <c r="R3255" s="2266"/>
      <c r="S3255" s="2266"/>
    </row>
    <row r="3256" spans="1:19" s="2105" customFormat="1" outlineLevel="1">
      <c r="A3256" s="2182" t="str">
        <f t="shared" si="691"/>
        <v/>
      </c>
      <c r="B3256" s="2357" t="s">
        <v>751</v>
      </c>
      <c r="C3256" s="2407"/>
      <c r="D3256" s="2152">
        <v>0</v>
      </c>
      <c r="E3256" s="2408" t="s">
        <v>5289</v>
      </c>
      <c r="F3256" s="2152" t="s">
        <v>2248</v>
      </c>
      <c r="G3256" s="2152">
        <f>204*G3255</f>
        <v>0</v>
      </c>
      <c r="H3256" s="2359">
        <v>1740</v>
      </c>
      <c r="I3256" s="2359"/>
      <c r="J3256" s="2359">
        <v>0</v>
      </c>
      <c r="K3256" s="2258"/>
      <c r="L3256" s="2360">
        <f t="shared" ref="L3256:L3289" si="692">H3256*G3256</f>
        <v>0</v>
      </c>
      <c r="M3256" s="2360">
        <f>I3256*G3256</f>
        <v>0</v>
      </c>
      <c r="N3256" s="2360">
        <f>J3256*G3256</f>
        <v>0</v>
      </c>
      <c r="O3256" s="2360">
        <f>K3256*G3256</f>
        <v>0</v>
      </c>
      <c r="P3256" s="2265"/>
      <c r="Q3256" s="2266"/>
      <c r="R3256" s="2266"/>
      <c r="S3256" s="2266"/>
    </row>
    <row r="3257" spans="1:19" s="2105" customFormat="1" outlineLevel="1">
      <c r="A3257" s="2182" t="str">
        <f t="shared" si="691"/>
        <v/>
      </c>
      <c r="B3257" s="2357" t="s">
        <v>752</v>
      </c>
      <c r="C3257" s="2407"/>
      <c r="D3257" s="2152"/>
      <c r="E3257" s="2408" t="s">
        <v>3004</v>
      </c>
      <c r="F3257" s="2152" t="s">
        <v>856</v>
      </c>
      <c r="G3257" s="2152">
        <f>+G3255*0.5327</f>
        <v>0</v>
      </c>
      <c r="H3257" s="2359">
        <v>512000</v>
      </c>
      <c r="I3257" s="2408"/>
      <c r="J3257" s="2408"/>
      <c r="K3257" s="2258"/>
      <c r="L3257" s="2360">
        <f t="shared" si="692"/>
        <v>0</v>
      </c>
      <c r="M3257" s="2360">
        <f>I3257*G3257</f>
        <v>0</v>
      </c>
      <c r="N3257" s="2360">
        <f>J3257*G3257</f>
        <v>0</v>
      </c>
      <c r="O3257" s="2360">
        <f>K3257*G3257</f>
        <v>0</v>
      </c>
      <c r="P3257" s="2265"/>
      <c r="Q3257" s="2266"/>
      <c r="R3257" s="2266"/>
      <c r="S3257" s="2266"/>
    </row>
    <row r="3258" spans="1:19" s="2105" customFormat="1" outlineLevel="1">
      <c r="A3258" s="2182" t="str">
        <f t="shared" si="691"/>
        <v/>
      </c>
      <c r="B3258" s="2357" t="s">
        <v>867</v>
      </c>
      <c r="C3258" s="2407"/>
      <c r="D3258" s="2152">
        <v>0</v>
      </c>
      <c r="E3258" s="2408" t="s">
        <v>3000</v>
      </c>
      <c r="F3258" s="2152" t="s">
        <v>856</v>
      </c>
      <c r="G3258" s="2152">
        <f>+G3255*0.607</f>
        <v>0</v>
      </c>
      <c r="H3258" s="2359">
        <v>335000</v>
      </c>
      <c r="I3258" s="2359"/>
      <c r="J3258" s="2359">
        <v>0</v>
      </c>
      <c r="K3258" s="2258"/>
      <c r="L3258" s="2360">
        <f t="shared" si="692"/>
        <v>0</v>
      </c>
      <c r="M3258" s="2360">
        <f>I3258*G3258</f>
        <v>0</v>
      </c>
      <c r="N3258" s="2360">
        <f>J3258*G3258</f>
        <v>0</v>
      </c>
      <c r="O3258" s="2360">
        <f>K3258*G3258</f>
        <v>0</v>
      </c>
      <c r="P3258" s="2265"/>
      <c r="Q3258" s="2266"/>
      <c r="R3258" s="2266"/>
      <c r="S3258" s="2266"/>
    </row>
    <row r="3259" spans="1:19" s="2105" customFormat="1" outlineLevel="1">
      <c r="A3259" s="2182" t="str">
        <f t="shared" si="691"/>
        <v/>
      </c>
      <c r="B3259" s="2357" t="s">
        <v>2008</v>
      </c>
      <c r="C3259" s="2407"/>
      <c r="D3259" s="2152"/>
      <c r="E3259" s="2408" t="s">
        <v>5247</v>
      </c>
      <c r="F3259" s="2152" t="s">
        <v>2248</v>
      </c>
      <c r="G3259" s="2152">
        <f>+G3255*20.08</f>
        <v>0</v>
      </c>
      <c r="H3259" s="2359">
        <v>13300</v>
      </c>
      <c r="I3259" s="2408"/>
      <c r="J3259" s="2408"/>
      <c r="K3259" s="2258"/>
      <c r="L3259" s="2360">
        <f t="shared" si="692"/>
        <v>0</v>
      </c>
      <c r="M3259" s="2360">
        <f>I3259*G3259</f>
        <v>0</v>
      </c>
      <c r="N3259" s="2360">
        <f>J3259*G3259</f>
        <v>0</v>
      </c>
      <c r="O3259" s="2360">
        <f>K3259*G3259</f>
        <v>0</v>
      </c>
      <c r="P3259" s="2265"/>
      <c r="Q3259" s="2266"/>
      <c r="R3259" s="2266"/>
      <c r="S3259" s="2266"/>
    </row>
    <row r="3260" spans="1:19" s="2105" customFormat="1" outlineLevel="1">
      <c r="A3260" s="2182" t="str">
        <f t="shared" si="691"/>
        <v/>
      </c>
      <c r="B3260" s="2357" t="s">
        <v>1425</v>
      </c>
      <c r="C3260" s="2407"/>
      <c r="D3260" s="2152">
        <v>0</v>
      </c>
      <c r="E3260" s="2408" t="s">
        <v>3569</v>
      </c>
      <c r="F3260" s="2152" t="s">
        <v>2248</v>
      </c>
      <c r="G3260" s="2152">
        <f>+G3255*0.43</f>
        <v>0</v>
      </c>
      <c r="H3260" s="2359">
        <v>10500</v>
      </c>
      <c r="I3260" s="2359"/>
      <c r="J3260" s="2359">
        <v>0</v>
      </c>
      <c r="K3260" s="2258"/>
      <c r="L3260" s="2360">
        <f t="shared" si="692"/>
        <v>0</v>
      </c>
      <c r="M3260" s="2360">
        <f>I3260*G3260</f>
        <v>0</v>
      </c>
      <c r="N3260" s="2360">
        <f>J3260*G3260</f>
        <v>0</v>
      </c>
      <c r="O3260" s="2360">
        <f>K3260*G3260</f>
        <v>0</v>
      </c>
      <c r="P3260" s="2265"/>
      <c r="Q3260" s="2266"/>
      <c r="R3260" s="2266"/>
      <c r="S3260" s="2266"/>
    </row>
    <row r="3261" spans="1:19" s="2105" customFormat="1" outlineLevel="1">
      <c r="A3261" s="2182" t="str">
        <f t="shared" si="691"/>
        <v/>
      </c>
      <c r="B3261" s="2357" t="s">
        <v>639</v>
      </c>
      <c r="C3261" s="2407"/>
      <c r="D3261" s="2152" t="s">
        <v>1747</v>
      </c>
      <c r="E3261" s="2408" t="s">
        <v>5324</v>
      </c>
      <c r="F3261" s="2152" t="s">
        <v>856</v>
      </c>
      <c r="G3261" s="2152">
        <f>+G3255*0.77</f>
        <v>0</v>
      </c>
      <c r="H3261" s="2359">
        <v>0</v>
      </c>
      <c r="I3261" s="2359"/>
      <c r="J3261" s="2359">
        <v>296500.89999999997</v>
      </c>
      <c r="K3261" s="2258"/>
      <c r="L3261" s="2360">
        <f t="shared" si="692"/>
        <v>0</v>
      </c>
      <c r="M3261" s="2360">
        <f t="shared" ref="M3261:M3268" si="693">I3261*G3261</f>
        <v>0</v>
      </c>
      <c r="N3261" s="2360">
        <f t="shared" ref="N3261:N3268" si="694">J3261*G3261</f>
        <v>0</v>
      </c>
      <c r="O3261" s="2360">
        <f t="shared" ref="O3261:O3268" si="695">K3261*G3261</f>
        <v>0</v>
      </c>
      <c r="P3261" s="2265"/>
      <c r="Q3261" s="2266"/>
      <c r="R3261" s="2266"/>
      <c r="S3261" s="2266"/>
    </row>
    <row r="3262" spans="1:19" s="2105" customFormat="1" outlineLevel="1">
      <c r="A3262" s="2182" t="str">
        <f t="shared" si="691"/>
        <v/>
      </c>
      <c r="B3262" s="2569" t="s">
        <v>1835</v>
      </c>
      <c r="C3262" s="2407"/>
      <c r="D3262" s="2152" t="s">
        <v>5471</v>
      </c>
      <c r="E3262" s="2408" t="s">
        <v>5473</v>
      </c>
      <c r="F3262" s="2152" t="s">
        <v>856</v>
      </c>
      <c r="G3262" s="2152">
        <f>+G3255*0.689</f>
        <v>0</v>
      </c>
      <c r="H3262" s="2359">
        <v>461871</v>
      </c>
      <c r="I3262" s="2359"/>
      <c r="J3262" s="2359">
        <v>414064.45</v>
      </c>
      <c r="K3262" s="2258"/>
      <c r="L3262" s="2360">
        <f t="shared" si="692"/>
        <v>0</v>
      </c>
      <c r="M3262" s="2360">
        <f t="shared" si="693"/>
        <v>0</v>
      </c>
      <c r="N3262" s="2360">
        <f t="shared" si="694"/>
        <v>0</v>
      </c>
      <c r="O3262" s="2360">
        <f t="shared" si="695"/>
        <v>0</v>
      </c>
      <c r="P3262" s="2265"/>
      <c r="Q3262" s="2266"/>
      <c r="R3262" s="2266"/>
      <c r="S3262" s="2266"/>
    </row>
    <row r="3263" spans="1:19" s="2105" customFormat="1" outlineLevel="1">
      <c r="A3263" s="2182" t="str">
        <f t="shared" si="691"/>
        <v/>
      </c>
      <c r="B3263" s="2261"/>
      <c r="C3263" s="2258">
        <f>IF(G3263&gt;0,C3255+1,C3255)</f>
        <v>0</v>
      </c>
      <c r="D3263" s="2259"/>
      <c r="E3263" s="2417" t="s">
        <v>6271</v>
      </c>
      <c r="F3263" s="2258" t="s">
        <v>2385</v>
      </c>
      <c r="G3263" s="2263"/>
      <c r="H3263" s="2416"/>
      <c r="I3263" s="2416"/>
      <c r="J3263" s="2416"/>
      <c r="K3263" s="2416"/>
      <c r="L3263" s="2360">
        <f t="shared" si="692"/>
        <v>0</v>
      </c>
      <c r="M3263" s="2360">
        <f t="shared" si="693"/>
        <v>0</v>
      </c>
      <c r="N3263" s="2360">
        <f t="shared" si="694"/>
        <v>0</v>
      </c>
      <c r="O3263" s="2360">
        <f t="shared" si="695"/>
        <v>0</v>
      </c>
      <c r="P3263" s="2265"/>
      <c r="Q3263" s="2266"/>
      <c r="R3263" s="2266"/>
      <c r="S3263" s="2266"/>
    </row>
    <row r="3264" spans="1:19" s="2105" customFormat="1" ht="14.4" outlineLevel="1">
      <c r="A3264" s="2182" t="str">
        <f>A3263</f>
        <v/>
      </c>
      <c r="B3264" s="2261"/>
      <c r="C3264" s="2258"/>
      <c r="D3264" s="2259"/>
      <c r="E3264" s="2267" t="s">
        <v>6133</v>
      </c>
      <c r="F3264" s="2268"/>
      <c r="G3264" s="2269"/>
      <c r="H3264" s="2416"/>
      <c r="I3264" s="2416"/>
      <c r="J3264" s="2416"/>
      <c r="K3264" s="2416"/>
      <c r="L3264" s="2360">
        <f t="shared" si="692"/>
        <v>0</v>
      </c>
      <c r="M3264" s="2360">
        <f t="shared" si="693"/>
        <v>0</v>
      </c>
      <c r="N3264" s="2360">
        <f t="shared" si="694"/>
        <v>0</v>
      </c>
      <c r="O3264" s="2360">
        <f t="shared" si="695"/>
        <v>0</v>
      </c>
      <c r="P3264" s="2265"/>
      <c r="Q3264" s="2266"/>
      <c r="R3264" s="2266"/>
      <c r="S3264" s="2266"/>
    </row>
    <row r="3265" spans="1:19" s="2105" customFormat="1" outlineLevel="1">
      <c r="A3265" s="2182" t="str">
        <f t="shared" ref="A3265:A3270" si="696">IF(G3265&lt;&gt;0,1,"")</f>
        <v/>
      </c>
      <c r="B3265" s="2252" t="s">
        <v>2022</v>
      </c>
      <c r="C3265" s="2258"/>
      <c r="D3265" s="2152">
        <v>0</v>
      </c>
      <c r="E3265" s="2194" t="s">
        <v>2437</v>
      </c>
      <c r="F3265" s="2152" t="s">
        <v>2248</v>
      </c>
      <c r="G3265" s="2270">
        <f>G3263*9.02*(2.6+3*0.07)*2</f>
        <v>0</v>
      </c>
      <c r="H3265" s="2359">
        <v>11500</v>
      </c>
      <c r="I3265" s="2359"/>
      <c r="J3265" s="2359">
        <v>0</v>
      </c>
      <c r="K3265" s="2359">
        <v>0</v>
      </c>
      <c r="L3265" s="2360">
        <f t="shared" si="692"/>
        <v>0</v>
      </c>
      <c r="M3265" s="2360">
        <f t="shared" si="693"/>
        <v>0</v>
      </c>
      <c r="N3265" s="2360">
        <f t="shared" si="694"/>
        <v>0</v>
      </c>
      <c r="O3265" s="2360">
        <f t="shared" si="695"/>
        <v>0</v>
      </c>
      <c r="P3265" s="2265"/>
      <c r="Q3265" s="2266"/>
      <c r="R3265" s="2266"/>
      <c r="S3265" s="2266"/>
    </row>
    <row r="3266" spans="1:19" s="2105" customFormat="1" outlineLevel="1">
      <c r="A3266" s="2182" t="str">
        <f t="shared" si="696"/>
        <v/>
      </c>
      <c r="B3266" s="2261" t="s">
        <v>1784</v>
      </c>
      <c r="C3266" s="2258"/>
      <c r="D3266" s="2152">
        <v>0</v>
      </c>
      <c r="E3266" s="2194" t="s">
        <v>2660</v>
      </c>
      <c r="F3266" s="2152" t="s">
        <v>2385</v>
      </c>
      <c r="G3266" s="2269">
        <f>G3263*2</f>
        <v>0</v>
      </c>
      <c r="H3266" s="2359">
        <v>12340</v>
      </c>
      <c r="I3266" s="2359">
        <v>0</v>
      </c>
      <c r="J3266" s="2359">
        <v>0</v>
      </c>
      <c r="K3266" s="2359">
        <v>0</v>
      </c>
      <c r="L3266" s="2360">
        <f t="shared" si="692"/>
        <v>0</v>
      </c>
      <c r="M3266" s="2360">
        <f t="shared" si="693"/>
        <v>0</v>
      </c>
      <c r="N3266" s="2360">
        <f t="shared" si="694"/>
        <v>0</v>
      </c>
      <c r="O3266" s="2360">
        <f t="shared" si="695"/>
        <v>0</v>
      </c>
      <c r="P3266" s="2265"/>
      <c r="Q3266" s="2266"/>
      <c r="R3266" s="2266"/>
      <c r="S3266" s="2266"/>
    </row>
    <row r="3267" spans="1:19" s="2105" customFormat="1" outlineLevel="1">
      <c r="A3267" s="2182" t="str">
        <f t="shared" si="696"/>
        <v/>
      </c>
      <c r="B3267" s="2261" t="s">
        <v>1610</v>
      </c>
      <c r="C3267" s="2258"/>
      <c r="D3267" s="2152">
        <v>0</v>
      </c>
      <c r="E3267" s="2194" t="s">
        <v>2649</v>
      </c>
      <c r="F3267" s="2152" t="s">
        <v>2385</v>
      </c>
      <c r="G3267" s="2269">
        <f>G3263*2</f>
        <v>0</v>
      </c>
      <c r="H3267" s="2359">
        <v>9120</v>
      </c>
      <c r="I3267" s="2359">
        <v>0</v>
      </c>
      <c r="J3267" s="2359">
        <v>0</v>
      </c>
      <c r="K3267" s="2359">
        <v>0</v>
      </c>
      <c r="L3267" s="2360">
        <f t="shared" si="692"/>
        <v>0</v>
      </c>
      <c r="M3267" s="2360">
        <f t="shared" si="693"/>
        <v>0</v>
      </c>
      <c r="N3267" s="2360">
        <f t="shared" si="694"/>
        <v>0</v>
      </c>
      <c r="O3267" s="2360">
        <f t="shared" si="695"/>
        <v>0</v>
      </c>
      <c r="P3267" s="2265"/>
      <c r="Q3267" s="2266"/>
      <c r="R3267" s="2266"/>
      <c r="S3267" s="2266"/>
    </row>
    <row r="3268" spans="1:19" s="2105" customFormat="1" outlineLevel="1">
      <c r="A3268" s="2182" t="str">
        <f t="shared" si="696"/>
        <v/>
      </c>
      <c r="B3268" s="2261" t="s">
        <v>1609</v>
      </c>
      <c r="C3268" s="2258"/>
      <c r="D3268" s="2152">
        <v>0</v>
      </c>
      <c r="E3268" s="2194" t="s">
        <v>2645</v>
      </c>
      <c r="F3268" s="2152" t="s">
        <v>2385</v>
      </c>
      <c r="G3268" s="2269">
        <f>G3267</f>
        <v>0</v>
      </c>
      <c r="H3268" s="2359">
        <v>9220</v>
      </c>
      <c r="I3268" s="2359">
        <v>0</v>
      </c>
      <c r="J3268" s="2359">
        <v>0</v>
      </c>
      <c r="K3268" s="2359">
        <v>0</v>
      </c>
      <c r="L3268" s="2360">
        <f t="shared" si="692"/>
        <v>0</v>
      </c>
      <c r="M3268" s="2360">
        <f t="shared" si="693"/>
        <v>0</v>
      </c>
      <c r="N3268" s="2360">
        <f t="shared" si="694"/>
        <v>0</v>
      </c>
      <c r="O3268" s="2360">
        <f t="shared" si="695"/>
        <v>0</v>
      </c>
      <c r="P3268" s="2265"/>
      <c r="Q3268" s="2266"/>
      <c r="R3268" s="2266"/>
      <c r="S3268" s="2266"/>
    </row>
    <row r="3269" spans="1:19" s="2105" customFormat="1" outlineLevel="1">
      <c r="A3269" s="2182" t="str">
        <f t="shared" si="696"/>
        <v/>
      </c>
      <c r="B3269" s="2261" t="s">
        <v>2242</v>
      </c>
      <c r="C3269" s="2258"/>
      <c r="D3269" s="2152" t="s">
        <v>730</v>
      </c>
      <c r="E3269" s="2194" t="s">
        <v>2440</v>
      </c>
      <c r="F3269" s="2152" t="s">
        <v>2385</v>
      </c>
      <c r="G3269" s="2269">
        <f>G3263</f>
        <v>0</v>
      </c>
      <c r="H3269" s="2359">
        <v>0</v>
      </c>
      <c r="I3269" s="2359"/>
      <c r="J3269" s="2359" t="s">
        <v>6345</v>
      </c>
      <c r="K3269" s="2359"/>
      <c r="L3269" s="2360">
        <f t="shared" si="692"/>
        <v>0</v>
      </c>
      <c r="M3269" s="2360"/>
      <c r="N3269" s="2359">
        <v>0</v>
      </c>
      <c r="O3269" s="2360"/>
      <c r="P3269" s="2265"/>
      <c r="Q3269" s="2266"/>
      <c r="R3269" s="2266"/>
      <c r="S3269" s="2266"/>
    </row>
    <row r="3270" spans="1:19" s="2105" customFormat="1" outlineLevel="1" collapsed="1">
      <c r="A3270" s="2182" t="str">
        <f t="shared" si="696"/>
        <v/>
      </c>
      <c r="B3270" s="2261"/>
      <c r="C3270" s="2258">
        <f>IF(G3270&gt;0,C3263+1,C3263)</f>
        <v>0</v>
      </c>
      <c r="D3270" s="2259"/>
      <c r="E3270" s="2417" t="s">
        <v>6298</v>
      </c>
      <c r="F3270" s="2258" t="s">
        <v>2385</v>
      </c>
      <c r="G3270" s="2263">
        <f>G3236*2</f>
        <v>0</v>
      </c>
      <c r="H3270" s="2264"/>
      <c r="I3270" s="2264"/>
      <c r="J3270" s="2264"/>
      <c r="K3270" s="2264"/>
      <c r="L3270" s="2264">
        <f t="shared" si="692"/>
        <v>0</v>
      </c>
      <c r="M3270" s="2264">
        <f>I3270*G3270</f>
        <v>0</v>
      </c>
      <c r="N3270" s="2264">
        <f>J3270*G3270</f>
        <v>0</v>
      </c>
      <c r="O3270" s="2264">
        <f>K3270*G3270</f>
        <v>0</v>
      </c>
      <c r="P3270" s="2265"/>
      <c r="Q3270" s="2266"/>
      <c r="R3270" s="2266"/>
      <c r="S3270" s="2266"/>
    </row>
    <row r="3271" spans="1:19" s="2105" customFormat="1" ht="14.4" outlineLevel="1">
      <c r="A3271" s="2182" t="str">
        <f>A3270</f>
        <v/>
      </c>
      <c r="B3271" s="2261"/>
      <c r="C3271" s="2258"/>
      <c r="D3271" s="2259"/>
      <c r="E3271" s="2267" t="s">
        <v>6133</v>
      </c>
      <c r="F3271" s="2268"/>
      <c r="G3271" s="2269"/>
      <c r="H3271" s="2264"/>
      <c r="I3271" s="2264"/>
      <c r="J3271" s="2264"/>
      <c r="K3271" s="2264"/>
      <c r="L3271" s="2264">
        <f t="shared" si="692"/>
        <v>0</v>
      </c>
      <c r="M3271" s="2264">
        <f>I3271*G3271</f>
        <v>0</v>
      </c>
      <c r="N3271" s="2264">
        <f>J3271*G3271</f>
        <v>0</v>
      </c>
      <c r="O3271" s="2264">
        <f>K3271*G3271</f>
        <v>0</v>
      </c>
      <c r="P3271" s="2265"/>
      <c r="Q3271" s="2266"/>
      <c r="R3271" s="2266"/>
      <c r="S3271" s="2266"/>
    </row>
    <row r="3272" spans="1:19" s="2105" customFormat="1" outlineLevel="1">
      <c r="A3272" s="2182" t="str">
        <f t="shared" ref="A3272:A3278" si="697">IF(G3272&lt;&gt;0,1,"")</f>
        <v/>
      </c>
      <c r="B3272" s="2261" t="s">
        <v>2022</v>
      </c>
      <c r="C3272" s="2258"/>
      <c r="D3272" s="2152">
        <v>0</v>
      </c>
      <c r="E3272" s="2194" t="s">
        <v>2437</v>
      </c>
      <c r="F3272" s="2152" t="s">
        <v>2248</v>
      </c>
      <c r="G3272" s="2270">
        <f>G3270*9.02*(2.2+4*0.07)*2</f>
        <v>0</v>
      </c>
      <c r="H3272" s="2264">
        <v>31625</v>
      </c>
      <c r="I3272" s="2264"/>
      <c r="J3272" s="2264">
        <v>0</v>
      </c>
      <c r="K3272" s="2264"/>
      <c r="L3272" s="2264">
        <f t="shared" si="692"/>
        <v>0</v>
      </c>
      <c r="M3272" s="2264"/>
      <c r="N3272" s="2264"/>
      <c r="O3272" s="2264"/>
      <c r="P3272" s="2265"/>
      <c r="Q3272" s="2266"/>
      <c r="R3272" s="2266"/>
      <c r="S3272" s="2266"/>
    </row>
    <row r="3273" spans="1:19" s="2105" customFormat="1" outlineLevel="1">
      <c r="A3273" s="2182" t="str">
        <f t="shared" si="697"/>
        <v/>
      </c>
      <c r="B3273" s="2261" t="s">
        <v>1035</v>
      </c>
      <c r="C3273" s="2258"/>
      <c r="D3273" s="2152" t="s">
        <v>554</v>
      </c>
      <c r="E3273" s="2194" t="s">
        <v>2956</v>
      </c>
      <c r="F3273" s="2152" t="s">
        <v>2248</v>
      </c>
      <c r="G3273" s="2270">
        <f>G3270*3.77*0.81*4</f>
        <v>0</v>
      </c>
      <c r="H3273" s="2264">
        <v>31625</v>
      </c>
      <c r="I3273" s="2264"/>
      <c r="J3273" s="2264">
        <v>0</v>
      </c>
      <c r="K3273" s="2264"/>
      <c r="L3273" s="2264">
        <f t="shared" si="692"/>
        <v>0</v>
      </c>
      <c r="M3273" s="2264"/>
      <c r="N3273" s="2264"/>
      <c r="O3273" s="2264"/>
      <c r="P3273" s="2265"/>
      <c r="Q3273" s="2266"/>
      <c r="R3273" s="2266"/>
      <c r="S3273" s="2266"/>
    </row>
    <row r="3274" spans="1:19" s="2105" customFormat="1" outlineLevel="1">
      <c r="A3274" s="2182" t="str">
        <f t="shared" si="697"/>
        <v/>
      </c>
      <c r="B3274" s="2261" t="s">
        <v>1610</v>
      </c>
      <c r="C3274" s="2258"/>
      <c r="D3274" s="2152">
        <v>0</v>
      </c>
      <c r="E3274" s="2194" t="s">
        <v>2649</v>
      </c>
      <c r="F3274" s="2152" t="s">
        <v>2385</v>
      </c>
      <c r="G3274" s="2269">
        <f>G3270*2</f>
        <v>0</v>
      </c>
      <c r="H3274" s="2264">
        <v>25400</v>
      </c>
      <c r="I3274" s="2264">
        <v>0</v>
      </c>
      <c r="J3274" s="2264">
        <v>0</v>
      </c>
      <c r="K3274" s="2264"/>
      <c r="L3274" s="2264">
        <f t="shared" si="692"/>
        <v>0</v>
      </c>
      <c r="M3274" s="2264"/>
      <c r="N3274" s="2264"/>
      <c r="O3274" s="2264"/>
      <c r="P3274" s="2265"/>
      <c r="Q3274" s="2266"/>
      <c r="R3274" s="2266"/>
      <c r="S3274" s="2266"/>
    </row>
    <row r="3275" spans="1:19" s="2105" customFormat="1" outlineLevel="1">
      <c r="A3275" s="2182" t="str">
        <f t="shared" si="697"/>
        <v/>
      </c>
      <c r="B3275" s="2261" t="s">
        <v>1786</v>
      </c>
      <c r="C3275" s="2258"/>
      <c r="D3275" s="2152">
        <v>0</v>
      </c>
      <c r="E3275" s="2194" t="s">
        <v>2639</v>
      </c>
      <c r="F3275" s="2152" t="s">
        <v>2385</v>
      </c>
      <c r="G3275" s="2269">
        <f>G3270*4</f>
        <v>0</v>
      </c>
      <c r="H3275" s="2264">
        <v>12400</v>
      </c>
      <c r="I3275" s="2264">
        <v>0</v>
      </c>
      <c r="J3275" s="2264">
        <v>0</v>
      </c>
      <c r="K3275" s="2264"/>
      <c r="L3275" s="2264">
        <f t="shared" si="692"/>
        <v>0</v>
      </c>
      <c r="M3275" s="2264"/>
      <c r="N3275" s="2264"/>
      <c r="O3275" s="2264"/>
      <c r="P3275" s="2265"/>
      <c r="Q3275" s="2266"/>
      <c r="R3275" s="2266"/>
      <c r="S3275" s="2266"/>
    </row>
    <row r="3276" spans="1:19" s="2105" customFormat="1" outlineLevel="1">
      <c r="A3276" s="2182" t="str">
        <f t="shared" si="697"/>
        <v/>
      </c>
      <c r="B3276" s="2261" t="s">
        <v>1784</v>
      </c>
      <c r="C3276" s="2258"/>
      <c r="D3276" s="2152">
        <v>0</v>
      </c>
      <c r="E3276" s="2194" t="s">
        <v>2660</v>
      </c>
      <c r="F3276" s="2152" t="s">
        <v>2385</v>
      </c>
      <c r="G3276" s="2269">
        <f>G3270*4</f>
        <v>0</v>
      </c>
      <c r="H3276" s="2264">
        <v>31800</v>
      </c>
      <c r="I3276" s="2264">
        <v>0</v>
      </c>
      <c r="J3276" s="2264">
        <v>0</v>
      </c>
      <c r="K3276" s="2264">
        <v>0</v>
      </c>
      <c r="L3276" s="2264">
        <f t="shared" si="692"/>
        <v>0</v>
      </c>
      <c r="M3276" s="2264">
        <f>I3276*G3276</f>
        <v>0</v>
      </c>
      <c r="N3276" s="2264">
        <f>J3276*G3276</f>
        <v>0</v>
      </c>
      <c r="O3276" s="2264">
        <f>K3276*G3276</f>
        <v>0</v>
      </c>
      <c r="P3276" s="2265"/>
      <c r="Q3276" s="2266"/>
      <c r="R3276" s="2266"/>
      <c r="S3276" s="2266"/>
    </row>
    <row r="3277" spans="1:19" s="2105" customFormat="1" outlineLevel="1">
      <c r="A3277" s="2182" t="str">
        <f t="shared" si="697"/>
        <v/>
      </c>
      <c r="B3277" s="2261" t="s">
        <v>516</v>
      </c>
      <c r="C3277" s="2258"/>
      <c r="D3277" s="2152" t="s">
        <v>1457</v>
      </c>
      <c r="E3277" s="2194" t="s">
        <v>5422</v>
      </c>
      <c r="F3277" s="2152" t="s">
        <v>2385</v>
      </c>
      <c r="G3277" s="2269">
        <f>G3270</f>
        <v>0</v>
      </c>
      <c r="H3277" s="2264"/>
      <c r="I3277" s="2264"/>
      <c r="J3277" s="2264" t="s">
        <v>6391</v>
      </c>
      <c r="K3277" s="2264"/>
      <c r="L3277" s="2264">
        <f t="shared" si="692"/>
        <v>0</v>
      </c>
      <c r="M3277" s="2264"/>
      <c r="N3277" s="2264">
        <v>0</v>
      </c>
      <c r="O3277" s="2264"/>
      <c r="P3277" s="2265"/>
      <c r="Q3277" s="2266"/>
      <c r="R3277" s="2266"/>
      <c r="S3277" s="2266"/>
    </row>
    <row r="3278" spans="1:19" s="2105" customFormat="1" outlineLevel="1">
      <c r="A3278" s="2182" t="str">
        <f t="shared" si="697"/>
        <v/>
      </c>
      <c r="B3278" s="2261"/>
      <c r="C3278" s="2258">
        <f>IF(G3278&gt;0,C3270+1,C3270)</f>
        <v>0</v>
      </c>
      <c r="D3278" s="2259"/>
      <c r="E3278" s="2417" t="s">
        <v>6289</v>
      </c>
      <c r="F3278" s="2258" t="s">
        <v>2385</v>
      </c>
      <c r="G3278" s="2263">
        <f>G3236*2</f>
        <v>0</v>
      </c>
      <c r="H3278" s="2264"/>
      <c r="I3278" s="2264"/>
      <c r="J3278" s="2264"/>
      <c r="K3278" s="2264"/>
      <c r="L3278" s="2264">
        <f t="shared" si="692"/>
        <v>0</v>
      </c>
      <c r="M3278" s="2264">
        <f>I3278*G3278</f>
        <v>0</v>
      </c>
      <c r="N3278" s="2264">
        <f>J3278*G3278</f>
        <v>0</v>
      </c>
      <c r="O3278" s="2264">
        <f>K3278*G3278</f>
        <v>0</v>
      </c>
      <c r="P3278" s="2265"/>
      <c r="Q3278" s="2266"/>
      <c r="R3278" s="2266"/>
      <c r="S3278" s="2266"/>
    </row>
    <row r="3279" spans="1:19" s="2105" customFormat="1" ht="14.4" outlineLevel="1">
      <c r="A3279" s="2182" t="str">
        <f>A3278</f>
        <v/>
      </c>
      <c r="B3279" s="2261"/>
      <c r="C3279" s="2258"/>
      <c r="D3279" s="2259"/>
      <c r="E3279" s="2267" t="s">
        <v>6133</v>
      </c>
      <c r="F3279" s="2268"/>
      <c r="G3279" s="2269"/>
      <c r="H3279" s="2264"/>
      <c r="I3279" s="2264"/>
      <c r="J3279" s="2264"/>
      <c r="K3279" s="2264"/>
      <c r="L3279" s="2264">
        <f t="shared" si="692"/>
        <v>0</v>
      </c>
      <c r="M3279" s="2264">
        <f>I3279*G3279</f>
        <v>0</v>
      </c>
      <c r="N3279" s="2264">
        <f>J3279*G3279</f>
        <v>0</v>
      </c>
      <c r="O3279" s="2264">
        <f>K3279*G3279</f>
        <v>0</v>
      </c>
      <c r="P3279" s="2265"/>
      <c r="Q3279" s="2266"/>
      <c r="R3279" s="2266"/>
      <c r="S3279" s="2266"/>
    </row>
    <row r="3280" spans="1:19" s="2105" customFormat="1" outlineLevel="1">
      <c r="A3280" s="2182" t="str">
        <f t="shared" ref="A3280:A3286" si="698">IF(G3280&lt;&gt;0,1,"")</f>
        <v/>
      </c>
      <c r="B3280" s="2261" t="s">
        <v>2022</v>
      </c>
      <c r="C3280" s="2258"/>
      <c r="D3280" s="2152">
        <v>0</v>
      </c>
      <c r="E3280" s="2194" t="s">
        <v>2437</v>
      </c>
      <c r="F3280" s="2152" t="s">
        <v>2248</v>
      </c>
      <c r="G3280" s="2270">
        <f>G3278*9.02*(2.2+4*0.07)</f>
        <v>0</v>
      </c>
      <c r="H3280" s="2264">
        <v>31625</v>
      </c>
      <c r="I3280" s="2264"/>
      <c r="J3280" s="2264">
        <v>0</v>
      </c>
      <c r="K3280" s="2264"/>
      <c r="L3280" s="2264">
        <f t="shared" si="692"/>
        <v>0</v>
      </c>
      <c r="M3280" s="2264"/>
      <c r="N3280" s="2264"/>
      <c r="O3280" s="2264"/>
      <c r="P3280" s="2265"/>
      <c r="Q3280" s="2266"/>
      <c r="R3280" s="2266"/>
      <c r="S3280" s="2266"/>
    </row>
    <row r="3281" spans="1:19" s="2105" customFormat="1" outlineLevel="1">
      <c r="A3281" s="2182" t="str">
        <f t="shared" si="698"/>
        <v/>
      </c>
      <c r="B3281" s="2261" t="s">
        <v>1035</v>
      </c>
      <c r="C3281" s="2258"/>
      <c r="D3281" s="2152">
        <v>0</v>
      </c>
      <c r="E3281" s="2194" t="s">
        <v>2956</v>
      </c>
      <c r="F3281" s="2152" t="s">
        <v>2248</v>
      </c>
      <c r="G3281" s="2270">
        <f>G3278*3.77*0.81*2</f>
        <v>0</v>
      </c>
      <c r="H3281" s="2264">
        <v>31625</v>
      </c>
      <c r="I3281" s="2264"/>
      <c r="J3281" s="2264">
        <v>0</v>
      </c>
      <c r="K3281" s="2264"/>
      <c r="L3281" s="2264">
        <f t="shared" si="692"/>
        <v>0</v>
      </c>
      <c r="M3281" s="2264"/>
      <c r="N3281" s="2264"/>
      <c r="O3281" s="2264"/>
      <c r="P3281" s="2265"/>
      <c r="Q3281" s="2266"/>
      <c r="R3281" s="2266"/>
      <c r="S3281" s="2266"/>
    </row>
    <row r="3282" spans="1:19" s="2105" customFormat="1" outlineLevel="1">
      <c r="A3282" s="2182" t="str">
        <f t="shared" si="698"/>
        <v/>
      </c>
      <c r="B3282" s="2261" t="s">
        <v>1079</v>
      </c>
      <c r="C3282" s="2258"/>
      <c r="D3282" s="2152">
        <v>0</v>
      </c>
      <c r="E3282" s="2194" t="s">
        <v>2651</v>
      </c>
      <c r="F3282" s="2152" t="s">
        <v>2385</v>
      </c>
      <c r="G3282" s="2269">
        <f>G3278*2</f>
        <v>0</v>
      </c>
      <c r="H3282" s="2264">
        <v>27900</v>
      </c>
      <c r="I3282" s="2264">
        <v>0</v>
      </c>
      <c r="J3282" s="2264">
        <v>0</v>
      </c>
      <c r="K3282" s="2264"/>
      <c r="L3282" s="2264">
        <f t="shared" si="692"/>
        <v>0</v>
      </c>
      <c r="M3282" s="2264"/>
      <c r="N3282" s="2264"/>
      <c r="O3282" s="2264"/>
      <c r="P3282" s="2265"/>
      <c r="Q3282" s="2266"/>
      <c r="R3282" s="2266"/>
      <c r="S3282" s="2266"/>
    </row>
    <row r="3283" spans="1:19" s="2105" customFormat="1" outlineLevel="1">
      <c r="A3283" s="2182" t="str">
        <f t="shared" si="698"/>
        <v/>
      </c>
      <c r="B3283" s="2261" t="s">
        <v>1786</v>
      </c>
      <c r="C3283" s="2258"/>
      <c r="D3283" s="2152">
        <v>0</v>
      </c>
      <c r="E3283" s="2194" t="s">
        <v>2639</v>
      </c>
      <c r="F3283" s="2152" t="s">
        <v>2385</v>
      </c>
      <c r="G3283" s="2269">
        <f>G3278*2</f>
        <v>0</v>
      </c>
      <c r="H3283" s="2264">
        <v>12400</v>
      </c>
      <c r="I3283" s="2264">
        <v>0</v>
      </c>
      <c r="J3283" s="2264">
        <v>0</v>
      </c>
      <c r="K3283" s="2264"/>
      <c r="L3283" s="2264">
        <f t="shared" si="692"/>
        <v>0</v>
      </c>
      <c r="M3283" s="2264"/>
      <c r="N3283" s="2264"/>
      <c r="O3283" s="2264"/>
      <c r="P3283" s="2265"/>
      <c r="Q3283" s="2266"/>
      <c r="R3283" s="2266"/>
      <c r="S3283" s="2266"/>
    </row>
    <row r="3284" spans="1:19" s="2105" customFormat="1" outlineLevel="1">
      <c r="A3284" s="2182" t="str">
        <f t="shared" si="698"/>
        <v/>
      </c>
      <c r="B3284" s="2261" t="s">
        <v>988</v>
      </c>
      <c r="C3284" s="2258"/>
      <c r="D3284" s="2152">
        <v>0</v>
      </c>
      <c r="E3284" s="2194" t="s">
        <v>5270</v>
      </c>
      <c r="F3284" s="2152" t="s">
        <v>2385</v>
      </c>
      <c r="G3284" s="2269">
        <f>G3278/3</f>
        <v>0</v>
      </c>
      <c r="H3284" s="2264">
        <v>178900</v>
      </c>
      <c r="I3284" s="2264">
        <v>0</v>
      </c>
      <c r="J3284" s="2264">
        <v>0</v>
      </c>
      <c r="K3284" s="2264"/>
      <c r="L3284" s="2264">
        <f t="shared" si="692"/>
        <v>0</v>
      </c>
      <c r="M3284" s="2264"/>
      <c r="N3284" s="2264"/>
      <c r="O3284" s="2264"/>
      <c r="P3284" s="2265"/>
      <c r="Q3284" s="2266"/>
      <c r="R3284" s="2266"/>
      <c r="S3284" s="2266"/>
    </row>
    <row r="3285" spans="1:19" s="2105" customFormat="1" outlineLevel="1">
      <c r="A3285" s="2182" t="str">
        <f t="shared" si="698"/>
        <v/>
      </c>
      <c r="B3285" s="2261" t="s">
        <v>1995</v>
      </c>
      <c r="C3285" s="2258"/>
      <c r="D3285" s="2152" t="s">
        <v>2265</v>
      </c>
      <c r="E3285" s="2194" t="s">
        <v>5379</v>
      </c>
      <c r="F3285" s="2152" t="s">
        <v>2385</v>
      </c>
      <c r="G3285" s="2269">
        <f>G3278</f>
        <v>0</v>
      </c>
      <c r="H3285" s="2264"/>
      <c r="I3285" s="2264"/>
      <c r="J3285" s="2264" t="s">
        <v>6344</v>
      </c>
      <c r="K3285" s="2264"/>
      <c r="L3285" s="2264">
        <f t="shared" si="692"/>
        <v>0</v>
      </c>
      <c r="M3285" s="2264"/>
      <c r="N3285" s="2264">
        <v>0</v>
      </c>
      <c r="O3285" s="2264"/>
      <c r="P3285" s="2265"/>
      <c r="Q3285" s="2266"/>
      <c r="R3285" s="2266"/>
      <c r="S3285" s="2266"/>
    </row>
    <row r="3286" spans="1:19" s="2105" customFormat="1" outlineLevel="1">
      <c r="A3286" s="2182" t="str">
        <f t="shared" si="698"/>
        <v/>
      </c>
      <c r="B3286" s="2261"/>
      <c r="C3286" s="2258">
        <f>IF(G3286&gt;0,C3278+1,C3278)</f>
        <v>0</v>
      </c>
      <c r="D3286" s="2259"/>
      <c r="E3286" s="2417" t="s">
        <v>4377</v>
      </c>
      <c r="F3286" s="2258" t="s">
        <v>2385</v>
      </c>
      <c r="G3286" s="2263">
        <f>G3236</f>
        <v>0</v>
      </c>
      <c r="H3286" s="2264"/>
      <c r="I3286" s="2264"/>
      <c r="J3286" s="2264"/>
      <c r="K3286" s="2264"/>
      <c r="L3286" s="2264">
        <f t="shared" si="692"/>
        <v>0</v>
      </c>
      <c r="M3286" s="2264">
        <f>I3286*G3286</f>
        <v>0</v>
      </c>
      <c r="N3286" s="2264">
        <f t="shared" ref="N3286:N3294" si="699">J3286*G3286</f>
        <v>0</v>
      </c>
      <c r="O3286" s="2264">
        <f>K3286*G3286</f>
        <v>0</v>
      </c>
      <c r="P3286" s="2265"/>
      <c r="Q3286" s="2266"/>
      <c r="R3286" s="2266"/>
      <c r="S3286" s="2266"/>
    </row>
    <row r="3287" spans="1:19" s="2105" customFormat="1" ht="14.4" outlineLevel="1">
      <c r="A3287" s="2182" t="str">
        <f>A3286</f>
        <v/>
      </c>
      <c r="B3287" s="2418"/>
      <c r="C3287" s="2258"/>
      <c r="D3287" s="2259"/>
      <c r="E3287" s="2267" t="s">
        <v>6290</v>
      </c>
      <c r="F3287" s="2268"/>
      <c r="G3287" s="2269"/>
      <c r="H3287" s="2264"/>
      <c r="I3287" s="2264"/>
      <c r="J3287" s="2264"/>
      <c r="K3287" s="2264"/>
      <c r="L3287" s="2264">
        <f t="shared" si="692"/>
        <v>0</v>
      </c>
      <c r="M3287" s="2264">
        <f>I3287*G3287</f>
        <v>0</v>
      </c>
      <c r="N3287" s="2264">
        <f t="shared" si="699"/>
        <v>0</v>
      </c>
      <c r="O3287" s="2264">
        <f>K3287*G3287</f>
        <v>0</v>
      </c>
      <c r="P3287" s="2265"/>
      <c r="Q3287" s="2266"/>
      <c r="R3287" s="2266"/>
      <c r="S3287" s="2266"/>
    </row>
    <row r="3288" spans="1:19" s="2105" customFormat="1" outlineLevel="1">
      <c r="A3288" s="2182" t="str">
        <f t="shared" ref="A3288:A3294" si="700">IF(G3288&lt;&gt;0,1,"")</f>
        <v/>
      </c>
      <c r="B3288" s="2261" t="s">
        <v>1033</v>
      </c>
      <c r="C3288" s="2258"/>
      <c r="D3288" s="2152">
        <v>0</v>
      </c>
      <c r="E3288" s="2194" t="s">
        <v>2700</v>
      </c>
      <c r="F3288" s="2152" t="s">
        <v>2248</v>
      </c>
      <c r="G3288" s="2270">
        <f>H3*0.224*G3286</f>
        <v>0</v>
      </c>
      <c r="H3288" s="2264">
        <v>255500</v>
      </c>
      <c r="I3288" s="2264"/>
      <c r="J3288" s="2264">
        <v>0</v>
      </c>
      <c r="K3288" s="2264">
        <v>0</v>
      </c>
      <c r="L3288" s="2264">
        <f t="shared" si="692"/>
        <v>0</v>
      </c>
      <c r="M3288" s="2264">
        <f>I3288*G3288</f>
        <v>0</v>
      </c>
      <c r="N3288" s="2264">
        <f t="shared" si="699"/>
        <v>0</v>
      </c>
      <c r="O3288" s="2264">
        <f>K3288*G3288</f>
        <v>0</v>
      </c>
      <c r="P3288" s="2265"/>
      <c r="Q3288" s="2266"/>
      <c r="R3288" s="2266"/>
      <c r="S3288" s="2266"/>
    </row>
    <row r="3289" spans="1:19" s="2105" customFormat="1" outlineLevel="1">
      <c r="A3289" s="2182" t="str">
        <f t="shared" si="700"/>
        <v/>
      </c>
      <c r="B3289" s="2252" t="s">
        <v>1508</v>
      </c>
      <c r="C3289" s="2258"/>
      <c r="D3289" s="2152">
        <v>0</v>
      </c>
      <c r="E3289" s="2194" t="s">
        <v>5163</v>
      </c>
      <c r="F3289" s="2152" t="s">
        <v>2439</v>
      </c>
      <c r="G3289" s="2269">
        <f>H2*G3286</f>
        <v>0</v>
      </c>
      <c r="H3289" s="2264">
        <v>160000</v>
      </c>
      <c r="I3289" s="2264"/>
      <c r="J3289" s="2264">
        <v>0</v>
      </c>
      <c r="K3289" s="2264">
        <v>0</v>
      </c>
      <c r="L3289" s="2264">
        <f t="shared" si="692"/>
        <v>0</v>
      </c>
      <c r="M3289" s="2264">
        <f>I3289*G3289</f>
        <v>0</v>
      </c>
      <c r="N3289" s="2264">
        <f t="shared" si="699"/>
        <v>0</v>
      </c>
      <c r="O3289" s="2264">
        <f>K3289*G3289</f>
        <v>0</v>
      </c>
      <c r="P3289" s="2265"/>
      <c r="Q3289" s="2266"/>
      <c r="R3289" s="2266"/>
      <c r="S3289" s="2266"/>
    </row>
    <row r="3290" spans="1:19" s="2105" customFormat="1" outlineLevel="1">
      <c r="A3290" s="2182" t="str">
        <f t="shared" si="700"/>
        <v/>
      </c>
      <c r="B3290" s="2252" t="s">
        <v>1585</v>
      </c>
      <c r="C3290" s="2258"/>
      <c r="D3290" s="2152">
        <v>0</v>
      </c>
      <c r="E3290" s="2194" t="s">
        <v>5713</v>
      </c>
      <c r="F3290" s="2152" t="s">
        <v>3445</v>
      </c>
      <c r="G3290" s="2269">
        <f>G3286*$L$3</f>
        <v>0</v>
      </c>
      <c r="H3290" s="2264">
        <v>0</v>
      </c>
      <c r="I3290" s="2264"/>
      <c r="J3290" s="2264">
        <v>1500000</v>
      </c>
      <c r="K3290" s="2264">
        <v>0</v>
      </c>
      <c r="L3290" s="2264">
        <f>H3290*G3290</f>
        <v>0</v>
      </c>
      <c r="M3290" s="2264">
        <f>I3290*G3290</f>
        <v>0</v>
      </c>
      <c r="N3290" s="2264">
        <f t="shared" si="699"/>
        <v>0</v>
      </c>
      <c r="O3290" s="2264">
        <f>K3290*G3290</f>
        <v>0</v>
      </c>
      <c r="P3290" s="2265"/>
      <c r="Q3290" s="2266"/>
      <c r="R3290" s="2266"/>
      <c r="S3290" s="2266"/>
    </row>
    <row r="3291" spans="1:19" s="2105" customFormat="1" outlineLevel="1">
      <c r="A3291" s="2182" t="str">
        <f t="shared" si="700"/>
        <v/>
      </c>
      <c r="B3291" s="2261" t="s">
        <v>1579</v>
      </c>
      <c r="C3291" s="2258"/>
      <c r="D3291" s="2152">
        <v>0</v>
      </c>
      <c r="E3291" s="2194" t="s">
        <v>2873</v>
      </c>
      <c r="F3291" s="2152" t="s">
        <v>2555</v>
      </c>
      <c r="G3291" s="2269">
        <f>2*G3286</f>
        <v>0</v>
      </c>
      <c r="H3291" s="2264">
        <v>8000</v>
      </c>
      <c r="I3291" s="2264"/>
      <c r="J3291" s="2264">
        <v>0</v>
      </c>
      <c r="K3291" s="2264"/>
      <c r="L3291" s="2264">
        <f>H3291*G3291</f>
        <v>0</v>
      </c>
      <c r="M3291" s="2264"/>
      <c r="N3291" s="2264">
        <f t="shared" si="699"/>
        <v>0</v>
      </c>
      <c r="O3291" s="2264"/>
      <c r="P3291" s="2265"/>
      <c r="Q3291" s="2266"/>
      <c r="R3291" s="2266"/>
      <c r="S3291" s="2266"/>
    </row>
    <row r="3292" spans="1:19" s="2105" customFormat="1" outlineLevel="1">
      <c r="A3292" s="2182" t="str">
        <f t="shared" si="700"/>
        <v/>
      </c>
      <c r="B3292" s="2261" t="s">
        <v>816</v>
      </c>
      <c r="C3292" s="2258"/>
      <c r="D3292" s="2152">
        <v>0</v>
      </c>
      <c r="E3292" s="2194" t="s">
        <v>3581</v>
      </c>
      <c r="F3292" s="2152" t="s">
        <v>2555</v>
      </c>
      <c r="G3292" s="2269">
        <f>IF(G3289&lt;=12,15,21)*G3286</f>
        <v>0</v>
      </c>
      <c r="H3292" s="2264">
        <v>17600</v>
      </c>
      <c r="I3292" s="2264"/>
      <c r="J3292" s="2264">
        <v>0</v>
      </c>
      <c r="K3292" s="2264"/>
      <c r="L3292" s="2264">
        <f>H3292*G3292</f>
        <v>0</v>
      </c>
      <c r="M3292" s="2264">
        <f>I3292*G3292</f>
        <v>0</v>
      </c>
      <c r="N3292" s="2264">
        <f t="shared" si="699"/>
        <v>0</v>
      </c>
      <c r="O3292" s="2264">
        <f>K3292*G3292</f>
        <v>0</v>
      </c>
      <c r="P3292" s="2265"/>
      <c r="Q3292" s="2266"/>
      <c r="R3292" s="2266"/>
      <c r="S3292" s="2266"/>
    </row>
    <row r="3293" spans="1:19" s="2105" customFormat="1" outlineLevel="1">
      <c r="A3293" s="2182" t="str">
        <f t="shared" si="700"/>
        <v/>
      </c>
      <c r="B3293" s="2252" t="s">
        <v>525</v>
      </c>
      <c r="C3293" s="2258"/>
      <c r="D3293" s="2152">
        <v>0</v>
      </c>
      <c r="E3293" s="2194" t="s">
        <v>5252</v>
      </c>
      <c r="F3293" s="2152" t="s">
        <v>2439</v>
      </c>
      <c r="G3293" s="2269">
        <f>G3286*2</f>
        <v>0</v>
      </c>
      <c r="H3293" s="2264">
        <v>43000</v>
      </c>
      <c r="I3293" s="2264"/>
      <c r="J3293" s="2264">
        <v>0</v>
      </c>
      <c r="K3293" s="2264">
        <v>0</v>
      </c>
      <c r="L3293" s="2264">
        <f>H3293*G3293</f>
        <v>0</v>
      </c>
      <c r="M3293" s="2264">
        <f>I3293*G3293</f>
        <v>0</v>
      </c>
      <c r="N3293" s="2264">
        <f t="shared" si="699"/>
        <v>0</v>
      </c>
      <c r="O3293" s="2264">
        <f>K3293*G3293</f>
        <v>0</v>
      </c>
      <c r="P3293" s="2265"/>
      <c r="Q3293" s="2266"/>
      <c r="R3293" s="2266"/>
      <c r="S3293" s="2266"/>
    </row>
    <row r="3294" spans="1:19" s="2105" customFormat="1" outlineLevel="1">
      <c r="A3294" s="2182" t="str">
        <f t="shared" si="700"/>
        <v/>
      </c>
      <c r="B3294" s="2252" t="s">
        <v>1490</v>
      </c>
      <c r="C3294" s="2258"/>
      <c r="D3294" s="2152">
        <v>0</v>
      </c>
      <c r="E3294" s="2194" t="s">
        <v>3536</v>
      </c>
      <c r="F3294" s="2152" t="s">
        <v>1823</v>
      </c>
      <c r="G3294" s="2269">
        <f>G3286*3</f>
        <v>0</v>
      </c>
      <c r="H3294" s="2264">
        <v>6200</v>
      </c>
      <c r="I3294" s="2264"/>
      <c r="J3294" s="2264">
        <v>0</v>
      </c>
      <c r="K3294" s="2264">
        <v>0</v>
      </c>
      <c r="L3294" s="2264">
        <f>H3294*G3294</f>
        <v>0</v>
      </c>
      <c r="M3294" s="2264">
        <f>I3294*G3294</f>
        <v>0</v>
      </c>
      <c r="N3294" s="2264">
        <f t="shared" si="699"/>
        <v>0</v>
      </c>
      <c r="O3294" s="2264">
        <f>K3294*G3294</f>
        <v>0</v>
      </c>
      <c r="P3294" s="2265"/>
      <c r="Q3294" s="2266"/>
      <c r="R3294" s="2266"/>
      <c r="S3294" s="2266"/>
    </row>
    <row r="3295" spans="1:19" s="2105" customFormat="1" outlineLevel="1">
      <c r="A3295" s="2182">
        <f>IF(G3295=0,0,1)</f>
        <v>0</v>
      </c>
      <c r="B3295" s="2252" t="s">
        <v>794</v>
      </c>
      <c r="C3295" s="2268"/>
      <c r="D3295" s="2152" t="s">
        <v>5336</v>
      </c>
      <c r="E3295" s="2194" t="s">
        <v>3068</v>
      </c>
      <c r="F3295" s="2501" t="s">
        <v>856</v>
      </c>
      <c r="G3295" s="2420">
        <f>H4*G3286</f>
        <v>0</v>
      </c>
      <c r="H3295" s="2264">
        <v>0</v>
      </c>
      <c r="I3295" s="2264"/>
      <c r="J3295" s="2264">
        <v>283749.75</v>
      </c>
      <c r="K3295" s="2264">
        <v>0</v>
      </c>
      <c r="L3295" s="2264">
        <f t="shared" ref="L3295:O3296" si="701">H3295*$G3295</f>
        <v>0</v>
      </c>
      <c r="M3295" s="2264">
        <f t="shared" si="701"/>
        <v>0</v>
      </c>
      <c r="N3295" s="2264">
        <f t="shared" si="701"/>
        <v>0</v>
      </c>
      <c r="O3295" s="2264">
        <f t="shared" si="701"/>
        <v>0</v>
      </c>
      <c r="P3295" s="2265"/>
      <c r="Q3295" s="2266"/>
      <c r="R3295" s="2266"/>
      <c r="S3295" s="2266"/>
    </row>
    <row r="3296" spans="1:19" s="2105" customFormat="1" outlineLevel="1">
      <c r="A3296" s="2182">
        <f>IF(G3296=0,0,1)</f>
        <v>0</v>
      </c>
      <c r="B3296" s="2252" t="s">
        <v>798</v>
      </c>
      <c r="C3296" s="2268"/>
      <c r="D3296" s="2152" t="s">
        <v>5325</v>
      </c>
      <c r="E3296" s="2194" t="s">
        <v>5337</v>
      </c>
      <c r="F3296" s="2501" t="s">
        <v>856</v>
      </c>
      <c r="G3296" s="2420">
        <f>+G3295</f>
        <v>0</v>
      </c>
      <c r="H3296" s="2264">
        <v>0</v>
      </c>
      <c r="I3296" s="2264"/>
      <c r="J3296" s="2264">
        <v>117703.6</v>
      </c>
      <c r="K3296" s="2264">
        <v>0</v>
      </c>
      <c r="L3296" s="2264">
        <f t="shared" si="701"/>
        <v>0</v>
      </c>
      <c r="M3296" s="2264">
        <f t="shared" si="701"/>
        <v>0</v>
      </c>
      <c r="N3296" s="2264">
        <f t="shared" si="701"/>
        <v>0</v>
      </c>
      <c r="O3296" s="2264">
        <f t="shared" si="701"/>
        <v>0</v>
      </c>
      <c r="P3296" s="2265"/>
      <c r="Q3296" s="2266"/>
      <c r="R3296" s="2266"/>
      <c r="S3296" s="2266"/>
    </row>
    <row r="3297" spans="1:19" s="2105" customFormat="1" outlineLevel="1">
      <c r="A3297" s="2182">
        <f>IF(G3297=0,0,1)</f>
        <v>0</v>
      </c>
      <c r="B3297" s="2252" t="s">
        <v>902</v>
      </c>
      <c r="C3297" s="2268"/>
      <c r="D3297" s="2152" t="s">
        <v>5351</v>
      </c>
      <c r="E3297" s="2194" t="s">
        <v>5352</v>
      </c>
      <c r="F3297" s="2501" t="s">
        <v>856</v>
      </c>
      <c r="G3297" s="2389">
        <f>G3289+G3290</f>
        <v>0</v>
      </c>
      <c r="H3297" s="2264">
        <v>0</v>
      </c>
      <c r="I3297" s="2264"/>
      <c r="J3297" s="2264" t="s">
        <v>6312</v>
      </c>
      <c r="K3297" s="2264">
        <v>0</v>
      </c>
      <c r="L3297" s="2264">
        <f>H3297*$G3297</f>
        <v>0</v>
      </c>
      <c r="M3297" s="2264">
        <f>I3297*$G3297</f>
        <v>0</v>
      </c>
      <c r="N3297" s="2264">
        <v>0</v>
      </c>
      <c r="O3297" s="2264">
        <f>K3297*$G3297</f>
        <v>0</v>
      </c>
      <c r="P3297" s="2265"/>
      <c r="Q3297" s="2266"/>
      <c r="R3297" s="2266"/>
      <c r="S3297" s="2266"/>
    </row>
    <row r="3298" spans="1:19" s="2105" customFormat="1" outlineLevel="1">
      <c r="A3298" s="2182" t="str">
        <f>IF(G3298&lt;&gt;0,1,"")</f>
        <v/>
      </c>
      <c r="B3298" s="2252" t="s">
        <v>1437</v>
      </c>
      <c r="C3298" s="2258"/>
      <c r="D3298" s="2152" t="s">
        <v>5346</v>
      </c>
      <c r="E3298" s="2194" t="s">
        <v>5347</v>
      </c>
      <c r="F3298" s="2152" t="s">
        <v>2532</v>
      </c>
      <c r="G3298" s="2269">
        <f>G3288/0.224*G3286</f>
        <v>0</v>
      </c>
      <c r="H3298" s="2264">
        <v>0</v>
      </c>
      <c r="I3298" s="2264"/>
      <c r="J3298" s="2264">
        <v>8070.7000000000007</v>
      </c>
      <c r="K3298" s="2264">
        <v>2044.9974999999999</v>
      </c>
      <c r="L3298" s="2264">
        <f>H3298*G3298</f>
        <v>0</v>
      </c>
      <c r="M3298" s="2264">
        <f>I3298*G3298</f>
        <v>0</v>
      </c>
      <c r="N3298" s="2264">
        <f>J3298*G3298</f>
        <v>0</v>
      </c>
      <c r="O3298" s="2264">
        <f>K3298*G3298</f>
        <v>0</v>
      </c>
      <c r="P3298" s="2265"/>
      <c r="Q3298" s="2266"/>
      <c r="R3298" s="2266"/>
      <c r="S3298" s="2266"/>
    </row>
    <row r="3299" spans="1:19" s="2105" customFormat="1" outlineLevel="1">
      <c r="A3299" s="2182" t="str">
        <f>IF(G3299&lt;&gt;0,1,"")</f>
        <v/>
      </c>
      <c r="B3299" s="2261"/>
      <c r="C3299" s="2258">
        <f>IF(G3299&gt;0,C3286+1,C3286)</f>
        <v>0</v>
      </c>
      <c r="D3299" s="2259"/>
      <c r="E3299" s="2376" t="s">
        <v>6291</v>
      </c>
      <c r="F3299" s="2258" t="s">
        <v>2385</v>
      </c>
      <c r="G3299" s="2263">
        <f>G3236</f>
        <v>0</v>
      </c>
      <c r="H3299" s="2264"/>
      <c r="I3299" s="2264"/>
      <c r="J3299" s="2264"/>
      <c r="K3299" s="2264"/>
      <c r="L3299" s="2264">
        <f t="shared" ref="L3299:L3321" si="702">H3299*G3299</f>
        <v>0</v>
      </c>
      <c r="M3299" s="2264">
        <f t="shared" ref="M3299:M3321" si="703">I3299*G3299</f>
        <v>0</v>
      </c>
      <c r="N3299" s="2264">
        <f t="shared" ref="N3299:N3321" si="704">J3299*G3299</f>
        <v>0</v>
      </c>
      <c r="O3299" s="2264">
        <f t="shared" ref="O3299:O3321" si="705">K3299*G3299</f>
        <v>0</v>
      </c>
      <c r="P3299" s="2265"/>
      <c r="Q3299" s="2266"/>
      <c r="R3299" s="2266"/>
      <c r="S3299" s="2266"/>
    </row>
    <row r="3300" spans="1:19" s="2105" customFormat="1" ht="14.4" outlineLevel="1">
      <c r="A3300" s="2182" t="str">
        <f>A3299</f>
        <v/>
      </c>
      <c r="B3300" s="2261"/>
      <c r="C3300" s="2258"/>
      <c r="D3300" s="2259"/>
      <c r="E3300" s="2267" t="s">
        <v>6133</v>
      </c>
      <c r="F3300" s="2268"/>
      <c r="G3300" s="2269"/>
      <c r="H3300" s="2264"/>
      <c r="I3300" s="2264"/>
      <c r="J3300" s="2264"/>
      <c r="K3300" s="2264"/>
      <c r="L3300" s="2264">
        <f t="shared" si="702"/>
        <v>0</v>
      </c>
      <c r="M3300" s="2264">
        <f t="shared" si="703"/>
        <v>0</v>
      </c>
      <c r="N3300" s="2264">
        <f t="shared" si="704"/>
        <v>0</v>
      </c>
      <c r="O3300" s="2264">
        <f t="shared" si="705"/>
        <v>0</v>
      </c>
      <c r="P3300" s="2265"/>
      <c r="Q3300" s="2266"/>
      <c r="R3300" s="2266"/>
      <c r="S3300" s="2266"/>
    </row>
    <row r="3301" spans="1:19" s="2105" customFormat="1" outlineLevel="1">
      <c r="A3301" s="2182" t="str">
        <f>IF(G3301&lt;&gt;0,1,"")</f>
        <v/>
      </c>
      <c r="B3301" s="2261" t="s">
        <v>6297</v>
      </c>
      <c r="C3301" s="2268"/>
      <c r="D3301" s="2152" t="s">
        <v>5633</v>
      </c>
      <c r="E3301" s="2194" t="s">
        <v>5639</v>
      </c>
      <c r="F3301" s="2152" t="s">
        <v>2555</v>
      </c>
      <c r="G3301" s="2270">
        <f>G3299</f>
        <v>0</v>
      </c>
      <c r="H3301" s="2264">
        <v>70000000</v>
      </c>
      <c r="I3301" s="2264"/>
      <c r="J3301" s="2264">
        <v>690091</v>
      </c>
      <c r="K3301" s="2264">
        <v>97369</v>
      </c>
      <c r="L3301" s="2264">
        <f t="shared" si="702"/>
        <v>0</v>
      </c>
      <c r="M3301" s="2264">
        <f t="shared" si="703"/>
        <v>0</v>
      </c>
      <c r="N3301" s="2264">
        <f t="shared" si="704"/>
        <v>0</v>
      </c>
      <c r="O3301" s="2264">
        <f t="shared" si="705"/>
        <v>0</v>
      </c>
      <c r="P3301" s="2265"/>
      <c r="Q3301" s="2266"/>
      <c r="R3301" s="2266"/>
      <c r="S3301" s="2266"/>
    </row>
    <row r="3302" spans="1:19" s="2105" customFormat="1" outlineLevel="1">
      <c r="A3302" s="2182" t="str">
        <f>IF(G3302&lt;&gt;0,1,"")</f>
        <v/>
      </c>
      <c r="B3302" s="2261" t="s">
        <v>289</v>
      </c>
      <c r="C3302" s="2268"/>
      <c r="D3302" s="2152">
        <v>0</v>
      </c>
      <c r="E3302" s="2194" t="s">
        <v>5712</v>
      </c>
      <c r="F3302" s="2152" t="s">
        <v>2555</v>
      </c>
      <c r="G3302" s="2270">
        <f>G3299</f>
        <v>0</v>
      </c>
      <c r="H3302" s="2264">
        <v>300000</v>
      </c>
      <c r="I3302" s="2264"/>
      <c r="J3302" s="2264">
        <v>0</v>
      </c>
      <c r="K3302" s="2264">
        <v>0</v>
      </c>
      <c r="L3302" s="2264">
        <f t="shared" si="702"/>
        <v>0</v>
      </c>
      <c r="M3302" s="2264">
        <f t="shared" si="703"/>
        <v>0</v>
      </c>
      <c r="N3302" s="2264">
        <f t="shared" si="704"/>
        <v>0</v>
      </c>
      <c r="O3302" s="2264">
        <f t="shared" si="705"/>
        <v>0</v>
      </c>
      <c r="P3302" s="2265"/>
      <c r="Q3302" s="2266"/>
      <c r="R3302" s="2266"/>
      <c r="S3302" s="2266"/>
    </row>
    <row r="3303" spans="1:19" s="2105" customFormat="1" outlineLevel="1">
      <c r="A3303" s="2182" t="str">
        <f>IF(G3303&lt;&gt;0,1,"")</f>
        <v/>
      </c>
      <c r="B3303" s="2261"/>
      <c r="C3303" s="2258">
        <f>IF(G3303&gt;0,C3299+1,C3299)</f>
        <v>0</v>
      </c>
      <c r="D3303" s="2259"/>
      <c r="E3303" s="2262" t="s">
        <v>3757</v>
      </c>
      <c r="F3303" s="2258" t="s">
        <v>2532</v>
      </c>
      <c r="G3303" s="2562"/>
      <c r="H3303" s="2264"/>
      <c r="I3303" s="2264"/>
      <c r="J3303" s="2264"/>
      <c r="K3303" s="2264"/>
      <c r="L3303" s="2264">
        <f t="shared" si="702"/>
        <v>0</v>
      </c>
      <c r="M3303" s="2264">
        <f t="shared" si="703"/>
        <v>0</v>
      </c>
      <c r="N3303" s="2264">
        <f t="shared" si="704"/>
        <v>0</v>
      </c>
      <c r="O3303" s="2264">
        <f t="shared" si="705"/>
        <v>0</v>
      </c>
      <c r="P3303" s="2265"/>
      <c r="Q3303" s="2266"/>
      <c r="R3303" s="2266"/>
      <c r="S3303" s="2266"/>
    </row>
    <row r="3304" spans="1:19" s="2105" customFormat="1" ht="14.4" outlineLevel="1">
      <c r="A3304" s="2182" t="str">
        <f>A3303</f>
        <v/>
      </c>
      <c r="B3304" s="2261"/>
      <c r="C3304" s="2258"/>
      <c r="D3304" s="2259"/>
      <c r="E3304" s="2267" t="s">
        <v>6133</v>
      </c>
      <c r="F3304" s="2268"/>
      <c r="G3304" s="2421"/>
      <c r="H3304" s="2264"/>
      <c r="I3304" s="2264"/>
      <c r="J3304" s="2264"/>
      <c r="K3304" s="2264"/>
      <c r="L3304" s="2264">
        <f t="shared" si="702"/>
        <v>0</v>
      </c>
      <c r="M3304" s="2264">
        <f t="shared" si="703"/>
        <v>0</v>
      </c>
      <c r="N3304" s="2264">
        <f t="shared" si="704"/>
        <v>0</v>
      </c>
      <c r="O3304" s="2264">
        <f t="shared" si="705"/>
        <v>0</v>
      </c>
      <c r="P3304" s="2265"/>
      <c r="Q3304" s="2266"/>
      <c r="R3304" s="2266"/>
      <c r="S3304" s="2266"/>
    </row>
    <row r="3305" spans="1:19" s="2105" customFormat="1" outlineLevel="1">
      <c r="A3305" s="2182" t="str">
        <f t="shared" ref="A3305:A3313" si="706">IF(G3305&lt;&gt;0,1,"")</f>
        <v/>
      </c>
      <c r="B3305" s="2554" t="s">
        <v>752</v>
      </c>
      <c r="C3305" s="2268"/>
      <c r="D3305" s="2152">
        <v>0</v>
      </c>
      <c r="E3305" s="2359" t="s">
        <v>6392</v>
      </c>
      <c r="F3305" s="2152" t="s">
        <v>856</v>
      </c>
      <c r="G3305" s="2270">
        <f>G3303*0.38</f>
        <v>0</v>
      </c>
      <c r="H3305" s="2264">
        <v>512000</v>
      </c>
      <c r="I3305" s="2264"/>
      <c r="J3305" s="2264">
        <v>0</v>
      </c>
      <c r="K3305" s="2264">
        <v>0</v>
      </c>
      <c r="L3305" s="2264">
        <f t="shared" si="702"/>
        <v>0</v>
      </c>
      <c r="M3305" s="2264">
        <f t="shared" si="703"/>
        <v>0</v>
      </c>
      <c r="N3305" s="2264">
        <f t="shared" si="704"/>
        <v>0</v>
      </c>
      <c r="O3305" s="2264">
        <f t="shared" si="705"/>
        <v>0</v>
      </c>
      <c r="P3305" s="2265"/>
      <c r="Q3305" s="2266"/>
      <c r="R3305" s="2266"/>
      <c r="S3305" s="2266"/>
    </row>
    <row r="3306" spans="1:19" s="2105" customFormat="1" outlineLevel="1">
      <c r="A3306" s="2182" t="str">
        <f t="shared" si="706"/>
        <v/>
      </c>
      <c r="B3306" s="2554" t="s">
        <v>867</v>
      </c>
      <c r="C3306" s="2268"/>
      <c r="D3306" s="2152">
        <v>0</v>
      </c>
      <c r="E3306" s="2359" t="s">
        <v>6393</v>
      </c>
      <c r="F3306" s="2152" t="s">
        <v>856</v>
      </c>
      <c r="G3306" s="2270">
        <f>0.12*G3303*0</f>
        <v>0</v>
      </c>
      <c r="H3306" s="2264">
        <v>335000</v>
      </c>
      <c r="I3306" s="2264"/>
      <c r="J3306" s="2264">
        <v>0</v>
      </c>
      <c r="K3306" s="2264">
        <v>0</v>
      </c>
      <c r="L3306" s="2264">
        <f t="shared" si="702"/>
        <v>0</v>
      </c>
      <c r="M3306" s="2264">
        <f t="shared" si="703"/>
        <v>0</v>
      </c>
      <c r="N3306" s="2264">
        <f t="shared" si="704"/>
        <v>0</v>
      </c>
      <c r="O3306" s="2264">
        <f t="shared" si="705"/>
        <v>0</v>
      </c>
      <c r="P3306" s="2265"/>
      <c r="Q3306" s="2266"/>
      <c r="R3306" s="2266"/>
      <c r="S3306" s="2266"/>
    </row>
    <row r="3307" spans="1:19" s="2105" customFormat="1" outlineLevel="1">
      <c r="A3307" s="2182" t="str">
        <f t="shared" si="706"/>
        <v/>
      </c>
      <c r="B3307" s="2554" t="s">
        <v>1675</v>
      </c>
      <c r="C3307" s="2268"/>
      <c r="D3307" s="2152">
        <v>0</v>
      </c>
      <c r="E3307" s="2359" t="s">
        <v>6377</v>
      </c>
      <c r="F3307" s="2152" t="s">
        <v>3006</v>
      </c>
      <c r="G3307" s="2270">
        <f>3.3*G3303</f>
        <v>0</v>
      </c>
      <c r="H3307" s="2264">
        <v>7000</v>
      </c>
      <c r="I3307" s="2264"/>
      <c r="J3307" s="2264">
        <v>0</v>
      </c>
      <c r="K3307" s="2264">
        <v>0</v>
      </c>
      <c r="L3307" s="2264">
        <f t="shared" si="702"/>
        <v>0</v>
      </c>
      <c r="M3307" s="2264">
        <f t="shared" si="703"/>
        <v>0</v>
      </c>
      <c r="N3307" s="2264">
        <f t="shared" si="704"/>
        <v>0</v>
      </c>
      <c r="O3307" s="2264">
        <f t="shared" si="705"/>
        <v>0</v>
      </c>
      <c r="P3307" s="2265"/>
      <c r="Q3307" s="2266"/>
      <c r="R3307" s="2266"/>
      <c r="S3307" s="2266"/>
    </row>
    <row r="3308" spans="1:19" s="2105" customFormat="1" outlineLevel="1">
      <c r="A3308" s="2182" t="str">
        <f t="shared" si="706"/>
        <v/>
      </c>
      <c r="B3308" s="2554" t="s">
        <v>1676</v>
      </c>
      <c r="C3308" s="2268"/>
      <c r="D3308" s="2152" t="s">
        <v>5290</v>
      </c>
      <c r="E3308" s="2359" t="s">
        <v>6378</v>
      </c>
      <c r="F3308" s="2152" t="s">
        <v>1960</v>
      </c>
      <c r="G3308" s="2270">
        <f>0.4*G3303</f>
        <v>0</v>
      </c>
      <c r="H3308" s="2264">
        <v>10000</v>
      </c>
      <c r="I3308" s="2264"/>
      <c r="J3308" s="2264">
        <v>1187.155</v>
      </c>
      <c r="K3308" s="2264">
        <v>0</v>
      </c>
      <c r="L3308" s="2264">
        <f t="shared" si="702"/>
        <v>0</v>
      </c>
      <c r="M3308" s="2264">
        <f t="shared" si="703"/>
        <v>0</v>
      </c>
      <c r="N3308" s="2264">
        <f t="shared" si="704"/>
        <v>0</v>
      </c>
      <c r="O3308" s="2264">
        <f t="shared" si="705"/>
        <v>0</v>
      </c>
      <c r="P3308" s="2265"/>
      <c r="Q3308" s="2266"/>
      <c r="R3308" s="2266"/>
      <c r="S3308" s="2266"/>
    </row>
    <row r="3309" spans="1:19" s="2105" customFormat="1" outlineLevel="1">
      <c r="A3309" s="2182" t="str">
        <f t="shared" si="706"/>
        <v/>
      </c>
      <c r="B3309" s="2554" t="s">
        <v>1518</v>
      </c>
      <c r="C3309" s="2258"/>
      <c r="D3309" s="2152">
        <v>0</v>
      </c>
      <c r="E3309" s="2359" t="s">
        <v>3530</v>
      </c>
      <c r="F3309" s="2152" t="s">
        <v>1823</v>
      </c>
      <c r="G3309" s="2270">
        <f>1*G3303</f>
        <v>0</v>
      </c>
      <c r="H3309" s="2264">
        <v>165250</v>
      </c>
      <c r="I3309" s="2264"/>
      <c r="J3309" s="2264">
        <v>0</v>
      </c>
      <c r="K3309" s="2264">
        <v>0</v>
      </c>
      <c r="L3309" s="2264">
        <f t="shared" si="702"/>
        <v>0</v>
      </c>
      <c r="M3309" s="2264">
        <f t="shared" si="703"/>
        <v>0</v>
      </c>
      <c r="N3309" s="2264">
        <f t="shared" si="704"/>
        <v>0</v>
      </c>
      <c r="O3309" s="2264">
        <f t="shared" si="705"/>
        <v>0</v>
      </c>
      <c r="P3309" s="2265"/>
      <c r="Q3309" s="2266"/>
      <c r="R3309" s="2266"/>
      <c r="S3309" s="2266"/>
    </row>
    <row r="3310" spans="1:19" s="2105" customFormat="1" outlineLevel="1">
      <c r="A3310" s="2182" t="str">
        <f t="shared" si="706"/>
        <v/>
      </c>
      <c r="B3310" s="2554" t="s">
        <v>1678</v>
      </c>
      <c r="C3310" s="2268"/>
      <c r="D3310" s="2152" t="s">
        <v>5333</v>
      </c>
      <c r="E3310" s="2359" t="s">
        <v>6379</v>
      </c>
      <c r="F3310" s="2152" t="s">
        <v>856</v>
      </c>
      <c r="G3310" s="2270">
        <f>G3305+G3306</f>
        <v>0</v>
      </c>
      <c r="H3310" s="2264">
        <v>0</v>
      </c>
      <c r="I3310" s="2264"/>
      <c r="J3310" s="2264">
        <v>315277.5</v>
      </c>
      <c r="K3310" s="2264">
        <v>0</v>
      </c>
      <c r="L3310" s="2264">
        <f t="shared" si="702"/>
        <v>0</v>
      </c>
      <c r="M3310" s="2264">
        <f t="shared" si="703"/>
        <v>0</v>
      </c>
      <c r="N3310" s="2264">
        <f t="shared" si="704"/>
        <v>0</v>
      </c>
      <c r="O3310" s="2264">
        <f t="shared" si="705"/>
        <v>0</v>
      </c>
      <c r="P3310" s="2265"/>
      <c r="Q3310" s="2266"/>
      <c r="R3310" s="2266"/>
      <c r="S3310" s="2266"/>
    </row>
    <row r="3311" spans="1:19" s="2105" customFormat="1" outlineLevel="1">
      <c r="A3311" s="2182" t="str">
        <f t="shared" si="706"/>
        <v/>
      </c>
      <c r="B3311" s="2554" t="s">
        <v>144</v>
      </c>
      <c r="C3311" s="2268"/>
      <c r="D3311" s="2152" t="s">
        <v>5327</v>
      </c>
      <c r="E3311" s="2359" t="s">
        <v>6380</v>
      </c>
      <c r="F3311" s="2152" t="s">
        <v>856</v>
      </c>
      <c r="G3311" s="2270">
        <f>G3303*0.48</f>
        <v>0</v>
      </c>
      <c r="H3311" s="2264">
        <v>0</v>
      </c>
      <c r="I3311" s="2264"/>
      <c r="J3311" s="2264">
        <v>640731.36</v>
      </c>
      <c r="K3311" s="2264">
        <v>0</v>
      </c>
      <c r="L3311" s="2264">
        <f t="shared" si="702"/>
        <v>0</v>
      </c>
      <c r="M3311" s="2264">
        <f t="shared" si="703"/>
        <v>0</v>
      </c>
      <c r="N3311" s="2264">
        <f t="shared" si="704"/>
        <v>0</v>
      </c>
      <c r="O3311" s="2264">
        <f t="shared" si="705"/>
        <v>0</v>
      </c>
      <c r="P3311" s="2265"/>
      <c r="Q3311" s="2266"/>
      <c r="R3311" s="2266"/>
      <c r="S3311" s="2266"/>
    </row>
    <row r="3312" spans="1:19" s="2105" customFormat="1" outlineLevel="1">
      <c r="A3312" s="2182" t="str">
        <f t="shared" si="706"/>
        <v/>
      </c>
      <c r="B3312" s="2554" t="s">
        <v>529</v>
      </c>
      <c r="C3312" s="2268"/>
      <c r="D3312" s="2152" t="s">
        <v>5332</v>
      </c>
      <c r="E3312" s="2359" t="s">
        <v>6394</v>
      </c>
      <c r="F3312" s="2152" t="s">
        <v>856</v>
      </c>
      <c r="G3312" s="2270">
        <f>0.16*G3303</f>
        <v>0</v>
      </c>
      <c r="H3312" s="2264">
        <v>0</v>
      </c>
      <c r="I3312" s="2264"/>
      <c r="J3312" s="2264">
        <v>21935.133999999998</v>
      </c>
      <c r="K3312" s="2264">
        <v>0</v>
      </c>
      <c r="L3312" s="2264">
        <f t="shared" si="702"/>
        <v>0</v>
      </c>
      <c r="M3312" s="2264">
        <f t="shared" si="703"/>
        <v>0</v>
      </c>
      <c r="N3312" s="2264">
        <f t="shared" si="704"/>
        <v>0</v>
      </c>
      <c r="O3312" s="2264">
        <f t="shared" si="705"/>
        <v>0</v>
      </c>
      <c r="P3312" s="2265"/>
      <c r="Q3312" s="2266"/>
      <c r="R3312" s="2422">
        <v>0.47499999999999998</v>
      </c>
      <c r="S3312" s="2266"/>
    </row>
    <row r="3313" spans="1:19" s="2105" customFormat="1" outlineLevel="1">
      <c r="A3313" s="2182" t="str">
        <f t="shared" si="706"/>
        <v/>
      </c>
      <c r="B3313" s="2261"/>
      <c r="C3313" s="2258">
        <f>IF(G3313&gt;0,C3303+1,C3303)</f>
        <v>0</v>
      </c>
      <c r="D3313" s="2259"/>
      <c r="E3313" s="2262" t="s">
        <v>3758</v>
      </c>
      <c r="F3313" s="2258" t="s">
        <v>2385</v>
      </c>
      <c r="G3313" s="2263"/>
      <c r="H3313" s="2264"/>
      <c r="I3313" s="2264"/>
      <c r="J3313" s="2264"/>
      <c r="K3313" s="2264"/>
      <c r="L3313" s="2264">
        <f t="shared" si="702"/>
        <v>0</v>
      </c>
      <c r="M3313" s="2264">
        <f t="shared" si="703"/>
        <v>0</v>
      </c>
      <c r="N3313" s="2264">
        <f t="shared" si="704"/>
        <v>0</v>
      </c>
      <c r="O3313" s="2264">
        <f t="shared" si="705"/>
        <v>0</v>
      </c>
      <c r="P3313" s="2265"/>
      <c r="Q3313" s="2266"/>
      <c r="R3313" s="2422">
        <v>0.88100000000000001</v>
      </c>
      <c r="S3313" s="2266"/>
    </row>
    <row r="3314" spans="1:19" s="2105" customFormat="1" ht="14.4" outlineLevel="1">
      <c r="A3314" s="2182" t="str">
        <f>A3313</f>
        <v/>
      </c>
      <c r="B3314" s="2261"/>
      <c r="C3314" s="2258"/>
      <c r="D3314" s="2259"/>
      <c r="E3314" s="2267" t="s">
        <v>6133</v>
      </c>
      <c r="F3314" s="2268"/>
      <c r="G3314" s="2421"/>
      <c r="H3314" s="2264"/>
      <c r="I3314" s="2264"/>
      <c r="J3314" s="2264"/>
      <c r="K3314" s="2264"/>
      <c r="L3314" s="2264">
        <f t="shared" si="702"/>
        <v>0</v>
      </c>
      <c r="M3314" s="2264">
        <f t="shared" si="703"/>
        <v>0</v>
      </c>
      <c r="N3314" s="2264">
        <f t="shared" si="704"/>
        <v>0</v>
      </c>
      <c r="O3314" s="2264">
        <f t="shared" si="705"/>
        <v>0</v>
      </c>
      <c r="P3314" s="2265"/>
      <c r="Q3314" s="2266"/>
      <c r="R3314" s="2266"/>
      <c r="S3314" s="2266"/>
    </row>
    <row r="3315" spans="1:19" s="2105" customFormat="1" outlineLevel="1">
      <c r="A3315" s="2182" t="str">
        <f t="shared" ref="A3315:A3322" si="707">IF(G3315&lt;&gt;0,1,"")</f>
        <v/>
      </c>
      <c r="B3315" s="2261" t="s">
        <v>623</v>
      </c>
      <c r="C3315" s="2268"/>
      <c r="D3315" s="2152" t="s">
        <v>5305</v>
      </c>
      <c r="E3315" s="2194" t="s">
        <v>5306</v>
      </c>
      <c r="F3315" s="2152" t="s">
        <v>2532</v>
      </c>
      <c r="G3315" s="2270">
        <f>G3313*4</f>
        <v>0</v>
      </c>
      <c r="H3315" s="2264">
        <v>278000</v>
      </c>
      <c r="I3315" s="2264"/>
      <c r="J3315" s="2264">
        <v>127101.65849999999</v>
      </c>
      <c r="K3315" s="2264">
        <v>0</v>
      </c>
      <c r="L3315" s="2264">
        <f t="shared" si="702"/>
        <v>0</v>
      </c>
      <c r="M3315" s="2264">
        <f t="shared" si="703"/>
        <v>0</v>
      </c>
      <c r="N3315" s="2264">
        <f t="shared" si="704"/>
        <v>0</v>
      </c>
      <c r="O3315" s="2264">
        <f t="shared" si="705"/>
        <v>0</v>
      </c>
      <c r="P3315" s="2265"/>
      <c r="Q3315" s="2266"/>
      <c r="R3315" s="2266"/>
      <c r="S3315" s="2266"/>
    </row>
    <row r="3316" spans="1:19" s="2105" customFormat="1" outlineLevel="1">
      <c r="A3316" s="2182" t="str">
        <f t="shared" si="707"/>
        <v/>
      </c>
      <c r="B3316" s="2554" t="s">
        <v>473</v>
      </c>
      <c r="C3316" s="2258"/>
      <c r="D3316" s="2152">
        <v>0</v>
      </c>
      <c r="E3316" s="2194" t="s">
        <v>3552</v>
      </c>
      <c r="F3316" s="2152" t="s">
        <v>2555</v>
      </c>
      <c r="G3316" s="2270">
        <f>G3313*1</f>
        <v>0</v>
      </c>
      <c r="H3316" s="2264">
        <v>138000</v>
      </c>
      <c r="I3316" s="2264"/>
      <c r="J3316" s="2264">
        <v>0</v>
      </c>
      <c r="K3316" s="2264">
        <v>0</v>
      </c>
      <c r="L3316" s="2264">
        <f t="shared" si="702"/>
        <v>0</v>
      </c>
      <c r="M3316" s="2264">
        <f t="shared" si="703"/>
        <v>0</v>
      </c>
      <c r="N3316" s="2264">
        <f t="shared" si="704"/>
        <v>0</v>
      </c>
      <c r="O3316" s="2264">
        <f t="shared" si="705"/>
        <v>0</v>
      </c>
      <c r="P3316" s="2265"/>
      <c r="Q3316" s="2266"/>
      <c r="R3316" s="2266"/>
      <c r="S3316" s="2266"/>
    </row>
    <row r="3317" spans="1:19" s="2105" customFormat="1" outlineLevel="1">
      <c r="A3317" s="2182" t="str">
        <f t="shared" si="707"/>
        <v/>
      </c>
      <c r="B3317" s="2261" t="s">
        <v>120</v>
      </c>
      <c r="C3317" s="2268"/>
      <c r="D3317" s="2152">
        <v>0</v>
      </c>
      <c r="E3317" s="2194" t="s">
        <v>2981</v>
      </c>
      <c r="F3317" s="2152" t="s">
        <v>2439</v>
      </c>
      <c r="G3317" s="2270">
        <f>G3313*2</f>
        <v>0</v>
      </c>
      <c r="H3317" s="2264">
        <v>40000</v>
      </c>
      <c r="I3317" s="2264"/>
      <c r="J3317" s="2264">
        <v>0</v>
      </c>
      <c r="K3317" s="2264">
        <v>0</v>
      </c>
      <c r="L3317" s="2264">
        <f t="shared" si="702"/>
        <v>0</v>
      </c>
      <c r="M3317" s="2264">
        <f t="shared" si="703"/>
        <v>0</v>
      </c>
      <c r="N3317" s="2264">
        <f t="shared" si="704"/>
        <v>0</v>
      </c>
      <c r="O3317" s="2264">
        <f t="shared" si="705"/>
        <v>0</v>
      </c>
      <c r="P3317" s="2265"/>
      <c r="Q3317" s="2266"/>
      <c r="R3317" s="2266"/>
      <c r="S3317" s="2266"/>
    </row>
    <row r="3318" spans="1:19" s="2105" customFormat="1" outlineLevel="1">
      <c r="A3318" s="2182" t="str">
        <f t="shared" si="707"/>
        <v/>
      </c>
      <c r="B3318" s="2252" t="s">
        <v>1409</v>
      </c>
      <c r="C3318" s="2268"/>
      <c r="D3318" s="2152">
        <v>0</v>
      </c>
      <c r="E3318" s="2194" t="s">
        <v>3449</v>
      </c>
      <c r="F3318" s="2152" t="s">
        <v>2439</v>
      </c>
      <c r="G3318" s="2270">
        <f>G3313</f>
        <v>0</v>
      </c>
      <c r="H3318" s="2264">
        <v>150000</v>
      </c>
      <c r="I3318" s="2264"/>
      <c r="J3318" s="2264">
        <v>0</v>
      </c>
      <c r="K3318" s="2264">
        <v>0</v>
      </c>
      <c r="L3318" s="2264">
        <f t="shared" si="702"/>
        <v>0</v>
      </c>
      <c r="M3318" s="2264">
        <f t="shared" si="703"/>
        <v>0</v>
      </c>
      <c r="N3318" s="2264">
        <f t="shared" si="704"/>
        <v>0</v>
      </c>
      <c r="O3318" s="2264">
        <f t="shared" si="705"/>
        <v>0</v>
      </c>
      <c r="P3318" s="2265"/>
      <c r="Q3318" s="2266"/>
      <c r="R3318" s="2266"/>
      <c r="S3318" s="2266"/>
    </row>
    <row r="3319" spans="1:19" s="2105" customFormat="1" outlineLevel="1">
      <c r="A3319" s="2182" t="str">
        <f t="shared" si="707"/>
        <v/>
      </c>
      <c r="B3319" s="2252" t="s">
        <v>984</v>
      </c>
      <c r="C3319" s="2268"/>
      <c r="D3319" s="2152">
        <v>0</v>
      </c>
      <c r="E3319" s="2194" t="s">
        <v>3454</v>
      </c>
      <c r="F3319" s="2152" t="s">
        <v>2439</v>
      </c>
      <c r="G3319" s="2270">
        <f>G3313</f>
        <v>0</v>
      </c>
      <c r="H3319" s="2264">
        <v>224832</v>
      </c>
      <c r="I3319" s="2264"/>
      <c r="J3319" s="2264">
        <v>3635</v>
      </c>
      <c r="K3319" s="2264">
        <v>6321</v>
      </c>
      <c r="L3319" s="2264">
        <f t="shared" si="702"/>
        <v>0</v>
      </c>
      <c r="M3319" s="2264">
        <f t="shared" si="703"/>
        <v>0</v>
      </c>
      <c r="N3319" s="2264">
        <f t="shared" si="704"/>
        <v>0</v>
      </c>
      <c r="O3319" s="2264">
        <f t="shared" si="705"/>
        <v>0</v>
      </c>
      <c r="P3319" s="2265"/>
      <c r="Q3319" s="2266"/>
      <c r="R3319" s="2266"/>
      <c r="S3319" s="2266"/>
    </row>
    <row r="3320" spans="1:19" s="2105" customFormat="1" outlineLevel="1">
      <c r="A3320" s="2182" t="str">
        <f t="shared" si="707"/>
        <v/>
      </c>
      <c r="B3320" s="2261" t="s">
        <v>1410</v>
      </c>
      <c r="C3320" s="2258"/>
      <c r="D3320" s="2152" t="s">
        <v>5341</v>
      </c>
      <c r="E3320" s="2194" t="s">
        <v>5342</v>
      </c>
      <c r="F3320" s="2152" t="s">
        <v>2439</v>
      </c>
      <c r="G3320" s="2270">
        <f>G3318</f>
        <v>0</v>
      </c>
      <c r="H3320" s="2264">
        <v>0</v>
      </c>
      <c r="I3320" s="2264"/>
      <c r="J3320" s="2264">
        <v>28219.62</v>
      </c>
      <c r="K3320" s="2264">
        <v>0</v>
      </c>
      <c r="L3320" s="2264">
        <f t="shared" si="702"/>
        <v>0</v>
      </c>
      <c r="M3320" s="2264">
        <f t="shared" si="703"/>
        <v>0</v>
      </c>
      <c r="N3320" s="2264">
        <f t="shared" si="704"/>
        <v>0</v>
      </c>
      <c r="O3320" s="2264">
        <f t="shared" si="705"/>
        <v>0</v>
      </c>
      <c r="P3320" s="2265"/>
      <c r="Q3320" s="2266"/>
      <c r="R3320" s="2266"/>
      <c r="S3320" s="2266"/>
    </row>
    <row r="3321" spans="1:19" s="2105" customFormat="1" outlineLevel="1">
      <c r="A3321" s="2182" t="str">
        <f t="shared" si="707"/>
        <v/>
      </c>
      <c r="B3321" s="2261" t="s">
        <v>289</v>
      </c>
      <c r="C3321" s="2268"/>
      <c r="D3321" s="2152">
        <v>0</v>
      </c>
      <c r="E3321" s="2194" t="s">
        <v>5712</v>
      </c>
      <c r="F3321" s="2152" t="s">
        <v>2555</v>
      </c>
      <c r="G3321" s="2270">
        <f>G3313</f>
        <v>0</v>
      </c>
      <c r="H3321" s="2264">
        <v>300000</v>
      </c>
      <c r="I3321" s="2264"/>
      <c r="J3321" s="2264">
        <v>0</v>
      </c>
      <c r="K3321" s="2264">
        <v>0</v>
      </c>
      <c r="L3321" s="2264">
        <f t="shared" si="702"/>
        <v>0</v>
      </c>
      <c r="M3321" s="2264">
        <f t="shared" si="703"/>
        <v>0</v>
      </c>
      <c r="N3321" s="2264">
        <f t="shared" si="704"/>
        <v>0</v>
      </c>
      <c r="O3321" s="2264">
        <f t="shared" si="705"/>
        <v>0</v>
      </c>
      <c r="P3321" s="2265"/>
      <c r="Q3321" s="2266"/>
      <c r="R3321" s="2266"/>
      <c r="S3321" s="2266"/>
    </row>
    <row r="3322" spans="1:19" s="2105" customFormat="1" outlineLevel="1">
      <c r="A3322" s="2182" t="str">
        <f t="shared" si="707"/>
        <v/>
      </c>
      <c r="B3322" s="2261"/>
      <c r="C3322" s="2258">
        <f>IF(G3322&gt;0,C3313+1,C3313)</f>
        <v>0</v>
      </c>
      <c r="D3322" s="2259"/>
      <c r="E3322" s="2260" t="s">
        <v>3740</v>
      </c>
      <c r="F3322" s="2258" t="s">
        <v>2385</v>
      </c>
      <c r="G3322" s="2263"/>
      <c r="H3322" s="2264"/>
      <c r="I3322" s="2264"/>
      <c r="J3322" s="2264"/>
      <c r="K3322" s="2264"/>
      <c r="L3322" s="2264"/>
      <c r="M3322" s="2264"/>
      <c r="N3322" s="2264"/>
      <c r="O3322" s="2264"/>
      <c r="P3322" s="2265"/>
      <c r="Q3322" s="2266"/>
      <c r="R3322" s="2266"/>
      <c r="S3322" s="2266"/>
    </row>
    <row r="3323" spans="1:19" s="2105" customFormat="1" ht="14.4" outlineLevel="1">
      <c r="A3323" s="2182" t="str">
        <f>A3322</f>
        <v/>
      </c>
      <c r="B3323" s="2261"/>
      <c r="C3323" s="2258"/>
      <c r="D3323" s="2259"/>
      <c r="E3323" s="2274" t="s">
        <v>6133</v>
      </c>
      <c r="F3323" s="2258"/>
      <c r="G3323" s="2263"/>
      <c r="H3323" s="2264"/>
      <c r="I3323" s="2264"/>
      <c r="J3323" s="2264"/>
      <c r="K3323" s="2264"/>
      <c r="L3323" s="2264"/>
      <c r="M3323" s="2264"/>
      <c r="N3323" s="2264"/>
      <c r="O3323" s="2264"/>
      <c r="P3323" s="2265"/>
      <c r="Q3323" s="2266"/>
      <c r="R3323" s="2266"/>
      <c r="S3323" s="2266"/>
    </row>
    <row r="3324" spans="1:19" s="2105" customFormat="1" outlineLevel="1">
      <c r="A3324" s="2182" t="str">
        <f>IF(G3324&lt;&gt;0,1,"")</f>
        <v/>
      </c>
      <c r="B3324" s="2252" t="s">
        <v>470</v>
      </c>
      <c r="C3324" s="2268"/>
      <c r="D3324" s="2152">
        <v>0</v>
      </c>
      <c r="E3324" s="2194" t="s">
        <v>6395</v>
      </c>
      <c r="F3324" s="2152" t="s">
        <v>2532</v>
      </c>
      <c r="G3324" s="2270">
        <f>(3+10)*1.02*G3322</f>
        <v>0</v>
      </c>
      <c r="H3324" s="2264">
        <v>763500</v>
      </c>
      <c r="I3324" s="2264"/>
      <c r="J3324" s="2264">
        <v>0</v>
      </c>
      <c r="K3324" s="2264">
        <v>0</v>
      </c>
      <c r="L3324" s="2264">
        <f>H3324*G3324</f>
        <v>0</v>
      </c>
      <c r="M3324" s="2264">
        <f>I3324*G3324</f>
        <v>0</v>
      </c>
      <c r="N3324" s="2264">
        <f>J3324*G3324</f>
        <v>0</v>
      </c>
      <c r="O3324" s="2264">
        <f>K3324*G3324</f>
        <v>0</v>
      </c>
      <c r="P3324" s="2265"/>
      <c r="Q3324" s="2266"/>
      <c r="R3324" s="2266"/>
      <c r="S3324" s="2266"/>
    </row>
    <row r="3325" spans="1:19" s="2105" customFormat="1" outlineLevel="1">
      <c r="A3325" s="2182" t="str">
        <f t="shared" ref="A3325:A3334" si="708">IF(G3325&lt;&gt;0,1,"")</f>
        <v/>
      </c>
      <c r="B3325" s="2252" t="s">
        <v>271</v>
      </c>
      <c r="C3325" s="2268"/>
      <c r="D3325" s="2152">
        <v>0</v>
      </c>
      <c r="E3325" s="2194" t="s">
        <v>6396</v>
      </c>
      <c r="F3325" s="2152" t="s">
        <v>2532</v>
      </c>
      <c r="G3325" s="2270">
        <f>G3322*0.5*3</f>
        <v>0</v>
      </c>
      <c r="H3325" s="2264">
        <v>204900</v>
      </c>
      <c r="I3325" s="2264"/>
      <c r="J3325" s="2264">
        <v>0</v>
      </c>
      <c r="K3325" s="2264">
        <v>0</v>
      </c>
      <c r="L3325" s="2264">
        <f>H3325*G3325</f>
        <v>0</v>
      </c>
      <c r="M3325" s="2264">
        <f>I3325*G3325</f>
        <v>0</v>
      </c>
      <c r="N3325" s="2264">
        <f>J3325*G3325</f>
        <v>0</v>
      </c>
      <c r="O3325" s="2264">
        <f>K3325*G3325</f>
        <v>0</v>
      </c>
      <c r="P3325" s="2265"/>
      <c r="Q3325" s="2266"/>
      <c r="R3325" s="2266"/>
      <c r="S3325" s="2266"/>
    </row>
    <row r="3326" spans="1:19" s="2105" customFormat="1" outlineLevel="1">
      <c r="A3326" s="2182" t="str">
        <f t="shared" si="708"/>
        <v/>
      </c>
      <c r="B3326" s="2252" t="s">
        <v>1352</v>
      </c>
      <c r="C3326" s="2268"/>
      <c r="D3326" s="2152">
        <v>0</v>
      </c>
      <c r="E3326" s="2194" t="s">
        <v>3014</v>
      </c>
      <c r="F3326" s="2152" t="s">
        <v>2555</v>
      </c>
      <c r="G3326" s="2270">
        <f>G3322*2</f>
        <v>0</v>
      </c>
      <c r="H3326" s="2264">
        <v>4022000</v>
      </c>
      <c r="I3326" s="2264"/>
      <c r="J3326" s="2264">
        <v>0</v>
      </c>
      <c r="K3326" s="2264">
        <v>0</v>
      </c>
      <c r="L3326" s="2264">
        <f t="shared" ref="L3326:L3331" si="709">H3326*G3326</f>
        <v>0</v>
      </c>
      <c r="M3326" s="2264">
        <f t="shared" ref="M3326:M3331" si="710">I3326*G3326</f>
        <v>0</v>
      </c>
      <c r="N3326" s="2264">
        <f t="shared" ref="N3326:N3331" si="711">J3326*G3326</f>
        <v>0</v>
      </c>
      <c r="O3326" s="2264">
        <f t="shared" ref="O3326:O3331" si="712">K3326*G3326</f>
        <v>0</v>
      </c>
      <c r="P3326" s="2265"/>
      <c r="Q3326" s="2266"/>
      <c r="R3326" s="2266"/>
      <c r="S3326" s="2266"/>
    </row>
    <row r="3327" spans="1:19" s="2105" customFormat="1" outlineLevel="1">
      <c r="A3327" s="2182" t="str">
        <f t="shared" si="708"/>
        <v/>
      </c>
      <c r="B3327" s="2252" t="s">
        <v>470</v>
      </c>
      <c r="C3327" s="2268"/>
      <c r="D3327" s="2152">
        <v>0</v>
      </c>
      <c r="E3327" s="2194" t="s">
        <v>6385</v>
      </c>
      <c r="F3327" s="2152" t="s">
        <v>2532</v>
      </c>
      <c r="G3327" s="2270">
        <f>(1.2+2.4)*G3322</f>
        <v>0</v>
      </c>
      <c r="H3327" s="2264">
        <v>763500</v>
      </c>
      <c r="I3327" s="2264"/>
      <c r="J3327" s="2264">
        <v>0</v>
      </c>
      <c r="K3327" s="2264">
        <v>0</v>
      </c>
      <c r="L3327" s="2264">
        <f t="shared" si="709"/>
        <v>0</v>
      </c>
      <c r="M3327" s="2264">
        <f t="shared" si="710"/>
        <v>0</v>
      </c>
      <c r="N3327" s="2264">
        <f t="shared" si="711"/>
        <v>0</v>
      </c>
      <c r="O3327" s="2264">
        <f t="shared" si="712"/>
        <v>0</v>
      </c>
      <c r="P3327" s="2265"/>
      <c r="Q3327" s="2266"/>
      <c r="R3327" s="2266"/>
      <c r="S3327" s="2266"/>
    </row>
    <row r="3328" spans="1:19" s="2105" customFormat="1" outlineLevel="1">
      <c r="A3328" s="2182" t="str">
        <f t="shared" si="708"/>
        <v/>
      </c>
      <c r="B3328" s="2252" t="s">
        <v>271</v>
      </c>
      <c r="C3328" s="2268"/>
      <c r="D3328" s="2152">
        <v>0</v>
      </c>
      <c r="E3328" s="2194" t="s">
        <v>6386</v>
      </c>
      <c r="F3328" s="2152" t="s">
        <v>2532</v>
      </c>
      <c r="G3328" s="2270">
        <f>G3327*0</f>
        <v>0</v>
      </c>
      <c r="H3328" s="2264">
        <v>204900</v>
      </c>
      <c r="I3328" s="2264"/>
      <c r="J3328" s="2264">
        <v>0</v>
      </c>
      <c r="K3328" s="2264">
        <v>0</v>
      </c>
      <c r="L3328" s="2264">
        <f t="shared" si="709"/>
        <v>0</v>
      </c>
      <c r="M3328" s="2264">
        <f t="shared" si="710"/>
        <v>0</v>
      </c>
      <c r="N3328" s="2264">
        <f t="shared" si="711"/>
        <v>0</v>
      </c>
      <c r="O3328" s="2264">
        <f t="shared" si="712"/>
        <v>0</v>
      </c>
      <c r="P3328" s="2265"/>
      <c r="Q3328" s="2266"/>
      <c r="R3328" s="2266"/>
      <c r="S3328" s="2266"/>
    </row>
    <row r="3329" spans="1:19" s="2105" customFormat="1" outlineLevel="1">
      <c r="A3329" s="2182" t="str">
        <f t="shared" si="708"/>
        <v/>
      </c>
      <c r="B3329" s="2252" t="s">
        <v>1353</v>
      </c>
      <c r="C3329" s="2268"/>
      <c r="D3329" s="2152">
        <v>0</v>
      </c>
      <c r="E3329" s="2194" t="s">
        <v>3021</v>
      </c>
      <c r="F3329" s="2152" t="s">
        <v>2555</v>
      </c>
      <c r="G3329" s="2270">
        <f>G3322*3</f>
        <v>0</v>
      </c>
      <c r="H3329" s="2264">
        <v>5242230</v>
      </c>
      <c r="I3329" s="2264"/>
      <c r="J3329" s="2264">
        <v>0</v>
      </c>
      <c r="K3329" s="2264">
        <v>0</v>
      </c>
      <c r="L3329" s="2264">
        <f t="shared" si="709"/>
        <v>0</v>
      </c>
      <c r="M3329" s="2264">
        <f t="shared" si="710"/>
        <v>0</v>
      </c>
      <c r="N3329" s="2264">
        <f t="shared" si="711"/>
        <v>0</v>
      </c>
      <c r="O3329" s="2264">
        <f t="shared" si="712"/>
        <v>0</v>
      </c>
      <c r="P3329" s="2265"/>
      <c r="Q3329" s="2266"/>
      <c r="R3329" s="2266"/>
      <c r="S3329" s="2266"/>
    </row>
    <row r="3330" spans="1:19" s="2105" customFormat="1" outlineLevel="1">
      <c r="A3330" s="2182" t="str">
        <f t="shared" si="708"/>
        <v/>
      </c>
      <c r="B3330" s="2252" t="s">
        <v>1674</v>
      </c>
      <c r="C3330" s="2268"/>
      <c r="D3330" s="2152" t="s">
        <v>5459</v>
      </c>
      <c r="E3330" s="2194" t="s">
        <v>3178</v>
      </c>
      <c r="F3330" s="2152" t="s">
        <v>2555</v>
      </c>
      <c r="G3330" s="2270">
        <f>G3326+G3329</f>
        <v>0</v>
      </c>
      <c r="H3330" s="2264">
        <v>11340</v>
      </c>
      <c r="I3330" s="2264"/>
      <c r="J3330" s="2264">
        <v>621381.64999999991</v>
      </c>
      <c r="K3330" s="2264">
        <v>0</v>
      </c>
      <c r="L3330" s="2264">
        <f t="shared" si="709"/>
        <v>0</v>
      </c>
      <c r="M3330" s="2264">
        <f t="shared" si="710"/>
        <v>0</v>
      </c>
      <c r="N3330" s="2264">
        <f t="shared" si="711"/>
        <v>0</v>
      </c>
      <c r="O3330" s="2264">
        <f t="shared" si="712"/>
        <v>0</v>
      </c>
      <c r="P3330" s="2265"/>
      <c r="Q3330" s="2266"/>
      <c r="R3330" s="2266"/>
      <c r="S3330" s="2266"/>
    </row>
    <row r="3331" spans="1:19" s="2105" customFormat="1" outlineLevel="1">
      <c r="A3331" s="2182" t="str">
        <f t="shared" si="708"/>
        <v/>
      </c>
      <c r="B3331" s="2252" t="s">
        <v>1182</v>
      </c>
      <c r="C3331" s="2268"/>
      <c r="D3331" s="2152" t="s">
        <v>5552</v>
      </c>
      <c r="E3331" s="2194" t="s">
        <v>3259</v>
      </c>
      <c r="F3331" s="2152" t="s">
        <v>2532</v>
      </c>
      <c r="G3331" s="2270">
        <f>G3324+G3327</f>
        <v>0</v>
      </c>
      <c r="H3331" s="2264">
        <v>546.91999999999996</v>
      </c>
      <c r="I3331" s="2264"/>
      <c r="J3331" s="2264">
        <v>21459.713</v>
      </c>
      <c r="K3331" s="2264">
        <v>0</v>
      </c>
      <c r="L3331" s="2264">
        <f t="shared" si="709"/>
        <v>0</v>
      </c>
      <c r="M3331" s="2264">
        <f t="shared" si="710"/>
        <v>0</v>
      </c>
      <c r="N3331" s="2264">
        <f t="shared" si="711"/>
        <v>0</v>
      </c>
      <c r="O3331" s="2264">
        <f t="shared" si="712"/>
        <v>0</v>
      </c>
      <c r="P3331" s="2265"/>
      <c r="Q3331" s="2266"/>
      <c r="R3331" s="2266"/>
      <c r="S3331" s="2266"/>
    </row>
    <row r="3332" spans="1:19" s="2105" customFormat="1" outlineLevel="1">
      <c r="A3332" s="2182" t="str">
        <f t="shared" si="708"/>
        <v/>
      </c>
      <c r="B3332" s="2252" t="s">
        <v>1525</v>
      </c>
      <c r="C3332" s="2268"/>
      <c r="D3332" s="2152" t="s">
        <v>5571</v>
      </c>
      <c r="E3332" s="2194" t="s">
        <v>3292</v>
      </c>
      <c r="F3332" s="2152" t="s">
        <v>1823</v>
      </c>
      <c r="G3332" s="2270">
        <f>G3325</f>
        <v>0</v>
      </c>
      <c r="H3332" s="2264">
        <v>0</v>
      </c>
      <c r="I3332" s="2264"/>
      <c r="J3332" s="2264">
        <v>13915</v>
      </c>
      <c r="K3332" s="2264">
        <v>0</v>
      </c>
      <c r="L3332" s="2264">
        <f>H3332*G3332</f>
        <v>0</v>
      </c>
      <c r="M3332" s="2264">
        <f>I3332*G3332</f>
        <v>0</v>
      </c>
      <c r="N3332" s="2264">
        <f>J3332*G3332</f>
        <v>0</v>
      </c>
      <c r="O3332" s="2264">
        <f>K3332*G3332</f>
        <v>0</v>
      </c>
      <c r="P3332" s="2265"/>
      <c r="Q3332" s="2266"/>
      <c r="R3332" s="2266"/>
      <c r="S3332" s="2266"/>
    </row>
    <row r="3333" spans="1:19" s="2105" customFormat="1" outlineLevel="1">
      <c r="A3333" s="2182" t="str">
        <f t="shared" si="708"/>
        <v/>
      </c>
      <c r="B3333" s="2252" t="s">
        <v>1349</v>
      </c>
      <c r="C3333" s="2268"/>
      <c r="D3333" s="2152">
        <v>0</v>
      </c>
      <c r="E3333" s="2194" t="s">
        <v>3518</v>
      </c>
      <c r="F3333" s="2152" t="s">
        <v>3519</v>
      </c>
      <c r="G3333" s="2270">
        <f>G3322*2</f>
        <v>0</v>
      </c>
      <c r="H3333" s="2264">
        <v>15000</v>
      </c>
      <c r="I3333" s="2264"/>
      <c r="J3333" s="2264">
        <v>0</v>
      </c>
      <c r="K3333" s="2264">
        <v>0</v>
      </c>
      <c r="L3333" s="2264">
        <f>H3333*G3333</f>
        <v>0</v>
      </c>
      <c r="M3333" s="2264">
        <f>I3333*G3333</f>
        <v>0</v>
      </c>
      <c r="N3333" s="2264">
        <f>J3333*G3333</f>
        <v>0</v>
      </c>
      <c r="O3333" s="2264">
        <f>K3333*G3333</f>
        <v>0</v>
      </c>
      <c r="P3333" s="2265"/>
      <c r="Q3333" s="2266"/>
      <c r="R3333" s="2266"/>
      <c r="S3333" s="2266"/>
    </row>
    <row r="3334" spans="1:19" s="2105" customFormat="1" outlineLevel="1">
      <c r="A3334" s="2182" t="str">
        <f t="shared" si="708"/>
        <v/>
      </c>
      <c r="B3334" s="2261"/>
      <c r="C3334" s="2258">
        <f>IF(G3334&gt;0,C3322+1,C3322)</f>
        <v>0</v>
      </c>
      <c r="D3334" s="2259"/>
      <c r="E3334" s="2260" t="s">
        <v>3727</v>
      </c>
      <c r="F3334" s="2258" t="s">
        <v>2385</v>
      </c>
      <c r="G3334" s="2263">
        <f>G3236</f>
        <v>0</v>
      </c>
      <c r="H3334" s="2264"/>
      <c r="I3334" s="2264"/>
      <c r="J3334" s="2264"/>
      <c r="K3334" s="2264"/>
      <c r="L3334" s="2264"/>
      <c r="M3334" s="2264"/>
      <c r="N3334" s="2264"/>
      <c r="O3334" s="2264"/>
      <c r="P3334" s="2265"/>
      <c r="Q3334" s="2266"/>
      <c r="R3334" s="2266"/>
      <c r="S3334" s="2266"/>
    </row>
    <row r="3335" spans="1:19" s="2105" customFormat="1" ht="14.4" outlineLevel="1">
      <c r="A3335" s="2182" t="str">
        <f>A3334</f>
        <v/>
      </c>
      <c r="B3335" s="2261"/>
      <c r="C3335" s="2258"/>
      <c r="D3335" s="2259"/>
      <c r="E3335" s="2274" t="s">
        <v>6133</v>
      </c>
      <c r="F3335" s="2258"/>
      <c r="G3335" s="2263"/>
      <c r="H3335" s="2264"/>
      <c r="I3335" s="2264"/>
      <c r="J3335" s="2264"/>
      <c r="K3335" s="2264"/>
      <c r="L3335" s="2264"/>
      <c r="M3335" s="2264"/>
      <c r="N3335" s="2264"/>
      <c r="O3335" s="2264"/>
      <c r="P3335" s="2265"/>
      <c r="Q3335" s="2266"/>
      <c r="R3335" s="2266"/>
      <c r="S3335" s="2266"/>
    </row>
    <row r="3336" spans="1:19" s="2105" customFormat="1" outlineLevel="1">
      <c r="A3336" s="2182" t="str">
        <f t="shared" ref="A3336:A3342" si="713">IF(G3336&lt;&gt;0,1,"")</f>
        <v/>
      </c>
      <c r="B3336" s="2252" t="s">
        <v>697</v>
      </c>
      <c r="C3336" s="2268"/>
      <c r="D3336" s="2152">
        <v>0</v>
      </c>
      <c r="E3336" s="2194" t="s">
        <v>5087</v>
      </c>
      <c r="F3336" s="2152" t="s">
        <v>2532</v>
      </c>
      <c r="G3336" s="2269">
        <f>G3334*9*3</f>
        <v>0</v>
      </c>
      <c r="H3336" s="2264">
        <v>50996</v>
      </c>
      <c r="I3336" s="2264"/>
      <c r="J3336" s="2264">
        <v>0</v>
      </c>
      <c r="K3336" s="2264">
        <v>0</v>
      </c>
      <c r="L3336" s="2264">
        <f t="shared" ref="L3336:L3342" si="714">H3336*G3336</f>
        <v>0</v>
      </c>
      <c r="M3336" s="2264">
        <f>I3336*G3336</f>
        <v>0</v>
      </c>
      <c r="N3336" s="2264">
        <f t="shared" ref="N3336:N3342" si="715">J3336*G3336</f>
        <v>0</v>
      </c>
      <c r="O3336" s="2264">
        <f t="shared" ref="O3336:O3342" si="716">K3336*G3336</f>
        <v>0</v>
      </c>
      <c r="P3336" s="2265"/>
      <c r="Q3336" s="2266"/>
      <c r="R3336" s="2266"/>
      <c r="S3336" s="2266"/>
    </row>
    <row r="3337" spans="1:19" s="2105" customFormat="1" outlineLevel="1">
      <c r="A3337" s="2182" t="str">
        <f t="shared" si="713"/>
        <v/>
      </c>
      <c r="B3337" s="2357" t="s">
        <v>1115</v>
      </c>
      <c r="C3337" s="2268"/>
      <c r="D3337" s="2152">
        <v>0</v>
      </c>
      <c r="E3337" s="2194" t="s">
        <v>2871</v>
      </c>
      <c r="F3337" s="2152" t="s">
        <v>2555</v>
      </c>
      <c r="G3337" s="2269">
        <f>G3334*3*2</f>
        <v>0</v>
      </c>
      <c r="H3337" s="2264">
        <v>6000</v>
      </c>
      <c r="I3337" s="2264"/>
      <c r="J3337" s="2264">
        <v>0</v>
      </c>
      <c r="K3337" s="2264">
        <v>0</v>
      </c>
      <c r="L3337" s="2264">
        <f t="shared" si="714"/>
        <v>0</v>
      </c>
      <c r="M3337" s="2264">
        <v>0</v>
      </c>
      <c r="N3337" s="2264">
        <f t="shared" si="715"/>
        <v>0</v>
      </c>
      <c r="O3337" s="2264">
        <f t="shared" si="716"/>
        <v>0</v>
      </c>
      <c r="P3337" s="2265"/>
      <c r="Q3337" s="2266"/>
      <c r="R3337" s="2266"/>
      <c r="S3337" s="2266"/>
    </row>
    <row r="3338" spans="1:19" s="2105" customFormat="1" outlineLevel="1">
      <c r="A3338" s="2182" t="str">
        <f>IF(G3338&lt;&gt;0,1,"")</f>
        <v/>
      </c>
      <c r="B3338" s="2357" t="s">
        <v>30</v>
      </c>
      <c r="C3338" s="2268"/>
      <c r="D3338" s="2152">
        <v>0</v>
      </c>
      <c r="E3338" s="2194" t="s">
        <v>2691</v>
      </c>
      <c r="F3338" s="2152" t="s">
        <v>2385</v>
      </c>
      <c r="G3338" s="2269">
        <f>+G3334*6</f>
        <v>0</v>
      </c>
      <c r="H3338" s="2264">
        <v>34000</v>
      </c>
      <c r="I3338" s="2264"/>
      <c r="J3338" s="2264">
        <v>0</v>
      </c>
      <c r="K3338" s="2264">
        <v>0</v>
      </c>
      <c r="L3338" s="2264">
        <f>H3338*G3338</f>
        <v>0</v>
      </c>
      <c r="M3338" s="2264">
        <v>0</v>
      </c>
      <c r="N3338" s="2264">
        <f>J3338*G3338</f>
        <v>0</v>
      </c>
      <c r="O3338" s="2264">
        <f>K3338*G3338</f>
        <v>0</v>
      </c>
      <c r="P3338" s="2265"/>
      <c r="Q3338" s="2266"/>
      <c r="R3338" s="2266"/>
      <c r="S3338" s="2266"/>
    </row>
    <row r="3339" spans="1:19" s="2105" customFormat="1" outlineLevel="1">
      <c r="A3339" s="2182" t="str">
        <f t="shared" si="713"/>
        <v/>
      </c>
      <c r="B3339" s="2357" t="s">
        <v>1479</v>
      </c>
      <c r="C3339" s="2268"/>
      <c r="D3339" s="2152">
        <v>0</v>
      </c>
      <c r="E3339" s="2194" t="s">
        <v>3791</v>
      </c>
      <c r="F3339" s="2152" t="s">
        <v>2555</v>
      </c>
      <c r="G3339" s="2269">
        <f>G3334*3</f>
        <v>0</v>
      </c>
      <c r="H3339" s="2264">
        <v>46000</v>
      </c>
      <c r="I3339" s="2264"/>
      <c r="J3339" s="2264">
        <v>0</v>
      </c>
      <c r="K3339" s="2264">
        <v>0</v>
      </c>
      <c r="L3339" s="2264">
        <f t="shared" si="714"/>
        <v>0</v>
      </c>
      <c r="M3339" s="2264">
        <f>I3339*G3339</f>
        <v>0</v>
      </c>
      <c r="N3339" s="2264">
        <f t="shared" si="715"/>
        <v>0</v>
      </c>
      <c r="O3339" s="2264">
        <f t="shared" si="716"/>
        <v>0</v>
      </c>
      <c r="P3339" s="2265"/>
      <c r="Q3339" s="2266"/>
      <c r="R3339" s="2266"/>
      <c r="S3339" s="2266"/>
    </row>
    <row r="3340" spans="1:19" s="2105" customFormat="1" outlineLevel="1">
      <c r="A3340" s="2182" t="str">
        <f t="shared" si="713"/>
        <v/>
      </c>
      <c r="B3340" s="2357" t="s">
        <v>1477</v>
      </c>
      <c r="C3340" s="2268"/>
      <c r="D3340" s="2152">
        <v>0</v>
      </c>
      <c r="E3340" s="2194" t="s">
        <v>6346</v>
      </c>
      <c r="F3340" s="2152" t="s">
        <v>2555</v>
      </c>
      <c r="G3340" s="2269">
        <f>G3339</f>
        <v>0</v>
      </c>
      <c r="H3340" s="2264">
        <v>77000</v>
      </c>
      <c r="I3340" s="2264"/>
      <c r="J3340" s="2264">
        <v>0</v>
      </c>
      <c r="K3340" s="2264">
        <v>0</v>
      </c>
      <c r="L3340" s="2264">
        <f t="shared" si="714"/>
        <v>0</v>
      </c>
      <c r="M3340" s="2264">
        <f>I3340*G3340</f>
        <v>0</v>
      </c>
      <c r="N3340" s="2264">
        <f t="shared" si="715"/>
        <v>0</v>
      </c>
      <c r="O3340" s="2264">
        <f t="shared" si="716"/>
        <v>0</v>
      </c>
      <c r="P3340" s="2265"/>
      <c r="Q3340" s="2266"/>
      <c r="R3340" s="2266"/>
      <c r="S3340" s="2266"/>
    </row>
    <row r="3341" spans="1:19" s="2105" customFormat="1" outlineLevel="1">
      <c r="A3341" s="2182" t="str">
        <f t="shared" si="713"/>
        <v/>
      </c>
      <c r="B3341" s="2252" t="s">
        <v>696</v>
      </c>
      <c r="C3341" s="2389"/>
      <c r="D3341" s="2152">
        <v>0</v>
      </c>
      <c r="E3341" s="2194" t="s">
        <v>2936</v>
      </c>
      <c r="F3341" s="2152" t="s">
        <v>2555</v>
      </c>
      <c r="G3341" s="2269">
        <f>+G3334*3*3</f>
        <v>0</v>
      </c>
      <c r="H3341" s="2264">
        <v>205000</v>
      </c>
      <c r="I3341" s="2264"/>
      <c r="J3341" s="2264">
        <v>0</v>
      </c>
      <c r="K3341" s="2264">
        <v>0</v>
      </c>
      <c r="L3341" s="2264">
        <f t="shared" si="714"/>
        <v>0</v>
      </c>
      <c r="M3341" s="2264">
        <f>I3341*G3341</f>
        <v>0</v>
      </c>
      <c r="N3341" s="2264">
        <f t="shared" si="715"/>
        <v>0</v>
      </c>
      <c r="O3341" s="2264">
        <f t="shared" si="716"/>
        <v>0</v>
      </c>
      <c r="P3341" s="2265"/>
      <c r="Q3341" s="2266"/>
      <c r="R3341" s="2266"/>
      <c r="S3341" s="2266"/>
    </row>
    <row r="3342" spans="1:19" s="2105" customFormat="1" outlineLevel="1">
      <c r="A3342" s="2182" t="str">
        <f t="shared" si="713"/>
        <v/>
      </c>
      <c r="B3342" s="2252" t="s">
        <v>1265</v>
      </c>
      <c r="C3342" s="2268"/>
      <c r="D3342" s="2152">
        <v>0</v>
      </c>
      <c r="E3342" s="2194" t="s">
        <v>2823</v>
      </c>
      <c r="F3342" s="2152" t="s">
        <v>2555</v>
      </c>
      <c r="G3342" s="2269">
        <f>+G3341</f>
        <v>0</v>
      </c>
      <c r="H3342" s="2264">
        <v>65000</v>
      </c>
      <c r="I3342" s="2264"/>
      <c r="J3342" s="2264">
        <v>0</v>
      </c>
      <c r="K3342" s="2264">
        <v>0</v>
      </c>
      <c r="L3342" s="2264">
        <f t="shared" si="714"/>
        <v>0</v>
      </c>
      <c r="M3342" s="2264">
        <f>I3342*G3342</f>
        <v>0</v>
      </c>
      <c r="N3342" s="2264">
        <f t="shared" si="715"/>
        <v>0</v>
      </c>
      <c r="O3342" s="2264">
        <f t="shared" si="716"/>
        <v>0</v>
      </c>
      <c r="P3342" s="2265"/>
      <c r="Q3342" s="2266"/>
      <c r="R3342" s="2266"/>
      <c r="S3342" s="2266"/>
    </row>
    <row r="3343" spans="1:19" s="2105" customFormat="1" outlineLevel="1">
      <c r="A3343" s="2182" t="str">
        <f>IF(G3343&lt;&gt;0,1,"")</f>
        <v/>
      </c>
      <c r="B3343" s="2252" t="s">
        <v>347</v>
      </c>
      <c r="C3343" s="2268"/>
      <c r="D3343" s="2152" t="s">
        <v>5560</v>
      </c>
      <c r="E3343" s="2194" t="s">
        <v>3271</v>
      </c>
      <c r="F3343" s="2152" t="s">
        <v>2439</v>
      </c>
      <c r="G3343" s="2269">
        <f>G3341</f>
        <v>0</v>
      </c>
      <c r="H3343" s="2264">
        <v>510</v>
      </c>
      <c r="I3343" s="2264"/>
      <c r="J3343" s="2264">
        <v>58277.49</v>
      </c>
      <c r="K3343" s="2264">
        <v>0</v>
      </c>
      <c r="L3343" s="2264">
        <f>H3343*G3343</f>
        <v>0</v>
      </c>
      <c r="M3343" s="2264">
        <f>I3343*G3343</f>
        <v>0</v>
      </c>
      <c r="N3343" s="2264">
        <f>J3343*G3343</f>
        <v>0</v>
      </c>
      <c r="O3343" s="2264">
        <f>K3343*G3343</f>
        <v>0</v>
      </c>
      <c r="P3343" s="2265"/>
      <c r="Q3343" s="2266"/>
      <c r="R3343" s="2266"/>
      <c r="S3343" s="2266"/>
    </row>
    <row r="3344" spans="1:19" s="2105" customFormat="1" outlineLevel="1">
      <c r="A3344" s="2182" t="str">
        <f>IF(G3344&lt;&gt;0,1,"")</f>
        <v/>
      </c>
      <c r="B3344" s="2252"/>
      <c r="C3344" s="2258">
        <f>IF(G3344&gt;0,C3334+1,C3334)</f>
        <v>0</v>
      </c>
      <c r="D3344" s="2259"/>
      <c r="E3344" s="2260" t="s">
        <v>6293</v>
      </c>
      <c r="F3344" s="2258" t="s">
        <v>2385</v>
      </c>
      <c r="G3344" s="2269">
        <f>G3322+G3334</f>
        <v>0</v>
      </c>
      <c r="H3344" s="2264"/>
      <c r="I3344" s="2264"/>
      <c r="J3344" s="2264"/>
      <c r="K3344" s="2264"/>
      <c r="L3344" s="2264"/>
      <c r="M3344" s="2264"/>
      <c r="N3344" s="2264"/>
      <c r="O3344" s="2264"/>
      <c r="P3344" s="2265"/>
      <c r="Q3344" s="2266"/>
      <c r="R3344" s="2266"/>
      <c r="S3344" s="2266"/>
    </row>
    <row r="3345" spans="1:19" s="2105" customFormat="1" ht="14.4" outlineLevel="1">
      <c r="A3345" s="2182" t="str">
        <f>A3344</f>
        <v/>
      </c>
      <c r="B3345" s="2252"/>
      <c r="C3345" s="2258"/>
      <c r="D3345" s="2259"/>
      <c r="E3345" s="2274" t="s">
        <v>6133</v>
      </c>
      <c r="F3345" s="2258"/>
      <c r="G3345" s="2269"/>
      <c r="H3345" s="2264"/>
      <c r="I3345" s="2264"/>
      <c r="J3345" s="2264"/>
      <c r="K3345" s="2264"/>
      <c r="L3345" s="2264"/>
      <c r="M3345" s="2264"/>
      <c r="N3345" s="2264"/>
      <c r="O3345" s="2264"/>
      <c r="P3345" s="2265"/>
      <c r="Q3345" s="2266"/>
      <c r="R3345" s="2266"/>
      <c r="S3345" s="2266"/>
    </row>
    <row r="3346" spans="1:19" s="2105" customFormat="1" outlineLevel="1">
      <c r="A3346" s="2182" t="str">
        <f t="shared" ref="A3346:A3354" si="717">IF(G3346&lt;&gt;0,1,"")</f>
        <v/>
      </c>
      <c r="B3346" s="2261" t="s">
        <v>1238</v>
      </c>
      <c r="C3346" s="2268"/>
      <c r="D3346" s="2570"/>
      <c r="E3346" s="2194" t="s">
        <v>2748</v>
      </c>
      <c r="F3346" s="2152" t="s">
        <v>2532</v>
      </c>
      <c r="G3346" s="2269">
        <f>G3344*(8*3*4+2*8)</f>
        <v>0</v>
      </c>
      <c r="H3346" s="2264">
        <v>479000</v>
      </c>
      <c r="I3346" s="2264"/>
      <c r="J3346" s="2264">
        <v>0</v>
      </c>
      <c r="K3346" s="2264">
        <v>0</v>
      </c>
      <c r="L3346" s="2264">
        <f t="shared" ref="L3346:L3354" si="718">H3346*G3346</f>
        <v>0</v>
      </c>
      <c r="M3346" s="2264">
        <f t="shared" ref="M3346:M3354" si="719">I3346*G3346</f>
        <v>0</v>
      </c>
      <c r="N3346" s="2264">
        <f t="shared" ref="N3346:N3354" si="720">J3346*G3346</f>
        <v>0</v>
      </c>
      <c r="O3346" s="2264">
        <f t="shared" ref="O3346:O3354" si="721">K3346*G3346</f>
        <v>0</v>
      </c>
      <c r="P3346" s="2265"/>
      <c r="Q3346" s="2266"/>
      <c r="R3346" s="2266">
        <f>48*(30+6)</f>
        <v>1728</v>
      </c>
      <c r="S3346" s="2266"/>
    </row>
    <row r="3347" spans="1:19" s="2105" customFormat="1" outlineLevel="1">
      <c r="A3347" s="2182" t="str">
        <f t="shared" si="717"/>
        <v/>
      </c>
      <c r="B3347" s="2261" t="s">
        <v>448</v>
      </c>
      <c r="C3347" s="2268"/>
      <c r="D3347" s="2152" t="s">
        <v>5732</v>
      </c>
      <c r="E3347" s="2194" t="s">
        <v>3487</v>
      </c>
      <c r="F3347" s="2152" t="s">
        <v>2555</v>
      </c>
      <c r="G3347" s="2269">
        <f>+G3344*28</f>
        <v>0</v>
      </c>
      <c r="H3347" s="2264">
        <v>70000</v>
      </c>
      <c r="I3347" s="2264"/>
      <c r="J3347" s="2264">
        <v>59410.148000000001</v>
      </c>
      <c r="K3347" s="2264">
        <v>5554.0464950000005</v>
      </c>
      <c r="L3347" s="2264">
        <f t="shared" si="718"/>
        <v>0</v>
      </c>
      <c r="M3347" s="2264">
        <f t="shared" si="719"/>
        <v>0</v>
      </c>
      <c r="N3347" s="2264">
        <f t="shared" si="720"/>
        <v>0</v>
      </c>
      <c r="O3347" s="2264">
        <f t="shared" si="721"/>
        <v>0</v>
      </c>
      <c r="P3347" s="2265"/>
      <c r="Q3347" s="2266"/>
      <c r="R3347" s="2266"/>
      <c r="S3347" s="2266"/>
    </row>
    <row r="3348" spans="1:19" s="2105" customFormat="1" outlineLevel="1">
      <c r="A3348" s="2182" t="str">
        <f t="shared" si="717"/>
        <v/>
      </c>
      <c r="B3348" s="2261" t="s">
        <v>1072</v>
      </c>
      <c r="C3348" s="2268"/>
      <c r="D3348" s="2152">
        <v>0</v>
      </c>
      <c r="E3348" s="2194" t="s">
        <v>3501</v>
      </c>
      <c r="F3348" s="2152" t="s">
        <v>2555</v>
      </c>
      <c r="G3348" s="2269">
        <f>G3347</f>
        <v>0</v>
      </c>
      <c r="H3348" s="2264">
        <v>6000</v>
      </c>
      <c r="I3348" s="2264"/>
      <c r="J3348" s="2264">
        <v>0</v>
      </c>
      <c r="K3348" s="2264">
        <v>0</v>
      </c>
      <c r="L3348" s="2264">
        <f t="shared" si="718"/>
        <v>0</v>
      </c>
      <c r="M3348" s="2264">
        <f t="shared" si="719"/>
        <v>0</v>
      </c>
      <c r="N3348" s="2264">
        <f t="shared" si="720"/>
        <v>0</v>
      </c>
      <c r="O3348" s="2264">
        <f t="shared" si="721"/>
        <v>0</v>
      </c>
      <c r="P3348" s="2265"/>
      <c r="Q3348" s="2266"/>
      <c r="R3348" s="2266"/>
      <c r="S3348" s="2266"/>
    </row>
    <row r="3349" spans="1:19" s="2105" customFormat="1" outlineLevel="1">
      <c r="A3349" s="2182" t="str">
        <f t="shared" si="717"/>
        <v/>
      </c>
      <c r="B3349" s="2261" t="s">
        <v>1042</v>
      </c>
      <c r="C3349" s="2268"/>
      <c r="D3349" s="2152">
        <v>0</v>
      </c>
      <c r="E3349" s="2194" t="s">
        <v>3531</v>
      </c>
      <c r="F3349" s="2152" t="s">
        <v>1823</v>
      </c>
      <c r="G3349" s="2269">
        <f>6*G3344*$L$2*0</f>
        <v>0</v>
      </c>
      <c r="H3349" s="2264">
        <v>103700</v>
      </c>
      <c r="I3349" s="2264"/>
      <c r="J3349" s="2264">
        <v>0</v>
      </c>
      <c r="K3349" s="2264">
        <v>0</v>
      </c>
      <c r="L3349" s="2264">
        <f t="shared" si="718"/>
        <v>0</v>
      </c>
      <c r="M3349" s="2264">
        <f t="shared" si="719"/>
        <v>0</v>
      </c>
      <c r="N3349" s="2264">
        <f t="shared" si="720"/>
        <v>0</v>
      </c>
      <c r="O3349" s="2264">
        <f t="shared" si="721"/>
        <v>0</v>
      </c>
      <c r="P3349" s="2265"/>
      <c r="Q3349" s="2266"/>
      <c r="R3349" s="2266"/>
      <c r="S3349" s="2266"/>
    </row>
    <row r="3350" spans="1:19" s="2105" customFormat="1" outlineLevel="1">
      <c r="A3350" s="2182" t="str">
        <f t="shared" si="717"/>
        <v/>
      </c>
      <c r="B3350" s="2252" t="s">
        <v>731</v>
      </c>
      <c r="C3350" s="2268"/>
      <c r="D3350" s="2152">
        <v>0</v>
      </c>
      <c r="E3350" s="2194" t="s">
        <v>5258</v>
      </c>
      <c r="F3350" s="2152" t="s">
        <v>2439</v>
      </c>
      <c r="G3350" s="2269">
        <f>G3344*2*$L$2*0</f>
        <v>0</v>
      </c>
      <c r="H3350" s="2264">
        <v>50000</v>
      </c>
      <c r="I3350" s="2264"/>
      <c r="J3350" s="2264">
        <v>0</v>
      </c>
      <c r="K3350" s="2264">
        <v>0</v>
      </c>
      <c r="L3350" s="2264">
        <f t="shared" si="718"/>
        <v>0</v>
      </c>
      <c r="M3350" s="2264">
        <f t="shared" si="719"/>
        <v>0</v>
      </c>
      <c r="N3350" s="2264">
        <f t="shared" si="720"/>
        <v>0</v>
      </c>
      <c r="O3350" s="2264">
        <f t="shared" si="721"/>
        <v>0</v>
      </c>
      <c r="P3350" s="2265"/>
      <c r="Q3350" s="2422"/>
      <c r="R3350" s="2266"/>
      <c r="S3350" s="2266"/>
    </row>
    <row r="3351" spans="1:19" s="2105" customFormat="1" outlineLevel="1">
      <c r="A3351" s="2182" t="str">
        <f t="shared" si="717"/>
        <v/>
      </c>
      <c r="B3351" s="2261" t="s">
        <v>1043</v>
      </c>
      <c r="C3351" s="2268"/>
      <c r="D3351" s="2152">
        <v>0</v>
      </c>
      <c r="E3351" s="2194" t="s">
        <v>5798</v>
      </c>
      <c r="F3351" s="2152" t="s">
        <v>2555</v>
      </c>
      <c r="G3351" s="2269">
        <f>G3344*2*$L$2*0</f>
        <v>0</v>
      </c>
      <c r="H3351" s="2264">
        <v>104800</v>
      </c>
      <c r="I3351" s="2264"/>
      <c r="J3351" s="2264">
        <v>0</v>
      </c>
      <c r="K3351" s="2264">
        <v>0</v>
      </c>
      <c r="L3351" s="2264">
        <f t="shared" si="718"/>
        <v>0</v>
      </c>
      <c r="M3351" s="2264">
        <f t="shared" si="719"/>
        <v>0</v>
      </c>
      <c r="N3351" s="2264">
        <f t="shared" si="720"/>
        <v>0</v>
      </c>
      <c r="O3351" s="2264">
        <f t="shared" si="721"/>
        <v>0</v>
      </c>
      <c r="P3351" s="2265"/>
      <c r="Q3351" s="2266"/>
      <c r="R3351" s="2266"/>
      <c r="S3351" s="2266"/>
    </row>
    <row r="3352" spans="1:19" s="2105" customFormat="1" outlineLevel="1">
      <c r="A3352" s="2182" t="str">
        <f t="shared" si="717"/>
        <v/>
      </c>
      <c r="B3352" s="2261" t="s">
        <v>2167</v>
      </c>
      <c r="C3352" s="2268"/>
      <c r="D3352" s="2152">
        <v>0</v>
      </c>
      <c r="E3352" s="2194" t="s">
        <v>3575</v>
      </c>
      <c r="F3352" s="2152" t="s">
        <v>2555</v>
      </c>
      <c r="G3352" s="2269">
        <f>G3344*$L$2*0</f>
        <v>0</v>
      </c>
      <c r="H3352" s="2264">
        <v>41900</v>
      </c>
      <c r="I3352" s="2264"/>
      <c r="J3352" s="2264">
        <v>0</v>
      </c>
      <c r="K3352" s="2264">
        <v>0</v>
      </c>
      <c r="L3352" s="2264">
        <f t="shared" si="718"/>
        <v>0</v>
      </c>
      <c r="M3352" s="2264">
        <f t="shared" si="719"/>
        <v>0</v>
      </c>
      <c r="N3352" s="2264">
        <f t="shared" si="720"/>
        <v>0</v>
      </c>
      <c r="O3352" s="2264">
        <f t="shared" si="721"/>
        <v>0</v>
      </c>
      <c r="P3352" s="2265"/>
      <c r="Q3352" s="2266"/>
      <c r="R3352" s="2266"/>
      <c r="S3352" s="2266"/>
    </row>
    <row r="3353" spans="1:19" s="2105" customFormat="1" outlineLevel="1">
      <c r="A3353" s="2182" t="str">
        <f t="shared" si="717"/>
        <v/>
      </c>
      <c r="B3353" s="2261" t="s">
        <v>2168</v>
      </c>
      <c r="C3353" s="2268"/>
      <c r="D3353" s="2152">
        <v>0</v>
      </c>
      <c r="E3353" s="2194" t="s">
        <v>3579</v>
      </c>
      <c r="F3353" s="2152" t="s">
        <v>2555</v>
      </c>
      <c r="G3353" s="2269">
        <f>G3352</f>
        <v>0</v>
      </c>
      <c r="H3353" s="2264">
        <v>41900</v>
      </c>
      <c r="I3353" s="2264"/>
      <c r="J3353" s="2264">
        <v>0</v>
      </c>
      <c r="K3353" s="2264">
        <v>0</v>
      </c>
      <c r="L3353" s="2264">
        <f t="shared" si="718"/>
        <v>0</v>
      </c>
      <c r="M3353" s="2264">
        <f t="shared" si="719"/>
        <v>0</v>
      </c>
      <c r="N3353" s="2264">
        <f t="shared" si="720"/>
        <v>0</v>
      </c>
      <c r="O3353" s="2264">
        <f t="shared" si="721"/>
        <v>0</v>
      </c>
      <c r="P3353" s="2265"/>
      <c r="Q3353" s="2266"/>
      <c r="R3353" s="2266"/>
      <c r="S3353" s="2266"/>
    </row>
    <row r="3354" spans="1:19" s="2105" customFormat="1" outlineLevel="1">
      <c r="A3354" s="2182" t="str">
        <f t="shared" si="717"/>
        <v/>
      </c>
      <c r="B3354" s="2261" t="s">
        <v>726</v>
      </c>
      <c r="C3354" s="2268"/>
      <c r="D3354" s="2152">
        <v>0</v>
      </c>
      <c r="E3354" s="2194" t="s">
        <v>3572</v>
      </c>
      <c r="F3354" s="2152" t="s">
        <v>388</v>
      </c>
      <c r="G3354" s="2269">
        <f>G3344*2*$L$2*0</f>
        <v>0</v>
      </c>
      <c r="H3354" s="2264">
        <v>54100</v>
      </c>
      <c r="I3354" s="2264"/>
      <c r="J3354" s="2264">
        <v>0</v>
      </c>
      <c r="K3354" s="2264">
        <v>0</v>
      </c>
      <c r="L3354" s="2264">
        <f t="shared" si="718"/>
        <v>0</v>
      </c>
      <c r="M3354" s="2264">
        <f t="shared" si="719"/>
        <v>0</v>
      </c>
      <c r="N3354" s="2264">
        <f t="shared" si="720"/>
        <v>0</v>
      </c>
      <c r="O3354" s="2264">
        <f t="shared" si="721"/>
        <v>0</v>
      </c>
      <c r="P3354" s="2265"/>
      <c r="Q3354" s="2266"/>
      <c r="R3354" s="2266"/>
      <c r="S3354" s="2266"/>
    </row>
    <row r="3355" spans="1:19" s="2105" customFormat="1" outlineLevel="1">
      <c r="A3355" s="2182" t="str">
        <f>IF(G3355&lt;&gt;0,1,"")</f>
        <v/>
      </c>
      <c r="B3355" s="2252" t="s">
        <v>6</v>
      </c>
      <c r="C3355" s="2268"/>
      <c r="D3355" s="2152"/>
      <c r="E3355" s="2194" t="s">
        <v>3567</v>
      </c>
      <c r="F3355" s="2152" t="s">
        <v>5806</v>
      </c>
      <c r="G3355" s="2269"/>
      <c r="H3355" s="2264">
        <v>45000</v>
      </c>
      <c r="I3355" s="2264"/>
      <c r="J3355" s="2264"/>
      <c r="K3355" s="2264"/>
      <c r="L3355" s="2264">
        <f>H3355*G3355</f>
        <v>0</v>
      </c>
      <c r="M3355" s="2264">
        <f>I3355*G3355</f>
        <v>0</v>
      </c>
      <c r="N3355" s="2264">
        <f>J3355*G3355</f>
        <v>0</v>
      </c>
      <c r="O3355" s="2264">
        <f>K3355*G3355</f>
        <v>0</v>
      </c>
      <c r="P3355" s="2265"/>
      <c r="Q3355" s="2266"/>
      <c r="R3355" s="2266"/>
      <c r="S3355" s="2266"/>
    </row>
    <row r="3356" spans="1:19" s="2105" customFormat="1" outlineLevel="1">
      <c r="A3356" s="2182" t="str">
        <f>IF(G3356&lt;&gt;0,1,"")</f>
        <v/>
      </c>
      <c r="B3356" s="2261" t="s">
        <v>1348</v>
      </c>
      <c r="C3356" s="2268"/>
      <c r="D3356" s="2152">
        <v>0</v>
      </c>
      <c r="E3356" s="2194" t="s">
        <v>3518</v>
      </c>
      <c r="F3356" s="2152" t="s">
        <v>3519</v>
      </c>
      <c r="G3356" s="2269">
        <f>G3344</f>
        <v>0</v>
      </c>
      <c r="H3356" s="2264">
        <v>15000</v>
      </c>
      <c r="I3356" s="2264"/>
      <c r="J3356" s="2264">
        <v>0</v>
      </c>
      <c r="K3356" s="2264">
        <v>0</v>
      </c>
      <c r="L3356" s="2264">
        <f>H3356*G3356</f>
        <v>0</v>
      </c>
      <c r="M3356" s="2264">
        <f>I3356*G3356</f>
        <v>0</v>
      </c>
      <c r="N3356" s="2264">
        <f>J3356*G3356</f>
        <v>0</v>
      </c>
      <c r="O3356" s="2264">
        <f>K3356*G3356</f>
        <v>0</v>
      </c>
      <c r="P3356" s="2265"/>
      <c r="Q3356" s="2266"/>
      <c r="R3356" s="2266"/>
      <c r="S3356" s="2266"/>
    </row>
    <row r="3357" spans="1:19" s="2105" customFormat="1" outlineLevel="1">
      <c r="A3357" s="2182" t="str">
        <f>IF(G3357&lt;&gt;0,1,"")</f>
        <v/>
      </c>
      <c r="B3357" s="2252" t="s">
        <v>672</v>
      </c>
      <c r="C3357" s="2268"/>
      <c r="D3357" s="2152">
        <v>0</v>
      </c>
      <c r="E3357" s="2194" t="s">
        <v>5801</v>
      </c>
      <c r="F3357" s="2152" t="s">
        <v>3566</v>
      </c>
      <c r="G3357" s="2269">
        <f>G3344*5</f>
        <v>0</v>
      </c>
      <c r="H3357" s="2264">
        <v>6500</v>
      </c>
      <c r="I3357" s="2264"/>
      <c r="J3357" s="2264">
        <v>0</v>
      </c>
      <c r="K3357" s="2264">
        <v>0</v>
      </c>
      <c r="L3357" s="2264">
        <f>H3357*G3357</f>
        <v>0</v>
      </c>
      <c r="M3357" s="2264">
        <f>I3357*G3357</f>
        <v>0</v>
      </c>
      <c r="N3357" s="2264">
        <f>J3357*G3357</f>
        <v>0</v>
      </c>
      <c r="O3357" s="2264">
        <f>K3357*G3357</f>
        <v>0</v>
      </c>
      <c r="P3357" s="2265"/>
      <c r="Q3357" s="2266"/>
      <c r="R3357" s="2266"/>
      <c r="S3357" s="2266"/>
    </row>
    <row r="3358" spans="1:19" s="2105" customFormat="1" outlineLevel="1">
      <c r="A3358" s="2182" t="str">
        <f>IF(G3358&lt;&gt;0,1,"")</f>
        <v/>
      </c>
      <c r="B3358" s="2252" t="s">
        <v>247</v>
      </c>
      <c r="C3358" s="2571"/>
      <c r="D3358" s="2152" t="s">
        <v>5573</v>
      </c>
      <c r="E3358" s="2194" t="s">
        <v>5574</v>
      </c>
      <c r="F3358" s="2152" t="s">
        <v>1823</v>
      </c>
      <c r="G3358" s="2269">
        <f>G3346</f>
        <v>0</v>
      </c>
      <c r="H3358" s="2264">
        <v>0</v>
      </c>
      <c r="I3358" s="2264"/>
      <c r="J3358" s="2264">
        <v>47311</v>
      </c>
      <c r="K3358" s="2264">
        <v>0</v>
      </c>
      <c r="L3358" s="2264">
        <f>H3358*G3358</f>
        <v>0</v>
      </c>
      <c r="M3358" s="2264">
        <f>I3358*G3358</f>
        <v>0</v>
      </c>
      <c r="N3358" s="2264">
        <f>J3358*G3358</f>
        <v>0</v>
      </c>
      <c r="O3358" s="2264">
        <f>K3358*G3358</f>
        <v>0</v>
      </c>
      <c r="P3358" s="2265"/>
      <c r="Q3358" s="2266"/>
      <c r="R3358" s="2266"/>
      <c r="S3358" s="2266"/>
    </row>
    <row r="3359" spans="1:19" s="2105" customFormat="1" outlineLevel="1">
      <c r="A3359" s="2182" t="str">
        <f>IF(G3359&lt;&gt;0,1,"")</f>
        <v/>
      </c>
      <c r="B3359" s="2252"/>
      <c r="C3359" s="2258">
        <f>IF(G3359&gt;0,C3344+1,C3344)</f>
        <v>0</v>
      </c>
      <c r="D3359" s="2259"/>
      <c r="E3359" s="2260" t="s">
        <v>6253</v>
      </c>
      <c r="F3359" s="2258" t="s">
        <v>2385</v>
      </c>
      <c r="G3359" s="2269">
        <f>G3246</f>
        <v>0</v>
      </c>
      <c r="H3359" s="2264"/>
      <c r="I3359" s="2264"/>
      <c r="J3359" s="2264"/>
      <c r="K3359" s="2264"/>
      <c r="L3359" s="2264"/>
      <c r="M3359" s="2264"/>
      <c r="N3359" s="2264"/>
      <c r="O3359" s="2264"/>
      <c r="P3359" s="2265"/>
      <c r="Q3359" s="2266"/>
      <c r="R3359" s="2266"/>
      <c r="S3359" s="2266"/>
    </row>
    <row r="3360" spans="1:19" s="2288" customFormat="1" ht="14.4" outlineLevel="1">
      <c r="A3360" s="2182" t="str">
        <f>A3359</f>
        <v/>
      </c>
      <c r="B3360" s="2500"/>
      <c r="C3360" s="2258"/>
      <c r="D3360" s="2259"/>
      <c r="E3360" s="2274" t="s">
        <v>6133</v>
      </c>
      <c r="F3360" s="2258"/>
      <c r="G3360" s="2263"/>
      <c r="H3360" s="2264"/>
      <c r="I3360" s="2264"/>
      <c r="J3360" s="2264"/>
      <c r="K3360" s="2264"/>
      <c r="L3360" s="2264">
        <f>SUBTOTAL(9,L3361:L3381)*0</f>
        <v>0</v>
      </c>
      <c r="M3360" s="2264">
        <f>SUBTOTAL(9,M3361:M3381)</f>
        <v>0</v>
      </c>
      <c r="N3360" s="2264">
        <f>SUBTOTAL(9,N3361:N3381)*0</f>
        <v>0</v>
      </c>
      <c r="O3360" s="2264">
        <f>SUBTOTAL(9,O3361:O3381)*0</f>
        <v>0</v>
      </c>
      <c r="P3360" s="2265"/>
      <c r="Q3360" s="2433"/>
      <c r="R3360" s="2433"/>
      <c r="S3360" s="2433"/>
    </row>
    <row r="3361" spans="1:19" s="2105" customFormat="1" outlineLevel="1">
      <c r="A3361" s="2182">
        <f>IF(G3361=0,0,1)</f>
        <v>0</v>
      </c>
      <c r="B3361" s="2261" t="s">
        <v>1822</v>
      </c>
      <c r="C3361" s="2389"/>
      <c r="D3361" s="2152" t="s">
        <v>1527</v>
      </c>
      <c r="E3361" s="2359" t="s">
        <v>2784</v>
      </c>
      <c r="F3361" s="2501" t="s">
        <v>2532</v>
      </c>
      <c r="G3361" s="2269">
        <f>G3359*26</f>
        <v>0</v>
      </c>
      <c r="H3361" s="2264">
        <v>28200</v>
      </c>
      <c r="I3361" s="2264"/>
      <c r="J3361" s="2264">
        <v>0</v>
      </c>
      <c r="K3361" s="2264">
        <v>0</v>
      </c>
      <c r="L3361" s="2264">
        <f t="shared" ref="L3361:O3381" si="722">H3361*$G3361</f>
        <v>0</v>
      </c>
      <c r="M3361" s="2264">
        <f t="shared" si="722"/>
        <v>0</v>
      </c>
      <c r="N3361" s="2264">
        <f t="shared" si="722"/>
        <v>0</v>
      </c>
      <c r="O3361" s="2264">
        <f t="shared" si="722"/>
        <v>0</v>
      </c>
      <c r="P3361" s="2265"/>
      <c r="Q3361" s="2266"/>
      <c r="R3361" s="2266"/>
      <c r="S3361" s="2266"/>
    </row>
    <row r="3362" spans="1:19" s="2105" customFormat="1" outlineLevel="1">
      <c r="A3362" s="2182">
        <f>IF(G3362=0,0,1)</f>
        <v>0</v>
      </c>
      <c r="B3362" s="2252" t="s">
        <v>6254</v>
      </c>
      <c r="C3362" s="2268"/>
      <c r="D3362" s="2152">
        <v>0</v>
      </c>
      <c r="E3362" s="2359" t="s">
        <v>5053</v>
      </c>
      <c r="F3362" s="2501" t="s">
        <v>2439</v>
      </c>
      <c r="G3362" s="2269">
        <f>G3359*24</f>
        <v>0</v>
      </c>
      <c r="H3362" s="2264">
        <v>7900</v>
      </c>
      <c r="I3362" s="2264"/>
      <c r="J3362" s="2264">
        <v>0</v>
      </c>
      <c r="K3362" s="2264">
        <v>0</v>
      </c>
      <c r="L3362" s="2264">
        <f t="shared" si="722"/>
        <v>0</v>
      </c>
      <c r="M3362" s="2264">
        <f t="shared" si="722"/>
        <v>0</v>
      </c>
      <c r="N3362" s="2264">
        <f t="shared" si="722"/>
        <v>0</v>
      </c>
      <c r="O3362" s="2264">
        <f t="shared" si="722"/>
        <v>0</v>
      </c>
      <c r="P3362" s="2265"/>
      <c r="Q3362" s="2266"/>
      <c r="R3362" s="2266"/>
      <c r="S3362" s="2266"/>
    </row>
    <row r="3363" spans="1:19" s="2105" customFormat="1" outlineLevel="1">
      <c r="A3363" s="2182">
        <f>IF(G3363=0,0,1)</f>
        <v>0</v>
      </c>
      <c r="B3363" s="2252" t="s">
        <v>6255</v>
      </c>
      <c r="C3363" s="2268"/>
      <c r="D3363" s="2152">
        <v>0</v>
      </c>
      <c r="E3363" s="2359" t="s">
        <v>2624</v>
      </c>
      <c r="F3363" s="2501" t="s">
        <v>2439</v>
      </c>
      <c r="G3363" s="2269">
        <f>G3362</f>
        <v>0</v>
      </c>
      <c r="H3363" s="2264">
        <v>1500</v>
      </c>
      <c r="I3363" s="2264"/>
      <c r="J3363" s="2264">
        <v>0</v>
      </c>
      <c r="K3363" s="2264">
        <v>0</v>
      </c>
      <c r="L3363" s="2264">
        <f t="shared" si="722"/>
        <v>0</v>
      </c>
      <c r="M3363" s="2264">
        <f t="shared" si="722"/>
        <v>0</v>
      </c>
      <c r="N3363" s="2264">
        <f t="shared" si="722"/>
        <v>0</v>
      </c>
      <c r="O3363" s="2264">
        <f t="shared" si="722"/>
        <v>0</v>
      </c>
      <c r="P3363" s="2265"/>
      <c r="Q3363" s="2266"/>
      <c r="R3363" s="2266"/>
      <c r="S3363" s="2266"/>
    </row>
    <row r="3364" spans="1:19" s="2105" customFormat="1" outlineLevel="1">
      <c r="A3364" s="2182">
        <f t="shared" ref="A3364:A3381" si="723">IF(G3364=0,0,1)</f>
        <v>0</v>
      </c>
      <c r="B3364" s="2261" t="s">
        <v>246</v>
      </c>
      <c r="C3364" s="2389"/>
      <c r="D3364" s="2152">
        <v>0</v>
      </c>
      <c r="E3364" s="2359" t="s">
        <v>5869</v>
      </c>
      <c r="F3364" s="2501" t="s">
        <v>2555</v>
      </c>
      <c r="G3364" s="2269">
        <f>G3359*24</f>
        <v>0</v>
      </c>
      <c r="H3364" s="2264">
        <v>40500</v>
      </c>
      <c r="I3364" s="2264"/>
      <c r="J3364" s="2264">
        <v>39758</v>
      </c>
      <c r="K3364" s="2264">
        <v>0</v>
      </c>
      <c r="L3364" s="2264">
        <f t="shared" si="722"/>
        <v>0</v>
      </c>
      <c r="M3364" s="2264">
        <f t="shared" si="722"/>
        <v>0</v>
      </c>
      <c r="N3364" s="2264">
        <f t="shared" si="722"/>
        <v>0</v>
      </c>
      <c r="O3364" s="2264">
        <f t="shared" si="722"/>
        <v>0</v>
      </c>
      <c r="P3364" s="2265"/>
      <c r="Q3364" s="2266"/>
      <c r="R3364" s="2266"/>
      <c r="S3364" s="2266"/>
    </row>
    <row r="3365" spans="1:19" s="2105" customFormat="1" outlineLevel="1">
      <c r="A3365" s="2182">
        <f t="shared" si="723"/>
        <v>0</v>
      </c>
      <c r="B3365" s="2261" t="s">
        <v>1865</v>
      </c>
      <c r="C3365" s="2268"/>
      <c r="D3365" s="2152">
        <v>0</v>
      </c>
      <c r="E3365" s="2359" t="s">
        <v>3471</v>
      </c>
      <c r="F3365" s="2501" t="s">
        <v>2555</v>
      </c>
      <c r="G3365" s="2269">
        <f>G3359*16</f>
        <v>0</v>
      </c>
      <c r="H3365" s="2264">
        <v>1700</v>
      </c>
      <c r="I3365" s="2264"/>
      <c r="J3365" s="2264">
        <v>0</v>
      </c>
      <c r="K3365" s="2264">
        <v>0</v>
      </c>
      <c r="L3365" s="2264">
        <f t="shared" si="722"/>
        <v>0</v>
      </c>
      <c r="M3365" s="2264">
        <f t="shared" si="722"/>
        <v>0</v>
      </c>
      <c r="N3365" s="2264">
        <f t="shared" si="722"/>
        <v>0</v>
      </c>
      <c r="O3365" s="2264">
        <f t="shared" si="722"/>
        <v>0</v>
      </c>
      <c r="P3365" s="2265"/>
      <c r="Q3365" s="2266"/>
      <c r="R3365" s="2266"/>
      <c r="S3365" s="2266"/>
    </row>
    <row r="3366" spans="1:19" s="2105" customFormat="1" outlineLevel="1">
      <c r="A3366" s="2182">
        <f t="shared" si="723"/>
        <v>0</v>
      </c>
      <c r="B3366" s="2261" t="s">
        <v>1510</v>
      </c>
      <c r="C3366" s="2268"/>
      <c r="D3366" s="2152">
        <v>0</v>
      </c>
      <c r="E3366" s="2359" t="s">
        <v>3515</v>
      </c>
      <c r="F3366" s="2501" t="s">
        <v>2532</v>
      </c>
      <c r="G3366" s="2269">
        <f>6*G3359</f>
        <v>0</v>
      </c>
      <c r="H3366" s="2264">
        <v>860</v>
      </c>
      <c r="I3366" s="2264"/>
      <c r="J3366" s="2264">
        <v>0</v>
      </c>
      <c r="K3366" s="2264">
        <v>0</v>
      </c>
      <c r="L3366" s="2264">
        <f t="shared" si="722"/>
        <v>0</v>
      </c>
      <c r="M3366" s="2264">
        <f t="shared" si="722"/>
        <v>0</v>
      </c>
      <c r="N3366" s="2264">
        <f t="shared" si="722"/>
        <v>0</v>
      </c>
      <c r="O3366" s="2264">
        <f t="shared" si="722"/>
        <v>0</v>
      </c>
      <c r="P3366" s="2265"/>
      <c r="Q3366" s="2266"/>
      <c r="R3366" s="2266"/>
      <c r="S3366" s="2266"/>
    </row>
    <row r="3367" spans="1:19" s="2105" customFormat="1" outlineLevel="1">
      <c r="A3367" s="2182">
        <f t="shared" si="723"/>
        <v>0</v>
      </c>
      <c r="B3367" s="2261" t="s">
        <v>816</v>
      </c>
      <c r="C3367" s="2268"/>
      <c r="D3367" s="2152">
        <v>0</v>
      </c>
      <c r="E3367" s="2359" t="s">
        <v>3581</v>
      </c>
      <c r="F3367" s="2501" t="s">
        <v>2555</v>
      </c>
      <c r="G3367" s="2269">
        <f>+G3359*3</f>
        <v>0</v>
      </c>
      <c r="H3367" s="2264">
        <v>17600</v>
      </c>
      <c r="I3367" s="2264"/>
      <c r="J3367" s="2264">
        <v>0</v>
      </c>
      <c r="K3367" s="2264">
        <v>0</v>
      </c>
      <c r="L3367" s="2264">
        <f t="shared" si="722"/>
        <v>0</v>
      </c>
      <c r="M3367" s="2264">
        <f t="shared" si="722"/>
        <v>0</v>
      </c>
      <c r="N3367" s="2264">
        <f t="shared" si="722"/>
        <v>0</v>
      </c>
      <c r="O3367" s="2264">
        <f t="shared" si="722"/>
        <v>0</v>
      </c>
      <c r="P3367" s="2265"/>
      <c r="Q3367" s="2266"/>
      <c r="R3367" s="2266"/>
      <c r="S3367" s="2266"/>
    </row>
    <row r="3368" spans="1:19" s="2105" customFormat="1" outlineLevel="1">
      <c r="A3368" s="2182">
        <f t="shared" si="723"/>
        <v>0</v>
      </c>
      <c r="B3368" s="2261" t="s">
        <v>2141</v>
      </c>
      <c r="C3368" s="2268"/>
      <c r="D3368" s="2152">
        <v>0</v>
      </c>
      <c r="E3368" s="2359" t="s">
        <v>3535</v>
      </c>
      <c r="F3368" s="2501" t="s">
        <v>1823</v>
      </c>
      <c r="G3368" s="2269">
        <f>G3377*10</f>
        <v>0</v>
      </c>
      <c r="H3368" s="2264">
        <v>16100</v>
      </c>
      <c r="I3368" s="2264"/>
      <c r="J3368" s="2264">
        <v>0</v>
      </c>
      <c r="K3368" s="2264">
        <v>0</v>
      </c>
      <c r="L3368" s="2264">
        <f t="shared" si="722"/>
        <v>0</v>
      </c>
      <c r="M3368" s="2264">
        <f t="shared" si="722"/>
        <v>0</v>
      </c>
      <c r="N3368" s="2264">
        <f t="shared" si="722"/>
        <v>0</v>
      </c>
      <c r="O3368" s="2264">
        <f t="shared" si="722"/>
        <v>0</v>
      </c>
      <c r="P3368" s="2265"/>
      <c r="Q3368" s="2266"/>
      <c r="R3368" s="2266"/>
      <c r="S3368" s="2266"/>
    </row>
    <row r="3369" spans="1:19" s="2105" customFormat="1" outlineLevel="1">
      <c r="A3369" s="2182">
        <f t="shared" si="723"/>
        <v>0</v>
      </c>
      <c r="B3369" s="2252" t="s">
        <v>204</v>
      </c>
      <c r="C3369" s="2268"/>
      <c r="D3369" s="2152">
        <v>0</v>
      </c>
      <c r="E3369" s="2359" t="s">
        <v>2979</v>
      </c>
      <c r="F3369" s="2501" t="s">
        <v>2439</v>
      </c>
      <c r="G3369" s="2269">
        <f>G3359*4</f>
        <v>0</v>
      </c>
      <c r="H3369" s="2264">
        <v>34000</v>
      </c>
      <c r="I3369" s="2264"/>
      <c r="J3369" s="2264">
        <v>0</v>
      </c>
      <c r="K3369" s="2264">
        <v>0</v>
      </c>
      <c r="L3369" s="2264">
        <f t="shared" si="722"/>
        <v>0</v>
      </c>
      <c r="M3369" s="2264">
        <f t="shared" si="722"/>
        <v>0</v>
      </c>
      <c r="N3369" s="2264">
        <f t="shared" si="722"/>
        <v>0</v>
      </c>
      <c r="O3369" s="2264">
        <f t="shared" si="722"/>
        <v>0</v>
      </c>
      <c r="P3369" s="2265"/>
      <c r="Q3369" s="2266"/>
      <c r="R3369" s="2266"/>
      <c r="S3369" s="2266"/>
    </row>
    <row r="3370" spans="1:19" s="2105" customFormat="1" outlineLevel="1">
      <c r="A3370" s="2182">
        <f t="shared" si="723"/>
        <v>0</v>
      </c>
      <c r="B3370" s="2261" t="s">
        <v>1616</v>
      </c>
      <c r="C3370" s="2268"/>
      <c r="D3370" s="2152">
        <v>0</v>
      </c>
      <c r="E3370" s="2359" t="s">
        <v>3542</v>
      </c>
      <c r="F3370" s="2501" t="s">
        <v>2555</v>
      </c>
      <c r="G3370" s="2269">
        <f>G3359*6</f>
        <v>0</v>
      </c>
      <c r="H3370" s="2264">
        <v>11400</v>
      </c>
      <c r="I3370" s="2264"/>
      <c r="J3370" s="2264">
        <v>0</v>
      </c>
      <c r="K3370" s="2264">
        <v>0</v>
      </c>
      <c r="L3370" s="2264">
        <f t="shared" si="722"/>
        <v>0</v>
      </c>
      <c r="M3370" s="2264">
        <f t="shared" si="722"/>
        <v>0</v>
      </c>
      <c r="N3370" s="2264">
        <f t="shared" si="722"/>
        <v>0</v>
      </c>
      <c r="O3370" s="2264">
        <f t="shared" si="722"/>
        <v>0</v>
      </c>
      <c r="P3370" s="2265"/>
      <c r="Q3370" s="2266"/>
      <c r="R3370" s="2266"/>
      <c r="S3370" s="2266"/>
    </row>
    <row r="3371" spans="1:19" s="2105" customFormat="1" outlineLevel="1">
      <c r="A3371" s="2182">
        <f t="shared" si="723"/>
        <v>0</v>
      </c>
      <c r="B3371" s="2261" t="s">
        <v>1050</v>
      </c>
      <c r="C3371" s="2268"/>
      <c r="D3371" s="2152">
        <v>0</v>
      </c>
      <c r="E3371" s="2359" t="s">
        <v>3543</v>
      </c>
      <c r="F3371" s="2501" t="s">
        <v>2555</v>
      </c>
      <c r="G3371" s="2269">
        <f>G3359*5</f>
        <v>0</v>
      </c>
      <c r="H3371" s="2264">
        <v>21000</v>
      </c>
      <c r="I3371" s="2264"/>
      <c r="J3371" s="2264">
        <v>0</v>
      </c>
      <c r="K3371" s="2264">
        <v>0</v>
      </c>
      <c r="L3371" s="2264">
        <f t="shared" si="722"/>
        <v>0</v>
      </c>
      <c r="M3371" s="2264">
        <f t="shared" si="722"/>
        <v>0</v>
      </c>
      <c r="N3371" s="2264">
        <f t="shared" si="722"/>
        <v>0</v>
      </c>
      <c r="O3371" s="2264">
        <f t="shared" si="722"/>
        <v>0</v>
      </c>
      <c r="P3371" s="2265"/>
      <c r="Q3371" s="2266"/>
      <c r="R3371" s="2266"/>
      <c r="S3371" s="2266"/>
    </row>
    <row r="3372" spans="1:19" s="2105" customFormat="1" outlineLevel="1">
      <c r="A3372" s="2182">
        <f t="shared" si="723"/>
        <v>0</v>
      </c>
      <c r="B3372" s="2261" t="s">
        <v>726</v>
      </c>
      <c r="C3372" s="2268"/>
      <c r="D3372" s="2152">
        <v>0</v>
      </c>
      <c r="E3372" s="2359" t="s">
        <v>3572</v>
      </c>
      <c r="F3372" s="2501" t="s">
        <v>388</v>
      </c>
      <c r="G3372" s="2269">
        <f>G3359</f>
        <v>0</v>
      </c>
      <c r="H3372" s="2264">
        <v>54100</v>
      </c>
      <c r="I3372" s="2264"/>
      <c r="J3372" s="2264">
        <v>0</v>
      </c>
      <c r="K3372" s="2264">
        <v>0</v>
      </c>
      <c r="L3372" s="2264">
        <f t="shared" si="722"/>
        <v>0</v>
      </c>
      <c r="M3372" s="2264">
        <f t="shared" si="722"/>
        <v>0</v>
      </c>
      <c r="N3372" s="2264">
        <f t="shared" si="722"/>
        <v>0</v>
      </c>
      <c r="O3372" s="2264">
        <f t="shared" si="722"/>
        <v>0</v>
      </c>
      <c r="P3372" s="2265"/>
      <c r="Q3372" s="2266"/>
      <c r="R3372" s="2266"/>
      <c r="S3372" s="2266"/>
    </row>
    <row r="3373" spans="1:19" s="2105" customFormat="1" outlineLevel="1">
      <c r="A3373" s="2182">
        <f t="shared" si="723"/>
        <v>0</v>
      </c>
      <c r="B3373" s="2252" t="s">
        <v>672</v>
      </c>
      <c r="C3373" s="2268"/>
      <c r="D3373" s="2152">
        <v>0</v>
      </c>
      <c r="E3373" s="2359" t="s">
        <v>5801</v>
      </c>
      <c r="F3373" s="2501" t="s">
        <v>3566</v>
      </c>
      <c r="G3373" s="2269">
        <f>G3359</f>
        <v>0</v>
      </c>
      <c r="H3373" s="2264">
        <v>6500</v>
      </c>
      <c r="I3373" s="2264"/>
      <c r="J3373" s="2264">
        <v>0</v>
      </c>
      <c r="K3373" s="2264">
        <v>0</v>
      </c>
      <c r="L3373" s="2264">
        <f t="shared" si="722"/>
        <v>0</v>
      </c>
      <c r="M3373" s="2264">
        <f t="shared" si="722"/>
        <v>0</v>
      </c>
      <c r="N3373" s="2264">
        <f t="shared" si="722"/>
        <v>0</v>
      </c>
      <c r="O3373" s="2264">
        <f t="shared" si="722"/>
        <v>0</v>
      </c>
      <c r="P3373" s="2265"/>
      <c r="Q3373" s="2266"/>
      <c r="R3373" s="2266"/>
      <c r="S3373" s="2266"/>
    </row>
    <row r="3374" spans="1:19" s="2105" customFormat="1" outlineLevel="1">
      <c r="A3374" s="2182">
        <f t="shared" si="723"/>
        <v>0</v>
      </c>
      <c r="B3374" s="2261" t="s">
        <v>2120</v>
      </c>
      <c r="C3374" s="2268"/>
      <c r="D3374" s="2152">
        <v>0</v>
      </c>
      <c r="E3374" s="2359" t="s">
        <v>3573</v>
      </c>
      <c r="F3374" s="2501" t="s">
        <v>2555</v>
      </c>
      <c r="G3374" s="2269">
        <f>G3359</f>
        <v>0</v>
      </c>
      <c r="H3374" s="2264">
        <v>5000</v>
      </c>
      <c r="I3374" s="2264"/>
      <c r="J3374" s="2264">
        <v>0</v>
      </c>
      <c r="K3374" s="2264">
        <v>0</v>
      </c>
      <c r="L3374" s="2264">
        <f t="shared" si="722"/>
        <v>0</v>
      </c>
      <c r="M3374" s="2264">
        <f t="shared" si="722"/>
        <v>0</v>
      </c>
      <c r="N3374" s="2264">
        <f t="shared" si="722"/>
        <v>0</v>
      </c>
      <c r="O3374" s="2264">
        <f t="shared" si="722"/>
        <v>0</v>
      </c>
      <c r="P3374" s="2265"/>
      <c r="Q3374" s="2266"/>
      <c r="R3374" s="2266"/>
      <c r="S3374" s="2266"/>
    </row>
    <row r="3375" spans="1:19" s="2105" customFormat="1" outlineLevel="1">
      <c r="A3375" s="2182">
        <f t="shared" si="723"/>
        <v>0</v>
      </c>
      <c r="B3375" s="2252" t="s">
        <v>959</v>
      </c>
      <c r="C3375" s="2268"/>
      <c r="D3375" s="2152">
        <v>0</v>
      </c>
      <c r="E3375" s="2359" t="s">
        <v>3577</v>
      </c>
      <c r="F3375" s="2501" t="s">
        <v>2555</v>
      </c>
      <c r="G3375" s="2269">
        <f>G3359</f>
        <v>0</v>
      </c>
      <c r="H3375" s="2264">
        <v>5200</v>
      </c>
      <c r="I3375" s="2264"/>
      <c r="J3375" s="2264">
        <v>0</v>
      </c>
      <c r="K3375" s="2264">
        <v>0</v>
      </c>
      <c r="L3375" s="2264">
        <f t="shared" si="722"/>
        <v>0</v>
      </c>
      <c r="M3375" s="2264">
        <f t="shared" si="722"/>
        <v>0</v>
      </c>
      <c r="N3375" s="2264">
        <f t="shared" si="722"/>
        <v>0</v>
      </c>
      <c r="O3375" s="2264">
        <f t="shared" si="722"/>
        <v>0</v>
      </c>
      <c r="P3375" s="2265"/>
      <c r="Q3375" s="2266"/>
      <c r="R3375" s="2266"/>
      <c r="S3375" s="2266"/>
    </row>
    <row r="3376" spans="1:19" s="2105" customFormat="1" outlineLevel="1">
      <c r="A3376" s="2182">
        <f t="shared" si="723"/>
        <v>0</v>
      </c>
      <c r="B3376" s="2252" t="s">
        <v>319</v>
      </c>
      <c r="C3376" s="2268"/>
      <c r="D3376" s="2152">
        <v>0</v>
      </c>
      <c r="E3376" s="2359" t="s">
        <v>5269</v>
      </c>
      <c r="F3376" s="2501" t="s">
        <v>2439</v>
      </c>
      <c r="G3376" s="2269">
        <f>G3359*2</f>
        <v>0</v>
      </c>
      <c r="H3376" s="2264">
        <v>168000</v>
      </c>
      <c r="I3376" s="2264"/>
      <c r="J3376" s="2264">
        <v>0</v>
      </c>
      <c r="K3376" s="2264">
        <v>0</v>
      </c>
      <c r="L3376" s="2264">
        <f t="shared" si="722"/>
        <v>0</v>
      </c>
      <c r="M3376" s="2264">
        <f t="shared" si="722"/>
        <v>0</v>
      </c>
      <c r="N3376" s="2264">
        <f t="shared" si="722"/>
        <v>0</v>
      </c>
      <c r="O3376" s="2264">
        <f t="shared" si="722"/>
        <v>0</v>
      </c>
      <c r="P3376" s="2265"/>
      <c r="Q3376" s="2266"/>
      <c r="R3376" s="2266"/>
      <c r="S3376" s="2266"/>
    </row>
    <row r="3377" spans="1:19" s="2105" customFormat="1" outlineLevel="1">
      <c r="A3377" s="2182">
        <f t="shared" si="723"/>
        <v>0</v>
      </c>
      <c r="B3377" s="2252" t="s">
        <v>1915</v>
      </c>
      <c r="C3377" s="2268"/>
      <c r="D3377" s="2152" t="s">
        <v>5655</v>
      </c>
      <c r="E3377" s="2359" t="s">
        <v>3394</v>
      </c>
      <c r="F3377" s="2501" t="s">
        <v>2555</v>
      </c>
      <c r="G3377" s="2269">
        <f>G3359</f>
        <v>0</v>
      </c>
      <c r="H3377" s="2264">
        <v>845331</v>
      </c>
      <c r="I3377" s="2264"/>
      <c r="J3377" s="2264">
        <v>599038</v>
      </c>
      <c r="K3377" s="2264">
        <v>97369</v>
      </c>
      <c r="L3377" s="2264">
        <f t="shared" si="722"/>
        <v>0</v>
      </c>
      <c r="M3377" s="2264">
        <f t="shared" si="722"/>
        <v>0</v>
      </c>
      <c r="N3377" s="2264">
        <f t="shared" si="722"/>
        <v>0</v>
      </c>
      <c r="O3377" s="2264">
        <f t="shared" si="722"/>
        <v>0</v>
      </c>
      <c r="P3377" s="2265"/>
      <c r="Q3377" s="2266"/>
      <c r="R3377" s="2266"/>
      <c r="S3377" s="2266"/>
    </row>
    <row r="3378" spans="1:19" s="2105" customFormat="1" outlineLevel="1">
      <c r="A3378" s="2182">
        <f t="shared" si="723"/>
        <v>0</v>
      </c>
      <c r="B3378" s="2252" t="s">
        <v>6</v>
      </c>
      <c r="C3378" s="2268"/>
      <c r="D3378" s="2152">
        <v>0</v>
      </c>
      <c r="E3378" s="2359" t="s">
        <v>3567</v>
      </c>
      <c r="F3378" s="2501" t="s">
        <v>5806</v>
      </c>
      <c r="G3378" s="2269">
        <f>G3359*2</f>
        <v>0</v>
      </c>
      <c r="H3378" s="2264">
        <v>45000</v>
      </c>
      <c r="I3378" s="2264"/>
      <c r="J3378" s="2264">
        <v>0</v>
      </c>
      <c r="K3378" s="2264">
        <v>0</v>
      </c>
      <c r="L3378" s="2264">
        <f t="shared" si="722"/>
        <v>0</v>
      </c>
      <c r="M3378" s="2264">
        <f t="shared" si="722"/>
        <v>0</v>
      </c>
      <c r="N3378" s="2264">
        <f t="shared" si="722"/>
        <v>0</v>
      </c>
      <c r="O3378" s="2264">
        <f t="shared" si="722"/>
        <v>0</v>
      </c>
      <c r="P3378" s="2265"/>
      <c r="Q3378" s="2266"/>
      <c r="R3378" s="2266"/>
      <c r="S3378" s="2266"/>
    </row>
    <row r="3379" spans="1:19" s="2105" customFormat="1" outlineLevel="1">
      <c r="A3379" s="2182">
        <f t="shared" si="723"/>
        <v>0</v>
      </c>
      <c r="B3379" s="2252" t="s">
        <v>2139</v>
      </c>
      <c r="C3379" s="2268"/>
      <c r="D3379" s="2152">
        <v>0</v>
      </c>
      <c r="E3379" s="2359" t="s">
        <v>2785</v>
      </c>
      <c r="F3379" s="2501" t="s">
        <v>2532</v>
      </c>
      <c r="G3379" s="2269">
        <f>G3359*4</f>
        <v>0</v>
      </c>
      <c r="H3379" s="2264">
        <v>5000</v>
      </c>
      <c r="I3379" s="2264"/>
      <c r="J3379" s="2264">
        <v>0</v>
      </c>
      <c r="K3379" s="2264">
        <v>0</v>
      </c>
      <c r="L3379" s="2264">
        <f t="shared" si="722"/>
        <v>0</v>
      </c>
      <c r="M3379" s="2264">
        <f t="shared" si="722"/>
        <v>0</v>
      </c>
      <c r="N3379" s="2264">
        <f t="shared" si="722"/>
        <v>0</v>
      </c>
      <c r="O3379" s="2264">
        <f t="shared" si="722"/>
        <v>0</v>
      </c>
      <c r="P3379" s="2265"/>
      <c r="Q3379" s="2266"/>
      <c r="R3379" s="2266"/>
      <c r="S3379" s="2266"/>
    </row>
    <row r="3380" spans="1:19" s="2105" customFormat="1" outlineLevel="1">
      <c r="A3380" s="2182">
        <f t="shared" si="723"/>
        <v>0</v>
      </c>
      <c r="B3380" s="2252" t="s">
        <v>1035</v>
      </c>
      <c r="C3380" s="2268"/>
      <c r="D3380" s="2152">
        <v>0</v>
      </c>
      <c r="E3380" s="2359" t="s">
        <v>6389</v>
      </c>
      <c r="F3380" s="2501" t="s">
        <v>2248</v>
      </c>
      <c r="G3380" s="2270">
        <f>3.77*G3359*2*0.3</f>
        <v>0</v>
      </c>
      <c r="H3380" s="2264">
        <v>31625</v>
      </c>
      <c r="I3380" s="2264"/>
      <c r="J3380" s="2264">
        <v>0</v>
      </c>
      <c r="K3380" s="2264">
        <v>0</v>
      </c>
      <c r="L3380" s="2264">
        <f t="shared" si="722"/>
        <v>0</v>
      </c>
      <c r="M3380" s="2264">
        <f t="shared" si="722"/>
        <v>0</v>
      </c>
      <c r="N3380" s="2264">
        <f t="shared" si="722"/>
        <v>0</v>
      </c>
      <c r="O3380" s="2264">
        <f t="shared" si="722"/>
        <v>0</v>
      </c>
      <c r="P3380" s="2265"/>
      <c r="Q3380" s="2266"/>
      <c r="R3380" s="2266"/>
      <c r="S3380" s="2266"/>
    </row>
    <row r="3381" spans="1:19" s="2105" customFormat="1" outlineLevel="1">
      <c r="A3381" s="2182">
        <f t="shared" si="723"/>
        <v>0</v>
      </c>
      <c r="B3381" s="2252" t="s">
        <v>6255</v>
      </c>
      <c r="C3381" s="2268"/>
      <c r="D3381" s="2152">
        <v>0</v>
      </c>
      <c r="E3381" s="2359" t="s">
        <v>2624</v>
      </c>
      <c r="F3381" s="2501" t="s">
        <v>2439</v>
      </c>
      <c r="G3381" s="2269">
        <f>4*G3359</f>
        <v>0</v>
      </c>
      <c r="H3381" s="2264">
        <v>1500</v>
      </c>
      <c r="I3381" s="2264"/>
      <c r="J3381" s="2264">
        <v>0</v>
      </c>
      <c r="K3381" s="2264">
        <v>0</v>
      </c>
      <c r="L3381" s="2264">
        <f t="shared" si="722"/>
        <v>0</v>
      </c>
      <c r="M3381" s="2264">
        <f t="shared" si="722"/>
        <v>0</v>
      </c>
      <c r="N3381" s="2264">
        <f t="shared" si="722"/>
        <v>0</v>
      </c>
      <c r="O3381" s="2264">
        <f t="shared" si="722"/>
        <v>0</v>
      </c>
      <c r="P3381" s="2265"/>
      <c r="Q3381" s="2266"/>
      <c r="R3381" s="2266"/>
      <c r="S3381" s="2266"/>
    </row>
    <row r="3382" spans="1:19" s="2105" customFormat="1" outlineLevel="1">
      <c r="A3382" s="2182">
        <f>A3231</f>
        <v>0</v>
      </c>
      <c r="B3382" s="2357"/>
      <c r="C3382" s="2572"/>
      <c r="D3382" s="2424"/>
      <c r="E3382" s="2399"/>
      <c r="F3382" s="2637"/>
      <c r="G3382" s="2638"/>
      <c r="H3382" s="2637"/>
      <c r="I3382" s="2637"/>
      <c r="J3382" s="2647" t="s">
        <v>6131</v>
      </c>
      <c r="K3382" s="2647"/>
      <c r="L3382" s="2425">
        <f>SUM(L3250:L3381)</f>
        <v>0</v>
      </c>
      <c r="M3382" s="2425">
        <f>SUM(M3250:M3381)</f>
        <v>0</v>
      </c>
      <c r="N3382" s="2425">
        <f>SUM(N3250:N3381)</f>
        <v>0</v>
      </c>
      <c r="O3382" s="2425">
        <f>SUM(O3250:O3381)</f>
        <v>0</v>
      </c>
      <c r="P3382" s="2568"/>
      <c r="Q3382" s="2266"/>
      <c r="R3382" s="2266"/>
      <c r="S3382" s="2266"/>
    </row>
    <row r="3383" spans="1:19" s="2105" customFormat="1" outlineLevel="1">
      <c r="A3383" s="2182"/>
      <c r="B3383" s="2357"/>
      <c r="C3383" s="2527"/>
      <c r="D3383" s="2527"/>
      <c r="E3383" s="2528"/>
      <c r="F3383" s="2645"/>
      <c r="G3383" s="2644"/>
      <c r="H3383" s="2645"/>
      <c r="I3383" s="2645"/>
      <c r="J3383" s="2528"/>
      <c r="K3383" s="2528"/>
      <c r="L3383" s="2529"/>
      <c r="M3383" s="2529"/>
      <c r="N3383" s="2529"/>
      <c r="O3383" s="2529"/>
      <c r="P3383" s="2266"/>
      <c r="Q3383" s="2266"/>
      <c r="R3383" s="2266"/>
      <c r="S3383" s="2266"/>
    </row>
    <row r="3384" spans="1:19" s="2105" customFormat="1" ht="13.95" customHeight="1">
      <c r="A3384" s="2386">
        <f>IF(G3389&gt;0,1,)</f>
        <v>0</v>
      </c>
      <c r="B3384" s="2252"/>
      <c r="C3384" s="2266"/>
      <c r="D3384" s="2266"/>
      <c r="E3384" s="2436"/>
      <c r="F3384" s="2266"/>
      <c r="G3384" s="2437"/>
      <c r="H3384" s="2266"/>
      <c r="I3384" s="2266"/>
      <c r="J3384" s="2266"/>
      <c r="K3384" s="2266"/>
      <c r="L3384" s="2266"/>
      <c r="M3384" s="2266"/>
      <c r="N3384" s="2266"/>
      <c r="O3384" s="2266"/>
      <c r="P3384" s="2266"/>
      <c r="Q3384" s="2266"/>
      <c r="R3384" s="2266"/>
      <c r="S3384" s="2266"/>
    </row>
    <row r="3385" spans="1:19" s="2105" customFormat="1" outlineLevel="1">
      <c r="A3385" s="2182">
        <f>A3384</f>
        <v>0</v>
      </c>
      <c r="B3385" s="2387"/>
      <c r="C3385" s="2624" t="str">
        <f>"BẢNG TỔNG HỢP VẬT LIỆU, NHÂN CÔNG, MÁY THI CÔNG: "&amp;K21&amp;" TRẠM 3P_2,000KVA"</f>
        <v>BẢNG TỔNG HỢP VẬT LIỆU, NHÂN CÔNG, MÁY THI CÔNG: 0 TRẠM 3P_2,000KVA</v>
      </c>
      <c r="D3385" s="2639"/>
      <c r="E3385" s="2639"/>
      <c r="F3385" s="2639"/>
      <c r="G3385" s="2639"/>
      <c r="H3385" s="2640"/>
      <c r="I3385" s="2528"/>
      <c r="J3385" s="2640"/>
      <c r="K3385" s="2640"/>
      <c r="L3385" s="2640"/>
      <c r="M3385" s="2528"/>
      <c r="N3385" s="2640"/>
      <c r="O3385" s="2640"/>
      <c r="P3385" s="2642"/>
      <c r="Q3385" s="2266"/>
      <c r="R3385" s="2266"/>
      <c r="S3385" s="2266"/>
    </row>
    <row r="3386" spans="1:19" s="2105" customFormat="1" outlineLevel="1">
      <c r="A3386" s="2182">
        <f>A3384</f>
        <v>0</v>
      </c>
      <c r="B3386" s="2261" t="s">
        <v>6112</v>
      </c>
      <c r="C3386" s="2648" t="s">
        <v>1708</v>
      </c>
      <c r="D3386" s="2649" t="s">
        <v>2597</v>
      </c>
      <c r="E3386" s="2651" t="s">
        <v>2598</v>
      </c>
      <c r="F3386" s="2648" t="s">
        <v>2593</v>
      </c>
      <c r="G3386" s="2109" t="s">
        <v>6113</v>
      </c>
      <c r="H3386" s="2112" t="s">
        <v>6114</v>
      </c>
      <c r="I3386" s="2619"/>
      <c r="J3386" s="2619"/>
      <c r="K3386" s="2620"/>
      <c r="L3386" s="2112" t="s">
        <v>6115</v>
      </c>
      <c r="M3386" s="2619"/>
      <c r="N3386" s="2619"/>
      <c r="O3386" s="2620"/>
      <c r="P3386" s="2648" t="s">
        <v>2599</v>
      </c>
      <c r="Q3386" s="2266"/>
      <c r="R3386" s="2266"/>
      <c r="S3386" s="2266"/>
    </row>
    <row r="3387" spans="1:19" s="2105" customFormat="1" outlineLevel="1">
      <c r="A3387" s="2182">
        <f>A3386</f>
        <v>0</v>
      </c>
      <c r="B3387" s="2261"/>
      <c r="C3387" s="2648"/>
      <c r="D3387" s="2650"/>
      <c r="E3387" s="2652"/>
      <c r="F3387" s="2648"/>
      <c r="G3387" s="2111" t="s">
        <v>2286</v>
      </c>
      <c r="H3387" s="2112" t="s">
        <v>6116</v>
      </c>
      <c r="I3387" s="2112" t="s">
        <v>6117</v>
      </c>
      <c r="J3387" s="2112" t="s">
        <v>6118</v>
      </c>
      <c r="K3387" s="2112" t="s">
        <v>6119</v>
      </c>
      <c r="L3387" s="2112" t="s">
        <v>6116</v>
      </c>
      <c r="M3387" s="2112" t="s">
        <v>6117</v>
      </c>
      <c r="N3387" s="2112" t="s">
        <v>6118</v>
      </c>
      <c r="O3387" s="2112" t="s">
        <v>6119</v>
      </c>
      <c r="P3387" s="2648"/>
      <c r="Q3387" s="2266"/>
      <c r="R3387" s="2266"/>
      <c r="S3387" s="2266"/>
    </row>
    <row r="3388" spans="1:19" s="2105" customFormat="1" outlineLevel="1">
      <c r="A3388" s="2182">
        <f>A3387</f>
        <v>0</v>
      </c>
      <c r="B3388" s="2261"/>
      <c r="C3388" s="2113"/>
      <c r="D3388" s="2114"/>
      <c r="E3388" s="2115" t="s">
        <v>3672</v>
      </c>
      <c r="F3388" s="2116"/>
      <c r="G3388" s="2116"/>
      <c r="H3388" s="2116"/>
      <c r="I3388" s="2116"/>
      <c r="J3388" s="2116"/>
      <c r="K3388" s="2116"/>
      <c r="L3388" s="2116"/>
      <c r="M3388" s="2116"/>
      <c r="N3388" s="2116"/>
      <c r="O3388" s="2114"/>
      <c r="P3388" s="2117"/>
      <c r="Q3388" s="2266"/>
      <c r="R3388" s="2266"/>
      <c r="S3388" s="2266"/>
    </row>
    <row r="3389" spans="1:19" s="2105" customFormat="1" outlineLevel="1">
      <c r="A3389" s="2182" t="str">
        <f t="shared" ref="A3389:A3399" si="724">IF(G3389&lt;&gt;0,1,"")</f>
        <v/>
      </c>
      <c r="B3389" s="2252" t="str">
        <f>IF($F$8=15,"tr2000","tr20001")</f>
        <v>tr20001</v>
      </c>
      <c r="C3389" s="2268">
        <f>IF(G3389&gt;0,1,0)</f>
        <v>0</v>
      </c>
      <c r="D3389" s="2152" t="s">
        <v>5594</v>
      </c>
      <c r="E3389" s="2194" t="s">
        <v>3339</v>
      </c>
      <c r="F3389" s="2152" t="s">
        <v>3300</v>
      </c>
      <c r="G3389" s="2563">
        <f>$K$21</f>
        <v>0</v>
      </c>
      <c r="H3389" s="2359">
        <v>560615000</v>
      </c>
      <c r="I3389" s="2359"/>
      <c r="J3389" s="2359">
        <v>1928901</v>
      </c>
      <c r="K3389" s="2359">
        <v>426761</v>
      </c>
      <c r="L3389" s="2360">
        <f t="shared" ref="L3389:L3399" si="725">H3389*G3389</f>
        <v>0</v>
      </c>
      <c r="M3389" s="2360">
        <f t="shared" ref="M3389:M3399" si="726">I3389*G3389</f>
        <v>0</v>
      </c>
      <c r="N3389" s="2360">
        <f t="shared" ref="N3389:N3399" si="727">J3389*G3389</f>
        <v>0</v>
      </c>
      <c r="O3389" s="2361">
        <f t="shared" ref="O3389:O3399" si="728">K3389*G3389</f>
        <v>0</v>
      </c>
      <c r="P3389" s="2564"/>
      <c r="Q3389" s="2266"/>
      <c r="R3389" s="2266"/>
      <c r="S3389" s="2266"/>
    </row>
    <row r="3390" spans="1:19" s="2105" customFormat="1" outlineLevel="1">
      <c r="A3390" s="2182" t="str">
        <f t="shared" si="724"/>
        <v/>
      </c>
      <c r="B3390" s="2357" t="s">
        <v>393</v>
      </c>
      <c r="C3390" s="2268">
        <f t="shared" ref="C3390:C3396" si="729">IF(G3390&gt;0,C3389+1,C3389)</f>
        <v>0</v>
      </c>
      <c r="D3390" s="2152" t="s">
        <v>5600</v>
      </c>
      <c r="E3390" s="2194" t="s">
        <v>1593</v>
      </c>
      <c r="F3390" s="2152" t="s">
        <v>2439</v>
      </c>
      <c r="G3390" s="2269">
        <f>+G3389</f>
        <v>0</v>
      </c>
      <c r="H3390" s="2359">
        <v>16664000</v>
      </c>
      <c r="I3390" s="2359">
        <v>0</v>
      </c>
      <c r="J3390" s="2359">
        <v>0</v>
      </c>
      <c r="K3390" s="2359">
        <v>262622</v>
      </c>
      <c r="L3390" s="2360">
        <f t="shared" si="725"/>
        <v>0</v>
      </c>
      <c r="M3390" s="2360">
        <f t="shared" si="726"/>
        <v>0</v>
      </c>
      <c r="N3390" s="2360">
        <f t="shared" si="727"/>
        <v>0</v>
      </c>
      <c r="O3390" s="2361">
        <f t="shared" si="728"/>
        <v>0</v>
      </c>
      <c r="P3390" s="2265"/>
      <c r="Q3390" s="2266"/>
      <c r="R3390" s="2266"/>
      <c r="S3390" s="2266"/>
    </row>
    <row r="3391" spans="1:19" s="2105" customFormat="1" outlineLevel="1">
      <c r="A3391" s="2182" t="str">
        <f t="shared" si="724"/>
        <v/>
      </c>
      <c r="B3391" s="2261" t="s">
        <v>1</v>
      </c>
      <c r="C3391" s="2268">
        <f t="shared" si="729"/>
        <v>0</v>
      </c>
      <c r="D3391" s="2152" t="s">
        <v>1388</v>
      </c>
      <c r="E3391" s="2194" t="s">
        <v>3384</v>
      </c>
      <c r="F3391" s="2152" t="s">
        <v>3370</v>
      </c>
      <c r="G3391" s="2269">
        <f>G3389*0</f>
        <v>0</v>
      </c>
      <c r="H3391" s="2359">
        <v>5000000</v>
      </c>
      <c r="I3391" s="2359">
        <v>0</v>
      </c>
      <c r="J3391" s="2359">
        <v>286129</v>
      </c>
      <c r="K3391" s="2359">
        <v>59254</v>
      </c>
      <c r="L3391" s="2360">
        <f t="shared" si="725"/>
        <v>0</v>
      </c>
      <c r="M3391" s="2360">
        <f t="shared" si="726"/>
        <v>0</v>
      </c>
      <c r="N3391" s="2360">
        <f t="shared" si="727"/>
        <v>0</v>
      </c>
      <c r="O3391" s="2361">
        <f t="shared" si="728"/>
        <v>0</v>
      </c>
      <c r="P3391" s="2389" t="s">
        <v>6285</v>
      </c>
      <c r="Q3391" s="2266"/>
      <c r="R3391" s="2266"/>
      <c r="S3391" s="2266"/>
    </row>
    <row r="3392" spans="1:19" s="2105" customFormat="1" outlineLevel="1">
      <c r="A3392" s="2182" t="str">
        <f t="shared" si="724"/>
        <v/>
      </c>
      <c r="B3392" s="2118" t="str">
        <f>"FCO200-"&amp;$F$8</f>
        <v>FCO200-22</v>
      </c>
      <c r="C3392" s="2268">
        <f t="shared" si="729"/>
        <v>0</v>
      </c>
      <c r="D3392" s="2152" t="s">
        <v>5598</v>
      </c>
      <c r="E3392" s="2194" t="s">
        <v>2030</v>
      </c>
      <c r="F3392" s="2152" t="s">
        <v>2555</v>
      </c>
      <c r="G3392" s="2269">
        <f>+G3389*3</f>
        <v>0</v>
      </c>
      <c r="H3392" s="2264">
        <v>4076000</v>
      </c>
      <c r="I3392" s="2264">
        <v>0</v>
      </c>
      <c r="J3392" s="2264">
        <v>176000</v>
      </c>
      <c r="K3392" s="2264">
        <v>0</v>
      </c>
      <c r="L3392" s="2264">
        <f t="shared" si="725"/>
        <v>0</v>
      </c>
      <c r="M3392" s="2264">
        <f t="shared" si="726"/>
        <v>0</v>
      </c>
      <c r="N3392" s="2264">
        <f t="shared" si="727"/>
        <v>0</v>
      </c>
      <c r="O3392" s="2264">
        <f t="shared" si="728"/>
        <v>0</v>
      </c>
      <c r="P3392" s="2265"/>
      <c r="Q3392" s="2266"/>
      <c r="R3392" s="2266"/>
      <c r="S3392" s="2266"/>
    </row>
    <row r="3393" spans="1:19" s="2105" customFormat="1" outlineLevel="1">
      <c r="A3393" s="2182" t="str">
        <f t="shared" si="724"/>
        <v/>
      </c>
      <c r="B3393" s="2261" t="s">
        <v>555</v>
      </c>
      <c r="C3393" s="2268">
        <f t="shared" si="729"/>
        <v>0</v>
      </c>
      <c r="D3393" s="2152">
        <v>0</v>
      </c>
      <c r="E3393" s="2194" t="s">
        <v>3434</v>
      </c>
      <c r="F3393" s="2152" t="s">
        <v>2600</v>
      </c>
      <c r="G3393" s="2269">
        <f>G3392</f>
        <v>0</v>
      </c>
      <c r="H3393" s="2264">
        <v>113000</v>
      </c>
      <c r="I3393" s="2264">
        <v>0</v>
      </c>
      <c r="J3393" s="2264">
        <v>0</v>
      </c>
      <c r="K3393" s="2264">
        <v>0</v>
      </c>
      <c r="L3393" s="2264">
        <f t="shared" si="725"/>
        <v>0</v>
      </c>
      <c r="M3393" s="2264">
        <f t="shared" si="726"/>
        <v>0</v>
      </c>
      <c r="N3393" s="2264">
        <f t="shared" si="727"/>
        <v>0</v>
      </c>
      <c r="O3393" s="2264">
        <f t="shared" si="728"/>
        <v>0</v>
      </c>
      <c r="P3393" s="2265"/>
      <c r="Q3393" s="2266"/>
      <c r="R3393" s="2266"/>
      <c r="S3393" s="2266"/>
    </row>
    <row r="3394" spans="1:19" s="2105" customFormat="1" outlineLevel="1">
      <c r="A3394" s="2182" t="str">
        <f t="shared" si="724"/>
        <v/>
      </c>
      <c r="B3394" s="2261" t="str">
        <f>"LA"&amp;$F$6</f>
        <v>LA18</v>
      </c>
      <c r="C3394" s="2268">
        <f t="shared" si="729"/>
        <v>0</v>
      </c>
      <c r="D3394" s="2152" t="s">
        <v>5602</v>
      </c>
      <c r="E3394" s="2194" t="s">
        <v>1193</v>
      </c>
      <c r="F3394" s="2152" t="s">
        <v>2555</v>
      </c>
      <c r="G3394" s="2269">
        <f>G3389*3</f>
        <v>0</v>
      </c>
      <c r="H3394" s="2264">
        <v>1106000</v>
      </c>
      <c r="I3394" s="2264">
        <v>0</v>
      </c>
      <c r="J3394" s="2264">
        <v>83490</v>
      </c>
      <c r="K3394" s="2264">
        <v>0</v>
      </c>
      <c r="L3394" s="2264">
        <f t="shared" si="725"/>
        <v>0</v>
      </c>
      <c r="M3394" s="2264">
        <f t="shared" si="726"/>
        <v>0</v>
      </c>
      <c r="N3394" s="2264">
        <f t="shared" si="727"/>
        <v>0</v>
      </c>
      <c r="O3394" s="2264">
        <f t="shared" si="728"/>
        <v>0</v>
      </c>
      <c r="P3394" s="2265"/>
      <c r="Q3394" s="2266"/>
      <c r="R3394" s="2266"/>
      <c r="S3394" s="2266"/>
    </row>
    <row r="3395" spans="1:19" s="2105" customFormat="1" outlineLevel="1">
      <c r="A3395" s="2182" t="str">
        <f t="shared" si="724"/>
        <v/>
      </c>
      <c r="B3395" s="2357" t="s">
        <v>2185</v>
      </c>
      <c r="C3395" s="2268">
        <f t="shared" si="729"/>
        <v>0</v>
      </c>
      <c r="D3395" s="2152">
        <v>0</v>
      </c>
      <c r="E3395" s="2194" t="s">
        <v>3416</v>
      </c>
      <c r="F3395" s="2152" t="s">
        <v>2555</v>
      </c>
      <c r="G3395" s="2269">
        <f>G3389</f>
        <v>0</v>
      </c>
      <c r="H3395" s="2264">
        <v>145682000</v>
      </c>
      <c r="I3395" s="2264">
        <v>0</v>
      </c>
      <c r="J3395" s="2264">
        <v>0</v>
      </c>
      <c r="K3395" s="2264">
        <v>0</v>
      </c>
      <c r="L3395" s="2264">
        <f t="shared" si="725"/>
        <v>0</v>
      </c>
      <c r="M3395" s="2264">
        <f t="shared" si="726"/>
        <v>0</v>
      </c>
      <c r="N3395" s="2264">
        <f t="shared" si="727"/>
        <v>0</v>
      </c>
      <c r="O3395" s="2264">
        <f t="shared" si="728"/>
        <v>0</v>
      </c>
      <c r="P3395" s="2265"/>
      <c r="Q3395" s="2266"/>
      <c r="R3395" s="2266"/>
      <c r="S3395" s="2266"/>
    </row>
    <row r="3396" spans="1:19" s="2105" customFormat="1" outlineLevel="1">
      <c r="A3396" s="2182" t="str">
        <f t="shared" si="724"/>
        <v/>
      </c>
      <c r="B3396" s="2357" t="s">
        <v>6299</v>
      </c>
      <c r="C3396" s="2268">
        <f t="shared" si="729"/>
        <v>0</v>
      </c>
      <c r="D3396" s="2152" t="s">
        <v>1025</v>
      </c>
      <c r="E3396" s="2194" t="s">
        <v>5616</v>
      </c>
      <c r="F3396" s="2152" t="s">
        <v>3370</v>
      </c>
      <c r="G3396" s="2269">
        <f>G3395</f>
        <v>0</v>
      </c>
      <c r="H3396" s="2264">
        <v>2500000</v>
      </c>
      <c r="I3396" s="2264">
        <v>0</v>
      </c>
      <c r="J3396" s="2264">
        <v>98101</v>
      </c>
      <c r="K3396" s="2264">
        <v>59254</v>
      </c>
      <c r="L3396" s="2264">
        <f t="shared" si="725"/>
        <v>0</v>
      </c>
      <c r="M3396" s="2264">
        <f t="shared" si="726"/>
        <v>0</v>
      </c>
      <c r="N3396" s="2264">
        <f t="shared" si="727"/>
        <v>0</v>
      </c>
      <c r="O3396" s="2264">
        <f t="shared" si="728"/>
        <v>0</v>
      </c>
      <c r="P3396" s="2265"/>
      <c r="Q3396" s="2266"/>
      <c r="R3396" s="2266"/>
      <c r="S3396" s="2266"/>
    </row>
    <row r="3397" spans="1:19" s="2105" customFormat="1" outlineLevel="1">
      <c r="A3397" s="2182" t="str">
        <f t="shared" si="724"/>
        <v/>
      </c>
      <c r="B3397" s="2252" t="s">
        <v>202</v>
      </c>
      <c r="C3397" s="2268">
        <f>IF(G3397&gt;0,C3395+1,C3395)</f>
        <v>0</v>
      </c>
      <c r="D3397" s="2152">
        <v>0</v>
      </c>
      <c r="E3397" s="2194" t="s">
        <v>3350</v>
      </c>
      <c r="F3397" s="2152" t="s">
        <v>2555</v>
      </c>
      <c r="G3397" s="2390">
        <f>G3389*3</f>
        <v>0</v>
      </c>
      <c r="H3397" s="2264">
        <v>0</v>
      </c>
      <c r="I3397" s="2264">
        <v>0</v>
      </c>
      <c r="J3397" s="2264">
        <v>0</v>
      </c>
      <c r="K3397" s="2264">
        <v>0</v>
      </c>
      <c r="L3397" s="2264">
        <f t="shared" si="725"/>
        <v>0</v>
      </c>
      <c r="M3397" s="2264">
        <f t="shared" si="726"/>
        <v>0</v>
      </c>
      <c r="N3397" s="2264">
        <f t="shared" si="727"/>
        <v>0</v>
      </c>
      <c r="O3397" s="2264">
        <f t="shared" si="728"/>
        <v>0</v>
      </c>
      <c r="P3397" s="2391" t="s">
        <v>2601</v>
      </c>
      <c r="Q3397" s="2266"/>
      <c r="R3397" s="2266"/>
      <c r="S3397" s="2266"/>
    </row>
    <row r="3398" spans="1:19" s="2105" customFormat="1" outlineLevel="1">
      <c r="A3398" s="2182" t="str">
        <f t="shared" si="724"/>
        <v/>
      </c>
      <c r="B3398" s="2252" t="s">
        <v>2187</v>
      </c>
      <c r="C3398" s="2268">
        <f>IF(G3398&gt;0,C3396+1,C3396)</f>
        <v>0</v>
      </c>
      <c r="D3398" s="2152">
        <v>0</v>
      </c>
      <c r="E3398" s="2194" t="s">
        <v>5611</v>
      </c>
      <c r="F3398" s="2152" t="s">
        <v>2555</v>
      </c>
      <c r="G3398" s="2566">
        <f>+G3397</f>
        <v>0</v>
      </c>
      <c r="H3398" s="2264">
        <v>0</v>
      </c>
      <c r="I3398" s="2264"/>
      <c r="J3398" s="2264">
        <v>92703</v>
      </c>
      <c r="K3398" s="2264">
        <v>84261</v>
      </c>
      <c r="L3398" s="2264">
        <f t="shared" si="725"/>
        <v>0</v>
      </c>
      <c r="M3398" s="2264">
        <f t="shared" si="726"/>
        <v>0</v>
      </c>
      <c r="N3398" s="2264">
        <f t="shared" si="727"/>
        <v>0</v>
      </c>
      <c r="O3398" s="2264">
        <f t="shared" si="728"/>
        <v>0</v>
      </c>
      <c r="P3398" s="2391" t="s">
        <v>2601</v>
      </c>
      <c r="Q3398" s="2266"/>
      <c r="R3398" s="2266"/>
      <c r="S3398" s="2266"/>
    </row>
    <row r="3399" spans="1:19" s="2105" customFormat="1" outlineLevel="1">
      <c r="A3399" s="2182" t="str">
        <f t="shared" si="724"/>
        <v/>
      </c>
      <c r="B3399" s="2567" t="s">
        <v>1837</v>
      </c>
      <c r="C3399" s="2268">
        <f>IF(G3399&gt;0,C3397+1,C3397)</f>
        <v>0</v>
      </c>
      <c r="D3399" s="2152">
        <v>0</v>
      </c>
      <c r="E3399" s="2194" t="s">
        <v>5709</v>
      </c>
      <c r="F3399" s="2152" t="s">
        <v>2555</v>
      </c>
      <c r="G3399" s="2390">
        <f>G3389</f>
        <v>0</v>
      </c>
      <c r="H3399" s="2359">
        <v>0</v>
      </c>
      <c r="I3399" s="2359">
        <v>0</v>
      </c>
      <c r="J3399" s="2359">
        <v>0</v>
      </c>
      <c r="K3399" s="2359">
        <v>0</v>
      </c>
      <c r="L3399" s="2264">
        <f t="shared" si="725"/>
        <v>0</v>
      </c>
      <c r="M3399" s="2360">
        <f t="shared" si="726"/>
        <v>0</v>
      </c>
      <c r="N3399" s="2360">
        <f t="shared" si="727"/>
        <v>0</v>
      </c>
      <c r="O3399" s="2361">
        <f t="shared" si="728"/>
        <v>0</v>
      </c>
      <c r="P3399" s="2392" t="s">
        <v>2601</v>
      </c>
      <c r="Q3399" s="2266"/>
      <c r="R3399" s="2266"/>
      <c r="S3399" s="2266"/>
    </row>
    <row r="3400" spans="1:19" s="2105" customFormat="1" outlineLevel="1">
      <c r="A3400" s="2182">
        <f>A3384</f>
        <v>0</v>
      </c>
      <c r="B3400" s="2261"/>
      <c r="C3400" s="2393"/>
      <c r="D3400" s="2394"/>
      <c r="E3400" s="2395"/>
      <c r="F3400" s="2393"/>
      <c r="G3400" s="2636"/>
      <c r="H3400" s="2393"/>
      <c r="I3400" s="2393"/>
      <c r="J3400" s="2117" t="s">
        <v>6121</v>
      </c>
      <c r="K3400" s="2393"/>
      <c r="L3400" s="2395">
        <f>SUM(L3389:L3399)</f>
        <v>0</v>
      </c>
      <c r="M3400" s="2395">
        <f>SUM(M3389:M3399)</f>
        <v>0</v>
      </c>
      <c r="N3400" s="2395">
        <f>SUM(N3389:N3399)</f>
        <v>0</v>
      </c>
      <c r="O3400" s="2395">
        <f>SUM(O3389:O3399)</f>
        <v>0</v>
      </c>
      <c r="P3400" s="2568"/>
      <c r="Q3400" s="2266"/>
      <c r="R3400" s="2266"/>
      <c r="S3400" s="2266"/>
    </row>
    <row r="3401" spans="1:19" s="2105" customFormat="1" outlineLevel="1">
      <c r="A3401" s="2182">
        <f>A3384</f>
        <v>0</v>
      </c>
      <c r="B3401" s="2261"/>
      <c r="C3401" s="2397"/>
      <c r="D3401" s="2398"/>
      <c r="E3401" s="2399" t="s">
        <v>3673</v>
      </c>
      <c r="F3401" s="2399"/>
      <c r="G3401" s="2400"/>
      <c r="H3401" s="2399"/>
      <c r="I3401" s="2399"/>
      <c r="J3401" s="2399"/>
      <c r="K3401" s="2399"/>
      <c r="L3401" s="2399"/>
      <c r="M3401" s="2399"/>
      <c r="N3401" s="2399"/>
      <c r="O3401" s="2398"/>
      <c r="P3401" s="2568"/>
      <c r="Q3401" s="2266"/>
      <c r="R3401" s="2266"/>
      <c r="S3401" s="2266"/>
    </row>
    <row r="3402" spans="1:19" s="2105" customFormat="1" outlineLevel="1">
      <c r="A3402" s="2182" t="str">
        <f t="shared" ref="A3402:A3413" si="730">IF(G3402&lt;&gt;0,1,"")</f>
        <v/>
      </c>
      <c r="B3402" s="2401"/>
      <c r="C3402" s="2402">
        <f>IF(G3402&gt;0,1,0)</f>
        <v>0</v>
      </c>
      <c r="D3402" s="2152"/>
      <c r="E3402" s="2403" t="s">
        <v>6217</v>
      </c>
      <c r="F3402" s="2404" t="s">
        <v>2277</v>
      </c>
      <c r="G3402" s="2409">
        <f>G3389*0</f>
        <v>0</v>
      </c>
      <c r="H3402" s="2404"/>
      <c r="I3402" s="2404"/>
      <c r="J3402" s="2404"/>
      <c r="K3402" s="2404"/>
      <c r="L3402" s="2405"/>
      <c r="M3402" s="2405"/>
      <c r="N3402" s="2405"/>
      <c r="O3402" s="2406"/>
      <c r="P3402" s="2265"/>
      <c r="Q3402" s="2266"/>
      <c r="R3402" s="2266"/>
      <c r="S3402" s="2266"/>
    </row>
    <row r="3403" spans="1:19" s="2105" customFormat="1" outlineLevel="1">
      <c r="A3403" s="2182" t="str">
        <f t="shared" si="730"/>
        <v/>
      </c>
      <c r="B3403" s="2357" t="s">
        <v>2233</v>
      </c>
      <c r="C3403" s="2407"/>
      <c r="D3403" s="2152"/>
      <c r="E3403" s="2408" t="s">
        <v>2991</v>
      </c>
      <c r="F3403" s="2152" t="s">
        <v>2831</v>
      </c>
      <c r="G3403" s="2152">
        <f>G3402</f>
        <v>0</v>
      </c>
      <c r="H3403" s="2359">
        <v>4200000</v>
      </c>
      <c r="I3403" s="2258"/>
      <c r="J3403" s="2359"/>
      <c r="K3403" s="2258"/>
      <c r="L3403" s="2360">
        <f>H3403*G3403</f>
        <v>0</v>
      </c>
      <c r="M3403" s="2360">
        <f>I3403*G3403</f>
        <v>0</v>
      </c>
      <c r="N3403" s="2360">
        <f>J3403*G3403</f>
        <v>0</v>
      </c>
      <c r="O3403" s="2360">
        <f>K3403*G3403</f>
        <v>0</v>
      </c>
      <c r="P3403" s="2265"/>
      <c r="Q3403" s="2266"/>
      <c r="R3403" s="2266"/>
      <c r="S3403" s="2266"/>
    </row>
    <row r="3404" spans="1:19" s="2105" customFormat="1" outlineLevel="1">
      <c r="A3404" s="2182" t="str">
        <f t="shared" si="730"/>
        <v/>
      </c>
      <c r="B3404" s="2357" t="s">
        <v>1814</v>
      </c>
      <c r="C3404" s="2407"/>
      <c r="D3404" s="2152"/>
      <c r="E3404" s="2408" t="s">
        <v>2830</v>
      </c>
      <c r="F3404" s="2152" t="s">
        <v>2831</v>
      </c>
      <c r="G3404" s="2152">
        <f>G3403</f>
        <v>0</v>
      </c>
      <c r="H3404" s="2359">
        <v>17400</v>
      </c>
      <c r="I3404" s="2359"/>
      <c r="J3404" s="2258"/>
      <c r="K3404" s="2258"/>
      <c r="L3404" s="2360">
        <f>H3404*G3404</f>
        <v>0</v>
      </c>
      <c r="M3404" s="2360">
        <f>I3404*G3404</f>
        <v>0</v>
      </c>
      <c r="N3404" s="2360">
        <f>J3404*G3404</f>
        <v>0</v>
      </c>
      <c r="O3404" s="2360">
        <f>K3404*G3404</f>
        <v>0</v>
      </c>
      <c r="P3404" s="2265"/>
      <c r="Q3404" s="2266"/>
      <c r="R3404" s="2266"/>
      <c r="S3404" s="2266"/>
    </row>
    <row r="3405" spans="1:19" s="2105" customFormat="1" outlineLevel="1">
      <c r="A3405" s="2182" t="str">
        <f t="shared" si="730"/>
        <v/>
      </c>
      <c r="B3405" s="2357" t="s">
        <v>1612</v>
      </c>
      <c r="C3405" s="2407"/>
      <c r="D3405" s="2152" t="s">
        <v>5357</v>
      </c>
      <c r="E3405" s="2408" t="s">
        <v>5358</v>
      </c>
      <c r="F3405" s="2152" t="s">
        <v>2831</v>
      </c>
      <c r="G3405" s="2152">
        <f>G3403</f>
        <v>0</v>
      </c>
      <c r="H3405" s="2408"/>
      <c r="I3405" s="2359"/>
      <c r="J3405" s="2359">
        <v>551034</v>
      </c>
      <c r="K3405" s="2359">
        <v>141795.29</v>
      </c>
      <c r="L3405" s="2360">
        <f>H3405*G3405</f>
        <v>0</v>
      </c>
      <c r="M3405" s="2360">
        <f>I3405*G3405</f>
        <v>0</v>
      </c>
      <c r="N3405" s="2360">
        <f>J3405*G3405</f>
        <v>0</v>
      </c>
      <c r="O3405" s="2360">
        <f>K3405*G3405</f>
        <v>0</v>
      </c>
      <c r="P3405" s="2265"/>
      <c r="Q3405" s="2266"/>
      <c r="R3405" s="2266"/>
      <c r="S3405" s="2266"/>
    </row>
    <row r="3406" spans="1:19" s="2105" customFormat="1" outlineLevel="1">
      <c r="A3406" s="2182" t="str">
        <f t="shared" si="730"/>
        <v/>
      </c>
      <c r="B3406" s="2357" t="s">
        <v>2234</v>
      </c>
      <c r="C3406" s="2407"/>
      <c r="D3406" s="2152"/>
      <c r="E3406" s="2408" t="s">
        <v>5324</v>
      </c>
      <c r="F3406" s="2152" t="s">
        <v>856</v>
      </c>
      <c r="G3406" s="2152">
        <f>G3402*0.201</f>
        <v>0</v>
      </c>
      <c r="H3406" s="2359">
        <v>0</v>
      </c>
      <c r="I3406" s="2359"/>
      <c r="J3406" s="2359">
        <v>296500.89999999997</v>
      </c>
      <c r="K3406" s="2359">
        <v>0</v>
      </c>
      <c r="L3406" s="2360">
        <f>H3406*G3406</f>
        <v>0</v>
      </c>
      <c r="M3406" s="2360">
        <f>I3406*G3406</f>
        <v>0</v>
      </c>
      <c r="N3406" s="2360">
        <f>J3406*G3406</f>
        <v>0</v>
      </c>
      <c r="O3406" s="2360">
        <f>K3406*G3406</f>
        <v>0</v>
      </c>
      <c r="P3406" s="2265"/>
      <c r="Q3406" s="2266"/>
      <c r="R3406" s="2266"/>
      <c r="S3406" s="2266"/>
    </row>
    <row r="3407" spans="1:19" s="2105" customFormat="1" outlineLevel="1">
      <c r="A3407" s="2182" t="str">
        <f t="shared" si="730"/>
        <v/>
      </c>
      <c r="B3407" s="2357" t="s">
        <v>21</v>
      </c>
      <c r="C3407" s="2407"/>
      <c r="D3407" s="2152" t="s">
        <v>5325</v>
      </c>
      <c r="E3407" s="2408" t="s">
        <v>5326</v>
      </c>
      <c r="F3407" s="2152" t="s">
        <v>856</v>
      </c>
      <c r="G3407" s="2152">
        <f>G3402*0.182</f>
        <v>0</v>
      </c>
      <c r="H3407" s="2408"/>
      <c r="I3407" s="2359"/>
      <c r="J3407" s="2359">
        <v>117703.6</v>
      </c>
      <c r="K3407" s="2359">
        <v>0</v>
      </c>
      <c r="L3407" s="2360">
        <f>H3407*G3407</f>
        <v>0</v>
      </c>
      <c r="M3407" s="2360">
        <f>I3407*G3407</f>
        <v>0</v>
      </c>
      <c r="N3407" s="2360">
        <f>J3407*G3407</f>
        <v>0</v>
      </c>
      <c r="O3407" s="2360">
        <f>K3407*G3407</f>
        <v>0</v>
      </c>
      <c r="P3407" s="2265"/>
      <c r="Q3407" s="2266"/>
      <c r="R3407" s="2266"/>
      <c r="S3407" s="2266"/>
    </row>
    <row r="3408" spans="1:19" s="2105" customFormat="1" outlineLevel="1">
      <c r="A3408" s="2182" t="str">
        <f t="shared" si="730"/>
        <v/>
      </c>
      <c r="B3408" s="2357"/>
      <c r="C3408" s="2258">
        <f>IF(G3408&gt;0,C3402+1,C3402)</f>
        <v>0</v>
      </c>
      <c r="D3408" s="2152"/>
      <c r="E3408" s="2403" t="s">
        <v>2334</v>
      </c>
      <c r="F3408" s="2404" t="s">
        <v>2327</v>
      </c>
      <c r="G3408" s="2409">
        <f>G3402*0</f>
        <v>0</v>
      </c>
      <c r="H3408" s="2258"/>
      <c r="I3408" s="2258"/>
      <c r="J3408" s="2258"/>
      <c r="K3408" s="2258"/>
      <c r="L3408" s="2258"/>
      <c r="M3408" s="2258"/>
      <c r="N3408" s="2258"/>
      <c r="O3408" s="2410"/>
      <c r="P3408" s="2265"/>
      <c r="Q3408" s="2266"/>
      <c r="R3408" s="2266"/>
      <c r="S3408" s="2266"/>
    </row>
    <row r="3409" spans="1:19" s="2105" customFormat="1" outlineLevel="1">
      <c r="A3409" s="2182" t="str">
        <f t="shared" si="730"/>
        <v/>
      </c>
      <c r="B3409" s="2357" t="s">
        <v>636</v>
      </c>
      <c r="C3409" s="2407"/>
      <c r="D3409" s="2152" t="s">
        <v>5047</v>
      </c>
      <c r="E3409" s="2408" t="s">
        <v>2607</v>
      </c>
      <c r="F3409" s="2152" t="s">
        <v>2555</v>
      </c>
      <c r="G3409" s="2152">
        <f>G3408</f>
        <v>0</v>
      </c>
      <c r="H3409" s="2359">
        <v>354545</v>
      </c>
      <c r="I3409" s="2359"/>
      <c r="J3409" s="2359">
        <v>37220.25</v>
      </c>
      <c r="K3409" s="2258"/>
      <c r="L3409" s="2360">
        <f>H3409*G3409</f>
        <v>0</v>
      </c>
      <c r="M3409" s="2360">
        <f>I3409*G3409</f>
        <v>0</v>
      </c>
      <c r="N3409" s="2360">
        <f>J3409*G3409</f>
        <v>0</v>
      </c>
      <c r="O3409" s="2360">
        <f>K3409*G3409</f>
        <v>0</v>
      </c>
      <c r="P3409" s="2265"/>
      <c r="Q3409" s="2266"/>
      <c r="R3409" s="2266"/>
      <c r="S3409" s="2266"/>
    </row>
    <row r="3410" spans="1:19" s="2105" customFormat="1" outlineLevel="1">
      <c r="A3410" s="2182" t="str">
        <f t="shared" si="730"/>
        <v/>
      </c>
      <c r="B3410" s="2357" t="s">
        <v>566</v>
      </c>
      <c r="C3410" s="2407"/>
      <c r="D3410" s="2152"/>
      <c r="E3410" s="2408" t="s">
        <v>5072</v>
      </c>
      <c r="F3410" s="2152" t="s">
        <v>2439</v>
      </c>
      <c r="G3410" s="2152">
        <f>G3409</f>
        <v>0</v>
      </c>
      <c r="H3410" s="2359">
        <v>92200</v>
      </c>
      <c r="I3410" s="2408"/>
      <c r="J3410" s="2408"/>
      <c r="K3410" s="2258"/>
      <c r="L3410" s="2360">
        <f>H3410*G3410</f>
        <v>0</v>
      </c>
      <c r="M3410" s="2360">
        <f>I3410*G3410</f>
        <v>0</v>
      </c>
      <c r="N3410" s="2360">
        <f>J3410*G3410</f>
        <v>0</v>
      </c>
      <c r="O3410" s="2360">
        <f>K3410*G3410</f>
        <v>0</v>
      </c>
      <c r="P3410" s="2265"/>
      <c r="Q3410" s="2266"/>
      <c r="R3410" s="2266"/>
      <c r="S3410" s="2266"/>
    </row>
    <row r="3411" spans="1:19" s="2105" customFormat="1" outlineLevel="1">
      <c r="A3411" s="2182" t="str">
        <f t="shared" si="730"/>
        <v/>
      </c>
      <c r="B3411" s="2357" t="s">
        <v>639</v>
      </c>
      <c r="C3411" s="2407"/>
      <c r="D3411" s="2152" t="s">
        <v>1747</v>
      </c>
      <c r="E3411" s="2408" t="s">
        <v>5324</v>
      </c>
      <c r="F3411" s="2152" t="s">
        <v>856</v>
      </c>
      <c r="G3411" s="2152">
        <f>1.48*G3409</f>
        <v>0</v>
      </c>
      <c r="H3411" s="2359">
        <v>0</v>
      </c>
      <c r="I3411" s="2359"/>
      <c r="J3411" s="2359">
        <v>296500.89999999997</v>
      </c>
      <c r="K3411" s="2258"/>
      <c r="L3411" s="2360">
        <f>H3411*G3411</f>
        <v>0</v>
      </c>
      <c r="M3411" s="2360">
        <f>I3411*G3411</f>
        <v>0</v>
      </c>
      <c r="N3411" s="2360">
        <f>J3411*G3411</f>
        <v>0</v>
      </c>
      <c r="O3411" s="2360">
        <f>K3411*G3411</f>
        <v>0</v>
      </c>
      <c r="P3411" s="2265"/>
      <c r="Q3411" s="2266"/>
      <c r="R3411" s="2266"/>
      <c r="S3411" s="2266"/>
    </row>
    <row r="3412" spans="1:19" s="2105" customFormat="1" outlineLevel="1">
      <c r="A3412" s="2182" t="str">
        <f t="shared" si="730"/>
        <v/>
      </c>
      <c r="B3412" s="2357" t="s">
        <v>21</v>
      </c>
      <c r="C3412" s="2407"/>
      <c r="D3412" s="2152" t="s">
        <v>5325</v>
      </c>
      <c r="E3412" s="2408" t="s">
        <v>5326</v>
      </c>
      <c r="F3412" s="2152" t="s">
        <v>856</v>
      </c>
      <c r="G3412" s="2152">
        <f>1.39*G3408</f>
        <v>0</v>
      </c>
      <c r="H3412" s="2359">
        <v>0</v>
      </c>
      <c r="I3412" s="2359"/>
      <c r="J3412" s="2359">
        <v>117703.6</v>
      </c>
      <c r="K3412" s="2258"/>
      <c r="L3412" s="2360">
        <f>H3412*G3412</f>
        <v>0</v>
      </c>
      <c r="M3412" s="2360">
        <f>I3412*G3412</f>
        <v>0</v>
      </c>
      <c r="N3412" s="2360">
        <f>J3412*G3412</f>
        <v>0</v>
      </c>
      <c r="O3412" s="2360">
        <f>K3412*G3412</f>
        <v>0</v>
      </c>
      <c r="P3412" s="2265"/>
      <c r="Q3412" s="2266"/>
      <c r="R3412" s="2266"/>
      <c r="S3412" s="2266"/>
    </row>
    <row r="3413" spans="1:19" s="2105" customFormat="1" outlineLevel="1">
      <c r="A3413" s="2182" t="str">
        <f t="shared" si="730"/>
        <v/>
      </c>
      <c r="B3413" s="2261"/>
      <c r="C3413" s="2258">
        <f>IF(G3413&gt;0,C3408+1,C3408)</f>
        <v>0</v>
      </c>
      <c r="D3413" s="2411"/>
      <c r="E3413" s="2403" t="s">
        <v>3714</v>
      </c>
      <c r="F3413" s="2402" t="s">
        <v>2385</v>
      </c>
      <c r="G3413" s="2412">
        <f>G3389*0</f>
        <v>0</v>
      </c>
      <c r="H3413" s="2413"/>
      <c r="I3413" s="2413"/>
      <c r="J3413" s="2413"/>
      <c r="K3413" s="2413"/>
      <c r="L3413" s="2413"/>
      <c r="M3413" s="2413"/>
      <c r="N3413" s="2413"/>
      <c r="O3413" s="2413"/>
      <c r="P3413" s="2265"/>
      <c r="Q3413" s="2266"/>
      <c r="R3413" s="2266"/>
      <c r="S3413" s="2266"/>
    </row>
    <row r="3414" spans="1:19" s="2105" customFormat="1" ht="14.4" outlineLevel="1">
      <c r="A3414" s="2182" t="str">
        <f>A3413</f>
        <v/>
      </c>
      <c r="B3414" s="2261"/>
      <c r="C3414" s="2258"/>
      <c r="D3414" s="2414"/>
      <c r="E3414" s="2267" t="s">
        <v>6133</v>
      </c>
      <c r="F3414" s="2268"/>
      <c r="G3414" s="2269"/>
      <c r="H3414" s="2415"/>
      <c r="I3414" s="2415"/>
      <c r="J3414" s="2415"/>
      <c r="K3414" s="2415"/>
      <c r="L3414" s="2415"/>
      <c r="M3414" s="2415"/>
      <c r="N3414" s="2415"/>
      <c r="O3414" s="2415"/>
      <c r="P3414" s="2265"/>
      <c r="Q3414" s="2266"/>
      <c r="R3414" s="2266"/>
      <c r="S3414" s="2266"/>
    </row>
    <row r="3415" spans="1:19" s="2105" customFormat="1" outlineLevel="1">
      <c r="A3415" s="2182" t="str">
        <f t="shared" ref="A3415:A3421" si="731">IF(G3415&lt;&gt;0,1,"")</f>
        <v/>
      </c>
      <c r="B3415" s="2252" t="s">
        <v>1136</v>
      </c>
      <c r="C3415" s="2258"/>
      <c r="D3415" s="2152">
        <v>0</v>
      </c>
      <c r="E3415" s="2194" t="s">
        <v>4457</v>
      </c>
      <c r="F3415" s="2152" t="s">
        <v>2248</v>
      </c>
      <c r="G3415" s="2269">
        <f>2*G3413</f>
        <v>0</v>
      </c>
      <c r="H3415" s="2359">
        <v>31625</v>
      </c>
      <c r="I3415" s="2416"/>
      <c r="J3415" s="2359" t="s">
        <v>6403</v>
      </c>
      <c r="K3415" s="2359">
        <v>0</v>
      </c>
      <c r="L3415" s="2360">
        <f t="shared" ref="L3415:L3432" si="732">H3415*G3415</f>
        <v>0</v>
      </c>
      <c r="M3415" s="2360">
        <f t="shared" ref="M3415:M3423" si="733">I3415*G3415</f>
        <v>0</v>
      </c>
      <c r="N3415" s="2359">
        <v>0</v>
      </c>
      <c r="O3415" s="2360">
        <f t="shared" ref="O3415:O3423" si="734">K3415*G3415</f>
        <v>0</v>
      </c>
      <c r="P3415" s="2265"/>
      <c r="Q3415" s="2266"/>
      <c r="R3415" s="2266"/>
      <c r="S3415" s="2266"/>
    </row>
    <row r="3416" spans="1:19" s="2105" customFormat="1" outlineLevel="1">
      <c r="A3416" s="2182" t="str">
        <f t="shared" si="731"/>
        <v/>
      </c>
      <c r="B3416" s="2252" t="s">
        <v>1137</v>
      </c>
      <c r="C3416" s="2258"/>
      <c r="D3416" s="2152">
        <v>0</v>
      </c>
      <c r="E3416" s="2194" t="s">
        <v>5838</v>
      </c>
      <c r="F3416" s="2152" t="s">
        <v>2248</v>
      </c>
      <c r="G3416" s="2269">
        <f>G3413*4</f>
        <v>0</v>
      </c>
      <c r="H3416" s="2359">
        <v>31625</v>
      </c>
      <c r="I3416" s="2416"/>
      <c r="J3416" s="2359" t="s">
        <v>6404</v>
      </c>
      <c r="K3416" s="2359">
        <v>0</v>
      </c>
      <c r="L3416" s="2360">
        <f t="shared" si="732"/>
        <v>0</v>
      </c>
      <c r="M3416" s="2360">
        <f t="shared" si="733"/>
        <v>0</v>
      </c>
      <c r="N3416" s="2359">
        <v>0</v>
      </c>
      <c r="O3416" s="2360">
        <f t="shared" si="734"/>
        <v>0</v>
      </c>
      <c r="P3416" s="2265"/>
      <c r="Q3416" s="2266"/>
      <c r="R3416" s="2266"/>
      <c r="S3416" s="2266"/>
    </row>
    <row r="3417" spans="1:19" s="2105" customFormat="1" outlineLevel="1">
      <c r="A3417" s="2182" t="str">
        <f t="shared" si="731"/>
        <v/>
      </c>
      <c r="B3417" s="2252" t="s">
        <v>1138</v>
      </c>
      <c r="C3417" s="2258"/>
      <c r="D3417" s="2152">
        <v>0</v>
      </c>
      <c r="E3417" s="2194" t="s">
        <v>5837</v>
      </c>
      <c r="F3417" s="2152" t="s">
        <v>2248</v>
      </c>
      <c r="G3417" s="2269">
        <f>G3413*2</f>
        <v>0</v>
      </c>
      <c r="H3417" s="2359">
        <v>31625</v>
      </c>
      <c r="I3417" s="2416"/>
      <c r="J3417" s="2359" t="s">
        <v>6404</v>
      </c>
      <c r="K3417" s="2359">
        <v>0</v>
      </c>
      <c r="L3417" s="2360">
        <f t="shared" si="732"/>
        <v>0</v>
      </c>
      <c r="M3417" s="2360">
        <f t="shared" si="733"/>
        <v>0</v>
      </c>
      <c r="N3417" s="2359">
        <v>0</v>
      </c>
      <c r="O3417" s="2360">
        <f t="shared" si="734"/>
        <v>0</v>
      </c>
      <c r="P3417" s="2265"/>
      <c r="Q3417" s="2266"/>
      <c r="R3417" s="2266"/>
      <c r="S3417" s="2266"/>
    </row>
    <row r="3418" spans="1:19" s="2105" customFormat="1" outlineLevel="1">
      <c r="A3418" s="2182" t="str">
        <f t="shared" si="731"/>
        <v/>
      </c>
      <c r="B3418" s="2261" t="s">
        <v>1781</v>
      </c>
      <c r="C3418" s="2258"/>
      <c r="D3418" s="2152">
        <v>0</v>
      </c>
      <c r="E3418" s="2194" t="s">
        <v>2662</v>
      </c>
      <c r="F3418" s="2152" t="s">
        <v>2439</v>
      </c>
      <c r="G3418" s="2269">
        <f>G3413*12</f>
        <v>0</v>
      </c>
      <c r="H3418" s="2359">
        <v>34800</v>
      </c>
      <c r="I3418" s="2416"/>
      <c r="J3418" s="2359">
        <v>0</v>
      </c>
      <c r="K3418" s="2359">
        <v>0</v>
      </c>
      <c r="L3418" s="2360">
        <f t="shared" si="732"/>
        <v>0</v>
      </c>
      <c r="M3418" s="2360">
        <f t="shared" si="733"/>
        <v>0</v>
      </c>
      <c r="N3418" s="2360">
        <f t="shared" ref="N3418:N3423" si="735">J3418*G3418</f>
        <v>0</v>
      </c>
      <c r="O3418" s="2360">
        <f t="shared" si="734"/>
        <v>0</v>
      </c>
      <c r="P3418" s="2265"/>
      <c r="Q3418" s="2266"/>
      <c r="R3418" s="2266"/>
      <c r="S3418" s="2266"/>
    </row>
    <row r="3419" spans="1:19" s="2105" customFormat="1" outlineLevel="1">
      <c r="A3419" s="2182" t="str">
        <f t="shared" si="731"/>
        <v/>
      </c>
      <c r="B3419" s="2261" t="s">
        <v>1083</v>
      </c>
      <c r="C3419" s="2258"/>
      <c r="D3419" s="2152">
        <v>0</v>
      </c>
      <c r="E3419" s="2194" t="s">
        <v>2652</v>
      </c>
      <c r="F3419" s="2152" t="s">
        <v>2439</v>
      </c>
      <c r="G3419" s="2269">
        <f>G3413*2</f>
        <v>0</v>
      </c>
      <c r="H3419" s="2359">
        <v>29900</v>
      </c>
      <c r="I3419" s="2416"/>
      <c r="J3419" s="2359">
        <v>0</v>
      </c>
      <c r="K3419" s="2359">
        <v>0</v>
      </c>
      <c r="L3419" s="2360">
        <f t="shared" si="732"/>
        <v>0</v>
      </c>
      <c r="M3419" s="2360">
        <f t="shared" si="733"/>
        <v>0</v>
      </c>
      <c r="N3419" s="2360">
        <f t="shared" si="735"/>
        <v>0</v>
      </c>
      <c r="O3419" s="2360">
        <f t="shared" si="734"/>
        <v>0</v>
      </c>
      <c r="P3419" s="2265"/>
      <c r="Q3419" s="2266"/>
      <c r="R3419" s="2266"/>
      <c r="S3419" s="2266"/>
    </row>
    <row r="3420" spans="1:19" s="2105" customFormat="1" outlineLevel="1">
      <c r="A3420" s="2182" t="str">
        <f t="shared" si="731"/>
        <v/>
      </c>
      <c r="B3420" s="2261" t="s">
        <v>1079</v>
      </c>
      <c r="C3420" s="2258"/>
      <c r="D3420" s="2152">
        <v>0</v>
      </c>
      <c r="E3420" s="2194" t="s">
        <v>2651</v>
      </c>
      <c r="F3420" s="2152" t="s">
        <v>2439</v>
      </c>
      <c r="G3420" s="2269">
        <f>+G3413*4</f>
        <v>0</v>
      </c>
      <c r="H3420" s="2359">
        <v>27900</v>
      </c>
      <c r="I3420" s="2416"/>
      <c r="J3420" s="2359">
        <v>0</v>
      </c>
      <c r="K3420" s="2359">
        <v>0</v>
      </c>
      <c r="L3420" s="2360">
        <f t="shared" si="732"/>
        <v>0</v>
      </c>
      <c r="M3420" s="2360">
        <f t="shared" si="733"/>
        <v>0</v>
      </c>
      <c r="N3420" s="2360">
        <f t="shared" si="735"/>
        <v>0</v>
      </c>
      <c r="O3420" s="2360">
        <f t="shared" si="734"/>
        <v>0</v>
      </c>
      <c r="P3420" s="2265"/>
      <c r="Q3420" s="2266"/>
      <c r="R3420" s="2266"/>
      <c r="S3420" s="2266"/>
    </row>
    <row r="3421" spans="1:19" s="2105" customFormat="1" outlineLevel="1">
      <c r="A3421" s="2182" t="str">
        <f t="shared" si="731"/>
        <v/>
      </c>
      <c r="B3421" s="2261"/>
      <c r="C3421" s="2258">
        <f>IF(G3421&gt;0,C3413+1,C3413)</f>
        <v>0</v>
      </c>
      <c r="D3421" s="2259"/>
      <c r="E3421" s="2417" t="s">
        <v>6271</v>
      </c>
      <c r="F3421" s="2258" t="s">
        <v>2385</v>
      </c>
      <c r="G3421" s="2263">
        <f>G3413*2*0</f>
        <v>0</v>
      </c>
      <c r="H3421" s="2416"/>
      <c r="I3421" s="2416"/>
      <c r="J3421" s="2416"/>
      <c r="K3421" s="2416"/>
      <c r="L3421" s="2360">
        <f t="shared" si="732"/>
        <v>0</v>
      </c>
      <c r="M3421" s="2360">
        <f t="shared" si="733"/>
        <v>0</v>
      </c>
      <c r="N3421" s="2360">
        <f t="shared" si="735"/>
        <v>0</v>
      </c>
      <c r="O3421" s="2360">
        <f t="shared" si="734"/>
        <v>0</v>
      </c>
      <c r="P3421" s="2265"/>
      <c r="Q3421" s="2266"/>
      <c r="R3421" s="2266"/>
      <c r="S3421" s="2266"/>
    </row>
    <row r="3422" spans="1:19" s="2105" customFormat="1" ht="14.4" outlineLevel="1">
      <c r="A3422" s="2182" t="str">
        <f>A3421</f>
        <v/>
      </c>
      <c r="B3422" s="2261"/>
      <c r="C3422" s="2258"/>
      <c r="D3422" s="2259"/>
      <c r="E3422" s="2267" t="s">
        <v>6133</v>
      </c>
      <c r="F3422" s="2268"/>
      <c r="G3422" s="2269"/>
      <c r="H3422" s="2416"/>
      <c r="I3422" s="2416"/>
      <c r="J3422" s="2416"/>
      <c r="K3422" s="2416"/>
      <c r="L3422" s="2360">
        <f t="shared" si="732"/>
        <v>0</v>
      </c>
      <c r="M3422" s="2360">
        <f t="shared" si="733"/>
        <v>0</v>
      </c>
      <c r="N3422" s="2360">
        <f t="shared" si="735"/>
        <v>0</v>
      </c>
      <c r="O3422" s="2360">
        <f t="shared" si="734"/>
        <v>0</v>
      </c>
      <c r="P3422" s="2265"/>
      <c r="Q3422" s="2266"/>
      <c r="R3422" s="2266"/>
      <c r="S3422" s="2266"/>
    </row>
    <row r="3423" spans="1:19" s="2105" customFormat="1" outlineLevel="1">
      <c r="A3423" s="2182" t="str">
        <f t="shared" ref="A3423:A3428" si="736">IF(G3423&lt;&gt;0,1,"")</f>
        <v/>
      </c>
      <c r="B3423" s="2252" t="s">
        <v>2022</v>
      </c>
      <c r="C3423" s="2258"/>
      <c r="D3423" s="2152">
        <v>0</v>
      </c>
      <c r="E3423" s="2194" t="s">
        <v>2437</v>
      </c>
      <c r="F3423" s="2152" t="s">
        <v>2248</v>
      </c>
      <c r="G3423" s="2270">
        <f>G3421*9.02*(2.6+3*0.07)*2</f>
        <v>0</v>
      </c>
      <c r="H3423" s="2359">
        <v>31625</v>
      </c>
      <c r="I3423" s="2359"/>
      <c r="J3423" s="2359">
        <v>0</v>
      </c>
      <c r="K3423" s="2359">
        <v>0</v>
      </c>
      <c r="L3423" s="2360">
        <f t="shared" si="732"/>
        <v>0</v>
      </c>
      <c r="M3423" s="2360">
        <f t="shared" si="733"/>
        <v>0</v>
      </c>
      <c r="N3423" s="2360">
        <f t="shared" si="735"/>
        <v>0</v>
      </c>
      <c r="O3423" s="2360">
        <f t="shared" si="734"/>
        <v>0</v>
      </c>
      <c r="P3423" s="2265"/>
      <c r="Q3423" s="2266"/>
      <c r="R3423" s="2266"/>
      <c r="S3423" s="2266"/>
    </row>
    <row r="3424" spans="1:19" s="2105" customFormat="1" outlineLevel="1">
      <c r="A3424" s="2182" t="str">
        <f t="shared" si="736"/>
        <v/>
      </c>
      <c r="B3424" s="2261" t="s">
        <v>1784</v>
      </c>
      <c r="C3424" s="2258"/>
      <c r="D3424" s="2152">
        <v>0</v>
      </c>
      <c r="E3424" s="2194" t="s">
        <v>2660</v>
      </c>
      <c r="F3424" s="2152" t="s">
        <v>2385</v>
      </c>
      <c r="G3424" s="2269">
        <f>G3421*2</f>
        <v>0</v>
      </c>
      <c r="H3424" s="2359">
        <v>31800</v>
      </c>
      <c r="I3424" s="2359">
        <v>0</v>
      </c>
      <c r="J3424" s="2359">
        <v>0</v>
      </c>
      <c r="K3424" s="2359">
        <v>0</v>
      </c>
      <c r="L3424" s="2360">
        <f t="shared" si="732"/>
        <v>0</v>
      </c>
      <c r="M3424" s="2360">
        <f>I3424*G3424</f>
        <v>0</v>
      </c>
      <c r="N3424" s="2360">
        <f>J3424*G3424</f>
        <v>0</v>
      </c>
      <c r="O3424" s="2360">
        <f>K3424*G3424</f>
        <v>0</v>
      </c>
      <c r="P3424" s="2265"/>
      <c r="Q3424" s="2266"/>
      <c r="R3424" s="2266"/>
      <c r="S3424" s="2266"/>
    </row>
    <row r="3425" spans="1:19" s="2105" customFormat="1" outlineLevel="1">
      <c r="A3425" s="2182" t="str">
        <f t="shared" si="736"/>
        <v/>
      </c>
      <c r="B3425" s="2261" t="s">
        <v>1610</v>
      </c>
      <c r="C3425" s="2258"/>
      <c r="D3425" s="2152">
        <v>0</v>
      </c>
      <c r="E3425" s="2194" t="s">
        <v>2649</v>
      </c>
      <c r="F3425" s="2152" t="s">
        <v>2385</v>
      </c>
      <c r="G3425" s="2269">
        <f>G3421*2</f>
        <v>0</v>
      </c>
      <c r="H3425" s="2359">
        <v>25400</v>
      </c>
      <c r="I3425" s="2359">
        <v>0</v>
      </c>
      <c r="J3425" s="2359">
        <v>0</v>
      </c>
      <c r="K3425" s="2359">
        <v>0</v>
      </c>
      <c r="L3425" s="2360">
        <f t="shared" si="732"/>
        <v>0</v>
      </c>
      <c r="M3425" s="2360">
        <f>I3425*G3425</f>
        <v>0</v>
      </c>
      <c r="N3425" s="2360">
        <f>J3425*G3425</f>
        <v>0</v>
      </c>
      <c r="O3425" s="2360">
        <f>K3425*G3425</f>
        <v>0</v>
      </c>
      <c r="P3425" s="2265"/>
      <c r="Q3425" s="2266"/>
      <c r="R3425" s="2266"/>
      <c r="S3425" s="2266"/>
    </row>
    <row r="3426" spans="1:19" s="2105" customFormat="1" outlineLevel="1">
      <c r="A3426" s="2182" t="str">
        <f t="shared" si="736"/>
        <v/>
      </c>
      <c r="B3426" s="2261" t="s">
        <v>1609</v>
      </c>
      <c r="C3426" s="2258"/>
      <c r="D3426" s="2152">
        <v>0</v>
      </c>
      <c r="E3426" s="2194" t="s">
        <v>2645</v>
      </c>
      <c r="F3426" s="2152" t="s">
        <v>2385</v>
      </c>
      <c r="G3426" s="2269">
        <f>G3425</f>
        <v>0</v>
      </c>
      <c r="H3426" s="2359">
        <v>13400</v>
      </c>
      <c r="I3426" s="2359">
        <v>0</v>
      </c>
      <c r="J3426" s="2359">
        <v>0</v>
      </c>
      <c r="K3426" s="2359">
        <v>0</v>
      </c>
      <c r="L3426" s="2360">
        <f t="shared" si="732"/>
        <v>0</v>
      </c>
      <c r="M3426" s="2360">
        <f>I3426*G3426</f>
        <v>0</v>
      </c>
      <c r="N3426" s="2360">
        <f>J3426*G3426</f>
        <v>0</v>
      </c>
      <c r="O3426" s="2360">
        <f>K3426*G3426</f>
        <v>0</v>
      </c>
      <c r="P3426" s="2265"/>
      <c r="Q3426" s="2266"/>
      <c r="R3426" s="2266"/>
      <c r="S3426" s="2266"/>
    </row>
    <row r="3427" spans="1:19" s="2105" customFormat="1" outlineLevel="1">
      <c r="A3427" s="2182" t="str">
        <f t="shared" si="736"/>
        <v/>
      </c>
      <c r="B3427" s="2261" t="s">
        <v>2242</v>
      </c>
      <c r="C3427" s="2258"/>
      <c r="D3427" s="2152" t="s">
        <v>730</v>
      </c>
      <c r="E3427" s="2194" t="s">
        <v>2440</v>
      </c>
      <c r="F3427" s="2152" t="s">
        <v>2385</v>
      </c>
      <c r="G3427" s="2269">
        <f>G3421</f>
        <v>0</v>
      </c>
      <c r="H3427" s="2359">
        <v>0</v>
      </c>
      <c r="I3427" s="2359"/>
      <c r="J3427" s="2359" t="s">
        <v>6345</v>
      </c>
      <c r="K3427" s="2359"/>
      <c r="L3427" s="2360">
        <f t="shared" si="732"/>
        <v>0</v>
      </c>
      <c r="M3427" s="2360"/>
      <c r="N3427" s="2359">
        <v>0</v>
      </c>
      <c r="O3427" s="2360"/>
      <c r="P3427" s="2265"/>
      <c r="Q3427" s="2266"/>
      <c r="R3427" s="2266"/>
      <c r="S3427" s="2266"/>
    </row>
    <row r="3428" spans="1:19" s="2105" customFormat="1" outlineLevel="1">
      <c r="A3428" s="2182" t="str">
        <f t="shared" si="736"/>
        <v/>
      </c>
      <c r="B3428" s="2261"/>
      <c r="C3428" s="2258">
        <f>IF(G3428&gt;0,C3421+1,C3421)</f>
        <v>0</v>
      </c>
      <c r="D3428" s="2259"/>
      <c r="E3428" s="2417" t="s">
        <v>6300</v>
      </c>
      <c r="F3428" s="2258" t="s">
        <v>2385</v>
      </c>
      <c r="G3428" s="2263">
        <f>G3413*3</f>
        <v>0</v>
      </c>
      <c r="H3428" s="2416"/>
      <c r="I3428" s="2416"/>
      <c r="J3428" s="2416"/>
      <c r="K3428" s="2416"/>
      <c r="L3428" s="2360">
        <f t="shared" si="732"/>
        <v>0</v>
      </c>
      <c r="M3428" s="2360">
        <f>I3428*G3428</f>
        <v>0</v>
      </c>
      <c r="N3428" s="2360">
        <f>J3428*G3428</f>
        <v>0</v>
      </c>
      <c r="O3428" s="2360">
        <f>K3428*G3428</f>
        <v>0</v>
      </c>
      <c r="P3428" s="2265"/>
      <c r="Q3428" s="2266"/>
      <c r="R3428" s="2266"/>
      <c r="S3428" s="2266"/>
    </row>
    <row r="3429" spans="1:19" s="2105" customFormat="1" ht="14.4" outlineLevel="1">
      <c r="A3429" s="2182" t="str">
        <f>A3428</f>
        <v/>
      </c>
      <c r="B3429" s="2261"/>
      <c r="C3429" s="2258"/>
      <c r="D3429" s="2259"/>
      <c r="E3429" s="2267" t="s">
        <v>6133</v>
      </c>
      <c r="F3429" s="2268"/>
      <c r="G3429" s="2269"/>
      <c r="H3429" s="2416"/>
      <c r="I3429" s="2416"/>
      <c r="J3429" s="2416"/>
      <c r="K3429" s="2416"/>
      <c r="L3429" s="2360">
        <f t="shared" si="732"/>
        <v>0</v>
      </c>
      <c r="M3429" s="2360">
        <f>I3429*G3429</f>
        <v>0</v>
      </c>
      <c r="N3429" s="2360">
        <f>J3429*G3429</f>
        <v>0</v>
      </c>
      <c r="O3429" s="2360">
        <f>K3429*G3429</f>
        <v>0</v>
      </c>
      <c r="P3429" s="2265"/>
      <c r="Q3429" s="2266"/>
      <c r="R3429" s="2266"/>
      <c r="S3429" s="2266"/>
    </row>
    <row r="3430" spans="1:19" s="2105" customFormat="1" outlineLevel="1">
      <c r="A3430" s="2182" t="str">
        <f t="shared" ref="A3430:A3435" si="737">IF(G3430&lt;&gt;0,1,"")</f>
        <v/>
      </c>
      <c r="B3430" s="2252" t="s">
        <v>2022</v>
      </c>
      <c r="C3430" s="2258"/>
      <c r="D3430" s="2152">
        <v>0</v>
      </c>
      <c r="E3430" s="2194" t="s">
        <v>2437</v>
      </c>
      <c r="F3430" s="2152" t="s">
        <v>2248</v>
      </c>
      <c r="G3430" s="2270">
        <f>G3428*9.02*(2.6+3*0.07)</f>
        <v>0</v>
      </c>
      <c r="H3430" s="2359">
        <v>31625</v>
      </c>
      <c r="I3430" s="2359"/>
      <c r="J3430" s="2359">
        <v>0</v>
      </c>
      <c r="K3430" s="2359">
        <v>0</v>
      </c>
      <c r="L3430" s="2360">
        <f t="shared" si="732"/>
        <v>0</v>
      </c>
      <c r="M3430" s="2360">
        <f>I3430*G3430</f>
        <v>0</v>
      </c>
      <c r="N3430" s="2360">
        <f>J3430*G3430</f>
        <v>0</v>
      </c>
      <c r="O3430" s="2360">
        <f>K3430*G3430</f>
        <v>0</v>
      </c>
      <c r="P3430" s="2265"/>
      <c r="Q3430" s="2266"/>
      <c r="R3430" s="2266"/>
      <c r="S3430" s="2266"/>
    </row>
    <row r="3431" spans="1:19" s="2105" customFormat="1" outlineLevel="1">
      <c r="A3431" s="2182" t="str">
        <f t="shared" si="737"/>
        <v/>
      </c>
      <c r="B3431" s="2261" t="s">
        <v>1609</v>
      </c>
      <c r="C3431" s="2258"/>
      <c r="D3431" s="2152">
        <v>0</v>
      </c>
      <c r="E3431" s="2194" t="s">
        <v>2645</v>
      </c>
      <c r="F3431" s="2152" t="s">
        <v>2385</v>
      </c>
      <c r="G3431" s="2269">
        <f>IF(G3428&gt;2,(G3428-1)*2,0)</f>
        <v>0</v>
      </c>
      <c r="H3431" s="2359">
        <v>13400</v>
      </c>
      <c r="I3431" s="2359">
        <v>0</v>
      </c>
      <c r="J3431" s="2359">
        <v>0</v>
      </c>
      <c r="K3431" s="2359">
        <v>0</v>
      </c>
      <c r="L3431" s="2360">
        <f t="shared" si="732"/>
        <v>0</v>
      </c>
      <c r="M3431" s="2360">
        <f>I3431*G3431</f>
        <v>0</v>
      </c>
      <c r="N3431" s="2360">
        <f>J3431*G3431</f>
        <v>0</v>
      </c>
      <c r="O3431" s="2360">
        <f>K3431*G3431</f>
        <v>0</v>
      </c>
      <c r="P3431" s="2265"/>
      <c r="Q3431" s="2266"/>
      <c r="R3431" s="2266"/>
      <c r="S3431" s="2266"/>
    </row>
    <row r="3432" spans="1:19" s="2105" customFormat="1" outlineLevel="1">
      <c r="A3432" s="2182" t="str">
        <f t="shared" si="737"/>
        <v/>
      </c>
      <c r="B3432" s="2261" t="s">
        <v>1610</v>
      </c>
      <c r="C3432" s="2258"/>
      <c r="D3432" s="2152">
        <v>0</v>
      </c>
      <c r="E3432" s="2194" t="s">
        <v>2649</v>
      </c>
      <c r="F3432" s="2152" t="s">
        <v>2385</v>
      </c>
      <c r="G3432" s="2269">
        <f>IF(G3428=0,0,2)</f>
        <v>0</v>
      </c>
      <c r="H3432" s="2359">
        <v>25400</v>
      </c>
      <c r="I3432" s="2359">
        <v>0</v>
      </c>
      <c r="J3432" s="2359">
        <v>0</v>
      </c>
      <c r="K3432" s="2359">
        <v>0</v>
      </c>
      <c r="L3432" s="2360">
        <f t="shared" si="732"/>
        <v>0</v>
      </c>
      <c r="M3432" s="2360">
        <f>I3432*G3432</f>
        <v>0</v>
      </c>
      <c r="N3432" s="2360">
        <f>J3432*G3432</f>
        <v>0</v>
      </c>
      <c r="O3432" s="2360">
        <f>K3432*G3432</f>
        <v>0</v>
      </c>
      <c r="P3432" s="2265"/>
      <c r="Q3432" s="2266"/>
      <c r="R3432" s="2266"/>
      <c r="S3432" s="2266"/>
    </row>
    <row r="3433" spans="1:19" s="2105" customFormat="1" outlineLevel="1">
      <c r="A3433" s="2182" t="str">
        <f t="shared" si="737"/>
        <v/>
      </c>
      <c r="B3433" s="2252" t="s">
        <v>2271</v>
      </c>
      <c r="C3433" s="2258"/>
      <c r="D3433" s="2152">
        <v>0</v>
      </c>
      <c r="E3433" s="2194" t="s">
        <v>5078</v>
      </c>
      <c r="F3433" s="2152" t="s">
        <v>2385</v>
      </c>
      <c r="G3433" s="2269">
        <f>G3428*1</f>
        <v>0</v>
      </c>
      <c r="H3433" s="2359">
        <v>65000</v>
      </c>
      <c r="I3433" s="2359">
        <v>0</v>
      </c>
      <c r="J3433" s="2359"/>
      <c r="K3433" s="2359"/>
      <c r="L3433" s="2360"/>
      <c r="M3433" s="2360"/>
      <c r="N3433" s="2360"/>
      <c r="O3433" s="2360"/>
      <c r="P3433" s="2265"/>
      <c r="Q3433" s="2266"/>
      <c r="R3433" s="2266"/>
      <c r="S3433" s="2266"/>
    </row>
    <row r="3434" spans="1:19" s="2105" customFormat="1" outlineLevel="1">
      <c r="A3434" s="2182" t="str">
        <f t="shared" si="737"/>
        <v/>
      </c>
      <c r="B3434" s="2261" t="s">
        <v>2242</v>
      </c>
      <c r="C3434" s="2258"/>
      <c r="D3434" s="2152" t="s">
        <v>730</v>
      </c>
      <c r="E3434" s="2194" t="s">
        <v>2440</v>
      </c>
      <c r="F3434" s="2152" t="s">
        <v>2385</v>
      </c>
      <c r="G3434" s="2269">
        <f>G3428</f>
        <v>0</v>
      </c>
      <c r="H3434" s="2359">
        <v>0</v>
      </c>
      <c r="I3434" s="2359"/>
      <c r="J3434" s="2359" t="s">
        <v>6345</v>
      </c>
      <c r="K3434" s="2359"/>
      <c r="L3434" s="2360">
        <f t="shared" ref="L3434:L3461" si="738">H3434*G3434</f>
        <v>0</v>
      </c>
      <c r="M3434" s="2360"/>
      <c r="N3434" s="2359">
        <v>0</v>
      </c>
      <c r="O3434" s="2360"/>
      <c r="P3434" s="2265"/>
      <c r="Q3434" s="2266"/>
      <c r="R3434" s="2266"/>
      <c r="S3434" s="2266"/>
    </row>
    <row r="3435" spans="1:19" s="2105" customFormat="1" outlineLevel="1">
      <c r="A3435" s="2182" t="str">
        <f t="shared" si="737"/>
        <v/>
      </c>
      <c r="B3435" s="2261"/>
      <c r="C3435" s="2258">
        <f>IF(G3435&gt;0,C3428+1,C3428)</f>
        <v>0</v>
      </c>
      <c r="D3435" s="2259"/>
      <c r="E3435" s="2417" t="s">
        <v>6221</v>
      </c>
      <c r="F3435" s="2258" t="s">
        <v>2385</v>
      </c>
      <c r="G3435" s="2263">
        <f>G3413*2</f>
        <v>0</v>
      </c>
      <c r="H3435" s="2416"/>
      <c r="I3435" s="2416"/>
      <c r="J3435" s="2416"/>
      <c r="K3435" s="2416"/>
      <c r="L3435" s="2360">
        <f t="shared" si="738"/>
        <v>0</v>
      </c>
      <c r="M3435" s="2360">
        <f>I3435*G3435</f>
        <v>0</v>
      </c>
      <c r="N3435" s="2360">
        <f>J3435*G3435</f>
        <v>0</v>
      </c>
      <c r="O3435" s="2360">
        <f>K3435*G3435</f>
        <v>0</v>
      </c>
      <c r="P3435" s="2265"/>
      <c r="Q3435" s="2266"/>
      <c r="R3435" s="2266"/>
      <c r="S3435" s="2266"/>
    </row>
    <row r="3436" spans="1:19" s="2105" customFormat="1" ht="14.4" outlineLevel="1">
      <c r="A3436" s="2182" t="str">
        <f>A3435</f>
        <v/>
      </c>
      <c r="B3436" s="2261"/>
      <c r="C3436" s="2258"/>
      <c r="D3436" s="2259"/>
      <c r="E3436" s="2267" t="s">
        <v>6133</v>
      </c>
      <c r="F3436" s="2268"/>
      <c r="G3436" s="2269"/>
      <c r="H3436" s="2416"/>
      <c r="I3436" s="2416"/>
      <c r="J3436" s="2416"/>
      <c r="K3436" s="2416"/>
      <c r="L3436" s="2360">
        <f t="shared" si="738"/>
        <v>0</v>
      </c>
      <c r="M3436" s="2360">
        <f>I3436*G3436</f>
        <v>0</v>
      </c>
      <c r="N3436" s="2360">
        <f>J3436*G3436</f>
        <v>0</v>
      </c>
      <c r="O3436" s="2360">
        <f>K3436*G3436</f>
        <v>0</v>
      </c>
      <c r="P3436" s="2265"/>
      <c r="Q3436" s="2266"/>
      <c r="R3436" s="2266"/>
      <c r="S3436" s="2266"/>
    </row>
    <row r="3437" spans="1:19" s="2105" customFormat="1" outlineLevel="1">
      <c r="A3437" s="2182" t="str">
        <f t="shared" ref="A3437:A3442" si="739">IF(G3437&lt;&gt;0,1,"")</f>
        <v/>
      </c>
      <c r="B3437" s="2261" t="s">
        <v>2022</v>
      </c>
      <c r="C3437" s="2258"/>
      <c r="D3437" s="2152">
        <v>0</v>
      </c>
      <c r="E3437" s="2194" t="s">
        <v>2437</v>
      </c>
      <c r="F3437" s="2152" t="s">
        <v>2248</v>
      </c>
      <c r="G3437" s="2270">
        <f>G3435*9.02*2.6</f>
        <v>0</v>
      </c>
      <c r="H3437" s="2359">
        <v>31625</v>
      </c>
      <c r="I3437" s="2359"/>
      <c r="J3437" s="2359">
        <v>0</v>
      </c>
      <c r="K3437" s="2359"/>
      <c r="L3437" s="2360">
        <f t="shared" si="738"/>
        <v>0</v>
      </c>
      <c r="M3437" s="2360"/>
      <c r="N3437" s="2360"/>
      <c r="O3437" s="2360"/>
      <c r="P3437" s="2265"/>
      <c r="Q3437" s="2266"/>
      <c r="R3437" s="2266"/>
      <c r="S3437" s="2266"/>
    </row>
    <row r="3438" spans="1:19" s="2105" customFormat="1" outlineLevel="1">
      <c r="A3438" s="2182" t="str">
        <f t="shared" si="739"/>
        <v/>
      </c>
      <c r="B3438" s="2261" t="s">
        <v>1083</v>
      </c>
      <c r="C3438" s="2258"/>
      <c r="D3438" s="2152">
        <v>0</v>
      </c>
      <c r="E3438" s="2194" t="s">
        <v>2652</v>
      </c>
      <c r="F3438" s="2152" t="s">
        <v>2385</v>
      </c>
      <c r="G3438" s="2269">
        <f>G3435*2</f>
        <v>0</v>
      </c>
      <c r="H3438" s="2359">
        <v>29900</v>
      </c>
      <c r="I3438" s="2359">
        <v>0</v>
      </c>
      <c r="J3438" s="2359">
        <v>0</v>
      </c>
      <c r="K3438" s="2359"/>
      <c r="L3438" s="2360">
        <f t="shared" si="738"/>
        <v>0</v>
      </c>
      <c r="M3438" s="2360"/>
      <c r="N3438" s="2360"/>
      <c r="O3438" s="2360"/>
      <c r="P3438" s="2265"/>
      <c r="Q3438" s="2266"/>
      <c r="R3438" s="2266"/>
      <c r="S3438" s="2266"/>
    </row>
    <row r="3439" spans="1:19" s="2105" customFormat="1" outlineLevel="1">
      <c r="A3439" s="2182" t="str">
        <f t="shared" si="739"/>
        <v/>
      </c>
      <c r="B3439" s="2261" t="s">
        <v>2242</v>
      </c>
      <c r="C3439" s="2258"/>
      <c r="D3439" s="2152" t="s">
        <v>730</v>
      </c>
      <c r="E3439" s="2194" t="s">
        <v>2440</v>
      </c>
      <c r="F3439" s="2152" t="s">
        <v>2385</v>
      </c>
      <c r="G3439" s="2269">
        <f>G3435</f>
        <v>0</v>
      </c>
      <c r="H3439" s="2359">
        <v>0</v>
      </c>
      <c r="I3439" s="2359"/>
      <c r="J3439" s="2359" t="s">
        <v>6345</v>
      </c>
      <c r="K3439" s="2359"/>
      <c r="L3439" s="2360">
        <f t="shared" si="738"/>
        <v>0</v>
      </c>
      <c r="M3439" s="2360"/>
      <c r="N3439" s="2359">
        <v>0</v>
      </c>
      <c r="O3439" s="2360"/>
      <c r="P3439" s="2265"/>
      <c r="Q3439" s="2266"/>
      <c r="R3439" s="2266"/>
      <c r="S3439" s="2266"/>
    </row>
    <row r="3440" spans="1:19" s="2105" customFormat="1" outlineLevel="1">
      <c r="A3440" s="2182" t="str">
        <f t="shared" si="739"/>
        <v/>
      </c>
      <c r="B3440" s="2261" t="s">
        <v>1610</v>
      </c>
      <c r="C3440" s="2258"/>
      <c r="D3440" s="2152">
        <v>0</v>
      </c>
      <c r="E3440" s="2194" t="s">
        <v>2649</v>
      </c>
      <c r="F3440" s="2152" t="s">
        <v>2385</v>
      </c>
      <c r="G3440" s="2269">
        <f>G3435*2*0</f>
        <v>0</v>
      </c>
      <c r="H3440" s="2359">
        <v>25400</v>
      </c>
      <c r="I3440" s="2359">
        <v>0</v>
      </c>
      <c r="J3440" s="2359">
        <v>0</v>
      </c>
      <c r="K3440" s="2359">
        <v>0</v>
      </c>
      <c r="L3440" s="2360">
        <f t="shared" si="738"/>
        <v>0</v>
      </c>
      <c r="M3440" s="2360">
        <f>I3440*G3440</f>
        <v>0</v>
      </c>
      <c r="N3440" s="2360">
        <f>J3440*G3440</f>
        <v>0</v>
      </c>
      <c r="O3440" s="2360">
        <f>K3440*G3440</f>
        <v>0</v>
      </c>
      <c r="P3440" s="2265"/>
      <c r="Q3440" s="2266"/>
      <c r="R3440" s="2266"/>
      <c r="S3440" s="2266"/>
    </row>
    <row r="3441" spans="1:19" s="2105" customFormat="1" outlineLevel="1">
      <c r="A3441" s="2182" t="str">
        <f t="shared" si="739"/>
        <v/>
      </c>
      <c r="B3441" s="2261" t="s">
        <v>1609</v>
      </c>
      <c r="C3441" s="2258"/>
      <c r="D3441" s="2152">
        <v>0</v>
      </c>
      <c r="E3441" s="2194" t="s">
        <v>2645</v>
      </c>
      <c r="F3441" s="2152" t="s">
        <v>2385</v>
      </c>
      <c r="G3441" s="2269">
        <f>2*G3435*2*0</f>
        <v>0</v>
      </c>
      <c r="H3441" s="2359">
        <v>13400</v>
      </c>
      <c r="I3441" s="2359">
        <v>0</v>
      </c>
      <c r="J3441" s="2359">
        <v>0</v>
      </c>
      <c r="K3441" s="2359">
        <v>0</v>
      </c>
      <c r="L3441" s="2360">
        <f t="shared" si="738"/>
        <v>0</v>
      </c>
      <c r="M3441" s="2360">
        <f>I3441*G3441</f>
        <v>0</v>
      </c>
      <c r="N3441" s="2360">
        <f>J3441*G3441</f>
        <v>0</v>
      </c>
      <c r="O3441" s="2360">
        <f>K3441*G3441</f>
        <v>0</v>
      </c>
      <c r="P3441" s="2265"/>
      <c r="Q3441" s="2266"/>
      <c r="R3441" s="2266"/>
      <c r="S3441" s="2266"/>
    </row>
    <row r="3442" spans="1:19" s="2105" customFormat="1" outlineLevel="1" collapsed="1">
      <c r="A3442" s="2182" t="str">
        <f t="shared" si="739"/>
        <v/>
      </c>
      <c r="B3442" s="2261"/>
      <c r="C3442" s="2258">
        <f>IF(G3442&gt;0,C3435+1,C3435)</f>
        <v>0</v>
      </c>
      <c r="D3442" s="2259"/>
      <c r="E3442" s="2417" t="s">
        <v>6298</v>
      </c>
      <c r="F3442" s="2258" t="s">
        <v>2385</v>
      </c>
      <c r="G3442" s="2263">
        <f>G3389*2</f>
        <v>0</v>
      </c>
      <c r="H3442" s="2264"/>
      <c r="I3442" s="2264"/>
      <c r="J3442" s="2264"/>
      <c r="K3442" s="2264"/>
      <c r="L3442" s="2264">
        <f t="shared" si="738"/>
        <v>0</v>
      </c>
      <c r="M3442" s="2264">
        <f>I3442*G3442</f>
        <v>0</v>
      </c>
      <c r="N3442" s="2264">
        <f>J3442*G3442</f>
        <v>0</v>
      </c>
      <c r="O3442" s="2264">
        <f>K3442*G3442</f>
        <v>0</v>
      </c>
      <c r="P3442" s="2265"/>
      <c r="Q3442" s="2266"/>
      <c r="R3442" s="2266"/>
      <c r="S3442" s="2266"/>
    </row>
    <row r="3443" spans="1:19" s="2105" customFormat="1" ht="14.4" outlineLevel="1">
      <c r="A3443" s="2182" t="str">
        <f>A3442</f>
        <v/>
      </c>
      <c r="B3443" s="2261"/>
      <c r="C3443" s="2258"/>
      <c r="D3443" s="2259"/>
      <c r="E3443" s="2267" t="s">
        <v>6133</v>
      </c>
      <c r="F3443" s="2268"/>
      <c r="G3443" s="2269"/>
      <c r="H3443" s="2264"/>
      <c r="I3443" s="2264"/>
      <c r="J3443" s="2264"/>
      <c r="K3443" s="2264"/>
      <c r="L3443" s="2264">
        <f t="shared" si="738"/>
        <v>0</v>
      </c>
      <c r="M3443" s="2264">
        <f>I3443*G3443</f>
        <v>0</v>
      </c>
      <c r="N3443" s="2264">
        <f>J3443*G3443</f>
        <v>0</v>
      </c>
      <c r="O3443" s="2264">
        <f>K3443*G3443</f>
        <v>0</v>
      </c>
      <c r="P3443" s="2265"/>
      <c r="Q3443" s="2266"/>
      <c r="R3443" s="2266"/>
      <c r="S3443" s="2266"/>
    </row>
    <row r="3444" spans="1:19" s="2105" customFormat="1" outlineLevel="1">
      <c r="A3444" s="2182" t="str">
        <f t="shared" ref="A3444:A3450" si="740">IF(G3444&lt;&gt;0,1,"")</f>
        <v/>
      </c>
      <c r="B3444" s="2261" t="s">
        <v>2022</v>
      </c>
      <c r="C3444" s="2258"/>
      <c r="D3444" s="2152">
        <v>0</v>
      </c>
      <c r="E3444" s="2194" t="s">
        <v>2437</v>
      </c>
      <c r="F3444" s="2152" t="s">
        <v>2248</v>
      </c>
      <c r="G3444" s="2270">
        <f>G3442*9.02*(2.2+4*0.07)*2</f>
        <v>0</v>
      </c>
      <c r="H3444" s="2264">
        <v>31625</v>
      </c>
      <c r="I3444" s="2264"/>
      <c r="J3444" s="2264">
        <v>0</v>
      </c>
      <c r="K3444" s="2264"/>
      <c r="L3444" s="2264">
        <f t="shared" si="738"/>
        <v>0</v>
      </c>
      <c r="M3444" s="2264"/>
      <c r="N3444" s="2264"/>
      <c r="O3444" s="2264"/>
      <c r="P3444" s="2265"/>
      <c r="Q3444" s="2266"/>
      <c r="R3444" s="2266"/>
      <c r="S3444" s="2266"/>
    </row>
    <row r="3445" spans="1:19" s="2105" customFormat="1" outlineLevel="1">
      <c r="A3445" s="2182" t="str">
        <f t="shared" si="740"/>
        <v/>
      </c>
      <c r="B3445" s="2261" t="s">
        <v>1035</v>
      </c>
      <c r="C3445" s="2258"/>
      <c r="D3445" s="2152" t="s">
        <v>554</v>
      </c>
      <c r="E3445" s="2194" t="s">
        <v>6405</v>
      </c>
      <c r="F3445" s="2152" t="s">
        <v>2248</v>
      </c>
      <c r="G3445" s="2270">
        <f>G3442*3.77*0.92*4</f>
        <v>0</v>
      </c>
      <c r="H3445" s="2264">
        <v>31625</v>
      </c>
      <c r="I3445" s="2264"/>
      <c r="J3445" s="2264">
        <v>0</v>
      </c>
      <c r="K3445" s="2264"/>
      <c r="L3445" s="2264">
        <f t="shared" si="738"/>
        <v>0</v>
      </c>
      <c r="M3445" s="2264"/>
      <c r="N3445" s="2264"/>
      <c r="O3445" s="2264"/>
      <c r="P3445" s="2265"/>
      <c r="Q3445" s="2266"/>
      <c r="R3445" s="2266"/>
      <c r="S3445" s="2266"/>
    </row>
    <row r="3446" spans="1:19" s="2105" customFormat="1" outlineLevel="1">
      <c r="A3446" s="2182" t="str">
        <f t="shared" si="740"/>
        <v/>
      </c>
      <c r="B3446" s="2261" t="s">
        <v>1610</v>
      </c>
      <c r="C3446" s="2258"/>
      <c r="D3446" s="2152">
        <v>0</v>
      </c>
      <c r="E3446" s="2194" t="s">
        <v>2649</v>
      </c>
      <c r="F3446" s="2152" t="s">
        <v>2385</v>
      </c>
      <c r="G3446" s="2269">
        <f>G3442*2</f>
        <v>0</v>
      </c>
      <c r="H3446" s="2264">
        <v>25400</v>
      </c>
      <c r="I3446" s="2264">
        <v>0</v>
      </c>
      <c r="J3446" s="2264">
        <v>0</v>
      </c>
      <c r="K3446" s="2264"/>
      <c r="L3446" s="2264">
        <f t="shared" si="738"/>
        <v>0</v>
      </c>
      <c r="M3446" s="2264"/>
      <c r="N3446" s="2264"/>
      <c r="O3446" s="2264"/>
      <c r="P3446" s="2265"/>
      <c r="Q3446" s="2266"/>
      <c r="R3446" s="2266"/>
      <c r="S3446" s="2266"/>
    </row>
    <row r="3447" spans="1:19" s="2105" customFormat="1" outlineLevel="1">
      <c r="A3447" s="2182" t="str">
        <f t="shared" si="740"/>
        <v/>
      </c>
      <c r="B3447" s="2261" t="s">
        <v>1786</v>
      </c>
      <c r="C3447" s="2258"/>
      <c r="D3447" s="2152">
        <v>0</v>
      </c>
      <c r="E3447" s="2194" t="s">
        <v>2639</v>
      </c>
      <c r="F3447" s="2152" t="s">
        <v>2385</v>
      </c>
      <c r="G3447" s="2269">
        <f>G3442*4</f>
        <v>0</v>
      </c>
      <c r="H3447" s="2264">
        <v>12400</v>
      </c>
      <c r="I3447" s="2264">
        <v>0</v>
      </c>
      <c r="J3447" s="2264">
        <v>0</v>
      </c>
      <c r="K3447" s="2264"/>
      <c r="L3447" s="2264">
        <f t="shared" si="738"/>
        <v>0</v>
      </c>
      <c r="M3447" s="2264"/>
      <c r="N3447" s="2264"/>
      <c r="O3447" s="2264"/>
      <c r="P3447" s="2265"/>
      <c r="Q3447" s="2266"/>
      <c r="R3447" s="2266"/>
      <c r="S3447" s="2266"/>
    </row>
    <row r="3448" spans="1:19" s="2105" customFormat="1" outlineLevel="1">
      <c r="A3448" s="2182" t="str">
        <f t="shared" si="740"/>
        <v/>
      </c>
      <c r="B3448" s="2261" t="s">
        <v>1784</v>
      </c>
      <c r="C3448" s="2258"/>
      <c r="D3448" s="2152">
        <v>0</v>
      </c>
      <c r="E3448" s="2194" t="s">
        <v>2660</v>
      </c>
      <c r="F3448" s="2152" t="s">
        <v>2385</v>
      </c>
      <c r="G3448" s="2269">
        <f>G3442*4</f>
        <v>0</v>
      </c>
      <c r="H3448" s="2264">
        <v>31800</v>
      </c>
      <c r="I3448" s="2264">
        <v>0</v>
      </c>
      <c r="J3448" s="2264">
        <v>0</v>
      </c>
      <c r="K3448" s="2264">
        <v>0</v>
      </c>
      <c r="L3448" s="2264">
        <f t="shared" si="738"/>
        <v>0</v>
      </c>
      <c r="M3448" s="2264">
        <f>I3448*G3448</f>
        <v>0</v>
      </c>
      <c r="N3448" s="2264">
        <f>J3448*G3448</f>
        <v>0</v>
      </c>
      <c r="O3448" s="2264">
        <f>K3448*G3448</f>
        <v>0</v>
      </c>
      <c r="P3448" s="2265"/>
      <c r="Q3448" s="2266"/>
      <c r="R3448" s="2266"/>
      <c r="S3448" s="2266"/>
    </row>
    <row r="3449" spans="1:19" s="2105" customFormat="1" outlineLevel="1">
      <c r="A3449" s="2182" t="str">
        <f t="shared" si="740"/>
        <v/>
      </c>
      <c r="B3449" s="2261" t="s">
        <v>517</v>
      </c>
      <c r="C3449" s="2258"/>
      <c r="D3449" s="2152" t="s">
        <v>1457</v>
      </c>
      <c r="E3449" s="2194" t="s">
        <v>3173</v>
      </c>
      <c r="F3449" s="2152" t="s">
        <v>2385</v>
      </c>
      <c r="G3449" s="2269">
        <f>G3442</f>
        <v>0</v>
      </c>
      <c r="H3449" s="2264"/>
      <c r="I3449" s="2264"/>
      <c r="J3449" s="2264" t="s">
        <v>6391</v>
      </c>
      <c r="K3449" s="2264"/>
      <c r="L3449" s="2264">
        <f t="shared" si="738"/>
        <v>0</v>
      </c>
      <c r="M3449" s="2264"/>
      <c r="N3449" s="2264">
        <v>0</v>
      </c>
      <c r="O3449" s="2264"/>
      <c r="P3449" s="2265"/>
      <c r="Q3449" s="2266"/>
      <c r="R3449" s="2266"/>
      <c r="S3449" s="2266"/>
    </row>
    <row r="3450" spans="1:19" s="2105" customFormat="1" outlineLevel="1">
      <c r="A3450" s="2182" t="str">
        <f t="shared" si="740"/>
        <v/>
      </c>
      <c r="B3450" s="2261"/>
      <c r="C3450" s="2258">
        <f>IF(G3450&gt;0,C3442+1,C3442)</f>
        <v>0</v>
      </c>
      <c r="D3450" s="2259"/>
      <c r="E3450" s="2417" t="s">
        <v>6289</v>
      </c>
      <c r="F3450" s="2258" t="s">
        <v>2385</v>
      </c>
      <c r="G3450" s="2263">
        <f>G3389*2</f>
        <v>0</v>
      </c>
      <c r="H3450" s="2264"/>
      <c r="I3450" s="2264"/>
      <c r="J3450" s="2264"/>
      <c r="K3450" s="2264"/>
      <c r="L3450" s="2264">
        <f t="shared" si="738"/>
        <v>0</v>
      </c>
      <c r="M3450" s="2264">
        <f>I3450*G3450</f>
        <v>0</v>
      </c>
      <c r="N3450" s="2264">
        <f>J3450*G3450</f>
        <v>0</v>
      </c>
      <c r="O3450" s="2264">
        <f>K3450*G3450</f>
        <v>0</v>
      </c>
      <c r="P3450" s="2265"/>
      <c r="Q3450" s="2266"/>
      <c r="R3450" s="2266"/>
      <c r="S3450" s="2266"/>
    </row>
    <row r="3451" spans="1:19" s="2105" customFormat="1" ht="14.4" outlineLevel="1">
      <c r="A3451" s="2182" t="str">
        <f>A3450</f>
        <v/>
      </c>
      <c r="B3451" s="2261"/>
      <c r="C3451" s="2258"/>
      <c r="D3451" s="2259"/>
      <c r="E3451" s="2267" t="s">
        <v>6133</v>
      </c>
      <c r="F3451" s="2268"/>
      <c r="G3451" s="2269"/>
      <c r="H3451" s="2264"/>
      <c r="I3451" s="2264"/>
      <c r="J3451" s="2264"/>
      <c r="K3451" s="2264"/>
      <c r="L3451" s="2264">
        <f t="shared" si="738"/>
        <v>0</v>
      </c>
      <c r="M3451" s="2264">
        <f>I3451*G3451</f>
        <v>0</v>
      </c>
      <c r="N3451" s="2264">
        <f>J3451*G3451</f>
        <v>0</v>
      </c>
      <c r="O3451" s="2264">
        <f>K3451*G3451</f>
        <v>0</v>
      </c>
      <c r="P3451" s="2265"/>
      <c r="Q3451" s="2266"/>
      <c r="R3451" s="2266"/>
      <c r="S3451" s="2266"/>
    </row>
    <row r="3452" spans="1:19" s="2105" customFormat="1" outlineLevel="1">
      <c r="A3452" s="2182" t="str">
        <f t="shared" ref="A3452:A3458" si="741">IF(G3452&lt;&gt;0,1,"")</f>
        <v/>
      </c>
      <c r="B3452" s="2261" t="s">
        <v>2022</v>
      </c>
      <c r="C3452" s="2258"/>
      <c r="D3452" s="2152">
        <v>0</v>
      </c>
      <c r="E3452" s="2194" t="s">
        <v>2437</v>
      </c>
      <c r="F3452" s="2152" t="s">
        <v>2248</v>
      </c>
      <c r="G3452" s="2270">
        <f>G3450*9.02*(2.2+4*0.07)</f>
        <v>0</v>
      </c>
      <c r="H3452" s="2264">
        <v>31625</v>
      </c>
      <c r="I3452" s="2264"/>
      <c r="J3452" s="2264">
        <v>0</v>
      </c>
      <c r="K3452" s="2264"/>
      <c r="L3452" s="2264">
        <f t="shared" si="738"/>
        <v>0</v>
      </c>
      <c r="M3452" s="2264"/>
      <c r="N3452" s="2264"/>
      <c r="O3452" s="2264"/>
      <c r="P3452" s="2265"/>
      <c r="Q3452" s="2266"/>
      <c r="R3452" s="2266"/>
      <c r="S3452" s="2266"/>
    </row>
    <row r="3453" spans="1:19" s="2105" customFormat="1" outlineLevel="1">
      <c r="A3453" s="2182" t="str">
        <f t="shared" si="741"/>
        <v/>
      </c>
      <c r="B3453" s="2261" t="s">
        <v>1035</v>
      </c>
      <c r="C3453" s="2258"/>
      <c r="D3453" s="2152">
        <v>0</v>
      </c>
      <c r="E3453" s="2194" t="s">
        <v>6405</v>
      </c>
      <c r="F3453" s="2152" t="s">
        <v>2248</v>
      </c>
      <c r="G3453" s="2270">
        <f>G3450*3.77*0.92*2</f>
        <v>0</v>
      </c>
      <c r="H3453" s="2264">
        <v>31625</v>
      </c>
      <c r="I3453" s="2264"/>
      <c r="J3453" s="2264">
        <v>0</v>
      </c>
      <c r="K3453" s="2264"/>
      <c r="L3453" s="2264">
        <f t="shared" si="738"/>
        <v>0</v>
      </c>
      <c r="M3453" s="2264"/>
      <c r="N3453" s="2264"/>
      <c r="O3453" s="2264"/>
      <c r="P3453" s="2265"/>
      <c r="Q3453" s="2266"/>
      <c r="R3453" s="2266"/>
      <c r="S3453" s="2266"/>
    </row>
    <row r="3454" spans="1:19" s="2105" customFormat="1" outlineLevel="1">
      <c r="A3454" s="2182" t="str">
        <f t="shared" si="741"/>
        <v/>
      </c>
      <c r="B3454" s="2261" t="s">
        <v>1079</v>
      </c>
      <c r="C3454" s="2258"/>
      <c r="D3454" s="2152">
        <v>0</v>
      </c>
      <c r="E3454" s="2194" t="s">
        <v>2651</v>
      </c>
      <c r="F3454" s="2152" t="s">
        <v>2385</v>
      </c>
      <c r="G3454" s="2269">
        <f>G3450*2</f>
        <v>0</v>
      </c>
      <c r="H3454" s="2264">
        <v>27900</v>
      </c>
      <c r="I3454" s="2264">
        <v>0</v>
      </c>
      <c r="J3454" s="2264">
        <v>0</v>
      </c>
      <c r="K3454" s="2264"/>
      <c r="L3454" s="2264">
        <f t="shared" si="738"/>
        <v>0</v>
      </c>
      <c r="M3454" s="2264"/>
      <c r="N3454" s="2264"/>
      <c r="O3454" s="2264"/>
      <c r="P3454" s="2265"/>
      <c r="Q3454" s="2266"/>
      <c r="R3454" s="2266"/>
      <c r="S3454" s="2266"/>
    </row>
    <row r="3455" spans="1:19" s="2105" customFormat="1" outlineLevel="1">
      <c r="A3455" s="2182" t="str">
        <f t="shared" si="741"/>
        <v/>
      </c>
      <c r="B3455" s="2261" t="s">
        <v>1786</v>
      </c>
      <c r="C3455" s="2258"/>
      <c r="D3455" s="2152">
        <v>0</v>
      </c>
      <c r="E3455" s="2194" t="s">
        <v>2639</v>
      </c>
      <c r="F3455" s="2152" t="s">
        <v>2385</v>
      </c>
      <c r="G3455" s="2269">
        <f>G3450*2</f>
        <v>0</v>
      </c>
      <c r="H3455" s="2264">
        <v>12400</v>
      </c>
      <c r="I3455" s="2264">
        <v>0</v>
      </c>
      <c r="J3455" s="2264">
        <v>0</v>
      </c>
      <c r="K3455" s="2264"/>
      <c r="L3455" s="2264">
        <f t="shared" si="738"/>
        <v>0</v>
      </c>
      <c r="M3455" s="2264"/>
      <c r="N3455" s="2264"/>
      <c r="O3455" s="2264"/>
      <c r="P3455" s="2265"/>
      <c r="Q3455" s="2266"/>
      <c r="R3455" s="2266"/>
      <c r="S3455" s="2266"/>
    </row>
    <row r="3456" spans="1:19" s="2105" customFormat="1" outlineLevel="1">
      <c r="A3456" s="2182" t="str">
        <f t="shared" si="741"/>
        <v/>
      </c>
      <c r="B3456" s="2261" t="s">
        <v>988</v>
      </c>
      <c r="C3456" s="2258"/>
      <c r="D3456" s="2152">
        <v>0</v>
      </c>
      <c r="E3456" s="2194" t="s">
        <v>5270</v>
      </c>
      <c r="F3456" s="2152" t="s">
        <v>2385</v>
      </c>
      <c r="G3456" s="2269">
        <f>G3450/3</f>
        <v>0</v>
      </c>
      <c r="H3456" s="2264">
        <v>178900</v>
      </c>
      <c r="I3456" s="2264">
        <v>0</v>
      </c>
      <c r="J3456" s="2264">
        <v>0</v>
      </c>
      <c r="K3456" s="2264"/>
      <c r="L3456" s="2264">
        <f t="shared" si="738"/>
        <v>0</v>
      </c>
      <c r="M3456" s="2264"/>
      <c r="N3456" s="2264"/>
      <c r="O3456" s="2264"/>
      <c r="P3456" s="2265"/>
      <c r="Q3456" s="2266"/>
      <c r="R3456" s="2266"/>
      <c r="S3456" s="2266"/>
    </row>
    <row r="3457" spans="1:19" s="2105" customFormat="1" outlineLevel="1">
      <c r="A3457" s="2182" t="str">
        <f t="shared" si="741"/>
        <v/>
      </c>
      <c r="B3457" s="2261" t="s">
        <v>1998</v>
      </c>
      <c r="C3457" s="2258"/>
      <c r="D3457" s="2152" t="s">
        <v>2265</v>
      </c>
      <c r="E3457" s="2194" t="s">
        <v>5429</v>
      </c>
      <c r="F3457" s="2152" t="s">
        <v>2385</v>
      </c>
      <c r="G3457" s="2269">
        <f>G3450</f>
        <v>0</v>
      </c>
      <c r="H3457" s="2264"/>
      <c r="I3457" s="2264"/>
      <c r="J3457" s="2264" t="s">
        <v>6329</v>
      </c>
      <c r="K3457" s="2264"/>
      <c r="L3457" s="2264">
        <f t="shared" si="738"/>
        <v>0</v>
      </c>
      <c r="M3457" s="2264"/>
      <c r="N3457" s="2264">
        <v>0</v>
      </c>
      <c r="O3457" s="2264"/>
      <c r="P3457" s="2265"/>
      <c r="Q3457" s="2266"/>
      <c r="R3457" s="2266"/>
      <c r="S3457" s="2266"/>
    </row>
    <row r="3458" spans="1:19" s="2105" customFormat="1" outlineLevel="1">
      <c r="A3458" s="2182" t="str">
        <f t="shared" si="741"/>
        <v/>
      </c>
      <c r="B3458" s="2261"/>
      <c r="C3458" s="2258">
        <f>IF(G3458&gt;0,C3450+1,C3450)</f>
        <v>0</v>
      </c>
      <c r="D3458" s="2259"/>
      <c r="E3458" s="2417" t="s">
        <v>4377</v>
      </c>
      <c r="F3458" s="2258" t="s">
        <v>2385</v>
      </c>
      <c r="G3458" s="2263">
        <f>G3389</f>
        <v>0</v>
      </c>
      <c r="H3458" s="2264"/>
      <c r="I3458" s="2264"/>
      <c r="J3458" s="2264"/>
      <c r="K3458" s="2264"/>
      <c r="L3458" s="2264">
        <f t="shared" si="738"/>
        <v>0</v>
      </c>
      <c r="M3458" s="2264">
        <f>I3458*G3458</f>
        <v>0</v>
      </c>
      <c r="N3458" s="2264">
        <f t="shared" ref="N3458:N3466" si="742">J3458*G3458</f>
        <v>0</v>
      </c>
      <c r="O3458" s="2264">
        <f>K3458*G3458</f>
        <v>0</v>
      </c>
      <c r="P3458" s="2265"/>
      <c r="Q3458" s="2266"/>
      <c r="R3458" s="2266"/>
      <c r="S3458" s="2266"/>
    </row>
    <row r="3459" spans="1:19" s="2105" customFormat="1" ht="14.4" outlineLevel="1">
      <c r="A3459" s="2182"/>
      <c r="B3459" s="2418"/>
      <c r="C3459" s="2258"/>
      <c r="D3459" s="2259"/>
      <c r="E3459" s="2267" t="s">
        <v>6290</v>
      </c>
      <c r="F3459" s="2268"/>
      <c r="G3459" s="2269"/>
      <c r="H3459" s="2264"/>
      <c r="I3459" s="2264"/>
      <c r="J3459" s="2264"/>
      <c r="K3459" s="2264"/>
      <c r="L3459" s="2264">
        <f t="shared" si="738"/>
        <v>0</v>
      </c>
      <c r="M3459" s="2264">
        <f>I3459*G3459</f>
        <v>0</v>
      </c>
      <c r="N3459" s="2264">
        <f t="shared" si="742"/>
        <v>0</v>
      </c>
      <c r="O3459" s="2264">
        <f>K3459*G3459</f>
        <v>0</v>
      </c>
      <c r="P3459" s="2265"/>
      <c r="Q3459" s="2266"/>
      <c r="R3459" s="2266"/>
      <c r="S3459" s="2266"/>
    </row>
    <row r="3460" spans="1:19" s="2105" customFormat="1" outlineLevel="1">
      <c r="A3460" s="2182" t="str">
        <f t="shared" ref="A3460:A3466" si="743">IF(G3460&lt;&gt;0,1,"")</f>
        <v/>
      </c>
      <c r="B3460" s="2261" t="s">
        <v>1033</v>
      </c>
      <c r="C3460" s="2258"/>
      <c r="D3460" s="2152">
        <v>0</v>
      </c>
      <c r="E3460" s="2194" t="s">
        <v>2700</v>
      </c>
      <c r="F3460" s="2152" t="s">
        <v>2248</v>
      </c>
      <c r="G3460" s="2270">
        <f>H3*0.224*G3458</f>
        <v>0</v>
      </c>
      <c r="H3460" s="2264">
        <v>255500</v>
      </c>
      <c r="I3460" s="2264"/>
      <c r="J3460" s="2264">
        <v>0</v>
      </c>
      <c r="K3460" s="2264">
        <v>0</v>
      </c>
      <c r="L3460" s="2264">
        <f t="shared" si="738"/>
        <v>0</v>
      </c>
      <c r="M3460" s="2264">
        <f>I3460*G3460</f>
        <v>0</v>
      </c>
      <c r="N3460" s="2264">
        <f t="shared" si="742"/>
        <v>0</v>
      </c>
      <c r="O3460" s="2264">
        <f>K3460*G3460</f>
        <v>0</v>
      </c>
      <c r="P3460" s="2265"/>
      <c r="Q3460" s="2266"/>
      <c r="R3460" s="2266"/>
      <c r="S3460" s="2266"/>
    </row>
    <row r="3461" spans="1:19" s="2105" customFormat="1" outlineLevel="1">
      <c r="A3461" s="2182" t="str">
        <f t="shared" si="743"/>
        <v/>
      </c>
      <c r="B3461" s="2252" t="s">
        <v>1508</v>
      </c>
      <c r="C3461" s="2258"/>
      <c r="D3461" s="2152">
        <v>0</v>
      </c>
      <c r="E3461" s="2194" t="s">
        <v>5163</v>
      </c>
      <c r="F3461" s="2152" t="s">
        <v>2439</v>
      </c>
      <c r="G3461" s="2269">
        <f>H2*G3458</f>
        <v>0</v>
      </c>
      <c r="H3461" s="2264">
        <v>160000</v>
      </c>
      <c r="I3461" s="2264"/>
      <c r="J3461" s="2264">
        <v>0</v>
      </c>
      <c r="K3461" s="2264">
        <v>0</v>
      </c>
      <c r="L3461" s="2264">
        <f t="shared" si="738"/>
        <v>0</v>
      </c>
      <c r="M3461" s="2264">
        <f>I3461*G3461</f>
        <v>0</v>
      </c>
      <c r="N3461" s="2264">
        <f t="shared" si="742"/>
        <v>0</v>
      </c>
      <c r="O3461" s="2264">
        <f>K3461*G3461</f>
        <v>0</v>
      </c>
      <c r="P3461" s="2265"/>
      <c r="Q3461" s="2266"/>
      <c r="R3461" s="2266"/>
      <c r="S3461" s="2266"/>
    </row>
    <row r="3462" spans="1:19" s="2105" customFormat="1" outlineLevel="1">
      <c r="A3462" s="2182" t="str">
        <f t="shared" si="743"/>
        <v/>
      </c>
      <c r="B3462" s="2252" t="s">
        <v>1585</v>
      </c>
      <c r="C3462" s="2258"/>
      <c r="D3462" s="2152">
        <v>0</v>
      </c>
      <c r="E3462" s="2194" t="s">
        <v>5713</v>
      </c>
      <c r="F3462" s="2152" t="s">
        <v>3445</v>
      </c>
      <c r="G3462" s="2269">
        <f>G3458*$L$3</f>
        <v>0</v>
      </c>
      <c r="H3462" s="2264">
        <v>0</v>
      </c>
      <c r="I3462" s="2264"/>
      <c r="J3462" s="2264">
        <v>1500000</v>
      </c>
      <c r="K3462" s="2264">
        <v>0</v>
      </c>
      <c r="L3462" s="2264">
        <f>H3462*G3462</f>
        <v>0</v>
      </c>
      <c r="M3462" s="2264">
        <f>I3462*G3462</f>
        <v>0</v>
      </c>
      <c r="N3462" s="2264">
        <f t="shared" si="742"/>
        <v>0</v>
      </c>
      <c r="O3462" s="2264">
        <f>K3462*G3462</f>
        <v>0</v>
      </c>
      <c r="P3462" s="2265"/>
      <c r="Q3462" s="2266"/>
      <c r="R3462" s="2266"/>
      <c r="S3462" s="2266"/>
    </row>
    <row r="3463" spans="1:19" s="2105" customFormat="1" outlineLevel="1">
      <c r="A3463" s="2182" t="str">
        <f t="shared" si="743"/>
        <v/>
      </c>
      <c r="B3463" s="2261" t="s">
        <v>1579</v>
      </c>
      <c r="C3463" s="2258"/>
      <c r="D3463" s="2152">
        <v>0</v>
      </c>
      <c r="E3463" s="2194" t="s">
        <v>2873</v>
      </c>
      <c r="F3463" s="2152" t="s">
        <v>2555</v>
      </c>
      <c r="G3463" s="2269">
        <f>2*G3458</f>
        <v>0</v>
      </c>
      <c r="H3463" s="2264">
        <v>8000</v>
      </c>
      <c r="I3463" s="2264"/>
      <c r="J3463" s="2264">
        <v>0</v>
      </c>
      <c r="K3463" s="2264"/>
      <c r="L3463" s="2264">
        <f>H3463*G3463</f>
        <v>0</v>
      </c>
      <c r="M3463" s="2264"/>
      <c r="N3463" s="2264">
        <f t="shared" si="742"/>
        <v>0</v>
      </c>
      <c r="O3463" s="2264"/>
      <c r="P3463" s="2265"/>
      <c r="Q3463" s="2266"/>
      <c r="R3463" s="2266"/>
      <c r="S3463" s="2266"/>
    </row>
    <row r="3464" spans="1:19" s="2105" customFormat="1" outlineLevel="1">
      <c r="A3464" s="2182" t="str">
        <f t="shared" si="743"/>
        <v/>
      </c>
      <c r="B3464" s="2261" t="s">
        <v>816</v>
      </c>
      <c r="C3464" s="2258"/>
      <c r="D3464" s="2152">
        <v>0</v>
      </c>
      <c r="E3464" s="2194" t="s">
        <v>3581</v>
      </c>
      <c r="F3464" s="2152" t="s">
        <v>2555</v>
      </c>
      <c r="G3464" s="2269">
        <f>IF(G3461&lt;=12,15,21)*G3458</f>
        <v>0</v>
      </c>
      <c r="H3464" s="2264">
        <v>17600</v>
      </c>
      <c r="I3464" s="2264"/>
      <c r="J3464" s="2264">
        <v>0</v>
      </c>
      <c r="K3464" s="2264"/>
      <c r="L3464" s="2264">
        <f>H3464*G3464</f>
        <v>0</v>
      </c>
      <c r="M3464" s="2264">
        <f>I3464*G3464</f>
        <v>0</v>
      </c>
      <c r="N3464" s="2264">
        <f t="shared" si="742"/>
        <v>0</v>
      </c>
      <c r="O3464" s="2264">
        <f>K3464*G3464</f>
        <v>0</v>
      </c>
      <c r="P3464" s="2265"/>
      <c r="Q3464" s="2266"/>
      <c r="R3464" s="2266"/>
      <c r="S3464" s="2266"/>
    </row>
    <row r="3465" spans="1:19" s="2105" customFormat="1" outlineLevel="1">
      <c r="A3465" s="2182" t="str">
        <f t="shared" si="743"/>
        <v/>
      </c>
      <c r="B3465" s="2252" t="s">
        <v>525</v>
      </c>
      <c r="C3465" s="2258"/>
      <c r="D3465" s="2152">
        <v>0</v>
      </c>
      <c r="E3465" s="2194" t="s">
        <v>5252</v>
      </c>
      <c r="F3465" s="2152" t="s">
        <v>2439</v>
      </c>
      <c r="G3465" s="2269">
        <f>G3458*2</f>
        <v>0</v>
      </c>
      <c r="H3465" s="2264">
        <v>43000</v>
      </c>
      <c r="I3465" s="2264"/>
      <c r="J3465" s="2264">
        <v>0</v>
      </c>
      <c r="K3465" s="2264">
        <v>0</v>
      </c>
      <c r="L3465" s="2264">
        <f>H3465*G3465</f>
        <v>0</v>
      </c>
      <c r="M3465" s="2264">
        <f>I3465*G3465</f>
        <v>0</v>
      </c>
      <c r="N3465" s="2264">
        <f t="shared" si="742"/>
        <v>0</v>
      </c>
      <c r="O3465" s="2264">
        <f>K3465*G3465</f>
        <v>0</v>
      </c>
      <c r="P3465" s="2265"/>
      <c r="Q3465" s="2266"/>
      <c r="R3465" s="2266"/>
      <c r="S3465" s="2266"/>
    </row>
    <row r="3466" spans="1:19" s="2105" customFormat="1" outlineLevel="1">
      <c r="A3466" s="2182" t="str">
        <f t="shared" si="743"/>
        <v/>
      </c>
      <c r="B3466" s="2252" t="s">
        <v>1490</v>
      </c>
      <c r="C3466" s="2258"/>
      <c r="D3466" s="2152">
        <v>0</v>
      </c>
      <c r="E3466" s="2194" t="s">
        <v>3536</v>
      </c>
      <c r="F3466" s="2152" t="s">
        <v>1823</v>
      </c>
      <c r="G3466" s="2269">
        <f>G3458*3</f>
        <v>0</v>
      </c>
      <c r="H3466" s="2264">
        <v>6200</v>
      </c>
      <c r="I3466" s="2264"/>
      <c r="J3466" s="2264">
        <v>0</v>
      </c>
      <c r="K3466" s="2264">
        <v>0</v>
      </c>
      <c r="L3466" s="2264">
        <f>H3466*G3466</f>
        <v>0</v>
      </c>
      <c r="M3466" s="2264">
        <f>I3466*G3466</f>
        <v>0</v>
      </c>
      <c r="N3466" s="2264">
        <f t="shared" si="742"/>
        <v>0</v>
      </c>
      <c r="O3466" s="2264">
        <f>K3466*G3466</f>
        <v>0</v>
      </c>
      <c r="P3466" s="2265"/>
      <c r="Q3466" s="2266"/>
      <c r="R3466" s="2266"/>
      <c r="S3466" s="2266"/>
    </row>
    <row r="3467" spans="1:19" s="2105" customFormat="1" outlineLevel="1">
      <c r="A3467" s="2182">
        <f>IF(G3467=0,0,1)</f>
        <v>0</v>
      </c>
      <c r="B3467" s="2252" t="s">
        <v>794</v>
      </c>
      <c r="C3467" s="2268"/>
      <c r="D3467" s="2152" t="s">
        <v>5336</v>
      </c>
      <c r="E3467" s="2194" t="s">
        <v>3068</v>
      </c>
      <c r="F3467" s="2501" t="s">
        <v>856</v>
      </c>
      <c r="G3467" s="2420">
        <f>H4*G3458</f>
        <v>0</v>
      </c>
      <c r="H3467" s="2264">
        <v>0</v>
      </c>
      <c r="I3467" s="2264"/>
      <c r="J3467" s="2264">
        <v>283749.75</v>
      </c>
      <c r="K3467" s="2264">
        <v>0</v>
      </c>
      <c r="L3467" s="2264">
        <f t="shared" ref="L3467:O3468" si="744">H3467*$G3467</f>
        <v>0</v>
      </c>
      <c r="M3467" s="2264">
        <f t="shared" si="744"/>
        <v>0</v>
      </c>
      <c r="N3467" s="2264">
        <f t="shared" si="744"/>
        <v>0</v>
      </c>
      <c r="O3467" s="2264">
        <f t="shared" si="744"/>
        <v>0</v>
      </c>
      <c r="P3467" s="2265"/>
      <c r="Q3467" s="2266"/>
      <c r="R3467" s="2266"/>
      <c r="S3467" s="2266"/>
    </row>
    <row r="3468" spans="1:19" s="2105" customFormat="1" outlineLevel="1">
      <c r="A3468" s="2182">
        <f>IF(G3468=0,0,1)</f>
        <v>0</v>
      </c>
      <c r="B3468" s="2252" t="s">
        <v>798</v>
      </c>
      <c r="C3468" s="2268"/>
      <c r="D3468" s="2152" t="s">
        <v>5325</v>
      </c>
      <c r="E3468" s="2194" t="s">
        <v>5337</v>
      </c>
      <c r="F3468" s="2501" t="s">
        <v>856</v>
      </c>
      <c r="G3468" s="2420">
        <f>+G3467</f>
        <v>0</v>
      </c>
      <c r="H3468" s="2264">
        <v>0</v>
      </c>
      <c r="I3468" s="2264"/>
      <c r="J3468" s="2264">
        <v>117703.6</v>
      </c>
      <c r="K3468" s="2264">
        <v>0</v>
      </c>
      <c r="L3468" s="2264">
        <f t="shared" si="744"/>
        <v>0</v>
      </c>
      <c r="M3468" s="2264">
        <f t="shared" si="744"/>
        <v>0</v>
      </c>
      <c r="N3468" s="2264">
        <f t="shared" si="744"/>
        <v>0</v>
      </c>
      <c r="O3468" s="2264">
        <f t="shared" si="744"/>
        <v>0</v>
      </c>
      <c r="P3468" s="2265"/>
      <c r="Q3468" s="2266"/>
      <c r="R3468" s="2266"/>
      <c r="S3468" s="2266"/>
    </row>
    <row r="3469" spans="1:19" s="2105" customFormat="1" outlineLevel="1">
      <c r="A3469" s="2182">
        <f>IF(G3469=0,0,1)</f>
        <v>0</v>
      </c>
      <c r="B3469" s="2252" t="s">
        <v>902</v>
      </c>
      <c r="C3469" s="2268"/>
      <c r="D3469" s="2152" t="s">
        <v>5351</v>
      </c>
      <c r="E3469" s="2194" t="s">
        <v>5352</v>
      </c>
      <c r="F3469" s="2501" t="s">
        <v>856</v>
      </c>
      <c r="G3469" s="2389">
        <f>G3461+G3462</f>
        <v>0</v>
      </c>
      <c r="H3469" s="2264">
        <v>0</v>
      </c>
      <c r="I3469" s="2264"/>
      <c r="J3469" s="2264" t="s">
        <v>6312</v>
      </c>
      <c r="K3469" s="2264">
        <v>0</v>
      </c>
      <c r="L3469" s="2264">
        <f>H3469*$G3469</f>
        <v>0</v>
      </c>
      <c r="M3469" s="2264">
        <f>I3469*$G3469</f>
        <v>0</v>
      </c>
      <c r="N3469" s="2264">
        <v>0</v>
      </c>
      <c r="O3469" s="2264">
        <f>K3469*$G3469</f>
        <v>0</v>
      </c>
      <c r="P3469" s="2265"/>
      <c r="Q3469" s="2266"/>
      <c r="R3469" s="2266"/>
      <c r="S3469" s="2266"/>
    </row>
    <row r="3470" spans="1:19" s="2105" customFormat="1" outlineLevel="1">
      <c r="A3470" s="2182" t="str">
        <f>IF(G3470&lt;&gt;0,1,"")</f>
        <v/>
      </c>
      <c r="B3470" s="2252" t="s">
        <v>1437</v>
      </c>
      <c r="C3470" s="2258"/>
      <c r="D3470" s="2152" t="s">
        <v>5346</v>
      </c>
      <c r="E3470" s="2194" t="s">
        <v>5347</v>
      </c>
      <c r="F3470" s="2152" t="s">
        <v>2532</v>
      </c>
      <c r="G3470" s="2269">
        <f>+G3460/0.224</f>
        <v>0</v>
      </c>
      <c r="H3470" s="2264">
        <v>0</v>
      </c>
      <c r="I3470" s="2264"/>
      <c r="J3470" s="2264">
        <v>8070.7000000000007</v>
      </c>
      <c r="K3470" s="2264">
        <v>2044.9974999999999</v>
      </c>
      <c r="L3470" s="2264">
        <f>H3470*G3470</f>
        <v>0</v>
      </c>
      <c r="M3470" s="2264">
        <f>I3470*G3470</f>
        <v>0</v>
      </c>
      <c r="N3470" s="2264">
        <f>J3470*G3470</f>
        <v>0</v>
      </c>
      <c r="O3470" s="2264">
        <f>K3470*G3470</f>
        <v>0</v>
      </c>
      <c r="P3470" s="2265"/>
      <c r="Q3470" s="2266"/>
      <c r="R3470" s="2266"/>
      <c r="S3470" s="2266"/>
    </row>
    <row r="3471" spans="1:19" s="2105" customFormat="1" outlineLevel="1">
      <c r="A3471" s="2182" t="str">
        <f>IF(G3471&lt;&gt;0,1,"")</f>
        <v/>
      </c>
      <c r="B3471" s="2261"/>
      <c r="C3471" s="2258">
        <f>IF(G3471&gt;0,C3458+1,C3458)</f>
        <v>0</v>
      </c>
      <c r="D3471" s="2259"/>
      <c r="E3471" s="2376" t="s">
        <v>6301</v>
      </c>
      <c r="F3471" s="2258" t="s">
        <v>2385</v>
      </c>
      <c r="G3471" s="2263">
        <f>G3389</f>
        <v>0</v>
      </c>
      <c r="H3471" s="2264"/>
      <c r="I3471" s="2264"/>
      <c r="J3471" s="2264"/>
      <c r="K3471" s="2264"/>
      <c r="L3471" s="2264">
        <f t="shared" ref="L3471:L3493" si="745">H3471*G3471</f>
        <v>0</v>
      </c>
      <c r="M3471" s="2264">
        <f t="shared" ref="M3471:M3493" si="746">I3471*G3471</f>
        <v>0</v>
      </c>
      <c r="N3471" s="2264">
        <f t="shared" ref="N3471:N3493" si="747">J3471*G3471</f>
        <v>0</v>
      </c>
      <c r="O3471" s="2264">
        <f t="shared" ref="O3471:O3493" si="748">K3471*G3471</f>
        <v>0</v>
      </c>
      <c r="P3471" s="2265"/>
      <c r="Q3471" s="2266"/>
      <c r="R3471" s="2266"/>
      <c r="S3471" s="2266"/>
    </row>
    <row r="3472" spans="1:19" s="2105" customFormat="1" ht="14.4" outlineLevel="1">
      <c r="A3472" s="2182" t="str">
        <f>A3471</f>
        <v/>
      </c>
      <c r="B3472" s="2261"/>
      <c r="C3472" s="2258"/>
      <c r="D3472" s="2259"/>
      <c r="E3472" s="2267" t="s">
        <v>6133</v>
      </c>
      <c r="F3472" s="2268"/>
      <c r="G3472" s="2269"/>
      <c r="H3472" s="2264"/>
      <c r="I3472" s="2264"/>
      <c r="J3472" s="2264"/>
      <c r="K3472" s="2264"/>
      <c r="L3472" s="2264">
        <f t="shared" si="745"/>
        <v>0</v>
      </c>
      <c r="M3472" s="2264">
        <f t="shared" si="746"/>
        <v>0</v>
      </c>
      <c r="N3472" s="2264">
        <f t="shared" si="747"/>
        <v>0</v>
      </c>
      <c r="O3472" s="2264">
        <f t="shared" si="748"/>
        <v>0</v>
      </c>
      <c r="P3472" s="2265"/>
      <c r="Q3472" s="2266"/>
      <c r="R3472" s="2266"/>
      <c r="S3472" s="2266"/>
    </row>
    <row r="3473" spans="1:19" s="2105" customFormat="1" outlineLevel="1">
      <c r="A3473" s="2182" t="str">
        <f>IF(G3473&lt;&gt;0,1,"")</f>
        <v/>
      </c>
      <c r="B3473" s="2261" t="s">
        <v>6302</v>
      </c>
      <c r="C3473" s="2268"/>
      <c r="D3473" s="2152" t="s">
        <v>5633</v>
      </c>
      <c r="E3473" s="2194" t="s">
        <v>5640</v>
      </c>
      <c r="F3473" s="2152" t="s">
        <v>2555</v>
      </c>
      <c r="G3473" s="2270">
        <f>G3471</f>
        <v>0</v>
      </c>
      <c r="H3473" s="2264">
        <v>80000000</v>
      </c>
      <c r="I3473" s="2264"/>
      <c r="J3473" s="2264">
        <v>690091</v>
      </c>
      <c r="K3473" s="2264">
        <v>97369</v>
      </c>
      <c r="L3473" s="2264">
        <f t="shared" si="745"/>
        <v>0</v>
      </c>
      <c r="M3473" s="2264">
        <f t="shared" si="746"/>
        <v>0</v>
      </c>
      <c r="N3473" s="2264">
        <f t="shared" si="747"/>
        <v>0</v>
      </c>
      <c r="O3473" s="2264">
        <f t="shared" si="748"/>
        <v>0</v>
      </c>
      <c r="P3473" s="2265"/>
      <c r="Q3473" s="2266"/>
      <c r="R3473" s="2266"/>
      <c r="S3473" s="2266"/>
    </row>
    <row r="3474" spans="1:19" s="2105" customFormat="1" outlineLevel="1">
      <c r="A3474" s="2182" t="str">
        <f>IF(G3474&lt;&gt;0,1,"")</f>
        <v/>
      </c>
      <c r="B3474" s="2261" t="s">
        <v>289</v>
      </c>
      <c r="C3474" s="2268"/>
      <c r="D3474" s="2152">
        <v>0</v>
      </c>
      <c r="E3474" s="2194" t="s">
        <v>5712</v>
      </c>
      <c r="F3474" s="2152" t="s">
        <v>2555</v>
      </c>
      <c r="G3474" s="2270">
        <f>G3471</f>
        <v>0</v>
      </c>
      <c r="H3474" s="2264">
        <v>300000</v>
      </c>
      <c r="I3474" s="2264"/>
      <c r="J3474" s="2264">
        <v>0</v>
      </c>
      <c r="K3474" s="2264">
        <v>0</v>
      </c>
      <c r="L3474" s="2264">
        <f t="shared" si="745"/>
        <v>0</v>
      </c>
      <c r="M3474" s="2264">
        <f t="shared" si="746"/>
        <v>0</v>
      </c>
      <c r="N3474" s="2264">
        <f t="shared" si="747"/>
        <v>0</v>
      </c>
      <c r="O3474" s="2264">
        <f t="shared" si="748"/>
        <v>0</v>
      </c>
      <c r="P3474" s="2265"/>
      <c r="Q3474" s="2266"/>
      <c r="R3474" s="2266"/>
      <c r="S3474" s="2266"/>
    </row>
    <row r="3475" spans="1:19" s="2105" customFormat="1" outlineLevel="1">
      <c r="A3475" s="2182" t="str">
        <f>IF(G3475&lt;&gt;0,1,"")</f>
        <v/>
      </c>
      <c r="B3475" s="2261"/>
      <c r="C3475" s="2258">
        <f>IF(G3475&gt;0,C3471+1,C3471)</f>
        <v>0</v>
      </c>
      <c r="D3475" s="2259"/>
      <c r="E3475" s="2262" t="s">
        <v>3757</v>
      </c>
      <c r="F3475" s="2258" t="s">
        <v>2532</v>
      </c>
      <c r="G3475" s="2562"/>
      <c r="H3475" s="2264"/>
      <c r="I3475" s="2264"/>
      <c r="J3475" s="2264"/>
      <c r="K3475" s="2264"/>
      <c r="L3475" s="2264">
        <f t="shared" si="745"/>
        <v>0</v>
      </c>
      <c r="M3475" s="2264">
        <f t="shared" si="746"/>
        <v>0</v>
      </c>
      <c r="N3475" s="2264">
        <f t="shared" si="747"/>
        <v>0</v>
      </c>
      <c r="O3475" s="2264">
        <f t="shared" si="748"/>
        <v>0</v>
      </c>
      <c r="P3475" s="2265"/>
      <c r="Q3475" s="2266"/>
      <c r="R3475" s="2266"/>
      <c r="S3475" s="2266"/>
    </row>
    <row r="3476" spans="1:19" s="2105" customFormat="1" ht="14.4" outlineLevel="1">
      <c r="A3476" s="2182" t="str">
        <f>A3475</f>
        <v/>
      </c>
      <c r="B3476" s="2261"/>
      <c r="C3476" s="2258"/>
      <c r="D3476" s="2259"/>
      <c r="E3476" s="2267" t="s">
        <v>6133</v>
      </c>
      <c r="F3476" s="2268"/>
      <c r="G3476" s="2421"/>
      <c r="H3476" s="2264"/>
      <c r="I3476" s="2264"/>
      <c r="J3476" s="2264"/>
      <c r="K3476" s="2264"/>
      <c r="L3476" s="2264">
        <f t="shared" si="745"/>
        <v>0</v>
      </c>
      <c r="M3476" s="2264">
        <f t="shared" si="746"/>
        <v>0</v>
      </c>
      <c r="N3476" s="2264">
        <f t="shared" si="747"/>
        <v>0</v>
      </c>
      <c r="O3476" s="2264">
        <f t="shared" si="748"/>
        <v>0</v>
      </c>
      <c r="P3476" s="2265"/>
      <c r="Q3476" s="2266"/>
      <c r="R3476" s="2266"/>
      <c r="S3476" s="2266"/>
    </row>
    <row r="3477" spans="1:19" s="2105" customFormat="1" outlineLevel="1">
      <c r="A3477" s="2182" t="str">
        <f t="shared" ref="A3477:A3485" si="749">IF(G3477&lt;&gt;0,1,"")</f>
        <v/>
      </c>
      <c r="B3477" s="2554" t="s">
        <v>752</v>
      </c>
      <c r="C3477" s="2268"/>
      <c r="D3477" s="2152">
        <v>0</v>
      </c>
      <c r="E3477" s="2359" t="s">
        <v>6392</v>
      </c>
      <c r="F3477" s="2152" t="s">
        <v>856</v>
      </c>
      <c r="G3477" s="2270">
        <f>G3475*0.38</f>
        <v>0</v>
      </c>
      <c r="H3477" s="2264">
        <v>512000</v>
      </c>
      <c r="I3477" s="2264"/>
      <c r="J3477" s="2264">
        <v>0</v>
      </c>
      <c r="K3477" s="2264">
        <v>0</v>
      </c>
      <c r="L3477" s="2264">
        <f t="shared" si="745"/>
        <v>0</v>
      </c>
      <c r="M3477" s="2264">
        <f t="shared" si="746"/>
        <v>0</v>
      </c>
      <c r="N3477" s="2264">
        <f t="shared" si="747"/>
        <v>0</v>
      </c>
      <c r="O3477" s="2264">
        <f t="shared" si="748"/>
        <v>0</v>
      </c>
      <c r="P3477" s="2265"/>
      <c r="Q3477" s="2266"/>
      <c r="R3477" s="2266"/>
      <c r="S3477" s="2266"/>
    </row>
    <row r="3478" spans="1:19" s="2105" customFormat="1" outlineLevel="1">
      <c r="A3478" s="2182" t="str">
        <f t="shared" si="749"/>
        <v/>
      </c>
      <c r="B3478" s="2554" t="s">
        <v>867</v>
      </c>
      <c r="C3478" s="2268"/>
      <c r="D3478" s="2152">
        <v>0</v>
      </c>
      <c r="E3478" s="2359" t="s">
        <v>6393</v>
      </c>
      <c r="F3478" s="2152" t="s">
        <v>856</v>
      </c>
      <c r="G3478" s="2270">
        <f>0.12*G3475*0</f>
        <v>0</v>
      </c>
      <c r="H3478" s="2264">
        <v>335000</v>
      </c>
      <c r="I3478" s="2264"/>
      <c r="J3478" s="2264">
        <v>0</v>
      </c>
      <c r="K3478" s="2264">
        <v>0</v>
      </c>
      <c r="L3478" s="2264">
        <f t="shared" si="745"/>
        <v>0</v>
      </c>
      <c r="M3478" s="2264">
        <f t="shared" si="746"/>
        <v>0</v>
      </c>
      <c r="N3478" s="2264">
        <f t="shared" si="747"/>
        <v>0</v>
      </c>
      <c r="O3478" s="2264">
        <f t="shared" si="748"/>
        <v>0</v>
      </c>
      <c r="P3478" s="2265"/>
      <c r="Q3478" s="2266"/>
      <c r="R3478" s="2266"/>
      <c r="S3478" s="2266"/>
    </row>
    <row r="3479" spans="1:19" s="2105" customFormat="1" outlineLevel="1">
      <c r="A3479" s="2182" t="str">
        <f t="shared" si="749"/>
        <v/>
      </c>
      <c r="B3479" s="2554" t="s">
        <v>1675</v>
      </c>
      <c r="C3479" s="2268"/>
      <c r="D3479" s="2152">
        <v>0</v>
      </c>
      <c r="E3479" s="2359" t="s">
        <v>6377</v>
      </c>
      <c r="F3479" s="2152" t="s">
        <v>3006</v>
      </c>
      <c r="G3479" s="2270">
        <f>3.3*G3475</f>
        <v>0</v>
      </c>
      <c r="H3479" s="2264">
        <v>7000</v>
      </c>
      <c r="I3479" s="2264"/>
      <c r="J3479" s="2264">
        <v>0</v>
      </c>
      <c r="K3479" s="2264">
        <v>0</v>
      </c>
      <c r="L3479" s="2264">
        <f t="shared" si="745"/>
        <v>0</v>
      </c>
      <c r="M3479" s="2264">
        <f t="shared" si="746"/>
        <v>0</v>
      </c>
      <c r="N3479" s="2264">
        <f t="shared" si="747"/>
        <v>0</v>
      </c>
      <c r="O3479" s="2264">
        <f t="shared" si="748"/>
        <v>0</v>
      </c>
      <c r="P3479" s="2265"/>
      <c r="Q3479" s="2266"/>
      <c r="R3479" s="2266"/>
      <c r="S3479" s="2266"/>
    </row>
    <row r="3480" spans="1:19" s="2105" customFormat="1" outlineLevel="1">
      <c r="A3480" s="2182" t="str">
        <f t="shared" si="749"/>
        <v/>
      </c>
      <c r="B3480" s="2554" t="s">
        <v>1676</v>
      </c>
      <c r="C3480" s="2268"/>
      <c r="D3480" s="2152" t="s">
        <v>5290</v>
      </c>
      <c r="E3480" s="2359" t="s">
        <v>6378</v>
      </c>
      <c r="F3480" s="2152" t="s">
        <v>1960</v>
      </c>
      <c r="G3480" s="2270">
        <f>0.4*G3475</f>
        <v>0</v>
      </c>
      <c r="H3480" s="2264">
        <v>10000</v>
      </c>
      <c r="I3480" s="2264"/>
      <c r="J3480" s="2264">
        <v>1187.155</v>
      </c>
      <c r="K3480" s="2264">
        <v>0</v>
      </c>
      <c r="L3480" s="2264">
        <f t="shared" si="745"/>
        <v>0</v>
      </c>
      <c r="M3480" s="2264">
        <f t="shared" si="746"/>
        <v>0</v>
      </c>
      <c r="N3480" s="2264">
        <f t="shared" si="747"/>
        <v>0</v>
      </c>
      <c r="O3480" s="2264">
        <f t="shared" si="748"/>
        <v>0</v>
      </c>
      <c r="P3480" s="2265"/>
      <c r="Q3480" s="2266"/>
      <c r="R3480" s="2266"/>
      <c r="S3480" s="2266"/>
    </row>
    <row r="3481" spans="1:19" s="2105" customFormat="1" outlineLevel="1">
      <c r="A3481" s="2182" t="str">
        <f t="shared" si="749"/>
        <v/>
      </c>
      <c r="B3481" s="2554" t="s">
        <v>1518</v>
      </c>
      <c r="C3481" s="2258"/>
      <c r="D3481" s="2152">
        <v>0</v>
      </c>
      <c r="E3481" s="2359" t="s">
        <v>3530</v>
      </c>
      <c r="F3481" s="2152" t="s">
        <v>1823</v>
      </c>
      <c r="G3481" s="2270">
        <f>1*G3475</f>
        <v>0</v>
      </c>
      <c r="H3481" s="2264">
        <v>165250</v>
      </c>
      <c r="I3481" s="2264"/>
      <c r="J3481" s="2264">
        <v>0</v>
      </c>
      <c r="K3481" s="2264">
        <v>0</v>
      </c>
      <c r="L3481" s="2264">
        <f t="shared" si="745"/>
        <v>0</v>
      </c>
      <c r="M3481" s="2264">
        <f t="shared" si="746"/>
        <v>0</v>
      </c>
      <c r="N3481" s="2264">
        <f t="shared" si="747"/>
        <v>0</v>
      </c>
      <c r="O3481" s="2264">
        <f t="shared" si="748"/>
        <v>0</v>
      </c>
      <c r="P3481" s="2265"/>
      <c r="Q3481" s="2266"/>
      <c r="R3481" s="2266"/>
      <c r="S3481" s="2266"/>
    </row>
    <row r="3482" spans="1:19" s="2105" customFormat="1" outlineLevel="1">
      <c r="A3482" s="2182" t="str">
        <f t="shared" si="749"/>
        <v/>
      </c>
      <c r="B3482" s="2554" t="s">
        <v>1678</v>
      </c>
      <c r="C3482" s="2268"/>
      <c r="D3482" s="2152" t="s">
        <v>5333</v>
      </c>
      <c r="E3482" s="2359" t="s">
        <v>6379</v>
      </c>
      <c r="F3482" s="2152" t="s">
        <v>856</v>
      </c>
      <c r="G3482" s="2270">
        <f>G3477+G3478</f>
        <v>0</v>
      </c>
      <c r="H3482" s="2264">
        <v>0</v>
      </c>
      <c r="I3482" s="2264"/>
      <c r="J3482" s="2264">
        <v>315277.5</v>
      </c>
      <c r="K3482" s="2264">
        <v>0</v>
      </c>
      <c r="L3482" s="2264">
        <f t="shared" si="745"/>
        <v>0</v>
      </c>
      <c r="M3482" s="2264">
        <f t="shared" si="746"/>
        <v>0</v>
      </c>
      <c r="N3482" s="2264">
        <f t="shared" si="747"/>
        <v>0</v>
      </c>
      <c r="O3482" s="2264">
        <f t="shared" si="748"/>
        <v>0</v>
      </c>
      <c r="P3482" s="2265"/>
      <c r="Q3482" s="2266"/>
      <c r="R3482" s="2266"/>
      <c r="S3482" s="2266"/>
    </row>
    <row r="3483" spans="1:19" s="2105" customFormat="1" outlineLevel="1">
      <c r="A3483" s="2182" t="str">
        <f t="shared" si="749"/>
        <v/>
      </c>
      <c r="B3483" s="2554" t="s">
        <v>144</v>
      </c>
      <c r="C3483" s="2268"/>
      <c r="D3483" s="2152" t="s">
        <v>5327</v>
      </c>
      <c r="E3483" s="2359" t="s">
        <v>6380</v>
      </c>
      <c r="F3483" s="2152" t="s">
        <v>856</v>
      </c>
      <c r="G3483" s="2270">
        <f>G3475*0.48</f>
        <v>0</v>
      </c>
      <c r="H3483" s="2264">
        <v>0</v>
      </c>
      <c r="I3483" s="2264"/>
      <c r="J3483" s="2264">
        <v>640731.36</v>
      </c>
      <c r="K3483" s="2264">
        <v>0</v>
      </c>
      <c r="L3483" s="2264">
        <f t="shared" si="745"/>
        <v>0</v>
      </c>
      <c r="M3483" s="2264">
        <f t="shared" si="746"/>
        <v>0</v>
      </c>
      <c r="N3483" s="2264">
        <f t="shared" si="747"/>
        <v>0</v>
      </c>
      <c r="O3483" s="2264">
        <f t="shared" si="748"/>
        <v>0</v>
      </c>
      <c r="P3483" s="2265"/>
      <c r="Q3483" s="2266"/>
      <c r="R3483" s="2266"/>
      <c r="S3483" s="2266"/>
    </row>
    <row r="3484" spans="1:19" s="2105" customFormat="1" outlineLevel="1">
      <c r="A3484" s="2182" t="str">
        <f t="shared" si="749"/>
        <v/>
      </c>
      <c r="B3484" s="2554" t="s">
        <v>529</v>
      </c>
      <c r="C3484" s="2268"/>
      <c r="D3484" s="2152" t="s">
        <v>5332</v>
      </c>
      <c r="E3484" s="2359" t="s">
        <v>6394</v>
      </c>
      <c r="F3484" s="2152" t="s">
        <v>856</v>
      </c>
      <c r="G3484" s="2270">
        <f>0.16*G3475</f>
        <v>0</v>
      </c>
      <c r="H3484" s="2264">
        <v>0</v>
      </c>
      <c r="I3484" s="2264"/>
      <c r="J3484" s="2264">
        <v>21935.133999999998</v>
      </c>
      <c r="K3484" s="2264">
        <v>0</v>
      </c>
      <c r="L3484" s="2264">
        <f t="shared" si="745"/>
        <v>0</v>
      </c>
      <c r="M3484" s="2264">
        <f t="shared" si="746"/>
        <v>0</v>
      </c>
      <c r="N3484" s="2264">
        <f t="shared" si="747"/>
        <v>0</v>
      </c>
      <c r="O3484" s="2264">
        <f t="shared" si="748"/>
        <v>0</v>
      </c>
      <c r="P3484" s="2265"/>
      <c r="Q3484" s="2266"/>
      <c r="R3484" s="2422">
        <v>0.47499999999999998</v>
      </c>
      <c r="S3484" s="2266"/>
    </row>
    <row r="3485" spans="1:19" s="2105" customFormat="1" outlineLevel="1">
      <c r="A3485" s="2182" t="str">
        <f t="shared" si="749"/>
        <v/>
      </c>
      <c r="B3485" s="2261"/>
      <c r="C3485" s="2258">
        <f>IF(G3485&gt;0,C3475+1,C3475)</f>
        <v>0</v>
      </c>
      <c r="D3485" s="2259"/>
      <c r="E3485" s="2262" t="s">
        <v>3758</v>
      </c>
      <c r="F3485" s="2258" t="s">
        <v>2385</v>
      </c>
      <c r="G3485" s="2263">
        <f>G3494</f>
        <v>0</v>
      </c>
      <c r="H3485" s="2264"/>
      <c r="I3485" s="2264"/>
      <c r="J3485" s="2264"/>
      <c r="K3485" s="2264"/>
      <c r="L3485" s="2264">
        <f t="shared" si="745"/>
        <v>0</v>
      </c>
      <c r="M3485" s="2264">
        <f t="shared" si="746"/>
        <v>0</v>
      </c>
      <c r="N3485" s="2264">
        <f t="shared" si="747"/>
        <v>0</v>
      </c>
      <c r="O3485" s="2264">
        <f t="shared" si="748"/>
        <v>0</v>
      </c>
      <c r="P3485" s="2265"/>
      <c r="Q3485" s="2266"/>
      <c r="R3485" s="2422">
        <v>0.88100000000000001</v>
      </c>
      <c r="S3485" s="2266"/>
    </row>
    <row r="3486" spans="1:19" s="2105" customFormat="1" ht="14.4" outlineLevel="1">
      <c r="A3486" s="2182" t="str">
        <f>A3485</f>
        <v/>
      </c>
      <c r="B3486" s="2261"/>
      <c r="C3486" s="2258"/>
      <c r="D3486" s="2259"/>
      <c r="E3486" s="2267" t="s">
        <v>6133</v>
      </c>
      <c r="F3486" s="2268"/>
      <c r="G3486" s="2421"/>
      <c r="H3486" s="2264"/>
      <c r="I3486" s="2264"/>
      <c r="J3486" s="2264"/>
      <c r="K3486" s="2264"/>
      <c r="L3486" s="2264">
        <f t="shared" si="745"/>
        <v>0</v>
      </c>
      <c r="M3486" s="2264">
        <f t="shared" si="746"/>
        <v>0</v>
      </c>
      <c r="N3486" s="2264">
        <f t="shared" si="747"/>
        <v>0</v>
      </c>
      <c r="O3486" s="2264">
        <f t="shared" si="748"/>
        <v>0</v>
      </c>
      <c r="P3486" s="2265"/>
      <c r="Q3486" s="2266"/>
      <c r="R3486" s="2266"/>
      <c r="S3486" s="2266"/>
    </row>
    <row r="3487" spans="1:19" s="2105" customFormat="1" outlineLevel="1">
      <c r="A3487" s="2182" t="str">
        <f t="shared" ref="A3487:A3494" si="750">IF(G3487&lt;&gt;0,1,"")</f>
        <v/>
      </c>
      <c r="B3487" s="2261" t="s">
        <v>623</v>
      </c>
      <c r="C3487" s="2268"/>
      <c r="D3487" s="2152" t="s">
        <v>5305</v>
      </c>
      <c r="E3487" s="2194" t="s">
        <v>5306</v>
      </c>
      <c r="F3487" s="2152" t="s">
        <v>2532</v>
      </c>
      <c r="G3487" s="2270">
        <f>G3485*4</f>
        <v>0</v>
      </c>
      <c r="H3487" s="2264">
        <v>278000</v>
      </c>
      <c r="I3487" s="2264"/>
      <c r="J3487" s="2264">
        <v>127101.65849999999</v>
      </c>
      <c r="K3487" s="2264">
        <v>0</v>
      </c>
      <c r="L3487" s="2264">
        <f t="shared" si="745"/>
        <v>0</v>
      </c>
      <c r="M3487" s="2264">
        <f t="shared" si="746"/>
        <v>0</v>
      </c>
      <c r="N3487" s="2264">
        <f t="shared" si="747"/>
        <v>0</v>
      </c>
      <c r="O3487" s="2264">
        <f t="shared" si="748"/>
        <v>0</v>
      </c>
      <c r="P3487" s="2265"/>
      <c r="Q3487" s="2266"/>
      <c r="R3487" s="2266"/>
      <c r="S3487" s="2266"/>
    </row>
    <row r="3488" spans="1:19" s="2105" customFormat="1" outlineLevel="1">
      <c r="A3488" s="2182" t="str">
        <f t="shared" si="750"/>
        <v/>
      </c>
      <c r="B3488" s="2554" t="s">
        <v>473</v>
      </c>
      <c r="C3488" s="2258"/>
      <c r="D3488" s="2152">
        <v>0</v>
      </c>
      <c r="E3488" s="2194" t="s">
        <v>3552</v>
      </c>
      <c r="F3488" s="2152" t="s">
        <v>2555</v>
      </c>
      <c r="G3488" s="2270">
        <f>G3485*1</f>
        <v>0</v>
      </c>
      <c r="H3488" s="2264">
        <v>138000</v>
      </c>
      <c r="I3488" s="2264"/>
      <c r="J3488" s="2264">
        <v>0</v>
      </c>
      <c r="K3488" s="2264">
        <v>0</v>
      </c>
      <c r="L3488" s="2264">
        <f t="shared" si="745"/>
        <v>0</v>
      </c>
      <c r="M3488" s="2264">
        <f t="shared" si="746"/>
        <v>0</v>
      </c>
      <c r="N3488" s="2264">
        <f t="shared" si="747"/>
        <v>0</v>
      </c>
      <c r="O3488" s="2264">
        <f t="shared" si="748"/>
        <v>0</v>
      </c>
      <c r="P3488" s="2265"/>
      <c r="Q3488" s="2266"/>
      <c r="R3488" s="2266"/>
      <c r="S3488" s="2266"/>
    </row>
    <row r="3489" spans="1:19" s="2105" customFormat="1" outlineLevel="1">
      <c r="A3489" s="2182" t="str">
        <f t="shared" si="750"/>
        <v/>
      </c>
      <c r="B3489" s="2261" t="s">
        <v>120</v>
      </c>
      <c r="C3489" s="2268"/>
      <c r="D3489" s="2152">
        <v>0</v>
      </c>
      <c r="E3489" s="2194" t="s">
        <v>2981</v>
      </c>
      <c r="F3489" s="2152" t="s">
        <v>2439</v>
      </c>
      <c r="G3489" s="2270">
        <f>G3485*2</f>
        <v>0</v>
      </c>
      <c r="H3489" s="2264">
        <v>40000</v>
      </c>
      <c r="I3489" s="2264"/>
      <c r="J3489" s="2264">
        <v>0</v>
      </c>
      <c r="K3489" s="2264">
        <v>0</v>
      </c>
      <c r="L3489" s="2264">
        <f t="shared" si="745"/>
        <v>0</v>
      </c>
      <c r="M3489" s="2264">
        <f t="shared" si="746"/>
        <v>0</v>
      </c>
      <c r="N3489" s="2264">
        <f t="shared" si="747"/>
        <v>0</v>
      </c>
      <c r="O3489" s="2264">
        <f t="shared" si="748"/>
        <v>0</v>
      </c>
      <c r="P3489" s="2265"/>
      <c r="Q3489" s="2266"/>
      <c r="R3489" s="2266"/>
      <c r="S3489" s="2266"/>
    </row>
    <row r="3490" spans="1:19" s="2105" customFormat="1" outlineLevel="1">
      <c r="A3490" s="2182" t="str">
        <f t="shared" si="750"/>
        <v/>
      </c>
      <c r="B3490" s="2252" t="s">
        <v>1409</v>
      </c>
      <c r="C3490" s="2268"/>
      <c r="D3490" s="2152">
        <v>0</v>
      </c>
      <c r="E3490" s="2194" t="s">
        <v>3449</v>
      </c>
      <c r="F3490" s="2152" t="s">
        <v>2439</v>
      </c>
      <c r="G3490" s="2270">
        <f>G3485</f>
        <v>0</v>
      </c>
      <c r="H3490" s="2264">
        <v>150000</v>
      </c>
      <c r="I3490" s="2264"/>
      <c r="J3490" s="2264">
        <v>0</v>
      </c>
      <c r="K3490" s="2264">
        <v>0</v>
      </c>
      <c r="L3490" s="2264">
        <f t="shared" si="745"/>
        <v>0</v>
      </c>
      <c r="M3490" s="2264">
        <f t="shared" si="746"/>
        <v>0</v>
      </c>
      <c r="N3490" s="2264">
        <f t="shared" si="747"/>
        <v>0</v>
      </c>
      <c r="O3490" s="2264">
        <f t="shared" si="748"/>
        <v>0</v>
      </c>
      <c r="P3490" s="2265"/>
      <c r="Q3490" s="2266"/>
      <c r="R3490" s="2266"/>
      <c r="S3490" s="2266"/>
    </row>
    <row r="3491" spans="1:19" s="2105" customFormat="1" outlineLevel="1">
      <c r="A3491" s="2182" t="str">
        <f t="shared" si="750"/>
        <v/>
      </c>
      <c r="B3491" s="2252" t="s">
        <v>984</v>
      </c>
      <c r="C3491" s="2268"/>
      <c r="D3491" s="2152">
        <v>0</v>
      </c>
      <c r="E3491" s="2194" t="s">
        <v>3454</v>
      </c>
      <c r="F3491" s="2152" t="s">
        <v>2439</v>
      </c>
      <c r="G3491" s="2270">
        <f>G3485*0</f>
        <v>0</v>
      </c>
      <c r="H3491" s="2264">
        <v>224832</v>
      </c>
      <c r="I3491" s="2264"/>
      <c r="J3491" s="2264">
        <v>3635</v>
      </c>
      <c r="K3491" s="2264">
        <v>6321</v>
      </c>
      <c r="L3491" s="2264">
        <f t="shared" si="745"/>
        <v>0</v>
      </c>
      <c r="M3491" s="2264">
        <f t="shared" si="746"/>
        <v>0</v>
      </c>
      <c r="N3491" s="2264">
        <f t="shared" si="747"/>
        <v>0</v>
      </c>
      <c r="O3491" s="2264">
        <f t="shared" si="748"/>
        <v>0</v>
      </c>
      <c r="P3491" s="2265"/>
      <c r="Q3491" s="2266"/>
      <c r="R3491" s="2266"/>
      <c r="S3491" s="2266"/>
    </row>
    <row r="3492" spans="1:19" s="2105" customFormat="1" outlineLevel="1">
      <c r="A3492" s="2182" t="str">
        <f t="shared" si="750"/>
        <v/>
      </c>
      <c r="B3492" s="2261" t="s">
        <v>1410</v>
      </c>
      <c r="C3492" s="2258"/>
      <c r="D3492" s="2152" t="s">
        <v>5341</v>
      </c>
      <c r="E3492" s="2194" t="s">
        <v>5342</v>
      </c>
      <c r="F3492" s="2152" t="s">
        <v>2439</v>
      </c>
      <c r="G3492" s="2270">
        <f>G3490</f>
        <v>0</v>
      </c>
      <c r="H3492" s="2264">
        <v>0</v>
      </c>
      <c r="I3492" s="2264"/>
      <c r="J3492" s="2264">
        <v>28219.62</v>
      </c>
      <c r="K3492" s="2264">
        <v>0</v>
      </c>
      <c r="L3492" s="2264">
        <f t="shared" si="745"/>
        <v>0</v>
      </c>
      <c r="M3492" s="2264">
        <f t="shared" si="746"/>
        <v>0</v>
      </c>
      <c r="N3492" s="2264">
        <f t="shared" si="747"/>
        <v>0</v>
      </c>
      <c r="O3492" s="2264">
        <f t="shared" si="748"/>
        <v>0</v>
      </c>
      <c r="P3492" s="2265"/>
      <c r="Q3492" s="2266"/>
      <c r="R3492" s="2266"/>
      <c r="S3492" s="2266"/>
    </row>
    <row r="3493" spans="1:19" s="2105" customFormat="1" outlineLevel="1">
      <c r="A3493" s="2182" t="str">
        <f t="shared" si="750"/>
        <v/>
      </c>
      <c r="B3493" s="2261" t="s">
        <v>289</v>
      </c>
      <c r="C3493" s="2268"/>
      <c r="D3493" s="2152">
        <v>0</v>
      </c>
      <c r="E3493" s="2194" t="s">
        <v>5712</v>
      </c>
      <c r="F3493" s="2152" t="s">
        <v>2555</v>
      </c>
      <c r="G3493" s="2270">
        <f>G3485</f>
        <v>0</v>
      </c>
      <c r="H3493" s="2264">
        <v>300000</v>
      </c>
      <c r="I3493" s="2264"/>
      <c r="J3493" s="2264">
        <v>0</v>
      </c>
      <c r="K3493" s="2264">
        <v>0</v>
      </c>
      <c r="L3493" s="2264">
        <f t="shared" si="745"/>
        <v>0</v>
      </c>
      <c r="M3493" s="2264">
        <f t="shared" si="746"/>
        <v>0</v>
      </c>
      <c r="N3493" s="2264">
        <f t="shared" si="747"/>
        <v>0</v>
      </c>
      <c r="O3493" s="2264">
        <f t="shared" si="748"/>
        <v>0</v>
      </c>
      <c r="P3493" s="2265"/>
      <c r="Q3493" s="2266"/>
      <c r="R3493" s="2266"/>
      <c r="S3493" s="2266"/>
    </row>
    <row r="3494" spans="1:19" s="2105" customFormat="1" outlineLevel="1">
      <c r="A3494" s="2182" t="str">
        <f t="shared" si="750"/>
        <v/>
      </c>
      <c r="B3494" s="2261"/>
      <c r="C3494" s="2258">
        <f>IF(G3494&gt;0,C3485+1,C3485)</f>
        <v>0</v>
      </c>
      <c r="D3494" s="2259"/>
      <c r="E3494" s="2260" t="s">
        <v>3726</v>
      </c>
      <c r="F3494" s="2258" t="s">
        <v>2385</v>
      </c>
      <c r="G3494" s="2263">
        <f>G3389*0</f>
        <v>0</v>
      </c>
      <c r="H3494" s="2264"/>
      <c r="I3494" s="2264"/>
      <c r="J3494" s="2264"/>
      <c r="K3494" s="2264"/>
      <c r="L3494" s="2264"/>
      <c r="M3494" s="2264"/>
      <c r="N3494" s="2264"/>
      <c r="O3494" s="2264"/>
      <c r="P3494" s="2265"/>
      <c r="Q3494" s="2266"/>
      <c r="R3494" s="2266"/>
      <c r="S3494" s="2266"/>
    </row>
    <row r="3495" spans="1:19" s="2105" customFormat="1" ht="14.4" outlineLevel="1">
      <c r="A3495" s="2182" t="str">
        <f>A3494</f>
        <v/>
      </c>
      <c r="B3495" s="2261"/>
      <c r="C3495" s="2258"/>
      <c r="D3495" s="2259"/>
      <c r="E3495" s="2274" t="s">
        <v>6133</v>
      </c>
      <c r="F3495" s="2258"/>
      <c r="G3495" s="2263"/>
      <c r="H3495" s="2264"/>
      <c r="I3495" s="2264"/>
      <c r="J3495" s="2264"/>
      <c r="K3495" s="2264"/>
      <c r="L3495" s="2264"/>
      <c r="M3495" s="2264"/>
      <c r="N3495" s="2264"/>
      <c r="O3495" s="2264"/>
      <c r="P3495" s="2265"/>
      <c r="Q3495" s="2266"/>
      <c r="R3495" s="2266"/>
      <c r="S3495" s="2266"/>
    </row>
    <row r="3496" spans="1:19" s="2105" customFormat="1" outlineLevel="1">
      <c r="A3496" s="2182" t="str">
        <f>IF(G3496&lt;&gt;0,1,"")</f>
        <v/>
      </c>
      <c r="B3496" s="2252" t="s">
        <v>470</v>
      </c>
      <c r="C3496" s="2268"/>
      <c r="D3496" s="2152">
        <v>0</v>
      </c>
      <c r="E3496" s="2194" t="s">
        <v>6395</v>
      </c>
      <c r="F3496" s="2152" t="s">
        <v>2532</v>
      </c>
      <c r="G3496" s="2270">
        <f>(3+10)*1.02*G3494*0</f>
        <v>0</v>
      </c>
      <c r="H3496" s="2264">
        <v>763500</v>
      </c>
      <c r="I3496" s="2264"/>
      <c r="J3496" s="2264">
        <v>0</v>
      </c>
      <c r="K3496" s="2264">
        <v>0</v>
      </c>
      <c r="L3496" s="2264">
        <f>H3496*G3496</f>
        <v>0</v>
      </c>
      <c r="M3496" s="2264">
        <f>I3496*G3496</f>
        <v>0</v>
      </c>
      <c r="N3496" s="2264">
        <f>J3496*G3496</f>
        <v>0</v>
      </c>
      <c r="O3496" s="2264">
        <f>K3496*G3496</f>
        <v>0</v>
      </c>
      <c r="P3496" s="2265"/>
      <c r="Q3496" s="2266"/>
      <c r="R3496" s="2266"/>
      <c r="S3496" s="2266"/>
    </row>
    <row r="3497" spans="1:19" s="2105" customFormat="1" outlineLevel="1">
      <c r="A3497" s="2182" t="str">
        <f t="shared" ref="A3497:A3506" si="751">IF(G3497&lt;&gt;0,1,"")</f>
        <v/>
      </c>
      <c r="B3497" s="2252" t="s">
        <v>271</v>
      </c>
      <c r="C3497" s="2268"/>
      <c r="D3497" s="2152">
        <v>0</v>
      </c>
      <c r="E3497" s="2194" t="s">
        <v>6396</v>
      </c>
      <c r="F3497" s="2152" t="s">
        <v>2532</v>
      </c>
      <c r="G3497" s="2270">
        <f>G3494*0.5*3</f>
        <v>0</v>
      </c>
      <c r="H3497" s="2264">
        <v>204900</v>
      </c>
      <c r="I3497" s="2264"/>
      <c r="J3497" s="2264">
        <v>0</v>
      </c>
      <c r="K3497" s="2264">
        <v>0</v>
      </c>
      <c r="L3497" s="2264">
        <f>H3497*G3497</f>
        <v>0</v>
      </c>
      <c r="M3497" s="2264">
        <f>I3497*G3497</f>
        <v>0</v>
      </c>
      <c r="N3497" s="2264">
        <f>J3497*G3497</f>
        <v>0</v>
      </c>
      <c r="O3497" s="2264">
        <f>K3497*G3497</f>
        <v>0</v>
      </c>
      <c r="P3497" s="2265"/>
      <c r="Q3497" s="2266"/>
      <c r="R3497" s="2266"/>
      <c r="S3497" s="2266"/>
    </row>
    <row r="3498" spans="1:19" s="2105" customFormat="1" outlineLevel="1">
      <c r="A3498" s="2182" t="str">
        <f t="shared" si="751"/>
        <v/>
      </c>
      <c r="B3498" s="2252" t="s">
        <v>1352</v>
      </c>
      <c r="C3498" s="2268"/>
      <c r="D3498" s="2152">
        <v>0</v>
      </c>
      <c r="E3498" s="2194" t="s">
        <v>3014</v>
      </c>
      <c r="F3498" s="2152" t="s">
        <v>2555</v>
      </c>
      <c r="G3498" s="2270">
        <f>G3494*2*0</f>
        <v>0</v>
      </c>
      <c r="H3498" s="2264">
        <v>4022000</v>
      </c>
      <c r="I3498" s="2264"/>
      <c r="J3498" s="2264">
        <v>0</v>
      </c>
      <c r="K3498" s="2264">
        <v>0</v>
      </c>
      <c r="L3498" s="2264">
        <f t="shared" ref="L3498:L3503" si="752">H3498*G3498</f>
        <v>0</v>
      </c>
      <c r="M3498" s="2264">
        <f t="shared" ref="M3498:M3503" si="753">I3498*G3498</f>
        <v>0</v>
      </c>
      <c r="N3498" s="2264">
        <f t="shared" ref="N3498:N3503" si="754">J3498*G3498</f>
        <v>0</v>
      </c>
      <c r="O3498" s="2264">
        <f t="shared" ref="O3498:O3503" si="755">K3498*G3498</f>
        <v>0</v>
      </c>
      <c r="P3498" s="2265"/>
      <c r="Q3498" s="2266"/>
      <c r="R3498" s="2266"/>
      <c r="S3498" s="2266"/>
    </row>
    <row r="3499" spans="1:19" s="2105" customFormat="1" outlineLevel="1">
      <c r="A3499" s="2182" t="str">
        <f t="shared" si="751"/>
        <v/>
      </c>
      <c r="B3499" s="2252" t="s">
        <v>470</v>
      </c>
      <c r="C3499" s="2268"/>
      <c r="D3499" s="2152">
        <v>0</v>
      </c>
      <c r="E3499" s="2194" t="s">
        <v>6385</v>
      </c>
      <c r="F3499" s="2152" t="s">
        <v>2532</v>
      </c>
      <c r="G3499" s="2270">
        <f>(1.2+2.4)*G3494*0</f>
        <v>0</v>
      </c>
      <c r="H3499" s="2264">
        <v>763500</v>
      </c>
      <c r="I3499" s="2264"/>
      <c r="J3499" s="2264">
        <v>0</v>
      </c>
      <c r="K3499" s="2264">
        <v>0</v>
      </c>
      <c r="L3499" s="2264">
        <f t="shared" si="752"/>
        <v>0</v>
      </c>
      <c r="M3499" s="2264">
        <f t="shared" si="753"/>
        <v>0</v>
      </c>
      <c r="N3499" s="2264">
        <f t="shared" si="754"/>
        <v>0</v>
      </c>
      <c r="O3499" s="2264">
        <f t="shared" si="755"/>
        <v>0</v>
      </c>
      <c r="P3499" s="2265"/>
      <c r="Q3499" s="2266"/>
      <c r="R3499" s="2266"/>
      <c r="S3499" s="2266"/>
    </row>
    <row r="3500" spans="1:19" s="2105" customFormat="1" outlineLevel="1">
      <c r="A3500" s="2182" t="str">
        <f t="shared" si="751"/>
        <v/>
      </c>
      <c r="B3500" s="2252" t="s">
        <v>271</v>
      </c>
      <c r="C3500" s="2268"/>
      <c r="D3500" s="2152">
        <v>0</v>
      </c>
      <c r="E3500" s="2194" t="s">
        <v>6386</v>
      </c>
      <c r="F3500" s="2152" t="s">
        <v>2532</v>
      </c>
      <c r="G3500" s="2270">
        <f>G3499*0</f>
        <v>0</v>
      </c>
      <c r="H3500" s="2264">
        <v>204900</v>
      </c>
      <c r="I3500" s="2264"/>
      <c r="J3500" s="2264">
        <v>0</v>
      </c>
      <c r="K3500" s="2264">
        <v>0</v>
      </c>
      <c r="L3500" s="2264">
        <f t="shared" si="752"/>
        <v>0</v>
      </c>
      <c r="M3500" s="2264">
        <f t="shared" si="753"/>
        <v>0</v>
      </c>
      <c r="N3500" s="2264">
        <f t="shared" si="754"/>
        <v>0</v>
      </c>
      <c r="O3500" s="2264">
        <f t="shared" si="755"/>
        <v>0</v>
      </c>
      <c r="P3500" s="2265"/>
      <c r="Q3500" s="2266"/>
      <c r="R3500" s="2266"/>
      <c r="S3500" s="2266"/>
    </row>
    <row r="3501" spans="1:19" s="2105" customFormat="1" outlineLevel="1">
      <c r="A3501" s="2182" t="str">
        <f t="shared" si="751"/>
        <v/>
      </c>
      <c r="B3501" s="2252" t="s">
        <v>1353</v>
      </c>
      <c r="C3501" s="2268"/>
      <c r="D3501" s="2152">
        <v>0</v>
      </c>
      <c r="E3501" s="2194" t="s">
        <v>3021</v>
      </c>
      <c r="F3501" s="2152" t="s">
        <v>2555</v>
      </c>
      <c r="G3501" s="2270">
        <f>G3494*3*0</f>
        <v>0</v>
      </c>
      <c r="H3501" s="2264">
        <v>5242230</v>
      </c>
      <c r="I3501" s="2264"/>
      <c r="J3501" s="2264">
        <v>0</v>
      </c>
      <c r="K3501" s="2264">
        <v>0</v>
      </c>
      <c r="L3501" s="2264">
        <f t="shared" si="752"/>
        <v>0</v>
      </c>
      <c r="M3501" s="2264">
        <f t="shared" si="753"/>
        <v>0</v>
      </c>
      <c r="N3501" s="2264">
        <f t="shared" si="754"/>
        <v>0</v>
      </c>
      <c r="O3501" s="2264">
        <f t="shared" si="755"/>
        <v>0</v>
      </c>
      <c r="P3501" s="2265"/>
      <c r="Q3501" s="2266"/>
      <c r="R3501" s="2266"/>
      <c r="S3501" s="2266"/>
    </row>
    <row r="3502" spans="1:19" s="2105" customFormat="1" outlineLevel="1">
      <c r="A3502" s="2182" t="str">
        <f t="shared" si="751"/>
        <v/>
      </c>
      <c r="B3502" s="2252" t="s">
        <v>1674</v>
      </c>
      <c r="C3502" s="2268"/>
      <c r="D3502" s="2152" t="s">
        <v>5459</v>
      </c>
      <c r="E3502" s="2194" t="s">
        <v>3178</v>
      </c>
      <c r="F3502" s="2152" t="s">
        <v>2555</v>
      </c>
      <c r="G3502" s="2270">
        <f>G3498+G3501</f>
        <v>0</v>
      </c>
      <c r="H3502" s="2264">
        <v>11340</v>
      </c>
      <c r="I3502" s="2264"/>
      <c r="J3502" s="2264">
        <v>621381.64999999991</v>
      </c>
      <c r="K3502" s="2264">
        <v>0</v>
      </c>
      <c r="L3502" s="2264">
        <f t="shared" si="752"/>
        <v>0</v>
      </c>
      <c r="M3502" s="2264">
        <f t="shared" si="753"/>
        <v>0</v>
      </c>
      <c r="N3502" s="2264">
        <f t="shared" si="754"/>
        <v>0</v>
      </c>
      <c r="O3502" s="2264">
        <f t="shared" si="755"/>
        <v>0</v>
      </c>
      <c r="P3502" s="2265"/>
      <c r="Q3502" s="2266"/>
      <c r="R3502" s="2266"/>
      <c r="S3502" s="2266"/>
    </row>
    <row r="3503" spans="1:19" s="2105" customFormat="1" outlineLevel="1">
      <c r="A3503" s="2182" t="str">
        <f t="shared" si="751"/>
        <v/>
      </c>
      <c r="B3503" s="2252" t="s">
        <v>1182</v>
      </c>
      <c r="C3503" s="2268"/>
      <c r="D3503" s="2152" t="s">
        <v>5552</v>
      </c>
      <c r="E3503" s="2194" t="s">
        <v>3259</v>
      </c>
      <c r="F3503" s="2152" t="s">
        <v>2532</v>
      </c>
      <c r="G3503" s="2270">
        <f>G3496+G3499</f>
        <v>0</v>
      </c>
      <c r="H3503" s="2264">
        <v>546.91999999999996</v>
      </c>
      <c r="I3503" s="2264"/>
      <c r="J3503" s="2264">
        <v>21459.713</v>
      </c>
      <c r="K3503" s="2264">
        <v>0</v>
      </c>
      <c r="L3503" s="2264">
        <f t="shared" si="752"/>
        <v>0</v>
      </c>
      <c r="M3503" s="2264">
        <f t="shared" si="753"/>
        <v>0</v>
      </c>
      <c r="N3503" s="2264">
        <f t="shared" si="754"/>
        <v>0</v>
      </c>
      <c r="O3503" s="2264">
        <f t="shared" si="755"/>
        <v>0</v>
      </c>
      <c r="P3503" s="2265"/>
      <c r="Q3503" s="2266"/>
      <c r="R3503" s="2266"/>
      <c r="S3503" s="2266"/>
    </row>
    <row r="3504" spans="1:19" s="2105" customFormat="1" outlineLevel="1">
      <c r="A3504" s="2182" t="str">
        <f t="shared" si="751"/>
        <v/>
      </c>
      <c r="B3504" s="2252" t="s">
        <v>1525</v>
      </c>
      <c r="C3504" s="2268"/>
      <c r="D3504" s="2152" t="s">
        <v>5571</v>
      </c>
      <c r="E3504" s="2194" t="s">
        <v>3292</v>
      </c>
      <c r="F3504" s="2152" t="s">
        <v>1823</v>
      </c>
      <c r="G3504" s="2270">
        <f>G3497</f>
        <v>0</v>
      </c>
      <c r="H3504" s="2264">
        <v>0</v>
      </c>
      <c r="I3504" s="2264"/>
      <c r="J3504" s="2264">
        <v>13915</v>
      </c>
      <c r="K3504" s="2264">
        <v>0</v>
      </c>
      <c r="L3504" s="2264">
        <f>H3504*G3504</f>
        <v>0</v>
      </c>
      <c r="M3504" s="2264">
        <f>I3504*G3504</f>
        <v>0</v>
      </c>
      <c r="N3504" s="2264">
        <f>J3504*G3504</f>
        <v>0</v>
      </c>
      <c r="O3504" s="2264">
        <f>K3504*G3504</f>
        <v>0</v>
      </c>
      <c r="P3504" s="2265"/>
      <c r="Q3504" s="2266"/>
      <c r="R3504" s="2266"/>
      <c r="S3504" s="2266"/>
    </row>
    <row r="3505" spans="1:19" s="2105" customFormat="1" outlineLevel="1">
      <c r="A3505" s="2182" t="str">
        <f t="shared" si="751"/>
        <v/>
      </c>
      <c r="B3505" s="2252" t="s">
        <v>1349</v>
      </c>
      <c r="C3505" s="2268"/>
      <c r="D3505" s="2152">
        <v>0</v>
      </c>
      <c r="E3505" s="2194" t="s">
        <v>3518</v>
      </c>
      <c r="F3505" s="2152" t="s">
        <v>3519</v>
      </c>
      <c r="G3505" s="2270">
        <f>G3494*2*0</f>
        <v>0</v>
      </c>
      <c r="H3505" s="2264">
        <v>15000</v>
      </c>
      <c r="I3505" s="2264"/>
      <c r="J3505" s="2264">
        <v>0</v>
      </c>
      <c r="K3505" s="2264">
        <v>0</v>
      </c>
      <c r="L3505" s="2264">
        <f>H3505*G3505</f>
        <v>0</v>
      </c>
      <c r="M3505" s="2264">
        <f>I3505*G3505</f>
        <v>0</v>
      </c>
      <c r="N3505" s="2264">
        <f>J3505*G3505</f>
        <v>0</v>
      </c>
      <c r="O3505" s="2264">
        <f>K3505*G3505</f>
        <v>0</v>
      </c>
      <c r="P3505" s="2265"/>
      <c r="Q3505" s="2266"/>
      <c r="R3505" s="2266"/>
      <c r="S3505" s="2266"/>
    </row>
    <row r="3506" spans="1:19" s="2105" customFormat="1" outlineLevel="1">
      <c r="A3506" s="2182" t="str">
        <f t="shared" si="751"/>
        <v/>
      </c>
      <c r="B3506" s="2261"/>
      <c r="C3506" s="2258">
        <f>IF(G3506&gt;0,C3494+1,C3494)</f>
        <v>0</v>
      </c>
      <c r="D3506" s="2259"/>
      <c r="E3506" s="2260" t="s">
        <v>3727</v>
      </c>
      <c r="F3506" s="2258" t="s">
        <v>2385</v>
      </c>
      <c r="G3506" s="2263">
        <f>G3389</f>
        <v>0</v>
      </c>
      <c r="H3506" s="2264"/>
      <c r="I3506" s="2264"/>
      <c r="J3506" s="2264"/>
      <c r="K3506" s="2264"/>
      <c r="L3506" s="2264"/>
      <c r="M3506" s="2264"/>
      <c r="N3506" s="2264"/>
      <c r="O3506" s="2264"/>
      <c r="P3506" s="2265"/>
      <c r="Q3506" s="2266"/>
      <c r="R3506" s="2266"/>
      <c r="S3506" s="2266"/>
    </row>
    <row r="3507" spans="1:19" s="2105" customFormat="1" ht="14.4" outlineLevel="1">
      <c r="A3507" s="2182" t="str">
        <f>A3506</f>
        <v/>
      </c>
      <c r="B3507" s="2261"/>
      <c r="C3507" s="2258"/>
      <c r="D3507" s="2259"/>
      <c r="E3507" s="2274" t="s">
        <v>6133</v>
      </c>
      <c r="F3507" s="2258"/>
      <c r="G3507" s="2263"/>
      <c r="H3507" s="2264"/>
      <c r="I3507" s="2264"/>
      <c r="J3507" s="2264"/>
      <c r="K3507" s="2264"/>
      <c r="L3507" s="2264"/>
      <c r="M3507" s="2264"/>
      <c r="N3507" s="2264"/>
      <c r="O3507" s="2264"/>
      <c r="P3507" s="2265"/>
      <c r="Q3507" s="2266"/>
      <c r="R3507" s="2266"/>
      <c r="S3507" s="2266"/>
    </row>
    <row r="3508" spans="1:19" s="2105" customFormat="1" outlineLevel="1">
      <c r="A3508" s="2182" t="str">
        <f t="shared" ref="A3508:A3514" si="756">IF(G3508&lt;&gt;0,1,"")</f>
        <v/>
      </c>
      <c r="B3508" s="2252" t="s">
        <v>697</v>
      </c>
      <c r="C3508" s="2268"/>
      <c r="D3508" s="2152">
        <v>0</v>
      </c>
      <c r="E3508" s="2194" t="s">
        <v>5087</v>
      </c>
      <c r="F3508" s="2152" t="s">
        <v>2532</v>
      </c>
      <c r="G3508" s="2269">
        <f>G3506*9*3</f>
        <v>0</v>
      </c>
      <c r="H3508" s="2264">
        <v>50996</v>
      </c>
      <c r="I3508" s="2264"/>
      <c r="J3508" s="2264">
        <v>0</v>
      </c>
      <c r="K3508" s="2264">
        <v>0</v>
      </c>
      <c r="L3508" s="2264">
        <f t="shared" ref="L3508:L3514" si="757">H3508*G3508</f>
        <v>0</v>
      </c>
      <c r="M3508" s="2264">
        <f>I3508*G3508</f>
        <v>0</v>
      </c>
      <c r="N3508" s="2264">
        <f t="shared" ref="N3508:N3514" si="758">J3508*G3508</f>
        <v>0</v>
      </c>
      <c r="O3508" s="2264">
        <f t="shared" ref="O3508:O3514" si="759">K3508*G3508</f>
        <v>0</v>
      </c>
      <c r="P3508" s="2265"/>
      <c r="Q3508" s="2266"/>
      <c r="R3508" s="2266"/>
      <c r="S3508" s="2266"/>
    </row>
    <row r="3509" spans="1:19" s="2105" customFormat="1" outlineLevel="1">
      <c r="A3509" s="2182" t="str">
        <f t="shared" si="756"/>
        <v/>
      </c>
      <c r="B3509" s="2357" t="s">
        <v>1115</v>
      </c>
      <c r="C3509" s="2268"/>
      <c r="D3509" s="2152">
        <v>0</v>
      </c>
      <c r="E3509" s="2194" t="s">
        <v>2871</v>
      </c>
      <c r="F3509" s="2152" t="s">
        <v>2555</v>
      </c>
      <c r="G3509" s="2269">
        <f>G3506*3*2</f>
        <v>0</v>
      </c>
      <c r="H3509" s="2264">
        <v>6000</v>
      </c>
      <c r="I3509" s="2264"/>
      <c r="J3509" s="2264">
        <v>0</v>
      </c>
      <c r="K3509" s="2264">
        <v>0</v>
      </c>
      <c r="L3509" s="2264">
        <f t="shared" si="757"/>
        <v>0</v>
      </c>
      <c r="M3509" s="2264">
        <v>0</v>
      </c>
      <c r="N3509" s="2264">
        <f t="shared" si="758"/>
        <v>0</v>
      </c>
      <c r="O3509" s="2264">
        <f t="shared" si="759"/>
        <v>0</v>
      </c>
      <c r="P3509" s="2265"/>
      <c r="Q3509" s="2266"/>
      <c r="R3509" s="2266"/>
      <c r="S3509" s="2266"/>
    </row>
    <row r="3510" spans="1:19" s="2105" customFormat="1" outlineLevel="1">
      <c r="A3510" s="2182" t="str">
        <f t="shared" si="756"/>
        <v/>
      </c>
      <c r="B3510" s="2357" t="s">
        <v>30</v>
      </c>
      <c r="C3510" s="2268"/>
      <c r="D3510" s="2152">
        <v>0</v>
      </c>
      <c r="E3510" s="2194" t="s">
        <v>2691</v>
      </c>
      <c r="F3510" s="2152" t="s">
        <v>2385</v>
      </c>
      <c r="G3510" s="2269">
        <f>+G3506*6</f>
        <v>0</v>
      </c>
      <c r="H3510" s="2264">
        <v>34000</v>
      </c>
      <c r="I3510" s="2264"/>
      <c r="J3510" s="2264">
        <v>0</v>
      </c>
      <c r="K3510" s="2264">
        <v>0</v>
      </c>
      <c r="L3510" s="2264">
        <f t="shared" si="757"/>
        <v>0</v>
      </c>
      <c r="M3510" s="2264">
        <v>0</v>
      </c>
      <c r="N3510" s="2264">
        <f t="shared" si="758"/>
        <v>0</v>
      </c>
      <c r="O3510" s="2264">
        <f t="shared" si="759"/>
        <v>0</v>
      </c>
      <c r="P3510" s="2265"/>
      <c r="Q3510" s="2266"/>
      <c r="R3510" s="2266"/>
      <c r="S3510" s="2266"/>
    </row>
    <row r="3511" spans="1:19" s="2105" customFormat="1" outlineLevel="1">
      <c r="A3511" s="2182" t="str">
        <f t="shared" si="756"/>
        <v/>
      </c>
      <c r="B3511" s="2357" t="s">
        <v>1479</v>
      </c>
      <c r="C3511" s="2268"/>
      <c r="D3511" s="2152">
        <v>0</v>
      </c>
      <c r="E3511" s="2194" t="s">
        <v>3791</v>
      </c>
      <c r="F3511" s="2152" t="s">
        <v>2555</v>
      </c>
      <c r="G3511" s="2269">
        <f>G3506*3</f>
        <v>0</v>
      </c>
      <c r="H3511" s="2264">
        <v>46000</v>
      </c>
      <c r="I3511" s="2264"/>
      <c r="J3511" s="2264">
        <v>0</v>
      </c>
      <c r="K3511" s="2264">
        <v>0</v>
      </c>
      <c r="L3511" s="2264">
        <f t="shared" si="757"/>
        <v>0</v>
      </c>
      <c r="M3511" s="2264">
        <f>I3511*G3511</f>
        <v>0</v>
      </c>
      <c r="N3511" s="2264">
        <f t="shared" si="758"/>
        <v>0</v>
      </c>
      <c r="O3511" s="2264">
        <f t="shared" si="759"/>
        <v>0</v>
      </c>
      <c r="P3511" s="2265"/>
      <c r="Q3511" s="2266"/>
      <c r="R3511" s="2266"/>
      <c r="S3511" s="2266"/>
    </row>
    <row r="3512" spans="1:19" s="2105" customFormat="1" outlineLevel="1">
      <c r="A3512" s="2182" t="str">
        <f t="shared" si="756"/>
        <v/>
      </c>
      <c r="B3512" s="2357" t="s">
        <v>1477</v>
      </c>
      <c r="C3512" s="2268"/>
      <c r="D3512" s="2152">
        <v>0</v>
      </c>
      <c r="E3512" s="2194" t="s">
        <v>6346</v>
      </c>
      <c r="F3512" s="2152" t="s">
        <v>2555</v>
      </c>
      <c r="G3512" s="2269">
        <f>G3511</f>
        <v>0</v>
      </c>
      <c r="H3512" s="2264">
        <v>77000</v>
      </c>
      <c r="I3512" s="2264"/>
      <c r="J3512" s="2264">
        <v>0</v>
      </c>
      <c r="K3512" s="2264">
        <v>0</v>
      </c>
      <c r="L3512" s="2264">
        <f t="shared" si="757"/>
        <v>0</v>
      </c>
      <c r="M3512" s="2264">
        <f>I3512*G3512</f>
        <v>0</v>
      </c>
      <c r="N3512" s="2264">
        <f t="shared" si="758"/>
        <v>0</v>
      </c>
      <c r="O3512" s="2264">
        <f t="shared" si="759"/>
        <v>0</v>
      </c>
      <c r="P3512" s="2265"/>
      <c r="Q3512" s="2266"/>
      <c r="R3512" s="2266"/>
      <c r="S3512" s="2266"/>
    </row>
    <row r="3513" spans="1:19" s="2105" customFormat="1" outlineLevel="1">
      <c r="A3513" s="2182" t="str">
        <f t="shared" si="756"/>
        <v/>
      </c>
      <c r="B3513" s="2252" t="s">
        <v>696</v>
      </c>
      <c r="C3513" s="2389"/>
      <c r="D3513" s="2152">
        <v>0</v>
      </c>
      <c r="E3513" s="2194" t="s">
        <v>2936</v>
      </c>
      <c r="F3513" s="2152" t="s">
        <v>2555</v>
      </c>
      <c r="G3513" s="2269">
        <f>+G3506*3*3</f>
        <v>0</v>
      </c>
      <c r="H3513" s="2264">
        <v>205000</v>
      </c>
      <c r="I3513" s="2264"/>
      <c r="J3513" s="2264">
        <v>0</v>
      </c>
      <c r="K3513" s="2264">
        <v>0</v>
      </c>
      <c r="L3513" s="2264">
        <f t="shared" si="757"/>
        <v>0</v>
      </c>
      <c r="M3513" s="2264">
        <f>I3513*G3513</f>
        <v>0</v>
      </c>
      <c r="N3513" s="2264">
        <f t="shared" si="758"/>
        <v>0</v>
      </c>
      <c r="O3513" s="2264">
        <f t="shared" si="759"/>
        <v>0</v>
      </c>
      <c r="P3513" s="2265"/>
      <c r="Q3513" s="2266"/>
      <c r="R3513" s="2266"/>
      <c r="S3513" s="2266"/>
    </row>
    <row r="3514" spans="1:19" s="2105" customFormat="1" outlineLevel="1">
      <c r="A3514" s="2182" t="str">
        <f t="shared" si="756"/>
        <v/>
      </c>
      <c r="B3514" s="2252" t="s">
        <v>1265</v>
      </c>
      <c r="C3514" s="2268"/>
      <c r="D3514" s="2152">
        <v>0</v>
      </c>
      <c r="E3514" s="2194" t="s">
        <v>2823</v>
      </c>
      <c r="F3514" s="2152" t="s">
        <v>2555</v>
      </c>
      <c r="G3514" s="2269">
        <f>+G3513</f>
        <v>0</v>
      </c>
      <c r="H3514" s="2264">
        <v>65000</v>
      </c>
      <c r="I3514" s="2264"/>
      <c r="J3514" s="2264">
        <v>0</v>
      </c>
      <c r="K3514" s="2264">
        <v>0</v>
      </c>
      <c r="L3514" s="2264">
        <f t="shared" si="757"/>
        <v>0</v>
      </c>
      <c r="M3514" s="2264">
        <f>I3514*G3514</f>
        <v>0</v>
      </c>
      <c r="N3514" s="2264">
        <f t="shared" si="758"/>
        <v>0</v>
      </c>
      <c r="O3514" s="2264">
        <f t="shared" si="759"/>
        <v>0</v>
      </c>
      <c r="P3514" s="2265"/>
      <c r="Q3514" s="2266"/>
      <c r="R3514" s="2266"/>
      <c r="S3514" s="2266"/>
    </row>
    <row r="3515" spans="1:19" s="2105" customFormat="1" outlineLevel="1">
      <c r="A3515" s="2182" t="str">
        <f>IF(G3515&lt;&gt;0,1,"")</f>
        <v/>
      </c>
      <c r="B3515" s="2252" t="s">
        <v>347</v>
      </c>
      <c r="C3515" s="2268"/>
      <c r="D3515" s="2152" t="s">
        <v>5560</v>
      </c>
      <c r="E3515" s="2194" t="s">
        <v>3271</v>
      </c>
      <c r="F3515" s="2152" t="s">
        <v>2439</v>
      </c>
      <c r="G3515" s="2269">
        <f>G3513</f>
        <v>0</v>
      </c>
      <c r="H3515" s="2264">
        <v>510</v>
      </c>
      <c r="I3515" s="2264"/>
      <c r="J3515" s="2264">
        <v>58277.49</v>
      </c>
      <c r="K3515" s="2264">
        <v>0</v>
      </c>
      <c r="L3515" s="2264">
        <f>H3515*G3515</f>
        <v>0</v>
      </c>
      <c r="M3515" s="2264">
        <f>I3515*G3515</f>
        <v>0</v>
      </c>
      <c r="N3515" s="2264">
        <f>J3515*G3515</f>
        <v>0</v>
      </c>
      <c r="O3515" s="2264">
        <f>K3515*G3515</f>
        <v>0</v>
      </c>
      <c r="P3515" s="2265"/>
      <c r="Q3515" s="2266"/>
      <c r="R3515" s="2266"/>
      <c r="S3515" s="2266"/>
    </row>
    <row r="3516" spans="1:19" s="2105" customFormat="1" outlineLevel="1">
      <c r="A3516" s="2182" t="str">
        <f>IF(G3516&lt;&gt;0,1,"")</f>
        <v/>
      </c>
      <c r="B3516" s="2261"/>
      <c r="C3516" s="2258">
        <f>IF(G3516&gt;0,C3506+1,C3506)</f>
        <v>0</v>
      </c>
      <c r="D3516" s="2259"/>
      <c r="E3516" s="2262" t="s">
        <v>3759</v>
      </c>
      <c r="F3516" s="2258" t="s">
        <v>2385</v>
      </c>
      <c r="G3516" s="2263">
        <f>G3389*1</f>
        <v>0</v>
      </c>
      <c r="H3516" s="2264"/>
      <c r="I3516" s="2264"/>
      <c r="J3516" s="2264"/>
      <c r="K3516" s="2264"/>
      <c r="L3516" s="2264"/>
      <c r="M3516" s="2264"/>
      <c r="N3516" s="2264"/>
      <c r="O3516" s="2264"/>
      <c r="P3516" s="2265"/>
      <c r="Q3516" s="2266"/>
      <c r="R3516" s="2266"/>
      <c r="S3516" s="2266"/>
    </row>
    <row r="3517" spans="1:19" s="2105" customFormat="1" ht="14.4" outlineLevel="1">
      <c r="A3517" s="2182" t="str">
        <f>A3516</f>
        <v/>
      </c>
      <c r="B3517" s="2261"/>
      <c r="C3517" s="2258"/>
      <c r="D3517" s="2259"/>
      <c r="E3517" s="2274" t="s">
        <v>6133</v>
      </c>
      <c r="F3517" s="2258"/>
      <c r="G3517" s="2263"/>
      <c r="H3517" s="2264"/>
      <c r="I3517" s="2264"/>
      <c r="J3517" s="2264"/>
      <c r="K3517" s="2264"/>
      <c r="L3517" s="2264"/>
      <c r="M3517" s="2264"/>
      <c r="N3517" s="2264"/>
      <c r="O3517" s="2264"/>
      <c r="P3517" s="2265"/>
      <c r="Q3517" s="2266"/>
      <c r="R3517" s="2266"/>
      <c r="S3517" s="2266"/>
    </row>
    <row r="3518" spans="1:19" s="2105" customFormat="1" outlineLevel="1">
      <c r="A3518" s="2182" t="str">
        <f>IF(G3518&lt;&gt;0,1,"")</f>
        <v/>
      </c>
      <c r="B3518" s="2261" t="s">
        <v>1124</v>
      </c>
      <c r="C3518" s="2268"/>
      <c r="D3518" s="2152">
        <v>0</v>
      </c>
      <c r="E3518" s="2194" t="s">
        <v>3456</v>
      </c>
      <c r="F3518" s="2152" t="s">
        <v>2439</v>
      </c>
      <c r="G3518" s="2269">
        <f>G3516</f>
        <v>0</v>
      </c>
      <c r="H3518" s="2264">
        <v>350000</v>
      </c>
      <c r="I3518" s="2264"/>
      <c r="J3518" s="2264">
        <v>21761</v>
      </c>
      <c r="K3518" s="2264">
        <v>37840</v>
      </c>
      <c r="L3518" s="2264">
        <f>H3518*G3518</f>
        <v>0</v>
      </c>
      <c r="M3518" s="2264">
        <f>I3518*G3518</f>
        <v>0</v>
      </c>
      <c r="N3518" s="2264">
        <f>J3518*G3518</f>
        <v>0</v>
      </c>
      <c r="O3518" s="2264">
        <f>K3518*G3518</f>
        <v>0</v>
      </c>
      <c r="P3518" s="2265"/>
      <c r="Q3518" s="2266"/>
      <c r="R3518" s="2266"/>
      <c r="S3518" s="2266"/>
    </row>
    <row r="3519" spans="1:19" s="2105" customFormat="1" outlineLevel="1">
      <c r="A3519" s="2182" t="str">
        <f>IF(G3519&lt;&gt;0,1,"")</f>
        <v/>
      </c>
      <c r="B3519" s="2261" t="s">
        <v>1410</v>
      </c>
      <c r="C3519" s="2268"/>
      <c r="D3519" s="2152" t="s">
        <v>5341</v>
      </c>
      <c r="E3519" s="2194" t="s">
        <v>5342</v>
      </c>
      <c r="F3519" s="2152" t="s">
        <v>2439</v>
      </c>
      <c r="G3519" s="2269">
        <f>G3518</f>
        <v>0</v>
      </c>
      <c r="H3519" s="2264">
        <v>0</v>
      </c>
      <c r="I3519" s="2264"/>
      <c r="J3519" s="2264">
        <v>28219.62</v>
      </c>
      <c r="K3519" s="2264">
        <v>0</v>
      </c>
      <c r="L3519" s="2264">
        <f>H3519*G3519</f>
        <v>0</v>
      </c>
      <c r="M3519" s="2264">
        <f>I3519*G3519</f>
        <v>0</v>
      </c>
      <c r="N3519" s="2264">
        <f>J3519*G3519</f>
        <v>0</v>
      </c>
      <c r="O3519" s="2264">
        <f>K3519*G3519</f>
        <v>0</v>
      </c>
      <c r="P3519" s="2265"/>
      <c r="Q3519" s="2266"/>
      <c r="R3519" s="2266"/>
      <c r="S3519" s="2266"/>
    </row>
    <row r="3520" spans="1:19" s="2105" customFormat="1" outlineLevel="1">
      <c r="A3520" s="2182" t="str">
        <f>IF(G3520&lt;&gt;0,1,"")</f>
        <v/>
      </c>
      <c r="B3520" s="2252"/>
      <c r="C3520" s="2258">
        <f>IF(G3520&gt;0,C3516+1,C3516)</f>
        <v>0</v>
      </c>
      <c r="D3520" s="2259"/>
      <c r="E3520" s="2260" t="s">
        <v>3760</v>
      </c>
      <c r="F3520" s="2258" t="s">
        <v>2385</v>
      </c>
      <c r="G3520" s="2269">
        <f>G3494+G3506</f>
        <v>0</v>
      </c>
      <c r="H3520" s="2264"/>
      <c r="I3520" s="2264"/>
      <c r="J3520" s="2264"/>
      <c r="K3520" s="2264"/>
      <c r="L3520" s="2264"/>
      <c r="M3520" s="2264"/>
      <c r="N3520" s="2264"/>
      <c r="O3520" s="2264"/>
      <c r="P3520" s="2265"/>
      <c r="Q3520" s="2266"/>
      <c r="R3520" s="2266"/>
      <c r="S3520" s="2266"/>
    </row>
    <row r="3521" spans="1:19" s="2105" customFormat="1" ht="14.4" outlineLevel="1">
      <c r="A3521" s="2182" t="str">
        <f>A3520</f>
        <v/>
      </c>
      <c r="B3521" s="2252"/>
      <c r="C3521" s="2258"/>
      <c r="D3521" s="2259"/>
      <c r="E3521" s="2274" t="s">
        <v>6133</v>
      </c>
      <c r="F3521" s="2258"/>
      <c r="G3521" s="2269"/>
      <c r="H3521" s="2264"/>
      <c r="I3521" s="2264"/>
      <c r="J3521" s="2264"/>
      <c r="K3521" s="2264"/>
      <c r="L3521" s="2264"/>
      <c r="M3521" s="2264"/>
      <c r="N3521" s="2264"/>
      <c r="O3521" s="2264"/>
      <c r="P3521" s="2265"/>
      <c r="Q3521" s="2266"/>
      <c r="R3521" s="2266"/>
      <c r="S3521" s="2266"/>
    </row>
    <row r="3522" spans="1:19" s="2105" customFormat="1" outlineLevel="1">
      <c r="A3522" s="2182" t="str">
        <f t="shared" ref="A3522:A3530" si="760">IF(G3522&lt;&gt;0,1,"")</f>
        <v/>
      </c>
      <c r="B3522" s="2261" t="s">
        <v>1238</v>
      </c>
      <c r="C3522" s="2268"/>
      <c r="D3522" s="2570"/>
      <c r="E3522" s="2194" t="s">
        <v>2748</v>
      </c>
      <c r="F3522" s="2152" t="s">
        <v>2532</v>
      </c>
      <c r="G3522" s="2269">
        <f>G3520*(10*3*4+5*8)</f>
        <v>0</v>
      </c>
      <c r="H3522" s="2264">
        <v>479000</v>
      </c>
      <c r="I3522" s="2264"/>
      <c r="J3522" s="2264">
        <v>0</v>
      </c>
      <c r="K3522" s="2264">
        <v>0</v>
      </c>
      <c r="L3522" s="2264">
        <f t="shared" ref="L3522:L3530" si="761">H3522*G3522</f>
        <v>0</v>
      </c>
      <c r="M3522" s="2264">
        <f t="shared" ref="M3522:M3530" si="762">I3522*G3522</f>
        <v>0</v>
      </c>
      <c r="N3522" s="2264">
        <f t="shared" ref="N3522:N3530" si="763">J3522*G3522</f>
        <v>0</v>
      </c>
      <c r="O3522" s="2264">
        <f t="shared" ref="O3522:O3530" si="764">K3522*G3522</f>
        <v>0</v>
      </c>
      <c r="P3522" s="2265"/>
      <c r="Q3522" s="2266"/>
      <c r="R3522" s="2266">
        <f>48*(30+6)</f>
        <v>1728</v>
      </c>
      <c r="S3522" s="2266"/>
    </row>
    <row r="3523" spans="1:19" s="2105" customFormat="1" outlineLevel="1">
      <c r="A3523" s="2182" t="str">
        <f t="shared" si="760"/>
        <v/>
      </c>
      <c r="B3523" s="2261" t="s">
        <v>448</v>
      </c>
      <c r="C3523" s="2268"/>
      <c r="D3523" s="2152" t="s">
        <v>5732</v>
      </c>
      <c r="E3523" s="2194" t="s">
        <v>3487</v>
      </c>
      <c r="F3523" s="2152" t="s">
        <v>2555</v>
      </c>
      <c r="G3523" s="2269">
        <f>+G3520*70</f>
        <v>0</v>
      </c>
      <c r="H3523" s="2264">
        <v>70000</v>
      </c>
      <c r="I3523" s="2264"/>
      <c r="J3523" s="2264">
        <v>59410.148000000001</v>
      </c>
      <c r="K3523" s="2264">
        <v>5554.0464950000005</v>
      </c>
      <c r="L3523" s="2264">
        <f t="shared" si="761"/>
        <v>0</v>
      </c>
      <c r="M3523" s="2264">
        <f t="shared" si="762"/>
        <v>0</v>
      </c>
      <c r="N3523" s="2264">
        <f t="shared" si="763"/>
        <v>0</v>
      </c>
      <c r="O3523" s="2264">
        <f t="shared" si="764"/>
        <v>0</v>
      </c>
      <c r="P3523" s="2265"/>
      <c r="Q3523" s="2266"/>
      <c r="R3523" s="2266"/>
      <c r="S3523" s="2266"/>
    </row>
    <row r="3524" spans="1:19" s="2105" customFormat="1" outlineLevel="1">
      <c r="A3524" s="2182" t="str">
        <f t="shared" si="760"/>
        <v/>
      </c>
      <c r="B3524" s="2261" t="s">
        <v>1072</v>
      </c>
      <c r="C3524" s="2268"/>
      <c r="D3524" s="2152">
        <v>0</v>
      </c>
      <c r="E3524" s="2194" t="s">
        <v>3501</v>
      </c>
      <c r="F3524" s="2152" t="s">
        <v>2555</v>
      </c>
      <c r="G3524" s="2269">
        <f>G3523</f>
        <v>0</v>
      </c>
      <c r="H3524" s="2264">
        <v>6000</v>
      </c>
      <c r="I3524" s="2264"/>
      <c r="J3524" s="2264">
        <v>0</v>
      </c>
      <c r="K3524" s="2264">
        <v>0</v>
      </c>
      <c r="L3524" s="2264">
        <f t="shared" si="761"/>
        <v>0</v>
      </c>
      <c r="M3524" s="2264">
        <f t="shared" si="762"/>
        <v>0</v>
      </c>
      <c r="N3524" s="2264">
        <f t="shared" si="763"/>
        <v>0</v>
      </c>
      <c r="O3524" s="2264">
        <f t="shared" si="764"/>
        <v>0</v>
      </c>
      <c r="P3524" s="2265"/>
      <c r="Q3524" s="2266"/>
      <c r="R3524" s="2266"/>
      <c r="S3524" s="2266"/>
    </row>
    <row r="3525" spans="1:19" s="2105" customFormat="1" outlineLevel="1">
      <c r="A3525" s="2182" t="str">
        <f t="shared" si="760"/>
        <v/>
      </c>
      <c r="B3525" s="2261" t="s">
        <v>1042</v>
      </c>
      <c r="C3525" s="2268"/>
      <c r="D3525" s="2152">
        <v>0</v>
      </c>
      <c r="E3525" s="2194" t="s">
        <v>3531</v>
      </c>
      <c r="F3525" s="2152" t="s">
        <v>1823</v>
      </c>
      <c r="G3525" s="2269">
        <f>6*G3520*$L$2*0</f>
        <v>0</v>
      </c>
      <c r="H3525" s="2264">
        <v>103700</v>
      </c>
      <c r="I3525" s="2264"/>
      <c r="J3525" s="2264">
        <v>0</v>
      </c>
      <c r="K3525" s="2264">
        <v>0</v>
      </c>
      <c r="L3525" s="2264">
        <f t="shared" si="761"/>
        <v>0</v>
      </c>
      <c r="M3525" s="2264">
        <f t="shared" si="762"/>
        <v>0</v>
      </c>
      <c r="N3525" s="2264">
        <f t="shared" si="763"/>
        <v>0</v>
      </c>
      <c r="O3525" s="2264">
        <f t="shared" si="764"/>
        <v>0</v>
      </c>
      <c r="P3525" s="2265"/>
      <c r="Q3525" s="2266"/>
      <c r="R3525" s="2266"/>
      <c r="S3525" s="2266"/>
    </row>
    <row r="3526" spans="1:19" s="2105" customFormat="1" outlineLevel="1">
      <c r="A3526" s="2182" t="str">
        <f t="shared" si="760"/>
        <v/>
      </c>
      <c r="B3526" s="2252" t="s">
        <v>731</v>
      </c>
      <c r="C3526" s="2268"/>
      <c r="D3526" s="2152">
        <v>0</v>
      </c>
      <c r="E3526" s="2194" t="s">
        <v>5258</v>
      </c>
      <c r="F3526" s="2152" t="s">
        <v>2439</v>
      </c>
      <c r="G3526" s="2269">
        <f>G3520*2*$L$2*0</f>
        <v>0</v>
      </c>
      <c r="H3526" s="2264">
        <v>50000</v>
      </c>
      <c r="I3526" s="2264"/>
      <c r="J3526" s="2264">
        <v>0</v>
      </c>
      <c r="K3526" s="2264">
        <v>0</v>
      </c>
      <c r="L3526" s="2264">
        <f t="shared" si="761"/>
        <v>0</v>
      </c>
      <c r="M3526" s="2264">
        <f t="shared" si="762"/>
        <v>0</v>
      </c>
      <c r="N3526" s="2264">
        <f t="shared" si="763"/>
        <v>0</v>
      </c>
      <c r="O3526" s="2264">
        <f t="shared" si="764"/>
        <v>0</v>
      </c>
      <c r="P3526" s="2265"/>
      <c r="Q3526" s="2422"/>
      <c r="R3526" s="2266"/>
      <c r="S3526" s="2266"/>
    </row>
    <row r="3527" spans="1:19" s="2105" customFormat="1" outlineLevel="1">
      <c r="A3527" s="2182" t="str">
        <f t="shared" si="760"/>
        <v/>
      </c>
      <c r="B3527" s="2261" t="s">
        <v>1043</v>
      </c>
      <c r="C3527" s="2268"/>
      <c r="D3527" s="2152">
        <v>0</v>
      </c>
      <c r="E3527" s="2194" t="s">
        <v>5798</v>
      </c>
      <c r="F3527" s="2152" t="s">
        <v>2555</v>
      </c>
      <c r="G3527" s="2269">
        <f>G3520*2*$L$2*0</f>
        <v>0</v>
      </c>
      <c r="H3527" s="2264">
        <v>104800</v>
      </c>
      <c r="I3527" s="2264"/>
      <c r="J3527" s="2264">
        <v>0</v>
      </c>
      <c r="K3527" s="2264">
        <v>0</v>
      </c>
      <c r="L3527" s="2264">
        <f t="shared" si="761"/>
        <v>0</v>
      </c>
      <c r="M3527" s="2264">
        <f t="shared" si="762"/>
        <v>0</v>
      </c>
      <c r="N3527" s="2264">
        <f t="shared" si="763"/>
        <v>0</v>
      </c>
      <c r="O3527" s="2264">
        <f t="shared" si="764"/>
        <v>0</v>
      </c>
      <c r="P3527" s="2265"/>
      <c r="Q3527" s="2266"/>
      <c r="R3527" s="2266"/>
      <c r="S3527" s="2266"/>
    </row>
    <row r="3528" spans="1:19" s="2105" customFormat="1" outlineLevel="1">
      <c r="A3528" s="2182" t="str">
        <f t="shared" si="760"/>
        <v/>
      </c>
      <c r="B3528" s="2261" t="s">
        <v>2167</v>
      </c>
      <c r="C3528" s="2268"/>
      <c r="D3528" s="2152">
        <v>0</v>
      </c>
      <c r="E3528" s="2194" t="s">
        <v>3575</v>
      </c>
      <c r="F3528" s="2152" t="s">
        <v>2555</v>
      </c>
      <c r="G3528" s="2269">
        <f>G3520*$L$2*0</f>
        <v>0</v>
      </c>
      <c r="H3528" s="2264">
        <v>41900</v>
      </c>
      <c r="I3528" s="2264"/>
      <c r="J3528" s="2264">
        <v>0</v>
      </c>
      <c r="K3528" s="2264">
        <v>0</v>
      </c>
      <c r="L3528" s="2264">
        <f t="shared" si="761"/>
        <v>0</v>
      </c>
      <c r="M3528" s="2264">
        <f t="shared" si="762"/>
        <v>0</v>
      </c>
      <c r="N3528" s="2264">
        <f t="shared" si="763"/>
        <v>0</v>
      </c>
      <c r="O3528" s="2264">
        <f t="shared" si="764"/>
        <v>0</v>
      </c>
      <c r="P3528" s="2265"/>
      <c r="Q3528" s="2266"/>
      <c r="R3528" s="2266"/>
      <c r="S3528" s="2266"/>
    </row>
    <row r="3529" spans="1:19" s="2105" customFormat="1" outlineLevel="1">
      <c r="A3529" s="2182" t="str">
        <f t="shared" si="760"/>
        <v/>
      </c>
      <c r="B3529" s="2261" t="s">
        <v>2168</v>
      </c>
      <c r="C3529" s="2268"/>
      <c r="D3529" s="2152">
        <v>0</v>
      </c>
      <c r="E3529" s="2194" t="s">
        <v>3579</v>
      </c>
      <c r="F3529" s="2152" t="s">
        <v>2555</v>
      </c>
      <c r="G3529" s="2269">
        <f>G3528</f>
        <v>0</v>
      </c>
      <c r="H3529" s="2264">
        <v>41900</v>
      </c>
      <c r="I3529" s="2264"/>
      <c r="J3529" s="2264">
        <v>0</v>
      </c>
      <c r="K3529" s="2264">
        <v>0</v>
      </c>
      <c r="L3529" s="2264">
        <f t="shared" si="761"/>
        <v>0</v>
      </c>
      <c r="M3529" s="2264">
        <f t="shared" si="762"/>
        <v>0</v>
      </c>
      <c r="N3529" s="2264">
        <f t="shared" si="763"/>
        <v>0</v>
      </c>
      <c r="O3529" s="2264">
        <f t="shared" si="764"/>
        <v>0</v>
      </c>
      <c r="P3529" s="2265"/>
      <c r="Q3529" s="2266"/>
      <c r="R3529" s="2266"/>
      <c r="S3529" s="2266"/>
    </row>
    <row r="3530" spans="1:19" s="2105" customFormat="1" outlineLevel="1">
      <c r="A3530" s="2182" t="str">
        <f t="shared" si="760"/>
        <v/>
      </c>
      <c r="B3530" s="2261" t="s">
        <v>726</v>
      </c>
      <c r="C3530" s="2268"/>
      <c r="D3530" s="2152">
        <v>0</v>
      </c>
      <c r="E3530" s="2194" t="s">
        <v>3572</v>
      </c>
      <c r="F3530" s="2152" t="s">
        <v>388</v>
      </c>
      <c r="G3530" s="2269">
        <f>G3520*2*$L$2*0</f>
        <v>0</v>
      </c>
      <c r="H3530" s="2264">
        <v>54100</v>
      </c>
      <c r="I3530" s="2264"/>
      <c r="J3530" s="2264">
        <v>0</v>
      </c>
      <c r="K3530" s="2264">
        <v>0</v>
      </c>
      <c r="L3530" s="2264">
        <f t="shared" si="761"/>
        <v>0</v>
      </c>
      <c r="M3530" s="2264">
        <f t="shared" si="762"/>
        <v>0</v>
      </c>
      <c r="N3530" s="2264">
        <f t="shared" si="763"/>
        <v>0</v>
      </c>
      <c r="O3530" s="2264">
        <f t="shared" si="764"/>
        <v>0</v>
      </c>
      <c r="P3530" s="2265"/>
      <c r="Q3530" s="2266"/>
      <c r="R3530" s="2266"/>
      <c r="S3530" s="2266"/>
    </row>
    <row r="3531" spans="1:19" s="2105" customFormat="1" outlineLevel="1">
      <c r="A3531" s="2182" t="str">
        <f>IF(G3531&lt;&gt;0,1,"")</f>
        <v/>
      </c>
      <c r="B3531" s="2252" t="s">
        <v>6</v>
      </c>
      <c r="C3531" s="2268"/>
      <c r="D3531" s="2152"/>
      <c r="E3531" s="2194" t="s">
        <v>3567</v>
      </c>
      <c r="F3531" s="2152" t="s">
        <v>5806</v>
      </c>
      <c r="G3531" s="2269"/>
      <c r="H3531" s="2264">
        <v>45000</v>
      </c>
      <c r="I3531" s="2264"/>
      <c r="J3531" s="2264"/>
      <c r="K3531" s="2264"/>
      <c r="L3531" s="2264">
        <f>H3531*G3531</f>
        <v>0</v>
      </c>
      <c r="M3531" s="2264">
        <f>I3531*G3531</f>
        <v>0</v>
      </c>
      <c r="N3531" s="2264">
        <f>J3531*G3531</f>
        <v>0</v>
      </c>
      <c r="O3531" s="2264">
        <f>K3531*G3531</f>
        <v>0</v>
      </c>
      <c r="P3531" s="2265"/>
      <c r="Q3531" s="2266"/>
      <c r="R3531" s="2266"/>
      <c r="S3531" s="2266"/>
    </row>
    <row r="3532" spans="1:19" s="2105" customFormat="1" outlineLevel="1">
      <c r="A3532" s="2182" t="str">
        <f>IF(G3532&lt;&gt;0,1,"")</f>
        <v/>
      </c>
      <c r="B3532" s="2261" t="s">
        <v>1348</v>
      </c>
      <c r="C3532" s="2268"/>
      <c r="D3532" s="2152">
        <v>0</v>
      </c>
      <c r="E3532" s="2194" t="s">
        <v>3518</v>
      </c>
      <c r="F3532" s="2152" t="s">
        <v>3519</v>
      </c>
      <c r="G3532" s="2269">
        <f>G3520*2</f>
        <v>0</v>
      </c>
      <c r="H3532" s="2264">
        <v>15000</v>
      </c>
      <c r="I3532" s="2264"/>
      <c r="J3532" s="2264">
        <v>0</v>
      </c>
      <c r="K3532" s="2264">
        <v>0</v>
      </c>
      <c r="L3532" s="2264">
        <f>H3532*G3532</f>
        <v>0</v>
      </c>
      <c r="M3532" s="2264">
        <f>I3532*G3532</f>
        <v>0</v>
      </c>
      <c r="N3532" s="2264">
        <f>J3532*G3532</f>
        <v>0</v>
      </c>
      <c r="O3532" s="2264">
        <f>K3532*G3532</f>
        <v>0</v>
      </c>
      <c r="P3532" s="2265"/>
      <c r="Q3532" s="2266"/>
      <c r="R3532" s="2266"/>
      <c r="S3532" s="2266"/>
    </row>
    <row r="3533" spans="1:19" s="2105" customFormat="1" outlineLevel="1">
      <c r="A3533" s="2182" t="str">
        <f>IF(G3533&lt;&gt;0,1,"")</f>
        <v/>
      </c>
      <c r="B3533" s="2252" t="s">
        <v>672</v>
      </c>
      <c r="C3533" s="2268"/>
      <c r="D3533" s="2152">
        <v>0</v>
      </c>
      <c r="E3533" s="2194" t="s">
        <v>5801</v>
      </c>
      <c r="F3533" s="2152" t="s">
        <v>3566</v>
      </c>
      <c r="G3533" s="2269">
        <f>G3520*5</f>
        <v>0</v>
      </c>
      <c r="H3533" s="2264">
        <v>6500</v>
      </c>
      <c r="I3533" s="2264"/>
      <c r="J3533" s="2264">
        <v>0</v>
      </c>
      <c r="K3533" s="2264">
        <v>0</v>
      </c>
      <c r="L3533" s="2264">
        <f>H3533*G3533</f>
        <v>0</v>
      </c>
      <c r="M3533" s="2264">
        <f>I3533*G3533</f>
        <v>0</v>
      </c>
      <c r="N3533" s="2264">
        <f>J3533*G3533</f>
        <v>0</v>
      </c>
      <c r="O3533" s="2264">
        <f>K3533*G3533</f>
        <v>0</v>
      </c>
      <c r="P3533" s="2265"/>
      <c r="Q3533" s="2266"/>
      <c r="R3533" s="2266"/>
      <c r="S3533" s="2266"/>
    </row>
    <row r="3534" spans="1:19" s="2105" customFormat="1" outlineLevel="1">
      <c r="A3534" s="2182" t="str">
        <f>IF(G3534&lt;&gt;0,1,"")</f>
        <v/>
      </c>
      <c r="B3534" s="2252" t="s">
        <v>247</v>
      </c>
      <c r="C3534" s="2571"/>
      <c r="D3534" s="2152" t="s">
        <v>5573</v>
      </c>
      <c r="E3534" s="2194" t="s">
        <v>5574</v>
      </c>
      <c r="F3534" s="2152" t="s">
        <v>1823</v>
      </c>
      <c r="G3534" s="2269">
        <f>G3522</f>
        <v>0</v>
      </c>
      <c r="H3534" s="2264">
        <v>0</v>
      </c>
      <c r="I3534" s="2264"/>
      <c r="J3534" s="2264">
        <v>47311</v>
      </c>
      <c r="K3534" s="2264">
        <v>0</v>
      </c>
      <c r="L3534" s="2264">
        <f>H3534*G3534</f>
        <v>0</v>
      </c>
      <c r="M3534" s="2264">
        <f>I3534*G3534</f>
        <v>0</v>
      </c>
      <c r="N3534" s="2264">
        <f>J3534*G3534</f>
        <v>0</v>
      </c>
      <c r="O3534" s="2264">
        <f>K3534*G3534</f>
        <v>0</v>
      </c>
      <c r="P3534" s="2265"/>
      <c r="Q3534" s="2266"/>
      <c r="R3534" s="2266"/>
      <c r="S3534" s="2266"/>
    </row>
    <row r="3535" spans="1:19" s="2105" customFormat="1" outlineLevel="1">
      <c r="A3535" s="2182" t="str">
        <f>IF(G3535&lt;&gt;0,1,"")</f>
        <v/>
      </c>
      <c r="B3535" s="2252"/>
      <c r="C3535" s="2258">
        <f>IF(G3535&gt;0,C3520+1,C3520)</f>
        <v>0</v>
      </c>
      <c r="D3535" s="2259"/>
      <c r="E3535" s="2260" t="s">
        <v>6253</v>
      </c>
      <c r="F3535" s="2258" t="s">
        <v>2385</v>
      </c>
      <c r="G3535" s="2269">
        <f>G3389</f>
        <v>0</v>
      </c>
      <c r="H3535" s="2264"/>
      <c r="I3535" s="2264"/>
      <c r="J3535" s="2264"/>
      <c r="K3535" s="2264"/>
      <c r="L3535" s="2264"/>
      <c r="M3535" s="2264"/>
      <c r="N3535" s="2264"/>
      <c r="O3535" s="2264"/>
      <c r="P3535" s="2265"/>
      <c r="Q3535" s="2266"/>
      <c r="R3535" s="2266"/>
      <c r="S3535" s="2266"/>
    </row>
    <row r="3536" spans="1:19" s="2288" customFormat="1" ht="14.4" outlineLevel="1">
      <c r="A3536" s="2182" t="str">
        <f>A3535</f>
        <v/>
      </c>
      <c r="B3536" s="2500"/>
      <c r="C3536" s="2258"/>
      <c r="D3536" s="2259"/>
      <c r="E3536" s="2274" t="s">
        <v>6133</v>
      </c>
      <c r="F3536" s="2258"/>
      <c r="G3536" s="2263"/>
      <c r="H3536" s="2264"/>
      <c r="I3536" s="2264"/>
      <c r="J3536" s="2264"/>
      <c r="K3536" s="2264"/>
      <c r="L3536" s="2264"/>
      <c r="M3536" s="2264"/>
      <c r="N3536" s="2264"/>
      <c r="O3536" s="2264"/>
      <c r="P3536" s="2265"/>
      <c r="Q3536" s="2433"/>
      <c r="R3536" s="2433"/>
      <c r="S3536" s="2433"/>
    </row>
    <row r="3537" spans="1:19" s="2105" customFormat="1" outlineLevel="1">
      <c r="A3537" s="2182">
        <f>IF(G3537=0,0,1)</f>
        <v>0</v>
      </c>
      <c r="B3537" s="2261" t="s">
        <v>1822</v>
      </c>
      <c r="C3537" s="2389"/>
      <c r="D3537" s="2152" t="s">
        <v>1527</v>
      </c>
      <c r="E3537" s="2359" t="s">
        <v>2784</v>
      </c>
      <c r="F3537" s="2501" t="s">
        <v>2532</v>
      </c>
      <c r="G3537" s="2269">
        <f>G3535*26</f>
        <v>0</v>
      </c>
      <c r="H3537" s="2264">
        <v>28200</v>
      </c>
      <c r="I3537" s="2264"/>
      <c r="J3537" s="2264">
        <v>0</v>
      </c>
      <c r="K3537" s="2264">
        <v>0</v>
      </c>
      <c r="L3537" s="2264">
        <f t="shared" ref="L3537:O3557" si="765">H3537*$G3537</f>
        <v>0</v>
      </c>
      <c r="M3537" s="2264">
        <f t="shared" si="765"/>
        <v>0</v>
      </c>
      <c r="N3537" s="2264">
        <f t="shared" si="765"/>
        <v>0</v>
      </c>
      <c r="O3537" s="2264">
        <f t="shared" si="765"/>
        <v>0</v>
      </c>
      <c r="P3537" s="2265"/>
      <c r="Q3537" s="2266"/>
      <c r="R3537" s="2266"/>
      <c r="S3537" s="2266"/>
    </row>
    <row r="3538" spans="1:19" s="2105" customFormat="1" outlineLevel="1">
      <c r="A3538" s="2182">
        <f>IF(G3538=0,0,1)</f>
        <v>0</v>
      </c>
      <c r="B3538" s="2252" t="s">
        <v>6254</v>
      </c>
      <c r="C3538" s="2268"/>
      <c r="D3538" s="2152">
        <v>0</v>
      </c>
      <c r="E3538" s="2359" t="s">
        <v>5053</v>
      </c>
      <c r="F3538" s="2501" t="s">
        <v>2439</v>
      </c>
      <c r="G3538" s="2269">
        <f>G3535*24</f>
        <v>0</v>
      </c>
      <c r="H3538" s="2264">
        <v>7900</v>
      </c>
      <c r="I3538" s="2264"/>
      <c r="J3538" s="2264">
        <v>0</v>
      </c>
      <c r="K3538" s="2264">
        <v>0</v>
      </c>
      <c r="L3538" s="2264">
        <f t="shared" si="765"/>
        <v>0</v>
      </c>
      <c r="M3538" s="2264">
        <f t="shared" si="765"/>
        <v>0</v>
      </c>
      <c r="N3538" s="2264">
        <f t="shared" si="765"/>
        <v>0</v>
      </c>
      <c r="O3538" s="2264">
        <f t="shared" si="765"/>
        <v>0</v>
      </c>
      <c r="P3538" s="2265"/>
      <c r="Q3538" s="2266"/>
      <c r="R3538" s="2266"/>
      <c r="S3538" s="2266"/>
    </row>
    <row r="3539" spans="1:19" s="2105" customFormat="1" outlineLevel="1">
      <c r="A3539" s="2182">
        <f>IF(G3539=0,0,1)</f>
        <v>0</v>
      </c>
      <c r="B3539" s="2252" t="s">
        <v>6255</v>
      </c>
      <c r="C3539" s="2268"/>
      <c r="D3539" s="2152">
        <v>0</v>
      </c>
      <c r="E3539" s="2359" t="s">
        <v>2624</v>
      </c>
      <c r="F3539" s="2501" t="s">
        <v>2439</v>
      </c>
      <c r="G3539" s="2269">
        <f>G3538</f>
        <v>0</v>
      </c>
      <c r="H3539" s="2264">
        <v>1500</v>
      </c>
      <c r="I3539" s="2264"/>
      <c r="J3539" s="2264">
        <v>0</v>
      </c>
      <c r="K3539" s="2264">
        <v>0</v>
      </c>
      <c r="L3539" s="2264">
        <f t="shared" si="765"/>
        <v>0</v>
      </c>
      <c r="M3539" s="2264">
        <f t="shared" si="765"/>
        <v>0</v>
      </c>
      <c r="N3539" s="2264">
        <f t="shared" si="765"/>
        <v>0</v>
      </c>
      <c r="O3539" s="2264">
        <f t="shared" si="765"/>
        <v>0</v>
      </c>
      <c r="P3539" s="2265"/>
      <c r="Q3539" s="2266"/>
      <c r="R3539" s="2266"/>
      <c r="S3539" s="2266"/>
    </row>
    <row r="3540" spans="1:19" s="2105" customFormat="1" outlineLevel="1">
      <c r="A3540" s="2182">
        <f t="shared" ref="A3540:A3557" si="766">IF(G3540=0,0,1)</f>
        <v>0</v>
      </c>
      <c r="B3540" s="2261" t="s">
        <v>246</v>
      </c>
      <c r="C3540" s="2389"/>
      <c r="D3540" s="2152">
        <v>0</v>
      </c>
      <c r="E3540" s="2359" t="s">
        <v>5869</v>
      </c>
      <c r="F3540" s="2501" t="s">
        <v>2555</v>
      </c>
      <c r="G3540" s="2269">
        <f>G3535*24</f>
        <v>0</v>
      </c>
      <c r="H3540" s="2264">
        <v>40500</v>
      </c>
      <c r="I3540" s="2264"/>
      <c r="J3540" s="2264">
        <v>39758</v>
      </c>
      <c r="K3540" s="2264">
        <v>0</v>
      </c>
      <c r="L3540" s="2264">
        <f t="shared" si="765"/>
        <v>0</v>
      </c>
      <c r="M3540" s="2264">
        <f t="shared" si="765"/>
        <v>0</v>
      </c>
      <c r="N3540" s="2264">
        <f t="shared" si="765"/>
        <v>0</v>
      </c>
      <c r="O3540" s="2264">
        <f t="shared" si="765"/>
        <v>0</v>
      </c>
      <c r="P3540" s="2265"/>
      <c r="Q3540" s="2266"/>
      <c r="R3540" s="2266"/>
      <c r="S3540" s="2266"/>
    </row>
    <row r="3541" spans="1:19" s="2105" customFormat="1" outlineLevel="1">
      <c r="A3541" s="2182">
        <f t="shared" si="766"/>
        <v>0</v>
      </c>
      <c r="B3541" s="2261" t="s">
        <v>1865</v>
      </c>
      <c r="C3541" s="2268"/>
      <c r="D3541" s="2152">
        <v>0</v>
      </c>
      <c r="E3541" s="2359" t="s">
        <v>3471</v>
      </c>
      <c r="F3541" s="2501" t="s">
        <v>2555</v>
      </c>
      <c r="G3541" s="2269">
        <f>G3535*16</f>
        <v>0</v>
      </c>
      <c r="H3541" s="2264">
        <v>1700</v>
      </c>
      <c r="I3541" s="2264"/>
      <c r="J3541" s="2264">
        <v>0</v>
      </c>
      <c r="K3541" s="2264">
        <v>0</v>
      </c>
      <c r="L3541" s="2264">
        <f t="shared" si="765"/>
        <v>0</v>
      </c>
      <c r="M3541" s="2264">
        <f t="shared" si="765"/>
        <v>0</v>
      </c>
      <c r="N3541" s="2264">
        <f t="shared" si="765"/>
        <v>0</v>
      </c>
      <c r="O3541" s="2264">
        <f t="shared" si="765"/>
        <v>0</v>
      </c>
      <c r="P3541" s="2265"/>
      <c r="Q3541" s="2266"/>
      <c r="R3541" s="2266"/>
      <c r="S3541" s="2266"/>
    </row>
    <row r="3542" spans="1:19" s="2105" customFormat="1" outlineLevel="1">
      <c r="A3542" s="2182">
        <f t="shared" si="766"/>
        <v>0</v>
      </c>
      <c r="B3542" s="2261" t="s">
        <v>1510</v>
      </c>
      <c r="C3542" s="2268"/>
      <c r="D3542" s="2152">
        <v>0</v>
      </c>
      <c r="E3542" s="2359" t="s">
        <v>3515</v>
      </c>
      <c r="F3542" s="2501" t="s">
        <v>2532</v>
      </c>
      <c r="G3542" s="2269">
        <f>6*G3535</f>
        <v>0</v>
      </c>
      <c r="H3542" s="2264">
        <v>860</v>
      </c>
      <c r="I3542" s="2264"/>
      <c r="J3542" s="2264">
        <v>0</v>
      </c>
      <c r="K3542" s="2264">
        <v>0</v>
      </c>
      <c r="L3542" s="2264">
        <f t="shared" si="765"/>
        <v>0</v>
      </c>
      <c r="M3542" s="2264">
        <f t="shared" si="765"/>
        <v>0</v>
      </c>
      <c r="N3542" s="2264">
        <f t="shared" si="765"/>
        <v>0</v>
      </c>
      <c r="O3542" s="2264">
        <f t="shared" si="765"/>
        <v>0</v>
      </c>
      <c r="P3542" s="2265"/>
      <c r="Q3542" s="2266"/>
      <c r="R3542" s="2266"/>
      <c r="S3542" s="2266"/>
    </row>
    <row r="3543" spans="1:19" s="2105" customFormat="1" outlineLevel="1">
      <c r="A3543" s="2182">
        <f t="shared" si="766"/>
        <v>0</v>
      </c>
      <c r="B3543" s="2261" t="s">
        <v>816</v>
      </c>
      <c r="C3543" s="2268"/>
      <c r="D3543" s="2152">
        <v>0</v>
      </c>
      <c r="E3543" s="2359" t="s">
        <v>3581</v>
      </c>
      <c r="F3543" s="2501" t="s">
        <v>2555</v>
      </c>
      <c r="G3543" s="2269">
        <f>+G3535*3</f>
        <v>0</v>
      </c>
      <c r="H3543" s="2264">
        <v>17600</v>
      </c>
      <c r="I3543" s="2264"/>
      <c r="J3543" s="2264">
        <v>0</v>
      </c>
      <c r="K3543" s="2264">
        <v>0</v>
      </c>
      <c r="L3543" s="2264">
        <f t="shared" si="765"/>
        <v>0</v>
      </c>
      <c r="M3543" s="2264">
        <f t="shared" si="765"/>
        <v>0</v>
      </c>
      <c r="N3543" s="2264">
        <f t="shared" si="765"/>
        <v>0</v>
      </c>
      <c r="O3543" s="2264">
        <f t="shared" si="765"/>
        <v>0</v>
      </c>
      <c r="P3543" s="2265"/>
      <c r="Q3543" s="2266"/>
      <c r="R3543" s="2266"/>
      <c r="S3543" s="2266"/>
    </row>
    <row r="3544" spans="1:19" s="2105" customFormat="1" outlineLevel="1">
      <c r="A3544" s="2182">
        <f t="shared" si="766"/>
        <v>0</v>
      </c>
      <c r="B3544" s="2261" t="s">
        <v>2141</v>
      </c>
      <c r="C3544" s="2268"/>
      <c r="D3544" s="2152">
        <v>0</v>
      </c>
      <c r="E3544" s="2359" t="s">
        <v>3535</v>
      </c>
      <c r="F3544" s="2501" t="s">
        <v>1823</v>
      </c>
      <c r="G3544" s="2269">
        <f>G3553*10</f>
        <v>0</v>
      </c>
      <c r="H3544" s="2264">
        <v>16100</v>
      </c>
      <c r="I3544" s="2264"/>
      <c r="J3544" s="2264">
        <v>0</v>
      </c>
      <c r="K3544" s="2264">
        <v>0</v>
      </c>
      <c r="L3544" s="2264">
        <f t="shared" si="765"/>
        <v>0</v>
      </c>
      <c r="M3544" s="2264">
        <f t="shared" si="765"/>
        <v>0</v>
      </c>
      <c r="N3544" s="2264">
        <f t="shared" si="765"/>
        <v>0</v>
      </c>
      <c r="O3544" s="2264">
        <f t="shared" si="765"/>
        <v>0</v>
      </c>
      <c r="P3544" s="2265"/>
      <c r="Q3544" s="2266"/>
      <c r="R3544" s="2266"/>
      <c r="S3544" s="2266"/>
    </row>
    <row r="3545" spans="1:19" s="2105" customFormat="1" outlineLevel="1">
      <c r="A3545" s="2182">
        <f t="shared" si="766"/>
        <v>0</v>
      </c>
      <c r="B3545" s="2252" t="s">
        <v>204</v>
      </c>
      <c r="C3545" s="2268"/>
      <c r="D3545" s="2152">
        <v>0</v>
      </c>
      <c r="E3545" s="2359" t="s">
        <v>2979</v>
      </c>
      <c r="F3545" s="2501" t="s">
        <v>2439</v>
      </c>
      <c r="G3545" s="2269">
        <f>G3535*4</f>
        <v>0</v>
      </c>
      <c r="H3545" s="2264">
        <v>34000</v>
      </c>
      <c r="I3545" s="2264"/>
      <c r="J3545" s="2264">
        <v>0</v>
      </c>
      <c r="K3545" s="2264">
        <v>0</v>
      </c>
      <c r="L3545" s="2264">
        <f t="shared" si="765"/>
        <v>0</v>
      </c>
      <c r="M3545" s="2264">
        <f t="shared" si="765"/>
        <v>0</v>
      </c>
      <c r="N3545" s="2264">
        <f t="shared" si="765"/>
        <v>0</v>
      </c>
      <c r="O3545" s="2264">
        <f t="shared" si="765"/>
        <v>0</v>
      </c>
      <c r="P3545" s="2265"/>
      <c r="Q3545" s="2266"/>
      <c r="R3545" s="2266"/>
      <c r="S3545" s="2266"/>
    </row>
    <row r="3546" spans="1:19" s="2105" customFormat="1" outlineLevel="1">
      <c r="A3546" s="2182">
        <f t="shared" si="766"/>
        <v>0</v>
      </c>
      <c r="B3546" s="2261" t="s">
        <v>1616</v>
      </c>
      <c r="C3546" s="2268"/>
      <c r="D3546" s="2152">
        <v>0</v>
      </c>
      <c r="E3546" s="2359" t="s">
        <v>3542</v>
      </c>
      <c r="F3546" s="2501" t="s">
        <v>2555</v>
      </c>
      <c r="G3546" s="2269">
        <f>G3535*6</f>
        <v>0</v>
      </c>
      <c r="H3546" s="2264">
        <v>11400</v>
      </c>
      <c r="I3546" s="2264"/>
      <c r="J3546" s="2264">
        <v>0</v>
      </c>
      <c r="K3546" s="2264">
        <v>0</v>
      </c>
      <c r="L3546" s="2264">
        <f t="shared" si="765"/>
        <v>0</v>
      </c>
      <c r="M3546" s="2264">
        <f t="shared" si="765"/>
        <v>0</v>
      </c>
      <c r="N3546" s="2264">
        <f t="shared" si="765"/>
        <v>0</v>
      </c>
      <c r="O3546" s="2264">
        <f t="shared" si="765"/>
        <v>0</v>
      </c>
      <c r="P3546" s="2265"/>
      <c r="Q3546" s="2266"/>
      <c r="R3546" s="2266"/>
      <c r="S3546" s="2266"/>
    </row>
    <row r="3547" spans="1:19" s="2105" customFormat="1" outlineLevel="1">
      <c r="A3547" s="2182">
        <f t="shared" si="766"/>
        <v>0</v>
      </c>
      <c r="B3547" s="2261" t="s">
        <v>1050</v>
      </c>
      <c r="C3547" s="2268"/>
      <c r="D3547" s="2152">
        <v>0</v>
      </c>
      <c r="E3547" s="2359" t="s">
        <v>3543</v>
      </c>
      <c r="F3547" s="2501" t="s">
        <v>2555</v>
      </c>
      <c r="G3547" s="2269">
        <f>G3535*5</f>
        <v>0</v>
      </c>
      <c r="H3547" s="2264">
        <v>21000</v>
      </c>
      <c r="I3547" s="2264"/>
      <c r="J3547" s="2264">
        <v>0</v>
      </c>
      <c r="K3547" s="2264">
        <v>0</v>
      </c>
      <c r="L3547" s="2264">
        <f t="shared" si="765"/>
        <v>0</v>
      </c>
      <c r="M3547" s="2264">
        <f t="shared" si="765"/>
        <v>0</v>
      </c>
      <c r="N3547" s="2264">
        <f t="shared" si="765"/>
        <v>0</v>
      </c>
      <c r="O3547" s="2264">
        <f t="shared" si="765"/>
        <v>0</v>
      </c>
      <c r="P3547" s="2265"/>
      <c r="Q3547" s="2266"/>
      <c r="R3547" s="2266"/>
      <c r="S3547" s="2266"/>
    </row>
    <row r="3548" spans="1:19" s="2105" customFormat="1" outlineLevel="1">
      <c r="A3548" s="2182">
        <f t="shared" si="766"/>
        <v>0</v>
      </c>
      <c r="B3548" s="2261" t="s">
        <v>726</v>
      </c>
      <c r="C3548" s="2268"/>
      <c r="D3548" s="2152">
        <v>0</v>
      </c>
      <c r="E3548" s="2359" t="s">
        <v>3572</v>
      </c>
      <c r="F3548" s="2501" t="s">
        <v>388</v>
      </c>
      <c r="G3548" s="2269">
        <f>G3535</f>
        <v>0</v>
      </c>
      <c r="H3548" s="2264">
        <v>54100</v>
      </c>
      <c r="I3548" s="2264"/>
      <c r="J3548" s="2264">
        <v>0</v>
      </c>
      <c r="K3548" s="2264">
        <v>0</v>
      </c>
      <c r="L3548" s="2264">
        <f t="shared" si="765"/>
        <v>0</v>
      </c>
      <c r="M3548" s="2264">
        <f t="shared" si="765"/>
        <v>0</v>
      </c>
      <c r="N3548" s="2264">
        <f t="shared" si="765"/>
        <v>0</v>
      </c>
      <c r="O3548" s="2264">
        <f t="shared" si="765"/>
        <v>0</v>
      </c>
      <c r="P3548" s="2265"/>
      <c r="Q3548" s="2266"/>
      <c r="R3548" s="2266"/>
      <c r="S3548" s="2266"/>
    </row>
    <row r="3549" spans="1:19" s="2105" customFormat="1" outlineLevel="1">
      <c r="A3549" s="2182">
        <f t="shared" si="766"/>
        <v>0</v>
      </c>
      <c r="B3549" s="2252" t="s">
        <v>672</v>
      </c>
      <c r="C3549" s="2268"/>
      <c r="D3549" s="2152">
        <v>0</v>
      </c>
      <c r="E3549" s="2359" t="s">
        <v>5801</v>
      </c>
      <c r="F3549" s="2501" t="s">
        <v>3566</v>
      </c>
      <c r="G3549" s="2269">
        <f>G3535</f>
        <v>0</v>
      </c>
      <c r="H3549" s="2264">
        <v>6500</v>
      </c>
      <c r="I3549" s="2264"/>
      <c r="J3549" s="2264">
        <v>0</v>
      </c>
      <c r="K3549" s="2264">
        <v>0</v>
      </c>
      <c r="L3549" s="2264">
        <f t="shared" si="765"/>
        <v>0</v>
      </c>
      <c r="M3549" s="2264">
        <f t="shared" si="765"/>
        <v>0</v>
      </c>
      <c r="N3549" s="2264">
        <f t="shared" si="765"/>
        <v>0</v>
      </c>
      <c r="O3549" s="2264">
        <f t="shared" si="765"/>
        <v>0</v>
      </c>
      <c r="P3549" s="2265"/>
      <c r="Q3549" s="2266"/>
      <c r="R3549" s="2266"/>
      <c r="S3549" s="2266"/>
    </row>
    <row r="3550" spans="1:19" s="2105" customFormat="1" outlineLevel="1">
      <c r="A3550" s="2182">
        <f t="shared" si="766"/>
        <v>0</v>
      </c>
      <c r="B3550" s="2261" t="s">
        <v>2120</v>
      </c>
      <c r="C3550" s="2268"/>
      <c r="D3550" s="2152">
        <v>0</v>
      </c>
      <c r="E3550" s="2359" t="s">
        <v>3573</v>
      </c>
      <c r="F3550" s="2501" t="s">
        <v>2555</v>
      </c>
      <c r="G3550" s="2269">
        <f>G3535</f>
        <v>0</v>
      </c>
      <c r="H3550" s="2264">
        <v>5000</v>
      </c>
      <c r="I3550" s="2264"/>
      <c r="J3550" s="2264">
        <v>0</v>
      </c>
      <c r="K3550" s="2264">
        <v>0</v>
      </c>
      <c r="L3550" s="2264">
        <f t="shared" si="765"/>
        <v>0</v>
      </c>
      <c r="M3550" s="2264">
        <f t="shared" si="765"/>
        <v>0</v>
      </c>
      <c r="N3550" s="2264">
        <f t="shared" si="765"/>
        <v>0</v>
      </c>
      <c r="O3550" s="2264">
        <f t="shared" si="765"/>
        <v>0</v>
      </c>
      <c r="P3550" s="2265"/>
      <c r="Q3550" s="2266"/>
      <c r="R3550" s="2266"/>
      <c r="S3550" s="2266"/>
    </row>
    <row r="3551" spans="1:19" s="2105" customFormat="1" outlineLevel="1">
      <c r="A3551" s="2182">
        <f t="shared" si="766"/>
        <v>0</v>
      </c>
      <c r="B3551" s="2252" t="s">
        <v>959</v>
      </c>
      <c r="C3551" s="2268"/>
      <c r="D3551" s="2152">
        <v>0</v>
      </c>
      <c r="E3551" s="2359" t="s">
        <v>3577</v>
      </c>
      <c r="F3551" s="2501" t="s">
        <v>2555</v>
      </c>
      <c r="G3551" s="2269">
        <f>G3535</f>
        <v>0</v>
      </c>
      <c r="H3551" s="2264">
        <v>5200</v>
      </c>
      <c r="I3551" s="2264"/>
      <c r="J3551" s="2264">
        <v>0</v>
      </c>
      <c r="K3551" s="2264">
        <v>0</v>
      </c>
      <c r="L3551" s="2264">
        <f t="shared" si="765"/>
        <v>0</v>
      </c>
      <c r="M3551" s="2264">
        <f t="shared" si="765"/>
        <v>0</v>
      </c>
      <c r="N3551" s="2264">
        <f t="shared" si="765"/>
        <v>0</v>
      </c>
      <c r="O3551" s="2264">
        <f t="shared" si="765"/>
        <v>0</v>
      </c>
      <c r="P3551" s="2265"/>
      <c r="Q3551" s="2266"/>
      <c r="R3551" s="2266"/>
      <c r="S3551" s="2266"/>
    </row>
    <row r="3552" spans="1:19" s="2105" customFormat="1" outlineLevel="1">
      <c r="A3552" s="2182">
        <f t="shared" si="766"/>
        <v>0</v>
      </c>
      <c r="B3552" s="2252" t="s">
        <v>319</v>
      </c>
      <c r="C3552" s="2268"/>
      <c r="D3552" s="2152">
        <v>0</v>
      </c>
      <c r="E3552" s="2359" t="s">
        <v>5269</v>
      </c>
      <c r="F3552" s="2501" t="s">
        <v>2439</v>
      </c>
      <c r="G3552" s="2269">
        <f>G3535*2</f>
        <v>0</v>
      </c>
      <c r="H3552" s="2264">
        <v>168000</v>
      </c>
      <c r="I3552" s="2264"/>
      <c r="J3552" s="2264">
        <v>0</v>
      </c>
      <c r="K3552" s="2264">
        <v>0</v>
      </c>
      <c r="L3552" s="2264">
        <f t="shared" si="765"/>
        <v>0</v>
      </c>
      <c r="M3552" s="2264">
        <f t="shared" si="765"/>
        <v>0</v>
      </c>
      <c r="N3552" s="2264">
        <f t="shared" si="765"/>
        <v>0</v>
      </c>
      <c r="O3552" s="2264">
        <f t="shared" si="765"/>
        <v>0</v>
      </c>
      <c r="P3552" s="2265"/>
      <c r="Q3552" s="2266"/>
      <c r="R3552" s="2266"/>
      <c r="S3552" s="2266"/>
    </row>
    <row r="3553" spans="1:19" s="2105" customFormat="1" outlineLevel="1">
      <c r="A3553" s="2182">
        <f t="shared" si="766"/>
        <v>0</v>
      </c>
      <c r="B3553" s="2252" t="s">
        <v>1915</v>
      </c>
      <c r="C3553" s="2268"/>
      <c r="D3553" s="2152" t="s">
        <v>5655</v>
      </c>
      <c r="E3553" s="2359" t="s">
        <v>3394</v>
      </c>
      <c r="F3553" s="2501" t="s">
        <v>2555</v>
      </c>
      <c r="G3553" s="2269">
        <f>G3535</f>
        <v>0</v>
      </c>
      <c r="H3553" s="2264">
        <v>845331</v>
      </c>
      <c r="I3553" s="2264"/>
      <c r="J3553" s="2264">
        <v>599038</v>
      </c>
      <c r="K3553" s="2264">
        <v>97369</v>
      </c>
      <c r="L3553" s="2264">
        <f t="shared" si="765"/>
        <v>0</v>
      </c>
      <c r="M3553" s="2264">
        <f t="shared" si="765"/>
        <v>0</v>
      </c>
      <c r="N3553" s="2264">
        <f t="shared" si="765"/>
        <v>0</v>
      </c>
      <c r="O3553" s="2264">
        <f t="shared" si="765"/>
        <v>0</v>
      </c>
      <c r="P3553" s="2265"/>
      <c r="Q3553" s="2266"/>
      <c r="R3553" s="2266"/>
      <c r="S3553" s="2266"/>
    </row>
    <row r="3554" spans="1:19" s="2105" customFormat="1" outlineLevel="1">
      <c r="A3554" s="2182">
        <f t="shared" si="766"/>
        <v>0</v>
      </c>
      <c r="B3554" s="2252" t="s">
        <v>6</v>
      </c>
      <c r="C3554" s="2268"/>
      <c r="D3554" s="2152">
        <v>0</v>
      </c>
      <c r="E3554" s="2359" t="s">
        <v>3567</v>
      </c>
      <c r="F3554" s="2501" t="s">
        <v>5806</v>
      </c>
      <c r="G3554" s="2269">
        <f>G3535*2</f>
        <v>0</v>
      </c>
      <c r="H3554" s="2264">
        <v>45000</v>
      </c>
      <c r="I3554" s="2264"/>
      <c r="J3554" s="2264">
        <v>0</v>
      </c>
      <c r="K3554" s="2264">
        <v>0</v>
      </c>
      <c r="L3554" s="2264">
        <f t="shared" si="765"/>
        <v>0</v>
      </c>
      <c r="M3554" s="2264">
        <f t="shared" si="765"/>
        <v>0</v>
      </c>
      <c r="N3554" s="2264">
        <f t="shared" si="765"/>
        <v>0</v>
      </c>
      <c r="O3554" s="2264">
        <f t="shared" si="765"/>
        <v>0</v>
      </c>
      <c r="P3554" s="2265"/>
      <c r="Q3554" s="2266"/>
      <c r="R3554" s="2266"/>
      <c r="S3554" s="2266"/>
    </row>
    <row r="3555" spans="1:19" s="2105" customFormat="1" outlineLevel="1">
      <c r="A3555" s="2182">
        <f t="shared" si="766"/>
        <v>0</v>
      </c>
      <c r="B3555" s="2252" t="s">
        <v>2139</v>
      </c>
      <c r="C3555" s="2268"/>
      <c r="D3555" s="2152">
        <v>0</v>
      </c>
      <c r="E3555" s="2359" t="s">
        <v>2785</v>
      </c>
      <c r="F3555" s="2501" t="s">
        <v>2532</v>
      </c>
      <c r="G3555" s="2269">
        <f>G3535*4</f>
        <v>0</v>
      </c>
      <c r="H3555" s="2264">
        <v>5000</v>
      </c>
      <c r="I3555" s="2264"/>
      <c r="J3555" s="2264">
        <v>0</v>
      </c>
      <c r="K3555" s="2264">
        <v>0</v>
      </c>
      <c r="L3555" s="2264">
        <f t="shared" si="765"/>
        <v>0</v>
      </c>
      <c r="M3555" s="2264">
        <f t="shared" si="765"/>
        <v>0</v>
      </c>
      <c r="N3555" s="2264">
        <f t="shared" si="765"/>
        <v>0</v>
      </c>
      <c r="O3555" s="2264">
        <f t="shared" si="765"/>
        <v>0</v>
      </c>
      <c r="P3555" s="2265"/>
      <c r="Q3555" s="2266"/>
      <c r="R3555" s="2266"/>
      <c r="S3555" s="2266"/>
    </row>
    <row r="3556" spans="1:19" s="2105" customFormat="1" outlineLevel="1">
      <c r="A3556" s="2182">
        <f t="shared" si="766"/>
        <v>0</v>
      </c>
      <c r="B3556" s="2252" t="s">
        <v>1035</v>
      </c>
      <c r="C3556" s="2268"/>
      <c r="D3556" s="2152">
        <v>0</v>
      </c>
      <c r="E3556" s="2359" t="s">
        <v>2956</v>
      </c>
      <c r="F3556" s="2501" t="s">
        <v>2248</v>
      </c>
      <c r="G3556" s="2270">
        <f>3.77*G3535*2*0.3</f>
        <v>0</v>
      </c>
      <c r="H3556" s="2264">
        <v>31625</v>
      </c>
      <c r="I3556" s="2264"/>
      <c r="J3556" s="2264">
        <v>0</v>
      </c>
      <c r="K3556" s="2264">
        <v>0</v>
      </c>
      <c r="L3556" s="2264">
        <f t="shared" si="765"/>
        <v>0</v>
      </c>
      <c r="M3556" s="2264">
        <f t="shared" si="765"/>
        <v>0</v>
      </c>
      <c r="N3556" s="2264">
        <f t="shared" si="765"/>
        <v>0</v>
      </c>
      <c r="O3556" s="2264">
        <f t="shared" si="765"/>
        <v>0</v>
      </c>
      <c r="P3556" s="2265"/>
      <c r="Q3556" s="2266"/>
      <c r="R3556" s="2266"/>
      <c r="S3556" s="2266"/>
    </row>
    <row r="3557" spans="1:19" s="2105" customFormat="1" outlineLevel="1">
      <c r="A3557" s="2182">
        <f t="shared" si="766"/>
        <v>0</v>
      </c>
      <c r="B3557" s="2252" t="s">
        <v>6255</v>
      </c>
      <c r="C3557" s="2268"/>
      <c r="D3557" s="2152">
        <v>0</v>
      </c>
      <c r="E3557" s="2359" t="s">
        <v>2624</v>
      </c>
      <c r="F3557" s="2501" t="s">
        <v>2439</v>
      </c>
      <c r="G3557" s="2269">
        <f>4*G3535</f>
        <v>0</v>
      </c>
      <c r="H3557" s="2264">
        <v>1500</v>
      </c>
      <c r="I3557" s="2264"/>
      <c r="J3557" s="2264">
        <v>0</v>
      </c>
      <c r="K3557" s="2264">
        <v>0</v>
      </c>
      <c r="L3557" s="2264">
        <f t="shared" si="765"/>
        <v>0</v>
      </c>
      <c r="M3557" s="2264">
        <f t="shared" si="765"/>
        <v>0</v>
      </c>
      <c r="N3557" s="2264">
        <f t="shared" si="765"/>
        <v>0</v>
      </c>
      <c r="O3557" s="2264">
        <f t="shared" si="765"/>
        <v>0</v>
      </c>
      <c r="P3557" s="2265"/>
      <c r="Q3557" s="2266"/>
      <c r="R3557" s="2266"/>
      <c r="S3557" s="2266"/>
    </row>
    <row r="3558" spans="1:19" s="2105" customFormat="1" outlineLevel="1">
      <c r="A3558" s="2182">
        <f>A3384</f>
        <v>0</v>
      </c>
      <c r="B3558" s="2357"/>
      <c r="C3558" s="2572"/>
      <c r="D3558" s="2424"/>
      <c r="E3558" s="2399"/>
      <c r="F3558" s="2637"/>
      <c r="G3558" s="2638"/>
      <c r="H3558" s="2637"/>
      <c r="I3558" s="2637"/>
      <c r="J3558" s="2647" t="s">
        <v>6131</v>
      </c>
      <c r="K3558" s="2647"/>
      <c r="L3558" s="2425">
        <f>SUM(L3403:L3557)</f>
        <v>0</v>
      </c>
      <c r="M3558" s="2425">
        <f>SUM(M3403:M3557)</f>
        <v>0</v>
      </c>
      <c r="N3558" s="2425">
        <f>SUM(N3403:N3557)</f>
        <v>0</v>
      </c>
      <c r="O3558" s="2425">
        <f>SUM(O3403:O3557)</f>
        <v>0</v>
      </c>
      <c r="P3558" s="2568"/>
      <c r="Q3558" s="2266"/>
      <c r="R3558" s="2266"/>
      <c r="S3558" s="2266"/>
    </row>
  </sheetData>
  <autoFilter ref="A26:A3558" xr:uid="{00000000-0009-0000-0000-00000E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2" filterMode="1">
    <tabColor rgb="FFFFFF00"/>
  </sheetPr>
  <dimension ref="A1:W3097"/>
  <sheetViews>
    <sheetView showZeros="0" topLeftCell="A3101" zoomScaleNormal="100" workbookViewId="0">
      <selection activeCell="L3114" sqref="D19:L3114"/>
    </sheetView>
  </sheetViews>
  <sheetFormatPr defaultColWidth="8.90625" defaultRowHeight="15.6" outlineLevelRow="1"/>
  <cols>
    <col min="1" max="1" width="6.36328125" style="931" customWidth="1"/>
    <col min="2" max="2" width="9.08984375" style="1008" customWidth="1"/>
    <col min="3" max="3" width="7.453125" style="2839" customWidth="1"/>
    <col min="4" max="4" width="5.36328125" style="931" customWidth="1"/>
    <col min="5" max="5" width="8.81640625" style="931" customWidth="1"/>
    <col min="6" max="6" width="44.90625" style="2703" customWidth="1"/>
    <col min="7" max="7" width="7.36328125" style="931" customWidth="1"/>
    <col min="8" max="8" width="9.54296875" style="2704" customWidth="1"/>
    <col min="9" max="9" width="10.1796875" style="1735" customWidth="1"/>
    <col min="10" max="11" width="9" style="931" customWidth="1"/>
    <col min="12" max="12" width="11.08984375" style="2705" customWidth="1"/>
    <col min="13" max="13" width="11.453125" style="934" customWidth="1"/>
    <col min="14" max="14" width="12.453125" style="931" customWidth="1"/>
    <col min="15" max="16" width="10.453125" style="931" customWidth="1"/>
    <col min="17" max="17" width="15.08984375" style="931" customWidth="1"/>
    <col min="18" max="19" width="10.453125" style="931" customWidth="1"/>
    <col min="20" max="20" width="11.90625" style="931" customWidth="1"/>
    <col min="21" max="21" width="14.36328125" style="931" customWidth="1"/>
    <col min="22" max="22" width="8.90625" style="931"/>
    <col min="23" max="23" width="13.08984375" style="931" customWidth="1"/>
    <col min="24" max="16384" width="8.90625" style="931"/>
  </cols>
  <sheetData>
    <row r="1" spans="3:16" hidden="1" outlineLevel="1">
      <c r="C1" s="2837"/>
      <c r="I1" s="2704"/>
      <c r="L1" s="931"/>
      <c r="M1" s="2705"/>
    </row>
    <row r="2" spans="3:16" hidden="1" outlineLevel="1">
      <c r="C2" s="2837"/>
      <c r="F2" s="2706" t="s">
        <v>4415</v>
      </c>
      <c r="G2" s="2707" t="s">
        <v>4416</v>
      </c>
      <c r="H2" s="1703"/>
      <c r="I2" s="2708">
        <v>9</v>
      </c>
      <c r="J2" s="2709" t="s">
        <v>4409</v>
      </c>
      <c r="K2" s="2707" t="s">
        <v>4417</v>
      </c>
      <c r="L2" s="2707"/>
      <c r="M2" s="2709">
        <v>1</v>
      </c>
      <c r="N2" s="2709" t="s">
        <v>4418</v>
      </c>
      <c r="O2" s="2709">
        <v>1</v>
      </c>
      <c r="P2" s="2709" t="s">
        <v>4419</v>
      </c>
    </row>
    <row r="3" spans="3:16" hidden="1" outlineLevel="1">
      <c r="C3" s="2837"/>
      <c r="F3" s="2710">
        <v>36</v>
      </c>
      <c r="G3" s="2711" t="s">
        <v>4420</v>
      </c>
      <c r="H3" s="1703"/>
      <c r="I3" s="2712">
        <v>54</v>
      </c>
      <c r="J3" s="2709" t="s">
        <v>1823</v>
      </c>
      <c r="K3" s="2707" t="s">
        <v>4421</v>
      </c>
      <c r="L3" s="2707"/>
      <c r="M3" s="2709">
        <v>0</v>
      </c>
      <c r="N3" s="2709" t="s">
        <v>4422</v>
      </c>
      <c r="O3" s="2713"/>
    </row>
    <row r="4" spans="3:16" hidden="1" outlineLevel="1">
      <c r="C4" s="2837"/>
      <c r="F4" s="2710"/>
      <c r="G4" s="2711" t="s">
        <v>4423</v>
      </c>
      <c r="H4" s="1703"/>
      <c r="I4" s="2708">
        <v>3</v>
      </c>
      <c r="J4" s="2709" t="s">
        <v>856</v>
      </c>
      <c r="K4" s="2714" t="s">
        <v>4424</v>
      </c>
      <c r="L4" s="2707"/>
      <c r="M4" s="2709">
        <v>0</v>
      </c>
      <c r="N4" s="2715"/>
      <c r="O4" s="2713"/>
    </row>
    <row r="5" spans="3:16" hidden="1" outlineLevel="1">
      <c r="C5" s="2837"/>
      <c r="F5" s="2710"/>
      <c r="G5" s="2716" t="s">
        <v>4425</v>
      </c>
      <c r="H5" s="2708" t="s">
        <v>4426</v>
      </c>
      <c r="I5" s="2708" t="s">
        <v>4427</v>
      </c>
      <c r="J5" s="2716" t="s">
        <v>4428</v>
      </c>
      <c r="K5" s="2716" t="s">
        <v>4429</v>
      </c>
      <c r="L5" s="2709" t="s">
        <v>4427</v>
      </c>
      <c r="M5" s="2716" t="s">
        <v>4430</v>
      </c>
      <c r="N5" s="2717" t="s">
        <v>4431</v>
      </c>
      <c r="O5" s="2713"/>
    </row>
    <row r="6" spans="3:16" hidden="1" outlineLevel="1">
      <c r="C6" s="2837"/>
      <c r="F6" s="2718"/>
      <c r="G6" s="1220">
        <v>18</v>
      </c>
      <c r="H6" s="1703" t="s">
        <v>2051</v>
      </c>
      <c r="I6" s="1703">
        <v>0</v>
      </c>
      <c r="J6" s="1220">
        <f>I6*15</f>
        <v>0</v>
      </c>
      <c r="K6" s="2719" t="s">
        <v>4432</v>
      </c>
      <c r="L6" s="1220">
        <v>0</v>
      </c>
      <c r="M6" s="2720">
        <f>L6*3*15</f>
        <v>0</v>
      </c>
      <c r="N6" s="3202">
        <f>I17+L17</f>
        <v>0</v>
      </c>
      <c r="O6" s="2713"/>
    </row>
    <row r="7" spans="3:16" hidden="1" outlineLevel="1">
      <c r="C7" s="2837"/>
      <c r="D7" s="2721"/>
      <c r="F7" s="2722"/>
      <c r="G7" s="1220" t="s">
        <v>4433</v>
      </c>
      <c r="H7" s="2723" t="s">
        <v>2052</v>
      </c>
      <c r="I7" s="1703"/>
      <c r="J7" s="1220">
        <f>I7*25</f>
        <v>0</v>
      </c>
      <c r="K7" s="2719" t="s">
        <v>4434</v>
      </c>
      <c r="L7" s="1220">
        <v>0</v>
      </c>
      <c r="M7" s="2720">
        <f>L7*3*25</f>
        <v>0</v>
      </c>
      <c r="N7" s="3203"/>
      <c r="O7" s="2713"/>
      <c r="P7" s="2724"/>
    </row>
    <row r="8" spans="3:16" hidden="1" outlineLevel="1">
      <c r="C8" s="2837"/>
      <c r="E8" s="2725"/>
      <c r="F8" s="2710"/>
      <c r="G8" s="1220">
        <v>22</v>
      </c>
      <c r="H8" s="2723" t="s">
        <v>4435</v>
      </c>
      <c r="I8" s="1703">
        <v>0</v>
      </c>
      <c r="J8" s="1220">
        <f>I8*37.5</f>
        <v>0</v>
      </c>
      <c r="K8" s="2719" t="s">
        <v>4436</v>
      </c>
      <c r="L8" s="1220">
        <v>0</v>
      </c>
      <c r="M8" s="2720">
        <f>L8*3*37.5</f>
        <v>0</v>
      </c>
      <c r="N8" s="2717" t="s">
        <v>4437</v>
      </c>
      <c r="O8" s="2713"/>
    </row>
    <row r="9" spans="3:16" hidden="1" outlineLevel="1">
      <c r="C9" s="2837"/>
      <c r="E9" s="2721"/>
      <c r="F9" s="2710"/>
      <c r="G9" s="2726"/>
      <c r="H9" s="2723" t="s">
        <v>2053</v>
      </c>
      <c r="I9" s="1703"/>
      <c r="J9" s="1220">
        <f>I9*50</f>
        <v>0</v>
      </c>
      <c r="K9" s="2719" t="s">
        <v>4438</v>
      </c>
      <c r="L9" s="1220"/>
      <c r="M9" s="2720">
        <f>L9*3*50</f>
        <v>0</v>
      </c>
      <c r="N9" s="3202">
        <f>J18+M18</f>
        <v>560</v>
      </c>
      <c r="O9" s="2713"/>
    </row>
    <row r="10" spans="3:16" hidden="1" outlineLevel="1">
      <c r="C10" s="2837"/>
      <c r="E10" s="2721"/>
      <c r="F10" s="2710"/>
      <c r="G10" s="2727"/>
      <c r="H10" s="2728" t="s">
        <v>2054</v>
      </c>
      <c r="I10" s="1703"/>
      <c r="J10" s="1220">
        <f>I10*75</f>
        <v>0</v>
      </c>
      <c r="K10" s="2729" t="s">
        <v>4439</v>
      </c>
      <c r="L10" s="1220"/>
      <c r="M10" s="2720">
        <f>L10*160</f>
        <v>0</v>
      </c>
      <c r="N10" s="3204"/>
      <c r="O10" s="2713"/>
    </row>
    <row r="11" spans="3:16" hidden="1" outlineLevel="1">
      <c r="C11" s="2837"/>
      <c r="E11" s="2721"/>
      <c r="F11" s="2710"/>
      <c r="G11" s="2727"/>
      <c r="H11" s="2728" t="s">
        <v>2055</v>
      </c>
      <c r="I11" s="1703"/>
      <c r="J11" s="1220">
        <f>I11*100</f>
        <v>0</v>
      </c>
      <c r="K11" s="2729" t="s">
        <v>4440</v>
      </c>
      <c r="L11" s="1220"/>
      <c r="M11" s="2720">
        <f>L11*250</f>
        <v>0</v>
      </c>
      <c r="N11" s="3204"/>
      <c r="O11" s="2713"/>
    </row>
    <row r="12" spans="3:16" hidden="1" outlineLevel="1">
      <c r="C12" s="2837"/>
      <c r="E12" s="2721"/>
      <c r="F12" s="2710"/>
      <c r="G12" s="2727"/>
      <c r="H12" s="2730"/>
      <c r="I12" s="1703"/>
      <c r="J12" s="2731"/>
      <c r="K12" s="2729" t="s">
        <v>4441</v>
      </c>
      <c r="L12" s="1220"/>
      <c r="M12" s="2720">
        <f>L12*320</f>
        <v>0</v>
      </c>
      <c r="N12" s="3204"/>
      <c r="O12" s="2713"/>
    </row>
    <row r="13" spans="3:16" hidden="1" outlineLevel="1">
      <c r="C13" s="2837"/>
      <c r="E13" s="2721"/>
      <c r="F13" s="2710"/>
      <c r="G13" s="2727"/>
      <c r="H13" s="2730"/>
      <c r="I13" s="1703"/>
      <c r="J13" s="2731"/>
      <c r="K13" s="2729" t="s">
        <v>4442</v>
      </c>
      <c r="L13" s="1220">
        <v>0</v>
      </c>
      <c r="M13" s="2720">
        <f>L13*400</f>
        <v>0</v>
      </c>
      <c r="N13" s="3204"/>
      <c r="O13" s="2713"/>
    </row>
    <row r="14" spans="3:16" hidden="1" outlineLevel="1">
      <c r="C14" s="2837"/>
      <c r="E14" s="2721"/>
      <c r="F14" s="2710"/>
      <c r="G14" s="2727"/>
      <c r="H14" s="2730"/>
      <c r="I14" s="1703"/>
      <c r="J14" s="2731"/>
      <c r="K14" s="2729" t="s">
        <v>4443</v>
      </c>
      <c r="L14" s="1220">
        <v>1</v>
      </c>
      <c r="M14" s="2720">
        <f>L14*560</f>
        <v>560</v>
      </c>
      <c r="N14" s="3204"/>
      <c r="O14" s="2713"/>
    </row>
    <row r="15" spans="3:16" hidden="1" outlineLevel="1">
      <c r="C15" s="2837"/>
      <c r="E15" s="2721"/>
      <c r="F15" s="2710"/>
      <c r="G15" s="2727"/>
      <c r="H15" s="2730"/>
      <c r="I15" s="1703"/>
      <c r="J15" s="2731"/>
      <c r="K15" s="2729" t="s">
        <v>4444</v>
      </c>
      <c r="L15" s="1220">
        <v>0</v>
      </c>
      <c r="M15" s="2720">
        <f>L15*630</f>
        <v>0</v>
      </c>
      <c r="N15" s="3204"/>
      <c r="O15" s="2713"/>
    </row>
    <row r="16" spans="3:16" hidden="1" outlineLevel="1">
      <c r="C16" s="2837"/>
      <c r="E16" s="2721"/>
      <c r="F16" s="2710"/>
      <c r="G16" s="2732"/>
      <c r="H16" s="2728"/>
      <c r="I16" s="1703"/>
      <c r="J16" s="2731"/>
      <c r="K16" s="2733">
        <v>1000</v>
      </c>
      <c r="L16" s="1220">
        <v>0</v>
      </c>
      <c r="M16" s="2720">
        <f>L16*1000</f>
        <v>0</v>
      </c>
      <c r="N16" s="3205"/>
      <c r="O16" s="2713"/>
    </row>
    <row r="17" spans="1:23" hidden="1" outlineLevel="1">
      <c r="C17" s="2837"/>
      <c r="E17" s="931">
        <f>chitiet!G5</f>
        <v>3</v>
      </c>
      <c r="F17" s="2710"/>
      <c r="G17" s="2734"/>
      <c r="H17" s="2728"/>
      <c r="I17" s="1703"/>
      <c r="J17" s="2735"/>
      <c r="K17" s="2736">
        <v>2000</v>
      </c>
      <c r="L17" s="1220">
        <v>0</v>
      </c>
      <c r="M17" s="2720">
        <f>L17*2000</f>
        <v>0</v>
      </c>
      <c r="N17" s="3203"/>
      <c r="O17" s="2713"/>
    </row>
    <row r="18" spans="1:23" hidden="1" outlineLevel="1">
      <c r="C18" s="2837"/>
      <c r="G18" s="2737"/>
      <c r="H18" s="2738"/>
      <c r="I18" s="2739"/>
      <c r="J18" s="2740">
        <f>SUM(J6:J11)</f>
        <v>0</v>
      </c>
      <c r="K18" s="2741"/>
      <c r="L18" s="2742"/>
      <c r="M18" s="2740">
        <f>SUM(M6:M17)</f>
        <v>560</v>
      </c>
      <c r="N18" s="2743"/>
      <c r="O18" s="2713"/>
    </row>
    <row r="19" spans="1:23" s="1016" customFormat="1" ht="42.75" customHeight="1" collapsed="1">
      <c r="A19" s="1016" t="s">
        <v>1016</v>
      </c>
      <c r="B19" s="1221"/>
      <c r="C19" s="2838"/>
      <c r="D19" s="1222" t="s">
        <v>4809</v>
      </c>
      <c r="E19" s="940"/>
      <c r="F19" s="940"/>
      <c r="G19" s="933"/>
      <c r="H19" s="1704"/>
      <c r="I19" s="1704"/>
      <c r="J19" s="933"/>
      <c r="K19" s="933"/>
      <c r="L19" s="940"/>
      <c r="M19" s="934"/>
    </row>
    <row r="20" spans="1:23" ht="24" customHeight="1">
      <c r="A20" s="931">
        <v>1</v>
      </c>
      <c r="D20" s="1213" t="str">
        <f>"Công trình: "&amp;WORD!AB2</f>
        <v>Công trình: Đường dây 22kV &amp; TBA 3P-1000kVA Công ty TNHH Đầu tư Đồng Tâm Solar</v>
      </c>
      <c r="E20" s="932"/>
      <c r="F20" s="932"/>
      <c r="G20" s="932"/>
      <c r="H20" s="1705"/>
      <c r="I20" s="1705"/>
      <c r="J20" s="932"/>
      <c r="K20" s="932"/>
      <c r="L20" s="932"/>
    </row>
    <row r="21" spans="1:23" ht="21" customHeight="1">
      <c r="A21" s="935"/>
      <c r="D21" s="1214" t="str">
        <f>"Địa điểm: "&amp;WORD!AD2</f>
        <v>Địa điểm: Xã Xuân Hưng - Huyện Xuân Lộc - Tỉnh Đồng Nai</v>
      </c>
      <c r="E21" s="2882"/>
      <c r="F21" s="2882"/>
      <c r="G21" s="2882"/>
      <c r="H21" s="2883"/>
      <c r="I21" s="2883"/>
      <c r="J21" s="2882"/>
      <c r="K21" s="2882"/>
      <c r="L21" s="2882"/>
      <c r="M21" s="936"/>
      <c r="N21" s="937"/>
      <c r="O21" s="937"/>
      <c r="P21" s="937"/>
      <c r="Q21" s="937"/>
      <c r="R21" s="937"/>
      <c r="S21" s="937"/>
      <c r="T21" s="937"/>
      <c r="U21" s="937"/>
      <c r="V21" s="937"/>
    </row>
    <row r="22" spans="1:23" s="1016" customFormat="1" ht="27" customHeight="1">
      <c r="A22" s="1086"/>
      <c r="B22" s="1221" t="s">
        <v>2284</v>
      </c>
      <c r="C22" s="2838"/>
      <c r="D22" s="3206" t="s">
        <v>1708</v>
      </c>
      <c r="E22" s="3206" t="s">
        <v>2597</v>
      </c>
      <c r="F22" s="3206" t="s">
        <v>2598</v>
      </c>
      <c r="G22" s="3206" t="s">
        <v>2593</v>
      </c>
      <c r="H22" s="2922" t="s">
        <v>4286</v>
      </c>
      <c r="I22" s="2923"/>
      <c r="J22" s="2924"/>
      <c r="K22" s="2924"/>
      <c r="L22" s="3207" t="s">
        <v>2599</v>
      </c>
      <c r="M22" s="934"/>
    </row>
    <row r="23" spans="1:23" s="1016" customFormat="1" ht="27" customHeight="1">
      <c r="A23" s="1086"/>
      <c r="B23" s="1221"/>
      <c r="C23" s="2838"/>
      <c r="D23" s="3206"/>
      <c r="E23" s="3206"/>
      <c r="F23" s="3206"/>
      <c r="G23" s="3206"/>
      <c r="H23" s="2925" t="s">
        <v>4285</v>
      </c>
      <c r="I23" s="2925" t="s">
        <v>4282</v>
      </c>
      <c r="J23" s="2926" t="s">
        <v>4283</v>
      </c>
      <c r="K23" s="2926" t="s">
        <v>4284</v>
      </c>
      <c r="L23" s="3207"/>
      <c r="M23" s="934">
        <v>1000</v>
      </c>
      <c r="N23" s="1016" t="s">
        <v>512</v>
      </c>
    </row>
    <row r="24" spans="1:23" s="1016" customFormat="1" ht="25.2" customHeight="1">
      <c r="A24" s="1086" t="s">
        <v>512</v>
      </c>
      <c r="B24" s="1221"/>
      <c r="C24" s="2838"/>
      <c r="D24" s="2927"/>
      <c r="E24" s="2927"/>
      <c r="F24" s="2928" t="s">
        <v>3672</v>
      </c>
      <c r="G24" s="2927"/>
      <c r="H24" s="2929"/>
      <c r="I24" s="2929"/>
      <c r="J24" s="2927"/>
      <c r="K24" s="2927"/>
      <c r="L24" s="2930"/>
      <c r="M24" s="1002" t="s">
        <v>4352</v>
      </c>
      <c r="N24" s="1108"/>
      <c r="O24" s="1108"/>
      <c r="P24" s="1108"/>
      <c r="Q24" s="1108"/>
      <c r="R24" s="1108"/>
      <c r="S24" s="1108"/>
      <c r="T24" s="1108"/>
      <c r="U24" s="1108"/>
      <c r="V24" s="1108"/>
    </row>
    <row r="25" spans="1:23" s="1016" customFormat="1" ht="25.2" hidden="1" customHeight="1">
      <c r="A25" s="1086">
        <f>IF(AND(M25=$M$23,I25&gt;0),1,0)</f>
        <v>0</v>
      </c>
      <c r="B25" s="1227" t="s">
        <v>822</v>
      </c>
      <c r="C25" s="2840"/>
      <c r="D25" s="2890">
        <f>IF(H25&gt;0,1,0)</f>
        <v>0</v>
      </c>
      <c r="E25" s="1875" t="str">
        <f>VLOOKUP($B25,DG!A:D,DG!$B$2,)</f>
        <v>01.1161</v>
      </c>
      <c r="F25" s="1874" t="str">
        <f>VLOOKUP($B25,DG!A:D,DG!$C$2,)</f>
        <v>Máy biến áp 12,7/0,22-0,44kV  15kVA</v>
      </c>
      <c r="G25" s="1875" t="str">
        <f>VLOOKUP($B25,DG!A:D,DG!$D$2,)</f>
        <v>máy</v>
      </c>
      <c r="H25" s="2891">
        <f>I6</f>
        <v>0</v>
      </c>
      <c r="I25" s="1869">
        <f>IF(M25=$M$23,H25+J25-K25,0)</f>
        <v>0</v>
      </c>
      <c r="J25" s="1164"/>
      <c r="K25" s="1164"/>
      <c r="L25" s="1109"/>
      <c r="M25" s="936">
        <v>15</v>
      </c>
      <c r="N25" s="1108"/>
      <c r="O25" s="1108"/>
      <c r="P25" s="1108"/>
      <c r="Q25" s="1108"/>
      <c r="R25" s="1108"/>
      <c r="S25" s="1108"/>
      <c r="T25" s="1108"/>
      <c r="U25" s="1108"/>
      <c r="V25" s="1108"/>
      <c r="W25" s="1108"/>
    </row>
    <row r="26" spans="1:23" s="1016" customFormat="1" ht="25.2" hidden="1" customHeight="1">
      <c r="A26" s="1086">
        <f t="shared" ref="A26:A89" si="0">IF(AND(M26=$M$23,I26&gt;0),1,0)</f>
        <v>0</v>
      </c>
      <c r="B26" s="1227" t="s">
        <v>1652</v>
      </c>
      <c r="C26" s="2840"/>
      <c r="D26" s="1023">
        <f t="shared" ref="D26:D32" si="1">IF(H26&gt;0,D25+1,D25)</f>
        <v>0</v>
      </c>
      <c r="E26" s="1012" t="str">
        <f>VLOOKUP($B26,DG!A:D,DG!$B$2,)</f>
        <v>02.3155</v>
      </c>
      <c r="F26" s="1013" t="str">
        <f>VLOOKUP($B26,DG!A:D,DG!$C$2,)</f>
        <v>FCO 24kV - 100A</v>
      </c>
      <c r="G26" s="1012" t="str">
        <f>VLOOKUP($B26,DG!A:D,DG!$D$2,)</f>
        <v>cái</v>
      </c>
      <c r="H26" s="1100">
        <f>+H25</f>
        <v>0</v>
      </c>
      <c r="I26" s="1192">
        <f t="shared" ref="I26:I89" si="2">IF(M26=$M$23,H26+J26-K26,0)</f>
        <v>0</v>
      </c>
      <c r="J26" s="1041"/>
      <c r="K26" s="1064"/>
      <c r="L26" s="1043"/>
      <c r="M26" s="936">
        <v>15</v>
      </c>
      <c r="N26" s="1108"/>
      <c r="O26" s="1108"/>
      <c r="P26" s="1108"/>
      <c r="Q26" s="1108"/>
      <c r="R26" s="1108"/>
      <c r="S26" s="1108"/>
      <c r="T26" s="1108"/>
      <c r="U26" s="1108"/>
      <c r="V26" s="1108"/>
      <c r="W26" s="1108"/>
    </row>
    <row r="27" spans="1:23" s="1016" customFormat="1" ht="25.2" hidden="1" customHeight="1">
      <c r="A27" s="1086">
        <f t="shared" si="0"/>
        <v>0</v>
      </c>
      <c r="B27" s="1226" t="s">
        <v>888</v>
      </c>
      <c r="C27" s="2841"/>
      <c r="D27" s="1023">
        <f t="shared" si="1"/>
        <v>0</v>
      </c>
      <c r="E27" s="1012">
        <f>VLOOKUP($B27,DG!A:D,DG!$B$2,)</f>
        <v>0</v>
      </c>
      <c r="F27" s="1013" t="str">
        <f>VLOOKUP($B27,DG!A:D,DG!$C$2,)</f>
        <v>Dây chảy 3K</v>
      </c>
      <c r="G27" s="1012" t="str">
        <f>VLOOKUP($B27,DG!A:D,DG!$D$2,)</f>
        <v>Sợi</v>
      </c>
      <c r="H27" s="1100">
        <f>H26</f>
        <v>0</v>
      </c>
      <c r="I27" s="1192">
        <f t="shared" si="2"/>
        <v>0</v>
      </c>
      <c r="J27" s="1041"/>
      <c r="K27" s="1064"/>
      <c r="L27" s="1043"/>
      <c r="M27" s="936">
        <v>15</v>
      </c>
      <c r="N27" s="1032"/>
    </row>
    <row r="28" spans="1:23" s="1016" customFormat="1" ht="25.2" hidden="1" customHeight="1">
      <c r="A28" s="1086">
        <f t="shared" si="0"/>
        <v>0</v>
      </c>
      <c r="B28" s="1226" t="s">
        <v>1373</v>
      </c>
      <c r="C28" s="2841"/>
      <c r="D28" s="1023">
        <f t="shared" si="1"/>
        <v>0</v>
      </c>
      <c r="E28" s="1012" t="str">
        <f>VLOOKUP($B28,DG!A:D,DG!$B$2,)</f>
        <v>02.5114</v>
      </c>
      <c r="F28" s="1013" t="str">
        <f>VLOOKUP($B28,DG!A:D,DG!$C$2,)</f>
        <v>Chống sét van LA-18KV-10KA</v>
      </c>
      <c r="G28" s="1012" t="str">
        <f>VLOOKUP($B28,DG!A:D,DG!$D$2,)</f>
        <v>cái</v>
      </c>
      <c r="H28" s="1100">
        <f>H26</f>
        <v>0</v>
      </c>
      <c r="I28" s="1192">
        <f t="shared" si="2"/>
        <v>0</v>
      </c>
      <c r="J28" s="1041"/>
      <c r="K28" s="1064"/>
      <c r="L28" s="1043"/>
      <c r="M28" s="936">
        <v>15</v>
      </c>
      <c r="N28" s="1032"/>
    </row>
    <row r="29" spans="1:23" s="1016" customFormat="1" ht="25.2" hidden="1" customHeight="1">
      <c r="A29" s="1086">
        <f t="shared" si="0"/>
        <v>0</v>
      </c>
      <c r="B29" s="1228" t="s">
        <v>81</v>
      </c>
      <c r="C29" s="2840"/>
      <c r="D29" s="1023">
        <f t="shared" si="1"/>
        <v>0</v>
      </c>
      <c r="E29" s="1012" t="str">
        <f>VLOOKUP($B29,DG!A:D,DG!$B$2,)</f>
        <v>02.8401</v>
      </c>
      <c r="F29" s="1013" t="str">
        <f>VLOOKUP($B29,DG!A:D,DG!$C$2,)</f>
        <v>MCCB 3 cực 400V-75A - 10KA</v>
      </c>
      <c r="G29" s="1012" t="str">
        <f>VLOOKUP($B29,DG!A:D,DG!$D$2,)</f>
        <v>cái</v>
      </c>
      <c r="H29" s="1100">
        <f>H25</f>
        <v>0</v>
      </c>
      <c r="I29" s="1192">
        <f t="shared" si="2"/>
        <v>0</v>
      </c>
      <c r="J29" s="1041"/>
      <c r="K29" s="1064"/>
      <c r="L29" s="1043"/>
      <c r="M29" s="936">
        <v>15</v>
      </c>
      <c r="N29" s="1032"/>
    </row>
    <row r="30" spans="1:23" s="1016" customFormat="1" ht="25.2" hidden="1" customHeight="1">
      <c r="A30" s="1086">
        <f t="shared" si="0"/>
        <v>0</v>
      </c>
      <c r="B30" s="1087" t="s">
        <v>2193</v>
      </c>
      <c r="C30" s="2842"/>
      <c r="D30" s="1023">
        <f t="shared" si="1"/>
        <v>0</v>
      </c>
      <c r="E30" s="1012">
        <f>VLOOKUP($B30,DG!A:D,DG!$B$2,)</f>
        <v>0</v>
      </c>
      <c r="F30" s="1013" t="str">
        <f>VLOOKUP($B30,DG!A:D,DG!$C$2,)</f>
        <v>Điện kế 1 pha 2 dây 220V-80A</v>
      </c>
      <c r="G30" s="1012" t="str">
        <f>VLOOKUP($B30,DG!A:D,DG!$D$2,)</f>
        <v>cái</v>
      </c>
      <c r="H30" s="1100">
        <f>H25</f>
        <v>0</v>
      </c>
      <c r="I30" s="1192">
        <f t="shared" si="2"/>
        <v>0</v>
      </c>
      <c r="J30" s="1064"/>
      <c r="K30" s="1064"/>
      <c r="L30" s="1043" t="s">
        <v>2601</v>
      </c>
      <c r="M30" s="936">
        <v>15</v>
      </c>
      <c r="N30" s="1110"/>
    </row>
    <row r="31" spans="1:23" s="1016" customFormat="1" ht="25.2" hidden="1" customHeight="1">
      <c r="A31" s="1086">
        <f t="shared" si="0"/>
        <v>0</v>
      </c>
      <c r="B31" s="1226" t="s">
        <v>199</v>
      </c>
      <c r="C31" s="2841"/>
      <c r="D31" s="1023">
        <f t="shared" si="1"/>
        <v>0</v>
      </c>
      <c r="E31" s="1012">
        <f>VLOOKUP($B31,DG!A:D,DG!$B$2,)</f>
        <v>0</v>
      </c>
      <c r="F31" s="1013" t="str">
        <f>VLOOKUP($B31,DG!A:D,DG!$C$2,)</f>
        <v xml:space="preserve">Ampe kế 100/5A-600v +AS </v>
      </c>
      <c r="G31" s="1012" t="str">
        <f>VLOOKUP($B31,DG!A:D,DG!$D$2,)</f>
        <v>Bộ</v>
      </c>
      <c r="H31" s="1100">
        <f>H30</f>
        <v>0</v>
      </c>
      <c r="I31" s="1192">
        <f t="shared" si="2"/>
        <v>0</v>
      </c>
      <c r="J31" s="1064"/>
      <c r="K31" s="1111"/>
      <c r="L31" s="1043" t="s">
        <v>2601</v>
      </c>
      <c r="M31" s="936">
        <v>15</v>
      </c>
      <c r="N31" s="1110"/>
    </row>
    <row r="32" spans="1:23" s="1016" customFormat="1" ht="25.2" hidden="1" customHeight="1">
      <c r="A32" s="1086">
        <f t="shared" si="0"/>
        <v>0</v>
      </c>
      <c r="B32" s="1226" t="s">
        <v>200</v>
      </c>
      <c r="C32" s="2841"/>
      <c r="D32" s="1023">
        <f t="shared" si="1"/>
        <v>0</v>
      </c>
      <c r="E32" s="1012">
        <f>VLOOKUP($B32,DG!A:D,DG!$B$2,)</f>
        <v>0</v>
      </c>
      <c r="F32" s="1013" t="str">
        <f>VLOOKUP($B32,DG!A:D,DG!$C$2,)</f>
        <v>Volt kế 500V + VS + 2xChì ống 1A-230V</v>
      </c>
      <c r="G32" s="1012" t="str">
        <f>VLOOKUP($B32,DG!A:D,DG!$D$2,)</f>
        <v>Bộ</v>
      </c>
      <c r="H32" s="1100">
        <f>H31</f>
        <v>0</v>
      </c>
      <c r="I32" s="1192">
        <f t="shared" si="2"/>
        <v>0</v>
      </c>
      <c r="J32" s="1064"/>
      <c r="K32" s="1111"/>
      <c r="L32" s="1043" t="s">
        <v>2601</v>
      </c>
      <c r="M32" s="936">
        <v>15</v>
      </c>
      <c r="N32" s="1110"/>
    </row>
    <row r="33" spans="1:14" s="1016" customFormat="1" ht="25.2" hidden="1" customHeight="1">
      <c r="A33" s="1086">
        <f t="shared" si="0"/>
        <v>0</v>
      </c>
      <c r="B33" s="1226"/>
      <c r="C33" s="2841"/>
      <c r="D33" s="1040"/>
      <c r="E33" s="1112"/>
      <c r="F33" s="1113"/>
      <c r="G33" s="1040"/>
      <c r="H33" s="1135"/>
      <c r="I33" s="1192">
        <f t="shared" si="2"/>
        <v>0</v>
      </c>
      <c r="J33" s="1093"/>
      <c r="K33" s="1040"/>
      <c r="L33" s="1040"/>
      <c r="M33" s="936">
        <v>15</v>
      </c>
      <c r="N33" s="1110"/>
    </row>
    <row r="34" spans="1:14" s="1016" customFormat="1" ht="25.2" hidden="1" customHeight="1">
      <c r="A34" s="1086">
        <f t="shared" si="0"/>
        <v>0</v>
      </c>
      <c r="B34" s="1226"/>
      <c r="C34" s="2841"/>
      <c r="D34" s="1114"/>
      <c r="E34" s="1115"/>
      <c r="F34" s="1091" t="s">
        <v>3673</v>
      </c>
      <c r="G34" s="1003"/>
      <c r="H34" s="1706"/>
      <c r="I34" s="1192">
        <f t="shared" si="2"/>
        <v>0</v>
      </c>
      <c r="J34" s="1003"/>
      <c r="K34" s="1003"/>
      <c r="L34" s="1040"/>
      <c r="M34" s="936">
        <v>15</v>
      </c>
      <c r="N34" s="1110"/>
    </row>
    <row r="35" spans="1:14" s="1016" customFormat="1" ht="25.2" hidden="1" customHeight="1">
      <c r="A35" s="1086">
        <f t="shared" si="0"/>
        <v>0</v>
      </c>
      <c r="B35" s="1226" t="s">
        <v>1610</v>
      </c>
      <c r="C35" s="2841"/>
      <c r="D35" s="1116">
        <f>IF(H36&gt;0,1,0)</f>
        <v>0</v>
      </c>
      <c r="E35" s="1117"/>
      <c r="F35" s="1013" t="str">
        <f>VLOOKUP($B35,DG!A:D,DG!$C$2,)</f>
        <v>Boulon 16x300+ 2 long đền vuông D18-50x50x3/Zn</v>
      </c>
      <c r="G35" s="1012" t="str">
        <f>VLOOKUP($B35,DG!A:D,DG!$D$2,)</f>
        <v>bộ</v>
      </c>
      <c r="H35" s="1707">
        <f>H25*2</f>
        <v>0</v>
      </c>
      <c r="I35" s="1192">
        <f t="shared" si="2"/>
        <v>0</v>
      </c>
      <c r="J35" s="1041"/>
      <c r="K35" s="1041"/>
      <c r="L35" s="1109"/>
      <c r="M35" s="936">
        <v>15</v>
      </c>
      <c r="N35" s="1110"/>
    </row>
    <row r="36" spans="1:14" s="1016" customFormat="1" ht="25.2" hidden="1" customHeight="1">
      <c r="A36" s="1086">
        <f t="shared" si="0"/>
        <v>0</v>
      </c>
      <c r="B36" s="1226"/>
      <c r="C36" s="2841"/>
      <c r="D36" s="1011">
        <f>IF(H36&gt;0,D35+1,D35)</f>
        <v>0</v>
      </c>
      <c r="E36" s="1118"/>
      <c r="F36" s="1119" t="s">
        <v>3674</v>
      </c>
      <c r="G36" s="1099" t="s">
        <v>2385</v>
      </c>
      <c r="H36" s="1707">
        <f>H25*0</f>
        <v>0</v>
      </c>
      <c r="I36" s="1192">
        <f t="shared" si="2"/>
        <v>0</v>
      </c>
      <c r="J36" s="1064"/>
      <c r="K36" s="1064"/>
      <c r="L36" s="1043"/>
      <c r="M36" s="936">
        <v>15</v>
      </c>
    </row>
    <row r="37" spans="1:14" s="1016" customFormat="1" ht="25.2" hidden="1" customHeight="1">
      <c r="A37" s="1086">
        <f t="shared" si="0"/>
        <v>0</v>
      </c>
      <c r="B37" s="1226"/>
      <c r="C37" s="2841"/>
      <c r="D37" s="1099"/>
      <c r="E37" s="1118"/>
      <c r="F37" s="1264" t="s">
        <v>2279</v>
      </c>
      <c r="G37" s="1043"/>
      <c r="H37" s="1100"/>
      <c r="I37" s="1192">
        <f t="shared" si="2"/>
        <v>0</v>
      </c>
      <c r="J37" s="1064"/>
      <c r="K37" s="1064"/>
      <c r="L37" s="1043"/>
      <c r="M37" s="936">
        <v>15</v>
      </c>
      <c r="N37" s="1120"/>
    </row>
    <row r="38" spans="1:14" s="1016" customFormat="1" ht="25.2" hidden="1" customHeight="1">
      <c r="A38" s="1086">
        <f t="shared" si="0"/>
        <v>0</v>
      </c>
      <c r="B38" s="1087" t="s">
        <v>115</v>
      </c>
      <c r="C38" s="2842"/>
      <c r="D38" s="1043"/>
      <c r="E38" s="1012">
        <f>VLOOKUP($B38,DG!A:D,DG!$B$2,)</f>
        <v>0</v>
      </c>
      <c r="F38" s="1013" t="str">
        <f>VLOOKUP($B38,DG!A:D,DG!$C$2,)</f>
        <v>Trụ BTLT 12m F540 dự ứng lực</v>
      </c>
      <c r="G38" s="1012" t="str">
        <f>VLOOKUP($B38,DG!A:D,DG!$D$2,)</f>
        <v>trụ</v>
      </c>
      <c r="H38" s="1100">
        <f>1*H36</f>
        <v>0</v>
      </c>
      <c r="I38" s="1192">
        <f t="shared" si="2"/>
        <v>0</v>
      </c>
      <c r="J38" s="1041"/>
      <c r="K38" s="1041"/>
      <c r="L38" s="1043"/>
      <c r="M38" s="936">
        <v>15</v>
      </c>
      <c r="N38" s="1120"/>
    </row>
    <row r="39" spans="1:14" s="1016" customFormat="1" ht="25.2" hidden="1" customHeight="1">
      <c r="A39" s="1086">
        <f t="shared" si="0"/>
        <v>0</v>
      </c>
      <c r="B39" s="1087" t="s">
        <v>1814</v>
      </c>
      <c r="C39" s="2842"/>
      <c r="D39" s="1043"/>
      <c r="E39" s="1121"/>
      <c r="F39" s="1013" t="str">
        <f>VLOOKUP($B39,DG!A:D,DG!$C$2,)</f>
        <v>Vật liệu dựng trụ</v>
      </c>
      <c r="G39" s="1012" t="str">
        <f>VLOOKUP($B39,DG!A:D,DG!$D$2,)</f>
        <v>trụ</v>
      </c>
      <c r="H39" s="1100">
        <f>H38</f>
        <v>0</v>
      </c>
      <c r="I39" s="1192">
        <f t="shared" si="2"/>
        <v>0</v>
      </c>
      <c r="J39" s="1041"/>
      <c r="K39" s="1041"/>
      <c r="L39" s="1043"/>
      <c r="M39" s="936">
        <v>15</v>
      </c>
      <c r="N39" s="1120"/>
    </row>
    <row r="40" spans="1:14" s="1016" customFormat="1" ht="25.2" hidden="1" customHeight="1">
      <c r="A40" s="1086">
        <f t="shared" si="0"/>
        <v>0</v>
      </c>
      <c r="B40" s="1087" t="s">
        <v>2126</v>
      </c>
      <c r="C40" s="2842"/>
      <c r="D40" s="1043"/>
      <c r="E40" s="1121"/>
      <c r="F40" s="1013" t="str">
        <f>VLOOKUP($B40,DG!A:D,DG!$C$2,)</f>
        <v>Dựng trụ BTLT 12m trong TBA bằng thủ công + cơ giới</v>
      </c>
      <c r="G40" s="1012" t="str">
        <f>VLOOKUP($B40,DG!A:D,DG!$D$2,)</f>
        <v>trụ</v>
      </c>
      <c r="H40" s="1100">
        <f>H38</f>
        <v>0</v>
      </c>
      <c r="I40" s="1192">
        <f t="shared" si="2"/>
        <v>0</v>
      </c>
      <c r="J40" s="1041"/>
      <c r="K40" s="1041"/>
      <c r="L40" s="1043"/>
      <c r="M40" s="936">
        <v>15</v>
      </c>
      <c r="N40" s="1120"/>
    </row>
    <row r="41" spans="1:14" s="1016" customFormat="1" ht="25.2" hidden="1" customHeight="1">
      <c r="A41" s="1086">
        <f t="shared" si="0"/>
        <v>0</v>
      </c>
      <c r="B41" s="1226"/>
      <c r="C41" s="2841"/>
      <c r="D41" s="1011">
        <f>IF(H41&gt;0,D36+1,D36)</f>
        <v>0</v>
      </c>
      <c r="E41" s="1118"/>
      <c r="F41" s="1119" t="s">
        <v>2352</v>
      </c>
      <c r="G41" s="1099" t="s">
        <v>2385</v>
      </c>
      <c r="H41" s="1707">
        <f>H36</f>
        <v>0</v>
      </c>
      <c r="I41" s="1192">
        <f t="shared" si="2"/>
        <v>0</v>
      </c>
      <c r="J41" s="1064"/>
      <c r="K41" s="1064"/>
      <c r="L41" s="1043"/>
      <c r="M41" s="936">
        <v>15</v>
      </c>
    </row>
    <row r="42" spans="1:14" s="1016" customFormat="1" ht="25.2" hidden="1" customHeight="1">
      <c r="A42" s="1086">
        <f t="shared" si="0"/>
        <v>0</v>
      </c>
      <c r="B42" s="1226"/>
      <c r="C42" s="2841"/>
      <c r="D42" s="1099"/>
      <c r="E42" s="1118"/>
      <c r="F42" s="1264" t="s">
        <v>2279</v>
      </c>
      <c r="G42" s="1043"/>
      <c r="H42" s="1100"/>
      <c r="I42" s="1192">
        <f t="shared" si="2"/>
        <v>0</v>
      </c>
      <c r="J42" s="1064"/>
      <c r="K42" s="1064"/>
      <c r="L42" s="1043"/>
      <c r="M42" s="936">
        <v>15</v>
      </c>
      <c r="N42" s="1120"/>
    </row>
    <row r="43" spans="1:14" s="1016" customFormat="1" ht="25.2" hidden="1" customHeight="1">
      <c r="A43" s="1086">
        <f t="shared" si="0"/>
        <v>0</v>
      </c>
      <c r="B43" s="1233" t="s">
        <v>636</v>
      </c>
      <c r="C43" s="2843"/>
      <c r="D43" s="1043"/>
      <c r="E43" s="1012" t="str">
        <f>VLOOKUP($B43,DG!A:D,DG!$B$2,)</f>
        <v>04.4001</v>
      </c>
      <c r="F43" s="1013" t="str">
        <f>VLOOKUP($B43,DG!A:D,DG!$C$2,)</f>
        <v>Đà cản BTCT 1,2m</v>
      </c>
      <c r="G43" s="1012" t="str">
        <f>VLOOKUP($B43,DG!A:D,DG!$D$2,)</f>
        <v>cái</v>
      </c>
      <c r="H43" s="1100">
        <f>1*H41</f>
        <v>0</v>
      </c>
      <c r="I43" s="1192">
        <f t="shared" si="2"/>
        <v>0</v>
      </c>
      <c r="J43" s="1041"/>
      <c r="K43" s="1041"/>
      <c r="L43" s="1043"/>
      <c r="M43" s="936">
        <v>15</v>
      </c>
      <c r="N43" s="1120"/>
    </row>
    <row r="44" spans="1:14" s="1016" customFormat="1" ht="25.2" hidden="1" customHeight="1">
      <c r="A44" s="1086">
        <f t="shared" si="0"/>
        <v>0</v>
      </c>
      <c r="B44" s="1233" t="s">
        <v>566</v>
      </c>
      <c r="C44" s="2843"/>
      <c r="D44" s="1043"/>
      <c r="E44" s="1012">
        <f>VLOOKUP($B44,DG!A:D,DG!$B$2,)</f>
        <v>0</v>
      </c>
      <c r="F44" s="1013" t="str">
        <f>VLOOKUP($B44,DG!A:D,DG!$C$2,)</f>
        <v>Boulon 22x650+ 2 long đền vuông D24-50x50x3/Zn</v>
      </c>
      <c r="G44" s="1012" t="str">
        <f>VLOOKUP($B44,DG!A:D,DG!$D$2,)</f>
        <v>bộ</v>
      </c>
      <c r="H44" s="1100">
        <f>H41</f>
        <v>0</v>
      </c>
      <c r="I44" s="1192">
        <f t="shared" si="2"/>
        <v>0</v>
      </c>
      <c r="J44" s="1041"/>
      <c r="K44" s="1041"/>
      <c r="L44" s="1043"/>
      <c r="M44" s="936">
        <v>15</v>
      </c>
      <c r="N44" s="1120"/>
    </row>
    <row r="45" spans="1:14" s="1016" customFormat="1" ht="25.2" hidden="1" customHeight="1">
      <c r="A45" s="1086">
        <f t="shared" si="0"/>
        <v>0</v>
      </c>
      <c r="B45" s="1233" t="s">
        <v>639</v>
      </c>
      <c r="C45" s="2843"/>
      <c r="D45" s="1043"/>
      <c r="E45" s="1012" t="str">
        <f>VLOOKUP($B45,DG!A:D,DG!$B$2,)</f>
        <v>03.1013</v>
      </c>
      <c r="F45" s="1013" t="str">
        <f>VLOOKUP($B45,DG!A:D,DG!$C$2,)</f>
        <v>Đào hố móng đất cấp 3 sâu &gt;1m</v>
      </c>
      <c r="G45" s="1012" t="str">
        <f>VLOOKUP($B45,DG!A:D,DG!$D$2,)</f>
        <v>m3</v>
      </c>
      <c r="H45" s="1100">
        <f>H41*1.45</f>
        <v>0</v>
      </c>
      <c r="I45" s="1192">
        <f t="shared" si="2"/>
        <v>0</v>
      </c>
      <c r="J45" s="1041"/>
      <c r="K45" s="1041"/>
      <c r="L45" s="1043"/>
      <c r="M45" s="936">
        <v>15</v>
      </c>
      <c r="N45" s="1120"/>
    </row>
    <row r="46" spans="1:14" s="1016" customFormat="1" ht="25.2" hidden="1" customHeight="1">
      <c r="A46" s="1086">
        <f t="shared" si="0"/>
        <v>0</v>
      </c>
      <c r="B46" s="1233" t="s">
        <v>21</v>
      </c>
      <c r="C46" s="2843"/>
      <c r="D46" s="1043"/>
      <c r="E46" s="1012" t="str">
        <f>VLOOKUP($B46,DG!A:D,DG!$B$2,)</f>
        <v>03.4113</v>
      </c>
      <c r="F46" s="1013" t="str">
        <f>VLOOKUP($B46,DG!A:D,DG!$C$2,)</f>
        <v>Đắp đất hố móng, độ chặt k=0,95</v>
      </c>
      <c r="G46" s="1012" t="str">
        <f>VLOOKUP($B46,DG!A:D,DG!$D$2,)</f>
        <v>m3</v>
      </c>
      <c r="H46" s="1100">
        <f>H41*1.37</f>
        <v>0</v>
      </c>
      <c r="I46" s="1192">
        <f t="shared" si="2"/>
        <v>0</v>
      </c>
      <c r="J46" s="1041"/>
      <c r="K46" s="1041"/>
      <c r="L46" s="1043"/>
      <c r="M46" s="936">
        <v>15</v>
      </c>
      <c r="N46" s="1120"/>
    </row>
    <row r="47" spans="1:14" s="1016" customFormat="1" ht="25.2" hidden="1" customHeight="1">
      <c r="A47" s="1086">
        <f t="shared" si="0"/>
        <v>0</v>
      </c>
      <c r="B47" s="1226"/>
      <c r="C47" s="2841"/>
      <c r="D47" s="1011">
        <f>IF(H47&gt;0,D41+1,D41)</f>
        <v>0</v>
      </c>
      <c r="E47" s="1118"/>
      <c r="F47" s="1119" t="s">
        <v>3675</v>
      </c>
      <c r="G47" s="1099" t="s">
        <v>2385</v>
      </c>
      <c r="H47" s="1707">
        <f>SUM(H35:H35)</f>
        <v>0</v>
      </c>
      <c r="I47" s="1192">
        <f t="shared" si="2"/>
        <v>0</v>
      </c>
      <c r="J47" s="1064"/>
      <c r="K47" s="1064"/>
      <c r="L47" s="1043"/>
      <c r="M47" s="936">
        <v>15</v>
      </c>
    </row>
    <row r="48" spans="1:14" s="1016" customFormat="1" ht="25.2" hidden="1" customHeight="1">
      <c r="A48" s="1086">
        <f t="shared" si="0"/>
        <v>0</v>
      </c>
      <c r="B48" s="1226"/>
      <c r="C48" s="2841"/>
      <c r="D48" s="1099"/>
      <c r="E48" s="1118"/>
      <c r="F48" s="1264" t="s">
        <v>2279</v>
      </c>
      <c r="G48" s="1043"/>
      <c r="H48" s="1100"/>
      <c r="I48" s="1192">
        <f t="shared" si="2"/>
        <v>0</v>
      </c>
      <c r="J48" s="1064"/>
      <c r="K48" s="1064"/>
      <c r="L48" s="1043"/>
      <c r="M48" s="936">
        <v>15</v>
      </c>
      <c r="N48" s="1120"/>
    </row>
    <row r="49" spans="1:14" s="1016" customFormat="1" ht="25.2" hidden="1" customHeight="1">
      <c r="A49" s="1086">
        <f t="shared" si="0"/>
        <v>0</v>
      </c>
      <c r="B49" s="1226" t="s">
        <v>989</v>
      </c>
      <c r="C49" s="2841"/>
      <c r="D49" s="1043"/>
      <c r="E49" s="1012" t="str">
        <f>VLOOKUP($B49,DG!A:D,DG!$B$2,)</f>
        <v>05.6001</v>
      </c>
      <c r="F49" s="1013" t="str">
        <f>VLOOKUP($B49,DG!A:D,DG!$C$2,)</f>
        <v>Giá chữ "T" lắp FCO, LA (V50x50x5)</v>
      </c>
      <c r="G49" s="1012" t="str">
        <f>VLOOKUP($B49,DG!A:D,DG!$D$2,)</f>
        <v>Kg</v>
      </c>
      <c r="H49" s="1100">
        <f>1*H47</f>
        <v>0</v>
      </c>
      <c r="I49" s="1192">
        <f t="shared" si="2"/>
        <v>0</v>
      </c>
      <c r="J49" s="1041"/>
      <c r="K49" s="1041"/>
      <c r="L49" s="1043"/>
      <c r="M49" s="936">
        <v>15</v>
      </c>
      <c r="N49" s="1120"/>
    </row>
    <row r="50" spans="1:14" s="1016" customFormat="1" ht="25.2" hidden="1" customHeight="1">
      <c r="A50" s="1086">
        <f t="shared" si="0"/>
        <v>0</v>
      </c>
      <c r="B50" s="1226" t="s">
        <v>1610</v>
      </c>
      <c r="C50" s="2841"/>
      <c r="D50" s="1043"/>
      <c r="E50" s="1121"/>
      <c r="F50" s="1013" t="str">
        <f>VLOOKUP($B50,DG!A:D,DG!$C$2,)</f>
        <v>Boulon 16x300+ 2 long đền vuông D18-50x50x3/Zn</v>
      </c>
      <c r="G50" s="1012" t="str">
        <f>VLOOKUP($B50,DG!A:D,DG!$D$2,)</f>
        <v>bộ</v>
      </c>
      <c r="H50" s="1100">
        <f>2*H47</f>
        <v>0</v>
      </c>
      <c r="I50" s="1192">
        <f t="shared" si="2"/>
        <v>0</v>
      </c>
      <c r="J50" s="1041"/>
      <c r="K50" s="1041"/>
      <c r="L50" s="1043"/>
      <c r="M50" s="936">
        <v>15</v>
      </c>
      <c r="N50" s="1120"/>
    </row>
    <row r="51" spans="1:14" s="1016" customFormat="1" ht="25.2" hidden="1" customHeight="1">
      <c r="A51" s="1086">
        <f t="shared" si="0"/>
        <v>0</v>
      </c>
      <c r="B51" s="1226" t="s">
        <v>701</v>
      </c>
      <c r="C51" s="2841"/>
      <c r="D51" s="1043"/>
      <c r="E51" s="1121"/>
      <c r="F51" s="1013" t="str">
        <f>VLOOKUP($B51,DG!A:D,DG!$C$2,)</f>
        <v>Boulon 12x50+ 2 long đền vuông D14-50x50x3/Zn</v>
      </c>
      <c r="G51" s="1012" t="str">
        <f>VLOOKUP($B51,DG!A:D,DG!$D$2,)</f>
        <v>bộ</v>
      </c>
      <c r="H51" s="1100">
        <f>2*H47</f>
        <v>0</v>
      </c>
      <c r="I51" s="1192">
        <f t="shared" si="2"/>
        <v>0</v>
      </c>
      <c r="J51" s="1041"/>
      <c r="K51" s="1041"/>
      <c r="L51" s="1043"/>
      <c r="M51" s="936">
        <v>15</v>
      </c>
      <c r="N51" s="1120"/>
    </row>
    <row r="52" spans="1:14" s="1016" customFormat="1" ht="25.2" hidden="1" customHeight="1">
      <c r="A52" s="1086">
        <f t="shared" si="0"/>
        <v>0</v>
      </c>
      <c r="B52" s="1226"/>
      <c r="C52" s="2841"/>
      <c r="D52" s="1011">
        <f>IF(H52&gt;0,D47+1,D47)</f>
        <v>0</v>
      </c>
      <c r="E52" s="1118"/>
      <c r="F52" s="1119" t="s">
        <v>3676</v>
      </c>
      <c r="G52" s="1099" t="s">
        <v>2385</v>
      </c>
      <c r="H52" s="1707">
        <f>H25</f>
        <v>0</v>
      </c>
      <c r="I52" s="1192">
        <f t="shared" si="2"/>
        <v>0</v>
      </c>
      <c r="J52" s="1064"/>
      <c r="K52" s="1064"/>
      <c r="L52" s="1043"/>
      <c r="M52" s="936">
        <v>15</v>
      </c>
    </row>
    <row r="53" spans="1:14" s="1016" customFormat="1" ht="25.2" hidden="1" customHeight="1">
      <c r="A53" s="1086">
        <f t="shared" si="0"/>
        <v>0</v>
      </c>
      <c r="B53" s="1226"/>
      <c r="C53" s="2841"/>
      <c r="D53" s="1043"/>
      <c r="E53" s="1121"/>
      <c r="F53" s="1264" t="s">
        <v>2279</v>
      </c>
      <c r="G53" s="1043"/>
      <c r="H53" s="1100"/>
      <c r="I53" s="1192">
        <f t="shared" si="2"/>
        <v>0</v>
      </c>
      <c r="J53" s="1064"/>
      <c r="K53" s="1064"/>
      <c r="L53" s="1043"/>
      <c r="M53" s="936">
        <v>15</v>
      </c>
    </row>
    <row r="54" spans="1:14" s="1016" customFormat="1" ht="25.2" hidden="1" customHeight="1">
      <c r="A54" s="1086">
        <f t="shared" si="0"/>
        <v>0</v>
      </c>
      <c r="B54" s="1226" t="s">
        <v>1033</v>
      </c>
      <c r="C54" s="2841"/>
      <c r="D54" s="1043"/>
      <c r="E54" s="1012">
        <f>VLOOKUP($B54,DG!A:D,DG!$B$2,)</f>
        <v>0</v>
      </c>
      <c r="F54" s="1013" t="str">
        <f>VLOOKUP($B54,DG!A:D,DG!$C$2,)&amp;": "&amp;$I$3&amp;"m"</f>
        <v>Cáp đồng trần M25mm2: 54m</v>
      </c>
      <c r="G54" s="1012" t="str">
        <f>VLOOKUP($B54,DG!A:D,DG!$D$2,)</f>
        <v>kg</v>
      </c>
      <c r="H54" s="1100">
        <f>$I$3*H52*0.224</f>
        <v>0</v>
      </c>
      <c r="I54" s="1192">
        <f t="shared" si="2"/>
        <v>0</v>
      </c>
      <c r="J54" s="1041"/>
      <c r="K54" s="1041"/>
      <c r="L54" s="1043"/>
      <c r="M54" s="936">
        <v>15</v>
      </c>
    </row>
    <row r="55" spans="1:14" s="1016" customFormat="1" ht="25.2" hidden="1" customHeight="1">
      <c r="A55" s="1086">
        <f t="shared" si="0"/>
        <v>0</v>
      </c>
      <c r="B55" s="1087" t="s">
        <v>1508</v>
      </c>
      <c r="C55" s="2842"/>
      <c r="D55" s="1043"/>
      <c r="E55" s="1012">
        <f>VLOOKUP($B55,DG!A:D,DG!$B$2,)</f>
        <v>0</v>
      </c>
      <c r="F55" s="1013" t="str">
        <f>VLOOKUP($B55,DG!A:D,DG!$C$2,)</f>
        <v>Cọc tiếp đất Þ 16- 2,4m + kẹp cọc mạ đồng</v>
      </c>
      <c r="G55" s="1012" t="str">
        <f>VLOOKUP($B55,DG!A:D,DG!$D$2,)</f>
        <v>bộ</v>
      </c>
      <c r="H55" s="1100">
        <f>$I$2*H52</f>
        <v>0</v>
      </c>
      <c r="I55" s="1192">
        <f t="shared" si="2"/>
        <v>0</v>
      </c>
      <c r="J55" s="1041"/>
      <c r="K55" s="1041"/>
      <c r="L55" s="1043"/>
      <c r="M55" s="936">
        <v>15</v>
      </c>
    </row>
    <row r="56" spans="1:14" s="1016" customFormat="1" ht="25.2" hidden="1" customHeight="1">
      <c r="A56" s="1086">
        <f t="shared" si="0"/>
        <v>0</v>
      </c>
      <c r="B56" s="1087" t="s">
        <v>1490</v>
      </c>
      <c r="C56" s="2842"/>
      <c r="D56" s="1043"/>
      <c r="E56" s="1012" t="str">
        <f>VLOOKUP($B56,DG!A:D,DG!$B$2,)</f>
        <v>07.2403</v>
      </c>
      <c r="F56" s="1013" t="str">
        <f>VLOOKUP($B56,DG!A:D,DG!$C$2,)</f>
        <v xml:space="preserve">Ống PVC D21x1,6mm </v>
      </c>
      <c r="G56" s="1012" t="str">
        <f>VLOOKUP($B56,DG!A:D,DG!$D$2,)</f>
        <v>m</v>
      </c>
      <c r="H56" s="1100">
        <f>6*H52</f>
        <v>0</v>
      </c>
      <c r="I56" s="1192">
        <f t="shared" si="2"/>
        <v>0</v>
      </c>
      <c r="J56" s="1041"/>
      <c r="K56" s="1041"/>
      <c r="L56" s="1043"/>
      <c r="M56" s="936">
        <v>15</v>
      </c>
    </row>
    <row r="57" spans="1:14" s="1016" customFormat="1" ht="25.2" hidden="1" customHeight="1">
      <c r="A57" s="1086">
        <f t="shared" si="0"/>
        <v>0</v>
      </c>
      <c r="B57" s="1231" t="s">
        <v>905</v>
      </c>
      <c r="C57" s="2844"/>
      <c r="D57" s="1043"/>
      <c r="E57" s="1012">
        <f>VLOOKUP($B57,DG!A:D,DG!$B$2,)</f>
        <v>0</v>
      </c>
      <c r="F57" s="1013" t="str">
        <f>VLOOKUP($B57,DG!A:D,DG!$C$2,)</f>
        <v>Kẹp ép WR cỡ dây 50mm2</v>
      </c>
      <c r="G57" s="1012" t="str">
        <f>VLOOKUP($B57,DG!A:D,DG!$D$2,)</f>
        <v>cái</v>
      </c>
      <c r="H57" s="1100">
        <f>2*H52</f>
        <v>0</v>
      </c>
      <c r="I57" s="1192">
        <f t="shared" si="2"/>
        <v>0</v>
      </c>
      <c r="J57" s="1041"/>
      <c r="K57" s="1041"/>
      <c r="L57" s="1043"/>
      <c r="M57" s="936">
        <v>15</v>
      </c>
    </row>
    <row r="58" spans="1:14" s="1016" customFormat="1" ht="25.2" hidden="1" customHeight="1">
      <c r="A58" s="1086">
        <f t="shared" si="0"/>
        <v>0</v>
      </c>
      <c r="B58" s="1231" t="s">
        <v>1114</v>
      </c>
      <c r="C58" s="2844"/>
      <c r="D58" s="1043"/>
      <c r="E58" s="1012">
        <f>VLOOKUP($B58,DG!A:D,DG!$B$2,)</f>
        <v>0</v>
      </c>
      <c r="F58" s="1013" t="str">
        <f>VLOOKUP($B58,DG!A:D,DG!$C$2,)</f>
        <v>Kẹp ép cỡ dây 25mm2</v>
      </c>
      <c r="G58" s="1012" t="str">
        <f>VLOOKUP($B58,DG!A:D,DG!$D$2,)</f>
        <v>cái</v>
      </c>
      <c r="H58" s="1100">
        <f>H52*14</f>
        <v>0</v>
      </c>
      <c r="I58" s="1192">
        <f t="shared" si="2"/>
        <v>0</v>
      </c>
      <c r="J58" s="1041"/>
      <c r="K58" s="1041"/>
      <c r="L58" s="1043"/>
      <c r="M58" s="936">
        <v>15</v>
      </c>
    </row>
    <row r="59" spans="1:14" s="1016" customFormat="1" ht="25.2" hidden="1" customHeight="1">
      <c r="A59" s="1086">
        <f t="shared" si="0"/>
        <v>0</v>
      </c>
      <c r="B59" s="1087" t="s">
        <v>525</v>
      </c>
      <c r="C59" s="2842"/>
      <c r="D59" s="1043"/>
      <c r="E59" s="1012" t="str">
        <f>VLOOKUP($B59,DG!A:D,DG!$B$2,)</f>
        <v>06.3231</v>
      </c>
      <c r="F59" s="1013" t="str">
        <f>VLOOKUP($B59,DG!A:D,DG!$C$2,)&amp;": CD 90-250"</f>
        <v>Cổ dê kẹp ống PVC  21: CD 90-250</v>
      </c>
      <c r="G59" s="1012" t="str">
        <f>VLOOKUP($B59,DG!A:D,DG!$D$2,)</f>
        <v>bộ</v>
      </c>
      <c r="H59" s="1100">
        <f>H52*0.415</f>
        <v>0</v>
      </c>
      <c r="I59" s="1192">
        <f t="shared" si="2"/>
        <v>0</v>
      </c>
      <c r="J59" s="1041"/>
      <c r="K59" s="1041"/>
      <c r="L59" s="1015"/>
      <c r="M59" s="936">
        <v>15</v>
      </c>
    </row>
    <row r="60" spans="1:14" s="1016" customFormat="1" ht="25.2" hidden="1" customHeight="1">
      <c r="A60" s="1086">
        <f t="shared" si="0"/>
        <v>0</v>
      </c>
      <c r="B60" s="1087" t="s">
        <v>525</v>
      </c>
      <c r="C60" s="2842"/>
      <c r="D60" s="1043"/>
      <c r="E60" s="1012" t="str">
        <f>VLOOKUP($B60,DG!A:D,DG!$B$2,)</f>
        <v>06.3231</v>
      </c>
      <c r="F60" s="1013" t="str">
        <f>VLOOKUP($B60,DG!A:D,DG!$C$2,)&amp;": CD 90-280"</f>
        <v>Cổ dê kẹp ống PVC  21: CD 90-280</v>
      </c>
      <c r="G60" s="1012" t="str">
        <f>VLOOKUP($B60,DG!A:D,DG!$D$2,)</f>
        <v>bộ</v>
      </c>
      <c r="H60" s="1100">
        <f>H52*0.452</f>
        <v>0</v>
      </c>
      <c r="I60" s="1192">
        <f t="shared" si="2"/>
        <v>0</v>
      </c>
      <c r="J60" s="1041"/>
      <c r="K60" s="1041"/>
      <c r="L60" s="1015"/>
      <c r="M60" s="936">
        <v>15</v>
      </c>
    </row>
    <row r="61" spans="1:14" s="1016" customFormat="1" ht="25.2" hidden="1" customHeight="1">
      <c r="A61" s="1086">
        <f t="shared" si="0"/>
        <v>0</v>
      </c>
      <c r="B61" s="1087" t="s">
        <v>525</v>
      </c>
      <c r="C61" s="2842"/>
      <c r="D61" s="1043"/>
      <c r="E61" s="1012" t="str">
        <f>VLOOKUP($B61,DG!A:D,DG!$B$2,)</f>
        <v>06.3231</v>
      </c>
      <c r="F61" s="1013" t="str">
        <f>VLOOKUP($B61,DG!A:D,DG!$C$2,)&amp;": CD 90-320"</f>
        <v>Cổ dê kẹp ống PVC  21: CD 90-320</v>
      </c>
      <c r="G61" s="1012" t="str">
        <f>VLOOKUP($B61,DG!A:D,DG!$D$2,)</f>
        <v>bộ</v>
      </c>
      <c r="H61" s="1100">
        <f>H52*0.501</f>
        <v>0</v>
      </c>
      <c r="I61" s="1192">
        <f t="shared" si="2"/>
        <v>0</v>
      </c>
      <c r="J61" s="1041"/>
      <c r="K61" s="1041"/>
      <c r="L61" s="1015"/>
      <c r="M61" s="936">
        <v>15</v>
      </c>
    </row>
    <row r="62" spans="1:14" s="1016" customFormat="1" ht="25.2" hidden="1" customHeight="1">
      <c r="A62" s="1086">
        <f t="shared" si="0"/>
        <v>0</v>
      </c>
      <c r="B62" s="1087" t="s">
        <v>1131</v>
      </c>
      <c r="C62" s="2842"/>
      <c r="D62" s="1043"/>
      <c r="E62" s="1012" t="str">
        <f>VLOOKUP($B62,DG!A:D,DG!$B$2,)</f>
        <v>06.2110</v>
      </c>
      <c r="F62" s="1013" t="str">
        <f>VLOOKUP($B62,DG!A:D,DG!$C$2,)&amp;": CD 90-320"</f>
        <v>Lắp cổ dê: CD 90-320</v>
      </c>
      <c r="G62" s="1012" t="str">
        <f>VLOOKUP($B62,DG!A:D,DG!$D$2,)</f>
        <v>bộ</v>
      </c>
      <c r="H62" s="1100">
        <f>H53*0.501</f>
        <v>0</v>
      </c>
      <c r="I62" s="1192">
        <f t="shared" si="2"/>
        <v>0</v>
      </c>
      <c r="J62" s="1041"/>
      <c r="K62" s="1041"/>
      <c r="L62" s="1015"/>
      <c r="M62" s="936">
        <v>15</v>
      </c>
    </row>
    <row r="63" spans="1:14" s="1016" customFormat="1" ht="25.2" hidden="1" customHeight="1">
      <c r="A63" s="1086">
        <f t="shared" si="0"/>
        <v>0</v>
      </c>
      <c r="B63" s="1087" t="s">
        <v>2019</v>
      </c>
      <c r="C63" s="2842"/>
      <c r="D63" s="1043"/>
      <c r="E63" s="1012">
        <f>VLOOKUP($B63,DG!A:D,DG!$B$2,)</f>
        <v>0</v>
      </c>
      <c r="F63" s="1013" t="str">
        <f>VLOOKUP($B63,DG!A:D,DG!$C$2,)</f>
        <v>Boulon 12x40+ 2 long đền vuông D14-50x50x3/Zn</v>
      </c>
      <c r="G63" s="1012" t="str">
        <f>VLOOKUP($B63,DG!A:D,DG!$D$2,)</f>
        <v>bộ</v>
      </c>
      <c r="H63" s="1100">
        <f>H52*6</f>
        <v>0</v>
      </c>
      <c r="I63" s="1192">
        <f t="shared" si="2"/>
        <v>0</v>
      </c>
      <c r="J63" s="1041"/>
      <c r="K63" s="1041"/>
      <c r="L63" s="1015"/>
      <c r="M63" s="936">
        <v>15</v>
      </c>
    </row>
    <row r="64" spans="1:14" s="1016" customFormat="1" ht="25.2" hidden="1" customHeight="1">
      <c r="A64" s="1086">
        <f t="shared" si="0"/>
        <v>0</v>
      </c>
      <c r="B64" s="1087" t="s">
        <v>902</v>
      </c>
      <c r="C64" s="2842"/>
      <c r="D64" s="1043"/>
      <c r="E64" s="1012" t="str">
        <f>VLOOKUP($B64,DG!A:D,DG!$B$2,)</f>
        <v>04.7001</v>
      </c>
      <c r="F64" s="1013" t="str">
        <f>VLOOKUP($B64,DG!A:D,DG!$C$2,)</f>
        <v>Đóng cọc tiếp địa trong TBA</v>
      </c>
      <c r="G64" s="1012" t="str">
        <f>VLOOKUP($B64,DG!A:D,DG!$D$2,)</f>
        <v>cọc</v>
      </c>
      <c r="H64" s="1100">
        <f>H55</f>
        <v>0</v>
      </c>
      <c r="I64" s="1192">
        <f t="shared" si="2"/>
        <v>0</v>
      </c>
      <c r="J64" s="1041"/>
      <c r="K64" s="1041"/>
      <c r="L64" s="1043"/>
      <c r="M64" s="936">
        <v>15</v>
      </c>
    </row>
    <row r="65" spans="1:13" s="1016" customFormat="1" ht="25.2" hidden="1" customHeight="1">
      <c r="A65" s="1086">
        <f t="shared" si="0"/>
        <v>0</v>
      </c>
      <c r="B65" s="1087" t="s">
        <v>2183</v>
      </c>
      <c r="C65" s="2842"/>
      <c r="D65" s="1043"/>
      <c r="E65" s="1012" t="str">
        <f>VLOOKUP($B65,DG!A:D,DG!$B$2,)</f>
        <v>04.7002</v>
      </c>
      <c r="F65" s="1013" t="str">
        <f>VLOOKUP($B65,DG!A:D,DG!$C$2,)</f>
        <v>Kéo dây tiếp địa trong TBA</v>
      </c>
      <c r="G65" s="1012" t="str">
        <f>VLOOKUP($B65,DG!A:D,DG!$D$2,)</f>
        <v>kg</v>
      </c>
      <c r="H65" s="1100">
        <f>H52*"0"</f>
        <v>0</v>
      </c>
      <c r="I65" s="1192">
        <f t="shared" si="2"/>
        <v>0</v>
      </c>
      <c r="J65" s="1041"/>
      <c r="K65" s="1041"/>
      <c r="L65" s="1043"/>
      <c r="M65" s="936">
        <v>15</v>
      </c>
    </row>
    <row r="66" spans="1:13" s="1016" customFormat="1" ht="25.2" hidden="1" customHeight="1">
      <c r="A66" s="1086">
        <f t="shared" si="0"/>
        <v>0</v>
      </c>
      <c r="B66" s="1231" t="s">
        <v>1055</v>
      </c>
      <c r="C66" s="2844"/>
      <c r="D66" s="1043"/>
      <c r="E66" s="1012" t="str">
        <f>VLOOKUP($B66,DG!A:D,DG!$B$2,)</f>
        <v>03.3123</v>
      </c>
      <c r="F66" s="1013" t="str">
        <f>VLOOKUP($B66,DG!A:D,DG!$C$2,)</f>
        <v>Đào rãnh tiếp địa đất cấp 3</v>
      </c>
      <c r="G66" s="1012" t="str">
        <f>VLOOKUP($B66,DG!A:D,DG!$D$2,)</f>
        <v>m3</v>
      </c>
      <c r="H66" s="1100">
        <f>H52*"0"</f>
        <v>0</v>
      </c>
      <c r="I66" s="1192">
        <f t="shared" si="2"/>
        <v>0</v>
      </c>
      <c r="J66" s="1041"/>
      <c r="K66" s="1041"/>
      <c r="L66" s="1043"/>
      <c r="M66" s="936">
        <v>15</v>
      </c>
    </row>
    <row r="67" spans="1:13" s="1016" customFormat="1" ht="25.2" hidden="1" customHeight="1">
      <c r="A67" s="1086">
        <f t="shared" si="0"/>
        <v>0</v>
      </c>
      <c r="B67" s="1087" t="s">
        <v>1056</v>
      </c>
      <c r="C67" s="2842"/>
      <c r="D67" s="1043"/>
      <c r="E67" s="1012" t="str">
        <f>VLOOKUP($B67,DG!A:D,DG!$B$2,)</f>
        <v>03.4123</v>
      </c>
      <c r="F67" s="1013" t="str">
        <f>VLOOKUP($B67,DG!A:D,DG!$C$2,)</f>
        <v>Đắp đất rãnh tiếp độ chặt k=0,85</v>
      </c>
      <c r="G67" s="1012" t="str">
        <f>VLOOKUP($B67,DG!A:D,DG!$D$2,)</f>
        <v>m3</v>
      </c>
      <c r="H67" s="1100">
        <f>H66</f>
        <v>0</v>
      </c>
      <c r="I67" s="1192">
        <f t="shared" si="2"/>
        <v>0</v>
      </c>
      <c r="J67" s="1041"/>
      <c r="K67" s="1041"/>
      <c r="L67" s="1043"/>
      <c r="M67" s="936">
        <v>15</v>
      </c>
    </row>
    <row r="68" spans="1:13" s="1016" customFormat="1" ht="25.2" hidden="1" customHeight="1">
      <c r="A68" s="1086">
        <f t="shared" si="0"/>
        <v>0</v>
      </c>
      <c r="B68" s="1231"/>
      <c r="C68" s="2844"/>
      <c r="D68" s="1099">
        <f>IF(H68&gt;0,D52+1,D52)</f>
        <v>0</v>
      </c>
      <c r="E68" s="1118"/>
      <c r="F68" s="1119" t="s">
        <v>3677</v>
      </c>
      <c r="G68" s="1099" t="s">
        <v>2385</v>
      </c>
      <c r="H68" s="1707">
        <f>H25</f>
        <v>0</v>
      </c>
      <c r="I68" s="1192">
        <f t="shared" si="2"/>
        <v>0</v>
      </c>
      <c r="J68" s="1064"/>
      <c r="K68" s="1064"/>
      <c r="L68" s="1043"/>
      <c r="M68" s="936">
        <v>15</v>
      </c>
    </row>
    <row r="69" spans="1:13" s="1016" customFormat="1" ht="25.2" hidden="1" customHeight="1">
      <c r="A69" s="1086">
        <f t="shared" si="0"/>
        <v>0</v>
      </c>
      <c r="B69" s="1231"/>
      <c r="C69" s="2844"/>
      <c r="D69" s="1099"/>
      <c r="E69" s="1118"/>
      <c r="F69" s="1264" t="s">
        <v>2279</v>
      </c>
      <c r="G69" s="1043"/>
      <c r="H69" s="1100"/>
      <c r="I69" s="1192">
        <f t="shared" si="2"/>
        <v>0</v>
      </c>
      <c r="J69" s="1064"/>
      <c r="K69" s="1064"/>
      <c r="L69" s="1043"/>
      <c r="M69" s="936">
        <v>15</v>
      </c>
    </row>
    <row r="70" spans="1:13" s="1016" customFormat="1" ht="25.2" hidden="1" customHeight="1">
      <c r="A70" s="1086">
        <f t="shared" si="0"/>
        <v>0</v>
      </c>
      <c r="B70" s="1233" t="s">
        <v>616</v>
      </c>
      <c r="C70" s="2843"/>
      <c r="D70" s="1043"/>
      <c r="E70" s="1012" t="str">
        <f>VLOOKUP($B70,DG!A:D,DG!$B$2,)</f>
        <v>05.1001</v>
      </c>
      <c r="F70" s="1013" t="str">
        <f>VLOOKUP($B70,DG!A:D,DG!$C$2,)</f>
        <v>Tủ CB trạm 1 pha + khóa + boulon</v>
      </c>
      <c r="G70" s="1012" t="str">
        <f>VLOOKUP($B70,DG!A:D,DG!$D$2,)</f>
        <v>cái</v>
      </c>
      <c r="H70" s="1100">
        <f>H68</f>
        <v>0</v>
      </c>
      <c r="I70" s="1192">
        <f t="shared" si="2"/>
        <v>0</v>
      </c>
      <c r="J70" s="1041"/>
      <c r="K70" s="1041"/>
      <c r="L70" s="1043"/>
      <c r="M70" s="936">
        <v>15</v>
      </c>
    </row>
    <row r="71" spans="1:13" s="1016" customFormat="1" ht="25.2" hidden="1" customHeight="1">
      <c r="A71" s="1086">
        <f t="shared" si="0"/>
        <v>0</v>
      </c>
      <c r="B71" s="1231" t="s">
        <v>879</v>
      </c>
      <c r="C71" s="2844"/>
      <c r="D71" s="1043"/>
      <c r="E71" s="1121"/>
      <c r="F71" s="1013" t="str">
        <f>VLOOKUP($B71,DG!A:D,DG!$C$2,)</f>
        <v>Cổ dê bắt tủ</v>
      </c>
      <c r="G71" s="1012" t="str">
        <f>VLOOKUP($B71,DG!A:D,DG!$D$2,)</f>
        <v>bộ</v>
      </c>
      <c r="H71" s="1100">
        <f>2*H68</f>
        <v>0</v>
      </c>
      <c r="I71" s="1192">
        <f t="shared" si="2"/>
        <v>0</v>
      </c>
      <c r="J71" s="1041"/>
      <c r="K71" s="1041"/>
      <c r="L71" s="1043"/>
      <c r="M71" s="936">
        <v>15</v>
      </c>
    </row>
    <row r="72" spans="1:13" s="1016" customFormat="1" ht="25.2" hidden="1" customHeight="1">
      <c r="A72" s="1086">
        <f t="shared" si="0"/>
        <v>0</v>
      </c>
      <c r="B72" s="1231" t="s">
        <v>880</v>
      </c>
      <c r="C72" s="2844"/>
      <c r="D72" s="1043"/>
      <c r="E72" s="1121"/>
      <c r="F72" s="1013" t="str">
        <f>VLOOKUP($B72,DG!A:D,DG!$C$2,)</f>
        <v xml:space="preserve">Bakelit 550x450 dầy 10mm </v>
      </c>
      <c r="G72" s="1012" t="str">
        <f>VLOOKUP($B72,DG!A:D,DG!$D$2,)</f>
        <v>cái</v>
      </c>
      <c r="H72" s="1100">
        <f>H68</f>
        <v>0</v>
      </c>
      <c r="I72" s="1192">
        <f t="shared" si="2"/>
        <v>0</v>
      </c>
      <c r="J72" s="1041"/>
      <c r="K72" s="1041"/>
      <c r="L72" s="1043"/>
      <c r="M72" s="936">
        <v>15</v>
      </c>
    </row>
    <row r="73" spans="1:13" s="1016" customFormat="1" ht="25.2" hidden="1" customHeight="1">
      <c r="A73" s="1086">
        <f t="shared" si="0"/>
        <v>0</v>
      </c>
      <c r="B73" s="1231"/>
      <c r="C73" s="2844"/>
      <c r="D73" s="1099">
        <f>IF(H73&gt;0,D68+1,D68)</f>
        <v>0</v>
      </c>
      <c r="E73" s="1118"/>
      <c r="F73" s="1119" t="s">
        <v>3678</v>
      </c>
      <c r="G73" s="1099" t="s">
        <v>2385</v>
      </c>
      <c r="H73" s="1707">
        <f>H68</f>
        <v>0</v>
      </c>
      <c r="I73" s="1192">
        <f t="shared" si="2"/>
        <v>0</v>
      </c>
      <c r="J73" s="1064"/>
      <c r="K73" s="1064"/>
      <c r="L73" s="1043"/>
      <c r="M73" s="936">
        <v>15</v>
      </c>
    </row>
    <row r="74" spans="1:13" s="1016" customFormat="1" ht="25.2" hidden="1" customHeight="1">
      <c r="A74" s="1086">
        <f t="shared" si="0"/>
        <v>0</v>
      </c>
      <c r="B74" s="1231"/>
      <c r="C74" s="2844"/>
      <c r="D74" s="1099"/>
      <c r="E74" s="1118"/>
      <c r="F74" s="1264" t="s">
        <v>2279</v>
      </c>
      <c r="G74" s="1043"/>
      <c r="H74" s="1100"/>
      <c r="I74" s="1192">
        <f t="shared" si="2"/>
        <v>0</v>
      </c>
      <c r="J74" s="1064"/>
      <c r="K74" s="1064"/>
      <c r="L74" s="1043"/>
      <c r="M74" s="936">
        <v>15</v>
      </c>
    </row>
    <row r="75" spans="1:13" s="1016" customFormat="1" ht="25.2" hidden="1" customHeight="1">
      <c r="A75" s="1086">
        <f t="shared" si="0"/>
        <v>0</v>
      </c>
      <c r="B75" s="1229" t="s">
        <v>697</v>
      </c>
      <c r="C75" s="2842"/>
      <c r="D75" s="1043"/>
      <c r="E75" s="1012">
        <f>VLOOKUP($B75,DG!A:D,DG!$B$2,)</f>
        <v>0</v>
      </c>
      <c r="F75" s="1013" t="str">
        <f>VLOOKUP($B75,DG!A:D,DG!$C$2,)</f>
        <v>Cáp 24KV C/XLPE/PVC 25mm2</v>
      </c>
      <c r="G75" s="1012" t="str">
        <f>VLOOKUP($B75,DG!A:D,DG!$D$2,)</f>
        <v>mét</v>
      </c>
      <c r="H75" s="1100">
        <f>3*H73</f>
        <v>0</v>
      </c>
      <c r="I75" s="1192">
        <f t="shared" si="2"/>
        <v>0</v>
      </c>
      <c r="J75" s="1041"/>
      <c r="K75" s="1041"/>
      <c r="L75" s="1043"/>
      <c r="M75" s="936">
        <v>15</v>
      </c>
    </row>
    <row r="76" spans="1:13" s="1016" customFormat="1" ht="25.2" hidden="1" customHeight="1">
      <c r="A76" s="1086">
        <f t="shared" si="0"/>
        <v>0</v>
      </c>
      <c r="B76" s="1087" t="s">
        <v>1479</v>
      </c>
      <c r="C76" s="2842"/>
      <c r="D76" s="1043"/>
      <c r="E76" s="1012" t="str">
        <f>VLOOKUP($B76,DG!A:D,DG!$B$2,)</f>
        <v>04.3007</v>
      </c>
      <c r="F76" s="1013" t="str">
        <f>VLOOKUP($B76,DG!A:D,DG!$C$2,)</f>
        <v>Kẹp quai 2/0</v>
      </c>
      <c r="G76" s="1012" t="str">
        <f>VLOOKUP($B76,DG!A:D,DG!$D$2,)</f>
        <v>cái</v>
      </c>
      <c r="H76" s="1100">
        <f>H73</f>
        <v>0</v>
      </c>
      <c r="I76" s="1192">
        <f t="shared" si="2"/>
        <v>0</v>
      </c>
      <c r="J76" s="1041"/>
      <c r="K76" s="1041"/>
      <c r="L76" s="1043"/>
      <c r="M76" s="936">
        <v>15</v>
      </c>
    </row>
    <row r="77" spans="1:13" s="1016" customFormat="1" ht="25.2" hidden="1" customHeight="1">
      <c r="A77" s="1086">
        <f t="shared" si="0"/>
        <v>0</v>
      </c>
      <c r="B77" s="1087" t="s">
        <v>1477</v>
      </c>
      <c r="C77" s="2842"/>
      <c r="D77" s="1043"/>
      <c r="E77" s="1012" t="str">
        <f>VLOOKUP($B77,DG!A:D,DG!$B$2,)</f>
        <v>04.3007</v>
      </c>
      <c r="F77" s="1013" t="str">
        <f>VLOOKUP($B77,DG!A:D,DG!$C$2,)</f>
        <v>Kẹp hotline 2/0</v>
      </c>
      <c r="G77" s="1012" t="str">
        <f>VLOOKUP($B77,DG!A:D,DG!$D$2,)</f>
        <v>cái</v>
      </c>
      <c r="H77" s="1100">
        <f>H73</f>
        <v>0</v>
      </c>
      <c r="I77" s="1192">
        <f t="shared" si="2"/>
        <v>0</v>
      </c>
      <c r="J77" s="1041"/>
      <c r="K77" s="1041"/>
      <c r="L77" s="1043"/>
      <c r="M77" s="936">
        <v>15</v>
      </c>
    </row>
    <row r="78" spans="1:13" s="1016" customFormat="1" ht="25.2" hidden="1" customHeight="1">
      <c r="A78" s="1086">
        <f t="shared" si="0"/>
        <v>0</v>
      </c>
      <c r="B78" s="1087" t="s">
        <v>1525</v>
      </c>
      <c r="C78" s="2842"/>
      <c r="D78" s="1043"/>
      <c r="E78" s="1012" t="str">
        <f>VLOOKUP($B78,DG!A:D,DG!$B$2,)</f>
        <v>04.4201</v>
      </c>
      <c r="F78" s="1013" t="str">
        <f>VLOOKUP($B78,DG!A:D,DG!$C$2,)</f>
        <v>Lắp cáp đồng xuống thiết bị D ≤ 95mm2</v>
      </c>
      <c r="G78" s="1012" t="str">
        <f>VLOOKUP($B78,DG!A:D,DG!$D$2,)</f>
        <v>m</v>
      </c>
      <c r="H78" s="1100">
        <f>H75</f>
        <v>0</v>
      </c>
      <c r="I78" s="1192">
        <f t="shared" si="2"/>
        <v>0</v>
      </c>
      <c r="J78" s="1041"/>
      <c r="K78" s="1041"/>
      <c r="L78" s="1043"/>
      <c r="M78" s="936">
        <v>15</v>
      </c>
    </row>
    <row r="79" spans="1:13" s="1016" customFormat="1" ht="25.2" hidden="1" customHeight="1">
      <c r="A79" s="1086">
        <f t="shared" si="0"/>
        <v>0</v>
      </c>
      <c r="B79" s="1231"/>
      <c r="C79" s="2844"/>
      <c r="D79" s="1099">
        <f>IF(H79&gt;0,D73+1,D73)</f>
        <v>0</v>
      </c>
      <c r="E79" s="1118"/>
      <c r="F79" s="1119" t="s">
        <v>3679</v>
      </c>
      <c r="G79" s="1099" t="s">
        <v>2385</v>
      </c>
      <c r="H79" s="1707">
        <f>H25</f>
        <v>0</v>
      </c>
      <c r="I79" s="1192">
        <f t="shared" si="2"/>
        <v>0</v>
      </c>
      <c r="J79" s="1064"/>
      <c r="K79" s="1064"/>
      <c r="L79" s="1043"/>
      <c r="M79" s="936">
        <v>15</v>
      </c>
    </row>
    <row r="80" spans="1:13" s="1016" customFormat="1" ht="25.2" hidden="1" customHeight="1">
      <c r="A80" s="1086">
        <f t="shared" si="0"/>
        <v>0</v>
      </c>
      <c r="B80" s="1231"/>
      <c r="C80" s="2844"/>
      <c r="D80" s="1099"/>
      <c r="E80" s="1118"/>
      <c r="F80" s="1264" t="s">
        <v>2279</v>
      </c>
      <c r="G80" s="1099"/>
      <c r="H80" s="1707"/>
      <c r="I80" s="1192">
        <f t="shared" si="2"/>
        <v>0</v>
      </c>
      <c r="J80" s="1064"/>
      <c r="K80" s="1064"/>
      <c r="L80" s="1043"/>
      <c r="M80" s="936">
        <v>15</v>
      </c>
    </row>
    <row r="81" spans="1:13" s="1016" customFormat="1" ht="25.2" hidden="1" customHeight="1">
      <c r="A81" s="1086">
        <f t="shared" si="0"/>
        <v>0</v>
      </c>
      <c r="B81" s="1231" t="s">
        <v>4445</v>
      </c>
      <c r="C81" s="2844"/>
      <c r="D81" s="1099"/>
      <c r="E81" s="1012">
        <f>VLOOKUP($B81,DG!A:D,DG!$B$2,)</f>
        <v>0</v>
      </c>
      <c r="F81" s="1013" t="str">
        <f>VLOOKUP($B81,DG!A:D,DG!$C$2,)</f>
        <v>Cáp đồng bọc CV35</v>
      </c>
      <c r="G81" s="1012" t="str">
        <f>VLOOKUP($B81,DG!A:D,DG!$D$2,)</f>
        <v>mét</v>
      </c>
      <c r="H81" s="1100">
        <f>H79*10</f>
        <v>0</v>
      </c>
      <c r="I81" s="1192">
        <f t="shared" si="2"/>
        <v>0</v>
      </c>
      <c r="J81" s="1041"/>
      <c r="K81" s="1041"/>
      <c r="L81" s="1043"/>
      <c r="M81" s="936">
        <v>15</v>
      </c>
    </row>
    <row r="82" spans="1:13" s="1016" customFormat="1" ht="25.2" hidden="1" customHeight="1">
      <c r="A82" s="1086">
        <f t="shared" si="0"/>
        <v>0</v>
      </c>
      <c r="B82" s="1231" t="s">
        <v>1406</v>
      </c>
      <c r="C82" s="2844"/>
      <c r="D82" s="1099"/>
      <c r="E82" s="1012">
        <f>VLOOKUP($B82,DG!A:D,DG!$B$2,)</f>
        <v>0</v>
      </c>
      <c r="F82" s="1013" t="str">
        <f>VLOOKUP($B82,DG!A:D,DG!$C$2,)</f>
        <v>Cáp đồng bọc CV25</v>
      </c>
      <c r="G82" s="1012" t="str">
        <f>VLOOKUP($B82,DG!A:D,DG!$D$2,)</f>
        <v>mét</v>
      </c>
      <c r="H82" s="1100">
        <f>10*H79</f>
        <v>0</v>
      </c>
      <c r="I82" s="1192">
        <f t="shared" si="2"/>
        <v>0</v>
      </c>
      <c r="J82" s="1041"/>
      <c r="K82" s="1041"/>
      <c r="L82" s="1043"/>
      <c r="M82" s="936">
        <v>15</v>
      </c>
    </row>
    <row r="83" spans="1:13" s="1016" customFormat="1" ht="25.2" hidden="1" customHeight="1">
      <c r="A83" s="1086">
        <f t="shared" si="0"/>
        <v>0</v>
      </c>
      <c r="B83" s="1231" t="s">
        <v>1069</v>
      </c>
      <c r="C83" s="2844"/>
      <c r="D83" s="1099"/>
      <c r="E83" s="1012" t="str">
        <f>VLOOKUP($B83,DG!A:D,DG!$B$2,)</f>
        <v>03.1401</v>
      </c>
      <c r="F83" s="1013" t="str">
        <f>VLOOKUP($B83,DG!A:D,DG!$C$2,)</f>
        <v xml:space="preserve">Cáp CVV 4x2,5mm2  </v>
      </c>
      <c r="G83" s="1012" t="str">
        <f>VLOOKUP($B83,DG!A:D,DG!$D$2,)</f>
        <v>mét</v>
      </c>
      <c r="H83" s="1100">
        <f>4*H79</f>
        <v>0</v>
      </c>
      <c r="I83" s="1192">
        <f t="shared" si="2"/>
        <v>0</v>
      </c>
      <c r="J83" s="1041"/>
      <c r="K83" s="1041"/>
      <c r="L83" s="1015"/>
      <c r="M83" s="936">
        <v>15</v>
      </c>
    </row>
    <row r="84" spans="1:13" s="1016" customFormat="1" ht="25.2" hidden="1" customHeight="1">
      <c r="A84" s="1086">
        <f t="shared" si="0"/>
        <v>0</v>
      </c>
      <c r="B84" s="1231" t="s">
        <v>4446</v>
      </c>
      <c r="C84" s="2844"/>
      <c r="D84" s="1043"/>
      <c r="E84" s="1012" t="str">
        <f>VLOOKUP($B84,DG!A:D,DG!$B$2,)</f>
        <v>03.4002</v>
      </c>
      <c r="F84" s="1013" t="str">
        <f>VLOOKUP($B84,DG!A:D,DG!$C$2,)</f>
        <v>Đầu cosse ép Cu 35mm2</v>
      </c>
      <c r="G84" s="1012" t="str">
        <f>VLOOKUP($B84,DG!A:D,DG!$D$2,)</f>
        <v>cái</v>
      </c>
      <c r="H84" s="1100">
        <f>H79*1</f>
        <v>0</v>
      </c>
      <c r="I84" s="1192">
        <f t="shared" si="2"/>
        <v>0</v>
      </c>
      <c r="J84" s="1041"/>
      <c r="K84" s="1041"/>
      <c r="L84" s="1043"/>
      <c r="M84" s="936">
        <v>15</v>
      </c>
    </row>
    <row r="85" spans="1:13" s="1016" customFormat="1" ht="25.2" hidden="1" customHeight="1">
      <c r="A85" s="1086">
        <f t="shared" si="0"/>
        <v>0</v>
      </c>
      <c r="B85" s="1231" t="s">
        <v>1073</v>
      </c>
      <c r="C85" s="2844"/>
      <c r="D85" s="1043"/>
      <c r="E85" s="1012" t="str">
        <f>VLOOKUP($B85,DG!A:D,DG!$B$2,)</f>
        <v>03.4001</v>
      </c>
      <c r="F85" s="1013" t="str">
        <f>VLOOKUP($B85,DG!A:D,DG!$C$2,)</f>
        <v>Đầu cosse ép Cu 25mm2</v>
      </c>
      <c r="G85" s="1012" t="str">
        <f>VLOOKUP($B85,DG!A:D,DG!$D$2,)</f>
        <v>cái</v>
      </c>
      <c r="H85" s="1100">
        <f>H79*1</f>
        <v>0</v>
      </c>
      <c r="I85" s="1192">
        <f t="shared" si="2"/>
        <v>0</v>
      </c>
      <c r="J85" s="1041"/>
      <c r="K85" s="1041"/>
      <c r="L85" s="1043"/>
      <c r="M85" s="936">
        <v>15</v>
      </c>
    </row>
    <row r="86" spans="1:13" s="1016" customFormat="1" ht="25.2" hidden="1" customHeight="1">
      <c r="A86" s="1086">
        <f t="shared" si="0"/>
        <v>0</v>
      </c>
      <c r="B86" s="1231" t="s">
        <v>4447</v>
      </c>
      <c r="C86" s="2844"/>
      <c r="D86" s="1043"/>
      <c r="E86" s="1012">
        <f>VLOOKUP($B86,DG!A:D,DG!$B$2,)</f>
        <v>0</v>
      </c>
      <c r="F86" s="1013" t="str">
        <f>VLOOKUP($B86,DG!A:D,DG!$C$2,)</f>
        <v>Chụp đầu cosse  35mm2</v>
      </c>
      <c r="G86" s="1012" t="str">
        <f>VLOOKUP($B86,DG!A:D,DG!$D$2,)</f>
        <v>cái</v>
      </c>
      <c r="H86" s="1100">
        <f>H79*1</f>
        <v>0</v>
      </c>
      <c r="I86" s="1192">
        <f t="shared" si="2"/>
        <v>0</v>
      </c>
      <c r="J86" s="1041"/>
      <c r="K86" s="1041"/>
      <c r="L86" s="1043"/>
      <c r="M86" s="936">
        <v>15</v>
      </c>
    </row>
    <row r="87" spans="1:13" s="1016" customFormat="1" ht="25.2" hidden="1" customHeight="1">
      <c r="A87" s="1086">
        <f t="shared" si="0"/>
        <v>0</v>
      </c>
      <c r="B87" s="1231" t="s">
        <v>4448</v>
      </c>
      <c r="C87" s="2844"/>
      <c r="D87" s="1043"/>
      <c r="E87" s="1012">
        <f>VLOOKUP($B87,DG!A:D,DG!$B$2,)</f>
        <v>0</v>
      </c>
      <c r="F87" s="1013" t="str">
        <f>VLOOKUP($B87,DG!A:D,DG!$C$2,)</f>
        <v>Chụp đầu cosse  25mm2</v>
      </c>
      <c r="G87" s="1012" t="str">
        <f>VLOOKUP($B87,DG!A:D,DG!$D$2,)</f>
        <v>cái</v>
      </c>
      <c r="H87" s="1100">
        <f>H79*1</f>
        <v>0</v>
      </c>
      <c r="I87" s="1192">
        <f t="shared" si="2"/>
        <v>0</v>
      </c>
      <c r="J87" s="1041"/>
      <c r="K87" s="1041"/>
      <c r="L87" s="1043"/>
      <c r="M87" s="936">
        <v>15</v>
      </c>
    </row>
    <row r="88" spans="1:13" s="1016" customFormat="1" ht="25.2" hidden="1" customHeight="1">
      <c r="A88" s="1086">
        <f t="shared" si="0"/>
        <v>0</v>
      </c>
      <c r="B88" s="1231" t="s">
        <v>282</v>
      </c>
      <c r="C88" s="2844"/>
      <c r="D88" s="1043"/>
      <c r="E88" s="1012" t="str">
        <f>VLOOKUP($B88,DG!A:D,DG!$B$2,)</f>
        <v>04.8003</v>
      </c>
      <c r="F88" s="1013" t="str">
        <f>VLOOKUP($B88,DG!A:D,DG!$C$2,)</f>
        <v xml:space="preserve">Ống PVC D90x3,8mm </v>
      </c>
      <c r="G88" s="1012" t="str">
        <f>VLOOKUP($B88,DG!A:D,DG!$D$2,)</f>
        <v>m</v>
      </c>
      <c r="H88" s="1100">
        <f>12*H79</f>
        <v>0</v>
      </c>
      <c r="I88" s="1192">
        <f t="shared" si="2"/>
        <v>0</v>
      </c>
      <c r="J88" s="1041"/>
      <c r="K88" s="1041"/>
      <c r="L88" s="1043"/>
      <c r="M88" s="936">
        <v>15</v>
      </c>
    </row>
    <row r="89" spans="1:13" s="1016" customFormat="1" ht="25.2" hidden="1" customHeight="1">
      <c r="A89" s="1086">
        <f t="shared" si="0"/>
        <v>0</v>
      </c>
      <c r="B89" s="1087" t="s">
        <v>276</v>
      </c>
      <c r="C89" s="2842"/>
      <c r="D89" s="1043"/>
      <c r="E89" s="1012" t="str">
        <f>VLOOKUP($B89,DG!A:D,DG!$B$2,)</f>
        <v>06.3231</v>
      </c>
      <c r="F89" s="1013" t="str">
        <f>VLOOKUP($B89,DG!A:D,DG!$C$2,)&amp;": 2 bộ: CD 90-250"</f>
        <v>Cổ dê kẹp ống PVC Ø 90: 2 bộ: CD 90-250</v>
      </c>
      <c r="G89" s="1012" t="str">
        <f>VLOOKUP($B89,DG!A:D,DG!$D$2,)</f>
        <v>bộ</v>
      </c>
      <c r="H89" s="1100">
        <f>H79*0.965*2</f>
        <v>0</v>
      </c>
      <c r="I89" s="1192">
        <f t="shared" si="2"/>
        <v>0</v>
      </c>
      <c r="J89" s="1041"/>
      <c r="K89" s="1041"/>
      <c r="L89" s="1015"/>
      <c r="M89" s="936">
        <v>15</v>
      </c>
    </row>
    <row r="90" spans="1:13" s="1016" customFormat="1" ht="25.2" hidden="1" customHeight="1">
      <c r="A90" s="1086">
        <f t="shared" ref="A90:A153" si="3">IF(AND(M90=$M$23,I90&gt;0),1,0)</f>
        <v>0</v>
      </c>
      <c r="B90" s="1087" t="s">
        <v>276</v>
      </c>
      <c r="C90" s="2842"/>
      <c r="D90" s="1043"/>
      <c r="E90" s="1012" t="str">
        <f>VLOOKUP($B90,DG!A:D,DG!$B$2,)</f>
        <v>06.3231</v>
      </c>
      <c r="F90" s="1013" t="str">
        <f>VLOOKUP($B90,DG!A:D,DG!$C$2,)&amp;": 2 bộ: CD 90-280"</f>
        <v>Cổ dê kẹp ống PVC Ø 90: 2 bộ: CD 90-280</v>
      </c>
      <c r="G90" s="1012" t="str">
        <f>VLOOKUP($B90,DG!A:D,DG!$D$2,)</f>
        <v>bộ</v>
      </c>
      <c r="H90" s="1100">
        <f>H79*1.031*2</f>
        <v>0</v>
      </c>
      <c r="I90" s="1192">
        <f t="shared" ref="I90:I156" si="4">IF(M90=$M$23,H90+J90-K90,0)</f>
        <v>0</v>
      </c>
      <c r="J90" s="1041"/>
      <c r="K90" s="1041"/>
      <c r="L90" s="1015"/>
      <c r="M90" s="936">
        <v>15</v>
      </c>
    </row>
    <row r="91" spans="1:13" s="1016" customFormat="1" ht="25.2" hidden="1" customHeight="1">
      <c r="A91" s="1086">
        <f t="shared" si="3"/>
        <v>0</v>
      </c>
      <c r="B91" s="1087" t="s">
        <v>276</v>
      </c>
      <c r="C91" s="2842"/>
      <c r="D91" s="1043"/>
      <c r="E91" s="1012" t="str">
        <f>VLOOKUP($B91,DG!A:D,DG!$B$2,)</f>
        <v>06.3231</v>
      </c>
      <c r="F91" s="1013" t="str">
        <f>VLOOKUP($B91,DG!A:D,DG!$C$2,)&amp;": 2 bộ: CD 90-320"</f>
        <v>Cổ dê kẹp ống PVC Ø 90: 2 bộ: CD 90-320</v>
      </c>
      <c r="G91" s="1012" t="str">
        <f>VLOOKUP($B91,DG!A:D,DG!$D$2,)</f>
        <v>bộ</v>
      </c>
      <c r="H91" s="1100">
        <f>H78*1.12*2</f>
        <v>0</v>
      </c>
      <c r="I91" s="1192">
        <f t="shared" si="4"/>
        <v>0</v>
      </c>
      <c r="J91" s="1041"/>
      <c r="K91" s="1041"/>
      <c r="L91" s="1015"/>
      <c r="M91" s="936">
        <v>15</v>
      </c>
    </row>
    <row r="92" spans="1:13" s="1016" customFormat="1" ht="25.2" hidden="1" customHeight="1">
      <c r="A92" s="1086">
        <f t="shared" si="3"/>
        <v>0</v>
      </c>
      <c r="B92" s="1087" t="s">
        <v>1131</v>
      </c>
      <c r="C92" s="2842"/>
      <c r="D92" s="1043"/>
      <c r="E92" s="1012" t="str">
        <f>VLOOKUP($B92,DG!A:D,DG!$B$2,)</f>
        <v>06.2110</v>
      </c>
      <c r="F92" s="1013" t="str">
        <f>VLOOKUP($B92,DG!A:D,DG!$C$2,)&amp;": 2 bộ: CD 90-320"</f>
        <v>Lắp cổ dê: 2 bộ: CD 90-320</v>
      </c>
      <c r="G92" s="1012" t="str">
        <f>VLOOKUP($B92,DG!A:D,DG!$D$2,)</f>
        <v>bộ</v>
      </c>
      <c r="H92" s="1100">
        <f>H79*1.12*2</f>
        <v>0</v>
      </c>
      <c r="I92" s="1192">
        <f t="shared" si="4"/>
        <v>0</v>
      </c>
      <c r="J92" s="1041"/>
      <c r="K92" s="1041"/>
      <c r="L92" s="1015"/>
      <c r="M92" s="936">
        <v>15</v>
      </c>
    </row>
    <row r="93" spans="1:13" s="1016" customFormat="1" ht="25.2" hidden="1" customHeight="1">
      <c r="A93" s="1086">
        <f t="shared" si="3"/>
        <v>0</v>
      </c>
      <c r="B93" s="1087" t="s">
        <v>2019</v>
      </c>
      <c r="C93" s="2842"/>
      <c r="D93" s="1043"/>
      <c r="E93" s="1012">
        <f>VLOOKUP($B93,DG!A:D,DG!$B$2,)</f>
        <v>0</v>
      </c>
      <c r="F93" s="1013" t="str">
        <f>VLOOKUP($B93,DG!A:D,DG!$C$2,)</f>
        <v>Boulon 12x40+ 2 long đền vuông D14-50x50x3/Zn</v>
      </c>
      <c r="G93" s="1012" t="str">
        <f>VLOOKUP($B93,DG!A:D,DG!$D$2,)</f>
        <v>bộ</v>
      </c>
      <c r="H93" s="1100">
        <f>H79*12</f>
        <v>0</v>
      </c>
      <c r="I93" s="1192">
        <f t="shared" si="4"/>
        <v>0</v>
      </c>
      <c r="J93" s="1041"/>
      <c r="K93" s="1041"/>
      <c r="L93" s="1015"/>
      <c r="M93" s="936">
        <v>15</v>
      </c>
    </row>
    <row r="94" spans="1:13" s="1016" customFormat="1" ht="25.2" hidden="1" customHeight="1">
      <c r="A94" s="1086">
        <f t="shared" si="3"/>
        <v>0</v>
      </c>
      <c r="B94" s="1231" t="s">
        <v>69</v>
      </c>
      <c r="C94" s="2844"/>
      <c r="D94" s="1043"/>
      <c r="E94" s="1012">
        <f>VLOOKUP($B94,DG!A:D,DG!$B$2,)</f>
        <v>0</v>
      </c>
      <c r="F94" s="1013" t="str">
        <f>VLOOKUP($B94,DG!A:D,DG!$C$2,)</f>
        <v>Co  90 độ PVC 90</v>
      </c>
      <c r="G94" s="1012" t="str">
        <f>VLOOKUP($B94,DG!A:D,DG!$D$2,)</f>
        <v>cái</v>
      </c>
      <c r="H94" s="1100">
        <f>4*H79</f>
        <v>0</v>
      </c>
      <c r="I94" s="1192">
        <f t="shared" si="4"/>
        <v>0</v>
      </c>
      <c r="J94" s="1041"/>
      <c r="K94" s="1041"/>
      <c r="L94" s="1043"/>
      <c r="M94" s="936">
        <v>15</v>
      </c>
    </row>
    <row r="95" spans="1:13" s="1016" customFormat="1" ht="25.2" hidden="1" customHeight="1">
      <c r="A95" s="1086">
        <f t="shared" si="3"/>
        <v>0</v>
      </c>
      <c r="B95" s="1231" t="s">
        <v>725</v>
      </c>
      <c r="C95" s="2844"/>
      <c r="D95" s="1043"/>
      <c r="E95" s="1012">
        <f>VLOOKUP($B95,DG!A:D,DG!$B$2,)</f>
        <v>0</v>
      </c>
      <c r="F95" s="1013" t="str">
        <f>VLOOKUP($B95,DG!A:D,DG!$C$2,)</f>
        <v xml:space="preserve">Nối thẳng ống PVC 90 </v>
      </c>
      <c r="G95" s="1012" t="str">
        <f>VLOOKUP($B95,DG!A:D,DG!$D$2,)</f>
        <v>cái</v>
      </c>
      <c r="H95" s="1100">
        <f>H79</f>
        <v>0</v>
      </c>
      <c r="I95" s="1192">
        <f t="shared" si="4"/>
        <v>0</v>
      </c>
      <c r="J95" s="1041"/>
      <c r="K95" s="1041"/>
      <c r="L95" s="1043"/>
      <c r="M95" s="936">
        <v>15</v>
      </c>
    </row>
    <row r="96" spans="1:13" s="1016" customFormat="1" ht="25.2" hidden="1" customHeight="1">
      <c r="A96" s="1086">
        <f t="shared" si="3"/>
        <v>0</v>
      </c>
      <c r="B96" s="1231" t="s">
        <v>2074</v>
      </c>
      <c r="C96" s="2844"/>
      <c r="D96" s="1043"/>
      <c r="E96" s="1012">
        <f>VLOOKUP($B96,DG!A:D,DG!$B$2,)</f>
        <v>0</v>
      </c>
      <c r="F96" s="1013" t="str">
        <f>VLOOKUP($B96,DG!A:D,DG!$C$2,)</f>
        <v>Keo dán ống PVC (100gr)</v>
      </c>
      <c r="G96" s="1012" t="str">
        <f>VLOOKUP($B96,DG!A:D,DG!$D$2,)</f>
        <v>tuýp</v>
      </c>
      <c r="H96" s="1100">
        <f>H79</f>
        <v>0</v>
      </c>
      <c r="I96" s="1192">
        <f t="shared" si="4"/>
        <v>0</v>
      </c>
      <c r="J96" s="1041"/>
      <c r="K96" s="1041"/>
      <c r="L96" s="1043"/>
      <c r="M96" s="936">
        <v>15</v>
      </c>
    </row>
    <row r="97" spans="1:14" s="1016" customFormat="1" ht="25.2" hidden="1" customHeight="1">
      <c r="A97" s="1086">
        <f t="shared" si="3"/>
        <v>0</v>
      </c>
      <c r="B97" s="1231" t="s">
        <v>489</v>
      </c>
      <c r="C97" s="2844"/>
      <c r="D97" s="1043"/>
      <c r="E97" s="1012">
        <f>VLOOKUP($B97,DG!A:D,DG!$B$2,)</f>
        <v>0</v>
      </c>
      <c r="F97" s="1013" t="str">
        <f>VLOOKUP($B97,DG!A:D,DG!$C$2,)</f>
        <v>Keo silicon bít miệng ống</v>
      </c>
      <c r="G97" s="1012" t="str">
        <f>VLOOKUP($B97,DG!A:D,DG!$D$2,)</f>
        <v>ống</v>
      </c>
      <c r="H97" s="1100">
        <f>H79</f>
        <v>0</v>
      </c>
      <c r="I97" s="1192">
        <f t="shared" si="4"/>
        <v>0</v>
      </c>
      <c r="J97" s="1041"/>
      <c r="K97" s="1041"/>
      <c r="L97" s="1043"/>
      <c r="M97" s="936">
        <v>15</v>
      </c>
    </row>
    <row r="98" spans="1:14" s="1016" customFormat="1" ht="25.2" hidden="1" customHeight="1">
      <c r="A98" s="1086">
        <f t="shared" si="3"/>
        <v>0</v>
      </c>
      <c r="B98" s="1231" t="s">
        <v>2182</v>
      </c>
      <c r="C98" s="2844"/>
      <c r="D98" s="1043"/>
      <c r="E98" s="1012" t="str">
        <f>VLOOKUP($B98,DG!A:D,DG!$B$2,)</f>
        <v>07.2415</v>
      </c>
      <c r="F98" s="1013" t="str">
        <f>VLOOKUP($B98,DG!A:D,DG!$C$2,)</f>
        <v>Lắp ống nhựa PVC D90</v>
      </c>
      <c r="G98" s="1012" t="str">
        <f>VLOOKUP($B98,DG!A:D,DG!$D$2,)</f>
        <v>mét</v>
      </c>
      <c r="H98" s="1100">
        <f>H88</f>
        <v>0</v>
      </c>
      <c r="I98" s="1192">
        <f t="shared" si="4"/>
        <v>0</v>
      </c>
      <c r="J98" s="1041"/>
      <c r="K98" s="1041"/>
      <c r="L98" s="1043"/>
      <c r="M98" s="936">
        <v>15</v>
      </c>
    </row>
    <row r="99" spans="1:14" s="1016" customFormat="1" ht="25.2" hidden="1" customHeight="1">
      <c r="A99" s="1086">
        <f t="shared" si="3"/>
        <v>0</v>
      </c>
      <c r="B99" s="1231" t="s">
        <v>1525</v>
      </c>
      <c r="C99" s="2844"/>
      <c r="D99" s="1043"/>
      <c r="E99" s="1012" t="str">
        <f>VLOOKUP($B99,DG!A:D,DG!$B$2,)</f>
        <v>04.4201</v>
      </c>
      <c r="F99" s="1013" t="str">
        <f>VLOOKUP($B99,DG!A:D,DG!$C$2,)</f>
        <v>Lắp cáp đồng xuống thiết bị D ≤ 95mm2</v>
      </c>
      <c r="G99" s="1012" t="str">
        <f>VLOOKUP($B99,DG!A:D,DG!$D$2,)</f>
        <v>m</v>
      </c>
      <c r="H99" s="1100">
        <f>H81+H82</f>
        <v>0</v>
      </c>
      <c r="I99" s="1192">
        <f t="shared" si="4"/>
        <v>0</v>
      </c>
      <c r="J99" s="1041"/>
      <c r="K99" s="1041"/>
      <c r="L99" s="1043"/>
      <c r="M99" s="936">
        <v>15</v>
      </c>
    </row>
    <row r="100" spans="1:14" s="1016" customFormat="1" ht="25.2" hidden="1" customHeight="1">
      <c r="A100" s="1086">
        <f t="shared" si="3"/>
        <v>0</v>
      </c>
      <c r="B100" s="1231" t="s">
        <v>289</v>
      </c>
      <c r="C100" s="2844"/>
      <c r="D100" s="1103">
        <f>IF(H100&gt;0,D79+1,D79)</f>
        <v>0</v>
      </c>
      <c r="E100" s="1122"/>
      <c r="F100" s="1013" t="str">
        <f>VLOOKUP($B100,DG!A:D,DG!$C$2,)</f>
        <v>Bảng tên trạm, bảng báo nguy hiểm + đinh vít</v>
      </c>
      <c r="G100" s="1012" t="str">
        <f>VLOOKUP($B100,DG!A:D,DG!$D$2,)</f>
        <v>bộ</v>
      </c>
      <c r="H100" s="1708">
        <f>H25</f>
        <v>0</v>
      </c>
      <c r="I100" s="1192">
        <f t="shared" si="4"/>
        <v>0</v>
      </c>
      <c r="J100" s="1041"/>
      <c r="K100" s="1041"/>
      <c r="L100" s="1105"/>
      <c r="M100" s="936">
        <v>15</v>
      </c>
    </row>
    <row r="101" spans="1:14" s="1016" customFormat="1" ht="25.2" hidden="1" customHeight="1">
      <c r="A101" s="1086">
        <f t="shared" si="3"/>
        <v>0</v>
      </c>
      <c r="B101" s="1231"/>
      <c r="C101" s="2844"/>
      <c r="D101" s="1123"/>
      <c r="E101" s="1124"/>
      <c r="F101" s="1091"/>
      <c r="G101" s="1125"/>
      <c r="H101" s="1709"/>
      <c r="I101" s="1192">
        <f t="shared" si="4"/>
        <v>0</v>
      </c>
      <c r="J101" s="1126"/>
      <c r="K101" s="1127"/>
      <c r="L101" s="1040"/>
      <c r="M101" s="936">
        <v>15</v>
      </c>
    </row>
    <row r="102" spans="1:14" s="1016" customFormat="1" ht="25.2" hidden="1" customHeight="1">
      <c r="A102" s="1086">
        <f t="shared" si="3"/>
        <v>0</v>
      </c>
      <c r="B102" s="1221"/>
      <c r="C102" s="2845"/>
      <c r="D102" s="1094"/>
      <c r="E102" s="934"/>
      <c r="H102" s="1735"/>
      <c r="I102" s="1192">
        <f t="shared" si="4"/>
        <v>0</v>
      </c>
      <c r="M102" s="934"/>
    </row>
    <row r="103" spans="1:14" s="1016" customFormat="1" ht="25.2" hidden="1" customHeight="1">
      <c r="A103" s="1086">
        <f t="shared" si="3"/>
        <v>0</v>
      </c>
      <c r="B103" s="1221"/>
      <c r="C103" s="2845"/>
      <c r="D103" s="1225" t="str">
        <f>"TOÅNG HÔÏP VAÄT LIEÄU, NHAÂN COÂNG, MAÙY THI COÂNG: 1 TRAÏM 25KVA"</f>
        <v>TOÅNG HÔÏP VAÄT LIEÄU, NHAÂN COÂNG, MAÙY THI COÂNG: 1 TRAÏM 25KVA</v>
      </c>
      <c r="E103" s="1128"/>
      <c r="F103" s="1033"/>
      <c r="G103" s="1033"/>
      <c r="H103" s="1710"/>
      <c r="I103" s="1192">
        <f t="shared" si="4"/>
        <v>0</v>
      </c>
      <c r="J103" s="1033"/>
      <c r="K103" s="1033"/>
      <c r="M103" s="934"/>
    </row>
    <row r="104" spans="1:14" s="1016" customFormat="1" ht="25.2" hidden="1" customHeight="1">
      <c r="A104" s="1086">
        <f t="shared" si="3"/>
        <v>0</v>
      </c>
      <c r="B104" s="1226"/>
      <c r="C104" s="2841"/>
      <c r="D104" s="1089"/>
      <c r="E104" s="1090"/>
      <c r="F104" s="1003" t="s">
        <v>3672</v>
      </c>
      <c r="G104" s="1092"/>
      <c r="H104" s="1706"/>
      <c r="I104" s="1192">
        <f t="shared" si="4"/>
        <v>0</v>
      </c>
      <c r="J104" s="1092"/>
      <c r="K104" s="1092"/>
      <c r="L104" s="1069"/>
      <c r="M104" s="934"/>
    </row>
    <row r="105" spans="1:14" s="1016" customFormat="1" ht="25.2" hidden="1" customHeight="1">
      <c r="A105" s="1086">
        <f t="shared" si="3"/>
        <v>0</v>
      </c>
      <c r="B105" s="1227" t="str">
        <f>IF($G$8=22,"TR251","TR25")</f>
        <v>TR251</v>
      </c>
      <c r="C105" s="2840"/>
      <c r="D105" s="1023">
        <f>IF(H105&gt;0,1,0)</f>
        <v>0</v>
      </c>
      <c r="E105" s="1012" t="str">
        <f>VLOOKUP($B105,DG!A:D,DG!$B$2,)</f>
        <v>01.1161</v>
      </c>
      <c r="F105" s="1013" t="str">
        <f>VLOOKUP($B105,DG!A:D,DG!$C$2,)</f>
        <v>Máy biến áp 12,7/0,22-0,44kV  25kVA</v>
      </c>
      <c r="G105" s="1012" t="str">
        <f>VLOOKUP($B105,DG!A:D,DG!$D$2,)</f>
        <v>máy</v>
      </c>
      <c r="H105" s="1711">
        <f>I7</f>
        <v>0</v>
      </c>
      <c r="I105" s="1192">
        <f t="shared" si="4"/>
        <v>0</v>
      </c>
      <c r="J105" s="1041"/>
      <c r="K105" s="1041"/>
      <c r="L105" s="1129"/>
      <c r="M105" s="934">
        <v>25</v>
      </c>
    </row>
    <row r="106" spans="1:14" s="1016" customFormat="1" ht="25.2" hidden="1" customHeight="1">
      <c r="A106" s="1086">
        <f t="shared" si="3"/>
        <v>0</v>
      </c>
      <c r="B106" s="1227" t="s">
        <v>1652</v>
      </c>
      <c r="C106" s="2840"/>
      <c r="D106" s="1023">
        <f t="shared" ref="D106:D113" si="5">IF(H106&gt;0,D105+1,D105)</f>
        <v>1</v>
      </c>
      <c r="E106" s="1012" t="str">
        <f>VLOOKUP($B106,DG!A:D,DG!$B$2,)</f>
        <v>02.3155</v>
      </c>
      <c r="F106" s="1013" t="str">
        <f>VLOOKUP($B106,DG!A:D,DG!$C$2,)</f>
        <v>FCO 24kV - 100A</v>
      </c>
      <c r="G106" s="1012" t="str">
        <f>VLOOKUP($B106,DG!A:D,DG!$D$2,)</f>
        <v>cái</v>
      </c>
      <c r="H106" s="1100">
        <v>1</v>
      </c>
      <c r="I106" s="1192">
        <f t="shared" si="4"/>
        <v>0</v>
      </c>
      <c r="J106" s="1041"/>
      <c r="K106" s="1041"/>
      <c r="L106" s="1015"/>
      <c r="M106" s="934">
        <v>25</v>
      </c>
    </row>
    <row r="107" spans="1:14" s="1016" customFormat="1" ht="25.2" hidden="1" customHeight="1">
      <c r="A107" s="1086">
        <f t="shared" si="3"/>
        <v>0</v>
      </c>
      <c r="B107" s="1227" t="str">
        <f>IF($G$8=22,"CHI3K","CHI6K")</f>
        <v>CHI3K</v>
      </c>
      <c r="C107" s="2840"/>
      <c r="D107" s="1023">
        <f t="shared" si="5"/>
        <v>2</v>
      </c>
      <c r="E107" s="1012">
        <f>VLOOKUP($B107,DG!A:D,DG!$B$2,)</f>
        <v>0</v>
      </c>
      <c r="F107" s="1013" t="str">
        <f>VLOOKUP($B107,DG!A:D,DG!$C$2,)</f>
        <v>Dây chảy 3K</v>
      </c>
      <c r="G107" s="1012" t="str">
        <f>VLOOKUP($B107,DG!A:D,DG!$D$2,)</f>
        <v>Sợi</v>
      </c>
      <c r="H107" s="1100">
        <v>1</v>
      </c>
      <c r="I107" s="1192">
        <f t="shared" si="4"/>
        <v>0</v>
      </c>
      <c r="J107" s="1041"/>
      <c r="K107" s="1041"/>
      <c r="L107" s="1015"/>
      <c r="M107" s="934">
        <v>25</v>
      </c>
    </row>
    <row r="108" spans="1:14" s="1016" customFormat="1" ht="25.2" hidden="1" customHeight="1">
      <c r="A108" s="1086">
        <f t="shared" si="3"/>
        <v>0</v>
      </c>
      <c r="B108" s="1226" t="s">
        <v>1373</v>
      </c>
      <c r="C108" s="2841"/>
      <c r="D108" s="1023">
        <f>IF(H108&gt;0,D107+1,D107)</f>
        <v>2</v>
      </c>
      <c r="E108" s="1012" t="str">
        <f>VLOOKUP($B108,DG!A:D,DG!$B$2,)</f>
        <v>02.5114</v>
      </c>
      <c r="F108" s="1013" t="str">
        <f>VLOOKUP($B108,DG!A:D,DG!$C$2,)</f>
        <v>Chống sét van LA-18KV-10KA</v>
      </c>
      <c r="G108" s="1012" t="str">
        <f>VLOOKUP($B108,DG!A:D,DG!$D$2,)</f>
        <v>cái</v>
      </c>
      <c r="H108" s="1100">
        <f>H105</f>
        <v>0</v>
      </c>
      <c r="I108" s="1192">
        <f t="shared" si="4"/>
        <v>0</v>
      </c>
      <c r="J108" s="1041"/>
      <c r="K108" s="1041"/>
      <c r="L108" s="1015"/>
      <c r="M108" s="934">
        <v>25</v>
      </c>
    </row>
    <row r="109" spans="1:14" s="1016" customFormat="1" ht="25.2" hidden="1" customHeight="1">
      <c r="A109" s="1086">
        <f t="shared" si="3"/>
        <v>0</v>
      </c>
      <c r="B109" s="1228" t="s">
        <v>1419</v>
      </c>
      <c r="C109" s="2840"/>
      <c r="D109" s="1023">
        <f t="shared" si="5"/>
        <v>2</v>
      </c>
      <c r="E109" s="1012" t="str">
        <f>VLOOKUP($B109,DG!A:D,DG!$B$2,)</f>
        <v>02.8401</v>
      </c>
      <c r="F109" s="1013" t="str">
        <f>VLOOKUP($B109,DG!A:D,DG!$C$2,)</f>
        <v>MCCB 3 cực 400V -125A - 30KA</v>
      </c>
      <c r="G109" s="1012" t="str">
        <f>VLOOKUP($B109,DG!A:D,DG!$D$2,)</f>
        <v>cái</v>
      </c>
      <c r="H109" s="1100">
        <f>H105</f>
        <v>0</v>
      </c>
      <c r="I109" s="1192">
        <f t="shared" si="4"/>
        <v>0</v>
      </c>
      <c r="J109" s="1041"/>
      <c r="K109" s="1041"/>
      <c r="L109" s="1015"/>
      <c r="M109" s="934">
        <v>25</v>
      </c>
    </row>
    <row r="110" spans="1:14" s="1016" customFormat="1" ht="25.2" hidden="1" customHeight="1">
      <c r="A110" s="1086">
        <f t="shared" si="3"/>
        <v>0</v>
      </c>
      <c r="B110" s="1229" t="s">
        <v>2043</v>
      </c>
      <c r="C110" s="2842"/>
      <c r="D110" s="1023">
        <f t="shared" si="5"/>
        <v>2</v>
      </c>
      <c r="E110" s="1012">
        <f>VLOOKUP($B110,DG!A:D,DG!$B$2,)</f>
        <v>0</v>
      </c>
      <c r="F110" s="1013" t="str">
        <f>VLOOKUP($B110,DG!A:D,DG!$C$2,)</f>
        <v>Biến dòng 600V - 100/5A</v>
      </c>
      <c r="G110" s="1012" t="str">
        <f>VLOOKUP($B110,DG!A:D,DG!$D$2,)</f>
        <v>cái</v>
      </c>
      <c r="H110" s="1100">
        <f>H105</f>
        <v>0</v>
      </c>
      <c r="I110" s="1192">
        <f t="shared" si="4"/>
        <v>0</v>
      </c>
      <c r="J110" s="1041"/>
      <c r="K110" s="1041"/>
      <c r="L110" s="1043" t="s">
        <v>2601</v>
      </c>
      <c r="M110" s="934">
        <v>25</v>
      </c>
      <c r="N110" s="1032"/>
    </row>
    <row r="111" spans="1:14" s="1016" customFormat="1" ht="25.2" hidden="1" customHeight="1">
      <c r="A111" s="1086">
        <f t="shared" si="3"/>
        <v>0</v>
      </c>
      <c r="B111" s="1087" t="s">
        <v>2193</v>
      </c>
      <c r="C111" s="2842"/>
      <c r="D111" s="1023">
        <f t="shared" si="5"/>
        <v>2</v>
      </c>
      <c r="E111" s="1012">
        <f>VLOOKUP($B111,DG!A:D,DG!$B$2,)</f>
        <v>0</v>
      </c>
      <c r="F111" s="1013" t="str">
        <f>VLOOKUP($B111,DG!A:D,DG!$C$2,)</f>
        <v>Điện kế 1 pha 2 dây 220V-80A</v>
      </c>
      <c r="G111" s="1012" t="str">
        <f>VLOOKUP($B111,DG!A:D,DG!$D$2,)</f>
        <v>cái</v>
      </c>
      <c r="H111" s="1100">
        <f>H105</f>
        <v>0</v>
      </c>
      <c r="I111" s="1192">
        <f t="shared" si="4"/>
        <v>0</v>
      </c>
      <c r="J111" s="1041"/>
      <c r="K111" s="1041"/>
      <c r="L111" s="1043" t="s">
        <v>2601</v>
      </c>
      <c r="M111" s="934">
        <v>25</v>
      </c>
    </row>
    <row r="112" spans="1:14" s="1016" customFormat="1" ht="25.2" hidden="1" customHeight="1">
      <c r="A112" s="1086">
        <f t="shared" si="3"/>
        <v>0</v>
      </c>
      <c r="B112" s="1226" t="s">
        <v>199</v>
      </c>
      <c r="C112" s="2841"/>
      <c r="D112" s="1023">
        <f t="shared" si="5"/>
        <v>2</v>
      </c>
      <c r="E112" s="1012">
        <f>VLOOKUP($B112,DG!A:D,DG!$B$2,)</f>
        <v>0</v>
      </c>
      <c r="F112" s="1013" t="str">
        <f>VLOOKUP($B112,DG!A:D,DG!$C$2,)</f>
        <v xml:space="preserve">Ampe kế 100/5A-600v +AS </v>
      </c>
      <c r="G112" s="1012" t="str">
        <f>VLOOKUP($B112,DG!A:D,DG!$D$2,)</f>
        <v>Bộ</v>
      </c>
      <c r="H112" s="1100"/>
      <c r="I112" s="1192">
        <f t="shared" si="4"/>
        <v>0</v>
      </c>
      <c r="J112" s="1041"/>
      <c r="K112" s="1041"/>
      <c r="L112" s="1043" t="s">
        <v>2601</v>
      </c>
      <c r="M112" s="934">
        <v>25</v>
      </c>
    </row>
    <row r="113" spans="1:14" s="1016" customFormat="1" ht="25.2" hidden="1" customHeight="1">
      <c r="A113" s="1086">
        <f t="shared" si="3"/>
        <v>0</v>
      </c>
      <c r="B113" s="1226" t="s">
        <v>200</v>
      </c>
      <c r="C113" s="2841"/>
      <c r="D113" s="1023">
        <f t="shared" si="5"/>
        <v>2</v>
      </c>
      <c r="E113" s="1012">
        <f>VLOOKUP($B113,DG!A:D,DG!$B$2,)</f>
        <v>0</v>
      </c>
      <c r="F113" s="1013" t="str">
        <f>VLOOKUP($B113,DG!A:D,DG!$C$2,)</f>
        <v>Volt kế 500V + VS + 2xChì ống 1A-230V</v>
      </c>
      <c r="G113" s="1012" t="str">
        <f>VLOOKUP($B113,DG!A:D,DG!$D$2,)</f>
        <v>Bộ</v>
      </c>
      <c r="H113" s="1100"/>
      <c r="I113" s="1192">
        <f t="shared" si="4"/>
        <v>0</v>
      </c>
      <c r="J113" s="1041"/>
      <c r="K113" s="1041"/>
      <c r="L113" s="1043" t="s">
        <v>2601</v>
      </c>
      <c r="M113" s="934">
        <v>25</v>
      </c>
    </row>
    <row r="114" spans="1:14" s="1016" customFormat="1" ht="25.2" hidden="1" customHeight="1">
      <c r="A114" s="1086">
        <f t="shared" si="3"/>
        <v>0</v>
      </c>
      <c r="B114" s="1226"/>
      <c r="C114" s="2841"/>
      <c r="D114" s="1040"/>
      <c r="E114" s="1040"/>
      <c r="F114" s="1093"/>
      <c r="G114" s="1040"/>
      <c r="H114" s="1135"/>
      <c r="I114" s="1135">
        <f t="shared" si="4"/>
        <v>0</v>
      </c>
      <c r="J114" s="1093"/>
      <c r="K114" s="1040"/>
      <c r="L114" s="1069"/>
      <c r="M114" s="934">
        <v>25</v>
      </c>
    </row>
    <row r="115" spans="1:14" s="1016" customFormat="1" ht="25.2" hidden="1" customHeight="1">
      <c r="A115" s="1086">
        <f t="shared" si="3"/>
        <v>0</v>
      </c>
      <c r="B115" s="1226"/>
      <c r="C115" s="2841"/>
      <c r="D115" s="1114"/>
      <c r="E115" s="1040"/>
      <c r="F115" s="1003" t="s">
        <v>3673</v>
      </c>
      <c r="G115" s="1003"/>
      <c r="H115" s="1706"/>
      <c r="I115" s="1135">
        <f t="shared" si="4"/>
        <v>0</v>
      </c>
      <c r="J115" s="1003"/>
      <c r="K115" s="1003"/>
      <c r="L115" s="1069"/>
      <c r="M115" s="934">
        <v>25</v>
      </c>
    </row>
    <row r="116" spans="1:14" s="1016" customFormat="1" ht="25.2" hidden="1" customHeight="1">
      <c r="A116" s="1086">
        <f t="shared" si="3"/>
        <v>0</v>
      </c>
      <c r="B116" s="1226" t="s">
        <v>1610</v>
      </c>
      <c r="C116" s="2841"/>
      <c r="D116" s="1116">
        <f>IF(H128&gt;0,1,0)</f>
        <v>0</v>
      </c>
      <c r="E116" s="1012">
        <f>VLOOKUP($B116,DG!A:D,DG!$B$2,)</f>
        <v>0</v>
      </c>
      <c r="F116" s="1013" t="str">
        <f>VLOOKUP($B116,DG!A:D,DG!$C$2,)</f>
        <v>Boulon 16x300+ 2 long đền vuông D18-50x50x3/Zn</v>
      </c>
      <c r="G116" s="1012" t="str">
        <f>VLOOKUP($B116,DG!A:D,DG!$D$2,)</f>
        <v>bộ</v>
      </c>
      <c r="H116" s="1707">
        <f>2*SUM(H105:H105)</f>
        <v>0</v>
      </c>
      <c r="I116" s="1192">
        <f t="shared" si="4"/>
        <v>0</v>
      </c>
      <c r="J116" s="1041"/>
      <c r="K116" s="1041"/>
      <c r="L116" s="1129"/>
      <c r="M116" s="934">
        <v>25</v>
      </c>
    </row>
    <row r="117" spans="1:14" s="1016" customFormat="1" ht="25.2" hidden="1" customHeight="1">
      <c r="A117" s="1086">
        <f t="shared" si="3"/>
        <v>0</v>
      </c>
      <c r="B117" s="1226"/>
      <c r="C117" s="2841"/>
      <c r="D117" s="1011">
        <f>IF(H117&gt;0,D116+1,D116)</f>
        <v>0</v>
      </c>
      <c r="E117" s="1118"/>
      <c r="F117" s="1119" t="s">
        <v>3674</v>
      </c>
      <c r="G117" s="1099" t="s">
        <v>2385</v>
      </c>
      <c r="H117" s="1707">
        <f>H105*0</f>
        <v>0</v>
      </c>
      <c r="I117" s="1192">
        <f t="shared" si="4"/>
        <v>0</v>
      </c>
      <c r="J117" s="1064"/>
      <c r="K117" s="1064"/>
      <c r="L117" s="1043"/>
      <c r="M117" s="934">
        <v>25</v>
      </c>
    </row>
    <row r="118" spans="1:14" s="1016" customFormat="1" ht="25.2" hidden="1" customHeight="1">
      <c r="A118" s="1086">
        <f t="shared" si="3"/>
        <v>0</v>
      </c>
      <c r="B118" s="1226"/>
      <c r="C118" s="2841"/>
      <c r="D118" s="1099"/>
      <c r="E118" s="1118"/>
      <c r="F118" s="1264" t="s">
        <v>2279</v>
      </c>
      <c r="G118" s="1043"/>
      <c r="H118" s="1100"/>
      <c r="I118" s="1192">
        <f t="shared" si="4"/>
        <v>0</v>
      </c>
      <c r="J118" s="1064"/>
      <c r="K118" s="1064"/>
      <c r="L118" s="1043"/>
      <c r="M118" s="934">
        <v>25</v>
      </c>
      <c r="N118" s="1120"/>
    </row>
    <row r="119" spans="1:14" s="1016" customFormat="1" ht="25.2" hidden="1" customHeight="1">
      <c r="A119" s="1086">
        <f t="shared" si="3"/>
        <v>0</v>
      </c>
      <c r="B119" s="1087" t="s">
        <v>115</v>
      </c>
      <c r="C119" s="2842"/>
      <c r="D119" s="1043"/>
      <c r="E119" s="1012">
        <f>VLOOKUP($B119,DG!A:D,DG!$B$2,)</f>
        <v>0</v>
      </c>
      <c r="F119" s="1013" t="str">
        <f>VLOOKUP($B119,DG!A:D,DG!$C$2,)</f>
        <v>Trụ BTLT 12m F540 dự ứng lực</v>
      </c>
      <c r="G119" s="1012" t="str">
        <f>VLOOKUP($B119,DG!A:D,DG!$D$2,)</f>
        <v>trụ</v>
      </c>
      <c r="H119" s="1100">
        <f>1*H117</f>
        <v>0</v>
      </c>
      <c r="I119" s="1192">
        <f t="shared" si="4"/>
        <v>0</v>
      </c>
      <c r="J119" s="1041"/>
      <c r="K119" s="1041"/>
      <c r="L119" s="1043"/>
      <c r="M119" s="934">
        <v>25</v>
      </c>
      <c r="N119" s="1120"/>
    </row>
    <row r="120" spans="1:14" s="1016" customFormat="1" ht="25.2" hidden="1" customHeight="1">
      <c r="A120" s="1086">
        <f t="shared" si="3"/>
        <v>0</v>
      </c>
      <c r="B120" s="1087" t="s">
        <v>1814</v>
      </c>
      <c r="C120" s="2842"/>
      <c r="D120" s="1043"/>
      <c r="E120" s="1121"/>
      <c r="F120" s="1013" t="str">
        <f>VLOOKUP($B120,DG!A:D,DG!$C$2,)</f>
        <v>Vật liệu dựng trụ</v>
      </c>
      <c r="G120" s="1012" t="str">
        <f>VLOOKUP($B120,DG!A:D,DG!$D$2,)</f>
        <v>trụ</v>
      </c>
      <c r="H120" s="1100">
        <f>H119</f>
        <v>0</v>
      </c>
      <c r="I120" s="1192">
        <f t="shared" si="4"/>
        <v>0</v>
      </c>
      <c r="J120" s="1041"/>
      <c r="K120" s="1041"/>
      <c r="L120" s="1043"/>
      <c r="M120" s="934">
        <v>25</v>
      </c>
      <c r="N120" s="1120"/>
    </row>
    <row r="121" spans="1:14" s="1016" customFormat="1" ht="25.2" hidden="1" customHeight="1">
      <c r="A121" s="1086">
        <f t="shared" si="3"/>
        <v>0</v>
      </c>
      <c r="B121" s="1087" t="s">
        <v>2126</v>
      </c>
      <c r="C121" s="2842"/>
      <c r="D121" s="1043"/>
      <c r="E121" s="1121"/>
      <c r="F121" s="1013" t="str">
        <f>VLOOKUP($B121,DG!A:D,DG!$C$2,)</f>
        <v>Dựng trụ BTLT 12m trong TBA bằng thủ công + cơ giới</v>
      </c>
      <c r="G121" s="1012" t="str">
        <f>VLOOKUP($B121,DG!A:D,DG!$D$2,)</f>
        <v>trụ</v>
      </c>
      <c r="H121" s="1100">
        <f>H119</f>
        <v>0</v>
      </c>
      <c r="I121" s="1192">
        <f t="shared" si="4"/>
        <v>0</v>
      </c>
      <c r="J121" s="1041"/>
      <c r="K121" s="1041"/>
      <c r="L121" s="1043"/>
      <c r="M121" s="934">
        <v>25</v>
      </c>
      <c r="N121" s="1120"/>
    </row>
    <row r="122" spans="1:14" s="1016" customFormat="1" ht="25.2" hidden="1" customHeight="1">
      <c r="A122" s="1086">
        <f t="shared" si="3"/>
        <v>0</v>
      </c>
      <c r="B122" s="1226"/>
      <c r="C122" s="2841"/>
      <c r="D122" s="1011">
        <f>IF(H122&gt;0,D117+1,D117)</f>
        <v>0</v>
      </c>
      <c r="E122" s="1118"/>
      <c r="F122" s="1119" t="s">
        <v>2352</v>
      </c>
      <c r="G122" s="1099" t="s">
        <v>2385</v>
      </c>
      <c r="H122" s="1707">
        <f>H117</f>
        <v>0</v>
      </c>
      <c r="I122" s="1192">
        <f t="shared" si="4"/>
        <v>0</v>
      </c>
      <c r="J122" s="1064"/>
      <c r="K122" s="1064"/>
      <c r="L122" s="1043"/>
      <c r="M122" s="934">
        <v>25</v>
      </c>
    </row>
    <row r="123" spans="1:14" s="1016" customFormat="1" ht="25.2" hidden="1" customHeight="1">
      <c r="A123" s="1086">
        <f t="shared" si="3"/>
        <v>0</v>
      </c>
      <c r="B123" s="1226"/>
      <c r="C123" s="2841"/>
      <c r="D123" s="1099"/>
      <c r="E123" s="1118"/>
      <c r="F123" s="1264" t="s">
        <v>2279</v>
      </c>
      <c r="G123" s="1043"/>
      <c r="H123" s="1100"/>
      <c r="I123" s="1192">
        <f t="shared" si="4"/>
        <v>0</v>
      </c>
      <c r="J123" s="1064"/>
      <c r="K123" s="1064"/>
      <c r="L123" s="1043"/>
      <c r="M123" s="934">
        <v>25</v>
      </c>
      <c r="N123" s="1120"/>
    </row>
    <row r="124" spans="1:14" s="1016" customFormat="1" ht="25.2" hidden="1" customHeight="1">
      <c r="A124" s="1086">
        <f t="shared" si="3"/>
        <v>0</v>
      </c>
      <c r="B124" s="1233" t="s">
        <v>636</v>
      </c>
      <c r="C124" s="2843"/>
      <c r="D124" s="1043"/>
      <c r="E124" s="1012" t="str">
        <f>VLOOKUP($B124,DG!A:D,DG!$B$2,)</f>
        <v>04.4001</v>
      </c>
      <c r="F124" s="1013" t="str">
        <f>VLOOKUP($B124,DG!A:D,DG!$C$2,)</f>
        <v>Đà cản BTCT 1,2m</v>
      </c>
      <c r="G124" s="1012" t="str">
        <f>VLOOKUP($B124,DG!A:D,DG!$D$2,)</f>
        <v>cái</v>
      </c>
      <c r="H124" s="1100">
        <f>1*H122</f>
        <v>0</v>
      </c>
      <c r="I124" s="1192">
        <f t="shared" si="4"/>
        <v>0</v>
      </c>
      <c r="J124" s="1041"/>
      <c r="K124" s="1041"/>
      <c r="L124" s="1043"/>
      <c r="M124" s="934">
        <v>25</v>
      </c>
      <c r="N124" s="1120"/>
    </row>
    <row r="125" spans="1:14" s="1016" customFormat="1" ht="25.2" hidden="1" customHeight="1">
      <c r="A125" s="1086">
        <f t="shared" si="3"/>
        <v>0</v>
      </c>
      <c r="B125" s="1233" t="s">
        <v>566</v>
      </c>
      <c r="C125" s="2843"/>
      <c r="D125" s="1043"/>
      <c r="E125" s="1012">
        <f>VLOOKUP($B125,DG!A:D,DG!$B$2,)</f>
        <v>0</v>
      </c>
      <c r="F125" s="1013" t="str">
        <f>VLOOKUP($B125,DG!A:D,DG!$C$2,)</f>
        <v>Boulon 22x650+ 2 long đền vuông D24-50x50x3/Zn</v>
      </c>
      <c r="G125" s="1012" t="str">
        <f>VLOOKUP($B125,DG!A:D,DG!$D$2,)</f>
        <v>bộ</v>
      </c>
      <c r="H125" s="1100">
        <f>H122</f>
        <v>0</v>
      </c>
      <c r="I125" s="1192">
        <f t="shared" si="4"/>
        <v>0</v>
      </c>
      <c r="J125" s="1041"/>
      <c r="K125" s="1041"/>
      <c r="L125" s="1043"/>
      <c r="M125" s="934">
        <v>25</v>
      </c>
      <c r="N125" s="1120"/>
    </row>
    <row r="126" spans="1:14" s="1016" customFormat="1" ht="25.2" hidden="1" customHeight="1">
      <c r="A126" s="1086">
        <f t="shared" si="3"/>
        <v>0</v>
      </c>
      <c r="B126" s="1233" t="str">
        <f>IF(chitiet!G5=1,"MDD1",IF(chitiet!G5=2,"MDD2",IF(chitiet!G5=3,"MDD3",IF(chitiet!G5=4,"MDD4"))))</f>
        <v>MDD3</v>
      </c>
      <c r="C126" s="2843"/>
      <c r="D126" s="1043"/>
      <c r="E126" s="1012" t="str">
        <f>VLOOKUP($B126,DG!A:D,DG!$B$2,)</f>
        <v>03.1013</v>
      </c>
      <c r="F126" s="1013" t="str">
        <f>VLOOKUP($B126,DG!A:D,DG!$C$2,)</f>
        <v>Đào hố móng đất cấp 3 sâu &gt;1m</v>
      </c>
      <c r="G126" s="1012" t="str">
        <f>VLOOKUP($B126,DG!A:D,DG!$D$2,)</f>
        <v>m3</v>
      </c>
      <c r="H126" s="1100">
        <f>H122*1.45</f>
        <v>0</v>
      </c>
      <c r="I126" s="1192">
        <f t="shared" si="4"/>
        <v>0</v>
      </c>
      <c r="J126" s="1041"/>
      <c r="K126" s="1041"/>
      <c r="L126" s="1043"/>
      <c r="M126" s="934">
        <v>25</v>
      </c>
      <c r="N126" s="1120"/>
    </row>
    <row r="127" spans="1:14" s="1016" customFormat="1" ht="25.2" hidden="1" customHeight="1">
      <c r="A127" s="1086">
        <f t="shared" si="3"/>
        <v>0</v>
      </c>
      <c r="B127" s="1233" t="str">
        <f>IF(chitiet!G5=1,"MDAP1",IF(chitiet!G5=2,"MDAP2",IF(chitiet!G5=3,"MDAP3",IF(chitiet!G5=4,"MDAP4"))))</f>
        <v>MDAP3</v>
      </c>
      <c r="C127" s="2843"/>
      <c r="D127" s="1043"/>
      <c r="E127" s="1012" t="str">
        <f>VLOOKUP($B127,DG!A:D,DG!$B$2,)</f>
        <v>03.4113</v>
      </c>
      <c r="F127" s="1013" t="str">
        <f>VLOOKUP($B127,DG!A:D,DG!$C$2,)</f>
        <v>Đắp đất hố móng, độ chặt k=0,95</v>
      </c>
      <c r="G127" s="1012" t="str">
        <f>VLOOKUP($B127,DG!A:D,DG!$D$2,)</f>
        <v>m3</v>
      </c>
      <c r="H127" s="1100">
        <f>H122*1.37</f>
        <v>0</v>
      </c>
      <c r="I127" s="1192">
        <f t="shared" si="4"/>
        <v>0</v>
      </c>
      <c r="J127" s="1041"/>
      <c r="K127" s="1041"/>
      <c r="L127" s="1043"/>
      <c r="M127" s="934">
        <v>25</v>
      </c>
      <c r="N127" s="1120"/>
    </row>
    <row r="128" spans="1:14" s="1016" customFormat="1" ht="25.2" hidden="1" customHeight="1">
      <c r="A128" s="1086">
        <f t="shared" si="3"/>
        <v>0</v>
      </c>
      <c r="B128" s="1226"/>
      <c r="C128" s="2841"/>
      <c r="D128" s="1011">
        <f>IF(H128&gt;0,D122+1,D122)</f>
        <v>0</v>
      </c>
      <c r="E128" s="1118"/>
      <c r="F128" s="1130" t="s">
        <v>4779</v>
      </c>
      <c r="G128" s="1099" t="s">
        <v>2385</v>
      </c>
      <c r="H128" s="1707">
        <f>SUM(H105:H105)</f>
        <v>0</v>
      </c>
      <c r="I128" s="1192">
        <f t="shared" si="4"/>
        <v>0</v>
      </c>
      <c r="J128" s="1064"/>
      <c r="K128" s="1064"/>
      <c r="L128" s="1015"/>
      <c r="M128" s="934">
        <v>25</v>
      </c>
    </row>
    <row r="129" spans="1:13" s="1016" customFormat="1" ht="25.2" hidden="1" customHeight="1">
      <c r="A129" s="1086">
        <f t="shared" si="3"/>
        <v>0</v>
      </c>
      <c r="B129" s="1226"/>
      <c r="C129" s="2841"/>
      <c r="D129" s="1099"/>
      <c r="E129" s="1118"/>
      <c r="F129" s="1265" t="s">
        <v>2279</v>
      </c>
      <c r="G129" s="1043"/>
      <c r="H129" s="1100"/>
      <c r="I129" s="1192">
        <f t="shared" si="4"/>
        <v>0</v>
      </c>
      <c r="J129" s="1064"/>
      <c r="K129" s="1064"/>
      <c r="L129" s="1015"/>
      <c r="M129" s="934">
        <v>25</v>
      </c>
    </row>
    <row r="130" spans="1:13" s="1016" customFormat="1" ht="25.2" hidden="1" customHeight="1">
      <c r="A130" s="1086">
        <f t="shared" si="3"/>
        <v>0</v>
      </c>
      <c r="B130" s="1226" t="s">
        <v>4542</v>
      </c>
      <c r="C130" s="2841"/>
      <c r="D130" s="1043"/>
      <c r="E130" s="1012">
        <f>VLOOKUP($B130,DG!A:D,DG!$B$2,)</f>
        <v>0</v>
      </c>
      <c r="F130" s="1013" t="str">
        <f>VLOOKUP($B130,DG!A:D,DG!$C$2,)</f>
        <v>Đà Composite 110x80x5x800</v>
      </c>
      <c r="G130" s="1012" t="str">
        <f>VLOOKUP($B130,DG!A:D,DG!$D$2,)</f>
        <v>cái</v>
      </c>
      <c r="H130" s="1100">
        <f>H128</f>
        <v>0</v>
      </c>
      <c r="I130" s="1192">
        <f t="shared" si="4"/>
        <v>0</v>
      </c>
      <c r="J130" s="1041"/>
      <c r="K130" s="1041"/>
      <c r="L130" s="1015"/>
      <c r="M130" s="934">
        <v>25</v>
      </c>
    </row>
    <row r="131" spans="1:13" s="1016" customFormat="1" ht="25.2" hidden="1" customHeight="1">
      <c r="A131" s="1086">
        <f t="shared" si="3"/>
        <v>0</v>
      </c>
      <c r="B131" s="1226" t="s">
        <v>4729</v>
      </c>
      <c r="C131" s="2841"/>
      <c r="D131" s="1043"/>
      <c r="E131" s="1012">
        <f>VLOOKUP($B131,DG!A:D,DG!$B$2,)</f>
        <v>0</v>
      </c>
      <c r="F131" s="1013" t="str">
        <f>VLOOKUP($B131,DG!A:D,DG!$C$2,)</f>
        <v>Thanh chống Composite 10x40x720</v>
      </c>
      <c r="G131" s="1012" t="str">
        <f>VLOOKUP($B131,DG!A:D,DG!$D$2,)</f>
        <v>cái</v>
      </c>
      <c r="H131" s="1100">
        <f>H130</f>
        <v>0</v>
      </c>
      <c r="I131" s="1192">
        <f>IF(M131=$M$23,H131+J131-K131,0)</f>
        <v>0</v>
      </c>
      <c r="J131" s="1041"/>
      <c r="K131" s="1041"/>
      <c r="L131" s="1015"/>
      <c r="M131" s="934">
        <v>25</v>
      </c>
    </row>
    <row r="132" spans="1:13" s="1016" customFormat="1" ht="25.2" hidden="1" customHeight="1">
      <c r="A132" s="1086">
        <f t="shared" si="3"/>
        <v>0</v>
      </c>
      <c r="B132" s="1226" t="s">
        <v>1079</v>
      </c>
      <c r="C132" s="2841"/>
      <c r="D132" s="1043"/>
      <c r="E132" s="1012">
        <f>VLOOKUP($B132,DG!A:D,DG!$B$2,)</f>
        <v>0</v>
      </c>
      <c r="F132" s="1013" t="str">
        <f>VLOOKUP($B132,DG!A:D,DG!$C$2,)</f>
        <v>Boulon 16x350+ 2 long đền vuông D18-50x50x3/Zn</v>
      </c>
      <c r="G132" s="1012" t="str">
        <f>VLOOKUP($B132,DG!A:D,DG!$D$2,)</f>
        <v>bộ</v>
      </c>
      <c r="H132" s="1100">
        <f>2*H128</f>
        <v>0</v>
      </c>
      <c r="I132" s="1192">
        <f t="shared" si="4"/>
        <v>0</v>
      </c>
      <c r="J132" s="1041"/>
      <c r="K132" s="1041"/>
      <c r="L132" s="1015"/>
      <c r="M132" s="934">
        <v>25</v>
      </c>
    </row>
    <row r="133" spans="1:13" s="1016" customFormat="1" ht="25.2" hidden="1" customHeight="1">
      <c r="A133" s="1086">
        <f t="shared" si="3"/>
        <v>0</v>
      </c>
      <c r="B133" s="1226" t="s">
        <v>4333</v>
      </c>
      <c r="C133" s="2841"/>
      <c r="D133" s="1043"/>
      <c r="E133" s="1012">
        <f>VLOOKUP($B133,DG!A:D,DG!$B$2,)</f>
        <v>0</v>
      </c>
      <c r="F133" s="1013" t="str">
        <f>VLOOKUP($B133,DG!A:D,DG!$C$2,)</f>
        <v>Boulon 14x150+ 2 long đền vuông D16-50x50x3/Zn</v>
      </c>
      <c r="G133" s="1012" t="str">
        <f>VLOOKUP($B133,DG!A:D,DG!$D$2,)</f>
        <v>bộ</v>
      </c>
      <c r="H133" s="1100">
        <f>H130</f>
        <v>0</v>
      </c>
      <c r="I133" s="1192">
        <f t="shared" si="4"/>
        <v>0</v>
      </c>
      <c r="J133" s="1041"/>
      <c r="K133" s="1041"/>
      <c r="L133" s="1015"/>
      <c r="M133" s="934">
        <v>25</v>
      </c>
    </row>
    <row r="134" spans="1:13" s="1016" customFormat="1" ht="25.2" hidden="1" customHeight="1">
      <c r="A134" s="1086">
        <f t="shared" si="3"/>
        <v>0</v>
      </c>
      <c r="B134" s="1226" t="s">
        <v>2271</v>
      </c>
      <c r="C134" s="2841"/>
      <c r="D134" s="1043"/>
      <c r="E134" s="1012">
        <f>VLOOKUP($B134,DG!A:D,DG!$B$2,)</f>
        <v>0</v>
      </c>
      <c r="F134" s="1013" t="str">
        <f>VLOOKUP($B134,DG!A:D,DG!$C$2,)</f>
        <v>Bass LL bắt FCO, LA</v>
      </c>
      <c r="G134" s="1012" t="str">
        <f>VLOOKUP($B134,DG!A:D,DG!$D$2,)</f>
        <v>bộ</v>
      </c>
      <c r="H134" s="1100"/>
      <c r="I134" s="1192">
        <f>IF(M134=$M$23,H134+J134-K134,0)</f>
        <v>0</v>
      </c>
      <c r="J134" s="1041"/>
      <c r="K134" s="1041"/>
      <c r="L134" s="1015"/>
      <c r="M134" s="934">
        <v>25</v>
      </c>
    </row>
    <row r="135" spans="1:13" s="1016" customFormat="1" ht="25.2" hidden="1" customHeight="1">
      <c r="A135" s="1086">
        <f t="shared" si="3"/>
        <v>0</v>
      </c>
      <c r="B135" s="1226" t="s">
        <v>1995</v>
      </c>
      <c r="C135" s="2841"/>
      <c r="D135" s="1043"/>
      <c r="E135" s="1012" t="str">
        <f>VLOOKUP($B135,DG!A:D,DG!$B$2,)</f>
        <v>05.6401</v>
      </c>
      <c r="F135" s="1013" t="str">
        <f>VLOOKUP($B135,DG!A:D,DG!$C$2,)</f>
        <v>Lắp xà đỡ ≤ 25kg</v>
      </c>
      <c r="G135" s="1012" t="str">
        <f>VLOOKUP($B135,DG!A:D,DG!$D$2,)</f>
        <v>bộ</v>
      </c>
      <c r="H135" s="1100">
        <f>H130</f>
        <v>0</v>
      </c>
      <c r="I135" s="1192">
        <f>IF(M135=$M$23,H135+J135-K135,0)</f>
        <v>0</v>
      </c>
      <c r="J135" s="1041"/>
      <c r="K135" s="1041"/>
      <c r="L135" s="1015"/>
      <c r="M135" s="934">
        <v>25</v>
      </c>
    </row>
    <row r="136" spans="1:13" s="1016" customFormat="1" ht="25.2" hidden="1" customHeight="1">
      <c r="A136" s="1086">
        <f t="shared" si="3"/>
        <v>0</v>
      </c>
      <c r="B136" s="1226"/>
      <c r="C136" s="2841"/>
      <c r="D136" s="1099">
        <f>IF(H136&gt;0,D128+1,D128)</f>
        <v>0</v>
      </c>
      <c r="E136" s="1118"/>
      <c r="F136" s="1130" t="s">
        <v>3676</v>
      </c>
      <c r="G136" s="1099" t="s">
        <v>2385</v>
      </c>
      <c r="H136" s="1707">
        <f>H128</f>
        <v>0</v>
      </c>
      <c r="I136" s="1192">
        <f t="shared" si="4"/>
        <v>0</v>
      </c>
      <c r="J136" s="1064"/>
      <c r="K136" s="1064"/>
      <c r="L136" s="1015"/>
      <c r="M136" s="934">
        <v>25</v>
      </c>
    </row>
    <row r="137" spans="1:13" s="1016" customFormat="1" ht="25.2" hidden="1" customHeight="1">
      <c r="A137" s="1086">
        <f t="shared" si="3"/>
        <v>0</v>
      </c>
      <c r="B137" s="1226"/>
      <c r="C137" s="2841"/>
      <c r="D137" s="1043"/>
      <c r="E137" s="1121"/>
      <c r="F137" s="1265" t="s">
        <v>2279</v>
      </c>
      <c r="G137" s="1043"/>
      <c r="H137" s="1100"/>
      <c r="I137" s="1192">
        <f t="shared" si="4"/>
        <v>0</v>
      </c>
      <c r="J137" s="1064"/>
      <c r="K137" s="1064"/>
      <c r="L137" s="1015"/>
      <c r="M137" s="934">
        <v>25</v>
      </c>
    </row>
    <row r="138" spans="1:13" s="1016" customFormat="1" ht="25.2" hidden="1" customHeight="1">
      <c r="A138" s="1086">
        <f t="shared" si="3"/>
        <v>0</v>
      </c>
      <c r="B138" s="1226" t="s">
        <v>103</v>
      </c>
      <c r="C138" s="2841"/>
      <c r="D138" s="1043"/>
      <c r="E138" s="1012">
        <f>VLOOKUP($B138,DG!A:D,DG!$B$2,)</f>
        <v>0</v>
      </c>
      <c r="F138" s="1013" t="str">
        <f>VLOOKUP($B138,DG!A:D,DG!$C$2,)&amp;" : "&amp;I3&amp;"m"</f>
        <v>Cáp đồng trần M25mm2 : 54m</v>
      </c>
      <c r="G138" s="1012" t="str">
        <f>VLOOKUP($B138,DG!A:D,DG!$D$2,)</f>
        <v>kg</v>
      </c>
      <c r="H138" s="1100">
        <v>13</v>
      </c>
      <c r="I138" s="1192">
        <f t="shared" si="4"/>
        <v>0</v>
      </c>
      <c r="J138" s="1041"/>
      <c r="K138" s="1041"/>
      <c r="L138" s="1015"/>
      <c r="M138" s="934">
        <v>25</v>
      </c>
    </row>
    <row r="139" spans="1:13" s="1016" customFormat="1" ht="25.2" hidden="1" customHeight="1">
      <c r="A139" s="1086">
        <f t="shared" si="3"/>
        <v>0</v>
      </c>
      <c r="B139" s="1087" t="s">
        <v>1508</v>
      </c>
      <c r="C139" s="2842"/>
      <c r="D139" s="1043"/>
      <c r="E139" s="1012">
        <f>VLOOKUP($B139,DG!A:D,DG!$B$2,)</f>
        <v>0</v>
      </c>
      <c r="F139" s="1013" t="str">
        <f>VLOOKUP($B139,DG!A:D,DG!$C$2,)</f>
        <v>Cọc tiếp đất Þ 16- 2,4m + kẹp cọc mạ đồng</v>
      </c>
      <c r="G139" s="1012" t="str">
        <f>VLOOKUP($B139,DG!A:D,DG!$D$2,)</f>
        <v>bộ</v>
      </c>
      <c r="H139" s="1100">
        <f>I2*H136</f>
        <v>0</v>
      </c>
      <c r="I139" s="1192">
        <f t="shared" si="4"/>
        <v>0</v>
      </c>
      <c r="J139" s="1041"/>
      <c r="K139" s="1041"/>
      <c r="L139" s="1015"/>
      <c r="M139" s="934">
        <v>25</v>
      </c>
    </row>
    <row r="140" spans="1:13" s="1016" customFormat="1" ht="25.2" hidden="1" customHeight="1">
      <c r="A140" s="1086">
        <f t="shared" si="3"/>
        <v>0</v>
      </c>
      <c r="B140" s="1087" t="s">
        <v>1490</v>
      </c>
      <c r="C140" s="2842"/>
      <c r="D140" s="1043"/>
      <c r="E140" s="1012" t="str">
        <f>VLOOKUP($B140,DG!A:D,DG!$B$2,)</f>
        <v>07.2403</v>
      </c>
      <c r="F140" s="1013" t="str">
        <f>VLOOKUP($B140,DG!A:D,DG!$C$2,)</f>
        <v xml:space="preserve">Ống PVC D21x1,6mm </v>
      </c>
      <c r="G140" s="1012" t="str">
        <f>VLOOKUP($B140,DG!A:D,DG!$D$2,)</f>
        <v>m</v>
      </c>
      <c r="H140" s="1100">
        <v>6</v>
      </c>
      <c r="I140" s="1192">
        <f t="shared" si="4"/>
        <v>0</v>
      </c>
      <c r="J140" s="1041"/>
      <c r="K140" s="1041"/>
      <c r="L140" s="1015"/>
      <c r="M140" s="934">
        <v>25</v>
      </c>
    </row>
    <row r="141" spans="1:13" s="1016" customFormat="1" ht="25.2" hidden="1" customHeight="1">
      <c r="A141" s="1086">
        <f t="shared" si="3"/>
        <v>0</v>
      </c>
      <c r="B141" s="1231" t="s">
        <v>13</v>
      </c>
      <c r="C141" s="2844"/>
      <c r="D141" s="1043"/>
      <c r="E141" s="1012">
        <f>VLOOKUP($B141,DG!A:D,DG!$B$2,)</f>
        <v>0</v>
      </c>
      <c r="F141" s="1013" t="str">
        <f>VLOOKUP($B141,DG!A:D,DG!$C$2,)</f>
        <v>Kẹp ép WR cỡ dây 120mm2</v>
      </c>
      <c r="G141" s="1012" t="str">
        <f>VLOOKUP($B141,DG!A:D,DG!$D$2,)</f>
        <v>cái</v>
      </c>
      <c r="H141" s="1100">
        <f>2*H136</f>
        <v>0</v>
      </c>
      <c r="I141" s="1192">
        <f t="shared" si="4"/>
        <v>0</v>
      </c>
      <c r="J141" s="1041"/>
      <c r="K141" s="1041"/>
      <c r="L141" s="1015"/>
      <c r="M141" s="934">
        <v>25</v>
      </c>
    </row>
    <row r="142" spans="1:13" s="1016" customFormat="1" ht="25.2" hidden="1" customHeight="1">
      <c r="A142" s="1086">
        <f t="shared" si="3"/>
        <v>0</v>
      </c>
      <c r="B142" s="1231" t="s">
        <v>1073</v>
      </c>
      <c r="C142" s="2844"/>
      <c r="D142" s="1043"/>
      <c r="E142" s="1012" t="str">
        <f>VLOOKUP($B142,DG!A:D,DG!$B$2,)</f>
        <v>03.4001</v>
      </c>
      <c r="F142" s="1013" t="str">
        <f>VLOOKUP($B142,DG!A:D,DG!$C$2,)</f>
        <v>Đầu cosse ép Cu 25mm2</v>
      </c>
      <c r="G142" s="1012" t="str">
        <f>VLOOKUP($B142,DG!A:D,DG!$D$2,)</f>
        <v>cái</v>
      </c>
      <c r="H142" s="1100">
        <f>H136*2</f>
        <v>0</v>
      </c>
      <c r="I142" s="1192">
        <f t="shared" si="4"/>
        <v>0</v>
      </c>
      <c r="J142" s="1041"/>
      <c r="K142" s="1041"/>
      <c r="L142" s="1015"/>
      <c r="M142" s="934">
        <v>25</v>
      </c>
    </row>
    <row r="143" spans="1:13" s="1016" customFormat="1" ht="25.2" hidden="1" customHeight="1">
      <c r="A143" s="1086">
        <f t="shared" si="3"/>
        <v>0</v>
      </c>
      <c r="B143" s="1231" t="s">
        <v>2019</v>
      </c>
      <c r="C143" s="2844"/>
      <c r="D143" s="1043"/>
      <c r="E143" s="1012">
        <f>VLOOKUP($B143,DG!A:D,DG!$B$2,)</f>
        <v>0</v>
      </c>
      <c r="F143" s="1013" t="str">
        <f>VLOOKUP($B143,DG!A:D,DG!$C$2,)</f>
        <v>Boulon 12x40+ 2 long đền vuông D14-50x50x3/Zn</v>
      </c>
      <c r="G143" s="1012" t="str">
        <f>VLOOKUP($B143,DG!A:D,DG!$D$2,)</f>
        <v>bộ</v>
      </c>
      <c r="H143" s="1100">
        <f>H142/2*0</f>
        <v>0</v>
      </c>
      <c r="I143" s="1192">
        <f t="shared" si="4"/>
        <v>0</v>
      </c>
      <c r="J143" s="1041"/>
      <c r="K143" s="1041"/>
      <c r="L143" s="1015"/>
      <c r="M143" s="934">
        <v>25</v>
      </c>
    </row>
    <row r="144" spans="1:13" s="1016" customFormat="1" ht="25.2" hidden="1" customHeight="1">
      <c r="A144" s="1086">
        <f t="shared" si="3"/>
        <v>0</v>
      </c>
      <c r="B144" s="1231" t="s">
        <v>1114</v>
      </c>
      <c r="C144" s="2844"/>
      <c r="D144" s="1043"/>
      <c r="E144" s="1012">
        <f>VLOOKUP($B144,DG!A:D,DG!$B$2,)</f>
        <v>0</v>
      </c>
      <c r="F144" s="1013" t="str">
        <f>VLOOKUP($B144,DG!A:D,DG!$C$2,)</f>
        <v>Kẹp ép cỡ dây 25mm2</v>
      </c>
      <c r="G144" s="1012" t="str">
        <f>VLOOKUP($B144,DG!A:D,DG!$D$2,)</f>
        <v>cái</v>
      </c>
      <c r="H144" s="1100">
        <v>11</v>
      </c>
      <c r="I144" s="1192">
        <f t="shared" si="4"/>
        <v>0</v>
      </c>
      <c r="J144" s="1041"/>
      <c r="K144" s="1041"/>
      <c r="L144" s="1015"/>
      <c r="M144" s="934">
        <v>25</v>
      </c>
    </row>
    <row r="145" spans="1:13" s="1016" customFormat="1" ht="25.2" hidden="1" customHeight="1">
      <c r="A145" s="1086">
        <f t="shared" si="3"/>
        <v>0</v>
      </c>
      <c r="B145" s="1087" t="s">
        <v>525</v>
      </c>
      <c r="C145" s="2842"/>
      <c r="D145" s="1043"/>
      <c r="E145" s="1012" t="str">
        <f>VLOOKUP($B145,DG!A:D,DG!$B$2,)</f>
        <v>06.3231</v>
      </c>
      <c r="F145" s="1013" t="str">
        <f>VLOOKUP($B145,DG!A:D,DG!$C$2,)&amp;": CD 90-250"</f>
        <v>Cổ dê kẹp ống PVC  21: CD 90-250</v>
      </c>
      <c r="G145" s="1012" t="str">
        <f>VLOOKUP($B145,DG!A:D,DG!$D$2,)</f>
        <v>bộ</v>
      </c>
      <c r="H145" s="1100">
        <v>4</v>
      </c>
      <c r="I145" s="1192">
        <f t="shared" si="4"/>
        <v>0</v>
      </c>
      <c r="J145" s="1041"/>
      <c r="K145" s="1041"/>
      <c r="L145" s="1015"/>
      <c r="M145" s="934">
        <v>25</v>
      </c>
    </row>
    <row r="146" spans="1:13" s="1016" customFormat="1" ht="25.2" hidden="1" customHeight="1">
      <c r="A146" s="1086">
        <f t="shared" si="3"/>
        <v>0</v>
      </c>
      <c r="B146" s="1087" t="s">
        <v>525</v>
      </c>
      <c r="C146" s="2842"/>
      <c r="D146" s="1043"/>
      <c r="E146" s="1012" t="str">
        <f>VLOOKUP($B146,DG!A:D,DG!$B$2,)</f>
        <v>06.3231</v>
      </c>
      <c r="F146" s="1013" t="str">
        <f>VLOOKUP($B146,DG!A:D,DG!$C$2,)&amp;": CD 90-280"</f>
        <v>Cổ dê kẹp ống PVC  21: CD 90-280</v>
      </c>
      <c r="G146" s="1012" t="str">
        <f>VLOOKUP($B146,DG!A:D,DG!$D$2,)</f>
        <v>bộ</v>
      </c>
      <c r="H146" s="1100">
        <f>H136*0.452*0</f>
        <v>0</v>
      </c>
      <c r="I146" s="1192">
        <f t="shared" si="4"/>
        <v>0</v>
      </c>
      <c r="J146" s="1041"/>
      <c r="K146" s="1041"/>
      <c r="L146" s="1015"/>
      <c r="M146" s="934">
        <v>25</v>
      </c>
    </row>
    <row r="147" spans="1:13" s="1016" customFormat="1" ht="25.2" hidden="1" customHeight="1">
      <c r="A147" s="1086">
        <f t="shared" si="3"/>
        <v>0</v>
      </c>
      <c r="B147" s="1087" t="s">
        <v>525</v>
      </c>
      <c r="C147" s="2842"/>
      <c r="D147" s="1043"/>
      <c r="E147" s="1012" t="str">
        <f>VLOOKUP($B147,DG!A:D,DG!$B$2,)</f>
        <v>06.3231</v>
      </c>
      <c r="F147" s="1013" t="str">
        <f>VLOOKUP($B147,DG!A:D,DG!$C$2,)&amp;": CD 90-320"</f>
        <v>Cổ dê kẹp ống PVC  21: CD 90-320</v>
      </c>
      <c r="G147" s="1012" t="str">
        <f>VLOOKUP($B147,DG!A:D,DG!$D$2,)</f>
        <v>bộ</v>
      </c>
      <c r="H147" s="1100">
        <f>H136*0.501*0</f>
        <v>0</v>
      </c>
      <c r="I147" s="1192">
        <f t="shared" si="4"/>
        <v>0</v>
      </c>
      <c r="J147" s="1041"/>
      <c r="K147" s="1041"/>
      <c r="L147" s="1015"/>
      <c r="M147" s="934">
        <v>25</v>
      </c>
    </row>
    <row r="148" spans="1:13" s="1016" customFormat="1" ht="25.2" hidden="1" customHeight="1">
      <c r="A148" s="1086">
        <f t="shared" si="3"/>
        <v>0</v>
      </c>
      <c r="B148" s="1087" t="s">
        <v>1130</v>
      </c>
      <c r="C148" s="2842"/>
      <c r="D148" s="1043"/>
      <c r="E148" s="1012" t="str">
        <f>VLOOKUP($B148,DG!A:D,DG!$B$2,)</f>
        <v>06.2110</v>
      </c>
      <c r="F148" s="1013" t="str">
        <f>VLOOKUP($B148,DG!A:D,DG!$C$2,)&amp;": CD 90-320"</f>
        <v>Lắp cổ dê: CD 90-320</v>
      </c>
      <c r="G148" s="1012" t="str">
        <f>VLOOKUP($B148,DG!A:D,DG!$D$2,)</f>
        <v>bộ</v>
      </c>
      <c r="H148" s="1100">
        <f>H136*3*0</f>
        <v>0</v>
      </c>
      <c r="I148" s="1192">
        <f t="shared" si="4"/>
        <v>0</v>
      </c>
      <c r="J148" s="1041"/>
      <c r="K148" s="1041"/>
      <c r="L148" s="1015"/>
      <c r="M148" s="934">
        <v>25</v>
      </c>
    </row>
    <row r="149" spans="1:13" s="1016" customFormat="1" ht="25.2" hidden="1" customHeight="1">
      <c r="A149" s="1086">
        <f t="shared" si="3"/>
        <v>0</v>
      </c>
      <c r="B149" s="1087" t="s">
        <v>2019</v>
      </c>
      <c r="C149" s="2842"/>
      <c r="D149" s="1043"/>
      <c r="E149" s="1012">
        <f>VLOOKUP($B149,DG!A:D,DG!$B$2,)</f>
        <v>0</v>
      </c>
      <c r="F149" s="1013" t="str">
        <f>VLOOKUP($B149,DG!A:D,DG!$C$2,)</f>
        <v>Boulon 12x40+ 2 long đền vuông D14-50x50x3/Zn</v>
      </c>
      <c r="G149" s="1012" t="str">
        <f>VLOOKUP($B149,DG!A:D,DG!$D$2,)</f>
        <v>bộ</v>
      </c>
      <c r="H149" s="1100">
        <f>H136*6*0</f>
        <v>0</v>
      </c>
      <c r="I149" s="1192">
        <f t="shared" si="4"/>
        <v>0</v>
      </c>
      <c r="J149" s="1041"/>
      <c r="K149" s="1041"/>
      <c r="L149" s="1015"/>
      <c r="M149" s="934">
        <v>25</v>
      </c>
    </row>
    <row r="150" spans="1:13" s="1016" customFormat="1" ht="25.2" hidden="1" customHeight="1">
      <c r="A150" s="1086">
        <f t="shared" si="3"/>
        <v>0</v>
      </c>
      <c r="B150" s="1087" t="s">
        <v>902</v>
      </c>
      <c r="C150" s="2842"/>
      <c r="D150" s="1043"/>
      <c r="E150" s="1012" t="str">
        <f>VLOOKUP($B150,DG!A:D,DG!$B$2,)</f>
        <v>04.7001</v>
      </c>
      <c r="F150" s="1013" t="str">
        <f>VLOOKUP($B150,DG!A:D,DG!$C$2,)</f>
        <v>Đóng cọc tiếp địa trong TBA</v>
      </c>
      <c r="G150" s="1012" t="str">
        <f>VLOOKUP($B150,DG!A:D,DG!$D$2,)</f>
        <v>cọc</v>
      </c>
      <c r="H150" s="1100">
        <f>H139</f>
        <v>0</v>
      </c>
      <c r="I150" s="1192">
        <f t="shared" si="4"/>
        <v>0</v>
      </c>
      <c r="J150" s="1041"/>
      <c r="K150" s="1041"/>
      <c r="L150" s="1015"/>
      <c r="M150" s="934">
        <v>25</v>
      </c>
    </row>
    <row r="151" spans="1:13" s="1016" customFormat="1" ht="25.2" hidden="1" customHeight="1">
      <c r="A151" s="1086">
        <f t="shared" si="3"/>
        <v>0</v>
      </c>
      <c r="B151" s="1087" t="s">
        <v>2183</v>
      </c>
      <c r="C151" s="2842"/>
      <c r="D151" s="1043"/>
      <c r="E151" s="1012" t="str">
        <f>VLOOKUP($B151,DG!A:D,DG!$B$2,)</f>
        <v>04.7002</v>
      </c>
      <c r="F151" s="1013" t="str">
        <f>VLOOKUP($B151,DG!A:D,DG!$C$2,)</f>
        <v>Kéo dây tiếp địa trong TBA</v>
      </c>
      <c r="G151" s="1012" t="str">
        <f>VLOOKUP($B151,DG!A:D,DG!$D$2,)</f>
        <v>kg</v>
      </c>
      <c r="H151" s="1100">
        <v>58</v>
      </c>
      <c r="I151" s="1192">
        <f t="shared" si="4"/>
        <v>0</v>
      </c>
      <c r="J151" s="1041"/>
      <c r="K151" s="1041"/>
      <c r="L151" s="1015"/>
      <c r="M151" s="934">
        <v>25</v>
      </c>
    </row>
    <row r="152" spans="1:13" s="1016" customFormat="1" ht="25.2" hidden="1" customHeight="1">
      <c r="A152" s="1086">
        <f t="shared" si="3"/>
        <v>0</v>
      </c>
      <c r="B152" s="1231" t="str">
        <f>"dtd"&amp;chitiet!G5</f>
        <v>dtd3</v>
      </c>
      <c r="C152" s="2844"/>
      <c r="D152" s="1043"/>
      <c r="E152" s="1012" t="str">
        <f>VLOOKUP($B152,DG!A:D,DG!$B$2,)</f>
        <v>03.3123</v>
      </c>
      <c r="F152" s="1013" t="str">
        <f>VLOOKUP($B152,DG!A:D,DG!$C$2,)</f>
        <v>Đào rãnh tiếp địa đất cấp 3</v>
      </c>
      <c r="G152" s="1012" t="str">
        <f>VLOOKUP($B152,DG!A:D,DG!$D$2,)</f>
        <v>m3</v>
      </c>
      <c r="H152" s="1100">
        <v>8.64</v>
      </c>
      <c r="I152" s="1192">
        <f t="shared" si="4"/>
        <v>0</v>
      </c>
      <c r="J152" s="1041"/>
      <c r="K152" s="1041"/>
      <c r="L152" s="1015"/>
      <c r="M152" s="934">
        <v>25</v>
      </c>
    </row>
    <row r="153" spans="1:13" s="1016" customFormat="1" ht="25.2" hidden="1" customHeight="1">
      <c r="A153" s="1086">
        <f t="shared" si="3"/>
        <v>0</v>
      </c>
      <c r="B153" s="1087" t="str">
        <f>"datd"&amp;chitiet!G5</f>
        <v>datd3</v>
      </c>
      <c r="C153" s="2842"/>
      <c r="D153" s="1043"/>
      <c r="E153" s="1012" t="str">
        <f>VLOOKUP($B153,DG!A:D,DG!$B$2,)</f>
        <v>03.4123</v>
      </c>
      <c r="F153" s="1013" t="str">
        <f>VLOOKUP($B153,DG!A:D,DG!$C$2,)</f>
        <v>Đắp đất rãnh tiếp độ chặt k=0,85</v>
      </c>
      <c r="G153" s="1012" t="str">
        <f>VLOOKUP($B153,DG!A:D,DG!$D$2,)</f>
        <v>m3</v>
      </c>
      <c r="H153" s="1100">
        <f>H152</f>
        <v>8.64</v>
      </c>
      <c r="I153" s="1192">
        <f t="shared" si="4"/>
        <v>0</v>
      </c>
      <c r="J153" s="1041"/>
      <c r="K153" s="1041"/>
      <c r="L153" s="1015"/>
      <c r="M153" s="934">
        <v>25</v>
      </c>
    </row>
    <row r="154" spans="1:13" s="1016" customFormat="1" ht="25.2" hidden="1" customHeight="1">
      <c r="A154" s="1086">
        <f t="shared" ref="A154:A217" si="6">IF(AND(M154=$M$23,I154&gt;0),1,0)</f>
        <v>0</v>
      </c>
      <c r="B154" s="1231"/>
      <c r="C154" s="2844"/>
      <c r="D154" s="1099">
        <f>IF(H154&gt;0,D136+1,D136)</f>
        <v>0</v>
      </c>
      <c r="E154" s="1118"/>
      <c r="F154" s="1119" t="s">
        <v>3680</v>
      </c>
      <c r="G154" s="1099" t="s">
        <v>2385</v>
      </c>
      <c r="H154" s="1707">
        <f>H128</f>
        <v>0</v>
      </c>
      <c r="I154" s="1192">
        <f t="shared" si="4"/>
        <v>0</v>
      </c>
      <c r="J154" s="1064"/>
      <c r="K154" s="1064"/>
      <c r="L154" s="1015"/>
      <c r="M154" s="934">
        <v>25</v>
      </c>
    </row>
    <row r="155" spans="1:13" s="1016" customFormat="1" ht="25.2" hidden="1" customHeight="1">
      <c r="A155" s="1086">
        <f t="shared" si="6"/>
        <v>0</v>
      </c>
      <c r="B155" s="1231"/>
      <c r="C155" s="2844"/>
      <c r="D155" s="1099"/>
      <c r="E155" s="1118"/>
      <c r="F155" s="1265" t="s">
        <v>2279</v>
      </c>
      <c r="G155" s="1043"/>
      <c r="H155" s="1100"/>
      <c r="I155" s="1192">
        <f t="shared" si="4"/>
        <v>0</v>
      </c>
      <c r="J155" s="1064"/>
      <c r="K155" s="1064"/>
      <c r="L155" s="1015"/>
      <c r="M155" s="934">
        <v>25</v>
      </c>
    </row>
    <row r="156" spans="1:13" s="1016" customFormat="1" ht="25.2" hidden="1" customHeight="1">
      <c r="A156" s="1086">
        <f t="shared" si="6"/>
        <v>0</v>
      </c>
      <c r="B156" s="1233" t="s">
        <v>616</v>
      </c>
      <c r="C156" s="2843"/>
      <c r="D156" s="1043"/>
      <c r="E156" s="1012" t="str">
        <f>VLOOKUP($B156,DG!A:D,DG!$B$2,)</f>
        <v>05.1001</v>
      </c>
      <c r="F156" s="1013" t="str">
        <f>VLOOKUP($B156,DG!A:D,DG!$C$2,)</f>
        <v>Tủ CB trạm 1 pha + khóa + boulon</v>
      </c>
      <c r="G156" s="1012" t="str">
        <f>VLOOKUP($B156,DG!A:D,DG!$D$2,)</f>
        <v>cái</v>
      </c>
      <c r="H156" s="1100">
        <f>H154</f>
        <v>0</v>
      </c>
      <c r="I156" s="1192">
        <f t="shared" si="4"/>
        <v>0</v>
      </c>
      <c r="J156" s="1041"/>
      <c r="K156" s="1041"/>
      <c r="L156" s="1015"/>
      <c r="M156" s="934">
        <v>25</v>
      </c>
    </row>
    <row r="157" spans="1:13" s="1016" customFormat="1" ht="25.2" hidden="1" customHeight="1">
      <c r="A157" s="1086">
        <f t="shared" si="6"/>
        <v>0</v>
      </c>
      <c r="B157" s="1231" t="s">
        <v>879</v>
      </c>
      <c r="C157" s="2844"/>
      <c r="D157" s="1043"/>
      <c r="E157" s="1012" t="str">
        <f>VLOOKUP($B157,DG!A:D,DG!$B$2,)</f>
        <v>06.3231</v>
      </c>
      <c r="F157" s="1013" t="str">
        <f>VLOOKUP($B157,DG!A:D,DG!$C$2,)</f>
        <v>Cổ dê bắt tủ</v>
      </c>
      <c r="G157" s="1012" t="str">
        <f>VLOOKUP($B157,DG!A:D,DG!$D$2,)</f>
        <v>bộ</v>
      </c>
      <c r="H157" s="1100">
        <f>H154*2</f>
        <v>0</v>
      </c>
      <c r="I157" s="1192">
        <f t="shared" ref="I157:I224" si="7">IF(M157=$M$23,H157+J157-K157,0)</f>
        <v>0</v>
      </c>
      <c r="J157" s="1041"/>
      <c r="K157" s="1041"/>
      <c r="L157" s="1015"/>
      <c r="M157" s="934">
        <v>25</v>
      </c>
    </row>
    <row r="158" spans="1:13" s="1016" customFormat="1" ht="25.2" hidden="1" customHeight="1">
      <c r="A158" s="1086">
        <f t="shared" si="6"/>
        <v>0</v>
      </c>
      <c r="B158" s="1231" t="s">
        <v>880</v>
      </c>
      <c r="C158" s="2844"/>
      <c r="D158" s="1043"/>
      <c r="E158" s="1012">
        <f>VLOOKUP($B158,DG!A:D,DG!$B$2,)</f>
        <v>0</v>
      </c>
      <c r="F158" s="1013" t="str">
        <f>VLOOKUP($B158,DG!A:D,DG!$C$2,)</f>
        <v xml:space="preserve">Bakelit 550x450 dầy 10mm </v>
      </c>
      <c r="G158" s="1012" t="str">
        <f>VLOOKUP($B158,DG!A:D,DG!$D$2,)</f>
        <v>cái</v>
      </c>
      <c r="H158" s="1100">
        <v>2</v>
      </c>
      <c r="I158" s="1192">
        <f t="shared" si="7"/>
        <v>0</v>
      </c>
      <c r="J158" s="1041"/>
      <c r="K158" s="1041">
        <v>1</v>
      </c>
      <c r="L158" s="1015"/>
      <c r="M158" s="934">
        <v>25</v>
      </c>
    </row>
    <row r="159" spans="1:13" s="1016" customFormat="1" ht="25.2" hidden="1" customHeight="1">
      <c r="A159" s="1086">
        <f t="shared" si="6"/>
        <v>0</v>
      </c>
      <c r="B159" s="1231" t="s">
        <v>138</v>
      </c>
      <c r="C159" s="2844"/>
      <c r="D159" s="1043"/>
      <c r="E159" s="1012">
        <f>VLOOKUP($B159,DG!A:D,DG!$B$2,)</f>
        <v>0</v>
      </c>
      <c r="F159" s="1013" t="str">
        <f>VLOOKUP($B159,DG!A:D,DG!$C$2,)</f>
        <v>Boulon 12x40+ 2 long đền vuông D14-50x50x3/Zn</v>
      </c>
      <c r="G159" s="1012" t="str">
        <f>VLOOKUP($B159,DG!A:D,DG!$D$2,)</f>
        <v>bộ</v>
      </c>
      <c r="H159" s="1100">
        <f>H154*4*0</f>
        <v>0</v>
      </c>
      <c r="I159" s="1192">
        <f t="shared" si="7"/>
        <v>0</v>
      </c>
      <c r="J159" s="1041"/>
      <c r="K159" s="1041"/>
      <c r="L159" s="1015"/>
      <c r="M159" s="934">
        <v>25</v>
      </c>
    </row>
    <row r="160" spans="1:13" s="1016" customFormat="1" ht="25.2" hidden="1" customHeight="1">
      <c r="A160" s="1086">
        <f t="shared" si="6"/>
        <v>0</v>
      </c>
      <c r="B160" s="1231"/>
      <c r="C160" s="2844"/>
      <c r="D160" s="1099">
        <f>IF(H160&gt;0,D154+1,D154)</f>
        <v>0</v>
      </c>
      <c r="E160" s="1118"/>
      <c r="F160" s="1130" t="s">
        <v>3681</v>
      </c>
      <c r="G160" s="1099" t="s">
        <v>2385</v>
      </c>
      <c r="H160" s="1707">
        <f>I7</f>
        <v>0</v>
      </c>
      <c r="I160" s="1192">
        <f t="shared" si="7"/>
        <v>0</v>
      </c>
      <c r="J160" s="1064"/>
      <c r="K160" s="1064"/>
      <c r="L160" s="1015"/>
      <c r="M160" s="934">
        <v>25</v>
      </c>
    </row>
    <row r="161" spans="1:13" s="1016" customFormat="1" ht="25.2" hidden="1" customHeight="1">
      <c r="A161" s="1086">
        <f t="shared" si="6"/>
        <v>0</v>
      </c>
      <c r="B161" s="1231"/>
      <c r="C161" s="2844"/>
      <c r="D161" s="1099"/>
      <c r="E161" s="1118"/>
      <c r="F161" s="1265" t="s">
        <v>2279</v>
      </c>
      <c r="G161" s="1043"/>
      <c r="H161" s="1100"/>
      <c r="I161" s="1192">
        <f t="shared" si="7"/>
        <v>0</v>
      </c>
      <c r="J161" s="1064"/>
      <c r="K161" s="1064"/>
      <c r="L161" s="1015"/>
      <c r="M161" s="934">
        <v>25</v>
      </c>
    </row>
    <row r="162" spans="1:13" s="1016" customFormat="1" ht="25.2" hidden="1" customHeight="1">
      <c r="A162" s="1086">
        <f t="shared" si="6"/>
        <v>0</v>
      </c>
      <c r="B162" s="1229" t="s">
        <v>4449</v>
      </c>
      <c r="C162" s="2842"/>
      <c r="D162" s="1043"/>
      <c r="E162" s="1012">
        <f>VLOOKUP($B162,DG!A:D,DG!$B$2,)</f>
        <v>0</v>
      </c>
      <c r="F162" s="1013" t="str">
        <f>VLOOKUP($B162,DG!A:D,DG!$C$2,)</f>
        <v>Cáp 24KV C/XLPE/PVC 25mm2</v>
      </c>
      <c r="G162" s="1012" t="str">
        <f>VLOOKUP($B162,DG!A:D,DG!$D$2,)</f>
        <v>mét</v>
      </c>
      <c r="H162" s="1100">
        <v>4</v>
      </c>
      <c r="I162" s="1192">
        <f t="shared" si="7"/>
        <v>0</v>
      </c>
      <c r="J162" s="1041"/>
      <c r="K162" s="1041"/>
      <c r="L162" s="1015"/>
      <c r="M162" s="934">
        <v>25</v>
      </c>
    </row>
    <row r="163" spans="1:13" s="1016" customFormat="1" ht="25.2" hidden="1" customHeight="1">
      <c r="A163" s="1086">
        <f t="shared" si="6"/>
        <v>0</v>
      </c>
      <c r="B163" s="1087" t="s">
        <v>1479</v>
      </c>
      <c r="C163" s="2842"/>
      <c r="D163" s="1043"/>
      <c r="E163" s="1012" t="str">
        <f>VLOOKUP($B163,DG!A:D,DG!$B$2,)</f>
        <v>04.3007</v>
      </c>
      <c r="F163" s="1013" t="str">
        <f>VLOOKUP($B163,DG!A:D,DG!$C$2,)</f>
        <v>Kẹp quai 2/0</v>
      </c>
      <c r="G163" s="1012" t="str">
        <f>VLOOKUP($B163,DG!A:D,DG!$D$2,)</f>
        <v>cái</v>
      </c>
      <c r="H163" s="1100">
        <f>H160</f>
        <v>0</v>
      </c>
      <c r="I163" s="1192">
        <f t="shared" si="7"/>
        <v>0</v>
      </c>
      <c r="J163" s="1041"/>
      <c r="K163" s="1041"/>
      <c r="L163" s="1015"/>
      <c r="M163" s="934">
        <v>25</v>
      </c>
    </row>
    <row r="164" spans="1:13" s="1016" customFormat="1" ht="25.2" hidden="1" customHeight="1">
      <c r="A164" s="1086">
        <f t="shared" si="6"/>
        <v>0</v>
      </c>
      <c r="B164" s="1087" t="s">
        <v>1477</v>
      </c>
      <c r="C164" s="2842"/>
      <c r="D164" s="1043"/>
      <c r="E164" s="1012" t="str">
        <f>VLOOKUP($B164,DG!A:D,DG!$B$2,)</f>
        <v>04.3007</v>
      </c>
      <c r="F164" s="1013" t="str">
        <f>VLOOKUP($B164,DG!A:D,DG!$C$2,)</f>
        <v>Kẹp hotline 2/0</v>
      </c>
      <c r="G164" s="1012" t="str">
        <f>VLOOKUP($B164,DG!A:D,DG!$D$2,)</f>
        <v>cái</v>
      </c>
      <c r="H164" s="1100">
        <f>H156</f>
        <v>0</v>
      </c>
      <c r="I164" s="1192">
        <f>IF(M164=$M$23,H164+J164-K164,0)</f>
        <v>0</v>
      </c>
      <c r="J164" s="1041"/>
      <c r="K164" s="1041"/>
      <c r="L164" s="1015"/>
      <c r="M164" s="934">
        <v>25</v>
      </c>
    </row>
    <row r="165" spans="1:13" s="1016" customFormat="1" ht="25.2" hidden="1" customHeight="1">
      <c r="A165" s="1086">
        <f t="shared" si="6"/>
        <v>0</v>
      </c>
      <c r="B165" s="1087" t="s">
        <v>4537</v>
      </c>
      <c r="C165" s="2842"/>
      <c r="D165" s="1043"/>
      <c r="E165" s="1012">
        <f>VLOOKUP($B165,DG!A:D,DG!$B$2,)</f>
        <v>0</v>
      </c>
      <c r="F165" s="1013" t="str">
        <f>VLOOKUP($B165,DG!A:D,DG!$C$2,)</f>
        <v>Chụp cách điện kẹp quai</v>
      </c>
      <c r="G165" s="1012" t="str">
        <f>VLOOKUP($B165,DG!A:D,DG!$D$2,)</f>
        <v>cái</v>
      </c>
      <c r="H165" s="1100">
        <f>H160</f>
        <v>0</v>
      </c>
      <c r="I165" s="1192">
        <f>IF(M165=$M$23,H165+J165-K165,0)</f>
        <v>0</v>
      </c>
      <c r="J165" s="1041"/>
      <c r="K165" s="1041"/>
      <c r="L165" s="1015"/>
      <c r="M165" s="934">
        <v>25</v>
      </c>
    </row>
    <row r="166" spans="1:13" s="1016" customFormat="1" ht="25.2" hidden="1" customHeight="1">
      <c r="A166" s="1086">
        <f t="shared" si="6"/>
        <v>0</v>
      </c>
      <c r="B166" s="1087" t="s">
        <v>381</v>
      </c>
      <c r="C166" s="2842"/>
      <c r="D166" s="1043"/>
      <c r="E166" s="1012">
        <f>VLOOKUP($B166,DG!A:D,DG!$B$2,)</f>
        <v>0</v>
      </c>
      <c r="F166" s="1013" t="str">
        <f>VLOOKUP($B166,DG!A:D,DG!$C$2,)</f>
        <v>Chụp đầu cực FCO (bộ 2 cái)</v>
      </c>
      <c r="G166" s="1012" t="str">
        <f>VLOOKUP($B166,DG!A:D,DG!$D$2,)</f>
        <v>bộ</v>
      </c>
      <c r="H166" s="1100">
        <f>H163</f>
        <v>0</v>
      </c>
      <c r="I166" s="1192">
        <f>IF(M166=$M$23,H166+J166-K166,0)</f>
        <v>0</v>
      </c>
      <c r="J166" s="1041"/>
      <c r="K166" s="1041"/>
      <c r="L166" s="1015"/>
      <c r="M166" s="934">
        <v>25</v>
      </c>
    </row>
    <row r="167" spans="1:13" s="1016" customFormat="1" ht="25.2" hidden="1" customHeight="1">
      <c r="A167" s="1086">
        <f t="shared" si="6"/>
        <v>0</v>
      </c>
      <c r="B167" s="1087" t="s">
        <v>379</v>
      </c>
      <c r="C167" s="2842"/>
      <c r="D167" s="1043"/>
      <c r="E167" s="1012">
        <f>VLOOKUP($B167,DG!A:D,DG!$B$2,)</f>
        <v>0</v>
      </c>
      <c r="F167" s="1013" t="str">
        <f>VLOOKUP($B167,DG!A:D,DG!$C$2,)</f>
        <v>Chụp đầu cực LA</v>
      </c>
      <c r="G167" s="1012" t="str">
        <f>VLOOKUP($B167,DG!A:D,DG!$D$2,)</f>
        <v>cái</v>
      </c>
      <c r="H167" s="1100">
        <v>1</v>
      </c>
      <c r="I167" s="1192">
        <f>IF(M167=$M$23,H167+J167-K167,0)</f>
        <v>0</v>
      </c>
      <c r="J167" s="1041"/>
      <c r="K167" s="1041"/>
      <c r="L167" s="1015"/>
      <c r="M167" s="934">
        <v>25</v>
      </c>
    </row>
    <row r="168" spans="1:13" s="1016" customFormat="1" ht="25.2" hidden="1" customHeight="1">
      <c r="A168" s="1086">
        <f t="shared" si="6"/>
        <v>0</v>
      </c>
      <c r="B168" s="1087" t="s">
        <v>380</v>
      </c>
      <c r="C168" s="2842"/>
      <c r="D168" s="1043"/>
      <c r="E168" s="1012">
        <f>VLOOKUP($B168,DG!A:D,DG!$B$2,)</f>
        <v>0</v>
      </c>
      <c r="F168" s="1013" t="str">
        <f>VLOOKUP($B168,DG!A:D,DG!$C$2,)</f>
        <v>Chụp đầu MBA</v>
      </c>
      <c r="G168" s="1012" t="str">
        <f>VLOOKUP($B168,DG!A:D,DG!$D$2,)</f>
        <v>cái</v>
      </c>
      <c r="H168" s="1100">
        <f>H160</f>
        <v>0</v>
      </c>
      <c r="I168" s="1192">
        <f t="shared" si="7"/>
        <v>0</v>
      </c>
      <c r="J168" s="1041"/>
      <c r="K168" s="1041"/>
      <c r="L168" s="1015"/>
      <c r="M168" s="934">
        <v>25</v>
      </c>
    </row>
    <row r="169" spans="1:13" s="1016" customFormat="1" ht="25.2" hidden="1" customHeight="1">
      <c r="A169" s="1086">
        <f t="shared" si="6"/>
        <v>0</v>
      </c>
      <c r="B169" s="1087" t="s">
        <v>696</v>
      </c>
      <c r="C169" s="2842"/>
      <c r="D169" s="1043"/>
      <c r="E169" s="1012">
        <f>VLOOKUP($B169,DG!A:D,DG!$B$2,)</f>
        <v>0</v>
      </c>
      <c r="F169" s="1013" t="str">
        <f>VLOOKUP($B169,DG!A:D,DG!$C$2,)</f>
        <v xml:space="preserve">Sứ đứng 24KV </v>
      </c>
      <c r="G169" s="1012" t="str">
        <f>VLOOKUP($B169,DG!A:D,DG!$D$2,)</f>
        <v>cái</v>
      </c>
      <c r="H169" s="1100"/>
      <c r="I169" s="1192">
        <f t="shared" si="7"/>
        <v>0</v>
      </c>
      <c r="J169" s="1041"/>
      <c r="K169" s="1041"/>
      <c r="L169" s="1015"/>
      <c r="M169" s="934">
        <v>25</v>
      </c>
    </row>
    <row r="170" spans="1:13" s="1016" customFormat="1" ht="25.2" hidden="1" customHeight="1">
      <c r="A170" s="1086">
        <f t="shared" si="6"/>
        <v>0</v>
      </c>
      <c r="B170" s="1087" t="s">
        <v>1265</v>
      </c>
      <c r="C170" s="2842"/>
      <c r="D170" s="1043"/>
      <c r="E170" s="1012">
        <f>VLOOKUP($B170,DG!A:D,DG!$B$2,)</f>
        <v>0</v>
      </c>
      <c r="F170" s="1013" t="str">
        <f>VLOOKUP($B170,DG!A:D,DG!$C$2,)</f>
        <v>Chân sứ đứng D20</v>
      </c>
      <c r="G170" s="1012" t="str">
        <f>VLOOKUP($B170,DG!A:D,DG!$D$2,)</f>
        <v>cái</v>
      </c>
      <c r="H170" s="1100">
        <f>H169</f>
        <v>0</v>
      </c>
      <c r="I170" s="1192">
        <f t="shared" si="7"/>
        <v>0</v>
      </c>
      <c r="J170" s="1041"/>
      <c r="K170" s="1041"/>
      <c r="L170" s="1015"/>
      <c r="M170" s="934">
        <v>25</v>
      </c>
    </row>
    <row r="171" spans="1:13" s="1016" customFormat="1" ht="25.2" hidden="1" customHeight="1">
      <c r="A171" s="1086">
        <f t="shared" si="6"/>
        <v>0</v>
      </c>
      <c r="B171" s="1087" t="s">
        <v>347</v>
      </c>
      <c r="C171" s="2842"/>
      <c r="D171" s="1043"/>
      <c r="E171" s="1012" t="str">
        <f>VLOOKUP($B171,DG!A:D,DG!$B$2,)</f>
        <v>06.1115</v>
      </c>
      <c r="F171" s="1013" t="str">
        <f>VLOOKUP($B171,DG!A:D,DG!$C$2,)</f>
        <v>Lắp sứ đứng 24KV</v>
      </c>
      <c r="G171" s="1012" t="str">
        <f>VLOOKUP($B171,DG!A:D,DG!$D$2,)</f>
        <v>bộ</v>
      </c>
      <c r="H171" s="1100">
        <f>H170</f>
        <v>0</v>
      </c>
      <c r="I171" s="1192">
        <f t="shared" si="7"/>
        <v>0</v>
      </c>
      <c r="J171" s="1041"/>
      <c r="K171" s="1041"/>
      <c r="L171" s="1015"/>
      <c r="M171" s="934">
        <v>25</v>
      </c>
    </row>
    <row r="172" spans="1:13" s="1016" customFormat="1" ht="25.2" hidden="1" customHeight="1">
      <c r="A172" s="1086">
        <f t="shared" si="6"/>
        <v>0</v>
      </c>
      <c r="B172" s="1087" t="s">
        <v>1525</v>
      </c>
      <c r="C172" s="2842"/>
      <c r="D172" s="1043"/>
      <c r="E172" s="1012" t="str">
        <f>VLOOKUP($B172,DG!A:D,DG!$B$2,)</f>
        <v>04.4201</v>
      </c>
      <c r="F172" s="1013" t="str">
        <f>VLOOKUP($B172,DG!A:D,DG!$C$2,)</f>
        <v>Lắp cáp đồng xuống thiết bị D ≤ 95mm2</v>
      </c>
      <c r="G172" s="1012" t="str">
        <f>VLOOKUP($B172,DG!A:D,DG!$D$2,)</f>
        <v>m</v>
      </c>
      <c r="H172" s="1100">
        <f>H162</f>
        <v>4</v>
      </c>
      <c r="I172" s="1192">
        <f t="shared" si="7"/>
        <v>0</v>
      </c>
      <c r="J172" s="1041"/>
      <c r="K172" s="1041"/>
      <c r="L172" s="1015"/>
      <c r="M172" s="934">
        <v>25</v>
      </c>
    </row>
    <row r="173" spans="1:13" s="1016" customFormat="1" ht="25.2" hidden="1" customHeight="1">
      <c r="A173" s="1086">
        <f t="shared" si="6"/>
        <v>0</v>
      </c>
      <c r="B173" s="1231"/>
      <c r="C173" s="2844"/>
      <c r="D173" s="1099">
        <f>IF(H173&gt;0,D160+1,D160)</f>
        <v>0</v>
      </c>
      <c r="E173" s="1118"/>
      <c r="F173" s="1130" t="s">
        <v>3682</v>
      </c>
      <c r="G173" s="1099" t="s">
        <v>2385</v>
      </c>
      <c r="H173" s="1707">
        <f>H105</f>
        <v>0</v>
      </c>
      <c r="I173" s="1192">
        <f t="shared" si="7"/>
        <v>0</v>
      </c>
      <c r="J173" s="1064"/>
      <c r="K173" s="1064"/>
      <c r="L173" s="1015"/>
      <c r="M173" s="934">
        <v>25</v>
      </c>
    </row>
    <row r="174" spans="1:13" s="1016" customFormat="1" ht="25.2" hidden="1" customHeight="1">
      <c r="A174" s="1086">
        <f t="shared" si="6"/>
        <v>0</v>
      </c>
      <c r="B174" s="1231"/>
      <c r="C174" s="2844"/>
      <c r="D174" s="1099"/>
      <c r="E174" s="1118"/>
      <c r="F174" s="1265" t="s">
        <v>2279</v>
      </c>
      <c r="G174" s="1099"/>
      <c r="H174" s="1707"/>
      <c r="I174" s="1192">
        <f t="shared" si="7"/>
        <v>0</v>
      </c>
      <c r="J174" s="1064"/>
      <c r="K174" s="1064"/>
      <c r="L174" s="1015"/>
      <c r="M174" s="934">
        <v>25</v>
      </c>
    </row>
    <row r="175" spans="1:13" s="1016" customFormat="1" ht="25.2" hidden="1" customHeight="1">
      <c r="A175" s="1086">
        <f t="shared" si="6"/>
        <v>0</v>
      </c>
      <c r="B175" s="1231" t="s">
        <v>237</v>
      </c>
      <c r="C175" s="2844"/>
      <c r="D175" s="1099"/>
      <c r="E175" s="1012">
        <f>VLOOKUP($B175,DG!A:D,DG!$B$2,)</f>
        <v>0</v>
      </c>
      <c r="F175" s="1013" t="str">
        <f>VLOOKUP($B175,DG!A:D,DG!$C$2,)</f>
        <v>Cáp đồng bọc CV70</v>
      </c>
      <c r="G175" s="1012" t="str">
        <f>VLOOKUP($B175,DG!A:D,DG!$D$2,)</f>
        <v>mét</v>
      </c>
      <c r="H175" s="1100">
        <f>H173*20</f>
        <v>0</v>
      </c>
      <c r="I175" s="1192">
        <f t="shared" si="7"/>
        <v>0</v>
      </c>
      <c r="J175" s="1041"/>
      <c r="K175" s="1041"/>
      <c r="L175" s="1015"/>
      <c r="M175" s="934">
        <v>25</v>
      </c>
    </row>
    <row r="176" spans="1:13" s="1016" customFormat="1" ht="25.2" hidden="1" customHeight="1">
      <c r="A176" s="1086">
        <f t="shared" si="6"/>
        <v>0</v>
      </c>
      <c r="B176" s="1231" t="s">
        <v>4518</v>
      </c>
      <c r="C176" s="2844"/>
      <c r="D176" s="1099"/>
      <c r="E176" s="1012" t="str">
        <f>VLOOKUP($B176,DG!A:D,DG!$B$2,)</f>
        <v>03.1401</v>
      </c>
      <c r="F176" s="1013" t="str">
        <f>VLOOKUP($B176,DG!A:D,DG!$C$2,)</f>
        <v xml:space="preserve">Cáp CVV 4x4mm2  </v>
      </c>
      <c r="G176" s="1012" t="str">
        <f>VLOOKUP($B176,DG!A:D,DG!$D$2,)</f>
        <v>mét</v>
      </c>
      <c r="H176" s="1100">
        <f>2*H173</f>
        <v>0</v>
      </c>
      <c r="I176" s="1192">
        <f t="shared" si="7"/>
        <v>0</v>
      </c>
      <c r="J176" s="1041"/>
      <c r="K176" s="1041"/>
      <c r="L176" s="1015"/>
      <c r="M176" s="934">
        <v>25</v>
      </c>
    </row>
    <row r="177" spans="1:13" s="1016" customFormat="1" ht="25.2" hidden="1" customHeight="1">
      <c r="A177" s="1086">
        <f t="shared" si="6"/>
        <v>0</v>
      </c>
      <c r="B177" s="1231" t="str">
        <f>"Cos"&amp;RIGHT(B175,2)</f>
        <v>Cos70</v>
      </c>
      <c r="C177" s="2844"/>
      <c r="D177" s="1043"/>
      <c r="E177" s="1012" t="str">
        <f>VLOOKUP($B177,DG!A:D,DG!$B$2,)</f>
        <v>03.4003</v>
      </c>
      <c r="F177" s="1013" t="str">
        <f>VLOOKUP($B177,DG!A:D,DG!$C$2,)</f>
        <v>Đầu cosse ép Cu 70mm2</v>
      </c>
      <c r="G177" s="1012" t="str">
        <f>VLOOKUP($B177,DG!A:D,DG!$D$2,)</f>
        <v>cái</v>
      </c>
      <c r="H177" s="1100">
        <f>H173*2</f>
        <v>0</v>
      </c>
      <c r="I177" s="1192">
        <f t="shared" si="7"/>
        <v>0</v>
      </c>
      <c r="J177" s="1041"/>
      <c r="K177" s="1041"/>
      <c r="L177" s="1015"/>
      <c r="M177" s="934">
        <v>25</v>
      </c>
    </row>
    <row r="178" spans="1:13" s="1016" customFormat="1" ht="25.2" hidden="1" customHeight="1">
      <c r="A178" s="1086">
        <f t="shared" si="6"/>
        <v>0</v>
      </c>
      <c r="B178" s="1231" t="str">
        <f>"chCos"&amp;RIGHT(B175,2)</f>
        <v>chCos70</v>
      </c>
      <c r="C178" s="2844"/>
      <c r="D178" s="1043"/>
      <c r="E178" s="1012">
        <f>VLOOKUP($B178,DG!A:D,DG!$B$2,)</f>
        <v>0</v>
      </c>
      <c r="F178" s="1013" t="str">
        <f>VLOOKUP($B178,DG!A:D,DG!$C$2,)</f>
        <v>Chụp đầu cosse  70mm2</v>
      </c>
      <c r="G178" s="1012" t="str">
        <f>VLOOKUP($B178,DG!A:D,DG!$D$2,)</f>
        <v>cái</v>
      </c>
      <c r="H178" s="1100">
        <f>H173*2</f>
        <v>0</v>
      </c>
      <c r="I178" s="1192">
        <f t="shared" si="7"/>
        <v>0</v>
      </c>
      <c r="J178" s="1041"/>
      <c r="K178" s="1041"/>
      <c r="L178" s="1015"/>
      <c r="M178" s="934">
        <v>25</v>
      </c>
    </row>
    <row r="179" spans="1:13" s="1016" customFormat="1" ht="25.2" hidden="1" customHeight="1">
      <c r="A179" s="1086">
        <f t="shared" si="6"/>
        <v>0</v>
      </c>
      <c r="B179" s="1231" t="s">
        <v>1042</v>
      </c>
      <c r="C179" s="2844"/>
      <c r="D179" s="1043"/>
      <c r="E179" s="1012">
        <f>VLOOKUP($B179,DG!A:D,DG!$B$2,)</f>
        <v>0</v>
      </c>
      <c r="F179" s="1013" t="str">
        <f>VLOOKUP($B179,DG!A:D,DG!$C$2,)</f>
        <v xml:space="preserve">Ống PVC D114x4,9mm </v>
      </c>
      <c r="G179" s="1012" t="str">
        <f>VLOOKUP($B179,DG!A:D,DG!$D$2,)</f>
        <v>m</v>
      </c>
      <c r="H179" s="1100">
        <v>7</v>
      </c>
      <c r="I179" s="1192">
        <f t="shared" si="7"/>
        <v>0</v>
      </c>
      <c r="J179" s="1041"/>
      <c r="K179" s="1041"/>
      <c r="L179" s="1015"/>
      <c r="M179" s="934">
        <v>25</v>
      </c>
    </row>
    <row r="180" spans="1:13" s="1016" customFormat="1" ht="25.2" hidden="1" customHeight="1">
      <c r="A180" s="1086">
        <f t="shared" si="6"/>
        <v>0</v>
      </c>
      <c r="B180" s="1087" t="s">
        <v>1862</v>
      </c>
      <c r="C180" s="2842"/>
      <c r="D180" s="1043"/>
      <c r="E180" s="1012" t="str">
        <f>VLOOKUP($B180,DG!A:D,DG!$B$2,)</f>
        <v>06.3231</v>
      </c>
      <c r="F180" s="1013" t="str">
        <f>VLOOKUP($B180,DG!A:D,DG!$C$2,)&amp;": 2 bộ: CD 90-250"</f>
        <v>Cổ dê kẹp ống PVC Ø 114: 2 bộ: CD 90-250</v>
      </c>
      <c r="G180" s="1012" t="str">
        <f>VLOOKUP($B180,DG!A:D,DG!$D$2,)</f>
        <v>bộ</v>
      </c>
      <c r="H180" s="1100">
        <v>2</v>
      </c>
      <c r="I180" s="1192">
        <f t="shared" si="7"/>
        <v>0</v>
      </c>
      <c r="J180" s="1041"/>
      <c r="K180" s="1041"/>
      <c r="L180" s="1015"/>
      <c r="M180" s="934">
        <v>25</v>
      </c>
    </row>
    <row r="181" spans="1:13" s="1016" customFormat="1" ht="25.2" hidden="1" customHeight="1">
      <c r="A181" s="1086">
        <f t="shared" si="6"/>
        <v>0</v>
      </c>
      <c r="B181" s="1087" t="s">
        <v>1862</v>
      </c>
      <c r="C181" s="2842"/>
      <c r="D181" s="1043"/>
      <c r="E181" s="1012" t="str">
        <f>VLOOKUP($B181,DG!A:D,DG!$B$2,)</f>
        <v>06.3231</v>
      </c>
      <c r="F181" s="1013" t="str">
        <f>VLOOKUP($B181,DG!A:D,DG!$C$2,)&amp;": 2 bộ: CD 90-280"</f>
        <v>Cổ dê kẹp ống PVC Ø 114: 2 bộ: CD 90-280</v>
      </c>
      <c r="G181" s="1012" t="str">
        <f>VLOOKUP($B181,DG!A:D,DG!$D$2,)</f>
        <v>bộ</v>
      </c>
      <c r="H181" s="1100">
        <f>H173*0*2</f>
        <v>0</v>
      </c>
      <c r="I181" s="1192">
        <f t="shared" si="7"/>
        <v>0</v>
      </c>
      <c r="J181" s="1041"/>
      <c r="K181" s="1041"/>
      <c r="L181" s="1015"/>
      <c r="M181" s="934">
        <v>25</v>
      </c>
    </row>
    <row r="182" spans="1:13" s="1016" customFormat="1" ht="25.2" hidden="1" customHeight="1">
      <c r="A182" s="1086">
        <f t="shared" si="6"/>
        <v>0</v>
      </c>
      <c r="B182" s="1087" t="s">
        <v>1862</v>
      </c>
      <c r="C182" s="2842"/>
      <c r="D182" s="1043"/>
      <c r="E182" s="1012" t="str">
        <f>VLOOKUP($B182,DG!A:D,DG!$B$2,)</f>
        <v>06.3231</v>
      </c>
      <c r="F182" s="1013" t="str">
        <f>VLOOKUP($B182,DG!A:D,DG!$C$2,)&amp;": 2 bộ: CD 90-320"</f>
        <v>Cổ dê kẹp ống PVC Ø 114: 2 bộ: CD 90-320</v>
      </c>
      <c r="G182" s="1012" t="str">
        <f>VLOOKUP($B182,DG!A:D,DG!$D$2,)</f>
        <v>bộ</v>
      </c>
      <c r="H182" s="1100">
        <f>H173*0*2</f>
        <v>0</v>
      </c>
      <c r="I182" s="1192">
        <f t="shared" si="7"/>
        <v>0</v>
      </c>
      <c r="J182" s="1041"/>
      <c r="K182" s="1041"/>
      <c r="L182" s="1015"/>
      <c r="M182" s="934">
        <v>25</v>
      </c>
    </row>
    <row r="183" spans="1:13" s="1016" customFormat="1" ht="25.2" hidden="1" customHeight="1">
      <c r="A183" s="1086">
        <f t="shared" si="6"/>
        <v>0</v>
      </c>
      <c r="B183" s="1087" t="s">
        <v>1131</v>
      </c>
      <c r="C183" s="2842"/>
      <c r="D183" s="1043"/>
      <c r="E183" s="1012" t="str">
        <f>VLOOKUP($B183,DG!A:D,DG!$B$2,)</f>
        <v>06.2110</v>
      </c>
      <c r="F183" s="1013" t="str">
        <f>VLOOKUP($B183,DG!A:D,DG!$C$2,)&amp;": 2 bộ: CD 90-320"</f>
        <v>Lắp cổ dê: 2 bộ: CD 90-320</v>
      </c>
      <c r="G183" s="1012" t="str">
        <f>VLOOKUP($B183,DG!A:D,DG!$D$2,)</f>
        <v>bộ</v>
      </c>
      <c r="H183" s="1100">
        <f>H174*1.12*2</f>
        <v>0</v>
      </c>
      <c r="I183" s="1192">
        <f t="shared" si="7"/>
        <v>0</v>
      </c>
      <c r="J183" s="1041"/>
      <c r="K183" s="1041"/>
      <c r="L183" s="1015"/>
      <c r="M183" s="934">
        <v>25</v>
      </c>
    </row>
    <row r="184" spans="1:13" s="1016" customFormat="1" ht="25.2" hidden="1" customHeight="1">
      <c r="A184" s="1086">
        <f t="shared" si="6"/>
        <v>0</v>
      </c>
      <c r="B184" s="1087" t="s">
        <v>2019</v>
      </c>
      <c r="C184" s="2842"/>
      <c r="D184" s="1043"/>
      <c r="E184" s="1012">
        <f>VLOOKUP($B184,DG!A:D,DG!$B$2,)</f>
        <v>0</v>
      </c>
      <c r="F184" s="1013" t="str">
        <f>VLOOKUP($B184,DG!A:D,DG!$C$2,)</f>
        <v>Boulon 12x40+ 2 long đền vuông D14-50x50x3/Zn</v>
      </c>
      <c r="G184" s="1012" t="str">
        <f>VLOOKUP($B184,DG!A:D,DG!$D$2,)</f>
        <v>bộ</v>
      </c>
      <c r="H184" s="1100">
        <v>8</v>
      </c>
      <c r="I184" s="1192">
        <f t="shared" si="7"/>
        <v>0</v>
      </c>
      <c r="J184" s="1041"/>
      <c r="K184" s="1041"/>
      <c r="L184" s="1015"/>
      <c r="M184" s="934">
        <v>25</v>
      </c>
    </row>
    <row r="185" spans="1:13" s="1016" customFormat="1" ht="25.2" hidden="1" customHeight="1">
      <c r="A185" s="1086">
        <f t="shared" si="6"/>
        <v>0</v>
      </c>
      <c r="B185" s="1231" t="s">
        <v>1864</v>
      </c>
      <c r="C185" s="2844"/>
      <c r="D185" s="1043"/>
      <c r="E185" s="1012">
        <f>VLOOKUP($B185,DG!A:D,DG!$B$2,)</f>
        <v>0</v>
      </c>
      <c r="F185" s="1013" t="str">
        <f>VLOOKUP($B185,DG!A:D,DG!$C$2,)</f>
        <v>Co  90 độ PVC 114</v>
      </c>
      <c r="G185" s="1012" t="str">
        <f>VLOOKUP($B185,DG!A:D,DG!$D$2,)</f>
        <v>cái</v>
      </c>
      <c r="H185" s="1100">
        <f>2*H173</f>
        <v>0</v>
      </c>
      <c r="I185" s="1192">
        <f t="shared" si="7"/>
        <v>0</v>
      </c>
      <c r="J185" s="1041"/>
      <c r="K185" s="1041"/>
      <c r="L185" s="1015"/>
      <c r="M185" s="934">
        <v>25</v>
      </c>
    </row>
    <row r="186" spans="1:13" s="1016" customFormat="1" ht="25.2" hidden="1" customHeight="1">
      <c r="A186" s="1086">
        <f t="shared" si="6"/>
        <v>0</v>
      </c>
      <c r="B186" s="1231" t="s">
        <v>688</v>
      </c>
      <c r="C186" s="2844"/>
      <c r="D186" s="1043"/>
      <c r="E186" s="1012">
        <f>VLOOKUP($B186,DG!A:D,DG!$B$2,)</f>
        <v>0</v>
      </c>
      <c r="F186" s="1013" t="str">
        <f>VLOOKUP($B186,DG!A:D,DG!$C$2,)</f>
        <v>Nối ống PVC 114</v>
      </c>
      <c r="G186" s="1012" t="str">
        <f>VLOOKUP($B186,DG!A:D,DG!$D$2,)</f>
        <v>cái</v>
      </c>
      <c r="H186" s="1100">
        <f>H173*1</f>
        <v>0</v>
      </c>
      <c r="I186" s="1192">
        <f t="shared" si="7"/>
        <v>0</v>
      </c>
      <c r="J186" s="1041"/>
      <c r="K186" s="1041"/>
      <c r="L186" s="1015"/>
      <c r="M186" s="934">
        <v>25</v>
      </c>
    </row>
    <row r="187" spans="1:13" s="1016" customFormat="1" ht="25.2" hidden="1" customHeight="1">
      <c r="A187" s="1086">
        <f t="shared" si="6"/>
        <v>0</v>
      </c>
      <c r="B187" s="1231" t="s">
        <v>2074</v>
      </c>
      <c r="C187" s="2844"/>
      <c r="D187" s="1043"/>
      <c r="E187" s="1012">
        <f>VLOOKUP($B187,DG!A:D,DG!$B$2,)</f>
        <v>0</v>
      </c>
      <c r="F187" s="1013" t="str">
        <f>VLOOKUP($B187,DG!A:D,DG!$C$2,)</f>
        <v>Keo dán ống PVC (100gr)</v>
      </c>
      <c r="G187" s="1012" t="str">
        <f>VLOOKUP($B187,DG!A:D,DG!$D$2,)</f>
        <v>tuýp</v>
      </c>
      <c r="H187" s="1100">
        <f>H173*2</f>
        <v>0</v>
      </c>
      <c r="I187" s="1192">
        <f t="shared" si="7"/>
        <v>0</v>
      </c>
      <c r="J187" s="1041"/>
      <c r="K187" s="1041"/>
      <c r="L187" s="1015"/>
      <c r="M187" s="934">
        <v>25</v>
      </c>
    </row>
    <row r="188" spans="1:13" s="1016" customFormat="1" ht="25.2" hidden="1" customHeight="1">
      <c r="A188" s="1086">
        <f t="shared" si="6"/>
        <v>0</v>
      </c>
      <c r="B188" s="1231" t="s">
        <v>489</v>
      </c>
      <c r="C188" s="2844"/>
      <c r="D188" s="1043"/>
      <c r="E188" s="1012">
        <f>VLOOKUP($B188,DG!A:D,DG!$B$2,)</f>
        <v>0</v>
      </c>
      <c r="F188" s="1013" t="str">
        <f>VLOOKUP($B188,DG!A:D,DG!$C$2,)</f>
        <v>Keo silicon bít miệng ống</v>
      </c>
      <c r="G188" s="1012" t="str">
        <f>VLOOKUP($B188,DG!A:D,DG!$D$2,)</f>
        <v>ống</v>
      </c>
      <c r="H188" s="1100">
        <f>H173</f>
        <v>0</v>
      </c>
      <c r="I188" s="1192">
        <f t="shared" si="7"/>
        <v>0</v>
      </c>
      <c r="J188" s="1041"/>
      <c r="K188" s="1041"/>
      <c r="L188" s="1015"/>
      <c r="M188" s="934">
        <v>25</v>
      </c>
    </row>
    <row r="189" spans="1:13" s="1016" customFormat="1" ht="25.2" hidden="1" customHeight="1">
      <c r="A189" s="1086">
        <f t="shared" si="6"/>
        <v>0</v>
      </c>
      <c r="B189" s="1087" t="s">
        <v>672</v>
      </c>
      <c r="C189" s="2842"/>
      <c r="D189" s="1043"/>
      <c r="E189" s="1012">
        <f>VLOOKUP($B189,DG!A:D,DG!$B$2,)</f>
        <v>0</v>
      </c>
      <c r="F189" s="1013" t="str">
        <f>VLOOKUP($B189,DG!A:D,DG!$C$2,)</f>
        <v>Băng keo cách điện</v>
      </c>
      <c r="G189" s="1012" t="str">
        <f>VLOOKUP($B189,DG!A:D,DG!$D$2,)</f>
        <v>cuộn</v>
      </c>
      <c r="H189" s="1100">
        <v>1</v>
      </c>
      <c r="I189" s="1192">
        <f t="shared" si="7"/>
        <v>0</v>
      </c>
      <c r="J189" s="1041"/>
      <c r="K189" s="1041"/>
      <c r="L189" s="1015"/>
      <c r="M189" s="934">
        <v>25</v>
      </c>
    </row>
    <row r="190" spans="1:13" s="1016" customFormat="1" ht="25.2" hidden="1" customHeight="1">
      <c r="A190" s="1086">
        <f t="shared" si="6"/>
        <v>0</v>
      </c>
      <c r="B190" s="1231" t="s">
        <v>2182</v>
      </c>
      <c r="C190" s="2844"/>
      <c r="D190" s="1043"/>
      <c r="E190" s="1012" t="str">
        <f>VLOOKUP($B190,DG!A:D,DG!$B$2,)</f>
        <v>07.2415</v>
      </c>
      <c r="F190" s="1013" t="str">
        <f>VLOOKUP($B190,DG!A:D,DG!$C$2,)</f>
        <v>Lắp ống nhựa PVC D90</v>
      </c>
      <c r="G190" s="1012" t="str">
        <f>VLOOKUP($B190,DG!A:D,DG!$D$2,)</f>
        <v>mét</v>
      </c>
      <c r="H190" s="1100">
        <f>H179</f>
        <v>7</v>
      </c>
      <c r="I190" s="1192">
        <f t="shared" si="7"/>
        <v>0</v>
      </c>
      <c r="J190" s="1041"/>
      <c r="K190" s="1041"/>
      <c r="L190" s="1015"/>
      <c r="M190" s="934">
        <v>25</v>
      </c>
    </row>
    <row r="191" spans="1:13" s="1016" customFormat="1" ht="25.2" hidden="1" customHeight="1">
      <c r="A191" s="1086">
        <f t="shared" si="6"/>
        <v>0</v>
      </c>
      <c r="B191" s="1087" t="s">
        <v>1525</v>
      </c>
      <c r="C191" s="2842"/>
      <c r="D191" s="1043"/>
      <c r="E191" s="1012" t="str">
        <f>VLOOKUP($B191,DG!A:D,DG!$B$2,)</f>
        <v>04.4201</v>
      </c>
      <c r="F191" s="1013" t="str">
        <f>VLOOKUP($B191,DG!A:D,DG!$C$2,)</f>
        <v>Lắp cáp đồng xuống thiết bị D ≤ 95mm2</v>
      </c>
      <c r="G191" s="1012" t="str">
        <f>VLOOKUP($B191,DG!A:D,DG!$D$2,)</f>
        <v>m</v>
      </c>
      <c r="H191" s="1100">
        <f>H175</f>
        <v>0</v>
      </c>
      <c r="I191" s="1192">
        <f t="shared" si="7"/>
        <v>0</v>
      </c>
      <c r="J191" s="1041"/>
      <c r="K191" s="1041"/>
      <c r="L191" s="1015"/>
      <c r="M191" s="934">
        <v>25</v>
      </c>
    </row>
    <row r="192" spans="1:13" s="1016" customFormat="1" ht="25.2" hidden="1" customHeight="1">
      <c r="A192" s="1086">
        <f t="shared" si="6"/>
        <v>0</v>
      </c>
      <c r="B192" s="1231" t="s">
        <v>289</v>
      </c>
      <c r="C192" s="2844"/>
      <c r="D192" s="1131">
        <f>IF(H192&gt;0,D173+1,D173)</f>
        <v>0</v>
      </c>
      <c r="E192" s="1132"/>
      <c r="F192" s="1013" t="str">
        <f>VLOOKUP($B192,DG!A:D,DG!$C$2,)</f>
        <v>Bảng tên trạm, bảng báo nguy hiểm + đinh vít</v>
      </c>
      <c r="G192" s="1012" t="str">
        <f>VLOOKUP($B192,DG!A:D,DG!$D$2,)</f>
        <v>bộ</v>
      </c>
      <c r="H192" s="1712">
        <f>H128</f>
        <v>0</v>
      </c>
      <c r="I192" s="1192">
        <f t="shared" si="7"/>
        <v>0</v>
      </c>
      <c r="J192" s="1041"/>
      <c r="K192" s="1041"/>
      <c r="L192" s="1031"/>
      <c r="M192" s="934">
        <v>25</v>
      </c>
    </row>
    <row r="193" spans="1:14" s="1016" customFormat="1" ht="25.2" hidden="1" customHeight="1">
      <c r="A193" s="1086">
        <f t="shared" si="6"/>
        <v>0</v>
      </c>
      <c r="B193" s="1221"/>
      <c r="C193" s="2845"/>
      <c r="D193" s="1069"/>
      <c r="E193" s="1123"/>
      <c r="F193" s="1003"/>
      <c r="G193" s="1125"/>
      <c r="H193" s="1709"/>
      <c r="I193" s="1003"/>
      <c r="J193" s="1126"/>
      <c r="K193" s="1127"/>
      <c r="L193" s="1069"/>
      <c r="M193" s="934">
        <v>25</v>
      </c>
    </row>
    <row r="194" spans="1:14" s="1016" customFormat="1" ht="25.2" hidden="1" customHeight="1">
      <c r="A194" s="1086">
        <f t="shared" si="6"/>
        <v>0</v>
      </c>
      <c r="B194" s="1221"/>
      <c r="C194" s="2845"/>
      <c r="D194" s="1094"/>
      <c r="E194" s="934"/>
      <c r="H194" s="1735"/>
      <c r="I194" s="1192">
        <f t="shared" si="7"/>
        <v>0</v>
      </c>
      <c r="M194" s="934"/>
    </row>
    <row r="195" spans="1:14" s="1016" customFormat="1" ht="25.2" hidden="1" customHeight="1">
      <c r="A195" s="1086">
        <f t="shared" si="6"/>
        <v>0</v>
      </c>
      <c r="B195" s="1221"/>
      <c r="C195" s="2845"/>
      <c r="D195" s="1225" t="str">
        <f>"BAÛNG TOÅNG HÔÏP VAÄT LIEÄU, NHAÂN COÂNG, MAÙY THI COÂNG : "&amp;I8&amp;" TRAÏM 1P37,5KVA"</f>
        <v>BAÛNG TOÅNG HÔÏP VAÄT LIEÄU, NHAÂN COÂNG, MAÙY THI COÂNG : 0 TRAÏM 1P37,5KVA</v>
      </c>
      <c r="E195" s="1224"/>
      <c r="F195" s="1223"/>
      <c r="G195" s="1223"/>
      <c r="H195" s="1710"/>
      <c r="I195" s="1192">
        <f t="shared" si="7"/>
        <v>0</v>
      </c>
      <c r="J195" s="1223"/>
      <c r="K195" s="1223"/>
      <c r="L195" s="940"/>
      <c r="M195" s="934"/>
    </row>
    <row r="196" spans="1:14" s="1016" customFormat="1" ht="25.2" hidden="1" customHeight="1">
      <c r="A196" s="1086">
        <f t="shared" si="6"/>
        <v>0</v>
      </c>
      <c r="B196" s="1226"/>
      <c r="C196" s="2841"/>
      <c r="D196" s="1089"/>
      <c r="E196" s="1090"/>
      <c r="F196" s="1003" t="s">
        <v>3672</v>
      </c>
      <c r="G196" s="1092"/>
      <c r="H196" s="1706"/>
      <c r="I196" s="1192">
        <f t="shared" si="7"/>
        <v>0</v>
      </c>
      <c r="J196" s="1092"/>
      <c r="K196" s="1092"/>
      <c r="L196" s="1069"/>
      <c r="M196" s="934" t="s">
        <v>4353</v>
      </c>
    </row>
    <row r="197" spans="1:14" s="1016" customFormat="1" ht="25.2" hidden="1" customHeight="1">
      <c r="A197" s="1086">
        <f t="shared" si="6"/>
        <v>0</v>
      </c>
      <c r="B197" s="1227" t="s">
        <v>1211</v>
      </c>
      <c r="C197" s="2840"/>
      <c r="D197" s="1023">
        <f>IF(H197&gt;0,1,0)</f>
        <v>0</v>
      </c>
      <c r="E197" s="1012" t="str">
        <f>VLOOKUP($B197,DG!A:D,DG!$B$2,)</f>
        <v>01.1412</v>
      </c>
      <c r="F197" s="1013" t="str">
        <f>VLOOKUP($B197,DG!A:D,DG!$C$2,)</f>
        <v>Máy biến áp 12,7/0,22-0,44kV  37,5kVA</v>
      </c>
      <c r="G197" s="1012" t="str">
        <f>VLOOKUP($B197,DG!A:D,DG!$D$2,)</f>
        <v>máy</v>
      </c>
      <c r="H197" s="1711">
        <f>I8</f>
        <v>0</v>
      </c>
      <c r="I197" s="1192">
        <f t="shared" si="7"/>
        <v>0</v>
      </c>
      <c r="J197" s="1041"/>
      <c r="K197" s="1041"/>
      <c r="L197" s="1129"/>
      <c r="M197" s="934" t="s">
        <v>4353</v>
      </c>
    </row>
    <row r="198" spans="1:14" s="1016" customFormat="1" ht="25.2" hidden="1" customHeight="1">
      <c r="A198" s="1086">
        <f t="shared" si="6"/>
        <v>0</v>
      </c>
      <c r="B198" s="1227" t="s">
        <v>1652</v>
      </c>
      <c r="C198" s="2840"/>
      <c r="D198" s="1023">
        <f t="shared" ref="D198:D203" si="8">IF(H198&gt;0,D197+1,D197)</f>
        <v>0</v>
      </c>
      <c r="E198" s="1012" t="str">
        <f>VLOOKUP($B198,DG!A:D,DG!$B$2,)</f>
        <v>02.3155</v>
      </c>
      <c r="F198" s="1013" t="str">
        <f>VLOOKUP($B198,DG!A:D,DG!$C$2,)</f>
        <v>FCO 24kV - 100A</v>
      </c>
      <c r="G198" s="1012" t="str">
        <f>VLOOKUP($B198,DG!A:D,DG!$D$2,)</f>
        <v>cái</v>
      </c>
      <c r="H198" s="1100">
        <f>+H197</f>
        <v>0</v>
      </c>
      <c r="I198" s="1192">
        <f t="shared" si="7"/>
        <v>0</v>
      </c>
      <c r="J198" s="1041"/>
      <c r="K198" s="1041"/>
      <c r="L198" s="1015"/>
      <c r="M198" s="934" t="s">
        <v>4353</v>
      </c>
    </row>
    <row r="199" spans="1:14" s="1016" customFormat="1" ht="25.2" hidden="1" customHeight="1">
      <c r="A199" s="1086">
        <f t="shared" si="6"/>
        <v>0</v>
      </c>
      <c r="B199" s="1227" t="s">
        <v>888</v>
      </c>
      <c r="C199" s="2840"/>
      <c r="D199" s="1023">
        <f t="shared" si="8"/>
        <v>0</v>
      </c>
      <c r="E199" s="1012">
        <f>VLOOKUP($B199,DG!A:D,DG!$B$2,)</f>
        <v>0</v>
      </c>
      <c r="F199" s="1013" t="str">
        <f>VLOOKUP($B199,DG!A:D,DG!$C$2,)</f>
        <v>Dây chảy 3K</v>
      </c>
      <c r="G199" s="1012" t="str">
        <f>VLOOKUP($B199,DG!A:D,DG!$D$2,)</f>
        <v>Sợi</v>
      </c>
      <c r="H199" s="1100">
        <f>H198</f>
        <v>0</v>
      </c>
      <c r="I199" s="1192">
        <f t="shared" si="7"/>
        <v>0</v>
      </c>
      <c r="J199" s="1041"/>
      <c r="K199" s="1041"/>
      <c r="L199" s="1015"/>
      <c r="M199" s="934" t="s">
        <v>4353</v>
      </c>
    </row>
    <row r="200" spans="1:14" s="1016" customFormat="1" ht="25.2" hidden="1" customHeight="1">
      <c r="A200" s="1086">
        <f t="shared" si="6"/>
        <v>0</v>
      </c>
      <c r="B200" s="1221" t="s">
        <v>1373</v>
      </c>
      <c r="C200" s="2845"/>
      <c r="D200" s="1023">
        <f t="shared" si="8"/>
        <v>0</v>
      </c>
      <c r="E200" s="1012" t="str">
        <f>VLOOKUP($B200,DG!A:D,DG!$B$2,)</f>
        <v>02.5114</v>
      </c>
      <c r="F200" s="1013" t="str">
        <f>VLOOKUP($B200,DG!A:D,DG!$C$2,)</f>
        <v>Chống sét van LA-18KV-10KA</v>
      </c>
      <c r="G200" s="1012" t="str">
        <f>VLOOKUP($B200,DG!A:D,DG!$D$2,)</f>
        <v>cái</v>
      </c>
      <c r="H200" s="1100">
        <f>H198</f>
        <v>0</v>
      </c>
      <c r="I200" s="1192">
        <f t="shared" si="7"/>
        <v>0</v>
      </c>
      <c r="J200" s="1041"/>
      <c r="K200" s="1041"/>
      <c r="L200" s="1015"/>
      <c r="M200" s="934" t="s">
        <v>4353</v>
      </c>
    </row>
    <row r="201" spans="1:14" s="1016" customFormat="1" ht="25.2" hidden="1" customHeight="1">
      <c r="A201" s="1086">
        <f t="shared" si="6"/>
        <v>0</v>
      </c>
      <c r="B201" s="1228" t="s">
        <v>793</v>
      </c>
      <c r="C201" s="2840"/>
      <c r="D201" s="1023">
        <f t="shared" si="8"/>
        <v>0</v>
      </c>
      <c r="E201" s="1012" t="str">
        <f>VLOOKUP($B201,DG!A:D,DG!$B$2,)</f>
        <v>02.8401</v>
      </c>
      <c r="F201" s="1013" t="str">
        <f>VLOOKUP($B201,DG!A:D,DG!$C$2,)</f>
        <v>MCCB 3 cực 400V-100A - 30KA</v>
      </c>
      <c r="G201" s="1012" t="str">
        <f>VLOOKUP($B201,DG!A:D,DG!$D$2,)</f>
        <v>cái</v>
      </c>
      <c r="H201" s="1100">
        <f>H197</f>
        <v>0</v>
      </c>
      <c r="I201" s="1192">
        <f t="shared" si="7"/>
        <v>0</v>
      </c>
      <c r="J201" s="1041"/>
      <c r="K201" s="1041"/>
      <c r="L201" s="1015"/>
      <c r="M201" s="934" t="s">
        <v>4353</v>
      </c>
    </row>
    <row r="202" spans="1:14" s="1016" customFormat="1" ht="25.2" hidden="1" customHeight="1">
      <c r="A202" s="1086">
        <f t="shared" si="6"/>
        <v>0</v>
      </c>
      <c r="B202" s="1229" t="s">
        <v>2043</v>
      </c>
      <c r="C202" s="2842"/>
      <c r="D202" s="1023">
        <f t="shared" si="8"/>
        <v>0</v>
      </c>
      <c r="E202" s="1012">
        <f>VLOOKUP($B202,DG!A:D,DG!$B$2,)</f>
        <v>0</v>
      </c>
      <c r="F202" s="1013" t="str">
        <f>VLOOKUP($B202,DG!A:D,DG!$C$2,)</f>
        <v>Biến dòng 600V - 100/5A</v>
      </c>
      <c r="G202" s="1012" t="str">
        <f>VLOOKUP($B202,DG!A:D,DG!$D$2,)</f>
        <v>cái</v>
      </c>
      <c r="H202" s="1100">
        <f>H197*2</f>
        <v>0</v>
      </c>
      <c r="I202" s="1192">
        <f t="shared" si="7"/>
        <v>0</v>
      </c>
      <c r="J202" s="1041"/>
      <c r="K202" s="1041"/>
      <c r="L202" s="1015"/>
      <c r="M202" s="934" t="s">
        <v>4353</v>
      </c>
    </row>
    <row r="203" spans="1:14" s="1016" customFormat="1" ht="25.2" hidden="1" customHeight="1">
      <c r="A203" s="1086">
        <f t="shared" si="6"/>
        <v>0</v>
      </c>
      <c r="B203" s="1233" t="s">
        <v>287</v>
      </c>
      <c r="C203" s="2843"/>
      <c r="D203" s="1023">
        <f t="shared" si="8"/>
        <v>0</v>
      </c>
      <c r="E203" s="1012">
        <f>VLOOKUP($B203,DG!A:D,DG!$B$2,)</f>
        <v>0</v>
      </c>
      <c r="F203" s="1013" t="str">
        <f>VLOOKUP($B203,DG!A:D,DG!$C$2,)</f>
        <v>Điện kế 1 pha 2 dây 220V-5A</v>
      </c>
      <c r="G203" s="1012" t="str">
        <f>VLOOKUP($B203,DG!A:D,DG!$D$2,)</f>
        <v>cái</v>
      </c>
      <c r="H203" s="1100">
        <f>H197*2</f>
        <v>0</v>
      </c>
      <c r="I203" s="1192">
        <f t="shared" si="7"/>
        <v>0</v>
      </c>
      <c r="J203" s="1041"/>
      <c r="K203" s="1041"/>
      <c r="L203" s="1015"/>
      <c r="M203" s="934" t="s">
        <v>4353</v>
      </c>
    </row>
    <row r="204" spans="1:14" s="1016" customFormat="1" ht="25.2" hidden="1" customHeight="1">
      <c r="A204" s="1086">
        <f t="shared" si="6"/>
        <v>0</v>
      </c>
      <c r="B204" s="1226"/>
      <c r="C204" s="2841"/>
      <c r="D204" s="1040"/>
      <c r="E204" s="1112"/>
      <c r="F204" s="1093"/>
      <c r="G204" s="1040"/>
      <c r="H204" s="1135"/>
      <c r="I204" s="1192">
        <f t="shared" si="7"/>
        <v>0</v>
      </c>
      <c r="J204" s="1093"/>
      <c r="K204" s="1040"/>
      <c r="L204" s="1069"/>
      <c r="M204" s="934" t="s">
        <v>4353</v>
      </c>
    </row>
    <row r="205" spans="1:14" s="1016" customFormat="1" ht="25.2" hidden="1" customHeight="1">
      <c r="A205" s="1086">
        <f t="shared" si="6"/>
        <v>0</v>
      </c>
      <c r="B205" s="1226"/>
      <c r="C205" s="2841"/>
      <c r="D205" s="1114"/>
      <c r="E205" s="1115"/>
      <c r="F205" s="1003" t="s">
        <v>3673</v>
      </c>
      <c r="G205" s="1003"/>
      <c r="H205" s="1706"/>
      <c r="I205" s="1192">
        <f t="shared" si="7"/>
        <v>0</v>
      </c>
      <c r="J205" s="1003"/>
      <c r="K205" s="1003"/>
      <c r="L205" s="1069"/>
      <c r="M205" s="934" t="s">
        <v>4353</v>
      </c>
    </row>
    <row r="206" spans="1:14" s="1016" customFormat="1" ht="25.2" hidden="1" customHeight="1">
      <c r="A206" s="1086">
        <f t="shared" si="6"/>
        <v>0</v>
      </c>
      <c r="B206" s="1226" t="s">
        <v>1610</v>
      </c>
      <c r="C206" s="2841"/>
      <c r="D206" s="1116">
        <f>IF(H218&gt;0,1,0)</f>
        <v>0</v>
      </c>
      <c r="E206" s="1118"/>
      <c r="F206" s="1013" t="str">
        <f>VLOOKUP($B206,DG!A:D,DG!$C$2,)</f>
        <v>Boulon 16x300+ 2 long đền vuông D18-50x50x3/Zn</v>
      </c>
      <c r="G206" s="1012" t="str">
        <f>VLOOKUP($B206,DG!A:D,DG!$D$2,)</f>
        <v>bộ</v>
      </c>
      <c r="H206" s="1707">
        <f>2*SUM(H197:H197)</f>
        <v>0</v>
      </c>
      <c r="I206" s="1192">
        <f t="shared" si="7"/>
        <v>0</v>
      </c>
      <c r="J206" s="1041"/>
      <c r="K206" s="1041"/>
      <c r="L206" s="1129"/>
      <c r="M206" s="934" t="s">
        <v>4353</v>
      </c>
    </row>
    <row r="207" spans="1:14" s="1016" customFormat="1" ht="25.2" hidden="1" customHeight="1">
      <c r="A207" s="1086">
        <f t="shared" si="6"/>
        <v>0</v>
      </c>
      <c r="B207" s="1226"/>
      <c r="C207" s="2841"/>
      <c r="D207" s="1011">
        <f>IF(H207&gt;0,D206+1,D206)</f>
        <v>0</v>
      </c>
      <c r="E207" s="1118"/>
      <c r="F207" s="1119" t="s">
        <v>3674</v>
      </c>
      <c r="G207" s="1099" t="s">
        <v>2385</v>
      </c>
      <c r="H207" s="1707">
        <f>H197</f>
        <v>0</v>
      </c>
      <c r="I207" s="1192">
        <f t="shared" si="7"/>
        <v>0</v>
      </c>
      <c r="J207" s="1064"/>
      <c r="K207" s="1064"/>
      <c r="L207" s="1043"/>
      <c r="M207" s="934" t="s">
        <v>4353</v>
      </c>
    </row>
    <row r="208" spans="1:14" s="1016" customFormat="1" ht="25.2" hidden="1" customHeight="1">
      <c r="A208" s="1086">
        <f t="shared" si="6"/>
        <v>0</v>
      </c>
      <c r="B208" s="1226"/>
      <c r="C208" s="2841"/>
      <c r="D208" s="1099"/>
      <c r="E208" s="1118"/>
      <c r="F208" s="1264" t="s">
        <v>2279</v>
      </c>
      <c r="G208" s="1043"/>
      <c r="H208" s="1100"/>
      <c r="I208" s="1192">
        <f t="shared" si="7"/>
        <v>0</v>
      </c>
      <c r="J208" s="1064"/>
      <c r="K208" s="1064"/>
      <c r="L208" s="1043"/>
      <c r="M208" s="934" t="s">
        <v>4353</v>
      </c>
      <c r="N208" s="1120"/>
    </row>
    <row r="209" spans="1:14" s="1016" customFormat="1" ht="25.2" hidden="1" customHeight="1">
      <c r="A209" s="1086">
        <f t="shared" si="6"/>
        <v>0</v>
      </c>
      <c r="B209" s="1087" t="s">
        <v>115</v>
      </c>
      <c r="C209" s="2842"/>
      <c r="D209" s="1043"/>
      <c r="E209" s="1012">
        <f>VLOOKUP($B209,DG!A:D,DG!$B$2,)</f>
        <v>0</v>
      </c>
      <c r="F209" s="1013" t="str">
        <f>VLOOKUP($B209,DG!A:D,DG!$C$2,)</f>
        <v>Trụ BTLT 12m F540 dự ứng lực</v>
      </c>
      <c r="G209" s="1012" t="str">
        <f>VLOOKUP($B209,DG!A:D,DG!$D$2,)</f>
        <v>trụ</v>
      </c>
      <c r="H209" s="1100">
        <f>1*H207</f>
        <v>0</v>
      </c>
      <c r="I209" s="1192">
        <f t="shared" si="7"/>
        <v>0</v>
      </c>
      <c r="J209" s="1041"/>
      <c r="K209" s="1041"/>
      <c r="L209" s="1043"/>
      <c r="M209" s="934" t="s">
        <v>4353</v>
      </c>
      <c r="N209" s="1120"/>
    </row>
    <row r="210" spans="1:14" s="1016" customFormat="1" ht="25.2" hidden="1" customHeight="1">
      <c r="A210" s="1086">
        <f t="shared" si="6"/>
        <v>0</v>
      </c>
      <c r="B210" s="1087" t="s">
        <v>1814</v>
      </c>
      <c r="C210" s="2842"/>
      <c r="D210" s="1043"/>
      <c r="E210" s="1121"/>
      <c r="F210" s="1013" t="str">
        <f>VLOOKUP($B210,DG!A:D,DG!$C$2,)</f>
        <v>Vật liệu dựng trụ</v>
      </c>
      <c r="G210" s="1012" t="str">
        <f>VLOOKUP($B210,DG!A:D,DG!$D$2,)</f>
        <v>trụ</v>
      </c>
      <c r="H210" s="1100">
        <f>H209</f>
        <v>0</v>
      </c>
      <c r="I210" s="1192">
        <f t="shared" si="7"/>
        <v>0</v>
      </c>
      <c r="J210" s="1041"/>
      <c r="K210" s="1041"/>
      <c r="L210" s="1043"/>
      <c r="M210" s="934" t="s">
        <v>4353</v>
      </c>
      <c r="N210" s="1120"/>
    </row>
    <row r="211" spans="1:14" s="1016" customFormat="1" ht="25.2" hidden="1" customHeight="1">
      <c r="A211" s="1086">
        <f t="shared" si="6"/>
        <v>0</v>
      </c>
      <c r="B211" s="1087" t="s">
        <v>2126</v>
      </c>
      <c r="C211" s="2842"/>
      <c r="D211" s="1043"/>
      <c r="E211" s="1012" t="str">
        <f>VLOOKUP($B211,DG!A:D,DG!$B$2,)</f>
        <v>04.9203</v>
      </c>
      <c r="F211" s="1013" t="str">
        <f>VLOOKUP($B211,DG!A:D,DG!$C$2,)</f>
        <v>Dựng trụ BTLT 12m trong TBA bằng thủ công + cơ giới</v>
      </c>
      <c r="G211" s="1012" t="str">
        <f>VLOOKUP($B211,DG!A:D,DG!$D$2,)</f>
        <v>trụ</v>
      </c>
      <c r="H211" s="1100">
        <f>H209</f>
        <v>0</v>
      </c>
      <c r="I211" s="1192">
        <f t="shared" si="7"/>
        <v>0</v>
      </c>
      <c r="J211" s="1041"/>
      <c r="K211" s="1041"/>
      <c r="L211" s="1043"/>
      <c r="M211" s="934" t="s">
        <v>4353</v>
      </c>
      <c r="N211" s="1120"/>
    </row>
    <row r="212" spans="1:14" s="1016" customFormat="1" ht="25.2" hidden="1" customHeight="1">
      <c r="A212" s="1086">
        <f t="shared" si="6"/>
        <v>0</v>
      </c>
      <c r="B212" s="1226"/>
      <c r="C212" s="2841"/>
      <c r="D212" s="1011">
        <f>IF(H212&gt;0,D207+1,D207)</f>
        <v>0</v>
      </c>
      <c r="E212" s="1118"/>
      <c r="F212" s="1119" t="s">
        <v>2352</v>
      </c>
      <c r="G212" s="1099" t="s">
        <v>2385</v>
      </c>
      <c r="H212" s="1707">
        <f>H207</f>
        <v>0</v>
      </c>
      <c r="I212" s="1192">
        <f t="shared" si="7"/>
        <v>0</v>
      </c>
      <c r="J212" s="1064"/>
      <c r="K212" s="1064"/>
      <c r="L212" s="1043"/>
      <c r="M212" s="934" t="s">
        <v>4353</v>
      </c>
    </row>
    <row r="213" spans="1:14" s="1016" customFormat="1" ht="25.2" hidden="1" customHeight="1">
      <c r="A213" s="1086">
        <f t="shared" si="6"/>
        <v>0</v>
      </c>
      <c r="B213" s="1226"/>
      <c r="C213" s="2841"/>
      <c r="D213" s="1099"/>
      <c r="E213" s="1118"/>
      <c r="F213" s="1264" t="s">
        <v>2279</v>
      </c>
      <c r="G213" s="1043"/>
      <c r="H213" s="1100"/>
      <c r="I213" s="1192">
        <f t="shared" si="7"/>
        <v>0</v>
      </c>
      <c r="J213" s="1064"/>
      <c r="K213" s="1064"/>
      <c r="L213" s="1043"/>
      <c r="M213" s="934" t="s">
        <v>4353</v>
      </c>
      <c r="N213" s="1120"/>
    </row>
    <row r="214" spans="1:14" s="1016" customFormat="1" ht="25.2" hidden="1" customHeight="1">
      <c r="A214" s="1086">
        <f t="shared" si="6"/>
        <v>0</v>
      </c>
      <c r="B214" s="1233" t="s">
        <v>636</v>
      </c>
      <c r="C214" s="2843"/>
      <c r="D214" s="1043"/>
      <c r="E214" s="1012" t="str">
        <f>VLOOKUP($B214,DG!A:D,DG!$B$2,)</f>
        <v>04.4001</v>
      </c>
      <c r="F214" s="1013" t="str">
        <f>VLOOKUP($B214,DG!A:D,DG!$C$2,)</f>
        <v>Đà cản BTCT 1,2m</v>
      </c>
      <c r="G214" s="1012" t="str">
        <f>VLOOKUP($B214,DG!A:D,DG!$D$2,)</f>
        <v>cái</v>
      </c>
      <c r="H214" s="1100">
        <f>1*H212</f>
        <v>0</v>
      </c>
      <c r="I214" s="1192">
        <f t="shared" si="7"/>
        <v>0</v>
      </c>
      <c r="J214" s="1041"/>
      <c r="K214" s="1041"/>
      <c r="L214" s="1043"/>
      <c r="M214" s="934" t="s">
        <v>4353</v>
      </c>
      <c r="N214" s="1120"/>
    </row>
    <row r="215" spans="1:14" s="1016" customFormat="1" ht="25.2" hidden="1" customHeight="1">
      <c r="A215" s="1086">
        <f t="shared" si="6"/>
        <v>0</v>
      </c>
      <c r="B215" s="1233" t="s">
        <v>566</v>
      </c>
      <c r="C215" s="2843"/>
      <c r="D215" s="1043"/>
      <c r="E215" s="1012">
        <f>VLOOKUP($B215,DG!A:D,DG!$B$2,)</f>
        <v>0</v>
      </c>
      <c r="F215" s="1013" t="str">
        <f>VLOOKUP($B215,DG!A:D,DG!$C$2,)</f>
        <v>Boulon 22x650+ 2 long đền vuông D24-50x50x3/Zn</v>
      </c>
      <c r="G215" s="1012" t="str">
        <f>VLOOKUP($B215,DG!A:D,DG!$D$2,)</f>
        <v>bộ</v>
      </c>
      <c r="H215" s="1100">
        <f>H212</f>
        <v>0</v>
      </c>
      <c r="I215" s="1192">
        <f t="shared" si="7"/>
        <v>0</v>
      </c>
      <c r="J215" s="1041"/>
      <c r="K215" s="1041"/>
      <c r="L215" s="1043"/>
      <c r="M215" s="934" t="s">
        <v>4353</v>
      </c>
      <c r="N215" s="1120"/>
    </row>
    <row r="216" spans="1:14" s="1016" customFormat="1" ht="25.2" hidden="1" customHeight="1">
      <c r="A216" s="1086">
        <f t="shared" si="6"/>
        <v>0</v>
      </c>
      <c r="B216" s="1233" t="str">
        <f>IF(chitiet!G5=1,"MDD1",IF(chitiet!G5=2,"MDD2",IF(chitiet!G5=3,"MDD3",IF(chitiet!G5=4,"MDD4"))))</f>
        <v>MDD3</v>
      </c>
      <c r="C216" s="2843"/>
      <c r="D216" s="1043"/>
      <c r="E216" s="1012" t="str">
        <f>VLOOKUP($B216,DG!A:D,DG!$B$2,)</f>
        <v>03.1013</v>
      </c>
      <c r="F216" s="1013" t="str">
        <f>VLOOKUP($B216,DG!A:D,DG!$C$2,)</f>
        <v>Đào hố móng đất cấp 3 sâu &gt;1m</v>
      </c>
      <c r="G216" s="1012" t="str">
        <f>VLOOKUP($B216,DG!A:D,DG!$D$2,)</f>
        <v>m3</v>
      </c>
      <c r="H216" s="1100">
        <f>H212*1.45</f>
        <v>0</v>
      </c>
      <c r="I216" s="1192">
        <f t="shared" si="7"/>
        <v>0</v>
      </c>
      <c r="J216" s="1041"/>
      <c r="K216" s="1041"/>
      <c r="L216" s="1043"/>
      <c r="M216" s="934" t="s">
        <v>4353</v>
      </c>
      <c r="N216" s="1120"/>
    </row>
    <row r="217" spans="1:14" s="1016" customFormat="1" ht="25.2" hidden="1" customHeight="1">
      <c r="A217" s="1086">
        <f t="shared" si="6"/>
        <v>0</v>
      </c>
      <c r="B217" s="1233" t="str">
        <f>IF(chitiet!G5=1,"MDAP1",IF(chitiet!G5=2,"MDAP2",IF(chitiet!G5=3,"MDAP3",IF(chitiet!G5=4,"MDAP4"))))</f>
        <v>MDAP3</v>
      </c>
      <c r="C217" s="2843"/>
      <c r="D217" s="1043"/>
      <c r="E217" s="1012" t="str">
        <f>VLOOKUP($B217,DG!A:D,DG!$B$2,)</f>
        <v>03.4113</v>
      </c>
      <c r="F217" s="1013" t="str">
        <f>VLOOKUP($B217,DG!A:D,DG!$C$2,)</f>
        <v>Đắp đất hố móng, độ chặt k=0,95</v>
      </c>
      <c r="G217" s="1012" t="str">
        <f>VLOOKUP($B217,DG!A:D,DG!$D$2,)</f>
        <v>m3</v>
      </c>
      <c r="H217" s="1100">
        <f>H212*1.37</f>
        <v>0</v>
      </c>
      <c r="I217" s="1192">
        <f t="shared" si="7"/>
        <v>0</v>
      </c>
      <c r="J217" s="1041"/>
      <c r="K217" s="1041"/>
      <c r="L217" s="1043"/>
      <c r="M217" s="934" t="s">
        <v>4353</v>
      </c>
      <c r="N217" s="1120"/>
    </row>
    <row r="218" spans="1:14" s="1016" customFormat="1" ht="25.2" hidden="1" customHeight="1">
      <c r="A218" s="1086">
        <f t="shared" ref="A218:A281" si="9">IF(AND(M218=$M$23,I218&gt;0),1,0)</f>
        <v>0</v>
      </c>
      <c r="B218" s="1226"/>
      <c r="C218" s="2841"/>
      <c r="D218" s="1011">
        <f>IF(H218&gt;0,D212+1,D212)</f>
        <v>0</v>
      </c>
      <c r="E218" s="1118"/>
      <c r="F218" s="1130" t="s">
        <v>3675</v>
      </c>
      <c r="G218" s="1099" t="s">
        <v>2385</v>
      </c>
      <c r="H218" s="1707">
        <f>SUM(H197:H197)</f>
        <v>0</v>
      </c>
      <c r="I218" s="1192">
        <f t="shared" si="7"/>
        <v>0</v>
      </c>
      <c r="J218" s="1041"/>
      <c r="K218" s="1041"/>
      <c r="L218" s="1015"/>
      <c r="M218" s="934" t="s">
        <v>4353</v>
      </c>
    </row>
    <row r="219" spans="1:14" s="1016" customFormat="1" ht="25.2" hidden="1" customHeight="1">
      <c r="A219" s="1086">
        <f t="shared" si="9"/>
        <v>0</v>
      </c>
      <c r="B219" s="1226"/>
      <c r="C219" s="2841"/>
      <c r="D219" s="1099"/>
      <c r="E219" s="1118"/>
      <c r="F219" s="1265" t="s">
        <v>2279</v>
      </c>
      <c r="G219" s="1043"/>
      <c r="H219" s="1100"/>
      <c r="I219" s="1192">
        <f t="shared" si="7"/>
        <v>0</v>
      </c>
      <c r="J219" s="1041"/>
      <c r="K219" s="1041"/>
      <c r="L219" s="1015"/>
      <c r="M219" s="934" t="s">
        <v>4353</v>
      </c>
    </row>
    <row r="220" spans="1:14" s="1016" customFormat="1" ht="25.2" hidden="1" customHeight="1">
      <c r="A220" s="1086">
        <f t="shared" si="9"/>
        <v>0</v>
      </c>
      <c r="B220" s="1226" t="s">
        <v>989</v>
      </c>
      <c r="C220" s="2841"/>
      <c r="D220" s="1043"/>
      <c r="E220" s="1012" t="str">
        <f>VLOOKUP($B220,DG!A:D,DG!$B$2,)</f>
        <v>05.6001</v>
      </c>
      <c r="F220" s="1013" t="str">
        <f>VLOOKUP($B220,DG!A:D,DG!$C$2,)</f>
        <v>Giá chữ "T" lắp FCO, LA (V50x50x5)</v>
      </c>
      <c r="G220" s="1012" t="str">
        <f>VLOOKUP($B220,DG!A:D,DG!$D$2,)</f>
        <v>Kg</v>
      </c>
      <c r="H220" s="1100">
        <f>1*H218</f>
        <v>0</v>
      </c>
      <c r="I220" s="1192">
        <f t="shared" si="7"/>
        <v>0</v>
      </c>
      <c r="J220" s="1041"/>
      <c r="K220" s="1041"/>
      <c r="L220" s="1015"/>
      <c r="M220" s="934" t="s">
        <v>4353</v>
      </c>
    </row>
    <row r="221" spans="1:14" s="1016" customFormat="1" ht="25.2" hidden="1" customHeight="1">
      <c r="A221" s="1086">
        <f t="shared" si="9"/>
        <v>0</v>
      </c>
      <c r="B221" s="1226" t="s">
        <v>1610</v>
      </c>
      <c r="C221" s="2841"/>
      <c r="D221" s="1043"/>
      <c r="E221" s="1121"/>
      <c r="F221" s="1013" t="str">
        <f>VLOOKUP($B221,DG!A:D,DG!$C$2,)</f>
        <v>Boulon 16x300+ 2 long đền vuông D18-50x50x3/Zn</v>
      </c>
      <c r="G221" s="1012" t="str">
        <f>VLOOKUP($B221,DG!A:D,DG!$D$2,)</f>
        <v>bộ</v>
      </c>
      <c r="H221" s="1100">
        <f>2*H218</f>
        <v>0</v>
      </c>
      <c r="I221" s="1192">
        <f t="shared" si="7"/>
        <v>0</v>
      </c>
      <c r="J221" s="1041"/>
      <c r="K221" s="1041"/>
      <c r="L221" s="1015"/>
      <c r="M221" s="934" t="s">
        <v>4353</v>
      </c>
    </row>
    <row r="222" spans="1:14" s="1016" customFormat="1" ht="25.2" hidden="1" customHeight="1">
      <c r="A222" s="1086">
        <f t="shared" si="9"/>
        <v>0</v>
      </c>
      <c r="B222" s="1226" t="s">
        <v>701</v>
      </c>
      <c r="C222" s="2841"/>
      <c r="D222" s="1043"/>
      <c r="E222" s="1121"/>
      <c r="F222" s="1013" t="str">
        <f>VLOOKUP($B222,DG!A:D,DG!$C$2,)</f>
        <v>Boulon 12x50+ 2 long đền vuông D14-50x50x3/Zn</v>
      </c>
      <c r="G222" s="1012" t="str">
        <f>VLOOKUP($B222,DG!A:D,DG!$D$2,)</f>
        <v>bộ</v>
      </c>
      <c r="H222" s="1100">
        <f>2*H218</f>
        <v>0</v>
      </c>
      <c r="I222" s="1192">
        <f t="shared" si="7"/>
        <v>0</v>
      </c>
      <c r="J222" s="1041"/>
      <c r="K222" s="1041"/>
      <c r="L222" s="1015"/>
      <c r="M222" s="934" t="s">
        <v>4353</v>
      </c>
    </row>
    <row r="223" spans="1:14" s="1016" customFormat="1" ht="25.2" hidden="1" customHeight="1">
      <c r="A223" s="1086">
        <f t="shared" si="9"/>
        <v>0</v>
      </c>
      <c r="B223" s="1226"/>
      <c r="C223" s="2841"/>
      <c r="D223" s="1099">
        <f>IF(H223&gt;0,D218+1,D218)</f>
        <v>0</v>
      </c>
      <c r="E223" s="1118"/>
      <c r="F223" s="1130" t="s">
        <v>3676</v>
      </c>
      <c r="G223" s="1099" t="s">
        <v>2385</v>
      </c>
      <c r="H223" s="1707">
        <f>H218</f>
        <v>0</v>
      </c>
      <c r="I223" s="1192">
        <f t="shared" si="7"/>
        <v>0</v>
      </c>
      <c r="J223" s="1041"/>
      <c r="K223" s="1041"/>
      <c r="L223" s="1015"/>
      <c r="M223" s="934" t="s">
        <v>4353</v>
      </c>
    </row>
    <row r="224" spans="1:14" s="1016" customFormat="1" ht="25.2" hidden="1" customHeight="1">
      <c r="A224" s="1086">
        <f t="shared" si="9"/>
        <v>0</v>
      </c>
      <c r="B224" s="1226"/>
      <c r="C224" s="2841"/>
      <c r="D224" s="1043"/>
      <c r="E224" s="1121"/>
      <c r="F224" s="1265" t="s">
        <v>2279</v>
      </c>
      <c r="G224" s="1043"/>
      <c r="H224" s="1100"/>
      <c r="I224" s="1192">
        <f t="shared" si="7"/>
        <v>0</v>
      </c>
      <c r="J224" s="1041"/>
      <c r="K224" s="1041"/>
      <c r="L224" s="1015"/>
      <c r="M224" s="934" t="s">
        <v>4353</v>
      </c>
    </row>
    <row r="225" spans="1:13" s="1016" customFormat="1" ht="25.2" hidden="1" customHeight="1">
      <c r="A225" s="1086">
        <f t="shared" si="9"/>
        <v>0</v>
      </c>
      <c r="B225" s="1226" t="s">
        <v>1033</v>
      </c>
      <c r="C225" s="2841"/>
      <c r="D225" s="1043"/>
      <c r="E225" s="1012">
        <f>VLOOKUP($B225,DG!A:D,DG!$B$2,)</f>
        <v>0</v>
      </c>
      <c r="F225" s="1013" t="str">
        <f>VLOOKUP($B225,DG!A:D,DG!$C$2,)</f>
        <v>Cáp đồng trần M25mm2</v>
      </c>
      <c r="G225" s="1012" t="str">
        <f>VLOOKUP($B225,DG!A:D,DG!$D$2,)</f>
        <v>kg</v>
      </c>
      <c r="H225" s="1100">
        <f>+H223*10*0.224</f>
        <v>0</v>
      </c>
      <c r="I225" s="1192">
        <f t="shared" ref="I225:I288" si="10">IF(M225=$M$23,H225+J225-K225,0)</f>
        <v>0</v>
      </c>
      <c r="J225" s="1041"/>
      <c r="K225" s="1041"/>
      <c r="L225" s="1015"/>
      <c r="M225" s="934" t="s">
        <v>4353</v>
      </c>
    </row>
    <row r="226" spans="1:13" s="1016" customFormat="1" ht="25.2" hidden="1" customHeight="1">
      <c r="A226" s="1086">
        <f t="shared" si="9"/>
        <v>0</v>
      </c>
      <c r="B226" s="1087" t="s">
        <v>1508</v>
      </c>
      <c r="C226" s="2842"/>
      <c r="D226" s="1043"/>
      <c r="E226" s="1012">
        <f>VLOOKUP($B226,DG!A:D,DG!$B$2,)</f>
        <v>0</v>
      </c>
      <c r="F226" s="1013" t="str">
        <f>VLOOKUP($B226,DG!A:D,DG!$C$2,)</f>
        <v>Cọc tiếp đất Þ 16- 2,4m + kẹp cọc mạ đồng</v>
      </c>
      <c r="G226" s="1012" t="str">
        <f>VLOOKUP($B226,DG!A:D,DG!$D$2,)</f>
        <v>bộ</v>
      </c>
      <c r="H226" s="1100">
        <f>12*H223</f>
        <v>0</v>
      </c>
      <c r="I226" s="1192">
        <f t="shared" si="10"/>
        <v>0</v>
      </c>
      <c r="J226" s="1041"/>
      <c r="K226" s="1041"/>
      <c r="L226" s="1015"/>
      <c r="M226" s="934" t="s">
        <v>4353</v>
      </c>
    </row>
    <row r="227" spans="1:13" s="1016" customFormat="1" ht="25.2" hidden="1" customHeight="1">
      <c r="A227" s="1086">
        <f t="shared" si="9"/>
        <v>0</v>
      </c>
      <c r="B227" s="1244" t="s">
        <v>2008</v>
      </c>
      <c r="C227" s="2846"/>
      <c r="D227" s="1043"/>
      <c r="E227" s="1012">
        <f>VLOOKUP($B227,DG!A:D,DG!$B$2,)</f>
        <v>0</v>
      </c>
      <c r="F227" s="1013" t="str">
        <f>VLOOKUP($B227,DG!A:D,DG!$C$2,)</f>
        <v>Sắt Ø10</v>
      </c>
      <c r="G227" s="1012" t="str">
        <f>VLOOKUP($B227,DG!A:D,DG!$D$2,)</f>
        <v>kg</v>
      </c>
      <c r="H227" s="1100">
        <f>40*H223</f>
        <v>0</v>
      </c>
      <c r="I227" s="1192">
        <f t="shared" si="10"/>
        <v>0</v>
      </c>
      <c r="J227" s="1041"/>
      <c r="K227" s="1041"/>
      <c r="L227" s="1015"/>
      <c r="M227" s="934" t="s">
        <v>4353</v>
      </c>
    </row>
    <row r="228" spans="1:13" s="1016" customFormat="1" ht="25.2" hidden="1" customHeight="1">
      <c r="A228" s="1086">
        <f t="shared" si="9"/>
        <v>0</v>
      </c>
      <c r="B228" s="1231" t="s">
        <v>905</v>
      </c>
      <c r="C228" s="2844"/>
      <c r="D228" s="1043"/>
      <c r="E228" s="1012">
        <f>VLOOKUP($B228,DG!A:D,DG!$B$2,)</f>
        <v>0</v>
      </c>
      <c r="F228" s="1013" t="str">
        <f>VLOOKUP($B228,DG!A:D,DG!$C$2,)</f>
        <v>Kẹp ép WR cỡ dây 50mm2</v>
      </c>
      <c r="G228" s="1012" t="str">
        <f>VLOOKUP($B228,DG!A:D,DG!$D$2,)</f>
        <v>cái</v>
      </c>
      <c r="H228" s="1100">
        <f>2*H223</f>
        <v>0</v>
      </c>
      <c r="I228" s="1192">
        <f t="shared" si="10"/>
        <v>0</v>
      </c>
      <c r="J228" s="1041"/>
      <c r="K228" s="1041"/>
      <c r="L228" s="1015"/>
      <c r="M228" s="934" t="s">
        <v>4353</v>
      </c>
    </row>
    <row r="229" spans="1:13" s="1016" customFormat="1" ht="25.2" hidden="1" customHeight="1">
      <c r="A229" s="1086">
        <f t="shared" si="9"/>
        <v>0</v>
      </c>
      <c r="B229" s="1231" t="s">
        <v>816</v>
      </c>
      <c r="C229" s="2844"/>
      <c r="D229" s="1043"/>
      <c r="E229" s="1012" t="str">
        <f>VLOOKUP($B229,DG!A:D,DG!$B$2,)</f>
        <v>04.3107</v>
      </c>
      <c r="F229" s="1013" t="str">
        <f>VLOOKUP($B229,DG!A:D,DG!$C$2,)</f>
        <v>Ốc siết cáp cỡ 25mm2</v>
      </c>
      <c r="G229" s="1012" t="str">
        <f>VLOOKUP($B229,DG!A:D,DG!$D$2,)</f>
        <v>cái</v>
      </c>
      <c r="H229" s="1100">
        <f>4*H223</f>
        <v>0</v>
      </c>
      <c r="I229" s="1192">
        <f t="shared" si="10"/>
        <v>0</v>
      </c>
      <c r="J229" s="1041"/>
      <c r="K229" s="1041"/>
      <c r="L229" s="1015"/>
      <c r="M229" s="934" t="s">
        <v>4353</v>
      </c>
    </row>
    <row r="230" spans="1:13" s="1016" customFormat="1" ht="25.2" hidden="1" customHeight="1">
      <c r="A230" s="1086">
        <f t="shared" si="9"/>
        <v>0</v>
      </c>
      <c r="B230" s="1231" t="s">
        <v>1303</v>
      </c>
      <c r="C230" s="2844"/>
      <c r="D230" s="1043"/>
      <c r="E230" s="1012" t="str">
        <f>VLOOKUP($B230,DG!A:D,DG!$B$2,)</f>
        <v>03.4003</v>
      </c>
      <c r="F230" s="1013" t="str">
        <f>VLOOKUP($B230,DG!A:D,DG!$C$2,)</f>
        <v>Đầu cosse ép Cu 70mm2</v>
      </c>
      <c r="G230" s="1012" t="str">
        <f>VLOOKUP($B230,DG!A:D,DG!$D$2,)</f>
        <v>cái</v>
      </c>
      <c r="H230" s="1100">
        <f>+H223*2</f>
        <v>0</v>
      </c>
      <c r="I230" s="1192">
        <f t="shared" si="10"/>
        <v>0</v>
      </c>
      <c r="J230" s="1041"/>
      <c r="K230" s="1041"/>
      <c r="L230" s="1015"/>
      <c r="M230" s="934" t="s">
        <v>4353</v>
      </c>
    </row>
    <row r="231" spans="1:13" s="1016" customFormat="1" ht="25.2" hidden="1" customHeight="1">
      <c r="A231" s="1086">
        <f t="shared" si="9"/>
        <v>0</v>
      </c>
      <c r="B231" s="1231" t="s">
        <v>1302</v>
      </c>
      <c r="C231" s="2844"/>
      <c r="D231" s="1043"/>
      <c r="E231" s="1012" t="str">
        <f>VLOOKUP($B231,DG!A:D,DG!$B$2,)</f>
        <v>03.4002</v>
      </c>
      <c r="F231" s="1013" t="str">
        <f>VLOOKUP($B231,DG!A:D,DG!$C$2,)</f>
        <v>Đầu cosse ép Cu 50mm2</v>
      </c>
      <c r="G231" s="1012" t="str">
        <f>VLOOKUP($B231,DG!A:D,DG!$D$2,)</f>
        <v>cái</v>
      </c>
      <c r="H231" s="1100">
        <f>+H223*3</f>
        <v>0</v>
      </c>
      <c r="I231" s="1192">
        <f t="shared" si="10"/>
        <v>0</v>
      </c>
      <c r="J231" s="1041"/>
      <c r="K231" s="1041"/>
      <c r="L231" s="1015"/>
      <c r="M231" s="934" t="s">
        <v>4353</v>
      </c>
    </row>
    <row r="232" spans="1:13" s="1016" customFormat="1" ht="25.2" hidden="1" customHeight="1">
      <c r="A232" s="1086">
        <f t="shared" si="9"/>
        <v>0</v>
      </c>
      <c r="B232" s="1087" t="s">
        <v>525</v>
      </c>
      <c r="C232" s="2842"/>
      <c r="D232" s="1043"/>
      <c r="E232" s="1012" t="str">
        <f>VLOOKUP($B232,DG!A:D,DG!$B$2,)</f>
        <v>06.3231</v>
      </c>
      <c r="F232" s="1013" t="str">
        <f>VLOOKUP($B232,DG!A:D,DG!$C$2,)</f>
        <v>Cổ dê kẹp ống PVC  21</v>
      </c>
      <c r="G232" s="1012" t="str">
        <f>VLOOKUP($B232,DG!A:D,DG!$D$2,)</f>
        <v>bộ</v>
      </c>
      <c r="H232" s="1100">
        <f>2*H223</f>
        <v>0</v>
      </c>
      <c r="I232" s="1192">
        <f t="shared" si="10"/>
        <v>0</v>
      </c>
      <c r="J232" s="1041"/>
      <c r="K232" s="1041"/>
      <c r="L232" s="1015"/>
      <c r="M232" s="934" t="s">
        <v>4353</v>
      </c>
    </row>
    <row r="233" spans="1:13" s="1016" customFormat="1" ht="25.2" hidden="1" customHeight="1">
      <c r="A233" s="1086">
        <f t="shared" si="9"/>
        <v>0</v>
      </c>
      <c r="B233" s="1087" t="s">
        <v>1350</v>
      </c>
      <c r="C233" s="2842"/>
      <c r="D233" s="1011"/>
      <c r="E233" s="1012">
        <f>VLOOKUP($B233,DG!A:D,DG!$B$2,)</f>
        <v>0</v>
      </c>
      <c r="F233" s="1013" t="s">
        <v>821</v>
      </c>
      <c r="G233" s="1012" t="str">
        <f>VLOOKUP($B233,DG!A:D,DG!$D$2,)</f>
        <v>bộ</v>
      </c>
      <c r="H233" s="1713">
        <f>+H223*10</f>
        <v>0</v>
      </c>
      <c r="I233" s="1192">
        <f t="shared" si="10"/>
        <v>0</v>
      </c>
      <c r="J233" s="1014"/>
      <c r="K233" s="1014"/>
      <c r="L233" s="1015"/>
      <c r="M233" s="934" t="s">
        <v>4353</v>
      </c>
    </row>
    <row r="234" spans="1:13" s="1016" customFormat="1" ht="25.2" hidden="1" customHeight="1">
      <c r="A234" s="1086">
        <f t="shared" si="9"/>
        <v>0</v>
      </c>
      <c r="B234" s="1231" t="s">
        <v>2183</v>
      </c>
      <c r="C234" s="2844"/>
      <c r="D234" s="1043"/>
      <c r="E234" s="1012" t="str">
        <f>VLOOKUP($B234,DG!A:D,DG!$B$2,)</f>
        <v>04.7002</v>
      </c>
      <c r="F234" s="1013" t="str">
        <f>VLOOKUP($B234,DG!A:D,DG!$C$2,)</f>
        <v>Kéo dây tiếp địa trong TBA</v>
      </c>
      <c r="G234" s="1012" t="str">
        <f>VLOOKUP($B234,DG!A:D,DG!$D$2,)</f>
        <v>kg</v>
      </c>
      <c r="H234" s="1100">
        <f>H223*I3</f>
        <v>0</v>
      </c>
      <c r="I234" s="1192">
        <f t="shared" si="10"/>
        <v>0</v>
      </c>
      <c r="J234" s="1041"/>
      <c r="K234" s="1041"/>
      <c r="L234" s="1015"/>
      <c r="M234" s="934" t="s">
        <v>4353</v>
      </c>
    </row>
    <row r="235" spans="1:13" s="1016" customFormat="1" ht="25.2" hidden="1" customHeight="1">
      <c r="A235" s="1086">
        <f t="shared" si="9"/>
        <v>0</v>
      </c>
      <c r="B235" s="1087" t="s">
        <v>902</v>
      </c>
      <c r="C235" s="2842"/>
      <c r="D235" s="1043"/>
      <c r="E235" s="1012" t="str">
        <f>VLOOKUP($B235,DG!A:D,DG!$B$2,)</f>
        <v>04.7001</v>
      </c>
      <c r="F235" s="1013" t="str">
        <f>VLOOKUP($B235,DG!A:D,DG!$C$2,)</f>
        <v>Đóng cọc tiếp địa trong TBA</v>
      </c>
      <c r="G235" s="1012" t="str">
        <f>VLOOKUP($B235,DG!A:D,DG!$D$2,)</f>
        <v>cọc</v>
      </c>
      <c r="H235" s="1100">
        <f>H226</f>
        <v>0</v>
      </c>
      <c r="I235" s="1192">
        <f t="shared" si="10"/>
        <v>0</v>
      </c>
      <c r="J235" s="1041"/>
      <c r="K235" s="1041"/>
      <c r="L235" s="1015"/>
      <c r="M235" s="934" t="s">
        <v>4353</v>
      </c>
    </row>
    <row r="236" spans="1:13" s="1016" customFormat="1" ht="25.2" hidden="1" customHeight="1">
      <c r="A236" s="1086">
        <f t="shared" si="9"/>
        <v>0</v>
      </c>
      <c r="B236" s="1231" t="str">
        <f>"dtd"&amp;chitiet!G5</f>
        <v>dtd3</v>
      </c>
      <c r="C236" s="2844"/>
      <c r="D236" s="1043"/>
      <c r="E236" s="1012" t="str">
        <f>VLOOKUP($B236,DG!A:D,DG!$B$2,)</f>
        <v>03.3123</v>
      </c>
      <c r="F236" s="1013" t="str">
        <f>VLOOKUP($B236,DG!A:D,DG!$C$2,)</f>
        <v>Đào rãnh tiếp địa đất cấp 3</v>
      </c>
      <c r="G236" s="1012" t="str">
        <f>VLOOKUP($B236,DG!A:D,DG!$D$2,)</f>
        <v>m3</v>
      </c>
      <c r="H236" s="1100">
        <f>+H223*11*0.3*0.8</f>
        <v>0</v>
      </c>
      <c r="I236" s="1192">
        <f t="shared" si="10"/>
        <v>0</v>
      </c>
      <c r="J236" s="1041"/>
      <c r="K236" s="1041"/>
      <c r="L236" s="1015"/>
      <c r="M236" s="934" t="s">
        <v>4353</v>
      </c>
    </row>
    <row r="237" spans="1:13" s="1016" customFormat="1" ht="25.2" hidden="1" customHeight="1">
      <c r="A237" s="1086">
        <f t="shared" si="9"/>
        <v>0</v>
      </c>
      <c r="B237" s="1087" t="str">
        <f>"datd"&amp;chitiet!G5</f>
        <v>datd3</v>
      </c>
      <c r="C237" s="2842"/>
      <c r="D237" s="1043"/>
      <c r="E237" s="1012" t="str">
        <f>VLOOKUP($B237,DG!A:D,DG!$B$2,)</f>
        <v>03.4123</v>
      </c>
      <c r="F237" s="1013" t="str">
        <f>VLOOKUP($B237,DG!A:D,DG!$C$2,)</f>
        <v>Đắp đất rãnh tiếp độ chặt k=0,85</v>
      </c>
      <c r="G237" s="1012" t="str">
        <f>VLOOKUP($B237,DG!A:D,DG!$D$2,)</f>
        <v>m3</v>
      </c>
      <c r="H237" s="1100">
        <f>+H236</f>
        <v>0</v>
      </c>
      <c r="I237" s="1192">
        <f t="shared" si="10"/>
        <v>0</v>
      </c>
      <c r="J237" s="1041"/>
      <c r="K237" s="1041"/>
      <c r="L237" s="1015"/>
      <c r="M237" s="934" t="s">
        <v>4353</v>
      </c>
    </row>
    <row r="238" spans="1:13" s="1016" customFormat="1" ht="25.2" hidden="1" customHeight="1">
      <c r="A238" s="1086">
        <f t="shared" si="9"/>
        <v>0</v>
      </c>
      <c r="B238" s="1231"/>
      <c r="C238" s="2844"/>
      <c r="D238" s="1099">
        <f>IF(H238&gt;0,D223+1,D223)</f>
        <v>0</v>
      </c>
      <c r="E238" s="1012"/>
      <c r="F238" s="1119" t="s">
        <v>3683</v>
      </c>
      <c r="G238" s="1099" t="s">
        <v>2385</v>
      </c>
      <c r="H238" s="1707">
        <f>H218</f>
        <v>0</v>
      </c>
      <c r="I238" s="1192">
        <f t="shared" si="10"/>
        <v>0</v>
      </c>
      <c r="J238" s="1041"/>
      <c r="K238" s="1041"/>
      <c r="L238" s="1015"/>
      <c r="M238" s="934" t="s">
        <v>4353</v>
      </c>
    </row>
    <row r="239" spans="1:13" s="1016" customFormat="1" ht="25.2" hidden="1" customHeight="1">
      <c r="A239" s="1086">
        <f t="shared" si="9"/>
        <v>0</v>
      </c>
      <c r="B239" s="1231"/>
      <c r="C239" s="2844"/>
      <c r="D239" s="1099"/>
      <c r="E239" s="1012"/>
      <c r="F239" s="1265" t="s">
        <v>2279</v>
      </c>
      <c r="G239" s="1043"/>
      <c r="H239" s="1100"/>
      <c r="I239" s="1192">
        <f t="shared" si="10"/>
        <v>0</v>
      </c>
      <c r="J239" s="1041"/>
      <c r="K239" s="1041"/>
      <c r="L239" s="1015"/>
      <c r="M239" s="934" t="s">
        <v>4353</v>
      </c>
    </row>
    <row r="240" spans="1:13" s="1016" customFormat="1" ht="25.2" hidden="1" customHeight="1">
      <c r="A240" s="1086">
        <f t="shared" si="9"/>
        <v>0</v>
      </c>
      <c r="B240" s="1233" t="s">
        <v>616</v>
      </c>
      <c r="C240" s="2843"/>
      <c r="D240" s="1043"/>
      <c r="E240" s="1012" t="str">
        <f>VLOOKUP($B240,DG!A:D,DG!$B$2,)</f>
        <v>05.1001</v>
      </c>
      <c r="F240" s="1013" t="str">
        <f>VLOOKUP($B240,DG!A:D,DG!$C$2,)</f>
        <v>Tủ CB trạm 1 pha + khóa + boulon</v>
      </c>
      <c r="G240" s="1012" t="str">
        <f>VLOOKUP($B240,DG!A:D,DG!$D$2,)</f>
        <v>cái</v>
      </c>
      <c r="H240" s="1100">
        <f>H238</f>
        <v>0</v>
      </c>
      <c r="I240" s="1192">
        <f t="shared" si="10"/>
        <v>0</v>
      </c>
      <c r="J240" s="1041"/>
      <c r="K240" s="1041"/>
      <c r="L240" s="1015"/>
      <c r="M240" s="934" t="s">
        <v>4353</v>
      </c>
    </row>
    <row r="241" spans="1:13" s="1016" customFormat="1" ht="25.2" hidden="1" customHeight="1">
      <c r="A241" s="1086">
        <f t="shared" si="9"/>
        <v>0</v>
      </c>
      <c r="B241" s="1231" t="s">
        <v>879</v>
      </c>
      <c r="C241" s="2844"/>
      <c r="D241" s="1043"/>
      <c r="E241" s="1012" t="str">
        <f>VLOOKUP($B241,DG!A:D,DG!$B$2,)</f>
        <v>06.3231</v>
      </c>
      <c r="F241" s="1013" t="str">
        <f>VLOOKUP($B241,DG!A:D,DG!$C$2,)</f>
        <v>Cổ dê bắt tủ</v>
      </c>
      <c r="G241" s="1012" t="str">
        <f>VLOOKUP($B241,DG!A:D,DG!$D$2,)</f>
        <v>bộ</v>
      </c>
      <c r="H241" s="1100">
        <f>2*H238</f>
        <v>0</v>
      </c>
      <c r="I241" s="1192">
        <f t="shared" si="10"/>
        <v>0</v>
      </c>
      <c r="J241" s="1041"/>
      <c r="K241" s="1041"/>
      <c r="L241" s="1015"/>
      <c r="M241" s="934" t="s">
        <v>4353</v>
      </c>
    </row>
    <row r="242" spans="1:13" s="1016" customFormat="1" ht="25.2" hidden="1" customHeight="1">
      <c r="A242" s="1086">
        <f t="shared" si="9"/>
        <v>0</v>
      </c>
      <c r="B242" s="1231" t="s">
        <v>880</v>
      </c>
      <c r="C242" s="2844"/>
      <c r="D242" s="1043"/>
      <c r="E242" s="1012">
        <f>VLOOKUP($B242,DG!A:D,DG!$B$2,)</f>
        <v>0</v>
      </c>
      <c r="F242" s="1013" t="str">
        <f>VLOOKUP($B242,DG!A:D,DG!$C$2,)</f>
        <v xml:space="preserve">Bakelit 550x450 dầy 10mm </v>
      </c>
      <c r="G242" s="1012" t="str">
        <f>VLOOKUP($B242,DG!A:D,DG!$D$2,)</f>
        <v>cái</v>
      </c>
      <c r="H242" s="1100">
        <f>H238</f>
        <v>0</v>
      </c>
      <c r="I242" s="1192">
        <f t="shared" si="10"/>
        <v>0</v>
      </c>
      <c r="J242" s="1041"/>
      <c r="K242" s="1041"/>
      <c r="L242" s="1015"/>
      <c r="M242" s="934" t="s">
        <v>4353</v>
      </c>
    </row>
    <row r="243" spans="1:13" s="1016" customFormat="1" ht="25.2" hidden="1" customHeight="1">
      <c r="A243" s="1086">
        <f t="shared" si="9"/>
        <v>0</v>
      </c>
      <c r="B243" s="1231"/>
      <c r="C243" s="2844"/>
      <c r="D243" s="1099">
        <f>IF(H243&gt;0,D238+1,D238)</f>
        <v>0</v>
      </c>
      <c r="E243" s="1012"/>
      <c r="F243" s="1130" t="s">
        <v>3678</v>
      </c>
      <c r="G243" s="1099" t="s">
        <v>2385</v>
      </c>
      <c r="H243" s="1707">
        <f>H238</f>
        <v>0</v>
      </c>
      <c r="I243" s="1192">
        <f t="shared" si="10"/>
        <v>0</v>
      </c>
      <c r="J243" s="1041"/>
      <c r="K243" s="1041"/>
      <c r="L243" s="1015"/>
      <c r="M243" s="934" t="s">
        <v>4353</v>
      </c>
    </row>
    <row r="244" spans="1:13" s="1016" customFormat="1" ht="25.2" hidden="1" customHeight="1">
      <c r="A244" s="1086">
        <f t="shared" si="9"/>
        <v>0</v>
      </c>
      <c r="B244" s="1231"/>
      <c r="C244" s="2844"/>
      <c r="D244" s="1099"/>
      <c r="E244" s="1012"/>
      <c r="F244" s="1265" t="s">
        <v>2279</v>
      </c>
      <c r="G244" s="1043"/>
      <c r="H244" s="1100"/>
      <c r="I244" s="1192">
        <f t="shared" si="10"/>
        <v>0</v>
      </c>
      <c r="J244" s="1041"/>
      <c r="K244" s="1041"/>
      <c r="L244" s="1015"/>
      <c r="M244" s="934" t="s">
        <v>4353</v>
      </c>
    </row>
    <row r="245" spans="1:13" s="1016" customFormat="1" ht="25.2" hidden="1" customHeight="1">
      <c r="A245" s="1086">
        <f t="shared" si="9"/>
        <v>0</v>
      </c>
      <c r="B245" s="1229" t="s">
        <v>4449</v>
      </c>
      <c r="C245" s="2842"/>
      <c r="D245" s="1043"/>
      <c r="E245" s="1012">
        <f>VLOOKUP($B245,DG!A:D,DG!$B$2,)</f>
        <v>0</v>
      </c>
      <c r="F245" s="1013" t="str">
        <f>VLOOKUP($B245,DG!A:D,DG!$C$2,)</f>
        <v>Cáp 24KV C/XLPE/PVC 25mm2</v>
      </c>
      <c r="G245" s="1012" t="str">
        <f>VLOOKUP($B245,DG!A:D,DG!$D$2,)</f>
        <v>mét</v>
      </c>
      <c r="H245" s="1100">
        <f>3*H243</f>
        <v>0</v>
      </c>
      <c r="I245" s="1192">
        <f t="shared" si="10"/>
        <v>0</v>
      </c>
      <c r="J245" s="1041"/>
      <c r="K245" s="1041"/>
      <c r="L245" s="1015"/>
      <c r="M245" s="934" t="s">
        <v>4353</v>
      </c>
    </row>
    <row r="246" spans="1:13" s="1016" customFormat="1" ht="25.2" hidden="1" customHeight="1">
      <c r="A246" s="1086">
        <f t="shared" si="9"/>
        <v>0</v>
      </c>
      <c r="B246" s="1087" t="s">
        <v>1479</v>
      </c>
      <c r="C246" s="2842"/>
      <c r="D246" s="1043"/>
      <c r="E246" s="1012" t="str">
        <f>VLOOKUP($B246,DG!A:D,DG!$B$2,)</f>
        <v>04.3007</v>
      </c>
      <c r="F246" s="1013" t="str">
        <f>VLOOKUP($B246,DG!A:D,DG!$C$2,)</f>
        <v>Kẹp quai 2/0</v>
      </c>
      <c r="G246" s="1012" t="str">
        <f>VLOOKUP($B246,DG!A:D,DG!$D$2,)</f>
        <v>cái</v>
      </c>
      <c r="H246" s="1100">
        <f>H243</f>
        <v>0</v>
      </c>
      <c r="I246" s="1192">
        <f t="shared" si="10"/>
        <v>0</v>
      </c>
      <c r="J246" s="1041"/>
      <c r="K246" s="1041"/>
      <c r="L246" s="1015"/>
      <c r="M246" s="934" t="s">
        <v>4353</v>
      </c>
    </row>
    <row r="247" spans="1:13" s="1016" customFormat="1" ht="25.2" hidden="1" customHeight="1">
      <c r="A247" s="1086">
        <f t="shared" si="9"/>
        <v>0</v>
      </c>
      <c r="B247" s="1087" t="s">
        <v>1477</v>
      </c>
      <c r="C247" s="2842"/>
      <c r="D247" s="1043"/>
      <c r="E247" s="1012" t="str">
        <f>VLOOKUP($B247,DG!A:D,DG!$B$2,)</f>
        <v>04.3007</v>
      </c>
      <c r="F247" s="1013" t="str">
        <f>VLOOKUP($B247,DG!A:D,DG!$C$2,)</f>
        <v>Kẹp hotline 2/0</v>
      </c>
      <c r="G247" s="1012" t="str">
        <f>VLOOKUP($B247,DG!A:D,DG!$D$2,)</f>
        <v>cái</v>
      </c>
      <c r="H247" s="1100">
        <f>H243</f>
        <v>0</v>
      </c>
      <c r="I247" s="1192">
        <f t="shared" si="10"/>
        <v>0</v>
      </c>
      <c r="J247" s="1041"/>
      <c r="K247" s="1041"/>
      <c r="L247" s="1015"/>
      <c r="M247" s="934" t="s">
        <v>4353</v>
      </c>
    </row>
    <row r="248" spans="1:13" s="1016" customFormat="1" ht="25.2" hidden="1" customHeight="1">
      <c r="A248" s="1086">
        <f t="shared" si="9"/>
        <v>0</v>
      </c>
      <c r="B248" s="1087" t="s">
        <v>1525</v>
      </c>
      <c r="C248" s="2842"/>
      <c r="D248" s="1043"/>
      <c r="E248" s="1012" t="str">
        <f>VLOOKUP($B248,DG!A:D,DG!$B$2,)</f>
        <v>04.4201</v>
      </c>
      <c r="F248" s="1013" t="str">
        <f>VLOOKUP($B248,DG!A:D,DG!$C$2,)</f>
        <v>Lắp cáp đồng xuống thiết bị D ≤ 95mm2</v>
      </c>
      <c r="G248" s="1012" t="str">
        <f>VLOOKUP($B248,DG!A:D,DG!$D$2,)</f>
        <v>m</v>
      </c>
      <c r="H248" s="1100">
        <f>H245</f>
        <v>0</v>
      </c>
      <c r="I248" s="1192">
        <f t="shared" si="10"/>
        <v>0</v>
      </c>
      <c r="J248" s="1041"/>
      <c r="K248" s="1041"/>
      <c r="L248" s="1015"/>
      <c r="M248" s="934" t="s">
        <v>4353</v>
      </c>
    </row>
    <row r="249" spans="1:13" s="1016" customFormat="1" ht="25.2" hidden="1" customHeight="1">
      <c r="A249" s="1086">
        <f t="shared" si="9"/>
        <v>0</v>
      </c>
      <c r="B249" s="1226"/>
      <c r="C249" s="2841"/>
      <c r="D249" s="1099">
        <f>IF(H249&gt;0,D243+1,D243)</f>
        <v>0</v>
      </c>
      <c r="E249" s="1012"/>
      <c r="F249" s="1119" t="s">
        <v>3684</v>
      </c>
      <c r="G249" s="1099" t="s">
        <v>2385</v>
      </c>
      <c r="H249" s="1707">
        <f>H197</f>
        <v>0</v>
      </c>
      <c r="I249" s="1192">
        <f t="shared" si="10"/>
        <v>0</v>
      </c>
      <c r="J249" s="1041"/>
      <c r="K249" s="1041"/>
      <c r="L249" s="1015"/>
      <c r="M249" s="934" t="s">
        <v>4353</v>
      </c>
    </row>
    <row r="250" spans="1:13" s="1016" customFormat="1" ht="25.2" hidden="1" customHeight="1">
      <c r="A250" s="1086">
        <f t="shared" si="9"/>
        <v>0</v>
      </c>
      <c r="B250" s="1226"/>
      <c r="C250" s="2841"/>
      <c r="D250" s="1099"/>
      <c r="E250" s="1012"/>
      <c r="F250" s="1264" t="s">
        <v>2279</v>
      </c>
      <c r="G250" s="1099"/>
      <c r="H250" s="1707"/>
      <c r="I250" s="1192">
        <f t="shared" si="10"/>
        <v>0</v>
      </c>
      <c r="J250" s="1041"/>
      <c r="K250" s="1041"/>
      <c r="L250" s="1015"/>
      <c r="M250" s="934" t="s">
        <v>4353</v>
      </c>
    </row>
    <row r="251" spans="1:13" s="1016" customFormat="1" ht="25.2" hidden="1" customHeight="1">
      <c r="A251" s="1086">
        <f t="shared" si="9"/>
        <v>0</v>
      </c>
      <c r="B251" s="1226" t="s">
        <v>237</v>
      </c>
      <c r="C251" s="2841"/>
      <c r="D251" s="1099"/>
      <c r="E251" s="1012">
        <f>VLOOKUP($B251,DG!A:D,DG!$B$2,)</f>
        <v>0</v>
      </c>
      <c r="F251" s="1013" t="str">
        <f>VLOOKUP($B251,DG!A:D,DG!$C$2,)</f>
        <v>Cáp đồng bọc CV70</v>
      </c>
      <c r="G251" s="1012" t="str">
        <f>VLOOKUP($B251,DG!A:D,DG!$D$2,)</f>
        <v>mét</v>
      </c>
      <c r="H251" s="1100">
        <f>H249*10*2</f>
        <v>0</v>
      </c>
      <c r="I251" s="1192">
        <f t="shared" si="10"/>
        <v>0</v>
      </c>
      <c r="J251" s="1041"/>
      <c r="K251" s="1041"/>
      <c r="L251" s="1015"/>
      <c r="M251" s="934" t="s">
        <v>4353</v>
      </c>
    </row>
    <row r="252" spans="1:13" s="1016" customFormat="1" ht="25.2" hidden="1" customHeight="1">
      <c r="A252" s="1086">
        <f t="shared" si="9"/>
        <v>0</v>
      </c>
      <c r="B252" s="1226" t="s">
        <v>82</v>
      </c>
      <c r="C252" s="2841"/>
      <c r="D252" s="1099"/>
      <c r="E252" s="1012">
        <f>VLOOKUP($B252,DG!A:D,DG!$B$2,)</f>
        <v>0</v>
      </c>
      <c r="F252" s="1013" t="str">
        <f>VLOOKUP($B252,DG!A:D,DG!$C$2,)</f>
        <v>Cáp đồng bọc CV50</v>
      </c>
      <c r="G252" s="1012" t="str">
        <f>VLOOKUP($B252,DG!A:D,DG!$D$2,)</f>
        <v>mét</v>
      </c>
      <c r="H252" s="1100">
        <f>H249*10</f>
        <v>0</v>
      </c>
      <c r="I252" s="1192">
        <f t="shared" si="10"/>
        <v>0</v>
      </c>
      <c r="J252" s="1041"/>
      <c r="K252" s="1041"/>
      <c r="L252" s="1015"/>
      <c r="M252" s="934" t="s">
        <v>4353</v>
      </c>
    </row>
    <row r="253" spans="1:13" s="1016" customFormat="1" ht="25.2" hidden="1" customHeight="1">
      <c r="A253" s="1086">
        <f t="shared" si="9"/>
        <v>0</v>
      </c>
      <c r="B253" s="1226" t="s">
        <v>1069</v>
      </c>
      <c r="C253" s="2841"/>
      <c r="D253" s="1099"/>
      <c r="E253" s="1012" t="str">
        <f>VLOOKUP($B253,DG!A:D,DG!$B$2,)</f>
        <v>03.1401</v>
      </c>
      <c r="F253" s="1013" t="str">
        <f>VLOOKUP($B253,DG!A:D,DG!$C$2,)</f>
        <v xml:space="preserve">Cáp CVV 4x2,5mm2  </v>
      </c>
      <c r="G253" s="1012" t="str">
        <f>VLOOKUP($B253,DG!A:D,DG!$D$2,)</f>
        <v>mét</v>
      </c>
      <c r="H253" s="1100">
        <f>6*H249</f>
        <v>0</v>
      </c>
      <c r="I253" s="1192">
        <f t="shared" si="10"/>
        <v>0</v>
      </c>
      <c r="J253" s="1041"/>
      <c r="K253" s="1041"/>
      <c r="L253" s="1015"/>
      <c r="M253" s="934" t="s">
        <v>4353</v>
      </c>
    </row>
    <row r="254" spans="1:13" s="1016" customFormat="1" ht="25.2" hidden="1" customHeight="1">
      <c r="A254" s="1086">
        <f t="shared" si="9"/>
        <v>0</v>
      </c>
      <c r="B254" s="1231" t="s">
        <v>1303</v>
      </c>
      <c r="C254" s="2844"/>
      <c r="D254" s="1043"/>
      <c r="E254" s="1012" t="str">
        <f>VLOOKUP($B254,DG!A:D,DG!$B$2,)</f>
        <v>03.4003</v>
      </c>
      <c r="F254" s="1013" t="str">
        <f>VLOOKUP($B254,DG!A:D,DG!$C$2,)</f>
        <v>Đầu cosse ép Cu 70mm2</v>
      </c>
      <c r="G254" s="1012" t="str">
        <f>VLOOKUP($B254,DG!A:D,DG!$D$2,)</f>
        <v>cái</v>
      </c>
      <c r="H254" s="1100">
        <f>2*H249</f>
        <v>0</v>
      </c>
      <c r="I254" s="1192">
        <f t="shared" si="10"/>
        <v>0</v>
      </c>
      <c r="J254" s="1041"/>
      <c r="K254" s="1041"/>
      <c r="L254" s="1015"/>
      <c r="M254" s="934" t="s">
        <v>4353</v>
      </c>
    </row>
    <row r="255" spans="1:13" s="1016" customFormat="1" ht="25.2" hidden="1" customHeight="1">
      <c r="A255" s="1086">
        <f t="shared" si="9"/>
        <v>0</v>
      </c>
      <c r="B255" s="1231" t="s">
        <v>1302</v>
      </c>
      <c r="C255" s="2844"/>
      <c r="D255" s="1043"/>
      <c r="E255" s="1012" t="str">
        <f>VLOOKUP($B255,DG!A:D,DG!$B$2,)</f>
        <v>03.4002</v>
      </c>
      <c r="F255" s="1013" t="str">
        <f>VLOOKUP($B255,DG!A:D,DG!$C$2,)</f>
        <v>Đầu cosse ép Cu 50mm2</v>
      </c>
      <c r="G255" s="1012" t="str">
        <f>VLOOKUP($B255,DG!A:D,DG!$D$2,)</f>
        <v>cái</v>
      </c>
      <c r="H255" s="1100">
        <f>H249*2</f>
        <v>0</v>
      </c>
      <c r="I255" s="1192">
        <f t="shared" si="10"/>
        <v>0</v>
      </c>
      <c r="J255" s="1041"/>
      <c r="K255" s="1041"/>
      <c r="L255" s="1015"/>
      <c r="M255" s="934" t="s">
        <v>4353</v>
      </c>
    </row>
    <row r="256" spans="1:13" s="1016" customFormat="1" ht="25.2" hidden="1" customHeight="1">
      <c r="A256" s="1086">
        <f t="shared" si="9"/>
        <v>0</v>
      </c>
      <c r="B256" s="1245" t="s">
        <v>611</v>
      </c>
      <c r="C256" s="2847"/>
      <c r="D256" s="1043"/>
      <c r="E256" s="1012">
        <f>VLOOKUP($B256,DG!A:D,DG!$B$2,)</f>
        <v>0</v>
      </c>
      <c r="F256" s="1013" t="str">
        <f>VLOOKUP($B256,DG!A:D,DG!$C$2,)</f>
        <v>Chụp đầu cosse  70mm2</v>
      </c>
      <c r="G256" s="1012" t="str">
        <f>VLOOKUP($B256,DG!A:D,DG!$D$2,)</f>
        <v>cái</v>
      </c>
      <c r="H256" s="1100">
        <f>H254</f>
        <v>0</v>
      </c>
      <c r="I256" s="1192">
        <f t="shared" si="10"/>
        <v>0</v>
      </c>
      <c r="J256" s="1041"/>
      <c r="K256" s="1041"/>
      <c r="L256" s="1015"/>
      <c r="M256" s="934" t="s">
        <v>4353</v>
      </c>
    </row>
    <row r="257" spans="1:13" s="1016" customFormat="1" ht="25.2" hidden="1" customHeight="1">
      <c r="A257" s="1086">
        <f t="shared" si="9"/>
        <v>0</v>
      </c>
      <c r="B257" s="1245" t="s">
        <v>2151</v>
      </c>
      <c r="C257" s="2847"/>
      <c r="D257" s="1043"/>
      <c r="E257" s="1012">
        <f>VLOOKUP($B257,DG!A:D,DG!$B$2,)</f>
        <v>0</v>
      </c>
      <c r="F257" s="1013" t="str">
        <f>VLOOKUP($B257,DG!A:D,DG!$C$2,)</f>
        <v>Chụp đầu cosse  50mm2</v>
      </c>
      <c r="G257" s="1012" t="str">
        <f>VLOOKUP($B257,DG!A:D,DG!$D$2,)</f>
        <v>cái</v>
      </c>
      <c r="H257" s="1100">
        <f>H255</f>
        <v>0</v>
      </c>
      <c r="I257" s="1192">
        <f t="shared" si="10"/>
        <v>0</v>
      </c>
      <c r="J257" s="1041"/>
      <c r="K257" s="1041"/>
      <c r="L257" s="1015"/>
      <c r="M257" s="934" t="s">
        <v>4353</v>
      </c>
    </row>
    <row r="258" spans="1:13" s="1016" customFormat="1" ht="25.2" hidden="1" customHeight="1">
      <c r="A258" s="1086">
        <f t="shared" si="9"/>
        <v>0</v>
      </c>
      <c r="B258" s="1231" t="s">
        <v>282</v>
      </c>
      <c r="C258" s="2844"/>
      <c r="D258" s="1043"/>
      <c r="E258" s="1012" t="str">
        <f>VLOOKUP($B258,DG!A:D,DG!$B$2,)</f>
        <v>04.8003</v>
      </c>
      <c r="F258" s="1013" t="str">
        <f>VLOOKUP($B258,DG!A:D,DG!$C$2,)</f>
        <v xml:space="preserve">Ống PVC D90x3,8mm </v>
      </c>
      <c r="G258" s="1012" t="str">
        <f>VLOOKUP($B258,DG!A:D,DG!$D$2,)</f>
        <v>m</v>
      </c>
      <c r="H258" s="1100">
        <f>8*H249</f>
        <v>0</v>
      </c>
      <c r="I258" s="1192">
        <f t="shared" si="10"/>
        <v>0</v>
      </c>
      <c r="J258" s="1041"/>
      <c r="K258" s="1041"/>
      <c r="L258" s="1015"/>
      <c r="M258" s="934" t="s">
        <v>4353</v>
      </c>
    </row>
    <row r="259" spans="1:13" s="1016" customFormat="1" ht="25.2" hidden="1" customHeight="1">
      <c r="A259" s="1086">
        <f t="shared" si="9"/>
        <v>0</v>
      </c>
      <c r="B259" s="1087" t="s">
        <v>276</v>
      </c>
      <c r="C259" s="2842"/>
      <c r="D259" s="1043"/>
      <c r="E259" s="1012" t="str">
        <f>VLOOKUP($B259,DG!A:D,DG!$B$2,)</f>
        <v>06.3231</v>
      </c>
      <c r="F259" s="1013" t="str">
        <f>VLOOKUP($B259,DG!A:D,DG!$C$2,)</f>
        <v>Cổ dê kẹp ống PVC Ø 90</v>
      </c>
      <c r="G259" s="1012" t="str">
        <f>VLOOKUP($B259,DG!A:D,DG!$D$2,)</f>
        <v>bộ</v>
      </c>
      <c r="H259" s="1100">
        <f>3*H249</f>
        <v>0</v>
      </c>
      <c r="I259" s="1192">
        <f t="shared" si="10"/>
        <v>0</v>
      </c>
      <c r="J259" s="1041"/>
      <c r="K259" s="1041"/>
      <c r="L259" s="1015"/>
      <c r="M259" s="934" t="s">
        <v>4353</v>
      </c>
    </row>
    <row r="260" spans="1:13" s="1016" customFormat="1" ht="25.2" hidden="1" customHeight="1">
      <c r="A260" s="1086">
        <f t="shared" si="9"/>
        <v>0</v>
      </c>
      <c r="B260" s="1231" t="s">
        <v>283</v>
      </c>
      <c r="C260" s="2844"/>
      <c r="D260" s="1043"/>
      <c r="E260" s="1012">
        <f>VLOOKUP($B260,DG!A:D,DG!$B$2,)</f>
        <v>0</v>
      </c>
      <c r="F260" s="1013" t="str">
        <f>VLOOKUP($B260,DG!A:D,DG!$C$2,)</f>
        <v>Co sừng 90 độ PVC 90</v>
      </c>
      <c r="G260" s="1012" t="str">
        <f>VLOOKUP($B260,DG!A:D,DG!$D$2,)</f>
        <v>cái</v>
      </c>
      <c r="H260" s="1100">
        <f>4*H249</f>
        <v>0</v>
      </c>
      <c r="I260" s="1192">
        <f t="shared" si="10"/>
        <v>0</v>
      </c>
      <c r="J260" s="1041"/>
      <c r="K260" s="1041"/>
      <c r="L260" s="1015"/>
      <c r="M260" s="934" t="s">
        <v>4353</v>
      </c>
    </row>
    <row r="261" spans="1:13" s="1016" customFormat="1" ht="25.2" hidden="1" customHeight="1">
      <c r="A261" s="1086">
        <f t="shared" si="9"/>
        <v>0</v>
      </c>
      <c r="B261" s="1231" t="s">
        <v>725</v>
      </c>
      <c r="C261" s="2844"/>
      <c r="D261" s="1043"/>
      <c r="E261" s="1012">
        <f>VLOOKUP($B261,DG!A:D,DG!$B$2,)</f>
        <v>0</v>
      </c>
      <c r="F261" s="1013" t="str">
        <f>VLOOKUP($B261,DG!A:D,DG!$C$2,)</f>
        <v xml:space="preserve">Nối thẳng ống PVC 90 </v>
      </c>
      <c r="G261" s="1012" t="str">
        <f>VLOOKUP($B261,DG!A:D,DG!$D$2,)</f>
        <v>cái</v>
      </c>
      <c r="H261" s="1100">
        <f>H249</f>
        <v>0</v>
      </c>
      <c r="I261" s="1192">
        <f t="shared" si="10"/>
        <v>0</v>
      </c>
      <c r="J261" s="1041"/>
      <c r="K261" s="1041"/>
      <c r="L261" s="1015"/>
      <c r="M261" s="934" t="s">
        <v>4353</v>
      </c>
    </row>
    <row r="262" spans="1:13" s="1016" customFormat="1" ht="25.2" hidden="1" customHeight="1">
      <c r="A262" s="1086">
        <f t="shared" si="9"/>
        <v>0</v>
      </c>
      <c r="B262" s="1231" t="s">
        <v>2074</v>
      </c>
      <c r="C262" s="2844"/>
      <c r="D262" s="1043"/>
      <c r="E262" s="1012">
        <f>VLOOKUP($B262,DG!A:D,DG!$B$2,)</f>
        <v>0</v>
      </c>
      <c r="F262" s="1013" t="str">
        <f>VLOOKUP($B262,DG!A:D,DG!$C$2,)</f>
        <v>Keo dán ống PVC (100gr)</v>
      </c>
      <c r="G262" s="1012" t="str">
        <f>VLOOKUP($B262,DG!A:D,DG!$D$2,)</f>
        <v>tuýp</v>
      </c>
      <c r="H262" s="1100">
        <f>H249</f>
        <v>0</v>
      </c>
      <c r="I262" s="1192">
        <f t="shared" si="10"/>
        <v>0</v>
      </c>
      <c r="J262" s="1041"/>
      <c r="K262" s="1041"/>
      <c r="L262" s="1015"/>
      <c r="M262" s="934" t="s">
        <v>4353</v>
      </c>
    </row>
    <row r="263" spans="1:13" s="1016" customFormat="1" ht="25.2" hidden="1" customHeight="1">
      <c r="A263" s="1086">
        <f t="shared" si="9"/>
        <v>0</v>
      </c>
      <c r="B263" s="1231" t="s">
        <v>489</v>
      </c>
      <c r="C263" s="2844"/>
      <c r="D263" s="1043"/>
      <c r="E263" s="1012">
        <f>VLOOKUP($B263,DG!A:D,DG!$B$2,)</f>
        <v>0</v>
      </c>
      <c r="F263" s="1013" t="str">
        <f>VLOOKUP($B263,DG!A:D,DG!$C$2,)</f>
        <v>Keo silicon bít miệng ống</v>
      </c>
      <c r="G263" s="1012" t="str">
        <f>VLOOKUP($B263,DG!A:D,DG!$D$2,)</f>
        <v>ống</v>
      </c>
      <c r="H263" s="1100">
        <f>H249</f>
        <v>0</v>
      </c>
      <c r="I263" s="1192">
        <f t="shared" si="10"/>
        <v>0</v>
      </c>
      <c r="J263" s="1041"/>
      <c r="K263" s="1041"/>
      <c r="L263" s="1015"/>
      <c r="M263" s="934" t="s">
        <v>4353</v>
      </c>
    </row>
    <row r="264" spans="1:13" s="1016" customFormat="1" ht="25.2" hidden="1" customHeight="1">
      <c r="A264" s="1086">
        <f t="shared" si="9"/>
        <v>0</v>
      </c>
      <c r="B264" s="1087" t="s">
        <v>672</v>
      </c>
      <c r="C264" s="2842"/>
      <c r="D264" s="1043"/>
      <c r="E264" s="1012">
        <f>VLOOKUP($B264,DG!A:D,DG!$B$2,)</f>
        <v>0</v>
      </c>
      <c r="F264" s="1013" t="str">
        <f>VLOOKUP($B264,DG!A:D,DG!$C$2,)</f>
        <v>Băng keo cách điện</v>
      </c>
      <c r="G264" s="1012" t="str">
        <f>VLOOKUP($B264,DG!A:D,DG!$D$2,)</f>
        <v>cuộn</v>
      </c>
      <c r="H264" s="1100">
        <f>H249</f>
        <v>0</v>
      </c>
      <c r="I264" s="1192">
        <f t="shared" si="10"/>
        <v>0</v>
      </c>
      <c r="J264" s="1041"/>
      <c r="K264" s="1041"/>
      <c r="L264" s="1015"/>
      <c r="M264" s="934" t="s">
        <v>4353</v>
      </c>
    </row>
    <row r="265" spans="1:13" s="1016" customFormat="1" ht="25.2" hidden="1" customHeight="1">
      <c r="A265" s="1086">
        <f t="shared" si="9"/>
        <v>0</v>
      </c>
      <c r="B265" s="1231" t="s">
        <v>2182</v>
      </c>
      <c r="C265" s="2844"/>
      <c r="D265" s="1043"/>
      <c r="E265" s="1012" t="str">
        <f>VLOOKUP($B265,DG!A:D,DG!$B$2,)</f>
        <v>07.2415</v>
      </c>
      <c r="F265" s="1013" t="str">
        <f>VLOOKUP($B265,DG!A:D,DG!$C$2,)</f>
        <v>Lắp ống nhựa PVC D90</v>
      </c>
      <c r="G265" s="1012" t="str">
        <f>VLOOKUP($B265,DG!A:D,DG!$D$2,)</f>
        <v>mét</v>
      </c>
      <c r="H265" s="1100">
        <f>H258</f>
        <v>0</v>
      </c>
      <c r="I265" s="1192">
        <f t="shared" si="10"/>
        <v>0</v>
      </c>
      <c r="J265" s="1041"/>
      <c r="K265" s="1041"/>
      <c r="L265" s="1015"/>
      <c r="M265" s="934" t="s">
        <v>4353</v>
      </c>
    </row>
    <row r="266" spans="1:13" s="1016" customFormat="1" ht="25.2" hidden="1" customHeight="1">
      <c r="A266" s="1086">
        <f t="shared" si="9"/>
        <v>0</v>
      </c>
      <c r="B266" s="1087" t="s">
        <v>1525</v>
      </c>
      <c r="C266" s="2842"/>
      <c r="D266" s="1043"/>
      <c r="E266" s="1012" t="str">
        <f>VLOOKUP($B266,DG!A:D,DG!$B$2,)</f>
        <v>04.4201</v>
      </c>
      <c r="F266" s="1013" t="str">
        <f>VLOOKUP($B266,DG!A:D,DG!$C$2,)</f>
        <v>Lắp cáp đồng xuống thiết bị D ≤ 95mm2</v>
      </c>
      <c r="G266" s="1012" t="str">
        <f>VLOOKUP($B266,DG!A:D,DG!$D$2,)</f>
        <v>m</v>
      </c>
      <c r="H266" s="1100">
        <f>H251+H252</f>
        <v>0</v>
      </c>
      <c r="I266" s="1192">
        <f t="shared" si="10"/>
        <v>0</v>
      </c>
      <c r="J266" s="1041"/>
      <c r="K266" s="1041"/>
      <c r="L266" s="1015"/>
      <c r="M266" s="934" t="s">
        <v>4353</v>
      </c>
    </row>
    <row r="267" spans="1:13" s="1016" customFormat="1" ht="25.2" hidden="1" customHeight="1">
      <c r="A267" s="1086">
        <f t="shared" si="9"/>
        <v>0</v>
      </c>
      <c r="B267" s="1231" t="s">
        <v>289</v>
      </c>
      <c r="C267" s="2844"/>
      <c r="D267" s="1103">
        <f>IF(H267&gt;0,D249+1,D249)</f>
        <v>0</v>
      </c>
      <c r="E267" s="1012" t="str">
        <f>VLOOKUP($B267,DG!A:D,DG!$B$2,)</f>
        <v>06.3191</v>
      </c>
      <c r="F267" s="1013" t="str">
        <f>VLOOKUP($B267,DG!A:D,DG!$C$2,)</f>
        <v>Bảng tên trạm, bảng báo nguy hiểm + đinh vít</v>
      </c>
      <c r="G267" s="1012" t="str">
        <f>VLOOKUP($B267,DG!A:D,DG!$D$2,)</f>
        <v>bộ</v>
      </c>
      <c r="H267" s="1708">
        <f>H218</f>
        <v>0</v>
      </c>
      <c r="I267" s="1192">
        <f t="shared" si="10"/>
        <v>0</v>
      </c>
      <c r="J267" s="1041"/>
      <c r="K267" s="1041"/>
      <c r="L267" s="1031"/>
      <c r="M267" s="934" t="s">
        <v>4353</v>
      </c>
    </row>
    <row r="268" spans="1:13" s="1016" customFormat="1" ht="25.2" hidden="1" customHeight="1">
      <c r="A268" s="1086">
        <f t="shared" si="9"/>
        <v>0</v>
      </c>
      <c r="B268" s="1226"/>
      <c r="C268" s="2841"/>
      <c r="D268" s="1123"/>
      <c r="E268" s="1124"/>
      <c r="F268" s="1003"/>
      <c r="G268" s="1125"/>
      <c r="H268" s="1709"/>
      <c r="I268" s="1192">
        <f t="shared" si="10"/>
        <v>0</v>
      </c>
      <c r="J268" s="1126"/>
      <c r="K268" s="1127"/>
      <c r="L268" s="1069"/>
      <c r="M268" s="934"/>
    </row>
    <row r="269" spans="1:13" s="1016" customFormat="1" ht="25.2" hidden="1" customHeight="1">
      <c r="A269" s="1086">
        <f t="shared" si="9"/>
        <v>0</v>
      </c>
      <c r="B269" s="1221"/>
      <c r="C269" s="2845"/>
      <c r="D269" s="1094"/>
      <c r="E269" s="934"/>
      <c r="H269" s="1735"/>
      <c r="I269" s="1192">
        <f t="shared" si="10"/>
        <v>0</v>
      </c>
      <c r="M269" s="934"/>
    </row>
    <row r="270" spans="1:13" s="1016" customFormat="1" ht="25.2" hidden="1" customHeight="1">
      <c r="A270" s="1086">
        <f t="shared" si="9"/>
        <v>0</v>
      </c>
      <c r="B270" s="1221"/>
      <c r="C270" s="2845"/>
      <c r="D270" s="1067" t="str">
        <f>"BAÛNG TOÅNG HÔÏP VAÄT LIEÄU, NHAÂN COÂNG, MAÙY THI COÂNG : "&amp;I9&amp;" TRAÏM 1P50KVA"</f>
        <v>BAÛNG TOÅNG HÔÏP VAÄT LIEÄU, NHAÂN COÂNG, MAÙY THI COÂNG :  TRAÏM 1P50KVA</v>
      </c>
      <c r="E270" s="1128"/>
      <c r="F270" s="1033"/>
      <c r="G270" s="1033"/>
      <c r="H270" s="1710"/>
      <c r="I270" s="1192">
        <f t="shared" si="10"/>
        <v>0</v>
      </c>
      <c r="J270" s="1033"/>
      <c r="K270" s="1033"/>
      <c r="L270" s="934"/>
      <c r="M270" s="934"/>
    </row>
    <row r="271" spans="1:13" s="1016" customFormat="1" ht="25.2" hidden="1" customHeight="1">
      <c r="A271" s="1086">
        <f t="shared" si="9"/>
        <v>0</v>
      </c>
      <c r="B271" s="1226"/>
      <c r="C271" s="2841"/>
      <c r="D271" s="1089"/>
      <c r="E271" s="1090"/>
      <c r="F271" s="1003" t="s">
        <v>3685</v>
      </c>
      <c r="G271" s="1092"/>
      <c r="H271" s="1706"/>
      <c r="I271" s="1192">
        <f t="shared" si="10"/>
        <v>0</v>
      </c>
      <c r="J271" s="1092"/>
      <c r="K271" s="1092"/>
      <c r="L271" s="1069"/>
      <c r="M271" s="934">
        <v>50</v>
      </c>
    </row>
    <row r="272" spans="1:13" s="1016" customFormat="1" ht="25.2" hidden="1" customHeight="1">
      <c r="A272" s="1086">
        <f t="shared" si="9"/>
        <v>0</v>
      </c>
      <c r="B272" s="1227" t="s">
        <v>1212</v>
      </c>
      <c r="C272" s="2840"/>
      <c r="D272" s="1023">
        <f>IF(H272&gt;0,1,0)</f>
        <v>0</v>
      </c>
      <c r="E272" s="1012" t="str">
        <f>VLOOKUP($B272,DG!A:D,DG!$B$2,)</f>
        <v>01.1162</v>
      </c>
      <c r="F272" s="1013" t="str">
        <f>VLOOKUP($B272,DG!A:D,DG!$C$2,)</f>
        <v>Máy biến áp 12,7/0,23-0,46kV 50kVA</v>
      </c>
      <c r="G272" s="1012" t="str">
        <f>VLOOKUP($B272,DG!A:D,DG!$D$2,)</f>
        <v>máy</v>
      </c>
      <c r="H272" s="1711">
        <f>I9</f>
        <v>0</v>
      </c>
      <c r="I272" s="1192">
        <f t="shared" si="10"/>
        <v>0</v>
      </c>
      <c r="J272" s="1041"/>
      <c r="K272" s="1041"/>
      <c r="L272" s="1015"/>
      <c r="M272" s="934">
        <v>50</v>
      </c>
    </row>
    <row r="273" spans="1:13" s="1016" customFormat="1" ht="25.2" hidden="1" customHeight="1">
      <c r="A273" s="1086">
        <f t="shared" si="9"/>
        <v>0</v>
      </c>
      <c r="B273" s="1227" t="s">
        <v>1652</v>
      </c>
      <c r="C273" s="2840"/>
      <c r="D273" s="1023">
        <f t="shared" ref="D273:D279" si="11">IF(H273&gt;0,D272+1,D272)</f>
        <v>0</v>
      </c>
      <c r="E273" s="1012" t="str">
        <f>VLOOKUP($B273,DG!A:D,DG!$B$2,)</f>
        <v>02.3155</v>
      </c>
      <c r="F273" s="1013" t="str">
        <f>VLOOKUP($B273,DG!A:D,DG!$C$2,)</f>
        <v>FCO 24kV - 100A</v>
      </c>
      <c r="G273" s="1012" t="str">
        <f>VLOOKUP($B273,DG!A:D,DG!$D$2,)</f>
        <v>cái</v>
      </c>
      <c r="H273" s="1100">
        <f>+H272</f>
        <v>0</v>
      </c>
      <c r="I273" s="1192">
        <f t="shared" si="10"/>
        <v>0</v>
      </c>
      <c r="J273" s="1041"/>
      <c r="K273" s="1041"/>
      <c r="L273" s="1015"/>
      <c r="M273" s="934">
        <v>50</v>
      </c>
    </row>
    <row r="274" spans="1:13" s="1016" customFormat="1" ht="25.2" hidden="1" customHeight="1">
      <c r="A274" s="1086">
        <f t="shared" si="9"/>
        <v>0</v>
      </c>
      <c r="B274" s="1227" t="s">
        <v>26</v>
      </c>
      <c r="C274" s="2840"/>
      <c r="D274" s="1023">
        <f t="shared" si="11"/>
        <v>0</v>
      </c>
      <c r="E274" s="1012">
        <f>VLOOKUP($B274,DG!A:D,DG!$B$2,)</f>
        <v>0</v>
      </c>
      <c r="F274" s="1013" t="str">
        <f>VLOOKUP($B274,DG!A:D,DG!$C$2,)</f>
        <v>Dây chảy 6K</v>
      </c>
      <c r="G274" s="1012" t="str">
        <f>VLOOKUP($B274,DG!A:D,DG!$D$2,)</f>
        <v>Sợi</v>
      </c>
      <c r="H274" s="1100">
        <f>H273</f>
        <v>0</v>
      </c>
      <c r="I274" s="1192">
        <f t="shared" si="10"/>
        <v>0</v>
      </c>
      <c r="J274" s="1041"/>
      <c r="K274" s="1041"/>
      <c r="L274" s="1015"/>
      <c r="M274" s="934">
        <v>50</v>
      </c>
    </row>
    <row r="275" spans="1:13" s="1016" customFormat="1" ht="25.2" hidden="1" customHeight="1">
      <c r="A275" s="1086">
        <f t="shared" si="9"/>
        <v>0</v>
      </c>
      <c r="B275" s="1221" t="s">
        <v>1373</v>
      </c>
      <c r="C275" s="2845"/>
      <c r="D275" s="1023">
        <f t="shared" si="11"/>
        <v>0</v>
      </c>
      <c r="E275" s="1012" t="str">
        <f>VLOOKUP($B275,DG!A:D,DG!$B$2,)</f>
        <v>02.5114</v>
      </c>
      <c r="F275" s="1013" t="str">
        <f>VLOOKUP($B275,DG!A:D,DG!$C$2,)</f>
        <v>Chống sét van LA-18KV-10KA</v>
      </c>
      <c r="G275" s="1012" t="str">
        <f>VLOOKUP($B275,DG!A:D,DG!$D$2,)</f>
        <v>cái</v>
      </c>
      <c r="H275" s="1100">
        <f>H273</f>
        <v>0</v>
      </c>
      <c r="I275" s="1192">
        <f t="shared" si="10"/>
        <v>0</v>
      </c>
      <c r="J275" s="1041"/>
      <c r="K275" s="1041"/>
      <c r="L275" s="1015"/>
      <c r="M275" s="934">
        <v>50</v>
      </c>
    </row>
    <row r="276" spans="1:13" s="1016" customFormat="1" ht="25.2" hidden="1" customHeight="1">
      <c r="A276" s="1086">
        <f t="shared" si="9"/>
        <v>0</v>
      </c>
      <c r="B276" s="1228" t="s">
        <v>1560</v>
      </c>
      <c r="C276" s="2840"/>
      <c r="D276" s="1023">
        <f t="shared" si="11"/>
        <v>0</v>
      </c>
      <c r="E276" s="1012" t="str">
        <f>VLOOKUP($B276,DG!A:D,DG!$B$2,)</f>
        <v>02.8401</v>
      </c>
      <c r="F276" s="1013" t="str">
        <f>VLOOKUP($B276,DG!A:D,DG!$C$2,)</f>
        <v xml:space="preserve">MCCB 3 cực 600V -250A - 36KA </v>
      </c>
      <c r="G276" s="1012" t="str">
        <f>VLOOKUP($B276,DG!A:D,DG!$D$2,)</f>
        <v>cái</v>
      </c>
      <c r="H276" s="1100">
        <f>H272</f>
        <v>0</v>
      </c>
      <c r="I276" s="1192">
        <f t="shared" si="10"/>
        <v>0</v>
      </c>
      <c r="J276" s="1041"/>
      <c r="K276" s="1041"/>
      <c r="L276" s="1015"/>
      <c r="M276" s="934">
        <v>50</v>
      </c>
    </row>
    <row r="277" spans="1:13" s="1016" customFormat="1" ht="25.2" hidden="1" customHeight="1">
      <c r="A277" s="1086">
        <f t="shared" si="9"/>
        <v>0</v>
      </c>
      <c r="B277" s="1229" t="s">
        <v>1116</v>
      </c>
      <c r="C277" s="2842"/>
      <c r="D277" s="1023">
        <f t="shared" si="11"/>
        <v>1</v>
      </c>
      <c r="E277" s="1012">
        <f>VLOOKUP($B277,DG!A:D,DG!$B$2,)</f>
        <v>0</v>
      </c>
      <c r="F277" s="1013" t="str">
        <f>VLOOKUP($B277,DG!A:D,DG!$C$2,)</f>
        <v xml:space="preserve">Biến dòng 600V - 200/5A </v>
      </c>
      <c r="G277" s="1012" t="str">
        <f>VLOOKUP($B277,DG!A:D,DG!$D$2,)</f>
        <v>cái</v>
      </c>
      <c r="H277" s="1100">
        <v>1</v>
      </c>
      <c r="I277" s="1192">
        <f t="shared" si="10"/>
        <v>0</v>
      </c>
      <c r="J277" s="1041"/>
      <c r="K277" s="1041"/>
      <c r="L277" s="1043" t="s">
        <v>2601</v>
      </c>
      <c r="M277" s="934">
        <v>50</v>
      </c>
    </row>
    <row r="278" spans="1:13" s="1016" customFormat="1" ht="25.2" hidden="1" customHeight="1">
      <c r="A278" s="1086">
        <f t="shared" si="9"/>
        <v>0</v>
      </c>
      <c r="B278" s="1233" t="s">
        <v>287</v>
      </c>
      <c r="C278" s="2843"/>
      <c r="D278" s="1023">
        <f t="shared" si="11"/>
        <v>2</v>
      </c>
      <c r="E278" s="1012">
        <f>VLOOKUP($B278,DG!A:D,DG!$B$2,)</f>
        <v>0</v>
      </c>
      <c r="F278" s="1013" t="str">
        <f>VLOOKUP($B278,DG!A:D,DG!$C$2,)</f>
        <v>Điện kế 1 pha 2 dây 220V-5A</v>
      </c>
      <c r="G278" s="1012" t="str">
        <f>VLOOKUP($B278,DG!A:D,DG!$D$2,)</f>
        <v>cái</v>
      </c>
      <c r="H278" s="1865">
        <f>H277</f>
        <v>1</v>
      </c>
      <c r="I278" s="1192">
        <f t="shared" si="10"/>
        <v>0</v>
      </c>
      <c r="J278" s="1041"/>
      <c r="K278" s="1041"/>
      <c r="L278" s="1043" t="s">
        <v>2601</v>
      </c>
      <c r="M278" s="934">
        <v>50</v>
      </c>
    </row>
    <row r="279" spans="1:13" s="1016" customFormat="1" ht="25.2" hidden="1" customHeight="1">
      <c r="A279" s="1086">
        <f t="shared" si="9"/>
        <v>0</v>
      </c>
      <c r="B279" s="1226" t="s">
        <v>199</v>
      </c>
      <c r="C279" s="2841"/>
      <c r="D279" s="1023">
        <f t="shared" si="11"/>
        <v>2</v>
      </c>
      <c r="E279" s="1012">
        <f>VLOOKUP($B279,DG!A:D,DG!$B$2,)</f>
        <v>0</v>
      </c>
      <c r="F279" s="1013" t="str">
        <f>VLOOKUP($B279,DG!A:D,DG!$C$2,)</f>
        <v xml:space="preserve">Ampe kế 100/5A-600v +AS </v>
      </c>
      <c r="G279" s="1012" t="str">
        <f>VLOOKUP($B279,DG!A:D,DG!$D$2,)</f>
        <v>Bộ</v>
      </c>
      <c r="H279" s="1100">
        <f>H278*0</f>
        <v>0</v>
      </c>
      <c r="I279" s="1192">
        <f t="shared" si="10"/>
        <v>0</v>
      </c>
      <c r="J279" s="1041"/>
      <c r="K279" s="1041"/>
      <c r="L279" s="1015"/>
      <c r="M279" s="934">
        <v>50</v>
      </c>
    </row>
    <row r="280" spans="1:13" s="1016" customFormat="1" ht="25.2" hidden="1" customHeight="1">
      <c r="A280" s="1086">
        <f t="shared" si="9"/>
        <v>0</v>
      </c>
      <c r="B280" s="1226"/>
      <c r="C280" s="2841"/>
      <c r="D280" s="1040"/>
      <c r="E280" s="1112"/>
      <c r="F280" s="1093" t="s">
        <v>3686</v>
      </c>
      <c r="G280" s="1040"/>
      <c r="H280" s="1135"/>
      <c r="I280" s="1192">
        <f t="shared" si="10"/>
        <v>0</v>
      </c>
      <c r="J280" s="1093"/>
      <c r="K280" s="1040"/>
      <c r="L280" s="1069"/>
      <c r="M280" s="934">
        <v>50</v>
      </c>
    </row>
    <row r="281" spans="1:13" s="1016" customFormat="1" ht="25.2" hidden="1" customHeight="1">
      <c r="A281" s="1086">
        <f t="shared" si="9"/>
        <v>0</v>
      </c>
      <c r="B281" s="1226"/>
      <c r="C281" s="2841"/>
      <c r="D281" s="1089"/>
      <c r="E281" s="1090"/>
      <c r="F281" s="1126" t="s">
        <v>4450</v>
      </c>
      <c r="G281" s="1092"/>
      <c r="H281" s="1706"/>
      <c r="I281" s="1192">
        <f t="shared" si="10"/>
        <v>0</v>
      </c>
      <c r="J281" s="1092"/>
      <c r="K281" s="1092"/>
      <c r="L281" s="1069"/>
      <c r="M281" s="934">
        <v>50</v>
      </c>
    </row>
    <row r="282" spans="1:13" s="1016" customFormat="1" ht="25.2" hidden="1" customHeight="1">
      <c r="A282" s="1086">
        <f t="shared" ref="A282:A345" si="12">IF(AND(M282=$M$23,I282&gt;0),1,0)</f>
        <v>0</v>
      </c>
      <c r="B282" s="1227" t="s">
        <v>1210</v>
      </c>
      <c r="C282" s="2840"/>
      <c r="D282" s="1023">
        <f>IF(H282&gt;0,1,0)</f>
        <v>0</v>
      </c>
      <c r="E282" s="1012" t="str">
        <f>VLOOKUP($B282,DG!A:D,DG!$B$2,)</f>
        <v>01.1161</v>
      </c>
      <c r="F282" s="1013" t="str">
        <f>VLOOKUP($B282,DG!A:D,DG!$C$2,)</f>
        <v>Máy biến áp 12,7/0,22-0,44kV  25kVA</v>
      </c>
      <c r="G282" s="1012" t="str">
        <f>VLOOKUP($B282,DG!A:D,DG!$D$2,)</f>
        <v>máy</v>
      </c>
      <c r="H282" s="1711"/>
      <c r="I282" s="1192">
        <f t="shared" si="10"/>
        <v>0</v>
      </c>
      <c r="J282" s="1041"/>
      <c r="K282" s="1041"/>
      <c r="L282" s="1015"/>
      <c r="M282" s="934">
        <v>50</v>
      </c>
    </row>
    <row r="283" spans="1:13" s="1016" customFormat="1" ht="25.2" hidden="1" customHeight="1">
      <c r="A283" s="1086">
        <f t="shared" si="12"/>
        <v>0</v>
      </c>
      <c r="B283" s="1227" t="s">
        <v>1211</v>
      </c>
      <c r="C283" s="2840"/>
      <c r="D283" s="1023">
        <f>IF(H283&gt;0,D282+1,D282)</f>
        <v>0</v>
      </c>
      <c r="E283" s="1012" t="str">
        <f>VLOOKUP($B283,DG!A:D,DG!$B$2,)</f>
        <v>01.1412</v>
      </c>
      <c r="F283" s="1013" t="str">
        <f>VLOOKUP($B283,DG!A:D,DG!$C$2,)</f>
        <v>Máy biến áp 12,7/0,22-0,44kV  37,5kVA</v>
      </c>
      <c r="G283" s="1012" t="str">
        <f>VLOOKUP($B283,DG!A:D,DG!$D$2,)</f>
        <v>máy</v>
      </c>
      <c r="H283" s="1711"/>
      <c r="I283" s="1192">
        <f t="shared" si="10"/>
        <v>0</v>
      </c>
      <c r="J283" s="1041"/>
      <c r="K283" s="1041"/>
      <c r="L283" s="1015"/>
      <c r="M283" s="934">
        <v>50</v>
      </c>
    </row>
    <row r="284" spans="1:13" s="1016" customFormat="1" ht="25.2" hidden="1" customHeight="1">
      <c r="A284" s="1086">
        <f t="shared" si="12"/>
        <v>0</v>
      </c>
      <c r="B284" s="1227" t="s">
        <v>1212</v>
      </c>
      <c r="C284" s="2840"/>
      <c r="D284" s="1023">
        <f>IF(H284&gt;0,D283+1,D283)</f>
        <v>0</v>
      </c>
      <c r="E284" s="1012" t="str">
        <f>VLOOKUP($B284,DG!A:D,DG!$B$2,)</f>
        <v>01.1162</v>
      </c>
      <c r="F284" s="1013" t="str">
        <f>VLOOKUP($B284,DG!A:D,DG!$C$2,)</f>
        <v>Máy biến áp 12,7/0,23-0,46kV 50kVA</v>
      </c>
      <c r="G284" s="1012" t="str">
        <f>VLOOKUP($B284,DG!A:D,DG!$D$2,)</f>
        <v>máy</v>
      </c>
      <c r="H284" s="1711"/>
      <c r="I284" s="1192">
        <f t="shared" si="10"/>
        <v>0</v>
      </c>
      <c r="J284" s="1041"/>
      <c r="K284" s="1041"/>
      <c r="L284" s="1015"/>
      <c r="M284" s="934">
        <v>50</v>
      </c>
    </row>
    <row r="285" spans="1:13" s="1016" customFormat="1" ht="25.2" hidden="1" customHeight="1">
      <c r="A285" s="1086">
        <f t="shared" si="12"/>
        <v>0</v>
      </c>
      <c r="B285" s="1227" t="s">
        <v>1213</v>
      </c>
      <c r="C285" s="2840"/>
      <c r="D285" s="1023">
        <f>IF(H285&gt;0,D284+1,D284)</f>
        <v>0</v>
      </c>
      <c r="E285" s="1012" t="str">
        <f>VLOOKUP($B285,DG!A:D,DG!$B$2,)</f>
        <v>01.1163</v>
      </c>
      <c r="F285" s="1013" t="str">
        <f>VLOOKUP($B285,DG!A:D,DG!$C$2,)</f>
        <v>Máy biến áp 12,7/0,23-0,46kV  75kVA</v>
      </c>
      <c r="G285" s="1012" t="str">
        <f>VLOOKUP($B285,DG!A:D,DG!$D$2,)</f>
        <v>máy</v>
      </c>
      <c r="H285" s="1711"/>
      <c r="I285" s="1192">
        <f t="shared" si="10"/>
        <v>0</v>
      </c>
      <c r="J285" s="1041"/>
      <c r="K285" s="1041"/>
      <c r="L285" s="1015"/>
      <c r="M285" s="934">
        <v>50</v>
      </c>
    </row>
    <row r="286" spans="1:13" s="1016" customFormat="1" ht="25.2" hidden="1" customHeight="1">
      <c r="A286" s="1086">
        <f t="shared" si="12"/>
        <v>0</v>
      </c>
      <c r="B286" s="1227" t="s">
        <v>1503</v>
      </c>
      <c r="C286" s="2840"/>
      <c r="D286" s="1023">
        <f>IF(H286&gt;0,D285+1,D285)</f>
        <v>0</v>
      </c>
      <c r="E286" s="1012" t="str">
        <f>VLOOKUP($B286,DG!A:D,DG!$B$2,)</f>
        <v>01.1144</v>
      </c>
      <c r="F286" s="1013" t="str">
        <f>VLOOKUP($B286,DG!A:D,DG!$C$2,)</f>
        <v>Máy biến áp 22/0,4kV  160kVA</v>
      </c>
      <c r="G286" s="1012" t="str">
        <f>VLOOKUP($B286,DG!A:D,DG!$D$2,)</f>
        <v>máy</v>
      </c>
      <c r="H286" s="1711"/>
      <c r="I286" s="1192">
        <f t="shared" si="10"/>
        <v>0</v>
      </c>
      <c r="J286" s="1041"/>
      <c r="K286" s="1041"/>
      <c r="L286" s="1015"/>
      <c r="M286" s="934">
        <v>50</v>
      </c>
    </row>
    <row r="287" spans="1:13" s="1016" customFormat="1" ht="25.2" hidden="1" customHeight="1">
      <c r="A287" s="1086">
        <f t="shared" si="12"/>
        <v>0</v>
      </c>
      <c r="B287" s="1226" t="s">
        <v>1241</v>
      </c>
      <c r="C287" s="2841"/>
      <c r="D287" s="1023">
        <f>IF(H287&gt;0,D286+1,D286)</f>
        <v>0</v>
      </c>
      <c r="E287" s="1012" t="str">
        <f>VLOOKUP($B287,DG!A:D,DG!$B$2,)</f>
        <v>01.1144</v>
      </c>
      <c r="F287" s="1013" t="str">
        <f>VLOOKUP($B287,DG!A:D,DG!$C$2,)</f>
        <v>Máy biến áp 22/0,4kV  180kVA</v>
      </c>
      <c r="G287" s="1012" t="str">
        <f>VLOOKUP($B287,DG!A:D,DG!$D$2,)</f>
        <v>máy</v>
      </c>
      <c r="H287" s="1711"/>
      <c r="I287" s="1192">
        <f t="shared" si="10"/>
        <v>0</v>
      </c>
      <c r="J287" s="1041"/>
      <c r="K287" s="1041"/>
      <c r="L287" s="1015"/>
      <c r="M287" s="934">
        <v>50</v>
      </c>
    </row>
    <row r="288" spans="1:13" s="1016" customFormat="1" ht="25.2" hidden="1" customHeight="1">
      <c r="A288" s="1086">
        <f t="shared" si="12"/>
        <v>0</v>
      </c>
      <c r="B288" s="1226" t="s">
        <v>1373</v>
      </c>
      <c r="C288" s="2841"/>
      <c r="D288" s="1023">
        <f>IF(H288&gt;0,D286+1,D286)</f>
        <v>0</v>
      </c>
      <c r="E288" s="1012" t="str">
        <f>VLOOKUP($B288,DG!A:D,DG!$B$2,)</f>
        <v>02.5114</v>
      </c>
      <c r="F288" s="1013" t="str">
        <f>VLOOKUP($B288,DG!A:D,DG!$C$2,)&amp;" : thuoäc ñieän löïc"</f>
        <v>Chống sét van LA-18KV-10KA : thuoäc ñieän löïc</v>
      </c>
      <c r="G288" s="1012" t="str">
        <f>VLOOKUP($B288,DG!A:D,DG!$D$2,)</f>
        <v>cái</v>
      </c>
      <c r="H288" s="1711"/>
      <c r="I288" s="1192">
        <f t="shared" si="10"/>
        <v>0</v>
      </c>
      <c r="J288" s="1041"/>
      <c r="K288" s="1041"/>
      <c r="L288" s="1031"/>
      <c r="M288" s="934">
        <v>50</v>
      </c>
    </row>
    <row r="289" spans="1:14" s="1016" customFormat="1" ht="25.2" hidden="1" customHeight="1">
      <c r="A289" s="1086">
        <f t="shared" si="12"/>
        <v>0</v>
      </c>
      <c r="B289" s="1226" t="s">
        <v>1373</v>
      </c>
      <c r="C289" s="2841"/>
      <c r="D289" s="1023">
        <f>IF(H289&gt;0,D287+1,D287)</f>
        <v>0</v>
      </c>
      <c r="E289" s="1012" t="str">
        <f>VLOOKUP($B289,DG!A:D,DG!$B$2,)</f>
        <v>02.5114</v>
      </c>
      <c r="F289" s="1013" t="str">
        <f>VLOOKUP($B289,DG!A:D,DG!$C$2,)&amp;" : thuoäc khaùch haøng"</f>
        <v>Chống sét van LA-18KV-10KA : thuoäc khaùch haøng</v>
      </c>
      <c r="G289" s="1012" t="str">
        <f>VLOOKUP($B289,DG!A:D,DG!$D$2,)</f>
        <v>cái</v>
      </c>
      <c r="H289" s="1711"/>
      <c r="I289" s="1192">
        <f t="shared" ref="I289:I349" si="13">IF(M289=$M$23,H289+J289-K289,0)</f>
        <v>0</v>
      </c>
      <c r="J289" s="1041"/>
      <c r="K289" s="1041"/>
      <c r="L289" s="1031"/>
      <c r="M289" s="934">
        <v>50</v>
      </c>
    </row>
    <row r="290" spans="1:14" s="1016" customFormat="1" ht="25.2" hidden="1" customHeight="1">
      <c r="A290" s="1086">
        <f t="shared" si="12"/>
        <v>0</v>
      </c>
      <c r="B290" s="1226" t="s">
        <v>888</v>
      </c>
      <c r="C290" s="2841"/>
      <c r="D290" s="1023">
        <f>IF(H290&gt;0,D286+1,D286)</f>
        <v>0</v>
      </c>
      <c r="E290" s="1012">
        <f>VLOOKUP($B290,DG!A:D,DG!$B$2,)</f>
        <v>0</v>
      </c>
      <c r="F290" s="1013" t="str">
        <f>VLOOKUP($B290,DG!A:D,DG!$C$2,)</f>
        <v>Dây chảy 3K</v>
      </c>
      <c r="G290" s="1012" t="str">
        <f>VLOOKUP($B290,DG!A:D,DG!$D$2,)</f>
        <v>Sợi</v>
      </c>
      <c r="H290" s="1711"/>
      <c r="I290" s="1192">
        <f t="shared" si="13"/>
        <v>0</v>
      </c>
      <c r="J290" s="1041"/>
      <c r="K290" s="1041"/>
      <c r="L290" s="1031"/>
      <c r="M290" s="934">
        <v>50</v>
      </c>
    </row>
    <row r="291" spans="1:14" s="1016" customFormat="1" ht="25.2" hidden="1" customHeight="1">
      <c r="A291" s="1086">
        <f t="shared" si="12"/>
        <v>0</v>
      </c>
      <c r="B291" s="1226" t="s">
        <v>26</v>
      </c>
      <c r="C291" s="2841"/>
      <c r="D291" s="1023">
        <f>IF(H291&gt;0,D287+1,D287)</f>
        <v>0</v>
      </c>
      <c r="E291" s="1012">
        <f>VLOOKUP($B291,DG!A:D,DG!$B$2,)</f>
        <v>0</v>
      </c>
      <c r="F291" s="1013" t="str">
        <f>VLOOKUP($B291,DG!A:D,DG!$C$2,)</f>
        <v>Dây chảy 6K</v>
      </c>
      <c r="G291" s="1012" t="str">
        <f>VLOOKUP($B291,DG!A:D,DG!$D$2,)</f>
        <v>Sợi</v>
      </c>
      <c r="H291" s="1711"/>
      <c r="I291" s="1192">
        <f t="shared" si="13"/>
        <v>0</v>
      </c>
      <c r="J291" s="1041"/>
      <c r="K291" s="1041"/>
      <c r="L291" s="1031"/>
      <c r="M291" s="934">
        <v>50</v>
      </c>
    </row>
    <row r="292" spans="1:14" s="1016" customFormat="1" ht="25.2" hidden="1" customHeight="1">
      <c r="A292" s="1086">
        <f t="shared" si="12"/>
        <v>0</v>
      </c>
      <c r="B292" s="1226" t="s">
        <v>1027</v>
      </c>
      <c r="C292" s="2841"/>
      <c r="D292" s="1023">
        <f>IF(H292&gt;0,D288+1,D288)</f>
        <v>0</v>
      </c>
      <c r="E292" s="1012">
        <f>VLOOKUP($B292,DG!A:D,DG!$B$2,)</f>
        <v>0</v>
      </c>
      <c r="F292" s="1013" t="str">
        <f>VLOOKUP($B292,DG!A:D,DG!$C$2,)</f>
        <v>Dây chảy 8K</v>
      </c>
      <c r="G292" s="1012" t="str">
        <f>VLOOKUP($B292,DG!A:D,DG!$D$2,)</f>
        <v>Sợi</v>
      </c>
      <c r="H292" s="1711"/>
      <c r="I292" s="1192">
        <f t="shared" si="13"/>
        <v>0</v>
      </c>
      <c r="J292" s="1041"/>
      <c r="K292" s="1041"/>
      <c r="L292" s="1031"/>
      <c r="M292" s="934">
        <v>50</v>
      </c>
    </row>
    <row r="293" spans="1:14" s="1016" customFormat="1" ht="25.2" hidden="1" customHeight="1">
      <c r="A293" s="1086">
        <f t="shared" si="12"/>
        <v>0</v>
      </c>
      <c r="B293" s="1226" t="s">
        <v>1146</v>
      </c>
      <c r="C293" s="2841"/>
      <c r="D293" s="1023">
        <f>IF(H293&gt;0,D290+1,D290)</f>
        <v>0</v>
      </c>
      <c r="E293" s="1012">
        <f>VLOOKUP($B293,DG!A:D,DG!$B$2,)</f>
        <v>0</v>
      </c>
      <c r="F293" s="1013" t="str">
        <f>VLOOKUP($B293,DG!A:D,DG!$C$2,)</f>
        <v>Dây chảy 10K</v>
      </c>
      <c r="G293" s="1012" t="str">
        <f>VLOOKUP($B293,DG!A:D,DG!$D$2,)</f>
        <v>Sợi</v>
      </c>
      <c r="H293" s="1711"/>
      <c r="I293" s="1192">
        <f t="shared" si="13"/>
        <v>0</v>
      </c>
      <c r="J293" s="1041"/>
      <c r="K293" s="1041"/>
      <c r="L293" s="1031"/>
      <c r="M293" s="934">
        <v>50</v>
      </c>
    </row>
    <row r="294" spans="1:14" s="1016" customFormat="1" ht="25.2" hidden="1" customHeight="1">
      <c r="A294" s="1086">
        <f t="shared" si="12"/>
        <v>0</v>
      </c>
      <c r="B294" s="1226" t="s">
        <v>1373</v>
      </c>
      <c r="C294" s="2841"/>
      <c r="D294" s="1023">
        <f>IF(H294&gt;0,D287+1,D287)</f>
        <v>0</v>
      </c>
      <c r="E294" s="1012" t="str">
        <f>VLOOKUP($B294,DG!A:D,DG!$B$2,)</f>
        <v>02.5114</v>
      </c>
      <c r="F294" s="1013" t="str">
        <f>VLOOKUP($B294,DG!A:D,DG!$C$2,)</f>
        <v>Chống sét van LA-18KV-10KA</v>
      </c>
      <c r="G294" s="1012" t="str">
        <f>VLOOKUP($B294,DG!A:D,DG!$D$2,)</f>
        <v>cái</v>
      </c>
      <c r="H294" s="1711"/>
      <c r="I294" s="1192">
        <f t="shared" si="13"/>
        <v>0</v>
      </c>
      <c r="J294" s="1041"/>
      <c r="K294" s="1041"/>
      <c r="L294" s="1031"/>
      <c r="M294" s="934">
        <v>50</v>
      </c>
    </row>
    <row r="295" spans="1:14" s="1016" customFormat="1" ht="25.2" hidden="1" customHeight="1">
      <c r="A295" s="1086">
        <f t="shared" si="12"/>
        <v>0</v>
      </c>
      <c r="B295" s="1226"/>
      <c r="C295" s="2841"/>
      <c r="D295" s="1870"/>
      <c r="E295" s="1871"/>
      <c r="F295" s="1158" t="s">
        <v>3687</v>
      </c>
      <c r="G295" s="1870"/>
      <c r="H295" s="1159"/>
      <c r="I295" s="1752">
        <f t="shared" si="13"/>
        <v>0</v>
      </c>
      <c r="J295" s="1158"/>
      <c r="K295" s="1870"/>
      <c r="L295" s="1136"/>
      <c r="M295" s="934">
        <v>50</v>
      </c>
    </row>
    <row r="296" spans="1:14" s="1016" customFormat="1" ht="25.2" hidden="1" customHeight="1">
      <c r="A296" s="1086">
        <f t="shared" si="12"/>
        <v>0</v>
      </c>
      <c r="B296" s="1226"/>
      <c r="C296" s="2841"/>
      <c r="D296" s="1114"/>
      <c r="E296" s="1003"/>
      <c r="F296" s="1003" t="s">
        <v>3673</v>
      </c>
      <c r="G296" s="1003"/>
      <c r="H296" s="1706"/>
      <c r="I296" s="1876">
        <f t="shared" si="13"/>
        <v>0</v>
      </c>
      <c r="J296" s="1003"/>
      <c r="K296" s="1003"/>
      <c r="L296" s="1088"/>
      <c r="M296" s="934">
        <v>50</v>
      </c>
    </row>
    <row r="297" spans="1:14" s="1016" customFormat="1" ht="25.2" hidden="1" customHeight="1">
      <c r="A297" s="1086">
        <f t="shared" si="12"/>
        <v>0</v>
      </c>
      <c r="B297" s="1226" t="s">
        <v>1610</v>
      </c>
      <c r="C297" s="2841"/>
      <c r="D297" s="1872">
        <f>IF(H309&gt;0,1,0)</f>
        <v>0</v>
      </c>
      <c r="E297" s="1873"/>
      <c r="F297" s="1874" t="str">
        <f>VLOOKUP($B297,DG!A:D,DG!$C$2,)</f>
        <v>Boulon 16x300+ 2 long đền vuông D18-50x50x3/Zn</v>
      </c>
      <c r="G297" s="1875" t="str">
        <f>VLOOKUP($B297,DG!A:D,DG!$D$2,)</f>
        <v>bộ</v>
      </c>
      <c r="H297" s="1162">
        <f>2*SUM(H272:H272)</f>
        <v>0</v>
      </c>
      <c r="I297" s="1869">
        <f t="shared" si="13"/>
        <v>0</v>
      </c>
      <c r="J297" s="1164"/>
      <c r="K297" s="1164"/>
      <c r="L297" s="1129"/>
      <c r="M297" s="934">
        <v>50</v>
      </c>
    </row>
    <row r="298" spans="1:14" s="1016" customFormat="1" ht="25.2" hidden="1" customHeight="1">
      <c r="A298" s="1086">
        <f t="shared" si="12"/>
        <v>0</v>
      </c>
      <c r="B298" s="1226"/>
      <c r="C298" s="2841"/>
      <c r="D298" s="1011">
        <f>IF(H298&gt;0,D297+1,D297)</f>
        <v>0</v>
      </c>
      <c r="E298" s="1118"/>
      <c r="F298" s="1119" t="s">
        <v>3674</v>
      </c>
      <c r="G298" s="1099" t="s">
        <v>2385</v>
      </c>
      <c r="H298" s="1707">
        <f>H272*0</f>
        <v>0</v>
      </c>
      <c r="I298" s="1192">
        <f t="shared" si="13"/>
        <v>0</v>
      </c>
      <c r="J298" s="1064"/>
      <c r="K298" s="1064"/>
      <c r="L298" s="1043"/>
      <c r="M298" s="934">
        <v>50</v>
      </c>
    </row>
    <row r="299" spans="1:14" s="1016" customFormat="1" ht="25.2" hidden="1" customHeight="1">
      <c r="A299" s="1086">
        <f t="shared" si="12"/>
        <v>0</v>
      </c>
      <c r="B299" s="1226"/>
      <c r="C299" s="2841"/>
      <c r="D299" s="1099"/>
      <c r="E299" s="1118"/>
      <c r="F299" s="1264" t="s">
        <v>2279</v>
      </c>
      <c r="G299" s="1043"/>
      <c r="H299" s="1100"/>
      <c r="I299" s="1192">
        <f t="shared" si="13"/>
        <v>0</v>
      </c>
      <c r="J299" s="1064"/>
      <c r="K299" s="1064"/>
      <c r="L299" s="1043"/>
      <c r="M299" s="934">
        <v>50</v>
      </c>
      <c r="N299" s="1120"/>
    </row>
    <row r="300" spans="1:14" s="1016" customFormat="1" ht="25.2" hidden="1" customHeight="1">
      <c r="A300" s="1086">
        <f t="shared" si="12"/>
        <v>0</v>
      </c>
      <c r="B300" s="1087" t="s">
        <v>115</v>
      </c>
      <c r="C300" s="2842"/>
      <c r="D300" s="1043"/>
      <c r="E300" s="1012">
        <f>VLOOKUP($B300,DG!A:D,DG!$B$2,)</f>
        <v>0</v>
      </c>
      <c r="F300" s="1013" t="str">
        <f>VLOOKUP($B300,DG!A:D,DG!$C$2,)</f>
        <v>Trụ BTLT 12m F540 dự ứng lực</v>
      </c>
      <c r="G300" s="1012" t="str">
        <f>VLOOKUP($B300,DG!A:D,DG!$D$2,)</f>
        <v>trụ</v>
      </c>
      <c r="H300" s="1100">
        <f>1*H298</f>
        <v>0</v>
      </c>
      <c r="I300" s="1192">
        <f t="shared" si="13"/>
        <v>0</v>
      </c>
      <c r="J300" s="1041"/>
      <c r="K300" s="1041"/>
      <c r="L300" s="1043"/>
      <c r="M300" s="934">
        <v>50</v>
      </c>
      <c r="N300" s="1120"/>
    </row>
    <row r="301" spans="1:14" s="1016" customFormat="1" ht="25.2" hidden="1" customHeight="1">
      <c r="A301" s="1086">
        <f t="shared" si="12"/>
        <v>0</v>
      </c>
      <c r="B301" s="1087" t="s">
        <v>1814</v>
      </c>
      <c r="C301" s="2842"/>
      <c r="D301" s="1043"/>
      <c r="E301" s="1121"/>
      <c r="F301" s="1013" t="str">
        <f>VLOOKUP($B301,DG!A:D,DG!$C$2,)</f>
        <v>Vật liệu dựng trụ</v>
      </c>
      <c r="G301" s="1012" t="str">
        <f>VLOOKUP($B301,DG!A:D,DG!$D$2,)</f>
        <v>trụ</v>
      </c>
      <c r="H301" s="1100">
        <f>H300</f>
        <v>0</v>
      </c>
      <c r="I301" s="1192">
        <f t="shared" si="13"/>
        <v>0</v>
      </c>
      <c r="J301" s="1041"/>
      <c r="K301" s="1041"/>
      <c r="L301" s="1043"/>
      <c r="M301" s="934">
        <v>50</v>
      </c>
      <c r="N301" s="1120"/>
    </row>
    <row r="302" spans="1:14" s="1016" customFormat="1" ht="25.2" hidden="1" customHeight="1">
      <c r="A302" s="1086">
        <f t="shared" si="12"/>
        <v>0</v>
      </c>
      <c r="B302" s="1087" t="s">
        <v>2126</v>
      </c>
      <c r="C302" s="2842"/>
      <c r="D302" s="1043"/>
      <c r="E302" s="1121"/>
      <c r="F302" s="1013" t="str">
        <f>VLOOKUP($B302,DG!A:D,DG!$C$2,)</f>
        <v>Dựng trụ BTLT 12m trong TBA bằng thủ công + cơ giới</v>
      </c>
      <c r="G302" s="1012" t="str">
        <f>VLOOKUP($B302,DG!A:D,DG!$D$2,)</f>
        <v>trụ</v>
      </c>
      <c r="H302" s="1100">
        <f>H300</f>
        <v>0</v>
      </c>
      <c r="I302" s="1192">
        <f t="shared" si="13"/>
        <v>0</v>
      </c>
      <c r="J302" s="1041"/>
      <c r="K302" s="1041"/>
      <c r="L302" s="1043"/>
      <c r="M302" s="934">
        <v>50</v>
      </c>
      <c r="N302" s="1120"/>
    </row>
    <row r="303" spans="1:14" s="1016" customFormat="1" ht="25.2" hidden="1" customHeight="1">
      <c r="A303" s="1086">
        <f t="shared" si="12"/>
        <v>0</v>
      </c>
      <c r="B303" s="1226"/>
      <c r="C303" s="2841"/>
      <c r="D303" s="1011">
        <f>IF(H303&gt;0,D298+1,D298)</f>
        <v>0</v>
      </c>
      <c r="E303" s="1118"/>
      <c r="F303" s="1119" t="s">
        <v>2352</v>
      </c>
      <c r="G303" s="1099" t="s">
        <v>2385</v>
      </c>
      <c r="H303" s="1707">
        <f>H298</f>
        <v>0</v>
      </c>
      <c r="I303" s="1192">
        <f t="shared" si="13"/>
        <v>0</v>
      </c>
      <c r="J303" s="1064"/>
      <c r="K303" s="1064"/>
      <c r="L303" s="1043"/>
      <c r="M303" s="934">
        <v>50</v>
      </c>
    </row>
    <row r="304" spans="1:14" s="1016" customFormat="1" ht="25.2" hidden="1" customHeight="1">
      <c r="A304" s="1086">
        <f t="shared" si="12"/>
        <v>0</v>
      </c>
      <c r="B304" s="1226"/>
      <c r="C304" s="2841"/>
      <c r="D304" s="1099"/>
      <c r="E304" s="1118"/>
      <c r="F304" s="1264" t="s">
        <v>2279</v>
      </c>
      <c r="G304" s="1043"/>
      <c r="H304" s="1100"/>
      <c r="I304" s="1192">
        <f t="shared" si="13"/>
        <v>0</v>
      </c>
      <c r="J304" s="1064"/>
      <c r="K304" s="1064"/>
      <c r="L304" s="1043"/>
      <c r="M304" s="934">
        <v>50</v>
      </c>
      <c r="N304" s="1120"/>
    </row>
    <row r="305" spans="1:14" s="1016" customFormat="1" ht="25.2" hidden="1" customHeight="1">
      <c r="A305" s="1086">
        <f t="shared" si="12"/>
        <v>0</v>
      </c>
      <c r="B305" s="1233" t="s">
        <v>636</v>
      </c>
      <c r="C305" s="2843"/>
      <c r="D305" s="1043"/>
      <c r="E305" s="1012" t="str">
        <f>VLOOKUP($B305,DG!A:D,DG!$B$2,)</f>
        <v>04.4001</v>
      </c>
      <c r="F305" s="1013" t="str">
        <f>VLOOKUP($B305,DG!A:D,DG!$C$2,)</f>
        <v>Đà cản BTCT 1,2m</v>
      </c>
      <c r="G305" s="1012" t="str">
        <f>VLOOKUP($B305,DG!A:D,DG!$D$2,)</f>
        <v>cái</v>
      </c>
      <c r="H305" s="1100">
        <f>1*H303</f>
        <v>0</v>
      </c>
      <c r="I305" s="1192">
        <f t="shared" si="13"/>
        <v>0</v>
      </c>
      <c r="J305" s="1041"/>
      <c r="K305" s="1041"/>
      <c r="L305" s="1043"/>
      <c r="M305" s="934">
        <v>50</v>
      </c>
      <c r="N305" s="1120"/>
    </row>
    <row r="306" spans="1:14" s="1016" customFormat="1" ht="25.2" hidden="1" customHeight="1">
      <c r="A306" s="1086">
        <f t="shared" si="12"/>
        <v>0</v>
      </c>
      <c r="B306" s="1233" t="s">
        <v>566</v>
      </c>
      <c r="C306" s="2843"/>
      <c r="D306" s="1043"/>
      <c r="E306" s="1012">
        <f>VLOOKUP($B306,DG!A:D,DG!$B$2,)</f>
        <v>0</v>
      </c>
      <c r="F306" s="1013" t="str">
        <f>VLOOKUP($B306,DG!A:D,DG!$C$2,)</f>
        <v>Boulon 22x650+ 2 long đền vuông D24-50x50x3/Zn</v>
      </c>
      <c r="G306" s="1012" t="str">
        <f>VLOOKUP($B306,DG!A:D,DG!$D$2,)</f>
        <v>bộ</v>
      </c>
      <c r="H306" s="1100">
        <f>H303</f>
        <v>0</v>
      </c>
      <c r="I306" s="1192">
        <f t="shared" si="13"/>
        <v>0</v>
      </c>
      <c r="J306" s="1041"/>
      <c r="K306" s="1041"/>
      <c r="L306" s="1043"/>
      <c r="M306" s="934">
        <v>50</v>
      </c>
      <c r="N306" s="1120"/>
    </row>
    <row r="307" spans="1:14" s="1016" customFormat="1" ht="25.2" hidden="1" customHeight="1">
      <c r="A307" s="1086">
        <f t="shared" si="12"/>
        <v>0</v>
      </c>
      <c r="B307" s="1233" t="str">
        <f>IF(chitiet!G5=1,"MDD1",IF(chitiet!G5=2,"MDD2",IF(chitiet!G5=3,"MDD3",IF(chitiet!G5=4,"MDD4"))))</f>
        <v>MDD3</v>
      </c>
      <c r="C307" s="2843"/>
      <c r="D307" s="1043"/>
      <c r="E307" s="1012" t="str">
        <f>VLOOKUP($B307,DG!A:D,DG!$B$2,)</f>
        <v>03.1013</v>
      </c>
      <c r="F307" s="1013" t="str">
        <f>VLOOKUP($B307,DG!A:D,DG!$C$2,)</f>
        <v>Đào hố móng đất cấp 3 sâu &gt;1m</v>
      </c>
      <c r="G307" s="1012" t="str">
        <f>VLOOKUP($B307,DG!A:D,DG!$D$2,)</f>
        <v>m3</v>
      </c>
      <c r="H307" s="1100">
        <f>H303*1.45</f>
        <v>0</v>
      </c>
      <c r="I307" s="1192">
        <f t="shared" si="13"/>
        <v>0</v>
      </c>
      <c r="J307" s="1041"/>
      <c r="K307" s="1041"/>
      <c r="L307" s="1043"/>
      <c r="M307" s="934">
        <v>50</v>
      </c>
      <c r="N307" s="1120"/>
    </row>
    <row r="308" spans="1:14" s="1016" customFormat="1" ht="25.2" hidden="1" customHeight="1">
      <c r="A308" s="1086">
        <f t="shared" si="12"/>
        <v>0</v>
      </c>
      <c r="B308" s="1233" t="str">
        <f>IF(chitiet!G5=1,"MDAP1",IF(chitiet!G5=2,"MDAP2",IF(chitiet!G5=3,"MDAP3",IF(chitiet!G5=4,"MDAP4"))))</f>
        <v>MDAP3</v>
      </c>
      <c r="C308" s="2843"/>
      <c r="D308" s="1043"/>
      <c r="E308" s="1012" t="str">
        <f>VLOOKUP($B308,DG!A:D,DG!$B$2,)</f>
        <v>03.4113</v>
      </c>
      <c r="F308" s="1013" t="str">
        <f>VLOOKUP($B308,DG!A:D,DG!$C$2,)</f>
        <v>Đắp đất hố móng, độ chặt k=0,95</v>
      </c>
      <c r="G308" s="1012" t="str">
        <f>VLOOKUP($B308,DG!A:D,DG!$D$2,)</f>
        <v>m3</v>
      </c>
      <c r="H308" s="1100">
        <f>H303*1.37</f>
        <v>0</v>
      </c>
      <c r="I308" s="1192">
        <f t="shared" si="13"/>
        <v>0</v>
      </c>
      <c r="J308" s="1041"/>
      <c r="K308" s="1041"/>
      <c r="L308" s="1043"/>
      <c r="M308" s="934">
        <v>50</v>
      </c>
      <c r="N308" s="1120"/>
    </row>
    <row r="309" spans="1:14" s="1016" customFormat="1" ht="25.2" hidden="1" customHeight="1">
      <c r="A309" s="1086">
        <f t="shared" si="12"/>
        <v>0</v>
      </c>
      <c r="B309" s="1226"/>
      <c r="C309" s="2841"/>
      <c r="D309" s="1011">
        <f>IF(H309&gt;0,D303+1,D303)</f>
        <v>0</v>
      </c>
      <c r="E309" s="1118"/>
      <c r="F309" s="1130" t="s">
        <v>4733</v>
      </c>
      <c r="G309" s="1099" t="s">
        <v>2385</v>
      </c>
      <c r="H309" s="1707">
        <f>SUM(H272:H272)</f>
        <v>0</v>
      </c>
      <c r="I309" s="1192">
        <f t="shared" si="13"/>
        <v>0</v>
      </c>
      <c r="J309" s="1041"/>
      <c r="K309" s="1041"/>
      <c r="L309" s="1015"/>
      <c r="M309" s="934">
        <v>50</v>
      </c>
    </row>
    <row r="310" spans="1:14" s="1016" customFormat="1" ht="25.2" hidden="1" customHeight="1">
      <c r="A310" s="1086">
        <f t="shared" si="12"/>
        <v>0</v>
      </c>
      <c r="B310" s="1226"/>
      <c r="C310" s="2841"/>
      <c r="D310" s="1099"/>
      <c r="E310" s="1118"/>
      <c r="F310" s="1265" t="s">
        <v>2279</v>
      </c>
      <c r="G310" s="1043"/>
      <c r="H310" s="1100"/>
      <c r="I310" s="1192">
        <f t="shared" si="13"/>
        <v>0</v>
      </c>
      <c r="J310" s="1041"/>
      <c r="K310" s="1041"/>
      <c r="L310" s="1015"/>
      <c r="M310" s="934">
        <v>50</v>
      </c>
    </row>
    <row r="311" spans="1:14" s="1016" customFormat="1" ht="25.2" hidden="1" customHeight="1">
      <c r="A311" s="1086">
        <f t="shared" si="12"/>
        <v>0</v>
      </c>
      <c r="B311" s="1226" t="s">
        <v>4542</v>
      </c>
      <c r="C311" s="2841">
        <v>1</v>
      </c>
      <c r="D311" s="1043"/>
      <c r="E311" s="1012">
        <f>VLOOKUP($B311,DG!A:D,DG!$B$2,)</f>
        <v>0</v>
      </c>
      <c r="F311" s="1013" t="str">
        <f>VLOOKUP($B311,DG!A:D,DG!$C$2,)</f>
        <v>Đà Composite 110x80x5x800</v>
      </c>
      <c r="G311" s="1012" t="str">
        <f>VLOOKUP($B311,DG!A:D,DG!$D$2,)</f>
        <v>cái</v>
      </c>
      <c r="H311" s="1865">
        <f>H$309*$C311</f>
        <v>0</v>
      </c>
      <c r="I311" s="1865">
        <f>I$309*$C311</f>
        <v>0</v>
      </c>
      <c r="J311" s="1865">
        <f>J$309*$C311</f>
        <v>0</v>
      </c>
      <c r="K311" s="1100">
        <f>K$309*$C311</f>
        <v>0</v>
      </c>
      <c r="L311" s="1015"/>
      <c r="M311" s="934">
        <v>50</v>
      </c>
    </row>
    <row r="312" spans="1:14" s="1016" customFormat="1" ht="25.2" hidden="1" customHeight="1">
      <c r="A312" s="1086">
        <f t="shared" si="12"/>
        <v>0</v>
      </c>
      <c r="B312" s="1226" t="s">
        <v>4729</v>
      </c>
      <c r="C312" s="2841">
        <v>1</v>
      </c>
      <c r="D312" s="1043"/>
      <c r="E312" s="1012">
        <f>VLOOKUP($B312,DG!A:D,DG!$B$2,)</f>
        <v>0</v>
      </c>
      <c r="F312" s="1013" t="str">
        <f>VLOOKUP($B312,DG!A:D,DG!$C$2,)</f>
        <v>Thanh chống Composite 10x40x720</v>
      </c>
      <c r="G312" s="1012" t="str">
        <f>VLOOKUP($B312,DG!A:D,DG!$D$2,)</f>
        <v>cái</v>
      </c>
      <c r="H312" s="1865">
        <f t="shared" ref="H312:K314" si="14">H$309*$C312</f>
        <v>0</v>
      </c>
      <c r="I312" s="1865">
        <f t="shared" si="14"/>
        <v>0</v>
      </c>
      <c r="J312" s="1865">
        <f t="shared" si="14"/>
        <v>0</v>
      </c>
      <c r="K312" s="1100">
        <f t="shared" si="14"/>
        <v>0</v>
      </c>
      <c r="L312" s="1015"/>
      <c r="M312" s="934">
        <v>50</v>
      </c>
    </row>
    <row r="313" spans="1:14" s="1016" customFormat="1" ht="25.2" hidden="1" customHeight="1">
      <c r="A313" s="1086">
        <f t="shared" si="12"/>
        <v>0</v>
      </c>
      <c r="B313" s="1226" t="s">
        <v>1610</v>
      </c>
      <c r="C313" s="2841">
        <v>1</v>
      </c>
      <c r="D313" s="1043"/>
      <c r="E313" s="1121"/>
      <c r="F313" s="1013" t="str">
        <f>VLOOKUP($B313,DG!A:D,DG!$C$2,)</f>
        <v>Boulon 16x300+ 2 long đền vuông D18-50x50x3/Zn</v>
      </c>
      <c r="G313" s="1012" t="str">
        <f>VLOOKUP($B313,DG!A:D,DG!$D$2,)</f>
        <v>bộ</v>
      </c>
      <c r="H313" s="1865">
        <f t="shared" si="14"/>
        <v>0</v>
      </c>
      <c r="I313" s="1865">
        <f t="shared" si="14"/>
        <v>0</v>
      </c>
      <c r="J313" s="1865">
        <f t="shared" si="14"/>
        <v>0</v>
      </c>
      <c r="K313" s="1100">
        <f t="shared" si="14"/>
        <v>0</v>
      </c>
      <c r="L313" s="1015"/>
      <c r="M313" s="934">
        <v>50</v>
      </c>
    </row>
    <row r="314" spans="1:14" s="1016" customFormat="1" ht="25.2" hidden="1" customHeight="1">
      <c r="A314" s="1086">
        <f t="shared" si="12"/>
        <v>0</v>
      </c>
      <c r="B314" s="1226" t="s">
        <v>4333</v>
      </c>
      <c r="C314" s="2841">
        <v>1</v>
      </c>
      <c r="D314" s="1043"/>
      <c r="E314" s="1121"/>
      <c r="F314" s="1013" t="str">
        <f>VLOOKUP($B314,DG!A:D,DG!$C$2,)</f>
        <v>Boulon 14x150+ 2 long đền vuông D16-50x50x3/Zn</v>
      </c>
      <c r="G314" s="1012" t="str">
        <f>VLOOKUP($B314,DG!A:D,DG!$D$2,)</f>
        <v>bộ</v>
      </c>
      <c r="H314" s="1865">
        <f t="shared" si="14"/>
        <v>0</v>
      </c>
      <c r="I314" s="1865">
        <f t="shared" si="14"/>
        <v>0</v>
      </c>
      <c r="J314" s="1865">
        <f t="shared" si="14"/>
        <v>0</v>
      </c>
      <c r="K314" s="1100">
        <f t="shared" si="14"/>
        <v>0</v>
      </c>
      <c r="L314" s="1015"/>
      <c r="M314" s="934">
        <v>50</v>
      </c>
    </row>
    <row r="315" spans="1:14" s="1016" customFormat="1" ht="25.2" hidden="1" customHeight="1">
      <c r="A315" s="1086">
        <f t="shared" si="12"/>
        <v>0</v>
      </c>
      <c r="B315" s="1226"/>
      <c r="C315" s="2841"/>
      <c r="D315" s="1099">
        <f>IF(H315&gt;0,D309+1,D309)</f>
        <v>0</v>
      </c>
      <c r="E315" s="1118"/>
      <c r="F315" s="1130" t="s">
        <v>4808</v>
      </c>
      <c r="G315" s="1099" t="s">
        <v>2385</v>
      </c>
      <c r="H315" s="1707">
        <f>H309</f>
        <v>0</v>
      </c>
      <c r="I315" s="1192">
        <f t="shared" si="13"/>
        <v>0</v>
      </c>
      <c r="J315" s="1041"/>
      <c r="K315" s="1041"/>
      <c r="L315" s="1015"/>
      <c r="M315" s="934">
        <v>50</v>
      </c>
    </row>
    <row r="316" spans="1:14" s="1016" customFormat="1" ht="25.2" hidden="1" customHeight="1">
      <c r="A316" s="1086">
        <f t="shared" si="12"/>
        <v>0</v>
      </c>
      <c r="B316" s="1226"/>
      <c r="C316" s="2841"/>
      <c r="D316" s="1043"/>
      <c r="E316" s="1121"/>
      <c r="F316" s="1265" t="s">
        <v>2279</v>
      </c>
      <c r="G316" s="1043"/>
      <c r="H316" s="1100"/>
      <c r="I316" s="1192">
        <f t="shared" si="13"/>
        <v>0</v>
      </c>
      <c r="J316" s="1041"/>
      <c r="K316" s="1041"/>
      <c r="L316" s="1015"/>
      <c r="M316" s="934">
        <v>50</v>
      </c>
    </row>
    <row r="317" spans="1:14" s="1016" customFormat="1" ht="25.2" hidden="1" customHeight="1">
      <c r="A317" s="1086">
        <f t="shared" si="12"/>
        <v>0</v>
      </c>
      <c r="B317" s="1226" t="s">
        <v>103</v>
      </c>
      <c r="C317" s="2841">
        <v>0.224</v>
      </c>
      <c r="D317" s="1043"/>
      <c r="E317" s="1012">
        <f>VLOOKUP($B317,DG!A:D,DG!$B$2,)</f>
        <v>0</v>
      </c>
      <c r="F317" s="1013" t="str">
        <f>VLOOKUP($B317,DG!A:D,DG!$C$2,)</f>
        <v>Cáp đồng trần M25mm2</v>
      </c>
      <c r="G317" s="1012" t="str">
        <f>VLOOKUP($B317,DG!A:D,DG!$D$2,)</f>
        <v>kg</v>
      </c>
      <c r="H317" s="1867">
        <v>13</v>
      </c>
      <c r="I317" s="1868">
        <f t="shared" si="13"/>
        <v>0</v>
      </c>
      <c r="J317" s="1041"/>
      <c r="K317" s="1041"/>
      <c r="L317" s="1015"/>
      <c r="M317" s="934">
        <v>50</v>
      </c>
    </row>
    <row r="318" spans="1:14" s="1016" customFormat="1" ht="25.2" hidden="1" customHeight="1">
      <c r="A318" s="1086">
        <f t="shared" si="12"/>
        <v>0</v>
      </c>
      <c r="B318" s="1087" t="s">
        <v>1508</v>
      </c>
      <c r="C318" s="2842"/>
      <c r="D318" s="1043"/>
      <c r="E318" s="1012">
        <f>VLOOKUP($B318,DG!A:D,DG!$B$2,)</f>
        <v>0</v>
      </c>
      <c r="F318" s="1013" t="str">
        <f>VLOOKUP($B318,DG!A:D,DG!$C$2,)</f>
        <v>Cọc tiếp đất Þ 16- 2,4m + kẹp cọc mạ đồng</v>
      </c>
      <c r="G318" s="1012" t="str">
        <f>VLOOKUP($B318,DG!A:D,DG!$D$2,)</f>
        <v>bộ</v>
      </c>
      <c r="H318" s="1100">
        <f>I2</f>
        <v>9</v>
      </c>
      <c r="I318" s="1192">
        <f t="shared" si="13"/>
        <v>0</v>
      </c>
      <c r="J318" s="1041"/>
      <c r="K318" s="1041"/>
      <c r="L318" s="1015"/>
      <c r="M318" s="934">
        <v>50</v>
      </c>
    </row>
    <row r="319" spans="1:14" s="1016" customFormat="1" ht="25.2" hidden="1" customHeight="1">
      <c r="A319" s="1086">
        <f t="shared" si="12"/>
        <v>0</v>
      </c>
      <c r="B319" s="1087" t="s">
        <v>995</v>
      </c>
      <c r="C319" s="2842"/>
      <c r="D319" s="1043"/>
      <c r="E319" s="1012">
        <f>VLOOKUP($B319,DG!A:D,DG!$B$2,)</f>
        <v>0</v>
      </c>
      <c r="F319" s="1013" t="str">
        <f>VLOOKUP($B319,DG!A:D,DG!$C$2,)</f>
        <v>Sắt Ø10</v>
      </c>
      <c r="G319" s="1012" t="str">
        <f>VLOOKUP($B319,DG!A:D,DG!$D$2,)</f>
        <v>kg</v>
      </c>
      <c r="H319" s="1100"/>
      <c r="I319" s="1192">
        <f t="shared" si="13"/>
        <v>0</v>
      </c>
      <c r="J319" s="1041"/>
      <c r="K319" s="1041"/>
      <c r="L319" s="1015"/>
      <c r="M319" s="934">
        <v>50</v>
      </c>
    </row>
    <row r="320" spans="1:14" s="1016" customFormat="1" ht="25.2" hidden="1" customHeight="1">
      <c r="A320" s="1086">
        <f t="shared" si="12"/>
        <v>0</v>
      </c>
      <c r="B320" s="1087" t="s">
        <v>576</v>
      </c>
      <c r="C320" s="2842"/>
      <c r="D320" s="1043"/>
      <c r="E320" s="1012" t="str">
        <f>VLOOKUP($B320,DG!A:D,DG!$B$2,)</f>
        <v>07.2403</v>
      </c>
      <c r="F320" s="1013" t="str">
        <f>VLOOKUP($B320,DG!A:D,DG!$C$2,)</f>
        <v xml:space="preserve">Ống PVC D21x1,6mm </v>
      </c>
      <c r="G320" s="1012" t="str">
        <f>VLOOKUP($B320,DG!A:D,DG!$D$2,)</f>
        <v>m</v>
      </c>
      <c r="H320" s="1100">
        <v>6</v>
      </c>
      <c r="I320" s="1192">
        <f>IF(M320=$M$23,H320+J320-K320,0)</f>
        <v>0</v>
      </c>
      <c r="J320" s="1041"/>
      <c r="K320" s="1041"/>
      <c r="L320" s="1015"/>
      <c r="M320" s="934">
        <v>50</v>
      </c>
    </row>
    <row r="321" spans="1:13" s="1016" customFormat="1" ht="25.2" hidden="1" customHeight="1">
      <c r="A321" s="1086">
        <f t="shared" si="12"/>
        <v>0</v>
      </c>
      <c r="B321" s="1087" t="s">
        <v>1592</v>
      </c>
      <c r="C321" s="2842"/>
      <c r="D321" s="1043"/>
      <c r="E321" s="1012" t="str">
        <f>VLOOKUP($B321,DG!A:D,DG!$B$2,)</f>
        <v>06.3231</v>
      </c>
      <c r="F321" s="1013" t="str">
        <f>VLOOKUP($B321,DG!A:D,DG!$C$2,)</f>
        <v>Cổ dê kẹp ống PVC  21</v>
      </c>
      <c r="G321" s="1012" t="str">
        <f>VLOOKUP($B321,DG!A:D,DG!$D$2,)</f>
        <v>bộ</v>
      </c>
      <c r="H321" s="1100">
        <v>4</v>
      </c>
      <c r="I321" s="1192">
        <f t="shared" si="13"/>
        <v>0</v>
      </c>
      <c r="J321" s="1041"/>
      <c r="K321" s="1041"/>
      <c r="L321" s="1015"/>
      <c r="M321" s="934">
        <v>50</v>
      </c>
    </row>
    <row r="322" spans="1:13" s="1016" customFormat="1" ht="25.2" hidden="1" customHeight="1">
      <c r="A322" s="1086">
        <f t="shared" si="12"/>
        <v>0</v>
      </c>
      <c r="B322" s="1231" t="s">
        <v>1579</v>
      </c>
      <c r="C322" s="2844"/>
      <c r="D322" s="1043"/>
      <c r="E322" s="1012">
        <f>VLOOKUP($B322,DG!A:D,DG!$B$2,)</f>
        <v>0</v>
      </c>
      <c r="F322" s="1013" t="str">
        <f>VLOOKUP($B322,DG!A:D,DG!$C$2,)</f>
        <v>Kẹp ép WR cỡ dây 50mm2</v>
      </c>
      <c r="G322" s="1012" t="str">
        <f>VLOOKUP($B322,DG!A:D,DG!$D$2,)</f>
        <v>cái</v>
      </c>
      <c r="H322" s="1100">
        <f>2*H314</f>
        <v>0</v>
      </c>
      <c r="I322" s="1192">
        <f>IF(M322=$M$23,H322+J322-K322,0)</f>
        <v>0</v>
      </c>
      <c r="J322" s="1041"/>
      <c r="K322" s="1041"/>
      <c r="L322" s="1015"/>
      <c r="M322" s="934">
        <v>50</v>
      </c>
    </row>
    <row r="323" spans="1:13" s="1016" customFormat="1" ht="25.2" hidden="1" customHeight="1">
      <c r="A323" s="1086">
        <f t="shared" si="12"/>
        <v>0</v>
      </c>
      <c r="B323" s="1231" t="s">
        <v>1115</v>
      </c>
      <c r="C323" s="2844"/>
      <c r="D323" s="1043"/>
      <c r="E323" s="1012">
        <f>VLOOKUP($B323,DG!A:D,DG!$B$2,)</f>
        <v>0</v>
      </c>
      <c r="F323" s="1013" t="str">
        <f>VLOOKUP($B323,DG!A:D,DG!$C$2,)</f>
        <v>Kẹp ép cỡ dây 25mm2</v>
      </c>
      <c r="G323" s="1012" t="str">
        <f>VLOOKUP($B323,DG!A:D,DG!$D$2,)</f>
        <v>cái</v>
      </c>
      <c r="H323" s="1100">
        <v>11</v>
      </c>
      <c r="I323" s="1192">
        <f t="shared" si="13"/>
        <v>0</v>
      </c>
      <c r="J323" s="1041"/>
      <c r="K323" s="1041"/>
      <c r="L323" s="1015"/>
      <c r="M323" s="934">
        <v>50</v>
      </c>
    </row>
    <row r="324" spans="1:13" s="1016" customFormat="1" ht="25.2" hidden="1" customHeight="1">
      <c r="A324" s="1086">
        <f t="shared" si="12"/>
        <v>0</v>
      </c>
      <c r="B324" s="1231" t="s">
        <v>1469</v>
      </c>
      <c r="C324" s="2844"/>
      <c r="D324" s="1043"/>
      <c r="E324" s="1012" t="str">
        <f>VLOOKUP($B324,DG!A:D,DG!$B$2,)</f>
        <v>04.3107</v>
      </c>
      <c r="F324" s="1013" t="str">
        <f>VLOOKUP($B324,DG!A:D,DG!$C$2,)</f>
        <v xml:space="preserve">Ốc siết cáp cỡ 50mm2 </v>
      </c>
      <c r="G324" s="1012" t="str">
        <f>VLOOKUP($B324,DG!A:D,DG!$D$2,)</f>
        <v>cái</v>
      </c>
      <c r="H324" s="1100"/>
      <c r="I324" s="1192">
        <f t="shared" si="13"/>
        <v>0</v>
      </c>
      <c r="J324" s="1041"/>
      <c r="K324" s="1041"/>
      <c r="L324" s="1015"/>
      <c r="M324" s="934">
        <v>50</v>
      </c>
    </row>
    <row r="325" spans="1:13" s="1016" customFormat="1" ht="25.2" hidden="1" customHeight="1">
      <c r="A325" s="1086">
        <f t="shared" si="12"/>
        <v>0</v>
      </c>
      <c r="B325" s="1231" t="s">
        <v>377</v>
      </c>
      <c r="C325" s="2844"/>
      <c r="D325" s="1043"/>
      <c r="E325" s="1012" t="str">
        <f>VLOOKUP($B325,DG!A:D,DG!$B$2,)</f>
        <v>03.4002</v>
      </c>
      <c r="F325" s="1013" t="str">
        <f>VLOOKUP($B325,DG!A:D,DG!$C$2,)</f>
        <v>Đầu cosse ép Cu 35mm2</v>
      </c>
      <c r="G325" s="1012" t="str">
        <f>VLOOKUP($B325,DG!A:D,DG!$D$2,)</f>
        <v>cái</v>
      </c>
      <c r="H325" s="1100"/>
      <c r="I325" s="1192">
        <f t="shared" si="13"/>
        <v>0</v>
      </c>
      <c r="J325" s="1041"/>
      <c r="K325" s="1041"/>
      <c r="L325" s="1015"/>
      <c r="M325" s="934">
        <v>50</v>
      </c>
    </row>
    <row r="326" spans="1:13" s="1016" customFormat="1" ht="25.2" hidden="1" customHeight="1">
      <c r="A326" s="1086">
        <f t="shared" si="12"/>
        <v>0</v>
      </c>
      <c r="B326" s="1231" t="s">
        <v>371</v>
      </c>
      <c r="C326" s="2844"/>
      <c r="D326" s="1043"/>
      <c r="E326" s="1012" t="str">
        <f>VLOOKUP($B326,DG!A:D,DG!$B$2,)</f>
        <v>03.4003</v>
      </c>
      <c r="F326" s="1013" t="str">
        <f>VLOOKUP($B326,DG!A:D,DG!$C$2,)</f>
        <v>Đầu cosse ép Cu 70mm2</v>
      </c>
      <c r="G326" s="1012" t="str">
        <f>VLOOKUP($B326,DG!A:D,DG!$D$2,)</f>
        <v>cái</v>
      </c>
      <c r="H326" s="1100"/>
      <c r="I326" s="1192">
        <f t="shared" si="13"/>
        <v>0</v>
      </c>
      <c r="J326" s="1041"/>
      <c r="K326" s="1041"/>
      <c r="L326" s="1015"/>
      <c r="M326" s="934">
        <v>50</v>
      </c>
    </row>
    <row r="327" spans="1:13" s="1016" customFormat="1" ht="25.2" hidden="1" customHeight="1">
      <c r="A327" s="1086">
        <f t="shared" si="12"/>
        <v>0</v>
      </c>
      <c r="B327" s="1087" t="s">
        <v>375</v>
      </c>
      <c r="C327" s="2842"/>
      <c r="D327" s="1043"/>
      <c r="E327" s="1012" t="str">
        <f>VLOOKUP($B327,DG!A:D,DG!$B$2,)</f>
        <v>06.3231</v>
      </c>
      <c r="F327" s="1013" t="str">
        <f>VLOOKUP($B327,DG!A:D,DG!$C$2,)</f>
        <v>Cổ dê kẹp sắt Ø 10</v>
      </c>
      <c r="G327" s="1012" t="str">
        <f>VLOOKUP($B327,DG!A:D,DG!$D$2,)</f>
        <v>bộ</v>
      </c>
      <c r="H327" s="1100"/>
      <c r="I327" s="1192">
        <f t="shared" si="13"/>
        <v>0</v>
      </c>
      <c r="J327" s="1041"/>
      <c r="K327" s="1041"/>
      <c r="L327" s="1015"/>
      <c r="M327" s="934">
        <v>50</v>
      </c>
    </row>
    <row r="328" spans="1:13" s="1016" customFormat="1" ht="25.2" hidden="1" customHeight="1">
      <c r="A328" s="1086">
        <f t="shared" si="12"/>
        <v>0</v>
      </c>
      <c r="B328" s="1087" t="s">
        <v>1350</v>
      </c>
      <c r="C328" s="2842"/>
      <c r="D328" s="1043"/>
      <c r="E328" s="1012">
        <f>VLOOKUP($B328,DG!A:D,DG!$B$2,)</f>
        <v>0</v>
      </c>
      <c r="F328" s="1013" t="s">
        <v>821</v>
      </c>
      <c r="G328" s="1012" t="str">
        <f>VLOOKUP($B328,DG!A:D,DG!$D$2,)</f>
        <v>bộ</v>
      </c>
      <c r="H328" s="1100"/>
      <c r="I328" s="1192">
        <f t="shared" si="13"/>
        <v>0</v>
      </c>
      <c r="J328" s="1041"/>
      <c r="K328" s="1041"/>
      <c r="L328" s="1015"/>
      <c r="M328" s="934">
        <v>50</v>
      </c>
    </row>
    <row r="329" spans="1:13" s="1016" customFormat="1" ht="25.2" hidden="1" customHeight="1">
      <c r="A329" s="1086">
        <f t="shared" si="12"/>
        <v>0</v>
      </c>
      <c r="B329" s="1231" t="s">
        <v>2183</v>
      </c>
      <c r="C329" s="2844"/>
      <c r="D329" s="1043"/>
      <c r="E329" s="1012" t="str">
        <f>VLOOKUP($B329,DG!A:D,DG!$B$2,)</f>
        <v>04.7002</v>
      </c>
      <c r="F329" s="1013" t="str">
        <f>VLOOKUP($B329,DG!A:D,DG!$C$2,)</f>
        <v>Kéo dây tiếp địa trong TBA</v>
      </c>
      <c r="G329" s="1012" t="str">
        <f>VLOOKUP($B329,DG!A:D,DG!$D$2,)</f>
        <v>kg</v>
      </c>
      <c r="H329" s="1865">
        <f>+H318*3+12*2+4</f>
        <v>55</v>
      </c>
      <c r="I329" s="1192">
        <f t="shared" si="13"/>
        <v>0</v>
      </c>
      <c r="J329" s="1041"/>
      <c r="K329" s="1041"/>
      <c r="L329" s="1015"/>
      <c r="M329" s="934">
        <v>50</v>
      </c>
    </row>
    <row r="330" spans="1:13" s="1016" customFormat="1" ht="25.2" hidden="1" customHeight="1">
      <c r="A330" s="1086">
        <f t="shared" si="12"/>
        <v>0</v>
      </c>
      <c r="B330" s="1087" t="s">
        <v>902</v>
      </c>
      <c r="C330" s="2842"/>
      <c r="D330" s="1043"/>
      <c r="E330" s="1012" t="str">
        <f>VLOOKUP($B330,DG!A:D,DG!$B$2,)</f>
        <v>04.7001</v>
      </c>
      <c r="F330" s="1013" t="str">
        <f>VLOOKUP($B330,DG!A:D,DG!$C$2,)</f>
        <v>Đóng cọc tiếp địa trong TBA</v>
      </c>
      <c r="G330" s="1012" t="str">
        <f>VLOOKUP($B330,DG!A:D,DG!$D$2,)</f>
        <v>cọc</v>
      </c>
      <c r="H330" s="1865">
        <f>H318</f>
        <v>9</v>
      </c>
      <c r="I330" s="1192">
        <f t="shared" si="13"/>
        <v>0</v>
      </c>
      <c r="J330" s="1041"/>
      <c r="K330" s="1041"/>
      <c r="L330" s="1015"/>
      <c r="M330" s="934">
        <v>50</v>
      </c>
    </row>
    <row r="331" spans="1:13" s="1016" customFormat="1" ht="25.2" hidden="1" customHeight="1">
      <c r="A331" s="1086">
        <f t="shared" si="12"/>
        <v>0</v>
      </c>
      <c r="B331" s="1231" t="str">
        <f>"dtd"&amp;chitiet!G5</f>
        <v>dtd3</v>
      </c>
      <c r="C331" s="2844"/>
      <c r="D331" s="1043"/>
      <c r="E331" s="1012" t="str">
        <f>VLOOKUP($B331,DG!A:D,DG!$B$2,)</f>
        <v>03.3123</v>
      </c>
      <c r="F331" s="1013" t="str">
        <f>VLOOKUP($B331,DG!A:D,DG!$C$2,)</f>
        <v>Đào rãnh tiếp địa đất cấp 3</v>
      </c>
      <c r="G331" s="1012" t="str">
        <f>VLOOKUP($B331,DG!A:D,DG!$D$2,)</f>
        <v>m3</v>
      </c>
      <c r="H331" s="1866">
        <v>8.64</v>
      </c>
      <c r="I331" s="1192">
        <f t="shared" si="13"/>
        <v>0</v>
      </c>
      <c r="J331" s="1041"/>
      <c r="K331" s="1041"/>
      <c r="L331" s="1015"/>
      <c r="M331" s="934">
        <v>50</v>
      </c>
    </row>
    <row r="332" spans="1:13" s="1016" customFormat="1" ht="25.2" hidden="1" customHeight="1">
      <c r="A332" s="1086">
        <f t="shared" si="12"/>
        <v>0</v>
      </c>
      <c r="B332" s="1087" t="str">
        <f>"datd"&amp;chitiet!G5</f>
        <v>datd3</v>
      </c>
      <c r="C332" s="2842"/>
      <c r="D332" s="1043"/>
      <c r="E332" s="1012" t="str">
        <f>VLOOKUP($B332,DG!A:D,DG!$B$2,)</f>
        <v>03.4123</v>
      </c>
      <c r="F332" s="1013" t="str">
        <f>VLOOKUP($B332,DG!A:D,DG!$C$2,)</f>
        <v>Đắp đất rãnh tiếp độ chặt k=0,85</v>
      </c>
      <c r="G332" s="1012" t="str">
        <f>VLOOKUP($B332,DG!A:D,DG!$D$2,)</f>
        <v>m3</v>
      </c>
      <c r="H332" s="1865">
        <f>H331</f>
        <v>8.64</v>
      </c>
      <c r="I332" s="1192">
        <f t="shared" si="13"/>
        <v>0</v>
      </c>
      <c r="J332" s="1041"/>
      <c r="K332" s="1041"/>
      <c r="L332" s="1015"/>
      <c r="M332" s="934">
        <v>50</v>
      </c>
    </row>
    <row r="333" spans="1:13" s="1016" customFormat="1" ht="25.2" hidden="1" customHeight="1">
      <c r="A333" s="1086">
        <f t="shared" si="12"/>
        <v>0</v>
      </c>
      <c r="B333" s="1231"/>
      <c r="C333" s="2844"/>
      <c r="D333" s="1099">
        <f>IF(H333&gt;0,D315+1,D315)</f>
        <v>0</v>
      </c>
      <c r="E333" s="1118"/>
      <c r="F333" s="1119" t="s">
        <v>3683</v>
      </c>
      <c r="G333" s="1099" t="s">
        <v>2385</v>
      </c>
      <c r="H333" s="1707">
        <f>H309</f>
        <v>0</v>
      </c>
      <c r="I333" s="1192">
        <f t="shared" si="13"/>
        <v>0</v>
      </c>
      <c r="J333" s="1041"/>
      <c r="K333" s="1041"/>
      <c r="L333" s="1015"/>
      <c r="M333" s="934">
        <v>50</v>
      </c>
    </row>
    <row r="334" spans="1:13" s="1016" customFormat="1" ht="25.2" hidden="1" customHeight="1">
      <c r="A334" s="1086">
        <f t="shared" si="12"/>
        <v>0</v>
      </c>
      <c r="B334" s="1231"/>
      <c r="C334" s="2844"/>
      <c r="D334" s="1099"/>
      <c r="E334" s="1118"/>
      <c r="F334" s="1265" t="s">
        <v>2279</v>
      </c>
      <c r="G334" s="1043"/>
      <c r="H334" s="1100"/>
      <c r="I334" s="1192">
        <f t="shared" si="13"/>
        <v>0</v>
      </c>
      <c r="J334" s="1041"/>
      <c r="K334" s="1041"/>
      <c r="L334" s="1015"/>
      <c r="M334" s="934">
        <v>50</v>
      </c>
    </row>
    <row r="335" spans="1:13" s="1016" customFormat="1" ht="25.2" hidden="1" customHeight="1">
      <c r="A335" s="1086">
        <f t="shared" si="12"/>
        <v>0</v>
      </c>
      <c r="B335" s="1233" t="s">
        <v>616</v>
      </c>
      <c r="C335" s="2843"/>
      <c r="D335" s="1043"/>
      <c r="E335" s="1012" t="str">
        <f>VLOOKUP($B335,DG!A:D,DG!$B$2,)</f>
        <v>05.1001</v>
      </c>
      <c r="F335" s="1013" t="str">
        <f>VLOOKUP($B335,DG!A:D,DG!$C$2,)</f>
        <v>Tủ CB trạm 1 pha + khóa + boulon</v>
      </c>
      <c r="G335" s="1012" t="str">
        <f>VLOOKUP($B335,DG!A:D,DG!$D$2,)</f>
        <v>cái</v>
      </c>
      <c r="H335" s="1100">
        <f>H333</f>
        <v>0</v>
      </c>
      <c r="I335" s="1192">
        <f t="shared" si="13"/>
        <v>0</v>
      </c>
      <c r="J335" s="1041"/>
      <c r="K335" s="1041"/>
      <c r="L335" s="1015"/>
      <c r="M335" s="934">
        <v>50</v>
      </c>
    </row>
    <row r="336" spans="1:13" s="1016" customFormat="1" ht="25.2" hidden="1" customHeight="1">
      <c r="A336" s="1086">
        <f t="shared" si="12"/>
        <v>0</v>
      </c>
      <c r="B336" s="1231" t="s">
        <v>879</v>
      </c>
      <c r="C336" s="2844"/>
      <c r="D336" s="1043"/>
      <c r="E336" s="1012" t="str">
        <f>VLOOKUP($B336,DG!A:D,DG!$B$2,)</f>
        <v>06.3231</v>
      </c>
      <c r="F336" s="1013" t="str">
        <f>VLOOKUP($B336,DG!A:D,DG!$C$2,)</f>
        <v>Cổ dê bắt tủ</v>
      </c>
      <c r="G336" s="1012" t="str">
        <f>VLOOKUP($B336,DG!A:D,DG!$D$2,)</f>
        <v>bộ</v>
      </c>
      <c r="H336" s="1100">
        <f>2*H333</f>
        <v>0</v>
      </c>
      <c r="I336" s="1192">
        <f t="shared" si="13"/>
        <v>0</v>
      </c>
      <c r="J336" s="1041"/>
      <c r="K336" s="1041"/>
      <c r="L336" s="1015"/>
      <c r="M336" s="934">
        <v>50</v>
      </c>
    </row>
    <row r="337" spans="1:13" s="1016" customFormat="1" ht="25.2" hidden="1" customHeight="1">
      <c r="A337" s="1086">
        <f t="shared" si="12"/>
        <v>0</v>
      </c>
      <c r="B337" s="1231" t="s">
        <v>880</v>
      </c>
      <c r="C337" s="2844"/>
      <c r="D337" s="1043"/>
      <c r="E337" s="1012">
        <f>VLOOKUP($B337,DG!A:D,DG!$B$2,)</f>
        <v>0</v>
      </c>
      <c r="F337" s="1013" t="str">
        <f>VLOOKUP($B337,DG!A:D,DG!$C$2,)</f>
        <v xml:space="preserve">Bakelit 550x450 dầy 10mm </v>
      </c>
      <c r="G337" s="1012" t="str">
        <f>VLOOKUP($B337,DG!A:D,DG!$D$2,)</f>
        <v>cái</v>
      </c>
      <c r="H337" s="1100">
        <f>H335</f>
        <v>0</v>
      </c>
      <c r="I337" s="1192">
        <f>IF(M337=$M$23,H337+J337-K337,0)</f>
        <v>0</v>
      </c>
      <c r="J337" s="1041"/>
      <c r="K337" s="1041"/>
      <c r="L337" s="1015"/>
      <c r="M337" s="934">
        <v>50</v>
      </c>
    </row>
    <row r="338" spans="1:13" s="1016" customFormat="1" ht="25.2" hidden="1" customHeight="1">
      <c r="A338" s="1086">
        <f t="shared" si="12"/>
        <v>0</v>
      </c>
      <c r="B338" s="1231" t="s">
        <v>1914</v>
      </c>
      <c r="C338" s="2844"/>
      <c r="D338" s="1043"/>
      <c r="E338" s="1012">
        <f>VLOOKUP($B338,DG!A:D,DG!$B$2,)</f>
        <v>0</v>
      </c>
      <c r="F338" s="1013" t="str">
        <f>VLOOKUP($B338,DG!A:D,DG!$C$2,)</f>
        <v>Bakelit 350x510 dầy 5mm</v>
      </c>
      <c r="G338" s="1012" t="str">
        <f>VLOOKUP($B338,DG!A:D,DG!$D$2,)</f>
        <v>cái</v>
      </c>
      <c r="H338" s="1100">
        <f>H333</f>
        <v>0</v>
      </c>
      <c r="I338" s="1192">
        <f t="shared" si="13"/>
        <v>0</v>
      </c>
      <c r="J338" s="1041"/>
      <c r="K338" s="1041"/>
      <c r="L338" s="1015"/>
      <c r="M338" s="934">
        <v>50</v>
      </c>
    </row>
    <row r="339" spans="1:13" s="1016" customFormat="1" ht="25.2" hidden="1" customHeight="1">
      <c r="A339" s="1086">
        <f t="shared" si="12"/>
        <v>0</v>
      </c>
      <c r="B339" s="1231"/>
      <c r="C339" s="2844"/>
      <c r="D339" s="1099">
        <f>IF(H339&gt;0,D333+1,D333)</f>
        <v>0</v>
      </c>
      <c r="E339" s="1118"/>
      <c r="F339" s="1130" t="s">
        <v>3678</v>
      </c>
      <c r="G339" s="1099" t="s">
        <v>2385</v>
      </c>
      <c r="H339" s="1707">
        <f>H333</f>
        <v>0</v>
      </c>
      <c r="I339" s="1192">
        <f t="shared" si="13"/>
        <v>0</v>
      </c>
      <c r="J339" s="1041"/>
      <c r="K339" s="1041"/>
      <c r="L339" s="1015"/>
      <c r="M339" s="934">
        <v>50</v>
      </c>
    </row>
    <row r="340" spans="1:13" s="1016" customFormat="1" ht="25.2" hidden="1" customHeight="1">
      <c r="A340" s="1086">
        <f t="shared" si="12"/>
        <v>0</v>
      </c>
      <c r="B340" s="1231"/>
      <c r="C340" s="2844"/>
      <c r="D340" s="1099"/>
      <c r="E340" s="1118"/>
      <c r="F340" s="1265" t="s">
        <v>2279</v>
      </c>
      <c r="G340" s="1043"/>
      <c r="H340" s="1100"/>
      <c r="I340" s="1192">
        <f t="shared" si="13"/>
        <v>0</v>
      </c>
      <c r="J340" s="1041"/>
      <c r="K340" s="1041"/>
      <c r="L340" s="1015"/>
      <c r="M340" s="934">
        <v>50</v>
      </c>
    </row>
    <row r="341" spans="1:13" s="1016" customFormat="1" ht="25.2" hidden="1" customHeight="1">
      <c r="A341" s="1086">
        <f t="shared" si="12"/>
        <v>0</v>
      </c>
      <c r="B341" s="1087" t="s">
        <v>697</v>
      </c>
      <c r="C341" s="2842"/>
      <c r="D341" s="1043"/>
      <c r="E341" s="1012">
        <f>VLOOKUP($B341,DG!A:D,DG!$B$2,)</f>
        <v>0</v>
      </c>
      <c r="F341" s="1013" t="str">
        <f>VLOOKUP($B341,DG!A:D,DG!$C$2,)</f>
        <v>Cáp 24KV C/XLPE/PVC 25mm2</v>
      </c>
      <c r="G341" s="1012" t="str">
        <f>VLOOKUP($B341,DG!A:D,DG!$D$2,)</f>
        <v>mét</v>
      </c>
      <c r="H341" s="1100">
        <v>4</v>
      </c>
      <c r="I341" s="1192">
        <f t="shared" si="13"/>
        <v>0</v>
      </c>
      <c r="J341" s="1041"/>
      <c r="K341" s="1041"/>
      <c r="L341" s="1015"/>
      <c r="M341" s="934">
        <v>50</v>
      </c>
    </row>
    <row r="342" spans="1:13" s="1016" customFormat="1" ht="25.2" hidden="1" customHeight="1">
      <c r="A342" s="1086">
        <f t="shared" si="12"/>
        <v>0</v>
      </c>
      <c r="B342" s="1087" t="s">
        <v>1479</v>
      </c>
      <c r="C342" s="2842"/>
      <c r="D342" s="1043"/>
      <c r="E342" s="1012" t="str">
        <f>VLOOKUP($B342,DG!A:D,DG!$B$2,)</f>
        <v>04.3007</v>
      </c>
      <c r="F342" s="1013" t="str">
        <f>VLOOKUP($B342,DG!A:D,DG!$C$2,)</f>
        <v>Kẹp quai 2/0</v>
      </c>
      <c r="G342" s="1012" t="str">
        <f>VLOOKUP($B342,DG!A:D,DG!$D$2,)</f>
        <v>cái</v>
      </c>
      <c r="H342" s="1100">
        <f>H339</f>
        <v>0</v>
      </c>
      <c r="I342" s="1192">
        <f t="shared" si="13"/>
        <v>0</v>
      </c>
      <c r="J342" s="1041"/>
      <c r="K342" s="1041"/>
      <c r="L342" s="1015"/>
      <c r="M342" s="934">
        <v>50</v>
      </c>
    </row>
    <row r="343" spans="1:13" s="1016" customFormat="1" ht="25.2" hidden="1" customHeight="1">
      <c r="A343" s="1086">
        <f t="shared" si="12"/>
        <v>0</v>
      </c>
      <c r="B343" s="1087" t="s">
        <v>1477</v>
      </c>
      <c r="C343" s="2842"/>
      <c r="D343" s="1043"/>
      <c r="E343" s="1012" t="str">
        <f>VLOOKUP($B343,DG!A:D,DG!$B$2,)</f>
        <v>04.3007</v>
      </c>
      <c r="F343" s="1013" t="str">
        <f>VLOOKUP($B343,DG!A:D,DG!$C$2,)</f>
        <v>Kẹp hotline 2/0</v>
      </c>
      <c r="G343" s="1012" t="str">
        <f>VLOOKUP($B343,DG!A:D,DG!$D$2,)</f>
        <v>cái</v>
      </c>
      <c r="H343" s="1100">
        <f>H339</f>
        <v>0</v>
      </c>
      <c r="I343" s="1192">
        <f t="shared" si="13"/>
        <v>0</v>
      </c>
      <c r="J343" s="1041"/>
      <c r="K343" s="1041"/>
      <c r="L343" s="1015"/>
      <c r="M343" s="934">
        <v>50</v>
      </c>
    </row>
    <row r="344" spans="1:13" s="1016" customFormat="1" ht="25.2" hidden="1" customHeight="1">
      <c r="A344" s="1086">
        <f t="shared" si="12"/>
        <v>0</v>
      </c>
      <c r="B344" s="1087" t="s">
        <v>382</v>
      </c>
      <c r="C344" s="2842"/>
      <c r="D344" s="1043"/>
      <c r="E344" s="1012">
        <f>VLOOKUP($B344,DG!A:D,DG!$B$2,)</f>
        <v>0</v>
      </c>
      <c r="F344" s="1013" t="str">
        <f>VLOOKUP($B344,DG!A:D,DG!$C$2,)</f>
        <v>Chụp đầu cực FCO (bộ 2 cái)</v>
      </c>
      <c r="G344" s="1012" t="str">
        <f>VLOOKUP($B344,DG!A:D,DG!$D$2,)</f>
        <v>bộ</v>
      </c>
      <c r="H344" s="1100">
        <f>H273</f>
        <v>0</v>
      </c>
      <c r="I344" s="1192">
        <f t="shared" si="13"/>
        <v>0</v>
      </c>
      <c r="J344" s="1041"/>
      <c r="K344" s="1041"/>
      <c r="L344" s="1015"/>
      <c r="M344" s="934">
        <v>50</v>
      </c>
    </row>
    <row r="345" spans="1:13" s="1016" customFormat="1" ht="25.2" hidden="1" customHeight="1">
      <c r="A345" s="1086">
        <f t="shared" si="12"/>
        <v>0</v>
      </c>
      <c r="B345" s="1087" t="s">
        <v>383</v>
      </c>
      <c r="C345" s="2842"/>
      <c r="D345" s="1043"/>
      <c r="E345" s="1012">
        <f>VLOOKUP($B345,DG!A:D,DG!$B$2,)</f>
        <v>0</v>
      </c>
      <c r="F345" s="1013" t="str">
        <f>VLOOKUP($B345,DG!A:D,DG!$C$2,)</f>
        <v>Chụp đầu cực LA</v>
      </c>
      <c r="G345" s="1012" t="str">
        <f>VLOOKUP($B345,DG!A:D,DG!$D$2,)</f>
        <v>cái</v>
      </c>
      <c r="H345" s="1100">
        <f>H275</f>
        <v>0</v>
      </c>
      <c r="I345" s="1192">
        <f t="shared" si="13"/>
        <v>0</v>
      </c>
      <c r="J345" s="1041"/>
      <c r="K345" s="1041"/>
      <c r="L345" s="1015"/>
      <c r="M345" s="934">
        <v>50</v>
      </c>
    </row>
    <row r="346" spans="1:13" s="1016" customFormat="1" ht="25.2" hidden="1" customHeight="1">
      <c r="A346" s="1086">
        <f t="shared" ref="A346:A409" si="15">IF(AND(M346=$M$23,I346&gt;0),1,0)</f>
        <v>0</v>
      </c>
      <c r="B346" s="1087" t="s">
        <v>384</v>
      </c>
      <c r="C346" s="2842"/>
      <c r="D346" s="1043"/>
      <c r="E346" s="1012">
        <f>VLOOKUP($B346,DG!A:D,DG!$B$2,)</f>
        <v>0</v>
      </c>
      <c r="F346" s="1013" t="str">
        <f>VLOOKUP($B346,DG!A:D,DG!$C$2,)</f>
        <v>Chụp đầu MBA</v>
      </c>
      <c r="G346" s="1012" t="str">
        <f>VLOOKUP($B346,DG!A:D,DG!$D$2,)</f>
        <v>cái</v>
      </c>
      <c r="H346" s="1100">
        <f>H272</f>
        <v>0</v>
      </c>
      <c r="I346" s="1192">
        <f t="shared" si="13"/>
        <v>0</v>
      </c>
      <c r="J346" s="1041"/>
      <c r="K346" s="1041"/>
      <c r="L346" s="1015"/>
      <c r="M346" s="934">
        <v>50</v>
      </c>
    </row>
    <row r="347" spans="1:13" s="1016" customFormat="1" ht="25.2" hidden="1" customHeight="1">
      <c r="A347" s="1086">
        <f t="shared" si="15"/>
        <v>0</v>
      </c>
      <c r="B347" s="1087" t="s">
        <v>1525</v>
      </c>
      <c r="C347" s="2842"/>
      <c r="D347" s="1043"/>
      <c r="E347" s="1012" t="str">
        <f>VLOOKUP($B347,DG!A:D,DG!$B$2,)</f>
        <v>04.4201</v>
      </c>
      <c r="F347" s="1013" t="str">
        <f>VLOOKUP($B347,DG!A:D,DG!$C$2,)</f>
        <v>Lắp cáp đồng xuống thiết bị D ≤ 95mm2</v>
      </c>
      <c r="G347" s="1012" t="str">
        <f>VLOOKUP($B347,DG!A:D,DG!$D$2,)</f>
        <v>m</v>
      </c>
      <c r="H347" s="1100">
        <f>H341</f>
        <v>4</v>
      </c>
      <c r="I347" s="1192">
        <f t="shared" si="13"/>
        <v>0</v>
      </c>
      <c r="J347" s="1041"/>
      <c r="K347" s="1041"/>
      <c r="L347" s="1015"/>
      <c r="M347" s="934">
        <v>50</v>
      </c>
    </row>
    <row r="348" spans="1:13" s="1016" customFormat="1" ht="25.2" hidden="1" customHeight="1">
      <c r="A348" s="1086">
        <f t="shared" si="15"/>
        <v>0</v>
      </c>
      <c r="B348" s="1226"/>
      <c r="C348" s="2841"/>
      <c r="D348" s="1099">
        <f>IF(H348&gt;0,D339+1,D339)</f>
        <v>0</v>
      </c>
      <c r="E348" s="1118"/>
      <c r="F348" s="1119" t="s">
        <v>3688</v>
      </c>
      <c r="G348" s="1099" t="s">
        <v>2385</v>
      </c>
      <c r="H348" s="1707">
        <f>H272</f>
        <v>0</v>
      </c>
      <c r="I348" s="1192">
        <f t="shared" si="13"/>
        <v>0</v>
      </c>
      <c r="J348" s="1041"/>
      <c r="K348" s="1041"/>
      <c r="L348" s="1015"/>
      <c r="M348" s="934">
        <v>50</v>
      </c>
    </row>
    <row r="349" spans="1:13" s="1016" customFormat="1" ht="25.2" hidden="1" customHeight="1">
      <c r="A349" s="1086">
        <f t="shared" si="15"/>
        <v>0</v>
      </c>
      <c r="B349" s="1226"/>
      <c r="C349" s="2841"/>
      <c r="D349" s="1099"/>
      <c r="E349" s="1118"/>
      <c r="F349" s="1264" t="s">
        <v>2279</v>
      </c>
      <c r="G349" s="1099"/>
      <c r="H349" s="1707"/>
      <c r="I349" s="1192">
        <f t="shared" si="13"/>
        <v>0</v>
      </c>
      <c r="J349" s="1041"/>
      <c r="K349" s="1041"/>
      <c r="L349" s="1015"/>
      <c r="M349" s="934">
        <v>50</v>
      </c>
    </row>
    <row r="350" spans="1:13" s="1016" customFormat="1" ht="25.2" hidden="1" customHeight="1">
      <c r="A350" s="1086">
        <f t="shared" si="15"/>
        <v>0</v>
      </c>
      <c r="B350" s="1226" t="s">
        <v>49</v>
      </c>
      <c r="C350" s="2841">
        <v>18</v>
      </c>
      <c r="D350" s="1099"/>
      <c r="E350" s="1012">
        <f>VLOOKUP($B350,DG!A:D,DG!$B$2,)</f>
        <v>0</v>
      </c>
      <c r="F350" s="1013" t="str">
        <f>VLOOKUP($B350,DG!A:D,DG!$C$2,)</f>
        <v>Cáp đồng bọc CV120</v>
      </c>
      <c r="G350" s="1012" t="str">
        <f>VLOOKUP($B350,DG!A:D,DG!$D$2,)</f>
        <v>mét</v>
      </c>
      <c r="H350" s="1865">
        <v>20</v>
      </c>
      <c r="I350" s="1865">
        <f>I$348*$C350</f>
        <v>0</v>
      </c>
      <c r="J350" s="1865">
        <f>J$348*$C350</f>
        <v>0</v>
      </c>
      <c r="K350" s="1865">
        <f>K$348*$C350</f>
        <v>0</v>
      </c>
      <c r="L350" s="1015"/>
      <c r="M350" s="934">
        <v>50</v>
      </c>
    </row>
    <row r="351" spans="1:13" s="1016" customFormat="1" ht="25.2" hidden="1" customHeight="1">
      <c r="A351" s="1086">
        <f t="shared" si="15"/>
        <v>0</v>
      </c>
      <c r="B351" s="1226" t="s">
        <v>1406</v>
      </c>
      <c r="C351" s="2841">
        <v>11</v>
      </c>
      <c r="D351" s="1099"/>
      <c r="E351" s="1012">
        <f>VLOOKUP($B351,DG!A:D,DG!$B$2,)</f>
        <v>0</v>
      </c>
      <c r="F351" s="1013" t="str">
        <f>VLOOKUP($B351,DG!A:D,DG!$C$2,)</f>
        <v>Cáp đồng bọc CV25</v>
      </c>
      <c r="G351" s="1012" t="str">
        <f>VLOOKUP($B351,DG!A:D,DG!$D$2,)</f>
        <v>mét</v>
      </c>
      <c r="H351" s="1865"/>
      <c r="I351" s="1865"/>
      <c r="J351" s="1865">
        <f t="shared" ref="H351:K366" si="16">J$348*$C351</f>
        <v>0</v>
      </c>
      <c r="K351" s="1865">
        <f t="shared" si="16"/>
        <v>0</v>
      </c>
      <c r="L351" s="1015"/>
      <c r="M351" s="934">
        <v>50</v>
      </c>
    </row>
    <row r="352" spans="1:13" s="1016" customFormat="1" ht="25.2" hidden="1" customHeight="1">
      <c r="A352" s="1086">
        <f t="shared" si="15"/>
        <v>0</v>
      </c>
      <c r="B352" s="1226" t="s">
        <v>4518</v>
      </c>
      <c r="C352" s="2841">
        <v>2</v>
      </c>
      <c r="D352" s="1043"/>
      <c r="E352" s="1012" t="str">
        <f>VLOOKUP($B352,DG!A:D,DG!$B$2,)</f>
        <v>03.1401</v>
      </c>
      <c r="F352" s="1013" t="str">
        <f>VLOOKUP($B352,DG!A:D,DG!$C$2,)</f>
        <v xml:space="preserve">Cáp CVV 4x4mm2  </v>
      </c>
      <c r="G352" s="1012" t="str">
        <f>VLOOKUP($B352,DG!A:D,DG!$D$2,)</f>
        <v>mét</v>
      </c>
      <c r="H352" s="1865">
        <f t="shared" si="16"/>
        <v>0</v>
      </c>
      <c r="I352" s="1865">
        <f t="shared" si="16"/>
        <v>0</v>
      </c>
      <c r="J352" s="1865">
        <f t="shared" si="16"/>
        <v>0</v>
      </c>
      <c r="K352" s="1865">
        <f t="shared" si="16"/>
        <v>0</v>
      </c>
      <c r="L352" s="1015"/>
      <c r="M352" s="934">
        <v>50</v>
      </c>
    </row>
    <row r="353" spans="1:13" s="1016" customFormat="1" ht="25.2" hidden="1" customHeight="1">
      <c r="A353" s="1086">
        <f t="shared" si="15"/>
        <v>0</v>
      </c>
      <c r="B353" s="1231" t="s">
        <v>1305</v>
      </c>
      <c r="C353" s="2844">
        <v>4</v>
      </c>
      <c r="D353" s="1043"/>
      <c r="E353" s="1012" t="str">
        <f>VLOOKUP($B353,DG!A:D,DG!$B$2,)</f>
        <v>03.4005</v>
      </c>
      <c r="F353" s="1013" t="str">
        <f>VLOOKUP($B353,DG!A:D,DG!$C$2,)</f>
        <v>Đầu cosse ép Cu 120mm2</v>
      </c>
      <c r="G353" s="1012" t="str">
        <f>VLOOKUP($B353,DG!A:D,DG!$D$2,)</f>
        <v>cái</v>
      </c>
      <c r="H353" s="1865">
        <f t="shared" si="16"/>
        <v>0</v>
      </c>
      <c r="I353" s="1865">
        <f t="shared" si="16"/>
        <v>0</v>
      </c>
      <c r="J353" s="1865">
        <f t="shared" si="16"/>
        <v>0</v>
      </c>
      <c r="K353" s="1865">
        <f t="shared" si="16"/>
        <v>0</v>
      </c>
      <c r="L353" s="1015"/>
      <c r="M353" s="934">
        <v>50</v>
      </c>
    </row>
    <row r="354" spans="1:13" s="1016" customFormat="1" ht="25.2" hidden="1" customHeight="1">
      <c r="A354" s="1086">
        <f t="shared" si="15"/>
        <v>0</v>
      </c>
      <c r="B354" s="1231" t="s">
        <v>93</v>
      </c>
      <c r="C354" s="2844">
        <v>4</v>
      </c>
      <c r="D354" s="1043"/>
      <c r="E354" s="1012">
        <f>VLOOKUP($B354,DG!A:D,DG!$B$2,)</f>
        <v>0</v>
      </c>
      <c r="F354" s="1013" t="str">
        <f>VLOOKUP($B354,DG!A:D,DG!$C$2,)</f>
        <v>Chụp đầu cosse  120mm2</v>
      </c>
      <c r="G354" s="1012" t="str">
        <f>VLOOKUP($B354,DG!A:D,DG!$D$2,)</f>
        <v>cái</v>
      </c>
      <c r="H354" s="1865">
        <f t="shared" si="16"/>
        <v>0</v>
      </c>
      <c r="I354" s="1865">
        <f t="shared" si="16"/>
        <v>0</v>
      </c>
      <c r="J354" s="1865">
        <f t="shared" si="16"/>
        <v>0</v>
      </c>
      <c r="K354" s="1865">
        <f t="shared" si="16"/>
        <v>0</v>
      </c>
      <c r="L354" s="1015"/>
      <c r="M354" s="934">
        <v>50</v>
      </c>
    </row>
    <row r="355" spans="1:13" s="1016" customFormat="1" ht="25.2" hidden="1" customHeight="1">
      <c r="A355" s="1086">
        <f t="shared" si="15"/>
        <v>0</v>
      </c>
      <c r="B355" s="1231" t="s">
        <v>104</v>
      </c>
      <c r="C355" s="2844">
        <v>0</v>
      </c>
      <c r="D355" s="1043"/>
      <c r="E355" s="1012" t="str">
        <f>VLOOKUP($B355,DG!A:D,DG!$B$2,)</f>
        <v>03.4001</v>
      </c>
      <c r="F355" s="1013" t="str">
        <f>VLOOKUP($B355,DG!A:D,DG!$C$2,)</f>
        <v>Đầu cosse ép Cu 25mm2</v>
      </c>
      <c r="G355" s="1012" t="str">
        <f>VLOOKUP($B355,DG!A:D,DG!$D$2,)</f>
        <v>cái</v>
      </c>
      <c r="H355" s="1865">
        <f t="shared" si="16"/>
        <v>0</v>
      </c>
      <c r="I355" s="1865">
        <f t="shared" si="16"/>
        <v>0</v>
      </c>
      <c r="J355" s="1865">
        <f t="shared" si="16"/>
        <v>0</v>
      </c>
      <c r="K355" s="1865">
        <f t="shared" si="16"/>
        <v>0</v>
      </c>
      <c r="L355" s="1015"/>
      <c r="M355" s="934">
        <v>50</v>
      </c>
    </row>
    <row r="356" spans="1:13" s="1016" customFormat="1" ht="25.2" hidden="1" customHeight="1">
      <c r="A356" s="1086">
        <f t="shared" si="15"/>
        <v>0</v>
      </c>
      <c r="B356" s="1231" t="s">
        <v>1916</v>
      </c>
      <c r="C356" s="2844">
        <v>0</v>
      </c>
      <c r="D356" s="1043"/>
      <c r="E356" s="1012">
        <f>VLOOKUP($B356,DG!A:D,DG!$B$2,)</f>
        <v>0</v>
      </c>
      <c r="F356" s="1013" t="str">
        <f>VLOOKUP($B356,DG!A:D,DG!$C$2,)</f>
        <v>Chụp đầu cosse  25mm2</v>
      </c>
      <c r="G356" s="1012" t="str">
        <f>VLOOKUP($B356,DG!A:D,DG!$D$2,)</f>
        <v>cái</v>
      </c>
      <c r="H356" s="1865">
        <f t="shared" si="16"/>
        <v>0</v>
      </c>
      <c r="I356" s="1865">
        <f t="shared" si="16"/>
        <v>0</v>
      </c>
      <c r="J356" s="1865">
        <f t="shared" si="16"/>
        <v>0</v>
      </c>
      <c r="K356" s="1865">
        <f t="shared" si="16"/>
        <v>0</v>
      </c>
      <c r="L356" s="1015"/>
      <c r="M356" s="934">
        <v>50</v>
      </c>
    </row>
    <row r="357" spans="1:13" s="1016" customFormat="1" ht="25.2" hidden="1" customHeight="1">
      <c r="A357" s="1086">
        <f t="shared" si="15"/>
        <v>0</v>
      </c>
      <c r="B357" s="1231" t="s">
        <v>1042</v>
      </c>
      <c r="C357" s="2844">
        <v>8</v>
      </c>
      <c r="D357" s="1043"/>
      <c r="E357" s="1012">
        <f>VLOOKUP($B357,DG!A:D,DG!$B$2,)</f>
        <v>0</v>
      </c>
      <c r="F357" s="1013" t="str">
        <f>VLOOKUP($B357,DG!A:D,DG!$C$2,)</f>
        <v xml:space="preserve">Ống PVC D114x4,9mm </v>
      </c>
      <c r="G357" s="1012" t="str">
        <f>VLOOKUP($B357,DG!A:D,DG!$D$2,)</f>
        <v>m</v>
      </c>
      <c r="H357" s="1865">
        <v>7</v>
      </c>
      <c r="I357" s="1865">
        <f>H357</f>
        <v>7</v>
      </c>
      <c r="J357" s="1865">
        <f t="shared" si="16"/>
        <v>0</v>
      </c>
      <c r="K357" s="1865">
        <f t="shared" si="16"/>
        <v>0</v>
      </c>
      <c r="L357" s="1015"/>
      <c r="M357" s="934">
        <v>50</v>
      </c>
    </row>
    <row r="358" spans="1:13" s="1016" customFormat="1" ht="25.2" hidden="1" customHeight="1">
      <c r="A358" s="1086">
        <f t="shared" si="15"/>
        <v>0</v>
      </c>
      <c r="B358" s="1087" t="s">
        <v>1862</v>
      </c>
      <c r="C358" s="2842">
        <v>3</v>
      </c>
      <c r="D358" s="1043"/>
      <c r="E358" s="1012" t="str">
        <f>VLOOKUP($B358,DG!A:D,DG!$B$2,)</f>
        <v>06.3231</v>
      </c>
      <c r="F358" s="1013" t="str">
        <f>VLOOKUP($B358,DG!A:D,DG!$C$2,)</f>
        <v>Cổ dê kẹp ống PVC Ø 114</v>
      </c>
      <c r="G358" s="1012" t="str">
        <f>VLOOKUP($B358,DG!A:D,DG!$D$2,)</f>
        <v>bộ</v>
      </c>
      <c r="H358" s="1865">
        <v>2</v>
      </c>
      <c r="I358" s="1865">
        <f t="shared" si="16"/>
        <v>0</v>
      </c>
      <c r="J358" s="1865">
        <f t="shared" si="16"/>
        <v>0</v>
      </c>
      <c r="K358" s="1865">
        <f t="shared" si="16"/>
        <v>0</v>
      </c>
      <c r="L358" s="1015"/>
      <c r="M358" s="934">
        <v>50</v>
      </c>
    </row>
    <row r="359" spans="1:13" s="1016" customFormat="1" ht="25.2" hidden="1" customHeight="1">
      <c r="A359" s="1086">
        <f t="shared" si="15"/>
        <v>0</v>
      </c>
      <c r="B359" s="1231" t="s">
        <v>1864</v>
      </c>
      <c r="C359" s="2844">
        <v>2</v>
      </c>
      <c r="D359" s="1043"/>
      <c r="E359" s="1012">
        <f>VLOOKUP($B359,DG!A:D,DG!$B$2,)</f>
        <v>0</v>
      </c>
      <c r="F359" s="1013" t="str">
        <f>VLOOKUP($B359,DG!A:D,DG!$C$2,)</f>
        <v>Co  90 độ PVC 114</v>
      </c>
      <c r="G359" s="1012" t="str">
        <f>VLOOKUP($B359,DG!A:D,DG!$D$2,)</f>
        <v>cái</v>
      </c>
      <c r="H359" s="1865">
        <f t="shared" si="16"/>
        <v>0</v>
      </c>
      <c r="I359" s="1865">
        <f t="shared" si="16"/>
        <v>0</v>
      </c>
      <c r="J359" s="1865">
        <f t="shared" si="16"/>
        <v>0</v>
      </c>
      <c r="K359" s="1865">
        <f t="shared" si="16"/>
        <v>0</v>
      </c>
      <c r="L359" s="1015"/>
      <c r="M359" s="934">
        <v>50</v>
      </c>
    </row>
    <row r="360" spans="1:13" s="1016" customFormat="1" ht="25.2" hidden="1" customHeight="1">
      <c r="A360" s="1086">
        <f t="shared" si="15"/>
        <v>0</v>
      </c>
      <c r="B360" s="1231" t="s">
        <v>688</v>
      </c>
      <c r="C360" s="2844">
        <v>1</v>
      </c>
      <c r="D360" s="1043"/>
      <c r="E360" s="1012">
        <f>VLOOKUP($B360,DG!A:D,DG!$B$2,)</f>
        <v>0</v>
      </c>
      <c r="F360" s="1013" t="str">
        <f>VLOOKUP($B360,DG!A:D,DG!$C$2,)</f>
        <v>Nối ống PVC 114</v>
      </c>
      <c r="G360" s="1012" t="str">
        <f>VLOOKUP($B360,DG!A:D,DG!$D$2,)</f>
        <v>cái</v>
      </c>
      <c r="H360" s="1865">
        <f t="shared" si="16"/>
        <v>0</v>
      </c>
      <c r="I360" s="1865">
        <f t="shared" si="16"/>
        <v>0</v>
      </c>
      <c r="J360" s="1865">
        <f t="shared" si="16"/>
        <v>0</v>
      </c>
      <c r="K360" s="1865">
        <f t="shared" si="16"/>
        <v>0</v>
      </c>
      <c r="L360" s="1015"/>
      <c r="M360" s="934">
        <v>50</v>
      </c>
    </row>
    <row r="361" spans="1:13" s="1016" customFormat="1" ht="25.2" hidden="1" customHeight="1">
      <c r="A361" s="1086">
        <f t="shared" si="15"/>
        <v>0</v>
      </c>
      <c r="B361" s="1231" t="s">
        <v>2074</v>
      </c>
      <c r="C361" s="2844">
        <v>1</v>
      </c>
      <c r="D361" s="1043"/>
      <c r="E361" s="1012">
        <f>VLOOKUP($B361,DG!A:D,DG!$B$2,)</f>
        <v>0</v>
      </c>
      <c r="F361" s="1013" t="str">
        <f>VLOOKUP($B361,DG!A:D,DG!$C$2,)</f>
        <v>Keo dán ống PVC (100gr)</v>
      </c>
      <c r="G361" s="1012" t="str">
        <f>VLOOKUP($B361,DG!A:D,DG!$D$2,)</f>
        <v>tuýp</v>
      </c>
      <c r="H361" s="1865">
        <f t="shared" si="16"/>
        <v>0</v>
      </c>
      <c r="I361" s="1865">
        <f t="shared" si="16"/>
        <v>0</v>
      </c>
      <c r="J361" s="1865">
        <f t="shared" si="16"/>
        <v>0</v>
      </c>
      <c r="K361" s="1865">
        <f t="shared" si="16"/>
        <v>0</v>
      </c>
      <c r="L361" s="1015"/>
      <c r="M361" s="934">
        <v>50</v>
      </c>
    </row>
    <row r="362" spans="1:13" s="1016" customFormat="1" ht="25.2" hidden="1" customHeight="1">
      <c r="A362" s="1086">
        <f t="shared" si="15"/>
        <v>0</v>
      </c>
      <c r="B362" s="1231" t="s">
        <v>489</v>
      </c>
      <c r="C362" s="2844">
        <v>1</v>
      </c>
      <c r="D362" s="1043"/>
      <c r="E362" s="1012">
        <f>VLOOKUP($B362,DG!A:D,DG!$B$2,)</f>
        <v>0</v>
      </c>
      <c r="F362" s="1013" t="str">
        <f>VLOOKUP($B362,DG!A:D,DG!$C$2,)</f>
        <v>Keo silicon bít miệng ống</v>
      </c>
      <c r="G362" s="1012" t="str">
        <f>VLOOKUP($B362,DG!A:D,DG!$D$2,)</f>
        <v>ống</v>
      </c>
      <c r="H362" s="1865">
        <f t="shared" si="16"/>
        <v>0</v>
      </c>
      <c r="I362" s="1865">
        <f t="shared" si="16"/>
        <v>0</v>
      </c>
      <c r="J362" s="1865">
        <f t="shared" si="16"/>
        <v>0</v>
      </c>
      <c r="K362" s="1865">
        <f t="shared" si="16"/>
        <v>0</v>
      </c>
      <c r="L362" s="1015"/>
      <c r="M362" s="934">
        <v>50</v>
      </c>
    </row>
    <row r="363" spans="1:13" s="1016" customFormat="1" ht="25.2" hidden="1" customHeight="1">
      <c r="A363" s="1086">
        <f t="shared" si="15"/>
        <v>0</v>
      </c>
      <c r="B363" s="1087" t="s">
        <v>672</v>
      </c>
      <c r="C363" s="2842">
        <v>1</v>
      </c>
      <c r="D363" s="1043"/>
      <c r="E363" s="1121"/>
      <c r="F363" s="1013" t="str">
        <f>VLOOKUP($B363,DG!A:D,DG!$C$2,)</f>
        <v>Băng keo cách điện</v>
      </c>
      <c r="G363" s="1012" t="str">
        <f>VLOOKUP($B363,DG!A:D,DG!$D$2,)</f>
        <v>cuộn</v>
      </c>
      <c r="H363" s="1865">
        <f t="shared" si="16"/>
        <v>0</v>
      </c>
      <c r="I363" s="1865">
        <f t="shared" si="16"/>
        <v>0</v>
      </c>
      <c r="J363" s="1865">
        <f t="shared" si="16"/>
        <v>0</v>
      </c>
      <c r="K363" s="1865">
        <f t="shared" si="16"/>
        <v>0</v>
      </c>
      <c r="L363" s="1015"/>
      <c r="M363" s="934">
        <v>50</v>
      </c>
    </row>
    <row r="364" spans="1:13" s="1016" customFormat="1" ht="25.2" hidden="1" customHeight="1">
      <c r="A364" s="1086">
        <f t="shared" si="15"/>
        <v>0</v>
      </c>
      <c r="B364" s="1231" t="s">
        <v>1863</v>
      </c>
      <c r="C364" s="2844">
        <v>8</v>
      </c>
      <c r="D364" s="1043"/>
      <c r="E364" s="1012" t="str">
        <f>VLOOKUP($B364,DG!A:D,DG!$B$2,)</f>
        <v>07,2407</v>
      </c>
      <c r="F364" s="1013" t="str">
        <f>VLOOKUP($B364,DG!A:D,DG!$C$2,)</f>
        <v>Lắp ống nhựa PVC D114</v>
      </c>
      <c r="G364" s="1012" t="str">
        <f>VLOOKUP($B364,DG!A:D,DG!$D$2,)</f>
        <v>mét</v>
      </c>
      <c r="H364" s="1865">
        <f>H357</f>
        <v>7</v>
      </c>
      <c r="I364" s="1865">
        <f>H364</f>
        <v>7</v>
      </c>
      <c r="J364" s="1865">
        <f t="shared" si="16"/>
        <v>0</v>
      </c>
      <c r="K364" s="1865">
        <f t="shared" si="16"/>
        <v>0</v>
      </c>
      <c r="L364" s="1015"/>
      <c r="M364" s="934">
        <v>50</v>
      </c>
    </row>
    <row r="365" spans="1:13" s="1016" customFormat="1" ht="25.2" hidden="1" customHeight="1">
      <c r="A365" s="1086">
        <f t="shared" si="15"/>
        <v>0</v>
      </c>
      <c r="B365" s="1087" t="s">
        <v>1525</v>
      </c>
      <c r="C365" s="2842"/>
      <c r="D365" s="1043"/>
      <c r="E365" s="1012" t="str">
        <f>VLOOKUP($B365,DG!A:D,DG!$B$2,)</f>
        <v>04.4201</v>
      </c>
      <c r="F365" s="1013" t="str">
        <f>VLOOKUP($B365,DG!A:D,DG!$C$2,)</f>
        <v>Lắp cáp đồng xuống thiết bị D ≤ 95mm2</v>
      </c>
      <c r="G365" s="1012" t="str">
        <f>VLOOKUP($B365,DG!A:D,DG!$D$2,)</f>
        <v>m</v>
      </c>
      <c r="H365" s="1865">
        <f>H350+H351</f>
        <v>20</v>
      </c>
      <c r="I365" s="1865">
        <f>H365</f>
        <v>20</v>
      </c>
      <c r="J365" s="1865">
        <f t="shared" si="16"/>
        <v>0</v>
      </c>
      <c r="K365" s="1865">
        <f t="shared" si="16"/>
        <v>0</v>
      </c>
      <c r="L365" s="1015"/>
      <c r="M365" s="934">
        <v>50</v>
      </c>
    </row>
    <row r="366" spans="1:13" s="1016" customFormat="1" ht="25.2" hidden="1" customHeight="1">
      <c r="A366" s="1086">
        <f t="shared" si="15"/>
        <v>0</v>
      </c>
      <c r="B366" s="1231" t="s">
        <v>289</v>
      </c>
      <c r="C366" s="2844"/>
      <c r="D366" s="1103">
        <f>IF(H366&gt;0,D348+1,D348)</f>
        <v>1</v>
      </c>
      <c r="E366" s="1122"/>
      <c r="F366" s="1013" t="str">
        <f>VLOOKUP($B366,DG!A:D,DG!$C$2,)</f>
        <v>Bảng tên trạm, bảng báo nguy hiểm + đinh vít</v>
      </c>
      <c r="G366" s="1012" t="str">
        <f>VLOOKUP($B366,DG!A:D,DG!$D$2,)</f>
        <v>bộ</v>
      </c>
      <c r="H366" s="1865">
        <v>1</v>
      </c>
      <c r="I366" s="1865">
        <f>H366</f>
        <v>1</v>
      </c>
      <c r="J366" s="1865">
        <f t="shared" si="16"/>
        <v>0</v>
      </c>
      <c r="K366" s="1865">
        <f t="shared" si="16"/>
        <v>0</v>
      </c>
      <c r="L366" s="1031"/>
      <c r="M366" s="934">
        <v>50</v>
      </c>
    </row>
    <row r="367" spans="1:13" s="1016" customFormat="1" ht="25.2" hidden="1" customHeight="1">
      <c r="A367" s="1086">
        <f t="shared" si="15"/>
        <v>0</v>
      </c>
      <c r="B367" s="1226"/>
      <c r="C367" s="2841"/>
      <c r="D367" s="1123"/>
      <c r="E367" s="1124"/>
      <c r="F367" s="1003"/>
      <c r="G367" s="1125"/>
      <c r="H367" s="1709"/>
      <c r="I367" s="1192">
        <f t="shared" ref="I367:I420" si="17">IF(M367=$M$23,H367+J367-K367,0)</f>
        <v>0</v>
      </c>
      <c r="J367" s="1126"/>
      <c r="K367" s="1127"/>
      <c r="L367" s="1069"/>
      <c r="M367" s="934"/>
    </row>
    <row r="368" spans="1:13" s="1016" customFormat="1" ht="25.2" hidden="1" customHeight="1">
      <c r="A368" s="1086">
        <f t="shared" si="15"/>
        <v>0</v>
      </c>
      <c r="B368" s="1221"/>
      <c r="C368" s="2845"/>
      <c r="D368" s="1094"/>
      <c r="E368" s="934"/>
      <c r="H368" s="1735"/>
      <c r="I368" s="1192">
        <f t="shared" si="17"/>
        <v>0</v>
      </c>
      <c r="M368" s="934"/>
    </row>
    <row r="369" spans="1:14" s="1016" customFormat="1" ht="25.2" hidden="1" customHeight="1">
      <c r="A369" s="1086">
        <f t="shared" si="15"/>
        <v>0</v>
      </c>
      <c r="B369" s="1221"/>
      <c r="C369" s="2845"/>
      <c r="D369" s="1067" t="str">
        <f>"BAÛNG TOÅNG HÔÏP VAÄT LIEÄU, NHAÂN COÂNG, MAÙY THI COÂNG : "&amp;I10&amp;" TRAÏM 1P_75KVA"</f>
        <v>BAÛNG TOÅNG HÔÏP VAÄT LIEÄU, NHAÂN COÂNG, MAÙY THI COÂNG :  TRAÏM 1P_75KVA</v>
      </c>
      <c r="E369" s="1128"/>
      <c r="F369" s="1033"/>
      <c r="G369" s="1033"/>
      <c r="H369" s="1710"/>
      <c r="I369" s="1192">
        <f t="shared" si="17"/>
        <v>0</v>
      </c>
      <c r="J369" s="1033"/>
      <c r="K369" s="1033"/>
      <c r="L369" s="934"/>
      <c r="M369" s="934"/>
    </row>
    <row r="370" spans="1:14" s="1016" customFormat="1" ht="25.2" hidden="1" customHeight="1">
      <c r="A370" s="1086">
        <f t="shared" si="15"/>
        <v>0</v>
      </c>
      <c r="B370" s="1226"/>
      <c r="C370" s="2841"/>
      <c r="D370" s="1089"/>
      <c r="E370" s="1090"/>
      <c r="F370" s="1003" t="s">
        <v>3672</v>
      </c>
      <c r="G370" s="1092"/>
      <c r="H370" s="1706"/>
      <c r="I370" s="1706">
        <f t="shared" si="17"/>
        <v>0</v>
      </c>
      <c r="J370" s="1092"/>
      <c r="K370" s="1092"/>
      <c r="L370" s="1069"/>
      <c r="M370" s="934">
        <v>75</v>
      </c>
    </row>
    <row r="371" spans="1:14" s="1016" customFormat="1" ht="25.2" hidden="1" customHeight="1">
      <c r="A371" s="1086">
        <f t="shared" si="15"/>
        <v>0</v>
      </c>
      <c r="B371" s="1227" t="s">
        <v>1213</v>
      </c>
      <c r="C371" s="2840"/>
      <c r="D371" s="1023">
        <f>IF(H371&gt;0,1,0)</f>
        <v>0</v>
      </c>
      <c r="E371" s="1012" t="str">
        <f>VLOOKUP($B371,DG!A:D,DG!$B$2,)</f>
        <v>01.1163</v>
      </c>
      <c r="F371" s="1025" t="str">
        <f>VLOOKUP($B371,DG!A:D,DG!$C$2,)</f>
        <v>Máy biến áp 12,7/0,23-0,46kV  75kVA</v>
      </c>
      <c r="G371" s="1012" t="str">
        <f>VLOOKUP($B371,DG!A:D,DG!$D$2,)</f>
        <v>máy</v>
      </c>
      <c r="H371" s="1711">
        <f>I10</f>
        <v>0</v>
      </c>
      <c r="I371" s="1192">
        <f t="shared" si="17"/>
        <v>0</v>
      </c>
      <c r="J371" s="1041"/>
      <c r="K371" s="1041"/>
      <c r="L371" s="1015"/>
      <c r="M371" s="934">
        <v>75</v>
      </c>
    </row>
    <row r="372" spans="1:14" s="1016" customFormat="1" ht="25.2" hidden="1" customHeight="1">
      <c r="A372" s="1086">
        <f t="shared" si="15"/>
        <v>0</v>
      </c>
      <c r="B372" s="1227" t="s">
        <v>1652</v>
      </c>
      <c r="C372" s="2840"/>
      <c r="D372" s="1023">
        <f t="shared" ref="D372:D379" si="18">IF(H372&gt;0,D371+1,D371)</f>
        <v>0</v>
      </c>
      <c r="E372" s="1012" t="str">
        <f>VLOOKUP($B372,DG!A:D,DG!$B$2,)</f>
        <v>02.3155</v>
      </c>
      <c r="F372" s="1025" t="str">
        <f>VLOOKUP($B372,DG!A:D,DG!$C$2,)</f>
        <v>FCO 24kV - 100A</v>
      </c>
      <c r="G372" s="1012" t="str">
        <f>VLOOKUP($B372,DG!A:D,DG!$D$2,)</f>
        <v>cái</v>
      </c>
      <c r="H372" s="1100">
        <f>+H371</f>
        <v>0</v>
      </c>
      <c r="I372" s="1192">
        <f t="shared" si="17"/>
        <v>0</v>
      </c>
      <c r="J372" s="1041"/>
      <c r="K372" s="1041"/>
      <c r="L372" s="1015"/>
      <c r="M372" s="934">
        <v>75</v>
      </c>
    </row>
    <row r="373" spans="1:14" s="1016" customFormat="1" ht="25.2" hidden="1" customHeight="1">
      <c r="A373" s="1086">
        <f t="shared" si="15"/>
        <v>0</v>
      </c>
      <c r="B373" s="1227" t="s">
        <v>1027</v>
      </c>
      <c r="C373" s="2840"/>
      <c r="D373" s="1023">
        <f t="shared" si="18"/>
        <v>0</v>
      </c>
      <c r="E373" s="1012">
        <f>VLOOKUP($B373,DG!A:D,DG!$B$2,)</f>
        <v>0</v>
      </c>
      <c r="F373" s="1025" t="str">
        <f>VLOOKUP($B373,DG!A:D,DG!$C$2,)</f>
        <v>Dây chảy 8K</v>
      </c>
      <c r="G373" s="1012" t="str">
        <f>VLOOKUP($B373,DG!A:D,DG!$D$2,)</f>
        <v>Sợi</v>
      </c>
      <c r="H373" s="1100">
        <f>H372</f>
        <v>0</v>
      </c>
      <c r="I373" s="1192">
        <f t="shared" si="17"/>
        <v>0</v>
      </c>
      <c r="J373" s="1041"/>
      <c r="K373" s="1041"/>
      <c r="L373" s="1015"/>
      <c r="M373" s="934">
        <v>75</v>
      </c>
    </row>
    <row r="374" spans="1:14" s="1016" customFormat="1" ht="25.2" hidden="1" customHeight="1">
      <c r="A374" s="1086">
        <f t="shared" si="15"/>
        <v>0</v>
      </c>
      <c r="B374" s="1221" t="s">
        <v>1373</v>
      </c>
      <c r="C374" s="2845"/>
      <c r="D374" s="1023">
        <f t="shared" si="18"/>
        <v>0</v>
      </c>
      <c r="E374" s="1012" t="str">
        <f>VLOOKUP($B374,DG!A:D,DG!$B$2,)</f>
        <v>02.5114</v>
      </c>
      <c r="F374" s="1025" t="str">
        <f>VLOOKUP($B374,DG!A:D,DG!$C$2,)</f>
        <v>Chống sét van LA-18KV-10KA</v>
      </c>
      <c r="G374" s="1012" t="str">
        <f>VLOOKUP($B374,DG!A:D,DG!$D$2,)</f>
        <v>cái</v>
      </c>
      <c r="H374" s="1100">
        <f>H372</f>
        <v>0</v>
      </c>
      <c r="I374" s="1192">
        <f t="shared" si="17"/>
        <v>0</v>
      </c>
      <c r="J374" s="1041"/>
      <c r="K374" s="1041"/>
      <c r="L374" s="1015"/>
      <c r="M374" s="934">
        <v>75</v>
      </c>
    </row>
    <row r="375" spans="1:14" s="1016" customFormat="1" ht="25.2" hidden="1" customHeight="1">
      <c r="A375" s="1086">
        <f t="shared" si="15"/>
        <v>0</v>
      </c>
      <c r="B375" s="1229" t="s">
        <v>986</v>
      </c>
      <c r="C375" s="2842"/>
      <c r="D375" s="1023">
        <f t="shared" si="18"/>
        <v>0</v>
      </c>
      <c r="E375" s="1012" t="str">
        <f>VLOOKUP($B375,DG!A:D,DG!$B$2,)</f>
        <v>02.8402</v>
      </c>
      <c r="F375" s="1025" t="str">
        <f>VLOOKUP($B375,DG!A:D,DG!$C$2,)</f>
        <v>MCCB 3 cực 690V - 400A - 50KA</v>
      </c>
      <c r="G375" s="1012" t="str">
        <f>VLOOKUP($B375,DG!A:D,DG!$D$2,)</f>
        <v>cái</v>
      </c>
      <c r="H375" s="1100">
        <f>H371</f>
        <v>0</v>
      </c>
      <c r="I375" s="1192">
        <f t="shared" si="17"/>
        <v>0</v>
      </c>
      <c r="J375" s="1041"/>
      <c r="K375" s="1041"/>
      <c r="L375" s="1015"/>
      <c r="M375" s="934">
        <v>75</v>
      </c>
    </row>
    <row r="376" spans="1:14" s="1016" customFormat="1" ht="25.2" hidden="1" customHeight="1">
      <c r="A376" s="1086">
        <f t="shared" si="15"/>
        <v>0</v>
      </c>
      <c r="B376" s="1229" t="s">
        <v>4509</v>
      </c>
      <c r="C376" s="2842"/>
      <c r="D376" s="1023">
        <f t="shared" si="18"/>
        <v>0</v>
      </c>
      <c r="E376" s="1012">
        <f>VLOOKUP($B376,DG!A:D,DG!$B$2,)</f>
        <v>0</v>
      </c>
      <c r="F376" s="1013" t="str">
        <f>VLOOKUP($B376,DG!A:D,DG!$C$2,)</f>
        <v xml:space="preserve">Biến dòng 600V - 300/5A </v>
      </c>
      <c r="G376" s="1012" t="str">
        <f>VLOOKUP($B376,DG!A:D,DG!$D$2,)</f>
        <v>cái</v>
      </c>
      <c r="H376" s="1100">
        <f>H371</f>
        <v>0</v>
      </c>
      <c r="I376" s="1192">
        <f t="shared" si="17"/>
        <v>0</v>
      </c>
      <c r="J376" s="1041"/>
      <c r="K376" s="1041"/>
      <c r="L376" s="1043" t="s">
        <v>2601</v>
      </c>
      <c r="M376" s="934">
        <v>75</v>
      </c>
    </row>
    <row r="377" spans="1:14" s="1016" customFormat="1" ht="25.2" hidden="1" customHeight="1">
      <c r="A377" s="1086">
        <f t="shared" si="15"/>
        <v>0</v>
      </c>
      <c r="B377" s="1233" t="s">
        <v>4510</v>
      </c>
      <c r="C377" s="2843"/>
      <c r="D377" s="1023">
        <f>IF(H377&gt;0,D376+1,D376)</f>
        <v>0</v>
      </c>
      <c r="E377" s="1012" t="str">
        <f>VLOOKUP($B377,DG!A:D,DG!$B$2,)</f>
        <v>05.5104</v>
      </c>
      <c r="F377" s="1013" t="str">
        <f>VLOOKUP($B377,DG!A:D,DG!$C$2,)</f>
        <v>Điện kế 3 pha điện tử 220/380V-5A</v>
      </c>
      <c r="G377" s="1012" t="str">
        <f>VLOOKUP($B377,DG!A:D,DG!$D$2,)</f>
        <v>cái</v>
      </c>
      <c r="H377" s="1100">
        <f>H376</f>
        <v>0</v>
      </c>
      <c r="I377" s="1192">
        <f t="shared" si="17"/>
        <v>0</v>
      </c>
      <c r="J377" s="1041"/>
      <c r="K377" s="1041"/>
      <c r="L377" s="1043" t="s">
        <v>2601</v>
      </c>
      <c r="M377" s="934">
        <v>75</v>
      </c>
    </row>
    <row r="378" spans="1:14" s="1016" customFormat="1" ht="25.2" hidden="1" customHeight="1">
      <c r="A378" s="1086">
        <f t="shared" si="15"/>
        <v>0</v>
      </c>
      <c r="B378" s="1226" t="s">
        <v>199</v>
      </c>
      <c r="C378" s="2841"/>
      <c r="D378" s="1023">
        <f t="shared" si="18"/>
        <v>0</v>
      </c>
      <c r="E378" s="1012">
        <f>VLOOKUP($B378,DG!A:D,DG!$B$2,)</f>
        <v>0</v>
      </c>
      <c r="F378" s="1013" t="str">
        <f>VLOOKUP($B378,DG!A:D,DG!$C$2,)</f>
        <v xml:space="preserve">Ampe kế 100/5A-600v +AS </v>
      </c>
      <c r="G378" s="1012" t="str">
        <f>VLOOKUP($B378,DG!A:D,DG!$D$2,)</f>
        <v>Bộ</v>
      </c>
      <c r="H378" s="1100">
        <f>H377*0</f>
        <v>0</v>
      </c>
      <c r="I378" s="1192">
        <f t="shared" si="17"/>
        <v>0</v>
      </c>
      <c r="J378" s="1041"/>
      <c r="K378" s="1041"/>
      <c r="L378" s="1043" t="s">
        <v>2601</v>
      </c>
      <c r="M378" s="934">
        <v>75</v>
      </c>
    </row>
    <row r="379" spans="1:14" s="1016" customFormat="1" ht="25.2" hidden="1" customHeight="1">
      <c r="A379" s="1086">
        <f t="shared" si="15"/>
        <v>0</v>
      </c>
      <c r="B379" s="1226" t="s">
        <v>200</v>
      </c>
      <c r="C379" s="2841"/>
      <c r="D379" s="1023">
        <f t="shared" si="18"/>
        <v>0</v>
      </c>
      <c r="E379" s="1012">
        <f>VLOOKUP($B379,DG!A:D,DG!$B$2,)</f>
        <v>0</v>
      </c>
      <c r="F379" s="1013" t="str">
        <f>VLOOKUP($B379,DG!A:D,DG!$C$2,)</f>
        <v>Volt kế 500V + VS + 2xChì ống 1A-230V</v>
      </c>
      <c r="G379" s="1012" t="str">
        <f>VLOOKUP($B379,DG!A:D,DG!$D$2,)</f>
        <v>Bộ</v>
      </c>
      <c r="H379" s="1100">
        <f>H378</f>
        <v>0</v>
      </c>
      <c r="I379" s="1192">
        <f t="shared" si="17"/>
        <v>0</v>
      </c>
      <c r="J379" s="1041"/>
      <c r="K379" s="1041"/>
      <c r="L379" s="1031"/>
      <c r="M379" s="934">
        <v>75</v>
      </c>
    </row>
    <row r="380" spans="1:14" s="1016" customFormat="1" ht="25.2" hidden="1" customHeight="1">
      <c r="A380" s="1086">
        <f t="shared" si="15"/>
        <v>0</v>
      </c>
      <c r="B380" s="1226"/>
      <c r="C380" s="2841"/>
      <c r="D380" s="1040"/>
      <c r="E380" s="1112"/>
      <c r="F380" s="1093"/>
      <c r="G380" s="1040"/>
      <c r="H380" s="1135"/>
      <c r="I380" s="1135">
        <f t="shared" si="17"/>
        <v>0</v>
      </c>
      <c r="J380" s="1093"/>
      <c r="K380" s="1040"/>
      <c r="L380" s="1069"/>
      <c r="M380" s="934">
        <v>75</v>
      </c>
    </row>
    <row r="381" spans="1:14" s="1016" customFormat="1" ht="25.2" hidden="1" customHeight="1">
      <c r="A381" s="1086">
        <f t="shared" si="15"/>
        <v>0</v>
      </c>
      <c r="B381" s="1226"/>
      <c r="C381" s="2841"/>
      <c r="D381" s="1114"/>
      <c r="E381" s="1115"/>
      <c r="F381" s="1003" t="s">
        <v>3673</v>
      </c>
      <c r="G381" s="1003"/>
      <c r="H381" s="1706"/>
      <c r="I381" s="1706">
        <f t="shared" si="17"/>
        <v>0</v>
      </c>
      <c r="J381" s="1003"/>
      <c r="K381" s="1003"/>
      <c r="L381" s="1069"/>
      <c r="M381" s="934">
        <v>75</v>
      </c>
    </row>
    <row r="382" spans="1:14" s="1016" customFormat="1" ht="25.2" hidden="1" customHeight="1">
      <c r="A382" s="1086">
        <f t="shared" si="15"/>
        <v>0</v>
      </c>
      <c r="B382" s="1226" t="s">
        <v>1610</v>
      </c>
      <c r="C382" s="2841"/>
      <c r="D382" s="1116">
        <f>IF(H394&gt;0,1,0)</f>
        <v>0</v>
      </c>
      <c r="E382" s="1118"/>
      <c r="F382" s="1013" t="str">
        <f>VLOOKUP($B382,DG!A:D,DG!$C$2,)</f>
        <v>Boulon 16x300+ 2 long đền vuông D18-50x50x3/Zn</v>
      </c>
      <c r="G382" s="1012" t="str">
        <f>VLOOKUP($B382,DG!A:D,DG!$D$2,)</f>
        <v>bộ</v>
      </c>
      <c r="H382" s="1707">
        <f>2*SUM(H371:H371)</f>
        <v>0</v>
      </c>
      <c r="I382" s="1192">
        <f t="shared" si="17"/>
        <v>0</v>
      </c>
      <c r="J382" s="1041"/>
      <c r="K382" s="1041"/>
      <c r="L382" s="1129"/>
      <c r="M382" s="934">
        <v>75</v>
      </c>
    </row>
    <row r="383" spans="1:14" s="1016" customFormat="1" ht="25.2" hidden="1" customHeight="1">
      <c r="A383" s="1086">
        <f t="shared" si="15"/>
        <v>0</v>
      </c>
      <c r="B383" s="1226"/>
      <c r="C383" s="2841"/>
      <c r="D383" s="1011">
        <f>IF(H383&gt;0,D382+1,D382)</f>
        <v>0</v>
      </c>
      <c r="E383" s="1118"/>
      <c r="F383" s="1119" t="s">
        <v>3674</v>
      </c>
      <c r="G383" s="1099" t="s">
        <v>2385</v>
      </c>
      <c r="H383" s="1707">
        <f>H371*0</f>
        <v>0</v>
      </c>
      <c r="I383" s="1192">
        <f t="shared" si="17"/>
        <v>0</v>
      </c>
      <c r="J383" s="1064"/>
      <c r="K383" s="1064"/>
      <c r="L383" s="1043"/>
      <c r="M383" s="934">
        <v>75</v>
      </c>
    </row>
    <row r="384" spans="1:14" s="1016" customFormat="1" ht="25.2" hidden="1" customHeight="1">
      <c r="A384" s="1086">
        <f t="shared" si="15"/>
        <v>0</v>
      </c>
      <c r="B384" s="1226"/>
      <c r="C384" s="2841"/>
      <c r="D384" s="1099"/>
      <c r="E384" s="1118"/>
      <c r="F384" s="1264" t="s">
        <v>2279</v>
      </c>
      <c r="G384" s="1043"/>
      <c r="H384" s="1100"/>
      <c r="I384" s="1192">
        <f t="shared" si="17"/>
        <v>0</v>
      </c>
      <c r="J384" s="1064"/>
      <c r="K384" s="1064"/>
      <c r="L384" s="1043"/>
      <c r="M384" s="934">
        <v>75</v>
      </c>
      <c r="N384" s="1120"/>
    </row>
    <row r="385" spans="1:14" s="1016" customFormat="1" ht="25.2" hidden="1" customHeight="1">
      <c r="A385" s="1086">
        <f t="shared" si="15"/>
        <v>0</v>
      </c>
      <c r="B385" s="1087" t="s">
        <v>115</v>
      </c>
      <c r="C385" s="2842"/>
      <c r="D385" s="1043"/>
      <c r="E385" s="1012">
        <f>VLOOKUP($B385,DG!A:D,DG!$B$2,)</f>
        <v>0</v>
      </c>
      <c r="F385" s="1013" t="str">
        <f>VLOOKUP($B385,DG!A:D,DG!$C$2,)</f>
        <v>Trụ BTLT 12m F540 dự ứng lực</v>
      </c>
      <c r="G385" s="1012" t="str">
        <f>VLOOKUP($B385,DG!A:D,DG!$D$2,)</f>
        <v>trụ</v>
      </c>
      <c r="H385" s="1100">
        <f>1*H383</f>
        <v>0</v>
      </c>
      <c r="I385" s="1192">
        <f t="shared" si="17"/>
        <v>0</v>
      </c>
      <c r="J385" s="1041"/>
      <c r="K385" s="1041"/>
      <c r="L385" s="1043"/>
      <c r="M385" s="934">
        <v>75</v>
      </c>
      <c r="N385" s="1120"/>
    </row>
    <row r="386" spans="1:14" s="1016" customFormat="1" ht="25.2" hidden="1" customHeight="1">
      <c r="A386" s="1086">
        <f t="shared" si="15"/>
        <v>0</v>
      </c>
      <c r="B386" s="1087" t="s">
        <v>1814</v>
      </c>
      <c r="C386" s="2842"/>
      <c r="D386" s="1043"/>
      <c r="E386" s="1121"/>
      <c r="F386" s="1013" t="str">
        <f>VLOOKUP($B386,DG!A:D,DG!$C$2,)</f>
        <v>Vật liệu dựng trụ</v>
      </c>
      <c r="G386" s="1012" t="str">
        <f>VLOOKUP($B386,DG!A:D,DG!$D$2,)</f>
        <v>trụ</v>
      </c>
      <c r="H386" s="1100">
        <f>H385</f>
        <v>0</v>
      </c>
      <c r="I386" s="1192">
        <f t="shared" si="17"/>
        <v>0</v>
      </c>
      <c r="J386" s="1041"/>
      <c r="K386" s="1041"/>
      <c r="L386" s="1043"/>
      <c r="M386" s="934">
        <v>75</v>
      </c>
      <c r="N386" s="1120"/>
    </row>
    <row r="387" spans="1:14" s="1016" customFormat="1" ht="25.2" hidden="1" customHeight="1">
      <c r="A387" s="1086">
        <f t="shared" si="15"/>
        <v>0</v>
      </c>
      <c r="B387" s="1087" t="s">
        <v>2126</v>
      </c>
      <c r="C387" s="2842"/>
      <c r="D387" s="1043"/>
      <c r="E387" s="1121"/>
      <c r="F387" s="1013" t="str">
        <f>VLOOKUP($B387,DG!A:D,DG!$C$2,)</f>
        <v>Dựng trụ BTLT 12m trong TBA bằng thủ công + cơ giới</v>
      </c>
      <c r="G387" s="1012" t="str">
        <f>VLOOKUP($B387,DG!A:D,DG!$D$2,)</f>
        <v>trụ</v>
      </c>
      <c r="H387" s="1100">
        <f>H385</f>
        <v>0</v>
      </c>
      <c r="I387" s="1192">
        <f t="shared" si="17"/>
        <v>0</v>
      </c>
      <c r="J387" s="1041"/>
      <c r="K387" s="1041"/>
      <c r="L387" s="1043"/>
      <c r="M387" s="934">
        <v>75</v>
      </c>
      <c r="N387" s="1120"/>
    </row>
    <row r="388" spans="1:14" s="1016" customFormat="1" ht="25.2" hidden="1" customHeight="1">
      <c r="A388" s="1086">
        <f t="shared" si="15"/>
        <v>0</v>
      </c>
      <c r="B388" s="1226"/>
      <c r="C388" s="2841"/>
      <c r="D388" s="1011">
        <f>IF(H388&gt;0,D383+1,D383)</f>
        <v>0</v>
      </c>
      <c r="E388" s="1118"/>
      <c r="F388" s="1119" t="s">
        <v>2352</v>
      </c>
      <c r="G388" s="1099" t="s">
        <v>2385</v>
      </c>
      <c r="H388" s="1707">
        <f>H383</f>
        <v>0</v>
      </c>
      <c r="I388" s="1192">
        <f t="shared" si="17"/>
        <v>0</v>
      </c>
      <c r="J388" s="1064"/>
      <c r="K388" s="1064"/>
      <c r="L388" s="1043"/>
      <c r="M388" s="934">
        <v>75</v>
      </c>
    </row>
    <row r="389" spans="1:14" s="1016" customFormat="1" ht="25.2" hidden="1" customHeight="1">
      <c r="A389" s="1086">
        <f t="shared" si="15"/>
        <v>0</v>
      </c>
      <c r="B389" s="1226"/>
      <c r="C389" s="2841"/>
      <c r="D389" s="1099"/>
      <c r="E389" s="1118"/>
      <c r="F389" s="1264" t="s">
        <v>2279</v>
      </c>
      <c r="G389" s="1043"/>
      <c r="H389" s="1100"/>
      <c r="I389" s="1192">
        <f t="shared" si="17"/>
        <v>0</v>
      </c>
      <c r="J389" s="1064"/>
      <c r="K389" s="1064"/>
      <c r="L389" s="1043"/>
      <c r="M389" s="934">
        <v>75</v>
      </c>
      <c r="N389" s="1120"/>
    </row>
    <row r="390" spans="1:14" s="1016" customFormat="1" ht="25.2" hidden="1" customHeight="1">
      <c r="A390" s="1086">
        <f t="shared" si="15"/>
        <v>0</v>
      </c>
      <c r="B390" s="1233" t="s">
        <v>636</v>
      </c>
      <c r="C390" s="2843"/>
      <c r="D390" s="1043"/>
      <c r="E390" s="1012" t="str">
        <f>VLOOKUP($B390,DG!A:D,DG!$B$2,)</f>
        <v>04.4001</v>
      </c>
      <c r="F390" s="1013" t="str">
        <f>VLOOKUP($B390,DG!A:D,DG!$C$2,)</f>
        <v>Đà cản BTCT 1,2m</v>
      </c>
      <c r="G390" s="1012" t="str">
        <f>VLOOKUP($B390,DG!A:D,DG!$D$2,)</f>
        <v>cái</v>
      </c>
      <c r="H390" s="1100">
        <f>1*H388</f>
        <v>0</v>
      </c>
      <c r="I390" s="1192">
        <f t="shared" si="17"/>
        <v>0</v>
      </c>
      <c r="J390" s="1041"/>
      <c r="K390" s="1041"/>
      <c r="L390" s="1043"/>
      <c r="M390" s="934">
        <v>75</v>
      </c>
      <c r="N390" s="1120"/>
    </row>
    <row r="391" spans="1:14" s="1016" customFormat="1" ht="25.2" hidden="1" customHeight="1">
      <c r="A391" s="1086">
        <f t="shared" si="15"/>
        <v>0</v>
      </c>
      <c r="B391" s="1233" t="s">
        <v>566</v>
      </c>
      <c r="C391" s="2843"/>
      <c r="D391" s="1043"/>
      <c r="E391" s="1012">
        <f>VLOOKUP($B391,DG!A:D,DG!$B$2,)</f>
        <v>0</v>
      </c>
      <c r="F391" s="1013" t="str">
        <f>VLOOKUP($B391,DG!A:D,DG!$C$2,)</f>
        <v>Boulon 22x650+ 2 long đền vuông D24-50x50x3/Zn</v>
      </c>
      <c r="G391" s="1012" t="str">
        <f>VLOOKUP($B391,DG!A:D,DG!$D$2,)</f>
        <v>bộ</v>
      </c>
      <c r="H391" s="1100">
        <f>H388</f>
        <v>0</v>
      </c>
      <c r="I391" s="1192">
        <f t="shared" si="17"/>
        <v>0</v>
      </c>
      <c r="J391" s="1041"/>
      <c r="K391" s="1041"/>
      <c r="L391" s="1043"/>
      <c r="M391" s="934">
        <v>75</v>
      </c>
      <c r="N391" s="1120"/>
    </row>
    <row r="392" spans="1:14" s="1016" customFormat="1" ht="25.2" hidden="1" customHeight="1">
      <c r="A392" s="1086">
        <f t="shared" si="15"/>
        <v>0</v>
      </c>
      <c r="B392" s="1233" t="str">
        <f>IF(chitiet!G5=1,"MDD1",IF(chitiet!G5=2,"MDD2",IF(chitiet!G5=3,"MDD3",IF(chitiet!G5=4,"MDD4"))))</f>
        <v>MDD3</v>
      </c>
      <c r="C392" s="2843"/>
      <c r="D392" s="1043"/>
      <c r="E392" s="1012" t="str">
        <f>VLOOKUP($B392,DG!A:D,DG!$B$2,)</f>
        <v>03.1013</v>
      </c>
      <c r="F392" s="1013" t="str">
        <f>VLOOKUP($B392,DG!A:D,DG!$C$2,)</f>
        <v>Đào hố móng đất cấp 3 sâu &gt;1m</v>
      </c>
      <c r="G392" s="1012" t="str">
        <f>VLOOKUP($B392,DG!A:D,DG!$D$2,)</f>
        <v>m3</v>
      </c>
      <c r="H392" s="1100">
        <f>H388*1.45</f>
        <v>0</v>
      </c>
      <c r="I392" s="1192">
        <f t="shared" si="17"/>
        <v>0</v>
      </c>
      <c r="J392" s="1041"/>
      <c r="K392" s="1041"/>
      <c r="L392" s="1043"/>
      <c r="M392" s="934">
        <v>75</v>
      </c>
      <c r="N392" s="1120"/>
    </row>
    <row r="393" spans="1:14" s="1016" customFormat="1" ht="25.2" hidden="1" customHeight="1">
      <c r="A393" s="1086">
        <f t="shared" si="15"/>
        <v>0</v>
      </c>
      <c r="B393" s="1233" t="str">
        <f>IF(chitiet!G5=1,"MDAP1",IF(chitiet!G5=2,"MDAP2",IF(chitiet!G5=3,"MDAP3",IF(chitiet!G5=4,"MDAP4"))))</f>
        <v>MDAP3</v>
      </c>
      <c r="C393" s="2843"/>
      <c r="D393" s="1043"/>
      <c r="E393" s="1012" t="str">
        <f>VLOOKUP($B393,DG!A:D,DG!$B$2,)</f>
        <v>03.4113</v>
      </c>
      <c r="F393" s="1013" t="str">
        <f>VLOOKUP($B393,DG!A:D,DG!$C$2,)</f>
        <v>Đắp đất hố móng, độ chặt k=0,95</v>
      </c>
      <c r="G393" s="1012" t="str">
        <f>VLOOKUP($B393,DG!A:D,DG!$D$2,)</f>
        <v>m3</v>
      </c>
      <c r="H393" s="1100">
        <f>H388*1.37</f>
        <v>0</v>
      </c>
      <c r="I393" s="1192">
        <f t="shared" si="17"/>
        <v>0</v>
      </c>
      <c r="J393" s="1041"/>
      <c r="K393" s="1041"/>
      <c r="L393" s="1043"/>
      <c r="M393" s="934">
        <v>75</v>
      </c>
      <c r="N393" s="1120"/>
    </row>
    <row r="394" spans="1:14" s="1016" customFormat="1" ht="25.2" hidden="1" customHeight="1">
      <c r="A394" s="1086">
        <f t="shared" si="15"/>
        <v>0</v>
      </c>
      <c r="B394" s="1226"/>
      <c r="C394" s="2841"/>
      <c r="D394" s="1011">
        <f>IF(H394&gt;0,D388+1,D388)</f>
        <v>0</v>
      </c>
      <c r="E394" s="1118"/>
      <c r="F394" s="1130" t="s">
        <v>3675</v>
      </c>
      <c r="G394" s="1099" t="s">
        <v>2385</v>
      </c>
      <c r="H394" s="1707">
        <f>SUM(H371:H371)</f>
        <v>0</v>
      </c>
      <c r="I394" s="1192">
        <f t="shared" si="17"/>
        <v>0</v>
      </c>
      <c r="J394" s="1041"/>
      <c r="K394" s="1041"/>
      <c r="L394" s="1015"/>
      <c r="M394" s="934">
        <v>75</v>
      </c>
    </row>
    <row r="395" spans="1:14" s="1016" customFormat="1" ht="25.2" hidden="1" customHeight="1">
      <c r="A395" s="1086">
        <f t="shared" si="15"/>
        <v>0</v>
      </c>
      <c r="B395" s="1226"/>
      <c r="C395" s="2841"/>
      <c r="D395" s="1099"/>
      <c r="E395" s="1118"/>
      <c r="F395" s="1265" t="s">
        <v>2279</v>
      </c>
      <c r="G395" s="1043"/>
      <c r="H395" s="1100"/>
      <c r="I395" s="1192">
        <f t="shared" si="17"/>
        <v>0</v>
      </c>
      <c r="J395" s="1041"/>
      <c r="K395" s="1041"/>
      <c r="L395" s="1015"/>
      <c r="M395" s="934">
        <v>75</v>
      </c>
    </row>
    <row r="396" spans="1:14" s="1016" customFormat="1" ht="25.2" hidden="1" customHeight="1">
      <c r="A396" s="1086">
        <f t="shared" si="15"/>
        <v>0</v>
      </c>
      <c r="B396" s="1377" t="s">
        <v>4512</v>
      </c>
      <c r="C396" s="2841"/>
      <c r="D396" s="1043"/>
      <c r="E396" s="1012">
        <f>VLOOKUP($B396,DG!A:D,DG!$B$2,)</f>
        <v>0</v>
      </c>
      <c r="F396" s="1025" t="str">
        <f>VLOOKUP($B396,DG!A:D,DG!$C$2,)</f>
        <v>Đà composite 0,8m + Thanh chống đà 720</v>
      </c>
      <c r="G396" s="1012" t="str">
        <f>VLOOKUP($B396,DG!A:D,DG!$D$2,)</f>
        <v>bộ</v>
      </c>
      <c r="H396" s="1100">
        <f>1*H394</f>
        <v>0</v>
      </c>
      <c r="I396" s="1192">
        <f t="shared" si="17"/>
        <v>0</v>
      </c>
      <c r="J396" s="1041"/>
      <c r="K396" s="1041"/>
      <c r="L396" s="1015"/>
      <c r="M396" s="934">
        <v>75</v>
      </c>
    </row>
    <row r="397" spans="1:14" s="1016" customFormat="1" ht="25.2" hidden="1" customHeight="1">
      <c r="A397" s="1086">
        <f t="shared" si="15"/>
        <v>0</v>
      </c>
      <c r="B397" s="1226" t="s">
        <v>1079</v>
      </c>
      <c r="C397" s="2841"/>
      <c r="D397" s="1043"/>
      <c r="E397" s="1012">
        <f>VLOOKUP($B397,DG!A:D,DG!$B$2,)</f>
        <v>0</v>
      </c>
      <c r="F397" s="1013" t="str">
        <f>VLOOKUP($B397,DG!A:D,DG!$C$2,)</f>
        <v>Boulon 16x350+ 2 long đền vuông D18-50x50x3/Zn</v>
      </c>
      <c r="G397" s="1012" t="str">
        <f>VLOOKUP($B397,DG!A:D,DG!$D$2,)</f>
        <v>bộ</v>
      </c>
      <c r="H397" s="1100">
        <f>H396*2</f>
        <v>0</v>
      </c>
      <c r="I397" s="1192">
        <f t="shared" si="17"/>
        <v>0</v>
      </c>
      <c r="J397" s="1041"/>
      <c r="K397" s="1041"/>
      <c r="L397" s="1015"/>
      <c r="M397" s="934">
        <v>75</v>
      </c>
    </row>
    <row r="398" spans="1:14" s="1016" customFormat="1" ht="25.2" hidden="1" customHeight="1">
      <c r="A398" s="1086">
        <f t="shared" si="15"/>
        <v>0</v>
      </c>
      <c r="B398" s="1226" t="s">
        <v>4514</v>
      </c>
      <c r="C398" s="2841"/>
      <c r="D398" s="1043"/>
      <c r="E398" s="1121"/>
      <c r="F398" s="1013" t="str">
        <f>VLOOKUP($B398,DG!A:D,DG!$C$2,)</f>
        <v>Boulon 14x100+ 2 long đền vuông D16-50x50x3/Zn</v>
      </c>
      <c r="G398" s="1012" t="str">
        <f>VLOOKUP($B398,DG!A:D,DG!$D$2,)</f>
        <v>bộ</v>
      </c>
      <c r="H398" s="1100">
        <f>H394</f>
        <v>0</v>
      </c>
      <c r="I398" s="1192">
        <f t="shared" si="17"/>
        <v>0</v>
      </c>
      <c r="J398" s="1041"/>
      <c r="K398" s="1041"/>
      <c r="L398" s="1015"/>
      <c r="M398" s="934">
        <v>75</v>
      </c>
    </row>
    <row r="399" spans="1:14" s="1016" customFormat="1" ht="25.2" hidden="1" customHeight="1">
      <c r="A399" s="1086">
        <f t="shared" si="15"/>
        <v>0</v>
      </c>
      <c r="B399" s="1226" t="s">
        <v>2271</v>
      </c>
      <c r="C399" s="2841"/>
      <c r="D399" s="1043"/>
      <c r="E399" s="1121"/>
      <c r="F399" s="1013" t="str">
        <f>VLOOKUP($B399,DG!A:D,DG!$C$2,)</f>
        <v>Bass LL bắt FCO, LA</v>
      </c>
      <c r="G399" s="1012" t="str">
        <f>VLOOKUP($B399,DG!A:D,DG!$D$2,)</f>
        <v>bộ</v>
      </c>
      <c r="H399" s="1100">
        <f>H394</f>
        <v>0</v>
      </c>
      <c r="I399" s="1192">
        <f t="shared" si="17"/>
        <v>0</v>
      </c>
      <c r="J399" s="1041"/>
      <c r="K399" s="1041"/>
      <c r="L399" s="1015"/>
      <c r="M399" s="934">
        <v>75</v>
      </c>
    </row>
    <row r="400" spans="1:14" s="1016" customFormat="1" ht="25.2" hidden="1" customHeight="1">
      <c r="A400" s="1086">
        <f t="shared" si="15"/>
        <v>0</v>
      </c>
      <c r="B400" s="1226"/>
      <c r="C400" s="2841"/>
      <c r="D400" s="1099">
        <f>IF(H400&gt;0,D394+1,D394)</f>
        <v>0</v>
      </c>
      <c r="E400" s="1118"/>
      <c r="F400" s="1130" t="s">
        <v>3676</v>
      </c>
      <c r="G400" s="1099" t="s">
        <v>2385</v>
      </c>
      <c r="H400" s="1707">
        <f>H394</f>
        <v>0</v>
      </c>
      <c r="I400" s="1192">
        <f t="shared" si="17"/>
        <v>0</v>
      </c>
      <c r="J400" s="1041"/>
      <c r="K400" s="1041"/>
      <c r="L400" s="1015"/>
      <c r="M400" s="934">
        <v>75</v>
      </c>
    </row>
    <row r="401" spans="1:13" s="1016" customFormat="1" ht="25.2" hidden="1" customHeight="1">
      <c r="A401" s="1086">
        <f t="shared" si="15"/>
        <v>0</v>
      </c>
      <c r="B401" s="1226"/>
      <c r="C401" s="2841"/>
      <c r="D401" s="1043"/>
      <c r="E401" s="1121"/>
      <c r="F401" s="1265" t="s">
        <v>2279</v>
      </c>
      <c r="G401" s="1043"/>
      <c r="H401" s="1100"/>
      <c r="I401" s="1192">
        <f t="shared" si="17"/>
        <v>0</v>
      </c>
      <c r="J401" s="1041"/>
      <c r="K401" s="1041"/>
      <c r="L401" s="1015"/>
      <c r="M401" s="934">
        <v>75</v>
      </c>
    </row>
    <row r="402" spans="1:13" s="1016" customFormat="1" ht="25.2" hidden="1" customHeight="1">
      <c r="A402" s="1086">
        <f t="shared" si="15"/>
        <v>0</v>
      </c>
      <c r="B402" s="1226" t="s">
        <v>1033</v>
      </c>
      <c r="C402" s="2841"/>
      <c r="D402" s="1043"/>
      <c r="E402" s="1012">
        <f>VLOOKUP($B402,DG!A:D,DG!$B$2,)</f>
        <v>0</v>
      </c>
      <c r="F402" s="1025" t="str">
        <f>VLOOKUP($B402,DG!A:D,DG!$C$2,)</f>
        <v>Cáp đồng trần M25mm2</v>
      </c>
      <c r="G402" s="1012" t="str">
        <f>VLOOKUP($B402,DG!A:D,DG!$D$2,)</f>
        <v>kg</v>
      </c>
      <c r="H402" s="1100">
        <f>53*H400*0.224</f>
        <v>0</v>
      </c>
      <c r="I402" s="1192">
        <f t="shared" si="17"/>
        <v>0</v>
      </c>
      <c r="J402" s="1041"/>
      <c r="K402" s="1041"/>
      <c r="L402" s="1015"/>
      <c r="M402" s="934">
        <v>75</v>
      </c>
    </row>
    <row r="403" spans="1:13" s="1016" customFormat="1" ht="25.2" hidden="1" customHeight="1">
      <c r="A403" s="1086">
        <f t="shared" si="15"/>
        <v>0</v>
      </c>
      <c r="B403" s="1087" t="s">
        <v>1508</v>
      </c>
      <c r="C403" s="2842"/>
      <c r="D403" s="1043"/>
      <c r="E403" s="1012">
        <f>VLOOKUP($B403,DG!A:D,DG!$B$2,)</f>
        <v>0</v>
      </c>
      <c r="F403" s="1025" t="str">
        <f>VLOOKUP($B403,DG!A:D,DG!$C$2,)</f>
        <v>Cọc tiếp đất Þ 16- 2,4m + kẹp cọc mạ đồng</v>
      </c>
      <c r="G403" s="1012" t="str">
        <f>VLOOKUP($B403,DG!A:D,DG!$D$2,)</f>
        <v>bộ</v>
      </c>
      <c r="H403" s="1100">
        <f>9*H400</f>
        <v>0</v>
      </c>
      <c r="I403" s="1192">
        <f t="shared" si="17"/>
        <v>0</v>
      </c>
      <c r="J403" s="1041"/>
      <c r="K403" s="1041"/>
      <c r="L403" s="1015"/>
      <c r="M403" s="934">
        <v>75</v>
      </c>
    </row>
    <row r="404" spans="1:13" s="1016" customFormat="1" ht="25.2" hidden="1" customHeight="1">
      <c r="A404" s="1086">
        <f t="shared" si="15"/>
        <v>0</v>
      </c>
      <c r="B404" s="1087" t="s">
        <v>1490</v>
      </c>
      <c r="C404" s="2842"/>
      <c r="D404" s="1043"/>
      <c r="E404" s="1012" t="str">
        <f>VLOOKUP($B404,DG!A:D,DG!$B$2,)</f>
        <v>07.2403</v>
      </c>
      <c r="F404" s="1013" t="str">
        <f>VLOOKUP($B404,DG!A:D,DG!$C$2,)</f>
        <v xml:space="preserve">Ống PVC D21x1,6mm </v>
      </c>
      <c r="G404" s="1012" t="str">
        <f>VLOOKUP($B404,DG!A:D,DG!$D$2,)</f>
        <v>m</v>
      </c>
      <c r="H404" s="1100">
        <f>6*H400</f>
        <v>0</v>
      </c>
      <c r="I404" s="1192">
        <f t="shared" si="17"/>
        <v>0</v>
      </c>
      <c r="J404" s="1041"/>
      <c r="K404" s="1041"/>
      <c r="L404" s="1015"/>
      <c r="M404" s="934">
        <v>75</v>
      </c>
    </row>
    <row r="405" spans="1:13" s="1016" customFormat="1" ht="25.2" hidden="1" customHeight="1">
      <c r="A405" s="1086">
        <f t="shared" si="15"/>
        <v>0</v>
      </c>
      <c r="B405" s="1231" t="s">
        <v>1579</v>
      </c>
      <c r="C405" s="2844"/>
      <c r="D405" s="1043"/>
      <c r="E405" s="1012">
        <f>VLOOKUP($B405,DG!A:D,DG!$B$2,)</f>
        <v>0</v>
      </c>
      <c r="F405" s="1013" t="str">
        <f>VLOOKUP($B405,DG!A:D,DG!$C$2,)</f>
        <v>Kẹp ép WR cỡ dây 50mm2</v>
      </c>
      <c r="G405" s="1012" t="str">
        <f>VLOOKUP($B405,DG!A:D,DG!$D$2,)</f>
        <v>cái</v>
      </c>
      <c r="H405" s="1100">
        <f>2*H400</f>
        <v>0</v>
      </c>
      <c r="I405" s="1192">
        <f t="shared" si="17"/>
        <v>0</v>
      </c>
      <c r="J405" s="1041"/>
      <c r="K405" s="1041"/>
      <c r="L405" s="1015"/>
      <c r="M405" s="934">
        <v>75</v>
      </c>
    </row>
    <row r="406" spans="1:13" s="1016" customFormat="1" ht="25.2" hidden="1" customHeight="1">
      <c r="A406" s="1086">
        <f t="shared" si="15"/>
        <v>0</v>
      </c>
      <c r="B406" s="1231" t="s">
        <v>1115</v>
      </c>
      <c r="C406" s="2844"/>
      <c r="D406" s="1043"/>
      <c r="E406" s="1012">
        <f>VLOOKUP($B406,DG!A:D,DG!$B$2,)</f>
        <v>0</v>
      </c>
      <c r="F406" s="1013" t="str">
        <f>VLOOKUP($B406,DG!A:D,DG!$C$2,)</f>
        <v>Kẹp ép cỡ dây 25mm2</v>
      </c>
      <c r="G406" s="1012" t="str">
        <f>VLOOKUP($B406,DG!A:D,DG!$D$2,)</f>
        <v>cái</v>
      </c>
      <c r="H406" s="1100">
        <f>H400*10</f>
        <v>0</v>
      </c>
      <c r="I406" s="1192">
        <f t="shared" si="17"/>
        <v>0</v>
      </c>
      <c r="J406" s="1041"/>
      <c r="K406" s="1041"/>
      <c r="L406" s="1015"/>
      <c r="M406" s="934">
        <v>75</v>
      </c>
    </row>
    <row r="407" spans="1:13" s="1016" customFormat="1" ht="25.2" hidden="1" customHeight="1">
      <c r="A407" s="1086">
        <f t="shared" si="15"/>
        <v>0</v>
      </c>
      <c r="B407" s="1087" t="s">
        <v>525</v>
      </c>
      <c r="C407" s="2842"/>
      <c r="D407" s="1043"/>
      <c r="E407" s="1012" t="str">
        <f>VLOOKUP($B407,DG!A:D,DG!$B$2,)</f>
        <v>06.3231</v>
      </c>
      <c r="F407" s="1013" t="str">
        <f>VLOOKUP($B407,DG!A:D,DG!$C$2,)</f>
        <v>Cổ dê kẹp ống PVC  21</v>
      </c>
      <c r="G407" s="1012" t="str">
        <f>VLOOKUP($B407,DG!A:D,DG!$D$2,)</f>
        <v>bộ</v>
      </c>
      <c r="H407" s="1100">
        <f>3*H400</f>
        <v>0</v>
      </c>
      <c r="I407" s="1192">
        <f t="shared" si="17"/>
        <v>0</v>
      </c>
      <c r="J407" s="1041"/>
      <c r="K407" s="1041"/>
      <c r="L407" s="1015"/>
      <c r="M407" s="934">
        <v>75</v>
      </c>
    </row>
    <row r="408" spans="1:13" s="1016" customFormat="1" ht="25.2" hidden="1" customHeight="1">
      <c r="A408" s="1086">
        <f t="shared" si="15"/>
        <v>0</v>
      </c>
      <c r="B408" s="1231" t="s">
        <v>2183</v>
      </c>
      <c r="C408" s="2844"/>
      <c r="D408" s="1043"/>
      <c r="E408" s="1012" t="str">
        <f>VLOOKUP($B408,DG!A:D,DG!$B$2,)</f>
        <v>04.7002</v>
      </c>
      <c r="F408" s="1013" t="str">
        <f>VLOOKUP($B408,DG!A:D,DG!$C$2,)</f>
        <v>Kéo dây tiếp địa trong TBA</v>
      </c>
      <c r="G408" s="1012" t="str">
        <f>VLOOKUP($B408,DG!A:D,DG!$D$2,)</f>
        <v>kg</v>
      </c>
      <c r="H408" s="1100">
        <f>H402/0.224</f>
        <v>0</v>
      </c>
      <c r="I408" s="1192">
        <f t="shared" si="17"/>
        <v>0</v>
      </c>
      <c r="J408" s="1041"/>
      <c r="K408" s="1041"/>
      <c r="L408" s="1015"/>
      <c r="M408" s="934">
        <v>75</v>
      </c>
    </row>
    <row r="409" spans="1:13" s="1016" customFormat="1" ht="25.2" hidden="1" customHeight="1">
      <c r="A409" s="1086">
        <f t="shared" si="15"/>
        <v>0</v>
      </c>
      <c r="B409" s="1087" t="s">
        <v>902</v>
      </c>
      <c r="C409" s="2842"/>
      <c r="D409" s="1043"/>
      <c r="E409" s="1012" t="str">
        <f>VLOOKUP($B409,DG!A:D,DG!$B$2,)</f>
        <v>04.7001</v>
      </c>
      <c r="F409" s="1013" t="str">
        <f>VLOOKUP($B409,DG!A:D,DG!$C$2,)</f>
        <v>Đóng cọc tiếp địa trong TBA</v>
      </c>
      <c r="G409" s="1012" t="str">
        <f>VLOOKUP($B409,DG!A:D,DG!$D$2,)</f>
        <v>cọc</v>
      </c>
      <c r="H409" s="1100">
        <f>H403</f>
        <v>0</v>
      </c>
      <c r="I409" s="1192">
        <f t="shared" si="17"/>
        <v>0</v>
      </c>
      <c r="J409" s="1041"/>
      <c r="K409" s="1041"/>
      <c r="L409" s="1015"/>
      <c r="M409" s="934">
        <v>75</v>
      </c>
    </row>
    <row r="410" spans="1:13" s="1016" customFormat="1" ht="25.2" hidden="1" customHeight="1">
      <c r="A410" s="1086">
        <f t="shared" ref="A410:A473" si="19">IF(AND(M410=$M$23,I410&gt;0),1,0)</f>
        <v>0</v>
      </c>
      <c r="B410" s="1231" t="str">
        <f>"dtd"&amp;chitiet!G5</f>
        <v>dtd3</v>
      </c>
      <c r="C410" s="2844"/>
      <c r="D410" s="1043"/>
      <c r="E410" s="1012" t="str">
        <f>VLOOKUP($B410,DG!A:D,DG!$B$2,)</f>
        <v>03.3123</v>
      </c>
      <c r="F410" s="1013" t="str">
        <f>VLOOKUP($B410,DG!A:D,DG!$C$2,)</f>
        <v>Đào rãnh tiếp địa đất cấp 3</v>
      </c>
      <c r="G410" s="1012" t="str">
        <f>VLOOKUP($B410,DG!A:D,DG!$D$2,)</f>
        <v>m3</v>
      </c>
      <c r="H410" s="1100">
        <f>H400*2.64</f>
        <v>0</v>
      </c>
      <c r="I410" s="1192">
        <f t="shared" si="17"/>
        <v>0</v>
      </c>
      <c r="J410" s="1041"/>
      <c r="K410" s="1041"/>
      <c r="L410" s="1015"/>
      <c r="M410" s="934">
        <v>75</v>
      </c>
    </row>
    <row r="411" spans="1:13" s="1016" customFormat="1" ht="25.2" hidden="1" customHeight="1">
      <c r="A411" s="1086">
        <f t="shared" si="19"/>
        <v>0</v>
      </c>
      <c r="B411" s="1087" t="str">
        <f>"datd"&amp;chitiet!G5</f>
        <v>datd3</v>
      </c>
      <c r="C411" s="2842"/>
      <c r="D411" s="1043"/>
      <c r="E411" s="1012" t="str">
        <f>VLOOKUP($B411,DG!A:D,DG!$B$2,)</f>
        <v>03.4123</v>
      </c>
      <c r="F411" s="1013" t="str">
        <f>VLOOKUP($B411,DG!A:D,DG!$C$2,)</f>
        <v>Đắp đất rãnh tiếp độ chặt k=0,85</v>
      </c>
      <c r="G411" s="1012" t="str">
        <f>VLOOKUP($B411,DG!A:D,DG!$D$2,)</f>
        <v>m3</v>
      </c>
      <c r="H411" s="1100">
        <f>H410</f>
        <v>0</v>
      </c>
      <c r="I411" s="1192">
        <f t="shared" si="17"/>
        <v>0</v>
      </c>
      <c r="J411" s="1041"/>
      <c r="K411" s="1041"/>
      <c r="L411" s="1015"/>
      <c r="M411" s="934">
        <v>75</v>
      </c>
    </row>
    <row r="412" spans="1:13" s="1016" customFormat="1" ht="25.2" hidden="1" customHeight="1">
      <c r="A412" s="1086">
        <f t="shared" si="19"/>
        <v>0</v>
      </c>
      <c r="B412" s="1231"/>
      <c r="C412" s="2844"/>
      <c r="D412" s="1099">
        <f>IF(H412&gt;0,D400+1,D400)</f>
        <v>0</v>
      </c>
      <c r="E412" s="1118"/>
      <c r="F412" s="1119" t="s">
        <v>3683</v>
      </c>
      <c r="G412" s="1099" t="s">
        <v>2385</v>
      </c>
      <c r="H412" s="1707">
        <f>H394</f>
        <v>0</v>
      </c>
      <c r="I412" s="1192">
        <f t="shared" si="17"/>
        <v>0</v>
      </c>
      <c r="J412" s="1041"/>
      <c r="K412" s="1041"/>
      <c r="L412" s="1015"/>
      <c r="M412" s="934">
        <v>75</v>
      </c>
    </row>
    <row r="413" spans="1:13" s="1016" customFormat="1" ht="25.2" hidden="1" customHeight="1">
      <c r="A413" s="1086">
        <f t="shared" si="19"/>
        <v>0</v>
      </c>
      <c r="B413" s="1231"/>
      <c r="C413" s="2844"/>
      <c r="D413" s="1099"/>
      <c r="E413" s="1118"/>
      <c r="F413" s="1265" t="s">
        <v>2279</v>
      </c>
      <c r="G413" s="1043"/>
      <c r="H413" s="1100"/>
      <c r="I413" s="1192">
        <f t="shared" si="17"/>
        <v>0</v>
      </c>
      <c r="J413" s="1041"/>
      <c r="K413" s="1041"/>
      <c r="L413" s="1015"/>
      <c r="M413" s="934">
        <v>75</v>
      </c>
    </row>
    <row r="414" spans="1:13" s="1016" customFormat="1" ht="25.2" hidden="1" customHeight="1">
      <c r="A414" s="1086">
        <f t="shared" si="19"/>
        <v>0</v>
      </c>
      <c r="B414" s="1233" t="s">
        <v>616</v>
      </c>
      <c r="C414" s="2843"/>
      <c r="D414" s="1043"/>
      <c r="E414" s="1012" t="str">
        <f>VLOOKUP($B414,DG!A:D,DG!$B$2,)</f>
        <v>05.1001</v>
      </c>
      <c r="F414" s="1025" t="str">
        <f>VLOOKUP($B414,DG!A:D,DG!$C$2,)</f>
        <v>Tủ CB trạm 1 pha + khóa + boulon</v>
      </c>
      <c r="G414" s="1012" t="str">
        <f>VLOOKUP($B414,DG!A:D,DG!$D$2,)</f>
        <v>cái</v>
      </c>
      <c r="H414" s="1100">
        <f>H412</f>
        <v>0</v>
      </c>
      <c r="I414" s="1192">
        <f t="shared" si="17"/>
        <v>0</v>
      </c>
      <c r="J414" s="1041"/>
      <c r="K414" s="1041"/>
      <c r="L414" s="1015"/>
      <c r="M414" s="934">
        <v>75</v>
      </c>
    </row>
    <row r="415" spans="1:13" s="1016" customFormat="1" ht="25.2" hidden="1" customHeight="1">
      <c r="A415" s="1086">
        <f t="shared" si="19"/>
        <v>0</v>
      </c>
      <c r="B415" s="1231" t="s">
        <v>879</v>
      </c>
      <c r="C415" s="2844"/>
      <c r="D415" s="1043"/>
      <c r="E415" s="1012" t="str">
        <f>VLOOKUP($B415,DG!A:D,DG!$B$2,)</f>
        <v>06.3231</v>
      </c>
      <c r="F415" s="1013" t="str">
        <f>VLOOKUP($B415,DG!A:D,DG!$C$2,)</f>
        <v>Cổ dê bắt tủ</v>
      </c>
      <c r="G415" s="1012" t="str">
        <f>VLOOKUP($B415,DG!A:D,DG!$D$2,)</f>
        <v>bộ</v>
      </c>
      <c r="H415" s="1100">
        <f>2*H412*7</f>
        <v>0</v>
      </c>
      <c r="I415" s="1192">
        <f t="shared" si="17"/>
        <v>0</v>
      </c>
      <c r="J415" s="1041"/>
      <c r="K415" s="1041"/>
      <c r="L415" s="1015"/>
      <c r="M415" s="934">
        <v>75</v>
      </c>
    </row>
    <row r="416" spans="1:13" s="1016" customFormat="1" ht="25.2" hidden="1" customHeight="1">
      <c r="A416" s="1086">
        <f t="shared" si="19"/>
        <v>0</v>
      </c>
      <c r="B416" s="1231" t="s">
        <v>1131</v>
      </c>
      <c r="C416" s="2844"/>
      <c r="D416" s="1043"/>
      <c r="E416" s="1012" t="str">
        <f>VLOOKUP($B416,DG!A:D,DG!$B$2,)</f>
        <v>06.2110</v>
      </c>
      <c r="F416" s="1013" t="str">
        <f>VLOOKUP($B416,DG!A:D,DG!$C$2,)</f>
        <v>Lắp cổ dê</v>
      </c>
      <c r="G416" s="1012" t="str">
        <f>VLOOKUP($B416,DG!A:D,DG!$D$2,)</f>
        <v>bộ</v>
      </c>
      <c r="H416" s="1100">
        <f>H412*2</f>
        <v>0</v>
      </c>
      <c r="I416" s="1192">
        <f t="shared" si="17"/>
        <v>0</v>
      </c>
      <c r="J416" s="1041"/>
      <c r="K416" s="1041"/>
      <c r="L416" s="1015"/>
      <c r="M416" s="934">
        <v>75</v>
      </c>
    </row>
    <row r="417" spans="1:13" s="1016" customFormat="1" ht="25.2" hidden="1" customHeight="1">
      <c r="A417" s="1086">
        <f t="shared" si="19"/>
        <v>0</v>
      </c>
      <c r="B417" s="1231" t="s">
        <v>880</v>
      </c>
      <c r="C417" s="2844"/>
      <c r="D417" s="1043"/>
      <c r="E417" s="1012">
        <f>VLOOKUP($B417,DG!A:D,DG!$B$2,)</f>
        <v>0</v>
      </c>
      <c r="F417" s="1013" t="str">
        <f>VLOOKUP($B417,DG!A:D,DG!$C$2,)</f>
        <v xml:space="preserve">Bakelit 550x450 dầy 10mm </v>
      </c>
      <c r="G417" s="1012" t="str">
        <f>VLOOKUP($B417,DG!A:D,DG!$D$2,)</f>
        <v>cái</v>
      </c>
      <c r="H417" s="1100">
        <f>H412</f>
        <v>0</v>
      </c>
      <c r="I417" s="1192">
        <f t="shared" si="17"/>
        <v>0</v>
      </c>
      <c r="J417" s="1041"/>
      <c r="K417" s="1041"/>
      <c r="L417" s="1015"/>
      <c r="M417" s="934">
        <v>75</v>
      </c>
    </row>
    <row r="418" spans="1:13" s="1016" customFormat="1" ht="25.2" hidden="1" customHeight="1">
      <c r="A418" s="1086">
        <f t="shared" si="19"/>
        <v>0</v>
      </c>
      <c r="B418" s="1231"/>
      <c r="C418" s="2844"/>
      <c r="D418" s="1099">
        <f>IF(H418&gt;0,D412+1,D412)</f>
        <v>0</v>
      </c>
      <c r="E418" s="1118"/>
      <c r="F418" s="1130" t="s">
        <v>3689</v>
      </c>
      <c r="G418" s="1099" t="s">
        <v>2385</v>
      </c>
      <c r="H418" s="1707">
        <f>H412</f>
        <v>0</v>
      </c>
      <c r="I418" s="1192">
        <f t="shared" si="17"/>
        <v>0</v>
      </c>
      <c r="J418" s="1041"/>
      <c r="K418" s="1041"/>
      <c r="L418" s="1015"/>
      <c r="M418" s="934">
        <v>75</v>
      </c>
    </row>
    <row r="419" spans="1:13" s="1016" customFormat="1" ht="25.2" hidden="1" customHeight="1">
      <c r="A419" s="1086">
        <f t="shared" si="19"/>
        <v>0</v>
      </c>
      <c r="B419" s="1231"/>
      <c r="C419" s="2844"/>
      <c r="D419" s="1099"/>
      <c r="E419" s="1118"/>
      <c r="F419" s="1265" t="s">
        <v>2279</v>
      </c>
      <c r="G419" s="1043"/>
      <c r="H419" s="1100"/>
      <c r="I419" s="1192">
        <f t="shared" si="17"/>
        <v>0</v>
      </c>
      <c r="J419" s="1041"/>
      <c r="K419" s="1041"/>
      <c r="L419" s="1015"/>
      <c r="M419" s="934">
        <v>75</v>
      </c>
    </row>
    <row r="420" spans="1:13" s="1016" customFormat="1" ht="25.2" hidden="1" customHeight="1">
      <c r="A420" s="1086">
        <f t="shared" si="19"/>
        <v>0</v>
      </c>
      <c r="B420" s="1087" t="s">
        <v>697</v>
      </c>
      <c r="C420" s="2842"/>
      <c r="D420" s="1043"/>
      <c r="E420" s="1012">
        <f>VLOOKUP($B420,DG!A:D,DG!$B$2,)</f>
        <v>0</v>
      </c>
      <c r="F420" s="1025" t="str">
        <f>VLOOKUP($B420,DG!A:D,DG!$C$2,)</f>
        <v>Cáp 24KV C/XLPE/PVC 25mm2</v>
      </c>
      <c r="G420" s="1012" t="str">
        <f>VLOOKUP($B420,DG!A:D,DG!$D$2,)</f>
        <v>mét</v>
      </c>
      <c r="H420" s="1100">
        <f>3*H418</f>
        <v>0</v>
      </c>
      <c r="I420" s="1192">
        <f t="shared" si="17"/>
        <v>0</v>
      </c>
      <c r="J420" s="1041"/>
      <c r="K420" s="1041"/>
      <c r="L420" s="1015"/>
      <c r="M420" s="934">
        <v>75</v>
      </c>
    </row>
    <row r="421" spans="1:13" s="1016" customFormat="1" ht="25.2" hidden="1" customHeight="1">
      <c r="A421" s="1086">
        <f t="shared" si="19"/>
        <v>0</v>
      </c>
      <c r="B421" s="1087" t="s">
        <v>4461</v>
      </c>
      <c r="C421" s="2842"/>
      <c r="D421" s="1043"/>
      <c r="E421" s="1012" t="e">
        <f>VLOOKUP($B421,DG!A:D,DG!$B$2,)</f>
        <v>#N/A</v>
      </c>
      <c r="F421" s="1013" t="e">
        <f>VLOOKUP($B421,DG!A:D,DG!$C$2,)</f>
        <v>#N/A</v>
      </c>
      <c r="G421" s="1012" t="e">
        <f>VLOOKUP($B421,DG!A:D,DG!$D$2,)</f>
        <v>#N/A</v>
      </c>
      <c r="H421" s="1100">
        <f>H418</f>
        <v>0</v>
      </c>
      <c r="I421" s="1192">
        <f t="shared" ref="I421:I489" si="20">IF(M421=$M$23,H421+J421-K421,0)</f>
        <v>0</v>
      </c>
      <c r="J421" s="1041"/>
      <c r="K421" s="1041"/>
      <c r="L421" s="1015"/>
      <c r="M421" s="934">
        <v>75</v>
      </c>
    </row>
    <row r="422" spans="1:13" s="1016" customFormat="1" ht="25.2" hidden="1" customHeight="1">
      <c r="A422" s="1086">
        <f t="shared" si="19"/>
        <v>0</v>
      </c>
      <c r="B422" s="1087" t="s">
        <v>1477</v>
      </c>
      <c r="C422" s="2842"/>
      <c r="D422" s="1043"/>
      <c r="E422" s="1012" t="str">
        <f>VLOOKUP($B422,DG!A:D,DG!$B$2,)</f>
        <v>04.3007</v>
      </c>
      <c r="F422" s="1013" t="str">
        <f>VLOOKUP($B422,DG!A:D,DG!$C$2,)</f>
        <v>Kẹp hotline 2/0</v>
      </c>
      <c r="G422" s="1012" t="str">
        <f>VLOOKUP($B422,DG!A:D,DG!$D$2,)</f>
        <v>cái</v>
      </c>
      <c r="H422" s="1100">
        <f>H417</f>
        <v>0</v>
      </c>
      <c r="I422" s="1192">
        <f>IF(M422=$M$23,H422+J422-K422,0)</f>
        <v>0</v>
      </c>
      <c r="J422" s="1041"/>
      <c r="K422" s="1041"/>
      <c r="L422" s="1015"/>
      <c r="M422" s="934">
        <v>75</v>
      </c>
    </row>
    <row r="423" spans="1:13" s="1016" customFormat="1" ht="25.2" hidden="1" customHeight="1">
      <c r="A423" s="1086">
        <f t="shared" si="19"/>
        <v>0</v>
      </c>
      <c r="B423" s="1087" t="s">
        <v>4342</v>
      </c>
      <c r="C423" s="2842"/>
      <c r="D423" s="1043"/>
      <c r="E423" s="1012">
        <f>VLOOKUP($B423,DG!A:D,DG!$B$2,)</f>
        <v>0</v>
      </c>
      <c r="F423" s="1013" t="str">
        <f>VLOOKUP($B423,DG!A:D,DG!$C$2,)</f>
        <v>Chụp cách điện đầu cực FCO (trên + dưới)</v>
      </c>
      <c r="G423" s="1012" t="str">
        <f>VLOOKUP($B423,DG!A:D,DG!$D$2,)</f>
        <v>bộ</v>
      </c>
      <c r="H423" s="1100">
        <f>H372</f>
        <v>0</v>
      </c>
      <c r="I423" s="1192">
        <f>IF(M423=$M$23,H423+J423-K423,0)</f>
        <v>0</v>
      </c>
      <c r="J423" s="1041"/>
      <c r="K423" s="1041"/>
      <c r="L423" s="1015"/>
      <c r="M423" s="934">
        <v>75</v>
      </c>
    </row>
    <row r="424" spans="1:13" s="1016" customFormat="1" ht="25.2" hidden="1" customHeight="1">
      <c r="A424" s="1086">
        <f t="shared" si="19"/>
        <v>0</v>
      </c>
      <c r="B424" s="1087" t="s">
        <v>4350</v>
      </c>
      <c r="C424" s="2842"/>
      <c r="D424" s="1043"/>
      <c r="E424" s="1012">
        <f>VLOOKUP($B424,DG!A:D,DG!$B$2,)</f>
        <v>0</v>
      </c>
      <c r="F424" s="1013" t="str">
        <f>VLOOKUP($B424,DG!A:D,DG!$C$2,)</f>
        <v>Chụp cách điện đầu cực LA</v>
      </c>
      <c r="G424" s="1012" t="str">
        <f>VLOOKUP($B424,DG!A:D,DG!$D$2,)</f>
        <v>cái</v>
      </c>
      <c r="H424" s="1100">
        <f>H374</f>
        <v>0</v>
      </c>
      <c r="I424" s="1192">
        <f>IF(M424=$M$23,H424+J424-K424,0)</f>
        <v>0</v>
      </c>
      <c r="J424" s="1041"/>
      <c r="K424" s="1041"/>
      <c r="L424" s="1015"/>
      <c r="M424" s="934">
        <v>75</v>
      </c>
    </row>
    <row r="425" spans="1:13" s="1016" customFormat="1" ht="25.2" hidden="1" customHeight="1">
      <c r="A425" s="1086">
        <f t="shared" si="19"/>
        <v>0</v>
      </c>
      <c r="B425" s="1087" t="s">
        <v>4516</v>
      </c>
      <c r="C425" s="2842"/>
      <c r="D425" s="1043"/>
      <c r="E425" s="1012">
        <f>VLOOKUP($B425,DG!A:D,DG!$B$2,)</f>
        <v>0</v>
      </c>
      <c r="F425" s="1013" t="str">
        <f>VLOOKUP($B425,DG!A:D,DG!$C$2,)</f>
        <v>Chụp cách điện đầu cực MBA</v>
      </c>
      <c r="G425" s="1012" t="str">
        <f>VLOOKUP($B425,DG!A:D,DG!$D$2,)</f>
        <v>cái</v>
      </c>
      <c r="H425" s="1100">
        <f>H371</f>
        <v>0</v>
      </c>
      <c r="I425" s="1192">
        <f t="shared" si="20"/>
        <v>0</v>
      </c>
      <c r="J425" s="1041"/>
      <c r="K425" s="1041"/>
      <c r="L425" s="1015"/>
      <c r="M425" s="934">
        <v>75</v>
      </c>
    </row>
    <row r="426" spans="1:13" s="1016" customFormat="1" ht="25.2" hidden="1" customHeight="1">
      <c r="A426" s="1086">
        <f t="shared" si="19"/>
        <v>0</v>
      </c>
      <c r="B426" s="1087" t="s">
        <v>1525</v>
      </c>
      <c r="C426" s="2842"/>
      <c r="D426" s="1043"/>
      <c r="E426" s="1012" t="str">
        <f>VLOOKUP($B426,DG!A:D,DG!$B$2,)</f>
        <v>04.4201</v>
      </c>
      <c r="F426" s="1013" t="str">
        <f>VLOOKUP($B426,DG!A:D,DG!$C$2,)</f>
        <v>Lắp cáp đồng xuống thiết bị D ≤ 95mm2</v>
      </c>
      <c r="G426" s="1012" t="str">
        <f>VLOOKUP($B426,DG!A:D,DG!$D$2,)</f>
        <v>m</v>
      </c>
      <c r="H426" s="1100">
        <f>H420</f>
        <v>0</v>
      </c>
      <c r="I426" s="1192">
        <f t="shared" si="20"/>
        <v>0</v>
      </c>
      <c r="J426" s="1041"/>
      <c r="K426" s="1041"/>
      <c r="L426" s="1015"/>
      <c r="M426" s="934">
        <v>75</v>
      </c>
    </row>
    <row r="427" spans="1:13" s="1016" customFormat="1" ht="25.2" hidden="1" customHeight="1">
      <c r="A427" s="1086">
        <f t="shared" si="19"/>
        <v>0</v>
      </c>
      <c r="B427" s="1226"/>
      <c r="C427" s="2841"/>
      <c r="D427" s="1099">
        <f>IF(H427&gt;0,D418+1,D418)</f>
        <v>0</v>
      </c>
      <c r="E427" s="1118"/>
      <c r="F427" s="1119" t="s">
        <v>3690</v>
      </c>
      <c r="G427" s="1099" t="s">
        <v>2385</v>
      </c>
      <c r="H427" s="1707">
        <f>H371</f>
        <v>0</v>
      </c>
      <c r="I427" s="1192">
        <f t="shared" si="20"/>
        <v>0</v>
      </c>
      <c r="J427" s="1041"/>
      <c r="K427" s="1041"/>
      <c r="L427" s="1015"/>
      <c r="M427" s="934">
        <v>75</v>
      </c>
    </row>
    <row r="428" spans="1:13" s="1016" customFormat="1" ht="25.2" hidden="1" customHeight="1">
      <c r="A428" s="1086">
        <f t="shared" si="19"/>
        <v>0</v>
      </c>
      <c r="B428" s="1226"/>
      <c r="C428" s="2841"/>
      <c r="D428" s="1099"/>
      <c r="E428" s="1118"/>
      <c r="F428" s="1264" t="s">
        <v>2279</v>
      </c>
      <c r="G428" s="1099"/>
      <c r="H428" s="1707"/>
      <c r="I428" s="1192">
        <f t="shared" si="20"/>
        <v>0</v>
      </c>
      <c r="J428" s="1041"/>
      <c r="K428" s="1041"/>
      <c r="L428" s="1015"/>
      <c r="M428" s="934">
        <v>75</v>
      </c>
    </row>
    <row r="429" spans="1:13" s="1016" customFormat="1" ht="25.2" hidden="1" customHeight="1">
      <c r="A429" s="1086">
        <f t="shared" si="19"/>
        <v>0</v>
      </c>
      <c r="B429" s="1226" t="s">
        <v>4517</v>
      </c>
      <c r="C429" s="2841"/>
      <c r="D429" s="1099"/>
      <c r="E429" s="1012">
        <f>VLOOKUP($B429,DG!A:D,DG!$B$2,)</f>
        <v>0</v>
      </c>
      <c r="F429" s="1025" t="str">
        <f>VLOOKUP($B429,DG!A:D,DG!$C$2,)</f>
        <v>Cáp đồng bọc CV185</v>
      </c>
      <c r="G429" s="1012" t="str">
        <f>VLOOKUP($B429,DG!A:D,DG!$D$2,)</f>
        <v>mét</v>
      </c>
      <c r="H429" s="1100">
        <f>H427*10*2</f>
        <v>0</v>
      </c>
      <c r="I429" s="1192">
        <f t="shared" si="20"/>
        <v>0</v>
      </c>
      <c r="J429" s="1041"/>
      <c r="K429" s="1041"/>
      <c r="L429" s="1015"/>
      <c r="M429" s="934">
        <v>75</v>
      </c>
    </row>
    <row r="430" spans="1:13" s="1016" customFormat="1" ht="25.2" hidden="1" customHeight="1">
      <c r="A430" s="1086">
        <f t="shared" si="19"/>
        <v>0</v>
      </c>
      <c r="B430" s="1226" t="s">
        <v>237</v>
      </c>
      <c r="C430" s="2841"/>
      <c r="D430" s="1099"/>
      <c r="E430" s="1012">
        <f>VLOOKUP($B430,DG!A:D,DG!$B$2,)</f>
        <v>0</v>
      </c>
      <c r="F430" s="1013" t="str">
        <f>VLOOKUP($B430,DG!A:D,DG!$C$2,)</f>
        <v>Cáp đồng bọc CV70</v>
      </c>
      <c r="G430" s="1012" t="str">
        <f>VLOOKUP($B430,DG!A:D,DG!$D$2,)</f>
        <v>mét</v>
      </c>
      <c r="H430" s="1100">
        <f>H427*9*0</f>
        <v>0</v>
      </c>
      <c r="I430" s="1192">
        <f t="shared" si="20"/>
        <v>0</v>
      </c>
      <c r="J430" s="1041"/>
      <c r="K430" s="1041"/>
      <c r="L430" s="1015"/>
      <c r="M430" s="934">
        <v>75</v>
      </c>
    </row>
    <row r="431" spans="1:13" s="1016" customFormat="1" ht="25.2" hidden="1" customHeight="1">
      <c r="A431" s="1086">
        <f t="shared" si="19"/>
        <v>0</v>
      </c>
      <c r="B431" s="1226" t="s">
        <v>4518</v>
      </c>
      <c r="C431" s="2841"/>
      <c r="D431" s="1043"/>
      <c r="E431" s="1012" t="str">
        <f>VLOOKUP($B431,DG!A:D,DG!$B$2,)</f>
        <v>03.1401</v>
      </c>
      <c r="F431" s="1025" t="str">
        <f>VLOOKUP($B431,DG!A:D,DG!$C$2,)</f>
        <v xml:space="preserve">Cáp CVV 4x4mm2  </v>
      </c>
      <c r="G431" s="1012" t="str">
        <f>VLOOKUP($B431,DG!A:D,DG!$D$2,)</f>
        <v>mét</v>
      </c>
      <c r="H431" s="1100">
        <f>2*H427</f>
        <v>0</v>
      </c>
      <c r="I431" s="1192">
        <f t="shared" si="20"/>
        <v>0</v>
      </c>
      <c r="J431" s="1041"/>
      <c r="K431" s="1041"/>
      <c r="L431" s="1015"/>
      <c r="M431" s="934">
        <v>75</v>
      </c>
    </row>
    <row r="432" spans="1:13" s="1016" customFormat="1" ht="25.2" hidden="1" customHeight="1">
      <c r="A432" s="1086">
        <f t="shared" si="19"/>
        <v>0</v>
      </c>
      <c r="B432" s="1231" t="s">
        <v>151</v>
      </c>
      <c r="C432" s="2844"/>
      <c r="D432" s="1043"/>
      <c r="E432" s="1012" t="str">
        <f>VLOOKUP($B432,DG!A:D,DG!$B$2,)</f>
        <v>03.4007</v>
      </c>
      <c r="F432" s="1013" t="str">
        <f>VLOOKUP($B432,DG!A:D,DG!$C$2,)</f>
        <v>Đầu cosse ép Cu 185mm2</v>
      </c>
      <c r="G432" s="1012" t="str">
        <f>VLOOKUP($B432,DG!A:D,DG!$D$2,)</f>
        <v>cái</v>
      </c>
      <c r="H432" s="1100">
        <f>H427*H376*2</f>
        <v>0</v>
      </c>
      <c r="I432" s="1192">
        <f t="shared" si="20"/>
        <v>0</v>
      </c>
      <c r="J432" s="1041"/>
      <c r="K432" s="1041"/>
      <c r="L432" s="1015"/>
      <c r="M432" s="934">
        <v>75</v>
      </c>
    </row>
    <row r="433" spans="1:13" s="1016" customFormat="1" ht="25.2" hidden="1" customHeight="1">
      <c r="A433" s="1086">
        <f t="shared" si="19"/>
        <v>0</v>
      </c>
      <c r="B433" s="1231" t="s">
        <v>1074</v>
      </c>
      <c r="C433" s="2844"/>
      <c r="D433" s="1043"/>
      <c r="E433" s="1012" t="str">
        <f>VLOOKUP($B433,DG!A:D,DG!$B$2,)</f>
        <v>03.4003</v>
      </c>
      <c r="F433" s="1013" t="str">
        <f>VLOOKUP($B433,DG!A:D,DG!$C$2,)</f>
        <v>Đầu cosse ép Cu 70mm2</v>
      </c>
      <c r="G433" s="1012" t="str">
        <f>VLOOKUP($B433,DG!A:D,DG!$D$2,)</f>
        <v>cái</v>
      </c>
      <c r="H433" s="1100">
        <f>H427*0</f>
        <v>0</v>
      </c>
      <c r="I433" s="1192">
        <f t="shared" si="20"/>
        <v>0</v>
      </c>
      <c r="J433" s="1041"/>
      <c r="K433" s="1041"/>
      <c r="L433" s="1015"/>
      <c r="M433" s="934">
        <v>75</v>
      </c>
    </row>
    <row r="434" spans="1:13" s="1016" customFormat="1" ht="25.2" hidden="1" customHeight="1">
      <c r="A434" s="1086">
        <f t="shared" si="19"/>
        <v>0</v>
      </c>
      <c r="B434" s="1231" t="s">
        <v>1861</v>
      </c>
      <c r="C434" s="2844"/>
      <c r="D434" s="1043"/>
      <c r="E434" s="1012">
        <f>VLOOKUP($B434,DG!A:D,DG!$B$2,)</f>
        <v>0</v>
      </c>
      <c r="F434" s="1013" t="str">
        <f>VLOOKUP($B434,DG!A:D,DG!$C$2,)</f>
        <v>Chụp đầu cosse  120mm2</v>
      </c>
      <c r="G434" s="1012" t="str">
        <f>VLOOKUP($B434,DG!A:D,DG!$D$2,)</f>
        <v>cái</v>
      </c>
      <c r="H434" s="1100">
        <f>H432</f>
        <v>0</v>
      </c>
      <c r="I434" s="1192">
        <f t="shared" si="20"/>
        <v>0</v>
      </c>
      <c r="J434" s="1041"/>
      <c r="K434" s="1041"/>
      <c r="L434" s="1015"/>
      <c r="M434" s="934">
        <v>75</v>
      </c>
    </row>
    <row r="435" spans="1:13" s="1016" customFormat="1" ht="25.2" hidden="1" customHeight="1">
      <c r="A435" s="1086">
        <f t="shared" si="19"/>
        <v>0</v>
      </c>
      <c r="B435" s="1231" t="s">
        <v>2078</v>
      </c>
      <c r="C435" s="2844"/>
      <c r="D435" s="1043"/>
      <c r="E435" s="1012">
        <f>VLOOKUP($B435,DG!A:D,DG!$B$2,)</f>
        <v>0</v>
      </c>
      <c r="F435" s="1013" t="str">
        <f>VLOOKUP($B435,DG!A:D,DG!$C$2,)</f>
        <v>Chụp đầu cosse  70mm2</v>
      </c>
      <c r="G435" s="1012" t="str">
        <f>VLOOKUP($B435,DG!A:D,DG!$D$2,)</f>
        <v>cái</v>
      </c>
      <c r="H435" s="1100">
        <f>H433*0</f>
        <v>0</v>
      </c>
      <c r="I435" s="1192">
        <f t="shared" si="20"/>
        <v>0</v>
      </c>
      <c r="J435" s="1041"/>
      <c r="K435" s="1041"/>
      <c r="L435" s="1015"/>
      <c r="M435" s="934">
        <v>75</v>
      </c>
    </row>
    <row r="436" spans="1:13" s="1016" customFormat="1" ht="25.2" hidden="1" customHeight="1">
      <c r="A436" s="1086">
        <f t="shared" si="19"/>
        <v>0</v>
      </c>
      <c r="B436" s="1231" t="s">
        <v>1042</v>
      </c>
      <c r="C436" s="2844"/>
      <c r="D436" s="1043"/>
      <c r="E436" s="1012">
        <f>VLOOKUP($B436,DG!A:D,DG!$B$2,)</f>
        <v>0</v>
      </c>
      <c r="F436" s="1013" t="str">
        <f>VLOOKUP($B436,DG!A:D,DG!$C$2,)</f>
        <v xml:space="preserve">Ống PVC D114x4,9mm </v>
      </c>
      <c r="G436" s="1012" t="str">
        <f>VLOOKUP($B436,DG!A:D,DG!$D$2,)</f>
        <v>m</v>
      </c>
      <c r="H436" s="1100">
        <f>6*H427</f>
        <v>0</v>
      </c>
      <c r="I436" s="1192">
        <f t="shared" si="20"/>
        <v>0</v>
      </c>
      <c r="J436" s="1041"/>
      <c r="K436" s="1041"/>
      <c r="L436" s="1015"/>
      <c r="M436" s="934">
        <v>75</v>
      </c>
    </row>
    <row r="437" spans="1:13" s="1016" customFormat="1" ht="25.2" hidden="1" customHeight="1">
      <c r="A437" s="1086">
        <f t="shared" si="19"/>
        <v>0</v>
      </c>
      <c r="B437" s="1087" t="s">
        <v>1862</v>
      </c>
      <c r="C437" s="2842"/>
      <c r="D437" s="1043"/>
      <c r="E437" s="1012" t="str">
        <f>VLOOKUP($B437,DG!A:D,DG!$B$2,)</f>
        <v>06.3231</v>
      </c>
      <c r="F437" s="1013" t="str">
        <f>VLOOKUP($B437,DG!A:D,DG!$C$2,)</f>
        <v>Cổ dê kẹp ống PVC Ø 114</v>
      </c>
      <c r="G437" s="1012" t="str">
        <f>VLOOKUP($B437,DG!A:D,DG!$D$2,)</f>
        <v>bộ</v>
      </c>
      <c r="H437" s="1100">
        <f>3*H427</f>
        <v>0</v>
      </c>
      <c r="I437" s="1192">
        <f t="shared" si="20"/>
        <v>0</v>
      </c>
      <c r="J437" s="1041"/>
      <c r="K437" s="1041"/>
      <c r="L437" s="1015"/>
      <c r="M437" s="934">
        <v>75</v>
      </c>
    </row>
    <row r="438" spans="1:13" s="1016" customFormat="1" ht="25.2" hidden="1" customHeight="1">
      <c r="A438" s="1086">
        <f t="shared" si="19"/>
        <v>0</v>
      </c>
      <c r="B438" s="1087" t="s">
        <v>2019</v>
      </c>
      <c r="C438" s="2842"/>
      <c r="D438" s="1043"/>
      <c r="E438" s="1012">
        <f>VLOOKUP($B438,DG!A:D,DG!$B$2,)</f>
        <v>0</v>
      </c>
      <c r="F438" s="1013" t="str">
        <f>VLOOKUP($B438,DG!A:D,DG!$C$2,)</f>
        <v>Boulon 12x40+ 2 long đền vuông D14-50x50x3/Zn</v>
      </c>
      <c r="G438" s="1012" t="str">
        <f>VLOOKUP($B438,DG!A:D,DG!$D$2,)</f>
        <v>bộ</v>
      </c>
      <c r="H438" s="1100">
        <f>H439*4*0</f>
        <v>0</v>
      </c>
      <c r="I438" s="1192">
        <f t="shared" si="20"/>
        <v>0</v>
      </c>
      <c r="J438" s="1041"/>
      <c r="K438" s="1041"/>
      <c r="L438" s="1015"/>
      <c r="M438" s="934">
        <v>75</v>
      </c>
    </row>
    <row r="439" spans="1:13" s="1016" customFormat="1" ht="25.2" hidden="1" customHeight="1">
      <c r="A439" s="1086">
        <f t="shared" si="19"/>
        <v>0</v>
      </c>
      <c r="B439" s="1087" t="s">
        <v>1131</v>
      </c>
      <c r="C439" s="2842"/>
      <c r="D439" s="1043"/>
      <c r="E439" s="1012" t="str">
        <f>VLOOKUP($B439,DG!A:D,DG!$B$2,)</f>
        <v>06.2110</v>
      </c>
      <c r="F439" s="1013" t="str">
        <f>VLOOKUP($B439,DG!A:D,DG!$C$2,)</f>
        <v>Lắp cổ dê</v>
      </c>
      <c r="G439" s="1012" t="str">
        <f>VLOOKUP($B439,DG!A:D,DG!$D$2,)</f>
        <v>bộ</v>
      </c>
      <c r="H439" s="1100">
        <f>H427*3</f>
        <v>0</v>
      </c>
      <c r="I439" s="1192">
        <f t="shared" si="20"/>
        <v>0</v>
      </c>
      <c r="J439" s="1041"/>
      <c r="K439" s="1041"/>
      <c r="L439" s="1015"/>
      <c r="M439" s="934">
        <v>75</v>
      </c>
    </row>
    <row r="440" spans="1:13" s="1016" customFormat="1" ht="25.2" hidden="1" customHeight="1">
      <c r="A440" s="1086">
        <f t="shared" si="19"/>
        <v>0</v>
      </c>
      <c r="B440" s="1231" t="s">
        <v>1864</v>
      </c>
      <c r="C440" s="2844"/>
      <c r="D440" s="1043"/>
      <c r="E440" s="1012">
        <f>VLOOKUP($B440,DG!A:D,DG!$B$2,)</f>
        <v>0</v>
      </c>
      <c r="F440" s="1013" t="str">
        <f>VLOOKUP($B440,DG!A:D,DG!$C$2,)</f>
        <v>Co  90 độ PVC 114</v>
      </c>
      <c r="G440" s="1012" t="str">
        <f>VLOOKUP($B440,DG!A:D,DG!$D$2,)</f>
        <v>cái</v>
      </c>
      <c r="H440" s="1100">
        <f>2*H427</f>
        <v>0</v>
      </c>
      <c r="I440" s="1192">
        <f t="shared" si="20"/>
        <v>0</v>
      </c>
      <c r="J440" s="1041"/>
      <c r="K440" s="1041"/>
      <c r="L440" s="1015"/>
      <c r="M440" s="934">
        <v>75</v>
      </c>
    </row>
    <row r="441" spans="1:13" s="1016" customFormat="1" ht="25.2" hidden="1" customHeight="1">
      <c r="A441" s="1086">
        <f t="shared" si="19"/>
        <v>0</v>
      </c>
      <c r="B441" s="1231" t="s">
        <v>688</v>
      </c>
      <c r="C441" s="2844"/>
      <c r="D441" s="1043"/>
      <c r="E441" s="1012">
        <f>VLOOKUP($B441,DG!A:D,DG!$B$2,)</f>
        <v>0</v>
      </c>
      <c r="F441" s="1013" t="str">
        <f>VLOOKUP($B441,DG!A:D,DG!$C$2,)</f>
        <v>Nối ống PVC 114</v>
      </c>
      <c r="G441" s="1012" t="str">
        <f>VLOOKUP($B441,DG!A:D,DG!$D$2,)</f>
        <v>cái</v>
      </c>
      <c r="H441" s="1100">
        <f>H427</f>
        <v>0</v>
      </c>
      <c r="I441" s="1192">
        <f t="shared" si="20"/>
        <v>0</v>
      </c>
      <c r="J441" s="1041"/>
      <c r="K441" s="1041"/>
      <c r="L441" s="1015"/>
      <c r="M441" s="934">
        <v>75</v>
      </c>
    </row>
    <row r="442" spans="1:13" s="1016" customFormat="1" ht="25.2" hidden="1" customHeight="1">
      <c r="A442" s="1086">
        <f t="shared" si="19"/>
        <v>0</v>
      </c>
      <c r="B442" s="1231" t="s">
        <v>2167</v>
      </c>
      <c r="C442" s="2844"/>
      <c r="D442" s="1043"/>
      <c r="E442" s="1012">
        <f>VLOOKUP($B442,DG!A:D,DG!$B$2,)</f>
        <v>0</v>
      </c>
      <c r="F442" s="1013" t="str">
        <f>VLOOKUP($B442,DG!A:D,DG!$C$2,)</f>
        <v>Khâu ven răng trong D114</v>
      </c>
      <c r="G442" s="1012" t="str">
        <f>VLOOKUP($B442,DG!A:D,DG!$D$2,)</f>
        <v>cái</v>
      </c>
      <c r="H442" s="1100">
        <f>H441*0</f>
        <v>0</v>
      </c>
      <c r="I442" s="1192">
        <f t="shared" si="20"/>
        <v>0</v>
      </c>
      <c r="J442" s="1041"/>
      <c r="K442" s="1041"/>
      <c r="L442" s="1015"/>
      <c r="M442" s="934">
        <v>75</v>
      </c>
    </row>
    <row r="443" spans="1:13" s="1016" customFormat="1" ht="25.2" hidden="1" customHeight="1">
      <c r="A443" s="1086">
        <f t="shared" si="19"/>
        <v>0</v>
      </c>
      <c r="B443" s="1231" t="s">
        <v>2168</v>
      </c>
      <c r="C443" s="2844"/>
      <c r="D443" s="1043"/>
      <c r="E443" s="1012">
        <f>VLOOKUP($B443,DG!A:D,DG!$B$2,)</f>
        <v>0</v>
      </c>
      <c r="F443" s="1013" t="str">
        <f>VLOOKUP($B443,DG!A:D,DG!$C$2,)</f>
        <v>Khâu ven răng ngoài D114</v>
      </c>
      <c r="G443" s="1012" t="str">
        <f>VLOOKUP($B443,DG!A:D,DG!$D$2,)</f>
        <v>cái</v>
      </c>
      <c r="H443" s="1100">
        <f>H442*0</f>
        <v>0</v>
      </c>
      <c r="I443" s="1192">
        <f t="shared" si="20"/>
        <v>0</v>
      </c>
      <c r="J443" s="1041"/>
      <c r="K443" s="1041"/>
      <c r="L443" s="1015"/>
      <c r="M443" s="934">
        <v>75</v>
      </c>
    </row>
    <row r="444" spans="1:13" s="1016" customFormat="1" ht="25.2" hidden="1" customHeight="1">
      <c r="A444" s="1086">
        <f t="shared" si="19"/>
        <v>0</v>
      </c>
      <c r="B444" s="1231" t="s">
        <v>2074</v>
      </c>
      <c r="C444" s="2844"/>
      <c r="D444" s="1043"/>
      <c r="E444" s="1012">
        <f>VLOOKUP($B444,DG!A:D,DG!$B$2,)</f>
        <v>0</v>
      </c>
      <c r="F444" s="1013" t="str">
        <f>VLOOKUP($B444,DG!A:D,DG!$C$2,)</f>
        <v>Keo dán ống PVC (100gr)</v>
      </c>
      <c r="G444" s="1012" t="str">
        <f>VLOOKUP($B444,DG!A:D,DG!$D$2,)</f>
        <v>tuýp</v>
      </c>
      <c r="H444" s="1100">
        <f>H427</f>
        <v>0</v>
      </c>
      <c r="I444" s="1192">
        <f t="shared" si="20"/>
        <v>0</v>
      </c>
      <c r="J444" s="1041"/>
      <c r="K444" s="1041"/>
      <c r="L444" s="1015"/>
      <c r="M444" s="934">
        <v>75</v>
      </c>
    </row>
    <row r="445" spans="1:13" s="1016" customFormat="1" ht="25.2" hidden="1" customHeight="1">
      <c r="A445" s="1086">
        <f t="shared" si="19"/>
        <v>0</v>
      </c>
      <c r="B445" s="1231" t="s">
        <v>489</v>
      </c>
      <c r="C445" s="2844"/>
      <c r="D445" s="1043"/>
      <c r="E445" s="1012">
        <f>VLOOKUP($B445,DG!A:D,DG!$B$2,)</f>
        <v>0</v>
      </c>
      <c r="F445" s="1013" t="str">
        <f>VLOOKUP($B445,DG!A:D,DG!$C$2,)</f>
        <v>Keo silicon bít miệng ống</v>
      </c>
      <c r="G445" s="1012" t="str">
        <f>VLOOKUP($B445,DG!A:D,DG!$D$2,)</f>
        <v>ống</v>
      </c>
      <c r="H445" s="1100">
        <f>H427</f>
        <v>0</v>
      </c>
      <c r="I445" s="1192">
        <f t="shared" si="20"/>
        <v>0</v>
      </c>
      <c r="J445" s="1041"/>
      <c r="K445" s="1041"/>
      <c r="L445" s="1015"/>
      <c r="M445" s="934">
        <v>75</v>
      </c>
    </row>
    <row r="446" spans="1:13" s="1016" customFormat="1" ht="25.2" hidden="1" customHeight="1">
      <c r="A446" s="1086">
        <f t="shared" si="19"/>
        <v>0</v>
      </c>
      <c r="B446" s="1087" t="s">
        <v>672</v>
      </c>
      <c r="C446" s="2842"/>
      <c r="D446" s="1043"/>
      <c r="E446" s="1121"/>
      <c r="F446" s="1013" t="str">
        <f>VLOOKUP($B446,DG!A:D,DG!$C$2,)</f>
        <v>Băng keo cách điện</v>
      </c>
      <c r="G446" s="1012" t="str">
        <f>VLOOKUP($B446,DG!A:D,DG!$D$2,)</f>
        <v>cuộn</v>
      </c>
      <c r="H446" s="1100">
        <f>H427</f>
        <v>0</v>
      </c>
      <c r="I446" s="1192">
        <f t="shared" si="20"/>
        <v>0</v>
      </c>
      <c r="J446" s="1041"/>
      <c r="K446" s="1041"/>
      <c r="L446" s="1015"/>
      <c r="M446" s="934">
        <v>75</v>
      </c>
    </row>
    <row r="447" spans="1:13" s="1016" customFormat="1" ht="25.2" hidden="1" customHeight="1">
      <c r="A447" s="1086">
        <f t="shared" si="19"/>
        <v>0</v>
      </c>
      <c r="B447" s="1231" t="s">
        <v>1863</v>
      </c>
      <c r="C447" s="2844"/>
      <c r="D447" s="1043"/>
      <c r="E447" s="1012" t="str">
        <f>VLOOKUP($B447,DG!A:D,DG!$B$2,)</f>
        <v>07,2407</v>
      </c>
      <c r="F447" s="1013" t="str">
        <f>VLOOKUP($B447,DG!A:D,DG!$C$2,)</f>
        <v>Lắp ống nhựa PVC D114</v>
      </c>
      <c r="G447" s="1012" t="str">
        <f>VLOOKUP($B447,DG!A:D,DG!$D$2,)</f>
        <v>mét</v>
      </c>
      <c r="H447" s="1100">
        <f>H436</f>
        <v>0</v>
      </c>
      <c r="I447" s="1192">
        <f t="shared" si="20"/>
        <v>0</v>
      </c>
      <c r="J447" s="1041"/>
      <c r="K447" s="1041"/>
      <c r="L447" s="1015"/>
      <c r="M447" s="934">
        <v>75</v>
      </c>
    </row>
    <row r="448" spans="1:13" s="1016" customFormat="1" ht="25.2" hidden="1" customHeight="1">
      <c r="A448" s="1086">
        <f t="shared" si="19"/>
        <v>0</v>
      </c>
      <c r="B448" s="1087" t="s">
        <v>1525</v>
      </c>
      <c r="C448" s="2842"/>
      <c r="D448" s="1043"/>
      <c r="E448" s="1012" t="str">
        <f>VLOOKUP($B448,DG!A:D,DG!$B$2,)</f>
        <v>04.4201</v>
      </c>
      <c r="F448" s="1013" t="str">
        <f>VLOOKUP($B448,DG!A:D,DG!$C$2,)</f>
        <v>Lắp cáp đồng xuống thiết bị D ≤ 95mm2</v>
      </c>
      <c r="G448" s="1012" t="str">
        <f>VLOOKUP($B448,DG!A:D,DG!$D$2,)</f>
        <v>m</v>
      </c>
      <c r="H448" s="1100">
        <f>H429+H430</f>
        <v>0</v>
      </c>
      <c r="I448" s="1192">
        <f t="shared" si="20"/>
        <v>0</v>
      </c>
      <c r="J448" s="1041"/>
      <c r="K448" s="1041"/>
      <c r="L448" s="1015"/>
      <c r="M448" s="934">
        <v>75</v>
      </c>
    </row>
    <row r="449" spans="1:14" s="1016" customFormat="1" ht="25.2" hidden="1" customHeight="1">
      <c r="A449" s="1086">
        <f t="shared" si="19"/>
        <v>0</v>
      </c>
      <c r="B449" s="1231" t="s">
        <v>289</v>
      </c>
      <c r="C449" s="2844"/>
      <c r="D449" s="1103">
        <f>IF(H449&gt;0,D427+1,D427)</f>
        <v>0</v>
      </c>
      <c r="E449" s="1122"/>
      <c r="F449" s="1013" t="str">
        <f>VLOOKUP($B449,DG!A:D,DG!$C$2,)</f>
        <v>Bảng tên trạm, bảng báo nguy hiểm + đinh vít</v>
      </c>
      <c r="G449" s="1012" t="str">
        <f>VLOOKUP($B449,DG!A:D,DG!$D$2,)</f>
        <v>bộ</v>
      </c>
      <c r="H449" s="1708">
        <f>H394</f>
        <v>0</v>
      </c>
      <c r="I449" s="1192">
        <f t="shared" si="20"/>
        <v>0</v>
      </c>
      <c r="J449" s="1041"/>
      <c r="K449" s="1041"/>
      <c r="L449" s="1031"/>
      <c r="M449" s="934">
        <v>75</v>
      </c>
    </row>
    <row r="450" spans="1:14" s="1016" customFormat="1" ht="25.2" hidden="1" customHeight="1">
      <c r="A450" s="1086">
        <f t="shared" si="19"/>
        <v>0</v>
      </c>
      <c r="B450" s="1226"/>
      <c r="C450" s="2841"/>
      <c r="D450" s="1123"/>
      <c r="E450" s="1124"/>
      <c r="F450" s="1003"/>
      <c r="G450" s="1125"/>
      <c r="H450" s="1709"/>
      <c r="I450" s="1192">
        <f t="shared" si="20"/>
        <v>0</v>
      </c>
      <c r="J450" s="1126"/>
      <c r="K450" s="1127"/>
      <c r="L450" s="1069"/>
      <c r="M450" s="934"/>
    </row>
    <row r="451" spans="1:14" s="1016" customFormat="1" ht="25.2" hidden="1" customHeight="1">
      <c r="A451" s="1086">
        <f t="shared" si="19"/>
        <v>0</v>
      </c>
      <c r="B451" s="1226"/>
      <c r="C451" s="2841"/>
      <c r="D451" s="1094"/>
      <c r="E451" s="1133"/>
      <c r="F451" s="1134"/>
      <c r="H451" s="1735"/>
      <c r="I451" s="1192">
        <f t="shared" si="20"/>
        <v>0</v>
      </c>
      <c r="M451" s="934"/>
    </row>
    <row r="452" spans="1:14" s="1016" customFormat="1" ht="25.2" hidden="1" customHeight="1">
      <c r="A452" s="1086">
        <f t="shared" si="19"/>
        <v>0</v>
      </c>
      <c r="B452" s="1221"/>
      <c r="C452" s="2845"/>
      <c r="D452" s="1067" t="str">
        <f>"BAÛNG TOÅNG HÔÏP VAÄT LIEÄU, NHAÂN COÂNG, MAÙY THI COÂNG : "&amp;I11&amp;   "TRAÏM_1P100KVA  CAÙP XUAÁT 1P 2W"</f>
        <v>BAÛNG TOÅNG HÔÏP VAÄT LIEÄU, NHAÂN COÂNG, MAÙY THI COÂNG : TRAÏM_1P100KVA  CAÙP XUAÁT 1P 2W</v>
      </c>
      <c r="E452" s="1128"/>
      <c r="F452" s="1033"/>
      <c r="G452" s="1033"/>
      <c r="H452" s="1710"/>
      <c r="I452" s="1192">
        <f t="shared" si="20"/>
        <v>0</v>
      </c>
      <c r="J452" s="1033"/>
      <c r="K452" s="1033"/>
      <c r="L452" s="934"/>
      <c r="M452" s="934"/>
    </row>
    <row r="453" spans="1:14" s="1016" customFormat="1" ht="25.2" hidden="1" customHeight="1">
      <c r="A453" s="1086">
        <f t="shared" si="19"/>
        <v>0</v>
      </c>
      <c r="B453" s="1226"/>
      <c r="C453" s="2841"/>
      <c r="D453" s="1089"/>
      <c r="E453" s="1090"/>
      <c r="F453" s="1003" t="s">
        <v>3672</v>
      </c>
      <c r="G453" s="1092"/>
      <c r="H453" s="1706"/>
      <c r="I453" s="1192">
        <f t="shared" si="20"/>
        <v>0</v>
      </c>
      <c r="J453" s="1092"/>
      <c r="K453" s="1092"/>
      <c r="L453" s="1069"/>
      <c r="M453" s="934">
        <v>100</v>
      </c>
    </row>
    <row r="454" spans="1:14" s="1016" customFormat="1" ht="25.2" hidden="1" customHeight="1">
      <c r="A454" s="1086">
        <f t="shared" si="19"/>
        <v>0</v>
      </c>
      <c r="B454" s="1227" t="s">
        <v>503</v>
      </c>
      <c r="C454" s="2840"/>
      <c r="D454" s="1023">
        <f>IF(H454&gt;0,1,0)</f>
        <v>0</v>
      </c>
      <c r="E454" s="1012" t="str">
        <f>VLOOKUP($B454,DG!A:D,DG!$B$2,)</f>
        <v>01.1164</v>
      </c>
      <c r="F454" s="1013" t="str">
        <f>VLOOKUP($B454,DG!A:D,DG!$C$2,)</f>
        <v>Máy biến áp 12,7/0,22-0,44kV  100kVA</v>
      </c>
      <c r="G454" s="1012" t="str">
        <f>VLOOKUP($B454,DG!A:D,DG!$D$2,)</f>
        <v>máy</v>
      </c>
      <c r="H454" s="1711">
        <f>I11</f>
        <v>0</v>
      </c>
      <c r="I454" s="1192">
        <f t="shared" si="20"/>
        <v>0</v>
      </c>
      <c r="J454" s="1041"/>
      <c r="K454" s="1041"/>
      <c r="L454" s="1015"/>
      <c r="M454" s="934">
        <v>100</v>
      </c>
    </row>
    <row r="455" spans="1:14" s="1016" customFormat="1" ht="25.2" hidden="1" customHeight="1">
      <c r="A455" s="1086">
        <f t="shared" si="19"/>
        <v>0</v>
      </c>
      <c r="B455" s="1227" t="s">
        <v>1652</v>
      </c>
      <c r="C455" s="2840"/>
      <c r="D455" s="1023">
        <f t="shared" ref="D455:D462" si="21">IF(H455&gt;0,D454+1,D454)</f>
        <v>0</v>
      </c>
      <c r="E455" s="1012" t="str">
        <f>VLOOKUP($B455,DG!A:D,DG!$B$2,)</f>
        <v>02.3155</v>
      </c>
      <c r="F455" s="1013" t="str">
        <f>VLOOKUP($B455,DG!A:D,DG!$C$2,)</f>
        <v>FCO 24kV - 100A</v>
      </c>
      <c r="G455" s="1012" t="str">
        <f>VLOOKUP($B455,DG!A:D,DG!$D$2,)</f>
        <v>cái</v>
      </c>
      <c r="H455" s="1100">
        <f>H454</f>
        <v>0</v>
      </c>
      <c r="I455" s="1192">
        <f t="shared" si="20"/>
        <v>0</v>
      </c>
      <c r="J455" s="1041"/>
      <c r="K455" s="1041"/>
      <c r="L455" s="1015"/>
      <c r="M455" s="934">
        <v>100</v>
      </c>
    </row>
    <row r="456" spans="1:14" s="1016" customFormat="1" ht="25.2" hidden="1" customHeight="1">
      <c r="A456" s="1086">
        <f t="shared" si="19"/>
        <v>0</v>
      </c>
      <c r="B456" s="1227" t="s">
        <v>1146</v>
      </c>
      <c r="C456" s="2840"/>
      <c r="D456" s="1023">
        <f t="shared" si="21"/>
        <v>0</v>
      </c>
      <c r="E456" s="1012">
        <f>VLOOKUP($B456,DG!A:D,DG!$B$2,)</f>
        <v>0</v>
      </c>
      <c r="F456" s="1013" t="str">
        <f>VLOOKUP($B456,DG!A:D,DG!$C$2,)</f>
        <v>Dây chảy 10K</v>
      </c>
      <c r="G456" s="1012" t="str">
        <f>VLOOKUP($B456,DG!A:D,DG!$D$2,)</f>
        <v>Sợi</v>
      </c>
      <c r="H456" s="1100">
        <f>H455</f>
        <v>0</v>
      </c>
      <c r="I456" s="1192">
        <f t="shared" si="20"/>
        <v>0</v>
      </c>
      <c r="J456" s="1041"/>
      <c r="K456" s="1041"/>
      <c r="L456" s="1015"/>
      <c r="M456" s="934">
        <v>100</v>
      </c>
    </row>
    <row r="457" spans="1:14" s="1016" customFormat="1" ht="25.2" hidden="1" customHeight="1">
      <c r="A457" s="1086">
        <f t="shared" si="19"/>
        <v>0</v>
      </c>
      <c r="B457" s="1221" t="s">
        <v>1373</v>
      </c>
      <c r="C457" s="2845"/>
      <c r="D457" s="1023">
        <f t="shared" si="21"/>
        <v>0</v>
      </c>
      <c r="E457" s="1012" t="str">
        <f>VLOOKUP($B457,DG!A:D,DG!$B$2,)</f>
        <v>02.5114</v>
      </c>
      <c r="F457" s="1013" t="str">
        <f>VLOOKUP($B457,DG!A:D,DG!$C$2,)</f>
        <v>Chống sét van LA-18KV-10KA</v>
      </c>
      <c r="G457" s="1012" t="str">
        <f>VLOOKUP($B457,DG!A:D,DG!$D$2,)</f>
        <v>cái</v>
      </c>
      <c r="H457" s="1100">
        <f>H456</f>
        <v>0</v>
      </c>
      <c r="I457" s="1192">
        <f t="shared" si="20"/>
        <v>0</v>
      </c>
      <c r="J457" s="1041"/>
      <c r="K457" s="1041"/>
      <c r="L457" s="1015"/>
      <c r="M457" s="934">
        <v>100</v>
      </c>
    </row>
    <row r="458" spans="1:14" s="1016" customFormat="1" ht="25.2" hidden="1" customHeight="1">
      <c r="A458" s="1086">
        <f t="shared" si="19"/>
        <v>0</v>
      </c>
      <c r="B458" s="1228" t="s">
        <v>1116</v>
      </c>
      <c r="C458" s="2840"/>
      <c r="D458" s="1023">
        <f t="shared" si="21"/>
        <v>0</v>
      </c>
      <c r="E458" s="1012">
        <f>VLOOKUP($B458,DG!A:D,DG!$B$2,)</f>
        <v>0</v>
      </c>
      <c r="F458" s="1013" t="str">
        <f>VLOOKUP($B458,DG!A:D,DG!$C$2,)</f>
        <v xml:space="preserve">Biến dòng 600V - 200/5A </v>
      </c>
      <c r="G458" s="1012" t="str">
        <f>VLOOKUP($B458,DG!A:D,DG!$D$2,)</f>
        <v>cái</v>
      </c>
      <c r="H458" s="1100"/>
      <c r="I458" s="1192">
        <f t="shared" si="20"/>
        <v>0</v>
      </c>
      <c r="J458" s="1041"/>
      <c r="K458" s="1041"/>
      <c r="L458" s="1015"/>
      <c r="M458" s="934">
        <v>100</v>
      </c>
    </row>
    <row r="459" spans="1:14" s="1016" customFormat="1" ht="25.2" hidden="1" customHeight="1">
      <c r="A459" s="1086">
        <f t="shared" si="19"/>
        <v>0</v>
      </c>
      <c r="B459" s="1229" t="s">
        <v>1459</v>
      </c>
      <c r="C459" s="2842"/>
      <c r="D459" s="1023">
        <f t="shared" si="21"/>
        <v>0</v>
      </c>
      <c r="E459" s="1012" t="str">
        <f>VLOOKUP($B459,DG!A:D,DG!$B$2,)</f>
        <v>02.8403</v>
      </c>
      <c r="F459" s="1013" t="str">
        <f>VLOOKUP($B459,DG!A:D,DG!$C$2,)</f>
        <v>MCCB 3 cực 400V -500A - 50KA</v>
      </c>
      <c r="G459" s="1012" t="str">
        <f>VLOOKUP($B459,DG!A:D,DG!$D$2,)</f>
        <v>cái</v>
      </c>
      <c r="H459" s="1100">
        <f>H454</f>
        <v>0</v>
      </c>
      <c r="I459" s="1192">
        <f t="shared" si="20"/>
        <v>0</v>
      </c>
      <c r="J459" s="1041"/>
      <c r="K459" s="1041"/>
      <c r="L459" s="1043"/>
      <c r="M459" s="934">
        <v>100</v>
      </c>
    </row>
    <row r="460" spans="1:14" s="1016" customFormat="1" ht="25.2" hidden="1" customHeight="1">
      <c r="A460" s="1086">
        <f t="shared" si="19"/>
        <v>0</v>
      </c>
      <c r="B460" s="1233" t="s">
        <v>287</v>
      </c>
      <c r="C460" s="2843"/>
      <c r="D460" s="1023">
        <f t="shared" si="21"/>
        <v>1</v>
      </c>
      <c r="E460" s="1012">
        <f>VLOOKUP($B460,DG!A:D,DG!$B$2,)</f>
        <v>0</v>
      </c>
      <c r="F460" s="1013" t="str">
        <f>VLOOKUP($B460,DG!A:D,DG!$C$2,)</f>
        <v>Điện kế 1 pha 2 dây 220V-5A</v>
      </c>
      <c r="G460" s="1012" t="str">
        <f>VLOOKUP($B460,DG!A:D,DG!$D$2,)</f>
        <v>cái</v>
      </c>
      <c r="H460" s="1100">
        <v>1</v>
      </c>
      <c r="I460" s="1192">
        <f t="shared" si="20"/>
        <v>0</v>
      </c>
      <c r="J460" s="1041"/>
      <c r="K460" s="1041"/>
      <c r="L460" s="1043" t="s">
        <v>2601</v>
      </c>
      <c r="M460" s="934">
        <v>100</v>
      </c>
      <c r="N460" s="1016">
        <f>100/0.2</f>
        <v>500</v>
      </c>
    </row>
    <row r="461" spans="1:14" s="1016" customFormat="1" ht="25.2" hidden="1" customHeight="1">
      <c r="A461" s="1086">
        <f t="shared" si="19"/>
        <v>0</v>
      </c>
      <c r="B461" s="1226" t="s">
        <v>199</v>
      </c>
      <c r="C461" s="2841"/>
      <c r="D461" s="1023">
        <f t="shared" si="21"/>
        <v>1</v>
      </c>
      <c r="E461" s="1012">
        <f>VLOOKUP($B461,DG!A:D,DG!$B$2,)</f>
        <v>0</v>
      </c>
      <c r="F461" s="1013" t="str">
        <f>VLOOKUP($B461,DG!A:D,DG!$C$2,)</f>
        <v xml:space="preserve">Ampe kế 100/5A-600v +AS </v>
      </c>
      <c r="G461" s="1012" t="str">
        <f>VLOOKUP($B461,DG!A:D,DG!$D$2,)</f>
        <v>Bộ</v>
      </c>
      <c r="H461" s="1100">
        <f>H460*0</f>
        <v>0</v>
      </c>
      <c r="I461" s="1192">
        <f t="shared" si="20"/>
        <v>0</v>
      </c>
      <c r="J461" s="1041"/>
      <c r="K461" s="1041"/>
      <c r="L461" s="1015"/>
      <c r="M461" s="934">
        <v>100</v>
      </c>
    </row>
    <row r="462" spans="1:14" s="1016" customFormat="1" ht="25.2" hidden="1" customHeight="1">
      <c r="A462" s="1086">
        <f t="shared" si="19"/>
        <v>0</v>
      </c>
      <c r="B462" s="1226" t="s">
        <v>200</v>
      </c>
      <c r="C462" s="2841"/>
      <c r="D462" s="1023">
        <f t="shared" si="21"/>
        <v>1</v>
      </c>
      <c r="E462" s="1012">
        <f>VLOOKUP($B462,DG!A:D,DG!$B$2,)</f>
        <v>0</v>
      </c>
      <c r="F462" s="1013" t="str">
        <f>VLOOKUP($B462,DG!A:D,DG!$C$2,)</f>
        <v>Volt kế 500V + VS + 2xChì ống 1A-230V</v>
      </c>
      <c r="G462" s="1012" t="str">
        <f>VLOOKUP($B462,DG!A:D,DG!$D$2,)</f>
        <v>Bộ</v>
      </c>
      <c r="H462" s="1100">
        <f>H461*0</f>
        <v>0</v>
      </c>
      <c r="I462" s="1192">
        <f t="shared" si="20"/>
        <v>0</v>
      </c>
      <c r="J462" s="1041"/>
      <c r="K462" s="1041"/>
      <c r="L462" s="1031"/>
      <c r="M462" s="934">
        <v>100</v>
      </c>
    </row>
    <row r="463" spans="1:14" s="1016" customFormat="1" ht="25.2" hidden="1" customHeight="1">
      <c r="A463" s="1086">
        <f t="shared" si="19"/>
        <v>0</v>
      </c>
      <c r="B463" s="1226"/>
      <c r="C463" s="2841"/>
      <c r="D463" s="1040"/>
      <c r="E463" s="1112"/>
      <c r="F463" s="1093"/>
      <c r="G463" s="1040"/>
      <c r="H463" s="1135"/>
      <c r="I463" s="1192">
        <f t="shared" si="20"/>
        <v>0</v>
      </c>
      <c r="J463" s="1093"/>
      <c r="K463" s="1040"/>
      <c r="L463" s="1069"/>
      <c r="M463" s="934">
        <v>100</v>
      </c>
    </row>
    <row r="464" spans="1:14" s="1016" customFormat="1" ht="25.2" hidden="1" customHeight="1">
      <c r="A464" s="1086">
        <f t="shared" si="19"/>
        <v>0</v>
      </c>
      <c r="B464" s="1226"/>
      <c r="C464" s="2841"/>
      <c r="D464" s="1114"/>
      <c r="E464" s="1115"/>
      <c r="F464" s="1003" t="s">
        <v>3673</v>
      </c>
      <c r="G464" s="1003"/>
      <c r="H464" s="1706"/>
      <c r="I464" s="1192">
        <f t="shared" si="20"/>
        <v>0</v>
      </c>
      <c r="J464" s="1003"/>
      <c r="K464" s="1003"/>
      <c r="L464" s="1069"/>
      <c r="M464" s="934">
        <v>100</v>
      </c>
    </row>
    <row r="465" spans="1:14" s="1016" customFormat="1" ht="25.2" hidden="1" customHeight="1">
      <c r="A465" s="1086">
        <f t="shared" si="19"/>
        <v>0</v>
      </c>
      <c r="B465" s="1226" t="s">
        <v>1610</v>
      </c>
      <c r="C465" s="2841"/>
      <c r="D465" s="1116">
        <f>IF(H477&gt;0,1,0)</f>
        <v>0</v>
      </c>
      <c r="E465" s="1118"/>
      <c r="F465" s="1013" t="str">
        <f>VLOOKUP($B465,DG!A:D,DG!$C$2,)</f>
        <v>Boulon 16x300+ 2 long đền vuông D18-50x50x3/Zn</v>
      </c>
      <c r="G465" s="1012" t="str">
        <f>VLOOKUP($B465,DG!A:D,DG!$D$2,)</f>
        <v>bộ</v>
      </c>
      <c r="H465" s="1707">
        <f>2*SUM(H454:H454)</f>
        <v>0</v>
      </c>
      <c r="I465" s="1192">
        <f t="shared" si="20"/>
        <v>0</v>
      </c>
      <c r="J465" s="1041"/>
      <c r="K465" s="1041"/>
      <c r="L465" s="1129"/>
      <c r="M465" s="934">
        <v>100</v>
      </c>
    </row>
    <row r="466" spans="1:14" s="1016" customFormat="1" ht="25.2" hidden="1" customHeight="1">
      <c r="A466" s="1086">
        <f t="shared" si="19"/>
        <v>0</v>
      </c>
      <c r="B466" s="1226"/>
      <c r="C466" s="2841"/>
      <c r="D466" s="1011">
        <f>IF(H466&gt;0,D465+1,D465)</f>
        <v>0</v>
      </c>
      <c r="E466" s="1118"/>
      <c r="F466" s="1119" t="s">
        <v>3674</v>
      </c>
      <c r="G466" s="1099" t="s">
        <v>2385</v>
      </c>
      <c r="H466" s="1707">
        <f>H454*0</f>
        <v>0</v>
      </c>
      <c r="I466" s="1192">
        <f t="shared" si="20"/>
        <v>0</v>
      </c>
      <c r="J466" s="1064"/>
      <c r="K466" s="1064"/>
      <c r="L466" s="1043"/>
      <c r="M466" s="934">
        <v>100</v>
      </c>
    </row>
    <row r="467" spans="1:14" s="1016" customFormat="1" ht="25.2" hidden="1" customHeight="1">
      <c r="A467" s="1086">
        <f t="shared" si="19"/>
        <v>0</v>
      </c>
      <c r="B467" s="1226"/>
      <c r="C467" s="2841"/>
      <c r="D467" s="1099"/>
      <c r="E467" s="1118"/>
      <c r="F467" s="1264" t="s">
        <v>2279</v>
      </c>
      <c r="G467" s="1043"/>
      <c r="H467" s="1100"/>
      <c r="I467" s="1192">
        <f t="shared" si="20"/>
        <v>0</v>
      </c>
      <c r="J467" s="1064"/>
      <c r="K467" s="1064"/>
      <c r="L467" s="1043"/>
      <c r="M467" s="934">
        <v>100</v>
      </c>
      <c r="N467" s="1120"/>
    </row>
    <row r="468" spans="1:14" s="1016" customFormat="1" ht="25.2" hidden="1" customHeight="1">
      <c r="A468" s="1086">
        <f t="shared" si="19"/>
        <v>0</v>
      </c>
      <c r="B468" s="1087" t="s">
        <v>115</v>
      </c>
      <c r="C468" s="2842"/>
      <c r="D468" s="1043"/>
      <c r="E468" s="1012">
        <f>VLOOKUP($B468,DG!A:D,DG!$B$2,)</f>
        <v>0</v>
      </c>
      <c r="F468" s="1013" t="str">
        <f>VLOOKUP($B468,DG!A:D,DG!$C$2,)</f>
        <v>Trụ BTLT 12m F540 dự ứng lực</v>
      </c>
      <c r="G468" s="1012" t="str">
        <f>VLOOKUP($B468,DG!A:D,DG!$D$2,)</f>
        <v>trụ</v>
      </c>
      <c r="H468" s="1100">
        <f>1*H466</f>
        <v>0</v>
      </c>
      <c r="I468" s="1192">
        <f t="shared" si="20"/>
        <v>0</v>
      </c>
      <c r="J468" s="1041"/>
      <c r="K468" s="1041"/>
      <c r="L468" s="1043"/>
      <c r="M468" s="934">
        <v>100</v>
      </c>
      <c r="N468" s="1120"/>
    </row>
    <row r="469" spans="1:14" s="1016" customFormat="1" ht="25.2" hidden="1" customHeight="1">
      <c r="A469" s="1086">
        <f t="shared" si="19"/>
        <v>0</v>
      </c>
      <c r="B469" s="1087" t="s">
        <v>1814</v>
      </c>
      <c r="C469" s="2842"/>
      <c r="D469" s="1043"/>
      <c r="E469" s="1121"/>
      <c r="F469" s="1013" t="str">
        <f>VLOOKUP($B469,DG!A:D,DG!$C$2,)</f>
        <v>Vật liệu dựng trụ</v>
      </c>
      <c r="G469" s="1012" t="str">
        <f>VLOOKUP($B469,DG!A:D,DG!$D$2,)</f>
        <v>trụ</v>
      </c>
      <c r="H469" s="1100">
        <f>H468</f>
        <v>0</v>
      </c>
      <c r="I469" s="1192">
        <f t="shared" si="20"/>
        <v>0</v>
      </c>
      <c r="J469" s="1041"/>
      <c r="K469" s="1041"/>
      <c r="L469" s="1043"/>
      <c r="M469" s="934">
        <v>100</v>
      </c>
      <c r="N469" s="1120"/>
    </row>
    <row r="470" spans="1:14" s="1016" customFormat="1" ht="25.2" hidden="1" customHeight="1">
      <c r="A470" s="1086">
        <f t="shared" si="19"/>
        <v>0</v>
      </c>
      <c r="B470" s="1087" t="s">
        <v>2126</v>
      </c>
      <c r="C470" s="2842"/>
      <c r="D470" s="1043"/>
      <c r="E470" s="1121"/>
      <c r="F470" s="1013" t="str">
        <f>VLOOKUP($B470,DG!A:D,DG!$C$2,)</f>
        <v>Dựng trụ BTLT 12m trong TBA bằng thủ công + cơ giới</v>
      </c>
      <c r="G470" s="1012" t="str">
        <f>VLOOKUP($B470,DG!A:D,DG!$D$2,)</f>
        <v>trụ</v>
      </c>
      <c r="H470" s="1100">
        <f>H468</f>
        <v>0</v>
      </c>
      <c r="I470" s="1192">
        <f t="shared" si="20"/>
        <v>0</v>
      </c>
      <c r="J470" s="1041"/>
      <c r="K470" s="1041"/>
      <c r="L470" s="1043"/>
      <c r="M470" s="934">
        <v>100</v>
      </c>
      <c r="N470" s="1120"/>
    </row>
    <row r="471" spans="1:14" s="1016" customFormat="1" ht="25.2" hidden="1" customHeight="1">
      <c r="A471" s="1086">
        <f t="shared" si="19"/>
        <v>0</v>
      </c>
      <c r="B471" s="1226"/>
      <c r="C471" s="2841"/>
      <c r="D471" s="1011">
        <f>IF(H471&gt;0,D466+1,D466)</f>
        <v>0</v>
      </c>
      <c r="E471" s="1118"/>
      <c r="F471" s="1119" t="s">
        <v>2352</v>
      </c>
      <c r="G471" s="1099" t="s">
        <v>2385</v>
      </c>
      <c r="H471" s="1707">
        <f>H466</f>
        <v>0</v>
      </c>
      <c r="I471" s="1192">
        <f t="shared" si="20"/>
        <v>0</v>
      </c>
      <c r="J471" s="1064"/>
      <c r="K471" s="1064"/>
      <c r="L471" s="1043"/>
      <c r="M471" s="934">
        <v>100</v>
      </c>
    </row>
    <row r="472" spans="1:14" s="1016" customFormat="1" ht="25.2" hidden="1" customHeight="1">
      <c r="A472" s="1086">
        <f t="shared" si="19"/>
        <v>0</v>
      </c>
      <c r="B472" s="1226"/>
      <c r="C472" s="2841"/>
      <c r="D472" s="1099"/>
      <c r="E472" s="1118"/>
      <c r="F472" s="1264" t="s">
        <v>2279</v>
      </c>
      <c r="G472" s="1043"/>
      <c r="H472" s="1100"/>
      <c r="I472" s="1192">
        <f t="shared" si="20"/>
        <v>0</v>
      </c>
      <c r="J472" s="1064"/>
      <c r="K472" s="1064"/>
      <c r="L472" s="1043"/>
      <c r="M472" s="934">
        <v>100</v>
      </c>
      <c r="N472" s="1120"/>
    </row>
    <row r="473" spans="1:14" s="1016" customFormat="1" ht="25.2" hidden="1" customHeight="1">
      <c r="A473" s="1086">
        <f t="shared" si="19"/>
        <v>0</v>
      </c>
      <c r="B473" s="1233" t="s">
        <v>636</v>
      </c>
      <c r="C473" s="2843"/>
      <c r="D473" s="1043"/>
      <c r="E473" s="1012" t="str">
        <f>VLOOKUP($B473,DG!A:D,DG!$B$2,)</f>
        <v>04.4001</v>
      </c>
      <c r="F473" s="1013" t="str">
        <f>VLOOKUP($B473,DG!A:D,DG!$C$2,)</f>
        <v>Đà cản BTCT 1,2m</v>
      </c>
      <c r="G473" s="1012" t="str">
        <f>VLOOKUP($B473,DG!A:D,DG!$D$2,)</f>
        <v>cái</v>
      </c>
      <c r="H473" s="1100">
        <f>1*H471</f>
        <v>0</v>
      </c>
      <c r="I473" s="1192">
        <f t="shared" si="20"/>
        <v>0</v>
      </c>
      <c r="J473" s="1041"/>
      <c r="K473" s="1041"/>
      <c r="L473" s="1043"/>
      <c r="M473" s="934">
        <v>100</v>
      </c>
      <c r="N473" s="1120"/>
    </row>
    <row r="474" spans="1:14" s="1016" customFormat="1" ht="25.2" hidden="1" customHeight="1">
      <c r="A474" s="1086">
        <f t="shared" ref="A474:A537" si="22">IF(AND(M474=$M$23,I474&gt;0),1,0)</f>
        <v>0</v>
      </c>
      <c r="B474" s="1233" t="s">
        <v>566</v>
      </c>
      <c r="C474" s="2843"/>
      <c r="D474" s="1043"/>
      <c r="E474" s="1012">
        <f>VLOOKUP($B474,DG!A:D,DG!$B$2,)</f>
        <v>0</v>
      </c>
      <c r="F474" s="1013" t="str">
        <f>VLOOKUP($B474,DG!A:D,DG!$C$2,)</f>
        <v>Boulon 22x650+ 2 long đền vuông D24-50x50x3/Zn</v>
      </c>
      <c r="G474" s="1012" t="str">
        <f>VLOOKUP($B474,DG!A:D,DG!$D$2,)</f>
        <v>bộ</v>
      </c>
      <c r="H474" s="1100">
        <f>H471</f>
        <v>0</v>
      </c>
      <c r="I474" s="1192">
        <f t="shared" si="20"/>
        <v>0</v>
      </c>
      <c r="J474" s="1041"/>
      <c r="K474" s="1041"/>
      <c r="L474" s="1043"/>
      <c r="M474" s="934">
        <v>100</v>
      </c>
      <c r="N474" s="1120"/>
    </row>
    <row r="475" spans="1:14" s="1016" customFormat="1" ht="25.2" hidden="1" customHeight="1">
      <c r="A475" s="1086">
        <f t="shared" si="22"/>
        <v>0</v>
      </c>
      <c r="B475" s="1233" t="str">
        <f>IF(chitiet!G5=1,"MDD1",IF(chitiet!G5=2,"MDD2",IF(chitiet!G5=3,"MDD3",IF(chitiet!G5=4,"MDD4"))))</f>
        <v>MDD3</v>
      </c>
      <c r="C475" s="2843"/>
      <c r="D475" s="1043"/>
      <c r="E475" s="1012" t="str">
        <f>VLOOKUP($B475,DG!A:D,DG!$B$2,)</f>
        <v>03.1013</v>
      </c>
      <c r="F475" s="1013" t="str">
        <f>VLOOKUP($B475,DG!A:D,DG!$C$2,)</f>
        <v>Đào hố móng đất cấp 3 sâu &gt;1m</v>
      </c>
      <c r="G475" s="1012" t="str">
        <f>VLOOKUP($B475,DG!A:D,DG!$D$2,)</f>
        <v>m3</v>
      </c>
      <c r="H475" s="1100">
        <f>H471*1.45</f>
        <v>0</v>
      </c>
      <c r="I475" s="1192">
        <f t="shared" si="20"/>
        <v>0</v>
      </c>
      <c r="J475" s="1041"/>
      <c r="K475" s="1041"/>
      <c r="L475" s="1043"/>
      <c r="M475" s="934">
        <v>100</v>
      </c>
      <c r="N475" s="1120"/>
    </row>
    <row r="476" spans="1:14" s="1016" customFormat="1" ht="25.2" hidden="1" customHeight="1">
      <c r="A476" s="1086">
        <f t="shared" si="22"/>
        <v>0</v>
      </c>
      <c r="B476" s="1233" t="str">
        <f>IF(chitiet!G5=1,"MDAP1",IF(chitiet!G5=2,"MDAP2",IF(chitiet!G5=3,"MDAP3",IF(chitiet!G5=4,"MDAP4"))))</f>
        <v>MDAP3</v>
      </c>
      <c r="C476" s="2843"/>
      <c r="D476" s="1043"/>
      <c r="E476" s="1012" t="str">
        <f>VLOOKUP($B476,DG!A:D,DG!$B$2,)</f>
        <v>03.4113</v>
      </c>
      <c r="F476" s="1013" t="str">
        <f>VLOOKUP($B476,DG!A:D,DG!$C$2,)</f>
        <v>Đắp đất hố móng, độ chặt k=0,95</v>
      </c>
      <c r="G476" s="1012" t="str">
        <f>VLOOKUP($B476,DG!A:D,DG!$D$2,)</f>
        <v>m3</v>
      </c>
      <c r="H476" s="1100">
        <f>H471*1.37</f>
        <v>0</v>
      </c>
      <c r="I476" s="1192">
        <f t="shared" si="20"/>
        <v>0</v>
      </c>
      <c r="J476" s="1041"/>
      <c r="K476" s="1041"/>
      <c r="L476" s="1043"/>
      <c r="M476" s="934">
        <v>100</v>
      </c>
      <c r="N476" s="1120"/>
    </row>
    <row r="477" spans="1:14" s="1016" customFormat="1" ht="25.2" hidden="1" customHeight="1">
      <c r="A477" s="1086">
        <f t="shared" si="22"/>
        <v>0</v>
      </c>
      <c r="B477" s="1226"/>
      <c r="C477" s="2841"/>
      <c r="D477" s="1011">
        <f>IF(H477&gt;0,D471+1,D471)</f>
        <v>0</v>
      </c>
      <c r="E477" s="1118"/>
      <c r="F477" s="1130" t="s">
        <v>3675</v>
      </c>
      <c r="G477" s="1099" t="s">
        <v>2385</v>
      </c>
      <c r="H477" s="1707">
        <f>SUM(H454:H454)</f>
        <v>0</v>
      </c>
      <c r="I477" s="1192">
        <f t="shared" si="20"/>
        <v>0</v>
      </c>
      <c r="J477" s="1041"/>
      <c r="K477" s="1041"/>
      <c r="L477" s="1015"/>
      <c r="M477" s="934">
        <v>100</v>
      </c>
    </row>
    <row r="478" spans="1:14" s="1016" customFormat="1" ht="25.2" hidden="1" customHeight="1">
      <c r="A478" s="1086">
        <f t="shared" si="22"/>
        <v>0</v>
      </c>
      <c r="B478" s="1226"/>
      <c r="C478" s="2841"/>
      <c r="D478" s="1099"/>
      <c r="E478" s="1118"/>
      <c r="F478" s="1265" t="s">
        <v>2279</v>
      </c>
      <c r="G478" s="1043"/>
      <c r="H478" s="1100"/>
      <c r="I478" s="1192">
        <f t="shared" si="20"/>
        <v>0</v>
      </c>
      <c r="J478" s="1041"/>
      <c r="K478" s="1041"/>
      <c r="L478" s="1015"/>
      <c r="M478" s="934">
        <v>100</v>
      </c>
    </row>
    <row r="479" spans="1:14" s="1016" customFormat="1" ht="25.2" hidden="1" customHeight="1">
      <c r="A479" s="1086">
        <f t="shared" si="22"/>
        <v>0</v>
      </c>
      <c r="B479" s="1226" t="s">
        <v>362</v>
      </c>
      <c r="C479" s="2841"/>
      <c r="D479" s="1043"/>
      <c r="E479" s="1012">
        <f>VLOOKUP($B479,DG!A:D,DG!$B$2,)</f>
        <v>0</v>
      </c>
      <c r="F479" s="1013" t="str">
        <f>VLOOKUP($B479,DG!A:D,DG!$C$2,)</f>
        <v>Xà composite 110x800x5</v>
      </c>
      <c r="G479" s="1012" t="str">
        <f>VLOOKUP($B479,DG!A:D,DG!$D$2,)</f>
        <v>cái</v>
      </c>
      <c r="H479" s="1100">
        <v>1</v>
      </c>
      <c r="I479" s="1192">
        <f>IF(M479=$M$23,H479+J479-K479,0)</f>
        <v>0</v>
      </c>
      <c r="J479" s="1041"/>
      <c r="K479" s="1041"/>
      <c r="L479" s="1015"/>
      <c r="M479" s="934">
        <v>100</v>
      </c>
    </row>
    <row r="480" spans="1:14" s="1016" customFormat="1" ht="25.2" hidden="1" customHeight="1">
      <c r="A480" s="1086">
        <f t="shared" si="22"/>
        <v>0</v>
      </c>
      <c r="B480" s="1226" t="s">
        <v>4729</v>
      </c>
      <c r="C480" s="2841"/>
      <c r="D480" s="1043"/>
      <c r="E480" s="1012">
        <f>VLOOKUP($B480,DG!A:D,DG!$B$2,)</f>
        <v>0</v>
      </c>
      <c r="F480" s="1013" t="str">
        <f>VLOOKUP($B480,DG!A:D,DG!$C$2,)</f>
        <v>Thanh chống Composite 10x40x720</v>
      </c>
      <c r="G480" s="1012" t="str">
        <f>VLOOKUP($B480,DG!A:D,DG!$D$2,)</f>
        <v>cái</v>
      </c>
      <c r="H480" s="1100">
        <v>1</v>
      </c>
      <c r="I480" s="1192">
        <f>IF(M480=$M$23,H480+J480-K480,0)</f>
        <v>0</v>
      </c>
      <c r="J480" s="1041"/>
      <c r="K480" s="1041"/>
      <c r="L480" s="1015"/>
      <c r="M480" s="934">
        <v>100</v>
      </c>
    </row>
    <row r="481" spans="1:13" s="1016" customFormat="1" ht="25.2" hidden="1" customHeight="1">
      <c r="A481" s="1086">
        <f t="shared" si="22"/>
        <v>0</v>
      </c>
      <c r="B481" s="1226" t="s">
        <v>2271</v>
      </c>
      <c r="C481" s="2841"/>
      <c r="D481" s="1043"/>
      <c r="E481" s="1012">
        <f>VLOOKUP($B481,DG!A:D,DG!$B$2,)</f>
        <v>0</v>
      </c>
      <c r="F481" s="1013" t="str">
        <f>VLOOKUP($B481,DG!A:D,DG!$C$2,)</f>
        <v>Bass LL bắt FCO, LA</v>
      </c>
      <c r="G481" s="1012" t="str">
        <f>VLOOKUP($B481,DG!A:D,DG!$D$2,)</f>
        <v>bộ</v>
      </c>
      <c r="H481" s="1100">
        <v>1</v>
      </c>
      <c r="I481" s="1192">
        <f t="shared" si="20"/>
        <v>0</v>
      </c>
      <c r="J481" s="1041"/>
      <c r="K481" s="1041"/>
      <c r="L481" s="1015"/>
      <c r="M481" s="934">
        <v>100</v>
      </c>
    </row>
    <row r="482" spans="1:13" s="1016" customFormat="1" ht="25.2" hidden="1" customHeight="1">
      <c r="A482" s="1086">
        <f t="shared" si="22"/>
        <v>0</v>
      </c>
      <c r="B482" s="1226" t="s">
        <v>1610</v>
      </c>
      <c r="C482" s="2841"/>
      <c r="D482" s="1043"/>
      <c r="E482" s="1121"/>
      <c r="F482" s="1013" t="str">
        <f>VLOOKUP($B482,DG!A:D,DG!$C$2,)</f>
        <v>Boulon 16x300+ 2 long đền vuông D18-50x50x3/Zn</v>
      </c>
      <c r="G482" s="1012" t="str">
        <f>VLOOKUP($B482,DG!A:D,DG!$D$2,)</f>
        <v>bộ</v>
      </c>
      <c r="H482" s="1100">
        <f>H477*2</f>
        <v>0</v>
      </c>
      <c r="I482" s="1192">
        <f t="shared" si="20"/>
        <v>0</v>
      </c>
      <c r="J482" s="1041"/>
      <c r="K482" s="1041"/>
      <c r="L482" s="1015"/>
      <c r="M482" s="934">
        <v>100</v>
      </c>
    </row>
    <row r="483" spans="1:13" s="1016" customFormat="1" ht="25.2" hidden="1" customHeight="1">
      <c r="A483" s="1086">
        <f t="shared" si="22"/>
        <v>0</v>
      </c>
      <c r="B483" s="1226" t="s">
        <v>2149</v>
      </c>
      <c r="C483" s="2841"/>
      <c r="D483" s="1043"/>
      <c r="E483" s="1121"/>
      <c r="F483" s="1013" t="str">
        <f>VLOOKUP($B483,DG!A:D,DG!$C$2,)</f>
        <v>Boulon 16x40+ 2 long đền vuông D18-50x50x3/Zn</v>
      </c>
      <c r="G483" s="1012" t="str">
        <f>VLOOKUP($B483,DG!A:D,DG!$D$2,)</f>
        <v>bộ</v>
      </c>
      <c r="H483" s="1100">
        <v>1</v>
      </c>
      <c r="I483" s="1192">
        <f t="shared" si="20"/>
        <v>0</v>
      </c>
      <c r="J483" s="1041"/>
      <c r="K483" s="1041"/>
      <c r="L483" s="1015"/>
      <c r="M483" s="934">
        <v>100</v>
      </c>
    </row>
    <row r="484" spans="1:13" s="1016" customFormat="1" ht="25.2" hidden="1" customHeight="1">
      <c r="A484" s="1086">
        <f t="shared" si="22"/>
        <v>0</v>
      </c>
      <c r="B484" s="1226"/>
      <c r="C484" s="2841"/>
      <c r="D484" s="1099">
        <f>IF(H484&gt;0,D477+1,D477)</f>
        <v>0</v>
      </c>
      <c r="E484" s="1118"/>
      <c r="F484" s="1130" t="s">
        <v>3676</v>
      </c>
      <c r="G484" s="1099" t="s">
        <v>2385</v>
      </c>
      <c r="H484" s="1707">
        <f>H477</f>
        <v>0</v>
      </c>
      <c r="I484" s="1192">
        <f t="shared" si="20"/>
        <v>0</v>
      </c>
      <c r="J484" s="1041"/>
      <c r="K484" s="1041"/>
      <c r="L484" s="1015"/>
      <c r="M484" s="934">
        <v>100</v>
      </c>
    </row>
    <row r="485" spans="1:13" s="1016" customFormat="1" ht="25.2" hidden="1" customHeight="1">
      <c r="A485" s="1086">
        <f t="shared" si="22"/>
        <v>0</v>
      </c>
      <c r="B485" s="1226"/>
      <c r="C485" s="2841"/>
      <c r="D485" s="1043"/>
      <c r="E485" s="1121"/>
      <c r="F485" s="1265" t="s">
        <v>2279</v>
      </c>
      <c r="G485" s="1043"/>
      <c r="H485" s="1100"/>
      <c r="I485" s="1192">
        <f t="shared" si="20"/>
        <v>0</v>
      </c>
      <c r="J485" s="1041"/>
      <c r="K485" s="1041"/>
      <c r="L485" s="1015"/>
      <c r="M485" s="934">
        <v>100</v>
      </c>
    </row>
    <row r="486" spans="1:13" s="1016" customFormat="1" ht="25.2" hidden="1" customHeight="1">
      <c r="A486" s="1086">
        <f t="shared" si="22"/>
        <v>0</v>
      </c>
      <c r="B486" s="1226" t="s">
        <v>1033</v>
      </c>
      <c r="C486" s="2841"/>
      <c r="D486" s="1043"/>
      <c r="E486" s="1012">
        <f>VLOOKUP($B486,DG!A:D,DG!$B$2,)</f>
        <v>0</v>
      </c>
      <c r="F486" s="1234" t="str">
        <f>VLOOKUP($B486,DG!A:D,DG!$C$2,)&amp;": "&amp;I3&amp;J3</f>
        <v>Cáp đồng trần M25mm2: 54m</v>
      </c>
      <c r="G486" s="1012" t="str">
        <f>VLOOKUP($B486,DG!A:D,DG!$D$2,)</f>
        <v>kg</v>
      </c>
      <c r="H486" s="1867">
        <f>53*H484*0.224</f>
        <v>0</v>
      </c>
      <c r="I486" s="1868">
        <f t="shared" si="20"/>
        <v>0</v>
      </c>
      <c r="J486" s="1041"/>
      <c r="K486" s="1041"/>
      <c r="L486" s="1015"/>
      <c r="M486" s="934">
        <v>100</v>
      </c>
    </row>
    <row r="487" spans="1:13" s="1016" customFormat="1" ht="25.2" hidden="1" customHeight="1">
      <c r="A487" s="1086">
        <f t="shared" si="22"/>
        <v>0</v>
      </c>
      <c r="B487" s="1087" t="s">
        <v>1508</v>
      </c>
      <c r="C487" s="2842"/>
      <c r="D487" s="1043"/>
      <c r="E487" s="1012">
        <f>VLOOKUP($B487,DG!A:D,DG!$B$2,)</f>
        <v>0</v>
      </c>
      <c r="F487" s="1013" t="str">
        <f>VLOOKUP($B487,DG!A:D,DG!$C$2,)</f>
        <v>Cọc tiếp đất Þ 16- 2,4m + kẹp cọc mạ đồng</v>
      </c>
      <c r="G487" s="1012" t="str">
        <f>VLOOKUP($B487,DG!A:D,DG!$D$2,)</f>
        <v>bộ</v>
      </c>
      <c r="H487" s="1100">
        <f>9*H484</f>
        <v>0</v>
      </c>
      <c r="I487" s="1192">
        <f t="shared" si="20"/>
        <v>0</v>
      </c>
      <c r="J487" s="1041"/>
      <c r="K487" s="1041"/>
      <c r="L487" s="1015"/>
      <c r="M487" s="934">
        <v>100</v>
      </c>
    </row>
    <row r="488" spans="1:13" s="1016" customFormat="1" ht="25.2" hidden="1" customHeight="1">
      <c r="A488" s="1086">
        <f t="shared" si="22"/>
        <v>0</v>
      </c>
      <c r="B488" s="1087" t="s">
        <v>1490</v>
      </c>
      <c r="C488" s="2842"/>
      <c r="D488" s="1043"/>
      <c r="E488" s="1012" t="str">
        <f>VLOOKUP($B488,DG!A:D,DG!$B$2,)</f>
        <v>07.2403</v>
      </c>
      <c r="F488" s="1013" t="str">
        <f>VLOOKUP($B488,DG!A:D,DG!$C$2,)</f>
        <v xml:space="preserve">Ống PVC D21x1,6mm </v>
      </c>
      <c r="G488" s="1012" t="str">
        <f>VLOOKUP($B488,DG!A:D,DG!$D$2,)</f>
        <v>m</v>
      </c>
      <c r="H488" s="1100">
        <f>6*H484</f>
        <v>0</v>
      </c>
      <c r="I488" s="1192">
        <f t="shared" si="20"/>
        <v>0</v>
      </c>
      <c r="J488" s="1041"/>
      <c r="K488" s="1041"/>
      <c r="L488" s="1015"/>
      <c r="M488" s="934">
        <v>100</v>
      </c>
    </row>
    <row r="489" spans="1:13" s="1016" customFormat="1" ht="25.2" hidden="1" customHeight="1">
      <c r="A489" s="1086">
        <f t="shared" si="22"/>
        <v>0</v>
      </c>
      <c r="B489" s="1231" t="s">
        <v>1579</v>
      </c>
      <c r="C489" s="2844"/>
      <c r="D489" s="1043"/>
      <c r="E489" s="1012">
        <f>VLOOKUP($B489,DG!A:D,DG!$B$2,)</f>
        <v>0</v>
      </c>
      <c r="F489" s="1013" t="str">
        <f>VLOOKUP($B489,DG!A:D,DG!$C$2,)</f>
        <v>Kẹp ép WR cỡ dây 50mm2</v>
      </c>
      <c r="G489" s="1012" t="str">
        <f>VLOOKUP($B489,DG!A:D,DG!$D$2,)</f>
        <v>cái</v>
      </c>
      <c r="H489" s="1100">
        <f>2*H484</f>
        <v>0</v>
      </c>
      <c r="I489" s="1192">
        <f t="shared" si="20"/>
        <v>0</v>
      </c>
      <c r="J489" s="1041"/>
      <c r="K489" s="1041"/>
      <c r="L489" s="1015"/>
      <c r="M489" s="934">
        <v>100</v>
      </c>
    </row>
    <row r="490" spans="1:13" s="1016" customFormat="1" ht="25.2" hidden="1" customHeight="1">
      <c r="A490" s="1086">
        <f t="shared" si="22"/>
        <v>0</v>
      </c>
      <c r="B490" s="1231" t="s">
        <v>1115</v>
      </c>
      <c r="C490" s="2844"/>
      <c r="D490" s="1043"/>
      <c r="E490" s="1012">
        <f>VLOOKUP($B490,DG!A:D,DG!$B$2,)</f>
        <v>0</v>
      </c>
      <c r="F490" s="1013" t="str">
        <f>VLOOKUP($B490,DG!A:D,DG!$C$2,)</f>
        <v>Kẹp ép cỡ dây 25mm2</v>
      </c>
      <c r="G490" s="1012" t="str">
        <f>VLOOKUP($B490,DG!A:D,DG!$D$2,)</f>
        <v>cái</v>
      </c>
      <c r="H490" s="1100">
        <f>H484*11</f>
        <v>0</v>
      </c>
      <c r="I490" s="1192">
        <f t="shared" ref="I490:I556" si="23">IF(M490=$M$23,H490+J490-K490,0)</f>
        <v>0</v>
      </c>
      <c r="J490" s="1041"/>
      <c r="K490" s="1041"/>
      <c r="L490" s="1015"/>
      <c r="M490" s="934">
        <v>100</v>
      </c>
    </row>
    <row r="491" spans="1:13" s="1016" customFormat="1" ht="25.2" hidden="1" customHeight="1">
      <c r="A491" s="1086">
        <f t="shared" si="22"/>
        <v>0</v>
      </c>
      <c r="B491" s="1087" t="s">
        <v>525</v>
      </c>
      <c r="C491" s="2842"/>
      <c r="D491" s="1043"/>
      <c r="E491" s="1012" t="str">
        <f>VLOOKUP($B491,DG!A:D,DG!$B$2,)</f>
        <v>06.3231</v>
      </c>
      <c r="F491" s="1013" t="str">
        <f>VLOOKUP($B491,DG!A:D,DG!$C$2,)</f>
        <v>Cổ dê kẹp ống PVC  21</v>
      </c>
      <c r="G491" s="1012" t="str">
        <f>VLOOKUP($B491,DG!A:D,DG!$D$2,)</f>
        <v>bộ</v>
      </c>
      <c r="H491" s="1100">
        <f>4*H484</f>
        <v>0</v>
      </c>
      <c r="I491" s="1192">
        <f t="shared" si="23"/>
        <v>0</v>
      </c>
      <c r="J491" s="1041"/>
      <c r="K491" s="1041"/>
      <c r="L491" s="1015"/>
      <c r="M491" s="934">
        <v>100</v>
      </c>
    </row>
    <row r="492" spans="1:13" s="1016" customFormat="1" ht="25.2" hidden="1" customHeight="1">
      <c r="A492" s="1086">
        <f t="shared" si="22"/>
        <v>0</v>
      </c>
      <c r="B492" s="1231" t="s">
        <v>2183</v>
      </c>
      <c r="C492" s="2844"/>
      <c r="D492" s="1043"/>
      <c r="E492" s="1012" t="str">
        <f>VLOOKUP($B492,DG!A:D,DG!$B$2,)</f>
        <v>04.7002</v>
      </c>
      <c r="F492" s="1013" t="str">
        <f>VLOOKUP($B492,DG!A:D,DG!$C$2,)</f>
        <v>Kéo dây tiếp địa trong TBA</v>
      </c>
      <c r="G492" s="1012" t="str">
        <f>VLOOKUP($B492,DG!A:D,DG!$D$2,)</f>
        <v>kg</v>
      </c>
      <c r="H492" s="1100">
        <f>H486/0.224</f>
        <v>0</v>
      </c>
      <c r="I492" s="1192">
        <f t="shared" si="23"/>
        <v>0</v>
      </c>
      <c r="J492" s="1041"/>
      <c r="K492" s="1041"/>
      <c r="L492" s="1015"/>
      <c r="M492" s="934">
        <v>100</v>
      </c>
    </row>
    <row r="493" spans="1:13" s="1016" customFormat="1" ht="25.2" hidden="1" customHeight="1">
      <c r="A493" s="1086">
        <f t="shared" si="22"/>
        <v>0</v>
      </c>
      <c r="B493" s="1087" t="s">
        <v>902</v>
      </c>
      <c r="C493" s="2842"/>
      <c r="D493" s="1043"/>
      <c r="E493" s="1012" t="str">
        <f>VLOOKUP($B493,DG!A:D,DG!$B$2,)</f>
        <v>04.7001</v>
      </c>
      <c r="F493" s="1013" t="str">
        <f>VLOOKUP($B493,DG!A:D,DG!$C$2,)</f>
        <v>Đóng cọc tiếp địa trong TBA</v>
      </c>
      <c r="G493" s="1012" t="str">
        <f>VLOOKUP($B493,DG!A:D,DG!$D$2,)</f>
        <v>cọc</v>
      </c>
      <c r="H493" s="1100">
        <f>H487</f>
        <v>0</v>
      </c>
      <c r="I493" s="1192">
        <f t="shared" si="23"/>
        <v>0</v>
      </c>
      <c r="J493" s="1041"/>
      <c r="K493" s="1041"/>
      <c r="L493" s="1015"/>
      <c r="M493" s="934">
        <v>100</v>
      </c>
    </row>
    <row r="494" spans="1:13" s="1016" customFormat="1" ht="25.2" hidden="1" customHeight="1">
      <c r="A494" s="1086">
        <f t="shared" si="22"/>
        <v>0</v>
      </c>
      <c r="B494" s="1231" t="str">
        <f>"dtd"&amp;chitiet!G5</f>
        <v>dtd3</v>
      </c>
      <c r="C494" s="2844"/>
      <c r="D494" s="1043"/>
      <c r="E494" s="1012" t="str">
        <f>VLOOKUP($B494,DG!A:D,DG!$B$2,)</f>
        <v>03.3123</v>
      </c>
      <c r="F494" s="1013" t="str">
        <f>VLOOKUP($B494,DG!A:D,DG!$C$2,)</f>
        <v>Đào rãnh tiếp địa đất cấp 3</v>
      </c>
      <c r="G494" s="1012" t="str">
        <f>VLOOKUP($B494,DG!A:D,DG!$D$2,)</f>
        <v>m3</v>
      </c>
      <c r="H494" s="1100">
        <v>3.6</v>
      </c>
      <c r="I494" s="1192">
        <f t="shared" si="23"/>
        <v>0</v>
      </c>
      <c r="J494" s="1041"/>
      <c r="K494" s="1041"/>
      <c r="L494" s="1015"/>
      <c r="M494" s="934">
        <v>100</v>
      </c>
    </row>
    <row r="495" spans="1:13" s="1016" customFormat="1" ht="25.2" hidden="1" customHeight="1">
      <c r="A495" s="1086">
        <f t="shared" si="22"/>
        <v>0</v>
      </c>
      <c r="B495" s="1087" t="str">
        <f>"datd"&amp;chitiet!G5</f>
        <v>datd3</v>
      </c>
      <c r="C495" s="2842"/>
      <c r="D495" s="1043"/>
      <c r="E495" s="1012" t="str">
        <f>VLOOKUP($B495,DG!A:D,DG!$B$2,)</f>
        <v>03.4123</v>
      </c>
      <c r="F495" s="1013" t="str">
        <f>VLOOKUP($B495,DG!A:D,DG!$C$2,)</f>
        <v>Đắp đất rãnh tiếp độ chặt k=0,85</v>
      </c>
      <c r="G495" s="1012" t="str">
        <f>VLOOKUP($B495,DG!A:D,DG!$D$2,)</f>
        <v>m3</v>
      </c>
      <c r="H495" s="1100">
        <f>H494</f>
        <v>3.6</v>
      </c>
      <c r="I495" s="1192">
        <f t="shared" si="23"/>
        <v>0</v>
      </c>
      <c r="J495" s="1041"/>
      <c r="K495" s="1041"/>
      <c r="L495" s="1015"/>
      <c r="M495" s="934">
        <v>100</v>
      </c>
    </row>
    <row r="496" spans="1:13" s="1016" customFormat="1" ht="25.2" hidden="1" customHeight="1">
      <c r="A496" s="1086">
        <f t="shared" si="22"/>
        <v>0</v>
      </c>
      <c r="B496" s="1231"/>
      <c r="C496" s="2844"/>
      <c r="D496" s="1099">
        <f>IF(H496&gt;0,D484+1,D484)</f>
        <v>0</v>
      </c>
      <c r="E496" s="1118"/>
      <c r="F496" s="1119" t="s">
        <v>3683</v>
      </c>
      <c r="G496" s="1099" t="s">
        <v>2385</v>
      </c>
      <c r="H496" s="1707">
        <f>H477</f>
        <v>0</v>
      </c>
      <c r="I496" s="1192">
        <f t="shared" si="23"/>
        <v>0</v>
      </c>
      <c r="J496" s="1041"/>
      <c r="K496" s="1041"/>
      <c r="L496" s="1015"/>
      <c r="M496" s="934">
        <v>100</v>
      </c>
    </row>
    <row r="497" spans="1:13" s="1016" customFormat="1" ht="25.2" hidden="1" customHeight="1">
      <c r="A497" s="1086">
        <f t="shared" si="22"/>
        <v>0</v>
      </c>
      <c r="B497" s="1231"/>
      <c r="C497" s="2844"/>
      <c r="D497" s="1099"/>
      <c r="E497" s="1118"/>
      <c r="F497" s="1265" t="s">
        <v>2279</v>
      </c>
      <c r="G497" s="1043"/>
      <c r="H497" s="1100"/>
      <c r="I497" s="1192">
        <f t="shared" si="23"/>
        <v>0</v>
      </c>
      <c r="J497" s="1041"/>
      <c r="K497" s="1041"/>
      <c r="L497" s="1015"/>
      <c r="M497" s="934">
        <v>100</v>
      </c>
    </row>
    <row r="498" spans="1:13" s="1016" customFormat="1" ht="25.2" hidden="1" customHeight="1">
      <c r="A498" s="1086">
        <f t="shared" si="22"/>
        <v>0</v>
      </c>
      <c r="B498" s="1233" t="s">
        <v>616</v>
      </c>
      <c r="C498" s="2843"/>
      <c r="D498" s="1043"/>
      <c r="E498" s="1012" t="str">
        <f>VLOOKUP($B498,DG!A:D,DG!$B$2,)</f>
        <v>05.1001</v>
      </c>
      <c r="F498" s="1013" t="str">
        <f>VLOOKUP($B498,DG!A:D,DG!$C$2,)</f>
        <v>Tủ CB trạm 1 pha + khóa + boulon</v>
      </c>
      <c r="G498" s="1012" t="str">
        <f>VLOOKUP($B498,DG!A:D,DG!$D$2,)</f>
        <v>cái</v>
      </c>
      <c r="H498" s="1100">
        <f>H496</f>
        <v>0</v>
      </c>
      <c r="I498" s="1192">
        <f t="shared" si="23"/>
        <v>0</v>
      </c>
      <c r="J498" s="1041"/>
      <c r="K498" s="1041"/>
      <c r="L498" s="1015"/>
      <c r="M498" s="934">
        <v>100</v>
      </c>
    </row>
    <row r="499" spans="1:13" s="1016" customFormat="1" ht="25.2" hidden="1" customHeight="1">
      <c r="A499" s="1086">
        <f t="shared" si="22"/>
        <v>0</v>
      </c>
      <c r="B499" s="1231" t="s">
        <v>879</v>
      </c>
      <c r="C499" s="2844"/>
      <c r="D499" s="1043"/>
      <c r="E499" s="1012" t="str">
        <f>VLOOKUP($B499,DG!A:D,DG!$B$2,)</f>
        <v>06.3231</v>
      </c>
      <c r="F499" s="1013" t="str">
        <f>VLOOKUP($B499,DG!A:D,DG!$C$2,)</f>
        <v>Cổ dê bắt tủ</v>
      </c>
      <c r="G499" s="1012" t="str">
        <f>VLOOKUP($B499,DG!A:D,DG!$D$2,)</f>
        <v>bộ</v>
      </c>
      <c r="H499" s="1100">
        <f>2*H496</f>
        <v>0</v>
      </c>
      <c r="I499" s="1192">
        <f t="shared" si="23"/>
        <v>0</v>
      </c>
      <c r="J499" s="1041"/>
      <c r="K499" s="1041"/>
      <c r="L499" s="1015"/>
      <c r="M499" s="934">
        <v>100</v>
      </c>
    </row>
    <row r="500" spans="1:13" s="1016" customFormat="1" ht="25.2" hidden="1" customHeight="1">
      <c r="A500" s="1086">
        <f t="shared" si="22"/>
        <v>0</v>
      </c>
      <c r="B500" s="1231" t="s">
        <v>880</v>
      </c>
      <c r="C500" s="2844"/>
      <c r="D500" s="1043"/>
      <c r="E500" s="1012">
        <f>VLOOKUP($B500,DG!A:D,DG!$B$2,)</f>
        <v>0</v>
      </c>
      <c r="F500" s="1013" t="str">
        <f>VLOOKUP($B500,DG!A:D,DG!$C$2,)</f>
        <v xml:space="preserve">Bakelit 550x450 dầy 10mm </v>
      </c>
      <c r="G500" s="1012" t="str">
        <f>VLOOKUP($B500,DG!A:D,DG!$D$2,)</f>
        <v>cái</v>
      </c>
      <c r="H500" s="1100">
        <v>3</v>
      </c>
      <c r="I500" s="1192">
        <f t="shared" si="23"/>
        <v>0</v>
      </c>
      <c r="J500" s="1041"/>
      <c r="K500" s="1041"/>
      <c r="L500" s="1015"/>
      <c r="M500" s="934">
        <v>100</v>
      </c>
    </row>
    <row r="501" spans="1:13" s="1016" customFormat="1" ht="25.2" hidden="1" customHeight="1">
      <c r="A501" s="1086">
        <f t="shared" si="22"/>
        <v>0</v>
      </c>
      <c r="B501" s="1231"/>
      <c r="C501" s="2844"/>
      <c r="D501" s="1099">
        <f>IF(H501&gt;0,D496+1,D496)</f>
        <v>0</v>
      </c>
      <c r="E501" s="1118"/>
      <c r="F501" s="1130" t="s">
        <v>3678</v>
      </c>
      <c r="G501" s="1099" t="s">
        <v>2385</v>
      </c>
      <c r="H501" s="1707">
        <f>H496</f>
        <v>0</v>
      </c>
      <c r="I501" s="1192">
        <f t="shared" si="23"/>
        <v>0</v>
      </c>
      <c r="J501" s="1041"/>
      <c r="K501" s="1041"/>
      <c r="L501" s="1015"/>
      <c r="M501" s="934">
        <v>100</v>
      </c>
    </row>
    <row r="502" spans="1:13" s="1016" customFormat="1" ht="25.2" hidden="1" customHeight="1">
      <c r="A502" s="1086">
        <f t="shared" si="22"/>
        <v>0</v>
      </c>
      <c r="B502" s="1231"/>
      <c r="C502" s="2844"/>
      <c r="D502" s="1099"/>
      <c r="E502" s="1118"/>
      <c r="F502" s="1265" t="s">
        <v>2279</v>
      </c>
      <c r="G502" s="1043"/>
      <c r="H502" s="1100"/>
      <c r="I502" s="1192">
        <f t="shared" si="23"/>
        <v>0</v>
      </c>
      <c r="J502" s="1041"/>
      <c r="K502" s="1041"/>
      <c r="L502" s="1015"/>
      <c r="M502" s="934">
        <v>100</v>
      </c>
    </row>
    <row r="503" spans="1:13" s="1016" customFormat="1" ht="25.2" hidden="1" customHeight="1">
      <c r="A503" s="1086">
        <f t="shared" si="22"/>
        <v>0</v>
      </c>
      <c r="B503" s="1087" t="s">
        <v>697</v>
      </c>
      <c r="C503" s="2842"/>
      <c r="D503" s="1043"/>
      <c r="E503" s="1012">
        <f>VLOOKUP($B503,DG!A:D,DG!$B$2,)</f>
        <v>0</v>
      </c>
      <c r="F503" s="1013" t="str">
        <f>VLOOKUP($B503,DG!A:D,DG!$C$2,)</f>
        <v>Cáp 24KV C/XLPE/PVC 25mm2</v>
      </c>
      <c r="G503" s="1012" t="str">
        <f>VLOOKUP($B503,DG!A:D,DG!$D$2,)</f>
        <v>mét</v>
      </c>
      <c r="H503" s="1100">
        <f>3*H501</f>
        <v>0</v>
      </c>
      <c r="I503" s="1192">
        <f t="shared" si="23"/>
        <v>0</v>
      </c>
      <c r="J503" s="1041"/>
      <c r="K503" s="1041"/>
      <c r="L503" s="1015"/>
      <c r="M503" s="934">
        <v>100</v>
      </c>
    </row>
    <row r="504" spans="1:13" s="1016" customFormat="1" ht="25.2" hidden="1" customHeight="1">
      <c r="A504" s="1086">
        <f t="shared" si="22"/>
        <v>0</v>
      </c>
      <c r="B504" s="1087" t="s">
        <v>1479</v>
      </c>
      <c r="C504" s="2842"/>
      <c r="D504" s="1043"/>
      <c r="E504" s="1012" t="str">
        <f>VLOOKUP($B504,DG!A:D,DG!$B$2,)</f>
        <v>04.3007</v>
      </c>
      <c r="F504" s="1013" t="str">
        <f>VLOOKUP($B504,DG!A:D,DG!$C$2,)</f>
        <v>Kẹp quai 2/0</v>
      </c>
      <c r="G504" s="1012" t="str">
        <f>VLOOKUP($B504,DG!A:D,DG!$D$2,)</f>
        <v>cái</v>
      </c>
      <c r="H504" s="1100">
        <f>H501</f>
        <v>0</v>
      </c>
      <c r="I504" s="1192">
        <f t="shared" si="23"/>
        <v>0</v>
      </c>
      <c r="J504" s="1041"/>
      <c r="K504" s="1041"/>
      <c r="L504" s="1015"/>
      <c r="M504" s="934">
        <v>100</v>
      </c>
    </row>
    <row r="505" spans="1:13" s="1016" customFormat="1" ht="25.2" hidden="1" customHeight="1">
      <c r="A505" s="1086">
        <f t="shared" si="22"/>
        <v>0</v>
      </c>
      <c r="B505" s="1087" t="s">
        <v>1477</v>
      </c>
      <c r="C505" s="2842"/>
      <c r="D505" s="1043"/>
      <c r="E505" s="1012" t="str">
        <f>VLOOKUP($B505,DG!A:D,DG!$B$2,)</f>
        <v>04.3007</v>
      </c>
      <c r="F505" s="1013" t="str">
        <f>VLOOKUP($B505,DG!A:D,DG!$C$2,)</f>
        <v>Kẹp hotline 2/0</v>
      </c>
      <c r="G505" s="1012" t="str">
        <f>VLOOKUP($B505,DG!A:D,DG!$D$2,)</f>
        <v>cái</v>
      </c>
      <c r="H505" s="1100">
        <f>H498</f>
        <v>0</v>
      </c>
      <c r="I505" s="1192">
        <f>IF(M505=$M$23,H505+J505-K505,0)</f>
        <v>0</v>
      </c>
      <c r="J505" s="1041"/>
      <c r="K505" s="1041"/>
      <c r="L505" s="1015"/>
      <c r="M505" s="934">
        <v>100</v>
      </c>
    </row>
    <row r="506" spans="1:13" s="1016" customFormat="1" ht="25.2" hidden="1" customHeight="1">
      <c r="A506" s="1086">
        <f t="shared" si="22"/>
        <v>0</v>
      </c>
      <c r="B506" s="1087" t="s">
        <v>381</v>
      </c>
      <c r="C506" s="2842"/>
      <c r="D506" s="1043"/>
      <c r="E506" s="1012">
        <f>VLOOKUP($B506,DG!A:D,DG!$B$2,)</f>
        <v>0</v>
      </c>
      <c r="F506" s="1013" t="str">
        <f>VLOOKUP($B506,DG!A:D,DG!$C$2,)</f>
        <v>Chụp đầu cực FCO (bộ 2 cái)</v>
      </c>
      <c r="G506" s="1012" t="str">
        <f>VLOOKUP($B506,DG!A:D,DG!$D$2,)</f>
        <v>bộ</v>
      </c>
      <c r="H506" s="1100">
        <v>1</v>
      </c>
      <c r="I506" s="1192">
        <f>IF(M506=$M$23,H506+J506-K506,0)</f>
        <v>0</v>
      </c>
      <c r="J506" s="1041"/>
      <c r="K506" s="1041"/>
      <c r="L506" s="1015"/>
      <c r="M506" s="934">
        <v>100</v>
      </c>
    </row>
    <row r="507" spans="1:13" s="1016" customFormat="1" ht="25.2" hidden="1" customHeight="1">
      <c r="A507" s="1086">
        <f t="shared" si="22"/>
        <v>0</v>
      </c>
      <c r="B507" s="1087" t="s">
        <v>379</v>
      </c>
      <c r="C507" s="2842"/>
      <c r="D507" s="1043"/>
      <c r="E507" s="1012">
        <f>VLOOKUP($B507,DG!A:D,DG!$B$2,)</f>
        <v>0</v>
      </c>
      <c r="F507" s="1013" t="str">
        <f>VLOOKUP($B507,DG!A:D,DG!$C$2,)</f>
        <v>Chụp đầu cực LA</v>
      </c>
      <c r="G507" s="1012" t="str">
        <f>VLOOKUP($B507,DG!A:D,DG!$D$2,)</f>
        <v>cái</v>
      </c>
      <c r="H507" s="1100">
        <v>1</v>
      </c>
      <c r="I507" s="1192">
        <f>IF(M507=$M$23,H507+J507-K507,0)</f>
        <v>0</v>
      </c>
      <c r="J507" s="1041"/>
      <c r="K507" s="1041"/>
      <c r="L507" s="1015"/>
      <c r="M507" s="934">
        <v>100</v>
      </c>
    </row>
    <row r="508" spans="1:13" s="1016" customFormat="1" ht="25.2" hidden="1" customHeight="1">
      <c r="A508" s="1086">
        <f t="shared" si="22"/>
        <v>0</v>
      </c>
      <c r="B508" s="1087" t="s">
        <v>380</v>
      </c>
      <c r="C508" s="2842"/>
      <c r="D508" s="1043"/>
      <c r="E508" s="1012">
        <f>VLOOKUP($B508,DG!A:D,DG!$B$2,)</f>
        <v>0</v>
      </c>
      <c r="F508" s="1013" t="str">
        <f>VLOOKUP($B508,DG!A:D,DG!$C$2,)</f>
        <v>Chụp đầu MBA</v>
      </c>
      <c r="G508" s="1012" t="str">
        <f>VLOOKUP($B508,DG!A:D,DG!$D$2,)</f>
        <v>cái</v>
      </c>
      <c r="H508" s="1100">
        <v>1</v>
      </c>
      <c r="I508" s="1192">
        <f t="shared" si="23"/>
        <v>0</v>
      </c>
      <c r="J508" s="1041"/>
      <c r="K508" s="1041"/>
      <c r="L508" s="1015"/>
      <c r="M508" s="934">
        <v>100</v>
      </c>
    </row>
    <row r="509" spans="1:13" s="1016" customFormat="1" ht="25.2" hidden="1" customHeight="1">
      <c r="A509" s="1086">
        <f t="shared" si="22"/>
        <v>0</v>
      </c>
      <c r="B509" s="1087" t="s">
        <v>1525</v>
      </c>
      <c r="C509" s="2842"/>
      <c r="D509" s="1043"/>
      <c r="E509" s="1012" t="str">
        <f>VLOOKUP($B509,DG!A:D,DG!$B$2,)</f>
        <v>04.4201</v>
      </c>
      <c r="F509" s="1013" t="str">
        <f>VLOOKUP($B509,DG!A:D,DG!$C$2,)</f>
        <v>Lắp cáp đồng xuống thiết bị D ≤ 95mm2</v>
      </c>
      <c r="G509" s="1012" t="str">
        <f>VLOOKUP($B509,DG!A:D,DG!$D$2,)</f>
        <v>m</v>
      </c>
      <c r="H509" s="1100">
        <f>H503</f>
        <v>0</v>
      </c>
      <c r="I509" s="1192">
        <f t="shared" si="23"/>
        <v>0</v>
      </c>
      <c r="J509" s="1041"/>
      <c r="K509" s="1041"/>
      <c r="L509" s="1015"/>
      <c r="M509" s="934">
        <v>100</v>
      </c>
    </row>
    <row r="510" spans="1:13" s="1016" customFormat="1" ht="25.2" hidden="1" customHeight="1">
      <c r="A510" s="1086">
        <f t="shared" si="22"/>
        <v>0</v>
      </c>
      <c r="B510" s="1226"/>
      <c r="C510" s="2841"/>
      <c r="D510" s="1099">
        <f>IF(H510&gt;0,D501+1,D501)</f>
        <v>0</v>
      </c>
      <c r="E510" s="1118"/>
      <c r="F510" s="1119" t="s">
        <v>3691</v>
      </c>
      <c r="G510" s="1099" t="s">
        <v>2385</v>
      </c>
      <c r="H510" s="1707">
        <f>H454</f>
        <v>0</v>
      </c>
      <c r="I510" s="1192">
        <f t="shared" si="23"/>
        <v>0</v>
      </c>
      <c r="J510" s="1041"/>
      <c r="K510" s="1041"/>
      <c r="L510" s="1015"/>
      <c r="M510" s="934">
        <v>100</v>
      </c>
    </row>
    <row r="511" spans="1:13" s="1016" customFormat="1" ht="25.2" hidden="1" customHeight="1">
      <c r="A511" s="1086">
        <f t="shared" si="22"/>
        <v>0</v>
      </c>
      <c r="B511" s="1226"/>
      <c r="C511" s="2841"/>
      <c r="D511" s="1099"/>
      <c r="E511" s="1118"/>
      <c r="F511" s="1264" t="s">
        <v>2279</v>
      </c>
      <c r="G511" s="1099"/>
      <c r="H511" s="1707"/>
      <c r="I511" s="1192">
        <f t="shared" si="23"/>
        <v>0</v>
      </c>
      <c r="J511" s="1041"/>
      <c r="K511" s="1041"/>
      <c r="L511" s="1015"/>
      <c r="M511" s="934">
        <v>100</v>
      </c>
    </row>
    <row r="512" spans="1:13" s="1016" customFormat="1" ht="25.2" hidden="1" customHeight="1">
      <c r="A512" s="1086">
        <f t="shared" si="22"/>
        <v>0</v>
      </c>
      <c r="B512" s="1226" t="s">
        <v>4757</v>
      </c>
      <c r="C512" s="2841"/>
      <c r="D512" s="1099"/>
      <c r="E512" s="1012">
        <f>VLOOKUP($B512,DG!A:D,DG!$B$2,)</f>
        <v>0</v>
      </c>
      <c r="F512" s="1013" t="str">
        <f>VLOOKUP($B512,DG!A:D,DG!$C$2,)</f>
        <v>Cáp đồng bọc CV240</v>
      </c>
      <c r="G512" s="1012" t="str">
        <f>VLOOKUP($B512,DG!A:D,DG!$D$2,)</f>
        <v>mét</v>
      </c>
      <c r="H512" s="1100">
        <f>H510*10*2</f>
        <v>0</v>
      </c>
      <c r="I512" s="1192">
        <f t="shared" si="23"/>
        <v>0</v>
      </c>
      <c r="J512" s="1041"/>
      <c r="K512" s="1041"/>
      <c r="L512" s="1015"/>
      <c r="M512" s="934">
        <v>100</v>
      </c>
    </row>
    <row r="513" spans="1:13" s="1016" customFormat="1" ht="25.2" hidden="1" customHeight="1">
      <c r="A513" s="1086">
        <f t="shared" si="22"/>
        <v>0</v>
      </c>
      <c r="B513" s="1226" t="s">
        <v>49</v>
      </c>
      <c r="C513" s="2841"/>
      <c r="D513" s="1099"/>
      <c r="E513" s="1012">
        <f>VLOOKUP($B513,DG!A:D,DG!$B$2,)</f>
        <v>0</v>
      </c>
      <c r="F513" s="1013" t="str">
        <f>VLOOKUP($B513,DG!A:D,DG!$C$2,)</f>
        <v>Cáp đồng bọc CV120</v>
      </c>
      <c r="G513" s="1012" t="str">
        <f>VLOOKUP($B513,DG!A:D,DG!$D$2,)</f>
        <v>mét</v>
      </c>
      <c r="H513" s="1100"/>
      <c r="I513" s="1192">
        <f t="shared" si="23"/>
        <v>0</v>
      </c>
      <c r="J513" s="1041"/>
      <c r="K513" s="1041"/>
      <c r="L513" s="1015"/>
      <c r="M513" s="934">
        <v>100</v>
      </c>
    </row>
    <row r="514" spans="1:13" s="1016" customFormat="1" ht="25.2" hidden="1" customHeight="1">
      <c r="A514" s="1086">
        <f t="shared" si="22"/>
        <v>0</v>
      </c>
      <c r="B514" s="1226" t="s">
        <v>4518</v>
      </c>
      <c r="C514" s="2841"/>
      <c r="D514" s="1043"/>
      <c r="E514" s="1012" t="str">
        <f>VLOOKUP($B514,DG!A:D,DG!$B$2,)</f>
        <v>03.1401</v>
      </c>
      <c r="F514" s="1013" t="str">
        <f>VLOOKUP($B514,DG!A:D,DG!$C$2,)</f>
        <v xml:space="preserve">Cáp CVV 4x4mm2  </v>
      </c>
      <c r="G514" s="1012" t="str">
        <f>VLOOKUP($B514,DG!A:D,DG!$D$2,)</f>
        <v>mét</v>
      </c>
      <c r="H514" s="1100">
        <v>2</v>
      </c>
      <c r="I514" s="1192">
        <f t="shared" si="23"/>
        <v>0</v>
      </c>
      <c r="J514" s="1041"/>
      <c r="K514" s="1041"/>
      <c r="L514" s="1015"/>
      <c r="M514" s="934">
        <v>100</v>
      </c>
    </row>
    <row r="515" spans="1:13" s="1016" customFormat="1" ht="25.2" hidden="1" customHeight="1">
      <c r="A515" s="1086">
        <f t="shared" si="22"/>
        <v>0</v>
      </c>
      <c r="B515" s="1231" t="s">
        <v>4758</v>
      </c>
      <c r="C515" s="2844"/>
      <c r="D515" s="1043"/>
      <c r="E515" s="1012" t="str">
        <f>VLOOKUP($B515,DG!A:D,DG!$B$2,)</f>
        <v>03.4008</v>
      </c>
      <c r="F515" s="1013" t="str">
        <f>VLOOKUP($B515,DG!A:D,DG!$C$2,)</f>
        <v>Đầu cosse ép Cu 240mm2</v>
      </c>
      <c r="G515" s="1012" t="str">
        <f>VLOOKUP($B515,DG!A:D,DG!$D$2,)</f>
        <v>cái</v>
      </c>
      <c r="H515" s="1100">
        <v>2</v>
      </c>
      <c r="I515" s="1192">
        <f t="shared" si="23"/>
        <v>0</v>
      </c>
      <c r="J515" s="1041"/>
      <c r="K515" s="1041"/>
      <c r="L515" s="1015"/>
      <c r="M515" s="934">
        <v>100</v>
      </c>
    </row>
    <row r="516" spans="1:13" s="1016" customFormat="1" ht="25.2" hidden="1" customHeight="1">
      <c r="A516" s="1086">
        <f t="shared" si="22"/>
        <v>0</v>
      </c>
      <c r="B516" s="1231" t="str">
        <f>IF(H459=1,"Cos"&amp;RIGHT(B$350,2),"Cos"&amp;RIGHT(B$350,2))</f>
        <v>Cos20</v>
      </c>
      <c r="C516" s="2844"/>
      <c r="D516" s="1043"/>
      <c r="E516" s="1012" t="e">
        <f>VLOOKUP($B516,DG!A:D,DG!$B$2,)</f>
        <v>#N/A</v>
      </c>
      <c r="F516" s="1013" t="e">
        <f>VLOOKUP($B516,DG!A:D,DG!$C$2,)</f>
        <v>#N/A</v>
      </c>
      <c r="G516" s="1012" t="e">
        <f>VLOOKUP($B516,DG!A:D,DG!$D$2,)</f>
        <v>#N/A</v>
      </c>
      <c r="H516" s="1100"/>
      <c r="I516" s="1192">
        <f t="shared" si="23"/>
        <v>0</v>
      </c>
      <c r="J516" s="1041"/>
      <c r="K516" s="1041"/>
      <c r="L516" s="1015"/>
      <c r="M516" s="934">
        <v>100</v>
      </c>
    </row>
    <row r="517" spans="1:13" s="1016" customFormat="1" ht="25.2" hidden="1" customHeight="1">
      <c r="A517" s="1086">
        <f t="shared" si="22"/>
        <v>0</v>
      </c>
      <c r="B517" s="1231" t="s">
        <v>90</v>
      </c>
      <c r="C517" s="2844"/>
      <c r="D517" s="1043"/>
      <c r="E517" s="1012">
        <f>VLOOKUP($B517,DG!A:D,DG!$B$2,)</f>
        <v>0</v>
      </c>
      <c r="F517" s="1013" t="str">
        <f>VLOOKUP($B517,DG!A:D,DG!$C$2,)</f>
        <v>Chụp đầu cosse  240mm2</v>
      </c>
      <c r="G517" s="1012" t="str">
        <f>VLOOKUP($B517,DG!A:D,DG!$D$2,)</f>
        <v>cái</v>
      </c>
      <c r="H517" s="1100">
        <v>2</v>
      </c>
      <c r="I517" s="1192">
        <f t="shared" si="23"/>
        <v>0</v>
      </c>
      <c r="J517" s="1041"/>
      <c r="K517" s="1041"/>
      <c r="L517" s="1015"/>
      <c r="M517" s="934">
        <v>100</v>
      </c>
    </row>
    <row r="518" spans="1:13" s="1016" customFormat="1" ht="25.2" hidden="1" customHeight="1">
      <c r="A518" s="1086">
        <f t="shared" si="22"/>
        <v>0</v>
      </c>
      <c r="B518" s="1231" t="s">
        <v>2078</v>
      </c>
      <c r="C518" s="2844"/>
      <c r="D518" s="1043"/>
      <c r="E518" s="1012">
        <f>VLOOKUP($B518,DG!A:D,DG!$B$2,)</f>
        <v>0</v>
      </c>
      <c r="F518" s="1013" t="str">
        <f>VLOOKUP($B518,DG!A:D,DG!$C$2,)</f>
        <v>Chụp đầu cosse  70mm2</v>
      </c>
      <c r="G518" s="1012" t="str">
        <f>VLOOKUP($B518,DG!A:D,DG!$D$2,)</f>
        <v>cái</v>
      </c>
      <c r="H518" s="1100"/>
      <c r="I518" s="1192">
        <f t="shared" si="23"/>
        <v>0</v>
      </c>
      <c r="J518" s="1041"/>
      <c r="K518" s="1041"/>
      <c r="L518" s="1015"/>
      <c r="M518" s="934">
        <v>100</v>
      </c>
    </row>
    <row r="519" spans="1:13" s="1016" customFormat="1" ht="25.2" hidden="1" customHeight="1">
      <c r="A519" s="1086">
        <f t="shared" si="22"/>
        <v>0</v>
      </c>
      <c r="B519" s="1231" t="s">
        <v>1042</v>
      </c>
      <c r="C519" s="2844"/>
      <c r="D519" s="1043"/>
      <c r="E519" s="1012">
        <f>VLOOKUP($B519,DG!A:D,DG!$B$2,)</f>
        <v>0</v>
      </c>
      <c r="F519" s="1013" t="str">
        <f>VLOOKUP($B519,DG!A:D,DG!$C$2,)</f>
        <v xml:space="preserve">Ống PVC D114x4,9mm </v>
      </c>
      <c r="G519" s="1012" t="str">
        <f>VLOOKUP($B519,DG!A:D,DG!$D$2,)</f>
        <v>m</v>
      </c>
      <c r="H519" s="1100">
        <v>7</v>
      </c>
      <c r="I519" s="1192">
        <f t="shared" si="23"/>
        <v>0</v>
      </c>
      <c r="J519" s="1041"/>
      <c r="K519" s="1041"/>
      <c r="L519" s="1015"/>
      <c r="M519" s="934">
        <v>100</v>
      </c>
    </row>
    <row r="520" spans="1:13" s="1016" customFormat="1" ht="25.2" hidden="1" customHeight="1">
      <c r="A520" s="1086">
        <f t="shared" si="22"/>
        <v>0</v>
      </c>
      <c r="B520" s="1087" t="s">
        <v>1862</v>
      </c>
      <c r="C520" s="2842"/>
      <c r="D520" s="1043"/>
      <c r="E520" s="1012" t="str">
        <f>VLOOKUP($B520,DG!A:D,DG!$B$2,)</f>
        <v>06.3231</v>
      </c>
      <c r="F520" s="1013" t="str">
        <f>VLOOKUP($B520,DG!A:D,DG!$C$2,)</f>
        <v>Cổ dê kẹp ống PVC Ø 114</v>
      </c>
      <c r="G520" s="1012" t="str">
        <f>VLOOKUP($B520,DG!A:D,DG!$D$2,)</f>
        <v>bộ</v>
      </c>
      <c r="H520" s="1100">
        <f>3*H510</f>
        <v>0</v>
      </c>
      <c r="I520" s="1192">
        <f t="shared" si="23"/>
        <v>0</v>
      </c>
      <c r="J520" s="1041"/>
      <c r="K520" s="1041"/>
      <c r="L520" s="1015"/>
      <c r="M520" s="934">
        <v>100</v>
      </c>
    </row>
    <row r="521" spans="1:13" s="1016" customFormat="1" ht="25.2" hidden="1" customHeight="1">
      <c r="A521" s="1086">
        <f t="shared" si="22"/>
        <v>0</v>
      </c>
      <c r="B521" s="1231" t="s">
        <v>1864</v>
      </c>
      <c r="C521" s="2844"/>
      <c r="D521" s="1043"/>
      <c r="E521" s="1012">
        <f>VLOOKUP($B521,DG!A:D,DG!$B$2,)</f>
        <v>0</v>
      </c>
      <c r="F521" s="1013" t="str">
        <f>VLOOKUP($B521,DG!A:D,DG!$C$2,)</f>
        <v>Co  90 độ PVC 114</v>
      </c>
      <c r="G521" s="1012" t="str">
        <f>VLOOKUP($B521,DG!A:D,DG!$D$2,)</f>
        <v>cái</v>
      </c>
      <c r="H521" s="1100">
        <f>2*H510</f>
        <v>0</v>
      </c>
      <c r="I521" s="1192">
        <f t="shared" si="23"/>
        <v>0</v>
      </c>
      <c r="J521" s="1041"/>
      <c r="K521" s="1041"/>
      <c r="L521" s="1015"/>
      <c r="M521" s="934">
        <v>100</v>
      </c>
    </row>
    <row r="522" spans="1:13" s="1016" customFormat="1" ht="25.2" hidden="1" customHeight="1">
      <c r="A522" s="1086">
        <f t="shared" si="22"/>
        <v>0</v>
      </c>
      <c r="B522" s="1231" t="s">
        <v>688</v>
      </c>
      <c r="C522" s="2844"/>
      <c r="D522" s="1043"/>
      <c r="E522" s="1012">
        <f>VLOOKUP($B522,DG!A:D,DG!$B$2,)</f>
        <v>0</v>
      </c>
      <c r="F522" s="1013" t="str">
        <f>VLOOKUP($B522,DG!A:D,DG!$C$2,)</f>
        <v>Nối ống PVC 114</v>
      </c>
      <c r="G522" s="1012" t="str">
        <f>VLOOKUP($B522,DG!A:D,DG!$D$2,)</f>
        <v>cái</v>
      </c>
      <c r="H522" s="1100">
        <f>H510</f>
        <v>0</v>
      </c>
      <c r="I522" s="1192">
        <f t="shared" si="23"/>
        <v>0</v>
      </c>
      <c r="J522" s="1041"/>
      <c r="K522" s="1041"/>
      <c r="L522" s="1015"/>
      <c r="M522" s="934">
        <v>100</v>
      </c>
    </row>
    <row r="523" spans="1:13" s="1016" customFormat="1" ht="25.2" hidden="1" customHeight="1">
      <c r="A523" s="1086">
        <f t="shared" si="22"/>
        <v>0</v>
      </c>
      <c r="B523" s="1231" t="s">
        <v>2074</v>
      </c>
      <c r="C523" s="2844"/>
      <c r="D523" s="1043"/>
      <c r="E523" s="1012">
        <f>VLOOKUP($B523,DG!A:D,DG!$B$2,)</f>
        <v>0</v>
      </c>
      <c r="F523" s="1013" t="str">
        <f>VLOOKUP($B523,DG!A:D,DG!$C$2,)</f>
        <v>Keo dán ống PVC (100gr)</v>
      </c>
      <c r="G523" s="1012" t="str">
        <f>VLOOKUP($B523,DG!A:D,DG!$D$2,)</f>
        <v>tuýp</v>
      </c>
      <c r="H523" s="1100">
        <f>H510</f>
        <v>0</v>
      </c>
      <c r="I523" s="1192">
        <f t="shared" si="23"/>
        <v>0</v>
      </c>
      <c r="J523" s="1041"/>
      <c r="K523" s="1041"/>
      <c r="L523" s="1015"/>
      <c r="M523" s="934">
        <v>100</v>
      </c>
    </row>
    <row r="524" spans="1:13" s="1016" customFormat="1" ht="25.2" hidden="1" customHeight="1">
      <c r="A524" s="1086">
        <f t="shared" si="22"/>
        <v>0</v>
      </c>
      <c r="B524" s="1231" t="s">
        <v>489</v>
      </c>
      <c r="C524" s="2844"/>
      <c r="D524" s="1043"/>
      <c r="E524" s="1012">
        <f>VLOOKUP($B524,DG!A:D,DG!$B$2,)</f>
        <v>0</v>
      </c>
      <c r="F524" s="1013" t="str">
        <f>VLOOKUP($B524,DG!A:D,DG!$C$2,)</f>
        <v>Keo silicon bít miệng ống</v>
      </c>
      <c r="G524" s="1012" t="str">
        <f>VLOOKUP($B524,DG!A:D,DG!$D$2,)</f>
        <v>ống</v>
      </c>
      <c r="H524" s="1100">
        <f>H510</f>
        <v>0</v>
      </c>
      <c r="I524" s="1192">
        <f t="shared" si="23"/>
        <v>0</v>
      </c>
      <c r="J524" s="1041"/>
      <c r="K524" s="1041"/>
      <c r="L524" s="1015"/>
      <c r="M524" s="934">
        <v>100</v>
      </c>
    </row>
    <row r="525" spans="1:13" s="1016" customFormat="1" ht="25.2" hidden="1" customHeight="1">
      <c r="A525" s="1086">
        <f t="shared" si="22"/>
        <v>0</v>
      </c>
      <c r="B525" s="1087" t="s">
        <v>672</v>
      </c>
      <c r="C525" s="2842"/>
      <c r="D525" s="1043"/>
      <c r="E525" s="1121"/>
      <c r="F525" s="1013" t="str">
        <f>VLOOKUP($B525,DG!A:D,DG!$C$2,)</f>
        <v>Băng keo cách điện</v>
      </c>
      <c r="G525" s="1012" t="str">
        <f>VLOOKUP($B525,DG!A:D,DG!$D$2,)</f>
        <v>cuộn</v>
      </c>
      <c r="H525" s="1100">
        <f>H510</f>
        <v>0</v>
      </c>
      <c r="I525" s="1192">
        <f t="shared" si="23"/>
        <v>0</v>
      </c>
      <c r="J525" s="1041"/>
      <c r="K525" s="1041"/>
      <c r="L525" s="1015"/>
      <c r="M525" s="934">
        <v>100</v>
      </c>
    </row>
    <row r="526" spans="1:13" s="1016" customFormat="1" ht="25.2" hidden="1" customHeight="1">
      <c r="A526" s="1086">
        <f t="shared" si="22"/>
        <v>0</v>
      </c>
      <c r="B526" s="1231" t="s">
        <v>2182</v>
      </c>
      <c r="C526" s="2844"/>
      <c r="D526" s="1043"/>
      <c r="E526" s="1012" t="str">
        <f>VLOOKUP($B526,DG!A:D,DG!$B$2,)</f>
        <v>07.2415</v>
      </c>
      <c r="F526" s="1013" t="str">
        <f>VLOOKUP($B526,DG!A:D,DG!$C$2,)</f>
        <v>Lắp ống nhựa PVC D90</v>
      </c>
      <c r="G526" s="1012" t="str">
        <f>VLOOKUP($B526,DG!A:D,DG!$D$2,)</f>
        <v>mét</v>
      </c>
      <c r="H526" s="1100">
        <f>H519</f>
        <v>7</v>
      </c>
      <c r="I526" s="1192">
        <f t="shared" si="23"/>
        <v>0</v>
      </c>
      <c r="J526" s="1041"/>
      <c r="K526" s="1041"/>
      <c r="L526" s="1015"/>
      <c r="M526" s="934">
        <v>100</v>
      </c>
    </row>
    <row r="527" spans="1:13" s="1016" customFormat="1" ht="25.2" hidden="1" customHeight="1">
      <c r="A527" s="1086">
        <f t="shared" si="22"/>
        <v>0</v>
      </c>
      <c r="B527" s="1087" t="s">
        <v>1525</v>
      </c>
      <c r="C527" s="2842"/>
      <c r="D527" s="1043"/>
      <c r="E527" s="1012" t="str">
        <f>VLOOKUP($B527,DG!A:D,DG!$B$2,)</f>
        <v>04.4201</v>
      </c>
      <c r="F527" s="1013" t="str">
        <f>VLOOKUP($B527,DG!A:D,DG!$C$2,)</f>
        <v>Lắp cáp đồng xuống thiết bị D ≤ 95mm2</v>
      </c>
      <c r="G527" s="1012" t="str">
        <f>VLOOKUP($B527,DG!A:D,DG!$D$2,)</f>
        <v>m</v>
      </c>
      <c r="H527" s="1100">
        <f>H512+H513</f>
        <v>0</v>
      </c>
      <c r="I527" s="1192">
        <f t="shared" si="23"/>
        <v>0</v>
      </c>
      <c r="J527" s="1041"/>
      <c r="K527" s="1041"/>
      <c r="L527" s="1015"/>
      <c r="M527" s="934">
        <v>100</v>
      </c>
    </row>
    <row r="528" spans="1:13" s="1016" customFormat="1" ht="25.2" hidden="1" customHeight="1">
      <c r="A528" s="1086">
        <f t="shared" si="22"/>
        <v>0</v>
      </c>
      <c r="B528" s="1231" t="s">
        <v>289</v>
      </c>
      <c r="C528" s="2844"/>
      <c r="D528" s="1103">
        <f>IF(H528&gt;0,D510+1,D510)</f>
        <v>0</v>
      </c>
      <c r="E528" s="1122"/>
      <c r="F528" s="1013" t="str">
        <f>VLOOKUP($B528,DG!A:D,DG!$C$2,)</f>
        <v>Bảng tên trạm, bảng báo nguy hiểm + đinh vít</v>
      </c>
      <c r="G528" s="1012" t="str">
        <f>VLOOKUP($B528,DG!A:D,DG!$D$2,)</f>
        <v>bộ</v>
      </c>
      <c r="H528" s="1708">
        <f>H477</f>
        <v>0</v>
      </c>
      <c r="I528" s="1192">
        <f t="shared" si="23"/>
        <v>0</v>
      </c>
      <c r="J528" s="1041"/>
      <c r="K528" s="1041"/>
      <c r="L528" s="1031"/>
      <c r="M528" s="934">
        <v>100</v>
      </c>
    </row>
    <row r="529" spans="1:13" s="1016" customFormat="1" ht="25.2" hidden="1" customHeight="1">
      <c r="A529" s="1086">
        <f t="shared" si="22"/>
        <v>0</v>
      </c>
      <c r="B529" s="1226"/>
      <c r="C529" s="2841"/>
      <c r="D529" s="1123"/>
      <c r="E529" s="1124"/>
      <c r="F529" s="1003"/>
      <c r="G529" s="1125"/>
      <c r="H529" s="1709"/>
      <c r="I529" s="1192">
        <f t="shared" si="23"/>
        <v>0</v>
      </c>
      <c r="J529" s="1126"/>
      <c r="K529" s="1127"/>
      <c r="L529" s="1069"/>
      <c r="M529" s="934"/>
    </row>
    <row r="530" spans="1:13" s="1016" customFormat="1" ht="25.2" hidden="1" customHeight="1">
      <c r="A530" s="1086">
        <f t="shared" si="22"/>
        <v>0</v>
      </c>
      <c r="B530" s="1226"/>
      <c r="C530" s="2841"/>
      <c r="D530" s="1094"/>
      <c r="E530" s="1133"/>
      <c r="F530" s="1134"/>
      <c r="H530" s="1735"/>
      <c r="I530" s="1192">
        <f t="shared" si="23"/>
        <v>0</v>
      </c>
      <c r="M530" s="934"/>
    </row>
    <row r="531" spans="1:13" s="1016" customFormat="1" ht="25.2" hidden="1" customHeight="1">
      <c r="A531" s="1086">
        <f t="shared" si="22"/>
        <v>0</v>
      </c>
      <c r="B531" s="1226"/>
      <c r="C531" s="2841"/>
      <c r="D531" s="1067" t="str">
        <f>" BAÛNG TOÅNG HÔÏP VAÄT LIEÄU, NHAÂN COÂNG, MAÙY THI COÂNG : "&amp;L6&amp;" TRAÏM 3P 3x15KVA"</f>
        <v xml:space="preserve"> BAÛNG TOÅNG HÔÏP VAÄT LIEÄU, NHAÂN COÂNG, MAÙY THI COÂNG : 0 TRAÏM 3P 3x15KVA</v>
      </c>
      <c r="E531" s="1128"/>
      <c r="F531" s="1033"/>
      <c r="G531" s="1033"/>
      <c r="H531" s="1710"/>
      <c r="I531" s="1192">
        <f t="shared" si="23"/>
        <v>0</v>
      </c>
      <c r="J531" s="1033"/>
      <c r="K531" s="1033"/>
      <c r="M531" s="934"/>
    </row>
    <row r="532" spans="1:13" s="1016" customFormat="1" ht="25.2" hidden="1" customHeight="1">
      <c r="A532" s="1086">
        <f t="shared" si="22"/>
        <v>0</v>
      </c>
      <c r="B532" s="1226"/>
      <c r="C532" s="2841"/>
      <c r="D532" s="1089"/>
      <c r="E532" s="1090"/>
      <c r="F532" s="1003" t="s">
        <v>3672</v>
      </c>
      <c r="G532" s="1092"/>
      <c r="H532" s="1706"/>
      <c r="I532" s="1192">
        <f t="shared" si="23"/>
        <v>0</v>
      </c>
      <c r="J532" s="1092"/>
      <c r="K532" s="1092"/>
      <c r="L532" s="1090"/>
      <c r="M532" s="934" t="s">
        <v>1259</v>
      </c>
    </row>
    <row r="533" spans="1:13" s="1016" customFormat="1" ht="25.2" hidden="1" customHeight="1">
      <c r="A533" s="1086">
        <f t="shared" si="22"/>
        <v>0</v>
      </c>
      <c r="B533" s="1227" t="s">
        <v>822</v>
      </c>
      <c r="C533" s="2840"/>
      <c r="D533" s="1023">
        <f>IF(H533&gt;0,1,0)</f>
        <v>0</v>
      </c>
      <c r="E533" s="1012" t="str">
        <f>VLOOKUP($B533,DG!A:D,DG!$B$2,)</f>
        <v>01.1161</v>
      </c>
      <c r="F533" s="1013" t="str">
        <f>VLOOKUP($B533,DG!A:D,DG!$C$2,)</f>
        <v>Máy biến áp 12,7/0,22-0,44kV  15kVA</v>
      </c>
      <c r="G533" s="1012" t="str">
        <f>VLOOKUP($B533,DG!A:D,DG!$D$2,)</f>
        <v>máy</v>
      </c>
      <c r="H533" s="1711">
        <f>L6*3</f>
        <v>0</v>
      </c>
      <c r="I533" s="1192">
        <f t="shared" si="23"/>
        <v>0</v>
      </c>
      <c r="J533" s="1041"/>
      <c r="K533" s="1041"/>
      <c r="L533" s="1015"/>
      <c r="M533" s="934" t="s">
        <v>1259</v>
      </c>
    </row>
    <row r="534" spans="1:13" s="1016" customFormat="1" ht="25.2" hidden="1" customHeight="1">
      <c r="A534" s="1086">
        <f t="shared" si="22"/>
        <v>0</v>
      </c>
      <c r="B534" s="1227" t="s">
        <v>1652</v>
      </c>
      <c r="C534" s="2840"/>
      <c r="D534" s="1043">
        <f>IF(H534&gt;0,D533+1,D533)</f>
        <v>0</v>
      </c>
      <c r="E534" s="1012" t="str">
        <f>VLOOKUP($B534,DG!A:D,DG!$B$2,)</f>
        <v>02.3155</v>
      </c>
      <c r="F534" s="1013" t="str">
        <f>VLOOKUP($B534,DG!A:D,DG!$C$2,)</f>
        <v>FCO 24kV - 100A</v>
      </c>
      <c r="G534" s="1012" t="str">
        <f>VLOOKUP($B534,DG!A:D,DG!$D$2,)</f>
        <v>cái</v>
      </c>
      <c r="H534" s="1100">
        <f>+H533</f>
        <v>0</v>
      </c>
      <c r="I534" s="1192">
        <f t="shared" si="23"/>
        <v>0</v>
      </c>
      <c r="J534" s="1041"/>
      <c r="K534" s="1041"/>
      <c r="L534" s="1015"/>
      <c r="M534" s="934" t="s">
        <v>1259</v>
      </c>
    </row>
    <row r="535" spans="1:13" s="1016" customFormat="1" ht="25.2" hidden="1" customHeight="1">
      <c r="A535" s="1086">
        <f t="shared" si="22"/>
        <v>0</v>
      </c>
      <c r="B535" s="1227" t="s">
        <v>888</v>
      </c>
      <c r="C535" s="2840"/>
      <c r="D535" s="1043">
        <f>IF(H535&gt;0,D534+1,D534)</f>
        <v>0</v>
      </c>
      <c r="E535" s="1012">
        <f>VLOOKUP($B535,DG!A:D,DG!$B$2,)</f>
        <v>0</v>
      </c>
      <c r="F535" s="1013" t="str">
        <f>VLOOKUP($B535,DG!A:D,DG!$C$2,)</f>
        <v>Dây chảy 3K</v>
      </c>
      <c r="G535" s="1012" t="str">
        <f>VLOOKUP($B535,DG!A:D,DG!$D$2,)</f>
        <v>Sợi</v>
      </c>
      <c r="H535" s="1100">
        <f>H534</f>
        <v>0</v>
      </c>
      <c r="I535" s="1192">
        <f t="shared" si="23"/>
        <v>0</v>
      </c>
      <c r="J535" s="1041"/>
      <c r="K535" s="1041"/>
      <c r="L535" s="1015"/>
      <c r="M535" s="934" t="s">
        <v>1259</v>
      </c>
    </row>
    <row r="536" spans="1:13" s="1016" customFormat="1" ht="25.2" hidden="1" customHeight="1">
      <c r="A536" s="1086">
        <f t="shared" si="22"/>
        <v>0</v>
      </c>
      <c r="B536" s="1226" t="s">
        <v>1373</v>
      </c>
      <c r="C536" s="2841"/>
      <c r="D536" s="1043">
        <f>IF(H536&gt;0,D535+1,D535)</f>
        <v>0</v>
      </c>
      <c r="E536" s="1012" t="str">
        <f>VLOOKUP($B536,DG!A:D,DG!$B$2,)</f>
        <v>02.5114</v>
      </c>
      <c r="F536" s="1013" t="str">
        <f>VLOOKUP($B536,DG!A:D,DG!$C$2,)</f>
        <v>Chống sét van LA-18KV-10KA</v>
      </c>
      <c r="G536" s="1012" t="str">
        <f>VLOOKUP($B536,DG!A:D,DG!$D$2,)</f>
        <v>cái</v>
      </c>
      <c r="H536" s="1100">
        <f>H534</f>
        <v>0</v>
      </c>
      <c r="I536" s="1192">
        <f t="shared" si="23"/>
        <v>0</v>
      </c>
      <c r="J536" s="1041"/>
      <c r="K536" s="1041"/>
      <c r="L536" s="1015"/>
      <c r="M536" s="934" t="s">
        <v>1259</v>
      </c>
    </row>
    <row r="537" spans="1:13" s="1016" customFormat="1" ht="25.2" hidden="1" customHeight="1">
      <c r="A537" s="1086">
        <f t="shared" si="22"/>
        <v>0</v>
      </c>
      <c r="B537" s="1228" t="s">
        <v>81</v>
      </c>
      <c r="C537" s="2840"/>
      <c r="D537" s="1043">
        <f>IF(H537&gt;0,D536+1,D536)</f>
        <v>0</v>
      </c>
      <c r="E537" s="1012" t="str">
        <f>VLOOKUP($B537,DG!A:D,DG!$B$2,)</f>
        <v>02.8401</v>
      </c>
      <c r="F537" s="1013" t="str">
        <f>VLOOKUP($B537,DG!A:D,DG!$C$2,)</f>
        <v>MCCB 3 cực 400V-75A - 10KA</v>
      </c>
      <c r="G537" s="1012" t="str">
        <f>VLOOKUP($B537,DG!A:D,DG!$D$2,)</f>
        <v>cái</v>
      </c>
      <c r="H537" s="1100">
        <f>H533/3</f>
        <v>0</v>
      </c>
      <c r="I537" s="1192">
        <f t="shared" si="23"/>
        <v>0</v>
      </c>
      <c r="J537" s="1041"/>
      <c r="K537" s="1041"/>
      <c r="L537" s="1015"/>
      <c r="M537" s="934" t="s">
        <v>1259</v>
      </c>
    </row>
    <row r="538" spans="1:13" s="1016" customFormat="1" ht="25.2" hidden="1" customHeight="1">
      <c r="A538" s="1086">
        <f t="shared" ref="A538:A601" si="24">IF(AND(M538=$M$23,I538&gt;0),1,0)</f>
        <v>0</v>
      </c>
      <c r="B538" s="1246" t="s">
        <v>1391</v>
      </c>
      <c r="C538" s="2848"/>
      <c r="D538" s="1043">
        <f>IF(H538&gt;0,D537+1,D537)</f>
        <v>0</v>
      </c>
      <c r="E538" s="1012">
        <f>VLOOKUP($B538,DG!A:D,DG!$B$2,)</f>
        <v>0</v>
      </c>
      <c r="F538" s="1013" t="str">
        <f>VLOOKUP($B538,DG!A:D,DG!$C$2,)</f>
        <v>Điện kế 3 pha 4 dây 220/380V-50(100)A</v>
      </c>
      <c r="G538" s="1012" t="str">
        <f>VLOOKUP($B538,DG!A:D,DG!$D$2,)</f>
        <v>cái</v>
      </c>
      <c r="H538" s="1100">
        <f>H535/3</f>
        <v>0</v>
      </c>
      <c r="I538" s="1192">
        <f t="shared" si="23"/>
        <v>0</v>
      </c>
      <c r="J538" s="1041"/>
      <c r="K538" s="1041"/>
      <c r="L538" s="1031" t="s">
        <v>2601</v>
      </c>
      <c r="M538" s="934" t="s">
        <v>1259</v>
      </c>
    </row>
    <row r="539" spans="1:13" s="1016" customFormat="1" ht="25.2" hidden="1" customHeight="1">
      <c r="A539" s="1086">
        <f t="shared" si="24"/>
        <v>0</v>
      </c>
      <c r="B539" s="1226"/>
      <c r="C539" s="2841"/>
      <c r="D539" s="1040"/>
      <c r="E539" s="1135"/>
      <c r="F539" s="1093"/>
      <c r="G539" s="1040"/>
      <c r="H539" s="1135"/>
      <c r="I539" s="1192">
        <f t="shared" si="23"/>
        <v>0</v>
      </c>
      <c r="J539" s="1093"/>
      <c r="K539" s="1040"/>
      <c r="L539" s="1136"/>
      <c r="M539" s="934" t="s">
        <v>1259</v>
      </c>
    </row>
    <row r="540" spans="1:13" s="1016" customFormat="1" ht="25.2" hidden="1" customHeight="1">
      <c r="A540" s="1086">
        <f t="shared" si="24"/>
        <v>0</v>
      </c>
      <c r="B540" s="1226"/>
      <c r="C540" s="2841"/>
      <c r="D540" s="1114"/>
      <c r="E540" s="1137"/>
      <c r="F540" s="1003" t="s">
        <v>3673</v>
      </c>
      <c r="G540" s="1003"/>
      <c r="H540" s="1706"/>
      <c r="I540" s="1192">
        <f t="shared" si="23"/>
        <v>0</v>
      </c>
      <c r="J540" s="1003"/>
      <c r="K540" s="1003"/>
      <c r="L540" s="1069"/>
      <c r="M540" s="934" t="s">
        <v>1259</v>
      </c>
    </row>
    <row r="541" spans="1:13" s="1016" customFormat="1" ht="25.2" hidden="1" customHeight="1">
      <c r="A541" s="1086">
        <f t="shared" si="24"/>
        <v>0</v>
      </c>
      <c r="B541" s="1226"/>
      <c r="C541" s="2841"/>
      <c r="D541" s="1138">
        <f>IF(H541&gt;0,1,0)</f>
        <v>0</v>
      </c>
      <c r="E541" s="1139"/>
      <c r="F541" s="1140" t="s">
        <v>3692</v>
      </c>
      <c r="G541" s="1138" t="s">
        <v>2385</v>
      </c>
      <c r="H541" s="1714">
        <f>H533/3</f>
        <v>0</v>
      </c>
      <c r="I541" s="1192">
        <f t="shared" si="23"/>
        <v>0</v>
      </c>
      <c r="J541" s="1141"/>
      <c r="K541" s="1141"/>
      <c r="L541" s="1129"/>
      <c r="M541" s="934" t="s">
        <v>1259</v>
      </c>
    </row>
    <row r="542" spans="1:13" s="1016" customFormat="1" ht="25.2" hidden="1" customHeight="1">
      <c r="A542" s="1086">
        <f t="shared" si="24"/>
        <v>0</v>
      </c>
      <c r="B542" s="1226"/>
      <c r="C542" s="2841"/>
      <c r="D542" s="1099"/>
      <c r="E542" s="1142"/>
      <c r="F542" s="1265" t="s">
        <v>2279</v>
      </c>
      <c r="G542" s="1043"/>
      <c r="H542" s="1100"/>
      <c r="I542" s="1192">
        <f t="shared" si="23"/>
        <v>0</v>
      </c>
      <c r="J542" s="1143"/>
      <c r="K542" s="1143"/>
      <c r="L542" s="1015"/>
      <c r="M542" s="934" t="s">
        <v>1259</v>
      </c>
    </row>
    <row r="543" spans="1:13" s="1016" customFormat="1" ht="25.2" hidden="1" customHeight="1">
      <c r="A543" s="1086">
        <f t="shared" si="24"/>
        <v>0</v>
      </c>
      <c r="B543" s="1087" t="s">
        <v>1586</v>
      </c>
      <c r="C543" s="2842"/>
      <c r="D543" s="1099"/>
      <c r="E543" s="1012" t="str">
        <f>VLOOKUP($B543,DG!A:D,DG!$B$2,)</f>
        <v>05.6100</v>
      </c>
      <c r="F543" s="1013" t="str">
        <f>VLOOKUP($B543,DG!A:D,DG!$C$2,)</f>
        <v>Giá chùm treo máy biến áp 3x15</v>
      </c>
      <c r="G543" s="1012" t="str">
        <f>VLOOKUP($B543,DG!A:D,DG!$D$2,)</f>
        <v>bô</v>
      </c>
      <c r="H543" s="1100">
        <f>H541*24.13*0+1*H541</f>
        <v>0</v>
      </c>
      <c r="I543" s="1192">
        <f t="shared" si="23"/>
        <v>0</v>
      </c>
      <c r="J543" s="1041"/>
      <c r="K543" s="1041"/>
      <c r="L543" s="1015"/>
      <c r="M543" s="934" t="s">
        <v>1259</v>
      </c>
    </row>
    <row r="544" spans="1:13" s="1016" customFormat="1" ht="25.2" hidden="1" customHeight="1">
      <c r="A544" s="1086">
        <f t="shared" si="24"/>
        <v>0</v>
      </c>
      <c r="B544" s="1226" t="s">
        <v>1786</v>
      </c>
      <c r="C544" s="2841"/>
      <c r="D544" s="1099"/>
      <c r="E544" s="1012">
        <f>VLOOKUP($B544,DG!A:D,DG!$B$2,)</f>
        <v>0</v>
      </c>
      <c r="F544" s="1013" t="str">
        <f>VLOOKUP($B544,DG!A:D,DG!$C$2,)</f>
        <v>Boulon 16x50+ 2 long đền vuông D18-50x50x3/Zn</v>
      </c>
      <c r="G544" s="1012" t="str">
        <f>VLOOKUP($B544,DG!A:D,DG!$D$2,)</f>
        <v>bộ</v>
      </c>
      <c r="H544" s="1100">
        <f>6*H541</f>
        <v>0</v>
      </c>
      <c r="I544" s="1192">
        <f t="shared" si="23"/>
        <v>0</v>
      </c>
      <c r="J544" s="1041"/>
      <c r="K544" s="1041"/>
      <c r="L544" s="1015"/>
      <c r="M544" s="934" t="s">
        <v>1259</v>
      </c>
    </row>
    <row r="545" spans="1:14" s="1016" customFormat="1" ht="25.2" hidden="1" customHeight="1">
      <c r="A545" s="1086">
        <f t="shared" si="24"/>
        <v>0</v>
      </c>
      <c r="B545" s="1226" t="s">
        <v>1610</v>
      </c>
      <c r="C545" s="2841"/>
      <c r="D545" s="1099"/>
      <c r="E545" s="1012">
        <f>VLOOKUP($B545,DG!A:D,DG!$B$2,)</f>
        <v>0</v>
      </c>
      <c r="F545" s="1013" t="str">
        <f>VLOOKUP($B545,DG!A:D,DG!$C$2,)</f>
        <v>Boulon 16x300+ 2 long đền vuông D18-50x50x3/Zn</v>
      </c>
      <c r="G545" s="1012" t="str">
        <f>VLOOKUP($B545,DG!A:D,DG!$D$2,)</f>
        <v>bộ</v>
      </c>
      <c r="H545" s="1100">
        <f>2*H541</f>
        <v>0</v>
      </c>
      <c r="I545" s="1192">
        <f t="shared" si="23"/>
        <v>0</v>
      </c>
      <c r="J545" s="1041"/>
      <c r="K545" s="1041"/>
      <c r="L545" s="1015"/>
      <c r="M545" s="934" t="s">
        <v>1259</v>
      </c>
    </row>
    <row r="546" spans="1:14" s="1016" customFormat="1" ht="25.2" hidden="1" customHeight="1">
      <c r="A546" s="1086">
        <f t="shared" si="24"/>
        <v>0</v>
      </c>
      <c r="B546" s="1226"/>
      <c r="C546" s="2841"/>
      <c r="D546" s="1011">
        <f>IF(H546&gt;0,D541+1,D541)</f>
        <v>0</v>
      </c>
      <c r="E546" s="1118"/>
      <c r="F546" s="1119" t="s">
        <v>3674</v>
      </c>
      <c r="G546" s="1099" t="s">
        <v>2385</v>
      </c>
      <c r="H546" s="1707"/>
      <c r="I546" s="1192">
        <f t="shared" si="23"/>
        <v>0</v>
      </c>
      <c r="J546" s="1064"/>
      <c r="K546" s="1064"/>
      <c r="L546" s="1043"/>
      <c r="M546" s="934" t="s">
        <v>1259</v>
      </c>
    </row>
    <row r="547" spans="1:14" s="1016" customFormat="1" ht="25.2" hidden="1" customHeight="1">
      <c r="A547" s="1086">
        <f t="shared" si="24"/>
        <v>0</v>
      </c>
      <c r="B547" s="1226"/>
      <c r="C547" s="2841"/>
      <c r="D547" s="1099"/>
      <c r="E547" s="1118"/>
      <c r="F547" s="1264" t="s">
        <v>2279</v>
      </c>
      <c r="G547" s="1043"/>
      <c r="H547" s="1100"/>
      <c r="I547" s="1192">
        <f t="shared" si="23"/>
        <v>0</v>
      </c>
      <c r="J547" s="1064"/>
      <c r="K547" s="1064"/>
      <c r="L547" s="1043"/>
      <c r="M547" s="934" t="s">
        <v>1259</v>
      </c>
      <c r="N547" s="1120"/>
    </row>
    <row r="548" spans="1:14" s="1016" customFormat="1" ht="25.2" hidden="1" customHeight="1">
      <c r="A548" s="1086">
        <f t="shared" si="24"/>
        <v>0</v>
      </c>
      <c r="B548" s="1087" t="s">
        <v>115</v>
      </c>
      <c r="C548" s="2842"/>
      <c r="D548" s="1043"/>
      <c r="E548" s="1012">
        <f>VLOOKUP($B548,DG!A:D,DG!$B$2,)</f>
        <v>0</v>
      </c>
      <c r="F548" s="1013" t="str">
        <f>VLOOKUP($B548,DG!A:D,DG!$C$2,)</f>
        <v>Trụ BTLT 12m F540 dự ứng lực</v>
      </c>
      <c r="G548" s="1012" t="str">
        <f>VLOOKUP($B548,DG!A:D,DG!$D$2,)</f>
        <v>trụ</v>
      </c>
      <c r="H548" s="1100">
        <f>1*H546</f>
        <v>0</v>
      </c>
      <c r="I548" s="1192">
        <f t="shared" si="23"/>
        <v>0</v>
      </c>
      <c r="J548" s="1041"/>
      <c r="K548" s="1041"/>
      <c r="L548" s="1043"/>
      <c r="M548" s="934" t="s">
        <v>1259</v>
      </c>
      <c r="N548" s="1120"/>
    </row>
    <row r="549" spans="1:14" s="1016" customFormat="1" ht="25.2" hidden="1" customHeight="1">
      <c r="A549" s="1086">
        <f t="shared" si="24"/>
        <v>0</v>
      </c>
      <c r="B549" s="1087" t="s">
        <v>1814</v>
      </c>
      <c r="C549" s="2842"/>
      <c r="D549" s="1043"/>
      <c r="E549" s="1121"/>
      <c r="F549" s="1013" t="str">
        <f>VLOOKUP($B549,DG!A:D,DG!$C$2,)</f>
        <v>Vật liệu dựng trụ</v>
      </c>
      <c r="G549" s="1012" t="str">
        <f>VLOOKUP($B549,DG!A:D,DG!$D$2,)</f>
        <v>trụ</v>
      </c>
      <c r="H549" s="1100">
        <f>H548</f>
        <v>0</v>
      </c>
      <c r="I549" s="1192">
        <f t="shared" si="23"/>
        <v>0</v>
      </c>
      <c r="J549" s="1041"/>
      <c r="K549" s="1041"/>
      <c r="L549" s="1043"/>
      <c r="M549" s="934" t="s">
        <v>1259</v>
      </c>
      <c r="N549" s="1120"/>
    </row>
    <row r="550" spans="1:14" s="1016" customFormat="1" ht="25.2" hidden="1" customHeight="1">
      <c r="A550" s="1086">
        <f t="shared" si="24"/>
        <v>0</v>
      </c>
      <c r="B550" s="1087" t="s">
        <v>2126</v>
      </c>
      <c r="C550" s="2842"/>
      <c r="D550" s="1043"/>
      <c r="E550" s="1121"/>
      <c r="F550" s="1013" t="str">
        <f>VLOOKUP($B550,DG!A:D,DG!$C$2,)</f>
        <v>Dựng trụ BTLT 12m trong TBA bằng thủ công + cơ giới</v>
      </c>
      <c r="G550" s="1012" t="str">
        <f>VLOOKUP($B550,DG!A:D,DG!$D$2,)</f>
        <v>trụ</v>
      </c>
      <c r="H550" s="1100">
        <f>H548</f>
        <v>0</v>
      </c>
      <c r="I550" s="1192">
        <f t="shared" si="23"/>
        <v>0</v>
      </c>
      <c r="J550" s="1041"/>
      <c r="K550" s="1041"/>
      <c r="L550" s="1043"/>
      <c r="M550" s="934" t="s">
        <v>1259</v>
      </c>
      <c r="N550" s="1120"/>
    </row>
    <row r="551" spans="1:14" s="1016" customFormat="1" ht="25.2" hidden="1" customHeight="1">
      <c r="A551" s="1086">
        <f t="shared" si="24"/>
        <v>0</v>
      </c>
      <c r="B551" s="1226"/>
      <c r="C551" s="2841"/>
      <c r="D551" s="1011">
        <f>IF(H551&gt;0,D546+1,D546)</f>
        <v>0</v>
      </c>
      <c r="E551" s="1118"/>
      <c r="F551" s="1119" t="s">
        <v>2352</v>
      </c>
      <c r="G551" s="1099" t="s">
        <v>2385</v>
      </c>
      <c r="H551" s="1707"/>
      <c r="I551" s="1192">
        <f t="shared" si="23"/>
        <v>0</v>
      </c>
      <c r="J551" s="1064"/>
      <c r="K551" s="1064"/>
      <c r="L551" s="1043"/>
      <c r="M551" s="934" t="s">
        <v>1259</v>
      </c>
    </row>
    <row r="552" spans="1:14" s="1016" customFormat="1" ht="25.2" hidden="1" customHeight="1">
      <c r="A552" s="1086">
        <f t="shared" si="24"/>
        <v>0</v>
      </c>
      <c r="B552" s="1226"/>
      <c r="C552" s="2841"/>
      <c r="D552" s="1099"/>
      <c r="E552" s="1118"/>
      <c r="F552" s="1264" t="s">
        <v>2279</v>
      </c>
      <c r="G552" s="1043"/>
      <c r="H552" s="1100"/>
      <c r="I552" s="1192">
        <f t="shared" si="23"/>
        <v>0</v>
      </c>
      <c r="J552" s="1064"/>
      <c r="K552" s="1064"/>
      <c r="L552" s="1043"/>
      <c r="M552" s="934" t="s">
        <v>1259</v>
      </c>
      <c r="N552" s="1120"/>
    </row>
    <row r="553" spans="1:14" s="1016" customFormat="1" ht="25.2" hidden="1" customHeight="1">
      <c r="A553" s="1086">
        <f t="shared" si="24"/>
        <v>0</v>
      </c>
      <c r="B553" s="1233" t="s">
        <v>230</v>
      </c>
      <c r="C553" s="2843"/>
      <c r="D553" s="1043"/>
      <c r="E553" s="1012" t="str">
        <f>VLOOKUP($B553,DG!A:D,DG!$B$2,)</f>
        <v>04.4001</v>
      </c>
      <c r="F553" s="1013" t="str">
        <f>VLOOKUP($B553,DG!A:D,DG!$C$2,)</f>
        <v>Đà cản BTCT 1,2m</v>
      </c>
      <c r="G553" s="1012" t="str">
        <f>VLOOKUP($B553,DG!A:D,DG!$D$2,)</f>
        <v>cái</v>
      </c>
      <c r="H553" s="1100">
        <f>1*H551</f>
        <v>0</v>
      </c>
      <c r="I553" s="1192">
        <f t="shared" si="23"/>
        <v>0</v>
      </c>
      <c r="J553" s="1041"/>
      <c r="K553" s="1041"/>
      <c r="L553" s="1043"/>
      <c r="M553" s="934" t="s">
        <v>1259</v>
      </c>
      <c r="N553" s="1120"/>
    </row>
    <row r="554" spans="1:14" s="1016" customFormat="1" ht="25.2" hidden="1" customHeight="1">
      <c r="A554" s="1086">
        <f t="shared" si="24"/>
        <v>0</v>
      </c>
      <c r="B554" s="1233" t="s">
        <v>398</v>
      </c>
      <c r="C554" s="2843"/>
      <c r="D554" s="1043"/>
      <c r="E554" s="1012">
        <f>VLOOKUP($B554,DG!A:D,DG!$B$2,)</f>
        <v>0</v>
      </c>
      <c r="F554" s="1013" t="str">
        <f>VLOOKUP($B554,DG!A:D,DG!$C$2,)</f>
        <v>Boulon 22x650+ 2 long đền vuông D24-50x50x3/Zn</v>
      </c>
      <c r="G554" s="1012" t="str">
        <f>VLOOKUP($B554,DG!A:D,DG!$D$2,)</f>
        <v>bộ</v>
      </c>
      <c r="H554" s="1100">
        <f>H551</f>
        <v>0</v>
      </c>
      <c r="I554" s="1192">
        <f t="shared" si="23"/>
        <v>0</v>
      </c>
      <c r="J554" s="1041"/>
      <c r="K554" s="1041"/>
      <c r="L554" s="1043"/>
      <c r="M554" s="934" t="s">
        <v>1259</v>
      </c>
      <c r="N554" s="1120"/>
    </row>
    <row r="555" spans="1:14" s="1016" customFormat="1" ht="25.2" hidden="1" customHeight="1">
      <c r="A555" s="1086">
        <f t="shared" si="24"/>
        <v>0</v>
      </c>
      <c r="B555" s="1233" t="str">
        <f>IF(chitiet!G5=1,"MDD1",IF(chitiet!G5=2,"MDD2",IF(chitiet!G5=3,"MDD3",IF(chitiet!G5=4,"MDD4"))))</f>
        <v>MDD3</v>
      </c>
      <c r="C555" s="2843"/>
      <c r="D555" s="1043"/>
      <c r="E555" s="1012" t="str">
        <f>VLOOKUP($B555,DG!A:D,DG!$B$2,)</f>
        <v>03.1013</v>
      </c>
      <c r="F555" s="1013" t="str">
        <f>VLOOKUP($B555,DG!A:D,DG!$C$2,)</f>
        <v>Đào hố móng đất cấp 3 sâu &gt;1m</v>
      </c>
      <c r="G555" s="1012" t="str">
        <f>VLOOKUP($B555,DG!A:D,DG!$D$2,)</f>
        <v>m3</v>
      </c>
      <c r="H555" s="1100">
        <f>H551*1.45</f>
        <v>0</v>
      </c>
      <c r="I555" s="1192">
        <f t="shared" si="23"/>
        <v>0</v>
      </c>
      <c r="J555" s="1041"/>
      <c r="K555" s="1041"/>
      <c r="L555" s="1043"/>
      <c r="M555" s="934" t="s">
        <v>1259</v>
      </c>
      <c r="N555" s="1120"/>
    </row>
    <row r="556" spans="1:14" s="1016" customFormat="1" ht="25.2" hidden="1" customHeight="1">
      <c r="A556" s="1086">
        <f t="shared" si="24"/>
        <v>0</v>
      </c>
      <c r="B556" s="1233" t="str">
        <f>IF(chitiet!G5=1,"MDAP1",IF(chitiet!G5=2,"MDAP2",IF(chitiet!G5=3,"MDAP3",IF(chitiet!G5=4,"MDAP4"))))</f>
        <v>MDAP3</v>
      </c>
      <c r="C556" s="2843"/>
      <c r="D556" s="1043"/>
      <c r="E556" s="1012" t="str">
        <f>VLOOKUP($B556,DG!A:D,DG!$B$2,)</f>
        <v>03.4113</v>
      </c>
      <c r="F556" s="1013" t="str">
        <f>VLOOKUP($B556,DG!A:D,DG!$C$2,)</f>
        <v>Đắp đất hố móng, độ chặt k=0,95</v>
      </c>
      <c r="G556" s="1012" t="str">
        <f>VLOOKUP($B556,DG!A:D,DG!$D$2,)</f>
        <v>m3</v>
      </c>
      <c r="H556" s="1100">
        <f>H551*1.37</f>
        <v>0</v>
      </c>
      <c r="I556" s="1192">
        <f t="shared" si="23"/>
        <v>0</v>
      </c>
      <c r="J556" s="1041"/>
      <c r="K556" s="1041"/>
      <c r="L556" s="1043"/>
      <c r="M556" s="934" t="s">
        <v>1259</v>
      </c>
      <c r="N556" s="1120"/>
    </row>
    <row r="557" spans="1:14" s="1016" customFormat="1" ht="25.2" hidden="1" customHeight="1">
      <c r="A557" s="1086">
        <f t="shared" si="24"/>
        <v>0</v>
      </c>
      <c r="B557" s="1226"/>
      <c r="C557" s="2841"/>
      <c r="D557" s="1099">
        <f>IF(H557&gt;0,D551+1,D551)</f>
        <v>0</v>
      </c>
      <c r="E557" s="1142"/>
      <c r="F557" s="1130" t="s">
        <v>3693</v>
      </c>
      <c r="G557" s="1099" t="s">
        <v>2385</v>
      </c>
      <c r="H557" s="1707">
        <f>H541</f>
        <v>0</v>
      </c>
      <c r="I557" s="1192">
        <f t="shared" ref="I557:I620" si="25">IF(M557=$M$23,H557+J557-K557,0)</f>
        <v>0</v>
      </c>
      <c r="J557" s="1111"/>
      <c r="K557" s="1111"/>
      <c r="L557" s="1015"/>
      <c r="M557" s="934" t="s">
        <v>1259</v>
      </c>
    </row>
    <row r="558" spans="1:14" s="1016" customFormat="1" ht="25.2" hidden="1" customHeight="1">
      <c r="A558" s="1086">
        <f t="shared" si="24"/>
        <v>0</v>
      </c>
      <c r="B558" s="1226"/>
      <c r="C558" s="2841"/>
      <c r="D558" s="1099"/>
      <c r="E558" s="1142"/>
      <c r="F558" s="1265" t="s">
        <v>2279</v>
      </c>
      <c r="G558" s="1043"/>
      <c r="H558" s="1100"/>
      <c r="I558" s="1192">
        <f t="shared" si="25"/>
        <v>0</v>
      </c>
      <c r="J558" s="1111"/>
      <c r="K558" s="1111"/>
      <c r="L558" s="1015"/>
      <c r="M558" s="934" t="s">
        <v>1259</v>
      </c>
    </row>
    <row r="559" spans="1:14" s="1016" customFormat="1" ht="25.2" hidden="1" customHeight="1">
      <c r="A559" s="1086">
        <f t="shared" si="24"/>
        <v>0</v>
      </c>
      <c r="B559" s="1233" t="s">
        <v>109</v>
      </c>
      <c r="C559" s="2843"/>
      <c r="D559" s="1099"/>
      <c r="E559" s="1012">
        <f>VLOOKUP($B559,DG!A:D,DG!$B$2,)</f>
        <v>0</v>
      </c>
      <c r="F559" s="1013" t="str">
        <f>VLOOKUP($B559,DG!A:D,DG!$C$2,)</f>
        <v>Sắt góc L75 x75 x8</v>
      </c>
      <c r="G559" s="1012" t="str">
        <f>VLOOKUP($B559,DG!A:D,DG!$D$2,)</f>
        <v>kg</v>
      </c>
      <c r="H559" s="1100">
        <f>H557*9.02*(2.2+4*0.07)</f>
        <v>0</v>
      </c>
      <c r="I559" s="1192">
        <f t="shared" si="25"/>
        <v>0</v>
      </c>
      <c r="J559" s="1041"/>
      <c r="K559" s="1041"/>
      <c r="L559" s="1015"/>
      <c r="M559" s="934" t="s">
        <v>1259</v>
      </c>
    </row>
    <row r="560" spans="1:14" s="1016" customFormat="1" ht="25.2" hidden="1" customHeight="1">
      <c r="A560" s="1086">
        <f t="shared" si="24"/>
        <v>0</v>
      </c>
      <c r="B560" s="1226" t="s">
        <v>457</v>
      </c>
      <c r="C560" s="2841"/>
      <c r="D560" s="1099"/>
      <c r="E560" s="1012">
        <f>VLOOKUP($B560,DG!A:D,DG!$B$2,)</f>
        <v>0</v>
      </c>
      <c r="F560" s="1013" t="str">
        <f>VLOOKUP($B560,DG!A:D,DG!$C$2,)</f>
        <v>Sắt góc L50 x50 x5</v>
      </c>
      <c r="G560" s="1012" t="str">
        <f>VLOOKUP($B560,DG!A:D,DG!$D$2,)</f>
        <v>kg</v>
      </c>
      <c r="H560" s="1100">
        <f>H557*2*3.77*0.81</f>
        <v>0</v>
      </c>
      <c r="I560" s="1192">
        <f t="shared" si="25"/>
        <v>0</v>
      </c>
      <c r="J560" s="1041"/>
      <c r="K560" s="1041"/>
      <c r="L560" s="1015"/>
      <c r="M560" s="934" t="s">
        <v>1259</v>
      </c>
    </row>
    <row r="561" spans="1:13" s="1016" customFormat="1" ht="25.2" hidden="1" customHeight="1">
      <c r="A561" s="1086">
        <f t="shared" si="24"/>
        <v>0</v>
      </c>
      <c r="B561" s="1226" t="s">
        <v>1786</v>
      </c>
      <c r="C561" s="2841"/>
      <c r="D561" s="1099"/>
      <c r="E561" s="1012">
        <f>VLOOKUP($B561,DG!A:D,DG!$B$2,)</f>
        <v>0</v>
      </c>
      <c r="F561" s="1013" t="str">
        <f>VLOOKUP($B561,DG!A:D,DG!$C$2,)</f>
        <v>Boulon 16x50+ 2 long đền vuông D18-50x50x3/Zn</v>
      </c>
      <c r="G561" s="1012" t="str">
        <f>VLOOKUP($B561,DG!A:D,DG!$D$2,)</f>
        <v>bộ</v>
      </c>
      <c r="H561" s="1100">
        <f>4*H557</f>
        <v>0</v>
      </c>
      <c r="I561" s="1192">
        <f t="shared" si="25"/>
        <v>0</v>
      </c>
      <c r="J561" s="1041"/>
      <c r="K561" s="1041"/>
      <c r="L561" s="1015"/>
      <c r="M561" s="934" t="s">
        <v>1259</v>
      </c>
    </row>
    <row r="562" spans="1:13" s="1016" customFormat="1" ht="25.2" hidden="1" customHeight="1">
      <c r="A562" s="1086">
        <f t="shared" si="24"/>
        <v>0</v>
      </c>
      <c r="B562" s="1226" t="s">
        <v>1609</v>
      </c>
      <c r="C562" s="2841"/>
      <c r="D562" s="1099"/>
      <c r="E562" s="1012">
        <f>VLOOKUP($B562,DG!A:D,DG!$B$2,)</f>
        <v>0</v>
      </c>
      <c r="F562" s="1013" t="str">
        <f>VLOOKUP($B562,DG!A:D,DG!$C$2,)</f>
        <v>Boulon 16x250+ 2 long đền vuông D18-50x50x3/Zn</v>
      </c>
      <c r="G562" s="1012" t="str">
        <f>VLOOKUP($B562,DG!A:D,DG!$D$2,)</f>
        <v>bộ</v>
      </c>
      <c r="H562" s="1100">
        <f>2*H557</f>
        <v>0</v>
      </c>
      <c r="I562" s="1192">
        <f t="shared" si="25"/>
        <v>0</v>
      </c>
      <c r="J562" s="1041"/>
      <c r="K562" s="1041"/>
      <c r="L562" s="1015"/>
      <c r="M562" s="934" t="s">
        <v>1259</v>
      </c>
    </row>
    <row r="563" spans="1:13" s="1016" customFormat="1" ht="25.2" hidden="1" customHeight="1">
      <c r="A563" s="1086">
        <f t="shared" si="24"/>
        <v>0</v>
      </c>
      <c r="B563" s="1226" t="s">
        <v>2271</v>
      </c>
      <c r="C563" s="2841"/>
      <c r="D563" s="1099"/>
      <c r="E563" s="1012">
        <f>VLOOKUP($B563,DG!A:D,DG!$B$2,)</f>
        <v>0</v>
      </c>
      <c r="F563" s="1013" t="str">
        <f>VLOOKUP($B563,DG!A:D,DG!$C$2,)</f>
        <v>Bass LL bắt FCO, LA</v>
      </c>
      <c r="G563" s="1012" t="str">
        <f>VLOOKUP($B563,DG!A:D,DG!$D$2,)</f>
        <v>bộ</v>
      </c>
      <c r="H563" s="1100">
        <f>H557*3</f>
        <v>0</v>
      </c>
      <c r="I563" s="1192">
        <f t="shared" si="25"/>
        <v>0</v>
      </c>
      <c r="J563" s="1041"/>
      <c r="K563" s="1041"/>
      <c r="L563" s="1015"/>
      <c r="M563" s="934" t="s">
        <v>1259</v>
      </c>
    </row>
    <row r="564" spans="1:13" s="1016" customFormat="1" ht="25.2" hidden="1" customHeight="1">
      <c r="A564" s="1086">
        <f t="shared" si="24"/>
        <v>0</v>
      </c>
      <c r="B564" s="1226" t="s">
        <v>516</v>
      </c>
      <c r="C564" s="2841"/>
      <c r="D564" s="1099"/>
      <c r="E564" s="1012" t="str">
        <f>VLOOKUP($B564,DG!A:D,DG!$B$2,)</f>
        <v>05.6102</v>
      </c>
      <c r="F564" s="1013" t="str">
        <f>VLOOKUP($B564,DG!A:D,DG!$C$2,)</f>
        <v>Lắp xà đỡ ≤ 50kg</v>
      </c>
      <c r="G564" s="1012" t="str">
        <f>VLOOKUP($B564,DG!A:D,DG!$D$2,)</f>
        <v>bộ</v>
      </c>
      <c r="H564" s="1100">
        <f>H557</f>
        <v>0</v>
      </c>
      <c r="I564" s="1192">
        <f t="shared" si="25"/>
        <v>0</v>
      </c>
      <c r="J564" s="1041"/>
      <c r="K564" s="1041"/>
      <c r="L564" s="1015"/>
      <c r="M564" s="934" t="s">
        <v>1259</v>
      </c>
    </row>
    <row r="565" spans="1:13" s="1016" customFormat="1" ht="25.2" hidden="1" customHeight="1">
      <c r="A565" s="1086">
        <f t="shared" si="24"/>
        <v>0</v>
      </c>
      <c r="B565" s="1226"/>
      <c r="C565" s="2841"/>
      <c r="D565" s="1099">
        <f>IF(H565&gt;0,D557+1,D557)</f>
        <v>0</v>
      </c>
      <c r="E565" s="1142"/>
      <c r="F565" s="1130" t="s">
        <v>3694</v>
      </c>
      <c r="G565" s="1099" t="s">
        <v>2385</v>
      </c>
      <c r="H565" s="1707">
        <f>H541</f>
        <v>0</v>
      </c>
      <c r="I565" s="1192">
        <f t="shared" si="25"/>
        <v>0</v>
      </c>
      <c r="J565" s="1111"/>
      <c r="K565" s="1111"/>
      <c r="L565" s="1015"/>
      <c r="M565" s="934" t="s">
        <v>1259</v>
      </c>
    </row>
    <row r="566" spans="1:13" s="1016" customFormat="1" ht="25.2" hidden="1" customHeight="1">
      <c r="A566" s="1086">
        <f t="shared" si="24"/>
        <v>0</v>
      </c>
      <c r="B566" s="1226"/>
      <c r="C566" s="2841"/>
      <c r="D566" s="1099"/>
      <c r="E566" s="1142"/>
      <c r="F566" s="1015" t="s">
        <v>3695</v>
      </c>
      <c r="G566" s="1043"/>
      <c r="H566" s="1100"/>
      <c r="I566" s="1192">
        <f t="shared" si="25"/>
        <v>0</v>
      </c>
      <c r="J566" s="1111"/>
      <c r="K566" s="1111"/>
      <c r="L566" s="1015"/>
      <c r="M566" s="934" t="s">
        <v>1259</v>
      </c>
    </row>
    <row r="567" spans="1:13" s="1016" customFormat="1" ht="25.2" hidden="1" customHeight="1">
      <c r="A567" s="1086">
        <f t="shared" si="24"/>
        <v>0</v>
      </c>
      <c r="B567" s="1226" t="s">
        <v>103</v>
      </c>
      <c r="C567" s="2841"/>
      <c r="D567" s="1043"/>
      <c r="E567" s="1012">
        <f>VLOOKUP($B567,DG!A:D,DG!$B$2,)</f>
        <v>0</v>
      </c>
      <c r="F567" s="1013" t="str">
        <f>VLOOKUP($B567,DG!A:D,DG!$C$2,)</f>
        <v>Cáp đồng trần M25mm2</v>
      </c>
      <c r="G567" s="1012" t="str">
        <f>VLOOKUP($B567,DG!A:D,DG!$D$2,)</f>
        <v>kg</v>
      </c>
      <c r="H567" s="1100">
        <f>I2*H565*0.224</f>
        <v>0</v>
      </c>
      <c r="I567" s="1192">
        <f t="shared" si="25"/>
        <v>0</v>
      </c>
      <c r="J567" s="1041"/>
      <c r="K567" s="1041"/>
      <c r="L567" s="1015"/>
      <c r="M567" s="934" t="s">
        <v>1259</v>
      </c>
    </row>
    <row r="568" spans="1:13" s="1016" customFormat="1" ht="25.2" hidden="1" customHeight="1">
      <c r="A568" s="1086">
        <f t="shared" si="24"/>
        <v>0</v>
      </c>
      <c r="B568" s="1087" t="s">
        <v>1508</v>
      </c>
      <c r="C568" s="2842"/>
      <c r="D568" s="1043"/>
      <c r="E568" s="1012">
        <f>VLOOKUP($B568,DG!A:D,DG!$B$2,)</f>
        <v>0</v>
      </c>
      <c r="F568" s="1013" t="str">
        <f>VLOOKUP($B568,DG!A:D,DG!$C$2,)</f>
        <v>Cọc tiếp đất Þ 16- 2,4m + kẹp cọc mạ đồng</v>
      </c>
      <c r="G568" s="1012" t="str">
        <f>VLOOKUP($B568,DG!A:D,DG!$D$2,)</f>
        <v>bộ</v>
      </c>
      <c r="H568" s="1100">
        <f>(I3)*H565</f>
        <v>0</v>
      </c>
      <c r="I568" s="1192">
        <f t="shared" si="25"/>
        <v>0</v>
      </c>
      <c r="J568" s="1041"/>
      <c r="K568" s="1041"/>
      <c r="L568" s="1015"/>
      <c r="M568" s="934" t="s">
        <v>1259</v>
      </c>
    </row>
    <row r="569" spans="1:13" s="1016" customFormat="1" ht="25.2" hidden="1" customHeight="1">
      <c r="A569" s="1086">
        <f t="shared" si="24"/>
        <v>0</v>
      </c>
      <c r="B569" s="1087" t="s">
        <v>3446</v>
      </c>
      <c r="C569" s="2842"/>
      <c r="D569" s="1043"/>
      <c r="E569" s="1012">
        <f>VLOOKUP($B569,DG!A:D,DG!$B$2,)</f>
        <v>0</v>
      </c>
      <c r="F569" s="1013" t="str">
        <f>VLOOKUP($B569,DG!A:D,DG!$C$2,)</f>
        <v>Giếng tiếp địa khoan đá</v>
      </c>
      <c r="G569" s="1012" t="str">
        <f>VLOOKUP($B569,DG!A:D,DG!$D$2,)</f>
        <v>Cái</v>
      </c>
      <c r="H569" s="1100">
        <f>I3*H565</f>
        <v>0</v>
      </c>
      <c r="I569" s="1192">
        <f t="shared" si="25"/>
        <v>0</v>
      </c>
      <c r="J569" s="1041"/>
      <c r="K569" s="1041"/>
      <c r="L569" s="1015"/>
      <c r="M569" s="934" t="s">
        <v>1259</v>
      </c>
    </row>
    <row r="570" spans="1:13" s="1016" customFormat="1" ht="25.2" hidden="1" customHeight="1">
      <c r="A570" s="1086">
        <f t="shared" si="24"/>
        <v>0</v>
      </c>
      <c r="B570" s="1087" t="s">
        <v>576</v>
      </c>
      <c r="C570" s="2842"/>
      <c r="D570" s="1043"/>
      <c r="E570" s="1012" t="str">
        <f>VLOOKUP($B570,DG!A:D,DG!$B$2,)</f>
        <v>07.2403</v>
      </c>
      <c r="F570" s="1013" t="str">
        <f>VLOOKUP($B570,DG!A:D,DG!$C$2,)</f>
        <v xml:space="preserve">Ống PVC D21x1,6mm </v>
      </c>
      <c r="G570" s="1012" t="str">
        <f>VLOOKUP($B570,DG!A:D,DG!$D$2,)</f>
        <v>m</v>
      </c>
      <c r="H570" s="1100">
        <f>6*H565</f>
        <v>0</v>
      </c>
      <c r="I570" s="1192">
        <f t="shared" si="25"/>
        <v>0</v>
      </c>
      <c r="J570" s="1041"/>
      <c r="K570" s="1041"/>
      <c r="L570" s="1015"/>
      <c r="M570" s="934" t="s">
        <v>1259</v>
      </c>
    </row>
    <row r="571" spans="1:13" s="1016" customFormat="1" ht="25.2" hidden="1" customHeight="1">
      <c r="A571" s="1086">
        <f t="shared" si="24"/>
        <v>0</v>
      </c>
      <c r="B571" s="1231" t="s">
        <v>1579</v>
      </c>
      <c r="C571" s="2844"/>
      <c r="D571" s="1043"/>
      <c r="E571" s="1012">
        <f>VLOOKUP($B571,DG!A:D,DG!$B$2,)</f>
        <v>0</v>
      </c>
      <c r="F571" s="1013" t="str">
        <f>VLOOKUP($B571,DG!A:D,DG!$C$2,)</f>
        <v>Kẹp ép WR cỡ dây 50mm2</v>
      </c>
      <c r="G571" s="1012" t="str">
        <f>VLOOKUP($B571,DG!A:D,DG!$D$2,)</f>
        <v>cái</v>
      </c>
      <c r="H571" s="1100">
        <f>2*H565</f>
        <v>0</v>
      </c>
      <c r="I571" s="1192">
        <f t="shared" si="25"/>
        <v>0</v>
      </c>
      <c r="J571" s="1041"/>
      <c r="K571" s="1041"/>
      <c r="L571" s="1015"/>
      <c r="M571" s="934" t="s">
        <v>1259</v>
      </c>
    </row>
    <row r="572" spans="1:13" s="1016" customFormat="1" ht="25.2" hidden="1" customHeight="1">
      <c r="A572" s="1086">
        <f t="shared" si="24"/>
        <v>0</v>
      </c>
      <c r="B572" s="1231" t="s">
        <v>104</v>
      </c>
      <c r="C572" s="2844"/>
      <c r="D572" s="1043"/>
      <c r="E572" s="1012" t="str">
        <f>VLOOKUP($B572,DG!A:D,DG!$B$2,)</f>
        <v>03.4001</v>
      </c>
      <c r="F572" s="1013" t="str">
        <f>VLOOKUP($B572,DG!A:D,DG!$C$2,)</f>
        <v>Đầu cosse ép Cu 25mm2</v>
      </c>
      <c r="G572" s="1012" t="str">
        <f>VLOOKUP($B572,DG!A:D,DG!$D$2,)</f>
        <v>cái</v>
      </c>
      <c r="H572" s="1100">
        <f>H565*2</f>
        <v>0</v>
      </c>
      <c r="I572" s="1192">
        <f t="shared" si="25"/>
        <v>0</v>
      </c>
      <c r="J572" s="1041"/>
      <c r="K572" s="1041"/>
      <c r="L572" s="1015"/>
      <c r="M572" s="934" t="s">
        <v>1259</v>
      </c>
    </row>
    <row r="573" spans="1:13" s="1016" customFormat="1" ht="25.2" hidden="1" customHeight="1">
      <c r="A573" s="1086">
        <f t="shared" si="24"/>
        <v>0</v>
      </c>
      <c r="B573" s="1231" t="s">
        <v>138</v>
      </c>
      <c r="C573" s="2844"/>
      <c r="D573" s="1043"/>
      <c r="E573" s="1012">
        <f>VLOOKUP($B573,DG!A:D,DG!$B$2,)</f>
        <v>0</v>
      </c>
      <c r="F573" s="1013" t="str">
        <f>VLOOKUP($B573,DG!A:D,DG!$C$2,)</f>
        <v>Boulon 12x40+ 2 long đền vuông D14-50x50x3/Zn</v>
      </c>
      <c r="G573" s="1012" t="str">
        <f>VLOOKUP($B573,DG!A:D,DG!$D$2,)</f>
        <v>bộ</v>
      </c>
      <c r="H573" s="1100">
        <f>H565*1</f>
        <v>0</v>
      </c>
      <c r="I573" s="1192">
        <f t="shared" si="25"/>
        <v>0</v>
      </c>
      <c r="J573" s="1041"/>
      <c r="K573" s="1041"/>
      <c r="L573" s="1015"/>
      <c r="M573" s="934" t="s">
        <v>1259</v>
      </c>
    </row>
    <row r="574" spans="1:13" s="1016" customFormat="1" ht="25.2" hidden="1" customHeight="1">
      <c r="A574" s="1086">
        <f t="shared" si="24"/>
        <v>0</v>
      </c>
      <c r="B574" s="1231" t="s">
        <v>816</v>
      </c>
      <c r="C574" s="2844"/>
      <c r="D574" s="1043"/>
      <c r="E574" s="1012" t="str">
        <f>VLOOKUP($B574,DG!A:D,DG!$B$2,)</f>
        <v>04.3107</v>
      </c>
      <c r="F574" s="1013" t="str">
        <f>VLOOKUP($B574,DG!A:D,DG!$C$2,)</f>
        <v>Ốc siết cáp cỡ 25mm2</v>
      </c>
      <c r="G574" s="1012" t="str">
        <f>VLOOKUP($B574,DG!A:D,DG!$D$2,)</f>
        <v>cái</v>
      </c>
      <c r="H574" s="1100">
        <f>11*H565</f>
        <v>0</v>
      </c>
      <c r="I574" s="1192">
        <f t="shared" si="25"/>
        <v>0</v>
      </c>
      <c r="J574" s="1041"/>
      <c r="K574" s="1041"/>
      <c r="L574" s="1015"/>
      <c r="M574" s="934" t="s">
        <v>1259</v>
      </c>
    </row>
    <row r="575" spans="1:13" s="1016" customFormat="1" ht="25.2" hidden="1" customHeight="1">
      <c r="A575" s="1086">
        <f t="shared" si="24"/>
        <v>0</v>
      </c>
      <c r="B575" s="1087" t="s">
        <v>1592</v>
      </c>
      <c r="C575" s="2842"/>
      <c r="D575" s="1043"/>
      <c r="E575" s="1012" t="str">
        <f>VLOOKUP($B575,DG!A:D,DG!$B$2,)</f>
        <v>06.3231</v>
      </c>
      <c r="F575" s="1013" t="str">
        <f>VLOOKUP($B575,DG!A:D,DG!$C$2,)</f>
        <v>Cổ dê kẹp ống PVC  21</v>
      </c>
      <c r="G575" s="1012" t="str">
        <f>VLOOKUP($B575,DG!A:D,DG!$D$2,)</f>
        <v>bộ</v>
      </c>
      <c r="H575" s="1100">
        <f>H565*3</f>
        <v>0</v>
      </c>
      <c r="I575" s="1192">
        <f t="shared" si="25"/>
        <v>0</v>
      </c>
      <c r="J575" s="1041"/>
      <c r="K575" s="1041"/>
      <c r="L575" s="1015"/>
      <c r="M575" s="934" t="s">
        <v>1259</v>
      </c>
    </row>
    <row r="576" spans="1:13" s="1016" customFormat="1" ht="25.2" hidden="1" customHeight="1">
      <c r="A576" s="1086">
        <f t="shared" si="24"/>
        <v>0</v>
      </c>
      <c r="B576" s="1087" t="s">
        <v>1592</v>
      </c>
      <c r="C576" s="2842"/>
      <c r="D576" s="1043"/>
      <c r="E576" s="1012" t="str">
        <f>VLOOKUP($B576,DG!A:D,DG!$B$2,)</f>
        <v>06.3231</v>
      </c>
      <c r="F576" s="1013" t="str">
        <f>VLOOKUP($B576,DG!A:D,DG!$C$2,)&amp;": CD-280 1 cái"</f>
        <v>Cổ dê kẹp ống PVC  21: CD-280 1 cái</v>
      </c>
      <c r="G576" s="1012" t="str">
        <f>VLOOKUP($B576,DG!A:D,DG!$D$2,)</f>
        <v>bộ</v>
      </c>
      <c r="H576" s="1100">
        <f>H565*0.452*0</f>
        <v>0</v>
      </c>
      <c r="I576" s="1192">
        <f t="shared" si="25"/>
        <v>0</v>
      </c>
      <c r="J576" s="1041"/>
      <c r="K576" s="1041"/>
      <c r="L576" s="1015"/>
      <c r="M576" s="934" t="s">
        <v>1259</v>
      </c>
    </row>
    <row r="577" spans="1:13" s="1016" customFormat="1" ht="25.2" hidden="1" customHeight="1">
      <c r="A577" s="1086">
        <f t="shared" si="24"/>
        <v>0</v>
      </c>
      <c r="B577" s="1087" t="s">
        <v>1592</v>
      </c>
      <c r="C577" s="2842"/>
      <c r="D577" s="1043"/>
      <c r="E577" s="1012" t="str">
        <f>VLOOKUP($B577,DG!A:D,DG!$B$2,)</f>
        <v>06.3231</v>
      </c>
      <c r="F577" s="1013" t="str">
        <f>VLOOKUP($B577,DG!A:D,DG!$C$2,)&amp;": CD-320 1 cái"</f>
        <v>Cổ dê kẹp ống PVC  21: CD-320 1 cái</v>
      </c>
      <c r="G577" s="1012" t="str">
        <f>VLOOKUP($B577,DG!A:D,DG!$D$2,)</f>
        <v>bộ</v>
      </c>
      <c r="H577" s="1100">
        <f>H565*0.5013*0</f>
        <v>0</v>
      </c>
      <c r="I577" s="1192">
        <f t="shared" si="25"/>
        <v>0</v>
      </c>
      <c r="J577" s="1041"/>
      <c r="K577" s="1041"/>
      <c r="L577" s="1015"/>
      <c r="M577" s="934" t="s">
        <v>1259</v>
      </c>
    </row>
    <row r="578" spans="1:13" s="1016" customFormat="1" ht="25.2" hidden="1" customHeight="1">
      <c r="A578" s="1086">
        <f t="shared" si="24"/>
        <v>0</v>
      </c>
      <c r="B578" s="1087" t="s">
        <v>1131</v>
      </c>
      <c r="C578" s="2842"/>
      <c r="D578" s="1043"/>
      <c r="E578" s="1012" t="str">
        <f>VLOOKUP($B578,DG!A:D,DG!$B$2,)</f>
        <v>06.2110</v>
      </c>
      <c r="F578" s="1013" t="str">
        <f>VLOOKUP($B578,DG!A:D,DG!$C$2,)</f>
        <v>Lắp cổ dê</v>
      </c>
      <c r="G578" s="1012" t="str">
        <f>VLOOKUP($B578,DG!A:D,DG!$D$2,)</f>
        <v>bộ</v>
      </c>
      <c r="H578" s="1100">
        <f>H575</f>
        <v>0</v>
      </c>
      <c r="I578" s="1192">
        <f t="shared" si="25"/>
        <v>0</v>
      </c>
      <c r="J578" s="1041"/>
      <c r="K578" s="1041"/>
      <c r="L578" s="1015"/>
      <c r="M578" s="934" t="s">
        <v>1259</v>
      </c>
    </row>
    <row r="579" spans="1:13" s="1016" customFormat="1" ht="25.2" hidden="1" customHeight="1">
      <c r="A579" s="1086">
        <f t="shared" si="24"/>
        <v>0</v>
      </c>
      <c r="B579" s="1231" t="s">
        <v>389</v>
      </c>
      <c r="C579" s="2844"/>
      <c r="D579" s="1043"/>
      <c r="E579" s="1012" t="str">
        <f>VLOOKUP($B579,DG!A:D,DG!$B$2,)</f>
        <v>04.7002</v>
      </c>
      <c r="F579" s="1013" t="str">
        <f>VLOOKUP($B579,DG!A:D,DG!$C$2,)</f>
        <v>Kéo dây tiếp địa trong TBA</v>
      </c>
      <c r="G579" s="1012" t="str">
        <f>VLOOKUP($B579,DG!A:D,DG!$D$2,)</f>
        <v>kg</v>
      </c>
      <c r="H579" s="1100">
        <f>H565*I3</f>
        <v>0</v>
      </c>
      <c r="I579" s="1192">
        <f t="shared" si="25"/>
        <v>0</v>
      </c>
      <c r="J579" s="1041"/>
      <c r="K579" s="1041"/>
      <c r="L579" s="1015"/>
      <c r="M579" s="934" t="s">
        <v>1259</v>
      </c>
    </row>
    <row r="580" spans="1:13" s="1016" customFormat="1" ht="25.2" hidden="1" customHeight="1">
      <c r="A580" s="1086">
        <f t="shared" si="24"/>
        <v>0</v>
      </c>
      <c r="B580" s="1087" t="s">
        <v>1438</v>
      </c>
      <c r="C580" s="2842"/>
      <c r="D580" s="1043"/>
      <c r="E580" s="1012" t="str">
        <f>VLOOKUP($B580,DG!A:D,DG!$B$2,)</f>
        <v>04.7001</v>
      </c>
      <c r="F580" s="1013" t="str">
        <f>VLOOKUP($B580,DG!A:D,DG!$C$2,)</f>
        <v>Đóng cọc tiếp địa trong TBA</v>
      </c>
      <c r="G580" s="1012" t="str">
        <f>VLOOKUP($B580,DG!A:D,DG!$D$2,)</f>
        <v>cọc</v>
      </c>
      <c r="H580" s="1100">
        <f>H568</f>
        <v>0</v>
      </c>
      <c r="I580" s="1192">
        <f t="shared" si="25"/>
        <v>0</v>
      </c>
      <c r="J580" s="1041"/>
      <c r="K580" s="1041"/>
      <c r="L580" s="1015"/>
      <c r="M580" s="934" t="s">
        <v>1259</v>
      </c>
    </row>
    <row r="581" spans="1:13" s="1016" customFormat="1" ht="25.2" hidden="1" customHeight="1">
      <c r="A581" s="1086">
        <f t="shared" si="24"/>
        <v>0</v>
      </c>
      <c r="B581" s="1231" t="s">
        <v>794</v>
      </c>
      <c r="C581" s="2844"/>
      <c r="D581" s="1043"/>
      <c r="E581" s="1012" t="str">
        <f>VLOOKUP($B581,DG!A:D,DG!$B$2,)</f>
        <v>03.3123</v>
      </c>
      <c r="F581" s="1013" t="str">
        <f>VLOOKUP($B581,DG!A:D,DG!$C$2,)</f>
        <v>Đào rãnh tiếp địa đất cấp 3</v>
      </c>
      <c r="G581" s="1012" t="str">
        <f>VLOOKUP($B581,DG!A:D,DG!$D$2,)</f>
        <v>m3</v>
      </c>
      <c r="H581" s="1100">
        <f>H565*I3</f>
        <v>0</v>
      </c>
      <c r="I581" s="1192">
        <f t="shared" si="25"/>
        <v>0</v>
      </c>
      <c r="J581" s="1041"/>
      <c r="K581" s="1041"/>
      <c r="L581" s="1015"/>
      <c r="M581" s="934" t="s">
        <v>1259</v>
      </c>
    </row>
    <row r="582" spans="1:13" s="1016" customFormat="1" ht="25.2" hidden="1" customHeight="1">
      <c r="A582" s="1086">
        <f t="shared" si="24"/>
        <v>0</v>
      </c>
      <c r="B582" s="1231" t="s">
        <v>798</v>
      </c>
      <c r="C582" s="2844"/>
      <c r="D582" s="1043"/>
      <c r="E582" s="1012" t="str">
        <f>VLOOKUP($B582,DG!A:D,DG!$B$2,)</f>
        <v>03.4123</v>
      </c>
      <c r="F582" s="1013" t="str">
        <f>VLOOKUP($B582,DG!A:D,DG!$C$2,)</f>
        <v>Đắp đất rãnh tiếp độ chặt k=0,85</v>
      </c>
      <c r="G582" s="1012" t="str">
        <f>VLOOKUP($B582,DG!A:D,DG!$D$2,)</f>
        <v>m3</v>
      </c>
      <c r="H582" s="1100">
        <f>H581</f>
        <v>0</v>
      </c>
      <c r="I582" s="1192">
        <f t="shared" si="25"/>
        <v>0</v>
      </c>
      <c r="J582" s="1041"/>
      <c r="K582" s="1041"/>
      <c r="L582" s="1015"/>
      <c r="M582" s="934" t="s">
        <v>1259</v>
      </c>
    </row>
    <row r="583" spans="1:13" s="1016" customFormat="1" ht="25.2" hidden="1" customHeight="1">
      <c r="A583" s="1086">
        <f t="shared" si="24"/>
        <v>0</v>
      </c>
      <c r="B583" s="1226"/>
      <c r="C583" s="2841"/>
      <c r="D583" s="1099">
        <f>IF(H583&gt;0,D565+1,D565)</f>
        <v>0</v>
      </c>
      <c r="E583" s="1142"/>
      <c r="F583" s="1119" t="s">
        <v>3696</v>
      </c>
      <c r="G583" s="1099" t="s">
        <v>2385</v>
      </c>
      <c r="H583" s="1707">
        <f>H541</f>
        <v>0</v>
      </c>
      <c r="I583" s="1192">
        <f t="shared" si="25"/>
        <v>0</v>
      </c>
      <c r="J583" s="1111"/>
      <c r="K583" s="1111"/>
      <c r="L583" s="1015"/>
      <c r="M583" s="934" t="s">
        <v>1259</v>
      </c>
    </row>
    <row r="584" spans="1:13" s="1016" customFormat="1" ht="25.2" hidden="1" customHeight="1">
      <c r="A584" s="1086">
        <f t="shared" si="24"/>
        <v>0</v>
      </c>
      <c r="B584" s="1226"/>
      <c r="C584" s="2841"/>
      <c r="D584" s="1099"/>
      <c r="E584" s="1142"/>
      <c r="F584" s="1265" t="s">
        <v>2279</v>
      </c>
      <c r="G584" s="1043"/>
      <c r="H584" s="1100"/>
      <c r="I584" s="1192">
        <f t="shared" si="25"/>
        <v>0</v>
      </c>
      <c r="J584" s="1111"/>
      <c r="K584" s="1111"/>
      <c r="L584" s="1015"/>
      <c r="M584" s="934" t="s">
        <v>1259</v>
      </c>
    </row>
    <row r="585" spans="1:13" s="1016" customFormat="1" ht="25.2" hidden="1" customHeight="1">
      <c r="A585" s="1086">
        <f t="shared" si="24"/>
        <v>0</v>
      </c>
      <c r="B585" s="1233" t="s">
        <v>1026</v>
      </c>
      <c r="C585" s="2843"/>
      <c r="D585" s="1043"/>
      <c r="E585" s="1012" t="str">
        <f>VLOOKUP($B585,DG!A:D,DG!$B$2,)</f>
        <v>05.1102</v>
      </c>
      <c r="F585" s="1013" t="str">
        <f>VLOOKUP($B585,DG!A:D,DG!$C$2,)</f>
        <v>Vỏ tủ + khóa tủ</v>
      </c>
      <c r="G585" s="1012" t="str">
        <f>VLOOKUP($B585,DG!A:D,DG!$D$2,)</f>
        <v>cái</v>
      </c>
      <c r="H585" s="1100">
        <f>H583</f>
        <v>0</v>
      </c>
      <c r="I585" s="1192">
        <f t="shared" si="25"/>
        <v>0</v>
      </c>
      <c r="J585" s="1041"/>
      <c r="K585" s="1041"/>
      <c r="L585" s="1015"/>
      <c r="M585" s="934" t="s">
        <v>1259</v>
      </c>
    </row>
    <row r="586" spans="1:13" s="1016" customFormat="1" ht="25.2" hidden="1" customHeight="1">
      <c r="A586" s="1086">
        <f t="shared" si="24"/>
        <v>0</v>
      </c>
      <c r="B586" s="1226" t="s">
        <v>879</v>
      </c>
      <c r="C586" s="2841"/>
      <c r="D586" s="1043"/>
      <c r="E586" s="1012" t="str">
        <f>VLOOKUP($B586,DG!A:D,DG!$B$2,)</f>
        <v>06.3231</v>
      </c>
      <c r="F586" s="1013" t="str">
        <f>VLOOKUP($B586,DG!A:D,DG!$C$2,)</f>
        <v>Cổ dê bắt tủ</v>
      </c>
      <c r="G586" s="1012" t="str">
        <f>VLOOKUP($B586,DG!A:D,DG!$D$2,)</f>
        <v>bộ</v>
      </c>
      <c r="H586" s="1100">
        <f>H583*2</f>
        <v>0</v>
      </c>
      <c r="I586" s="1192">
        <f t="shared" si="25"/>
        <v>0</v>
      </c>
      <c r="J586" s="1041"/>
      <c r="K586" s="1041"/>
      <c r="L586" s="1015"/>
      <c r="M586" s="934" t="s">
        <v>1259</v>
      </c>
    </row>
    <row r="587" spans="1:13" s="1016" customFormat="1" ht="25.2" hidden="1" customHeight="1">
      <c r="A587" s="1086">
        <f t="shared" si="24"/>
        <v>0</v>
      </c>
      <c r="B587" s="1226" t="s">
        <v>1130</v>
      </c>
      <c r="C587" s="2841"/>
      <c r="D587" s="1043"/>
      <c r="E587" s="1012" t="str">
        <f>VLOOKUP($B587,DG!A:D,DG!$B$2,)</f>
        <v>06.2110</v>
      </c>
      <c r="F587" s="1013" t="str">
        <f>VLOOKUP($B587,DG!A:D,DG!$C$2,)</f>
        <v>Lắp cổ dê</v>
      </c>
      <c r="G587" s="1012" t="str">
        <f>VLOOKUP($B587,DG!A:D,DG!$D$2,)</f>
        <v>bộ</v>
      </c>
      <c r="H587" s="1100">
        <f>H583*2</f>
        <v>0</v>
      </c>
      <c r="I587" s="1192">
        <f t="shared" si="25"/>
        <v>0</v>
      </c>
      <c r="J587" s="1041"/>
      <c r="K587" s="1041"/>
      <c r="L587" s="1015"/>
      <c r="M587" s="934" t="s">
        <v>1259</v>
      </c>
    </row>
    <row r="588" spans="1:13" s="1016" customFormat="1" ht="25.2" hidden="1" customHeight="1">
      <c r="A588" s="1086">
        <f t="shared" si="24"/>
        <v>0</v>
      </c>
      <c r="B588" s="1226" t="s">
        <v>138</v>
      </c>
      <c r="C588" s="2841"/>
      <c r="D588" s="1043"/>
      <c r="E588" s="1012">
        <f>VLOOKUP($B588,DG!A:D,DG!$B$2,)</f>
        <v>0</v>
      </c>
      <c r="F588" s="1013" t="str">
        <f>VLOOKUP($B588,DG!A:D,DG!$C$2,)</f>
        <v>Boulon 12x40+ 2 long đền vuông D14-50x50x3/Zn</v>
      </c>
      <c r="G588" s="1012" t="str">
        <f>VLOOKUP($B588,DG!A:D,DG!$D$2,)</f>
        <v>bộ</v>
      </c>
      <c r="H588" s="1100">
        <f>H583*4*0</f>
        <v>0</v>
      </c>
      <c r="I588" s="1192">
        <f t="shared" si="25"/>
        <v>0</v>
      </c>
      <c r="J588" s="1041"/>
      <c r="K588" s="1041"/>
      <c r="L588" s="1015"/>
      <c r="M588" s="934" t="s">
        <v>1259</v>
      </c>
    </row>
    <row r="589" spans="1:13" s="1016" customFormat="1" ht="25.2" hidden="1" customHeight="1">
      <c r="A589" s="1086">
        <f t="shared" si="24"/>
        <v>0</v>
      </c>
      <c r="B589" s="1226" t="s">
        <v>880</v>
      </c>
      <c r="C589" s="2841"/>
      <c r="D589" s="1043"/>
      <c r="E589" s="1012">
        <f>VLOOKUP($B589,DG!A:D,DG!$B$2,)</f>
        <v>0</v>
      </c>
      <c r="F589" s="1013" t="str">
        <f>VLOOKUP($B589,DG!A:D,DG!$C$2,)</f>
        <v xml:space="preserve">Bakelit 550x450 dầy 10mm </v>
      </c>
      <c r="G589" s="1012" t="str">
        <f>VLOOKUP($B589,DG!A:D,DG!$D$2,)</f>
        <v>cái</v>
      </c>
      <c r="H589" s="1100">
        <f>H583*2</f>
        <v>0</v>
      </c>
      <c r="I589" s="1192">
        <f t="shared" si="25"/>
        <v>0</v>
      </c>
      <c r="J589" s="1041"/>
      <c r="K589" s="1041"/>
      <c r="L589" s="1015"/>
      <c r="M589" s="934" t="s">
        <v>1259</v>
      </c>
    </row>
    <row r="590" spans="1:13" s="1016" customFormat="1" ht="25.2" hidden="1" customHeight="1">
      <c r="A590" s="1086">
        <f t="shared" si="24"/>
        <v>0</v>
      </c>
      <c r="B590" s="1226"/>
      <c r="C590" s="2841"/>
      <c r="D590" s="1099">
        <f>IF(H590&gt;0,D583+1,D583)</f>
        <v>0</v>
      </c>
      <c r="E590" s="1142"/>
      <c r="F590" s="1130" t="s">
        <v>3697</v>
      </c>
      <c r="G590" s="1099" t="s">
        <v>2385</v>
      </c>
      <c r="H590" s="1707">
        <f>H541</f>
        <v>0</v>
      </c>
      <c r="I590" s="1192">
        <f t="shared" si="25"/>
        <v>0</v>
      </c>
      <c r="J590" s="1111"/>
      <c r="K590" s="1111"/>
      <c r="L590" s="1015"/>
      <c r="M590" s="934" t="s">
        <v>1259</v>
      </c>
    </row>
    <row r="591" spans="1:13" s="1016" customFormat="1" ht="25.2" hidden="1" customHeight="1">
      <c r="A591" s="1086">
        <f t="shared" si="24"/>
        <v>0</v>
      </c>
      <c r="B591" s="1226"/>
      <c r="C591" s="2841"/>
      <c r="D591" s="1099"/>
      <c r="E591" s="1142"/>
      <c r="F591" s="1265" t="s">
        <v>2279</v>
      </c>
      <c r="G591" s="1043"/>
      <c r="H591" s="1100"/>
      <c r="I591" s="1192">
        <f t="shared" si="25"/>
        <v>0</v>
      </c>
      <c r="J591" s="1111"/>
      <c r="K591" s="1111"/>
      <c r="L591" s="1015"/>
      <c r="M591" s="934" t="s">
        <v>1259</v>
      </c>
    </row>
    <row r="592" spans="1:13" s="1016" customFormat="1" ht="25.2" hidden="1" customHeight="1">
      <c r="A592" s="1086">
        <f t="shared" si="24"/>
        <v>0</v>
      </c>
      <c r="B592" s="1087" t="s">
        <v>697</v>
      </c>
      <c r="C592" s="2842"/>
      <c r="D592" s="1043"/>
      <c r="E592" s="1012">
        <f>VLOOKUP($B592,DG!A:D,DG!$B$2,)</f>
        <v>0</v>
      </c>
      <c r="F592" s="1013" t="str">
        <f>VLOOKUP($B592,DG!A:D,DG!$C$2,)&amp;": 3m/pha"</f>
        <v>Cáp 24KV C/XLPE/PVC 25mm2: 3m/pha</v>
      </c>
      <c r="G592" s="1012" t="str">
        <f>VLOOKUP($B592,DG!A:D,DG!$D$2,)</f>
        <v>mét</v>
      </c>
      <c r="H592" s="1100">
        <f>H590*3*3</f>
        <v>0</v>
      </c>
      <c r="I592" s="1192">
        <f t="shared" si="25"/>
        <v>0</v>
      </c>
      <c r="J592" s="1041"/>
      <c r="K592" s="1041"/>
      <c r="L592" s="1015"/>
      <c r="M592" s="934" t="s">
        <v>1259</v>
      </c>
    </row>
    <row r="593" spans="1:13" s="1016" customFormat="1" ht="25.2" hidden="1" customHeight="1">
      <c r="A593" s="1086">
        <f t="shared" si="24"/>
        <v>0</v>
      </c>
      <c r="B593" s="1087" t="s">
        <v>1479</v>
      </c>
      <c r="C593" s="2842"/>
      <c r="D593" s="1043"/>
      <c r="E593" s="1012" t="str">
        <f>VLOOKUP($B593,DG!A:D,DG!$B$2,)</f>
        <v>04.3007</v>
      </c>
      <c r="F593" s="1013" t="str">
        <f>VLOOKUP($B593,DG!A:D,DG!$C$2,)</f>
        <v>Kẹp quai 2/0</v>
      </c>
      <c r="G593" s="1012" t="str">
        <f>VLOOKUP($B593,DG!A:D,DG!$D$2,)</f>
        <v>cái</v>
      </c>
      <c r="H593" s="1100">
        <f>3*H590</f>
        <v>0</v>
      </c>
      <c r="I593" s="1192">
        <f t="shared" si="25"/>
        <v>0</v>
      </c>
      <c r="J593" s="1041"/>
      <c r="K593" s="1041"/>
      <c r="L593" s="1015"/>
      <c r="M593" s="934" t="s">
        <v>1259</v>
      </c>
    </row>
    <row r="594" spans="1:13" s="1016" customFormat="1" ht="25.2" hidden="1" customHeight="1">
      <c r="A594" s="1086">
        <f t="shared" si="24"/>
        <v>0</v>
      </c>
      <c r="B594" s="1087" t="s">
        <v>1477</v>
      </c>
      <c r="C594" s="2842"/>
      <c r="D594" s="1043"/>
      <c r="E594" s="1012" t="str">
        <f>VLOOKUP($B594,DG!A:D,DG!$B$2,)</f>
        <v>04.3007</v>
      </c>
      <c r="F594" s="1013" t="str">
        <f>VLOOKUP($B594,DG!A:D,DG!$C$2,)</f>
        <v>Kẹp hotline 2/0</v>
      </c>
      <c r="G594" s="1012" t="str">
        <f>VLOOKUP($B594,DG!A:D,DG!$D$2,)</f>
        <v>cái</v>
      </c>
      <c r="H594" s="1100">
        <f>3*H590</f>
        <v>0</v>
      </c>
      <c r="I594" s="1192">
        <f t="shared" si="25"/>
        <v>0</v>
      </c>
      <c r="J594" s="1041"/>
      <c r="K594" s="1041"/>
      <c r="L594" s="1015"/>
      <c r="M594" s="934" t="s">
        <v>1259</v>
      </c>
    </row>
    <row r="595" spans="1:13" s="1016" customFormat="1" ht="25.2" hidden="1" customHeight="1">
      <c r="A595" s="1086">
        <f t="shared" si="24"/>
        <v>0</v>
      </c>
      <c r="B595" s="1226"/>
      <c r="C595" s="2841"/>
      <c r="D595" s="1099">
        <f>IF(H595&gt;0,D590+1,D590)</f>
        <v>0</v>
      </c>
      <c r="E595" s="1142"/>
      <c r="F595" s="1119" t="s">
        <v>3698</v>
      </c>
      <c r="G595" s="1099" t="s">
        <v>2385</v>
      </c>
      <c r="H595" s="1707">
        <f>H533/3</f>
        <v>0</v>
      </c>
      <c r="I595" s="1192">
        <f t="shared" si="25"/>
        <v>0</v>
      </c>
      <c r="J595" s="1111"/>
      <c r="K595" s="1111"/>
      <c r="L595" s="1015"/>
      <c r="M595" s="934" t="s">
        <v>1259</v>
      </c>
    </row>
    <row r="596" spans="1:13" s="1016" customFormat="1" ht="25.2" hidden="1" customHeight="1">
      <c r="A596" s="1086">
        <f t="shared" si="24"/>
        <v>0</v>
      </c>
      <c r="B596" s="1226"/>
      <c r="C596" s="2841"/>
      <c r="D596" s="1099"/>
      <c r="E596" s="1142"/>
      <c r="F596" s="1265" t="s">
        <v>2279</v>
      </c>
      <c r="G596" s="1043"/>
      <c r="H596" s="1100"/>
      <c r="I596" s="1192">
        <f t="shared" si="25"/>
        <v>0</v>
      </c>
      <c r="J596" s="1111"/>
      <c r="K596" s="1111"/>
      <c r="L596" s="1015"/>
      <c r="M596" s="934" t="s">
        <v>1259</v>
      </c>
    </row>
    <row r="597" spans="1:13" s="1016" customFormat="1" ht="25.2" hidden="1" customHeight="1">
      <c r="A597" s="1086">
        <f t="shared" si="24"/>
        <v>0</v>
      </c>
      <c r="B597" s="1226" t="s">
        <v>82</v>
      </c>
      <c r="C597" s="2841"/>
      <c r="D597" s="1043"/>
      <c r="E597" s="1012">
        <f>VLOOKUP($B597,DG!A:D,DG!$B$2,)</f>
        <v>0</v>
      </c>
      <c r="F597" s="1013" t="str">
        <f>VLOOKUP($B597,DG!A:D,DG!$C$2,)&amp;": 9m/pha"</f>
        <v>Cáp đồng bọc CV50: 9m/pha</v>
      </c>
      <c r="G597" s="1012" t="str">
        <f>VLOOKUP($B597,DG!A:D,DG!$D$2,)</f>
        <v>mét</v>
      </c>
      <c r="H597" s="1100">
        <f>3*9*H595</f>
        <v>0</v>
      </c>
      <c r="I597" s="1192">
        <f t="shared" si="25"/>
        <v>0</v>
      </c>
      <c r="J597" s="1041"/>
      <c r="K597" s="1041"/>
      <c r="L597" s="1015"/>
      <c r="M597" s="934" t="s">
        <v>1259</v>
      </c>
    </row>
    <row r="598" spans="1:13" s="1016" customFormat="1" ht="25.2" hidden="1" customHeight="1">
      <c r="A598" s="1086">
        <f t="shared" si="24"/>
        <v>0</v>
      </c>
      <c r="B598" s="1226" t="s">
        <v>82</v>
      </c>
      <c r="C598" s="2841"/>
      <c r="D598" s="1043"/>
      <c r="E598" s="1012">
        <f>VLOOKUP($B598,DG!A:D,DG!$B$2,)</f>
        <v>0</v>
      </c>
      <c r="F598" s="1013" t="str">
        <f>VLOOKUP($B598,DG!A:D,DG!$C$2,)&amp;": 9m/trung tinh"</f>
        <v>Cáp đồng bọc CV50: 9m/trung tinh</v>
      </c>
      <c r="G598" s="1012" t="str">
        <f>VLOOKUP($B598,DG!A:D,DG!$D$2,)</f>
        <v>mét</v>
      </c>
      <c r="H598" s="1100">
        <f>9*H595</f>
        <v>0</v>
      </c>
      <c r="I598" s="1192">
        <f t="shared" si="25"/>
        <v>0</v>
      </c>
      <c r="J598" s="1041"/>
      <c r="K598" s="1041"/>
      <c r="L598" s="1015"/>
      <c r="M598" s="934" t="s">
        <v>1259</v>
      </c>
    </row>
    <row r="599" spans="1:13" s="1016" customFormat="1" ht="25.2" hidden="1" customHeight="1">
      <c r="A599" s="1086">
        <f t="shared" si="24"/>
        <v>0</v>
      </c>
      <c r="B599" s="1226" t="s">
        <v>1069</v>
      </c>
      <c r="C599" s="2841"/>
      <c r="D599" s="1043"/>
      <c r="E599" s="1012" t="str">
        <f>VLOOKUP($B599,DG!A:D,DG!$B$2,)</f>
        <v>03.1401</v>
      </c>
      <c r="F599" s="1013" t="str">
        <f>VLOOKUP($B599,DG!A:D,DG!$C$2,)&amp;": ñaáu noái ño ñeám"</f>
        <v>Cáp CVV 4x2,5mm2  : ñaáu noái ño ñeám</v>
      </c>
      <c r="G599" s="1012" t="str">
        <f>VLOOKUP($B599,DG!A:D,DG!$D$2,)</f>
        <v>mét</v>
      </c>
      <c r="H599" s="1100">
        <f>4*H595</f>
        <v>0</v>
      </c>
      <c r="I599" s="1192">
        <f t="shared" si="25"/>
        <v>0</v>
      </c>
      <c r="J599" s="1041"/>
      <c r="K599" s="1041"/>
      <c r="L599" s="1015"/>
      <c r="M599" s="934" t="s">
        <v>1259</v>
      </c>
    </row>
    <row r="600" spans="1:13" s="1016" customFormat="1" ht="25.2" hidden="1" customHeight="1">
      <c r="A600" s="1086">
        <f t="shared" si="24"/>
        <v>0</v>
      </c>
      <c r="B600" s="1231" t="s">
        <v>1302</v>
      </c>
      <c r="C600" s="2844"/>
      <c r="D600" s="1043"/>
      <c r="E600" s="1012" t="str">
        <f>VLOOKUP($B600,DG!A:D,DG!$B$2,)</f>
        <v>03.4002</v>
      </c>
      <c r="F600" s="1013" t="str">
        <f>VLOOKUP($B600,DG!A:D,DG!$C$2,)</f>
        <v>Đầu cosse ép Cu 50mm2</v>
      </c>
      <c r="G600" s="1012" t="str">
        <f>VLOOKUP($B600,DG!A:D,DG!$D$2,)</f>
        <v>cái</v>
      </c>
      <c r="H600" s="1100">
        <f>3*H595</f>
        <v>0</v>
      </c>
      <c r="I600" s="1192">
        <f t="shared" si="25"/>
        <v>0</v>
      </c>
      <c r="J600" s="1041"/>
      <c r="K600" s="1041"/>
      <c r="L600" s="1015"/>
      <c r="M600" s="934" t="s">
        <v>1259</v>
      </c>
    </row>
    <row r="601" spans="1:13" s="1016" customFormat="1" ht="25.2" hidden="1" customHeight="1">
      <c r="A601" s="1086">
        <f t="shared" si="24"/>
        <v>0</v>
      </c>
      <c r="B601" s="1231" t="s">
        <v>104</v>
      </c>
      <c r="C601" s="2844"/>
      <c r="D601" s="1043"/>
      <c r="E601" s="1012" t="str">
        <f>VLOOKUP($B601,DG!A:D,DG!$B$2,)</f>
        <v>03.4001</v>
      </c>
      <c r="F601" s="1013" t="str">
        <f>VLOOKUP($B601,DG!A:D,DG!$C$2,)</f>
        <v>Đầu cosse ép Cu 25mm2</v>
      </c>
      <c r="G601" s="1012" t="str">
        <f>VLOOKUP($B601,DG!A:D,DG!$D$2,)</f>
        <v>cái</v>
      </c>
      <c r="H601" s="1100">
        <f>4*H595*0</f>
        <v>0</v>
      </c>
      <c r="I601" s="1192">
        <f t="shared" si="25"/>
        <v>0</v>
      </c>
      <c r="J601" s="1041"/>
      <c r="K601" s="1041"/>
      <c r="L601" s="1015"/>
      <c r="M601" s="934" t="s">
        <v>1259</v>
      </c>
    </row>
    <row r="602" spans="1:13" s="1016" customFormat="1" ht="25.2" hidden="1" customHeight="1">
      <c r="A602" s="1086">
        <f t="shared" ref="A602:A665" si="26">IF(AND(M602=$M$23,I602&gt;0),1,0)</f>
        <v>0</v>
      </c>
      <c r="B602" s="1231" t="s">
        <v>2151</v>
      </c>
      <c r="C602" s="2844"/>
      <c r="D602" s="1043"/>
      <c r="E602" s="1012">
        <f>VLOOKUP($B602,DG!A:D,DG!$B$2,)</f>
        <v>0</v>
      </c>
      <c r="F602" s="1013" t="str">
        <f>VLOOKUP($B602,DG!A:D,DG!$C$2,)</f>
        <v>Chụp đầu cosse  50mm2</v>
      </c>
      <c r="G602" s="1012" t="str">
        <f>VLOOKUP($B602,DG!A:D,DG!$D$2,)</f>
        <v>cái</v>
      </c>
      <c r="H602" s="1100">
        <f>H600</f>
        <v>0</v>
      </c>
      <c r="I602" s="1192">
        <f t="shared" si="25"/>
        <v>0</v>
      </c>
      <c r="J602" s="1041"/>
      <c r="K602" s="1041"/>
      <c r="L602" s="1015"/>
      <c r="M602" s="934" t="s">
        <v>1259</v>
      </c>
    </row>
    <row r="603" spans="1:13" s="1016" customFormat="1" ht="25.2" hidden="1" customHeight="1">
      <c r="A603" s="1086">
        <f t="shared" si="26"/>
        <v>0</v>
      </c>
      <c r="B603" s="1231" t="s">
        <v>1916</v>
      </c>
      <c r="C603" s="2844"/>
      <c r="D603" s="1043"/>
      <c r="E603" s="1012">
        <f>VLOOKUP($B603,DG!A:D,DG!$B$2,)</f>
        <v>0</v>
      </c>
      <c r="F603" s="1013" t="str">
        <f>VLOOKUP($B603,DG!A:D,DG!$C$2,)</f>
        <v>Chụp đầu cosse  25mm2</v>
      </c>
      <c r="G603" s="1012" t="str">
        <f>VLOOKUP($B603,DG!A:D,DG!$D$2,)</f>
        <v>cái</v>
      </c>
      <c r="H603" s="1100">
        <f>H601</f>
        <v>0</v>
      </c>
      <c r="I603" s="1192">
        <f t="shared" si="25"/>
        <v>0</v>
      </c>
      <c r="J603" s="1041"/>
      <c r="K603" s="1041"/>
      <c r="L603" s="1015"/>
      <c r="M603" s="934" t="s">
        <v>1259</v>
      </c>
    </row>
    <row r="604" spans="1:13" s="1016" customFormat="1" ht="25.2" hidden="1" customHeight="1">
      <c r="A604" s="1086">
        <f t="shared" si="26"/>
        <v>0</v>
      </c>
      <c r="B604" s="1226" t="s">
        <v>282</v>
      </c>
      <c r="C604" s="2841"/>
      <c r="D604" s="1043"/>
      <c r="E604" s="1012" t="str">
        <f>VLOOKUP($B604,DG!A:D,DG!$B$2,)</f>
        <v>04.8003</v>
      </c>
      <c r="F604" s="1013" t="str">
        <f>VLOOKUP($B604,DG!A:D,DG!$C$2,)</f>
        <v xml:space="preserve">Ống PVC D90x3,8mm </v>
      </c>
      <c r="G604" s="1012" t="str">
        <f>VLOOKUP($B604,DG!A:D,DG!$D$2,)</f>
        <v>m</v>
      </c>
      <c r="H604" s="1100">
        <f>8*H595</f>
        <v>0</v>
      </c>
      <c r="I604" s="1192">
        <f t="shared" si="25"/>
        <v>0</v>
      </c>
      <c r="J604" s="1041"/>
      <c r="K604" s="1041"/>
      <c r="L604" s="1015"/>
      <c r="M604" s="934" t="s">
        <v>1259</v>
      </c>
    </row>
    <row r="605" spans="1:13" s="1016" customFormat="1" ht="25.2" hidden="1" customHeight="1">
      <c r="A605" s="1086">
        <f t="shared" si="26"/>
        <v>0</v>
      </c>
      <c r="B605" s="1087" t="s">
        <v>1990</v>
      </c>
      <c r="C605" s="2842"/>
      <c r="D605" s="1043"/>
      <c r="E605" s="1012" t="str">
        <f>VLOOKUP($B605,DG!A:D,DG!$B$2,)</f>
        <v>06.3231</v>
      </c>
      <c r="F605" s="1013" t="str">
        <f>VLOOKUP($B605,DG!A:D,DG!$C$2,)</f>
        <v>Cổ dê kẹp ống PVC Ø 90</v>
      </c>
      <c r="G605" s="1012" t="str">
        <f>VLOOKUP($B605,DG!A:D,DG!$D$2,)</f>
        <v>bộ</v>
      </c>
      <c r="H605" s="1100">
        <f>3*H595</f>
        <v>0</v>
      </c>
      <c r="I605" s="1192">
        <f t="shared" si="25"/>
        <v>0</v>
      </c>
      <c r="J605" s="1041"/>
      <c r="K605" s="1041"/>
      <c r="L605" s="1015"/>
      <c r="M605" s="934" t="s">
        <v>1259</v>
      </c>
    </row>
    <row r="606" spans="1:13" s="1016" customFormat="1" ht="25.2" hidden="1" customHeight="1">
      <c r="A606" s="1086">
        <f t="shared" si="26"/>
        <v>0</v>
      </c>
      <c r="B606" s="1087" t="s">
        <v>1990</v>
      </c>
      <c r="C606" s="2842"/>
      <c r="D606" s="1043"/>
      <c r="E606" s="1012" t="str">
        <f>VLOOKUP($B606,DG!A:D,DG!$B$2,)</f>
        <v>06.3231</v>
      </c>
      <c r="F606" s="1013" t="str">
        <f>VLOOKUP($B606,DG!A:D,DG!$C$2,)&amp;": CD-280-1 cái"</f>
        <v>Cổ dê kẹp ống PVC Ø 90: CD-280-1 cái</v>
      </c>
      <c r="G606" s="1012" t="str">
        <f>VLOOKUP($B606,DG!A:D,DG!$D$2,)</f>
        <v>bộ</v>
      </c>
      <c r="H606" s="1100">
        <f>H595*1.031*0</f>
        <v>0</v>
      </c>
      <c r="I606" s="1192">
        <f t="shared" si="25"/>
        <v>0</v>
      </c>
      <c r="J606" s="1041"/>
      <c r="K606" s="1041"/>
      <c r="L606" s="1015"/>
      <c r="M606" s="934" t="s">
        <v>1259</v>
      </c>
    </row>
    <row r="607" spans="1:13" s="1016" customFormat="1" ht="25.2" hidden="1" customHeight="1">
      <c r="A607" s="1086">
        <f t="shared" si="26"/>
        <v>0</v>
      </c>
      <c r="B607" s="1087" t="s">
        <v>1990</v>
      </c>
      <c r="C607" s="2842"/>
      <c r="D607" s="1043"/>
      <c r="E607" s="1012" t="str">
        <f>VLOOKUP($B607,DG!A:D,DG!$B$2,)</f>
        <v>06.3231</v>
      </c>
      <c r="F607" s="1013" t="str">
        <f>VLOOKUP($B607,DG!A:D,DG!$C$2,)&amp;": CD-320 1 cái"</f>
        <v>Cổ dê kẹp ống PVC Ø 90: CD-320 1 cái</v>
      </c>
      <c r="G607" s="1012" t="str">
        <f>VLOOKUP($B607,DG!A:D,DG!$D$2,)</f>
        <v>bộ</v>
      </c>
      <c r="H607" s="1100">
        <f>H595*1.12*0</f>
        <v>0</v>
      </c>
      <c r="I607" s="1192">
        <f t="shared" si="25"/>
        <v>0</v>
      </c>
      <c r="J607" s="1041"/>
      <c r="K607" s="1041"/>
      <c r="L607" s="1015"/>
      <c r="M607" s="934" t="s">
        <v>1259</v>
      </c>
    </row>
    <row r="608" spans="1:13" s="1016" customFormat="1" ht="25.2" hidden="1" customHeight="1">
      <c r="A608" s="1086">
        <f t="shared" si="26"/>
        <v>0</v>
      </c>
      <c r="B608" s="1087" t="s">
        <v>1131</v>
      </c>
      <c r="C608" s="2842"/>
      <c r="D608" s="1043"/>
      <c r="E608" s="1012" t="str">
        <f>VLOOKUP($B608,DG!A:D,DG!$B$2,)</f>
        <v>06.2110</v>
      </c>
      <c r="F608" s="1013" t="str">
        <f>VLOOKUP($B608,DG!A:D,DG!$C$2,)</f>
        <v>Lắp cổ dê</v>
      </c>
      <c r="G608" s="1012" t="str">
        <f>VLOOKUP($B608,DG!A:D,DG!$D$2,)</f>
        <v>bộ</v>
      </c>
      <c r="H608" s="1100">
        <f>H605</f>
        <v>0</v>
      </c>
      <c r="I608" s="1192">
        <f t="shared" si="25"/>
        <v>0</v>
      </c>
      <c r="J608" s="1041"/>
      <c r="K608" s="1041"/>
      <c r="L608" s="1015"/>
      <c r="M608" s="934" t="s">
        <v>1259</v>
      </c>
    </row>
    <row r="609" spans="1:13" s="1016" customFormat="1" ht="25.2" hidden="1" customHeight="1">
      <c r="A609" s="1086">
        <f t="shared" si="26"/>
        <v>0</v>
      </c>
      <c r="B609" s="1087" t="s">
        <v>138</v>
      </c>
      <c r="C609" s="2842"/>
      <c r="D609" s="1043"/>
      <c r="E609" s="1012">
        <f>VLOOKUP($B609,DG!A:D,DG!$B$2,)</f>
        <v>0</v>
      </c>
      <c r="F609" s="1013" t="str">
        <f>VLOOKUP($B609,DG!A:D,DG!$C$2,)&amp;": CD-250"</f>
        <v>Boulon 12x40+ 2 long đền vuông D14-50x50x3/Zn: CD-250</v>
      </c>
      <c r="G609" s="1012" t="str">
        <f>VLOOKUP($B609,DG!A:D,DG!$D$2,)</f>
        <v>bộ</v>
      </c>
      <c r="H609" s="1100">
        <f>H595*7*0</f>
        <v>0</v>
      </c>
      <c r="I609" s="1192">
        <f t="shared" si="25"/>
        <v>0</v>
      </c>
      <c r="J609" s="1041"/>
      <c r="K609" s="1041"/>
      <c r="L609" s="1015"/>
      <c r="M609" s="934" t="s">
        <v>1259</v>
      </c>
    </row>
    <row r="610" spans="1:13" s="1016" customFormat="1" ht="25.2" hidden="1" customHeight="1">
      <c r="A610" s="1086">
        <f t="shared" si="26"/>
        <v>0</v>
      </c>
      <c r="B610" s="1226" t="s">
        <v>70</v>
      </c>
      <c r="C610" s="2841"/>
      <c r="D610" s="1043"/>
      <c r="E610" s="1012">
        <f>VLOOKUP($B610,DG!A:D,DG!$B$2,)</f>
        <v>0</v>
      </c>
      <c r="F610" s="1013" t="str">
        <f>VLOOKUP($B610,DG!A:D,DG!$C$2,)</f>
        <v>Co  90 độ PVC 90</v>
      </c>
      <c r="G610" s="1012" t="str">
        <f>VLOOKUP($B610,DG!A:D,DG!$D$2,)</f>
        <v>cái</v>
      </c>
      <c r="H610" s="1100">
        <f>2*H595</f>
        <v>0</v>
      </c>
      <c r="I610" s="1192">
        <f t="shared" si="25"/>
        <v>0</v>
      </c>
      <c r="J610" s="1041"/>
      <c r="K610" s="1041"/>
      <c r="L610" s="1015"/>
      <c r="M610" s="934" t="s">
        <v>1259</v>
      </c>
    </row>
    <row r="611" spans="1:13" s="1016" customFormat="1" ht="25.2" hidden="1" customHeight="1">
      <c r="A611" s="1086">
        <f t="shared" si="26"/>
        <v>0</v>
      </c>
      <c r="B611" s="1226" t="s">
        <v>2153</v>
      </c>
      <c r="C611" s="2841"/>
      <c r="D611" s="1043"/>
      <c r="E611" s="1012">
        <f>VLOOKUP($B611,DG!A:D,DG!$B$2,)</f>
        <v>0</v>
      </c>
      <c r="F611" s="1013" t="str">
        <f>VLOOKUP($B611,DG!A:D,DG!$C$2,)</f>
        <v>Khâu ven răng trong D90</v>
      </c>
      <c r="G611" s="1012" t="str">
        <f>VLOOKUP($B611,DG!A:D,DG!$D$2,)</f>
        <v>cái</v>
      </c>
      <c r="H611" s="1100">
        <f>H595</f>
        <v>0</v>
      </c>
      <c r="I611" s="1192">
        <f t="shared" si="25"/>
        <v>0</v>
      </c>
      <c r="J611" s="1041"/>
      <c r="K611" s="1041"/>
      <c r="L611" s="1015"/>
      <c r="M611" s="934" t="s">
        <v>1259</v>
      </c>
    </row>
    <row r="612" spans="1:13" s="1016" customFormat="1" ht="25.2" hidden="1" customHeight="1">
      <c r="A612" s="1086">
        <f t="shared" si="26"/>
        <v>0</v>
      </c>
      <c r="B612" s="1226" t="s">
        <v>2154</v>
      </c>
      <c r="C612" s="2841"/>
      <c r="D612" s="1043"/>
      <c r="E612" s="1012">
        <f>VLOOKUP($B612,DG!A:D,DG!$B$2,)</f>
        <v>0</v>
      </c>
      <c r="F612" s="1013" t="str">
        <f>VLOOKUP($B612,DG!A:D,DG!$C$2,)</f>
        <v>Khâu ven răng ngoài D90</v>
      </c>
      <c r="G612" s="1012" t="str">
        <f>VLOOKUP($B612,DG!A:D,DG!$D$2,)</f>
        <v>cái</v>
      </c>
      <c r="H612" s="1100">
        <f>H611</f>
        <v>0</v>
      </c>
      <c r="I612" s="1192">
        <f t="shared" si="25"/>
        <v>0</v>
      </c>
      <c r="J612" s="1041"/>
      <c r="K612" s="1041"/>
      <c r="L612" s="1015"/>
      <c r="M612" s="934" t="s">
        <v>1259</v>
      </c>
    </row>
    <row r="613" spans="1:13" s="1016" customFormat="1" ht="25.2" hidden="1" customHeight="1">
      <c r="A613" s="1086">
        <f t="shared" si="26"/>
        <v>0</v>
      </c>
      <c r="B613" s="1226" t="s">
        <v>419</v>
      </c>
      <c r="C613" s="2841"/>
      <c r="D613" s="1043"/>
      <c r="E613" s="1012">
        <f>VLOOKUP($B613,DG!A:D,DG!$B$2,)</f>
        <v>0</v>
      </c>
      <c r="F613" s="1013" t="str">
        <f>VLOOKUP($B613,DG!A:D,DG!$C$2,)</f>
        <v>Keo dán ống PVC (100gr)</v>
      </c>
      <c r="G613" s="1012" t="str">
        <f>VLOOKUP($B613,DG!A:D,DG!$D$2,)</f>
        <v>tuýp</v>
      </c>
      <c r="H613" s="1100">
        <f>H595</f>
        <v>0</v>
      </c>
      <c r="I613" s="1192">
        <f t="shared" si="25"/>
        <v>0</v>
      </c>
      <c r="J613" s="1041"/>
      <c r="K613" s="1041"/>
      <c r="L613" s="1015"/>
      <c r="M613" s="934" t="s">
        <v>1259</v>
      </c>
    </row>
    <row r="614" spans="1:13" s="1016" customFormat="1" ht="25.2" hidden="1" customHeight="1">
      <c r="A614" s="1086">
        <f t="shared" si="26"/>
        <v>0</v>
      </c>
      <c r="B614" s="1226" t="s">
        <v>1179</v>
      </c>
      <c r="C614" s="2841"/>
      <c r="D614" s="1043"/>
      <c r="E614" s="1012">
        <f>VLOOKUP($B614,DG!A:D,DG!$B$2,)</f>
        <v>0</v>
      </c>
      <c r="F614" s="1013" t="str">
        <f>VLOOKUP($B614,DG!A:D,DG!$C$2,)</f>
        <v>Keo silicon bít miệng ống</v>
      </c>
      <c r="G614" s="1012" t="str">
        <f>VLOOKUP($B614,DG!A:D,DG!$D$2,)</f>
        <v>ống</v>
      </c>
      <c r="H614" s="1100">
        <f>H595</f>
        <v>0</v>
      </c>
      <c r="I614" s="1192">
        <f t="shared" si="25"/>
        <v>0</v>
      </c>
      <c r="J614" s="1041"/>
      <c r="K614" s="1041"/>
      <c r="L614" s="1015"/>
      <c r="M614" s="934" t="s">
        <v>1259</v>
      </c>
    </row>
    <row r="615" spans="1:13" s="1016" customFormat="1" ht="25.2" hidden="1" customHeight="1">
      <c r="A615" s="1086">
        <f t="shared" si="26"/>
        <v>0</v>
      </c>
      <c r="B615" s="1087" t="s">
        <v>672</v>
      </c>
      <c r="C615" s="2842"/>
      <c r="D615" s="1043"/>
      <c r="E615" s="1012">
        <f>VLOOKUP($B615,DG!A:D,DG!$B$2,)</f>
        <v>0</v>
      </c>
      <c r="F615" s="1013" t="str">
        <f>VLOOKUP($B615,DG!A:D,DG!$C$2,)</f>
        <v>Băng keo cách điện</v>
      </c>
      <c r="G615" s="1012" t="str">
        <f>VLOOKUP($B615,DG!A:D,DG!$D$2,)</f>
        <v>cuộn</v>
      </c>
      <c r="H615" s="1100">
        <f>H595</f>
        <v>0</v>
      </c>
      <c r="I615" s="1192">
        <f t="shared" si="25"/>
        <v>0</v>
      </c>
      <c r="J615" s="1041"/>
      <c r="K615" s="1041"/>
      <c r="L615" s="1015"/>
      <c r="M615" s="934" t="s">
        <v>1259</v>
      </c>
    </row>
    <row r="616" spans="1:13" s="1016" customFormat="1" ht="25.2" hidden="1" customHeight="1">
      <c r="A616" s="1086">
        <f t="shared" si="26"/>
        <v>0</v>
      </c>
      <c r="B616" s="1231" t="s">
        <v>552</v>
      </c>
      <c r="C616" s="2844"/>
      <c r="D616" s="1043"/>
      <c r="E616" s="1012" t="str">
        <f>VLOOKUP($B616,DG!A:D,DG!$B$2,)</f>
        <v>07.2415</v>
      </c>
      <c r="F616" s="1013" t="str">
        <f>VLOOKUP($B616,DG!A:D,DG!$C$2,)</f>
        <v>Lắp ống nhựa PVC D90</v>
      </c>
      <c r="G616" s="1012" t="str">
        <f>VLOOKUP($B616,DG!A:D,DG!$D$2,)</f>
        <v>mét</v>
      </c>
      <c r="H616" s="1100">
        <f>H604</f>
        <v>0</v>
      </c>
      <c r="I616" s="1192">
        <f t="shared" si="25"/>
        <v>0</v>
      </c>
      <c r="J616" s="1041"/>
      <c r="K616" s="1041"/>
      <c r="L616" s="1015"/>
      <c r="M616" s="934" t="s">
        <v>1259</v>
      </c>
    </row>
    <row r="617" spans="1:13" s="1016" customFormat="1" ht="25.2" hidden="1" customHeight="1">
      <c r="A617" s="1086">
        <f t="shared" si="26"/>
        <v>0</v>
      </c>
      <c r="B617" s="1087" t="s">
        <v>1525</v>
      </c>
      <c r="C617" s="2842"/>
      <c r="D617" s="1043"/>
      <c r="E617" s="1012" t="str">
        <f>VLOOKUP($B617,DG!A:D,DG!$B$2,)</f>
        <v>04.4201</v>
      </c>
      <c r="F617" s="1013" t="str">
        <f>VLOOKUP($B617,DG!A:D,DG!$C$2,)</f>
        <v>Lắp cáp đồng xuống thiết bị D ≤ 95mm2</v>
      </c>
      <c r="G617" s="1012" t="str">
        <f>VLOOKUP($B617,DG!A:D,DG!$D$2,)</f>
        <v>m</v>
      </c>
      <c r="H617" s="1100">
        <f>H597+H598</f>
        <v>0</v>
      </c>
      <c r="I617" s="1192">
        <f t="shared" si="25"/>
        <v>0</v>
      </c>
      <c r="J617" s="1041"/>
      <c r="K617" s="1041"/>
      <c r="L617" s="1015"/>
      <c r="M617" s="934" t="s">
        <v>1259</v>
      </c>
    </row>
    <row r="618" spans="1:13" s="1016" customFormat="1" ht="25.2" hidden="1" customHeight="1">
      <c r="A618" s="1086">
        <f t="shared" si="26"/>
        <v>0</v>
      </c>
      <c r="B618" s="1226" t="s">
        <v>289</v>
      </c>
      <c r="C618" s="2841"/>
      <c r="D618" s="1103">
        <f>IF(H618&gt;0,D595+1,D595)</f>
        <v>0</v>
      </c>
      <c r="E618" s="1122"/>
      <c r="F618" s="1013" t="str">
        <f>VLOOKUP($B618,DG!A:D,DG!$C$2,)</f>
        <v>Bảng tên trạm, bảng báo nguy hiểm + đinh vít</v>
      </c>
      <c r="G618" s="1012" t="str">
        <f>VLOOKUP($B618,DG!A:D,DG!$D$2,)</f>
        <v>bộ</v>
      </c>
      <c r="H618" s="1708">
        <f>H557</f>
        <v>0</v>
      </c>
      <c r="I618" s="1192">
        <f t="shared" si="25"/>
        <v>0</v>
      </c>
      <c r="J618" s="1041"/>
      <c r="K618" s="1041"/>
      <c r="L618" s="1031"/>
      <c r="M618" s="934" t="s">
        <v>1259</v>
      </c>
    </row>
    <row r="619" spans="1:13" s="1016" customFormat="1" ht="25.2" hidden="1" customHeight="1">
      <c r="A619" s="1086">
        <f t="shared" si="26"/>
        <v>0</v>
      </c>
      <c r="B619" s="1226"/>
      <c r="C619" s="2841"/>
      <c r="D619" s="1123"/>
      <c r="E619" s="1124"/>
      <c r="F619" s="1003"/>
      <c r="G619" s="1125"/>
      <c r="H619" s="1709"/>
      <c r="I619" s="1192">
        <f t="shared" si="25"/>
        <v>0</v>
      </c>
      <c r="J619" s="1126"/>
      <c r="K619" s="1127"/>
      <c r="L619" s="1069"/>
      <c r="M619" s="934"/>
    </row>
    <row r="620" spans="1:13" s="1016" customFormat="1" ht="25.2" hidden="1" customHeight="1">
      <c r="A620" s="1086">
        <f t="shared" si="26"/>
        <v>0</v>
      </c>
      <c r="B620" s="1221"/>
      <c r="C620" s="2845"/>
      <c r="D620" s="1094"/>
      <c r="E620" s="1133"/>
      <c r="H620" s="1735"/>
      <c r="I620" s="1192">
        <f t="shared" si="25"/>
        <v>0</v>
      </c>
      <c r="M620" s="934"/>
    </row>
    <row r="621" spans="1:13" s="1016" customFormat="1" ht="25.2" hidden="1" customHeight="1">
      <c r="A621" s="1086">
        <f t="shared" si="26"/>
        <v>0</v>
      </c>
      <c r="B621" s="1221"/>
      <c r="C621" s="2845"/>
      <c r="D621" s="1033" t="str">
        <f>"BAÛNG TOÅNG HÔÏP VAÄT LIEÄU, NHAÂN COÂNG, MAÙY THI COÂNG : "&amp;L7&amp;" TRAÏM 3P 3x25KVA"</f>
        <v>BAÛNG TOÅNG HÔÏP VAÄT LIEÄU, NHAÂN COÂNG, MAÙY THI COÂNG : 0 TRAÏM 3P 3x25KVA</v>
      </c>
      <c r="E621" s="1033"/>
      <c r="F621" s="1033"/>
      <c r="G621" s="1033"/>
      <c r="H621" s="1710"/>
      <c r="I621" s="1192">
        <f t="shared" ref="I621:I684" si="27">IF(M621=$M$23,H621+J621-K621,0)</f>
        <v>0</v>
      </c>
      <c r="J621" s="1033"/>
      <c r="K621" s="1033"/>
      <c r="L621" s="934"/>
      <c r="M621" s="934"/>
    </row>
    <row r="622" spans="1:13" s="1016" customFormat="1" ht="25.2" hidden="1" customHeight="1">
      <c r="A622" s="1086">
        <f t="shared" si="26"/>
        <v>0</v>
      </c>
      <c r="B622" s="1226"/>
      <c r="C622" s="2841"/>
      <c r="D622" s="1089"/>
      <c r="E622" s="1090"/>
      <c r="F622" s="1003" t="s">
        <v>3672</v>
      </c>
      <c r="G622" s="1092"/>
      <c r="H622" s="1706"/>
      <c r="I622" s="1192">
        <f t="shared" si="27"/>
        <v>0</v>
      </c>
      <c r="J622" s="1092"/>
      <c r="K622" s="1092"/>
      <c r="L622" s="1069"/>
      <c r="M622" s="934" t="s">
        <v>1260</v>
      </c>
    </row>
    <row r="623" spans="1:13" s="1016" customFormat="1" ht="25.2" hidden="1" customHeight="1">
      <c r="A623" s="1086">
        <f t="shared" si="26"/>
        <v>0</v>
      </c>
      <c r="B623" s="1227" t="s">
        <v>1210</v>
      </c>
      <c r="C623" s="2840"/>
      <c r="D623" s="1023">
        <f>IF(H623&gt;0,1,0)</f>
        <v>0</v>
      </c>
      <c r="E623" s="1012" t="str">
        <f>VLOOKUP($B623,DG!A:D,DG!$B$2,)</f>
        <v>01.1161</v>
      </c>
      <c r="F623" s="1013" t="str">
        <f>VLOOKUP($B623,DG!A:D,DG!$C$2,)</f>
        <v>Máy biến áp 12,7/0,22-0,44kV  25kVA</v>
      </c>
      <c r="G623" s="1012" t="str">
        <f>VLOOKUP($B623,DG!A:D,DG!$D$2,)</f>
        <v>máy</v>
      </c>
      <c r="H623" s="1711">
        <f>L7*3</f>
        <v>0</v>
      </c>
      <c r="I623" s="1192">
        <f t="shared" si="27"/>
        <v>0</v>
      </c>
      <c r="J623" s="1041"/>
      <c r="K623" s="1041"/>
      <c r="L623" s="1129"/>
      <c r="M623" s="934" t="s">
        <v>1260</v>
      </c>
    </row>
    <row r="624" spans="1:13" s="1016" customFormat="1" ht="25.2" hidden="1" customHeight="1">
      <c r="A624" s="1086">
        <f t="shared" si="26"/>
        <v>0</v>
      </c>
      <c r="B624" s="1227" t="s">
        <v>1652</v>
      </c>
      <c r="C624" s="2840"/>
      <c r="D624" s="1023">
        <f t="shared" ref="D624:D629" si="28">IF(H624&gt;0,D623+1,D623)</f>
        <v>0</v>
      </c>
      <c r="E624" s="1012" t="str">
        <f>VLOOKUP($B624,DG!A:D,DG!$B$2,)</f>
        <v>02.3155</v>
      </c>
      <c r="F624" s="1013" t="str">
        <f>VLOOKUP($B624,DG!A:D,DG!$C$2,)</f>
        <v>FCO 24kV - 100A</v>
      </c>
      <c r="G624" s="1012" t="str">
        <f>VLOOKUP($B624,DG!A:D,DG!$D$2,)</f>
        <v>cái</v>
      </c>
      <c r="H624" s="1100">
        <f>+H623</f>
        <v>0</v>
      </c>
      <c r="I624" s="1192">
        <f t="shared" si="27"/>
        <v>0</v>
      </c>
      <c r="J624" s="1041"/>
      <c r="K624" s="1041"/>
      <c r="L624" s="1015"/>
      <c r="M624" s="934" t="s">
        <v>1260</v>
      </c>
    </row>
    <row r="625" spans="1:14" s="1016" customFormat="1" ht="25.2" hidden="1" customHeight="1">
      <c r="A625" s="1086">
        <f t="shared" si="26"/>
        <v>0</v>
      </c>
      <c r="B625" s="1227" t="s">
        <v>888</v>
      </c>
      <c r="C625" s="2840"/>
      <c r="D625" s="1023">
        <f t="shared" si="28"/>
        <v>0</v>
      </c>
      <c r="E625" s="1012">
        <f>VLOOKUP($B625,DG!A:D,DG!$B$2,)</f>
        <v>0</v>
      </c>
      <c r="F625" s="1013" t="str">
        <f>VLOOKUP($B625,DG!A:D,DG!$C$2,)</f>
        <v>Dây chảy 3K</v>
      </c>
      <c r="G625" s="1012" t="str">
        <f>VLOOKUP($B625,DG!A:D,DG!$D$2,)</f>
        <v>Sợi</v>
      </c>
      <c r="H625" s="1100">
        <f>H624</f>
        <v>0</v>
      </c>
      <c r="I625" s="1192">
        <f t="shared" si="27"/>
        <v>0</v>
      </c>
      <c r="J625" s="1041"/>
      <c r="K625" s="1041"/>
      <c r="L625" s="1015"/>
      <c r="M625" s="934" t="s">
        <v>1260</v>
      </c>
    </row>
    <row r="626" spans="1:14" s="1016" customFormat="1" ht="25.2" hidden="1" customHeight="1">
      <c r="A626" s="1086">
        <f t="shared" si="26"/>
        <v>0</v>
      </c>
      <c r="B626" s="1221" t="s">
        <v>1373</v>
      </c>
      <c r="C626" s="2845"/>
      <c r="D626" s="1023">
        <f t="shared" si="28"/>
        <v>0</v>
      </c>
      <c r="E626" s="1012" t="str">
        <f>VLOOKUP($B626,DG!A:D,DG!$B$2,)</f>
        <v>02.5114</v>
      </c>
      <c r="F626" s="1013" t="str">
        <f>VLOOKUP($B626,DG!A:D,DG!$C$2,)</f>
        <v>Chống sét van LA-18KV-10KA</v>
      </c>
      <c r="G626" s="1012" t="str">
        <f>VLOOKUP($B626,DG!A:D,DG!$D$2,)</f>
        <v>cái</v>
      </c>
      <c r="H626" s="1100">
        <f>H623</f>
        <v>0</v>
      </c>
      <c r="I626" s="1192">
        <f t="shared" si="27"/>
        <v>0</v>
      </c>
      <c r="J626" s="1041"/>
      <c r="K626" s="1041"/>
      <c r="L626" s="1015"/>
      <c r="M626" s="934" t="s">
        <v>1260</v>
      </c>
    </row>
    <row r="627" spans="1:14" s="1016" customFormat="1" ht="25.2" hidden="1" customHeight="1">
      <c r="A627" s="1086">
        <f t="shared" si="26"/>
        <v>0</v>
      </c>
      <c r="B627" s="1228" t="s">
        <v>1419</v>
      </c>
      <c r="C627" s="2840"/>
      <c r="D627" s="1023">
        <f t="shared" si="28"/>
        <v>0</v>
      </c>
      <c r="E627" s="1012" t="str">
        <f>VLOOKUP($B627,DG!A:D,DG!$B$2,)</f>
        <v>02.8401</v>
      </c>
      <c r="F627" s="1013" t="str">
        <f>VLOOKUP($B627,DG!A:D,DG!$C$2,)</f>
        <v>MCCB 3 cực 400V -125A - 30KA</v>
      </c>
      <c r="G627" s="1012" t="str">
        <f>VLOOKUP($B627,DG!A:D,DG!$D$2,)</f>
        <v>cái</v>
      </c>
      <c r="H627" s="1100">
        <f>+H623/3</f>
        <v>0</v>
      </c>
      <c r="I627" s="1192">
        <f t="shared" si="27"/>
        <v>0</v>
      </c>
      <c r="J627" s="1041"/>
      <c r="K627" s="1041"/>
      <c r="L627" s="1015"/>
      <c r="M627" s="934" t="s">
        <v>1260</v>
      </c>
    </row>
    <row r="628" spans="1:14" s="1016" customFormat="1" ht="25.2" hidden="1" customHeight="1">
      <c r="A628" s="1086">
        <f t="shared" si="26"/>
        <v>0</v>
      </c>
      <c r="B628" s="1087" t="s">
        <v>2043</v>
      </c>
      <c r="C628" s="2842"/>
      <c r="D628" s="1023">
        <f t="shared" si="28"/>
        <v>0</v>
      </c>
      <c r="E628" s="1012">
        <f>VLOOKUP($B628,DG!A:D,DG!$B$2,)</f>
        <v>0</v>
      </c>
      <c r="F628" s="1013" t="str">
        <f>VLOOKUP($B628,DG!A:D,DG!$C$2,)</f>
        <v>Biến dòng 600V - 100/5A</v>
      </c>
      <c r="G628" s="1012" t="str">
        <f>VLOOKUP($B628,DG!A:D,DG!$D$2,)</f>
        <v>cái</v>
      </c>
      <c r="H628" s="1715">
        <f>H623</f>
        <v>0</v>
      </c>
      <c r="I628" s="1192">
        <f t="shared" si="27"/>
        <v>0</v>
      </c>
      <c r="J628" s="1041"/>
      <c r="K628" s="1041"/>
      <c r="L628" s="1043" t="s">
        <v>2601</v>
      </c>
      <c r="M628" s="934" t="s">
        <v>1260</v>
      </c>
    </row>
    <row r="629" spans="1:14" s="1016" customFormat="1" ht="25.2" hidden="1" customHeight="1">
      <c r="A629" s="1086">
        <f t="shared" si="26"/>
        <v>0</v>
      </c>
      <c r="B629" s="1247" t="s">
        <v>288</v>
      </c>
      <c r="C629" s="2849"/>
      <c r="D629" s="1023">
        <f t="shared" si="28"/>
        <v>0</v>
      </c>
      <c r="E629" s="1012" t="str">
        <f>VLOOKUP($B629,DG!A:D,DG!$B$2,)</f>
        <v>05.5104</v>
      </c>
      <c r="F629" s="1013" t="str">
        <f>VLOOKUP($B629,DG!A:D,DG!$C$2,)</f>
        <v>Điện kế 3 pha 4 dây 220/380V-5A</v>
      </c>
      <c r="G629" s="1012" t="str">
        <f>VLOOKUP($B629,DG!A:D,DG!$D$2,)</f>
        <v>cái</v>
      </c>
      <c r="H629" s="1100">
        <f>H628/3</f>
        <v>0</v>
      </c>
      <c r="I629" s="1192">
        <f t="shared" si="27"/>
        <v>0</v>
      </c>
      <c r="J629" s="1041"/>
      <c r="K629" s="1041"/>
      <c r="L629" s="1043" t="s">
        <v>2601</v>
      </c>
      <c r="M629" s="934" t="s">
        <v>1260</v>
      </c>
    </row>
    <row r="630" spans="1:14" s="1016" customFormat="1" ht="25.2" hidden="1" customHeight="1">
      <c r="A630" s="1086">
        <f t="shared" si="26"/>
        <v>0</v>
      </c>
      <c r="B630" s="1226"/>
      <c r="C630" s="2841"/>
      <c r="D630" s="1040"/>
      <c r="E630" s="1135"/>
      <c r="F630" s="1093"/>
      <c r="G630" s="1040"/>
      <c r="H630" s="1135"/>
      <c r="I630" s="1192">
        <f t="shared" si="27"/>
        <v>0</v>
      </c>
      <c r="J630" s="1093"/>
      <c r="K630" s="1040"/>
      <c r="L630" s="1069"/>
      <c r="M630" s="934" t="s">
        <v>1260</v>
      </c>
    </row>
    <row r="631" spans="1:14" s="1016" customFormat="1" ht="25.2" hidden="1" customHeight="1">
      <c r="A631" s="1086">
        <f t="shared" si="26"/>
        <v>0</v>
      </c>
      <c r="B631" s="1226"/>
      <c r="C631" s="2841"/>
      <c r="D631" s="1114"/>
      <c r="E631" s="1137"/>
      <c r="F631" s="1003" t="s">
        <v>3673</v>
      </c>
      <c r="G631" s="1003"/>
      <c r="H631" s="1706"/>
      <c r="I631" s="1192">
        <f t="shared" si="27"/>
        <v>0</v>
      </c>
      <c r="J631" s="1003"/>
      <c r="K631" s="1003"/>
      <c r="L631" s="1069"/>
      <c r="M631" s="934" t="s">
        <v>1260</v>
      </c>
    </row>
    <row r="632" spans="1:14" s="1016" customFormat="1" ht="25.2" hidden="1" customHeight="1">
      <c r="A632" s="1086">
        <f t="shared" si="26"/>
        <v>0</v>
      </c>
      <c r="B632" s="1226"/>
      <c r="C632" s="2841"/>
      <c r="D632" s="1138">
        <f>IF(H632&gt;0,1,0)</f>
        <v>0</v>
      </c>
      <c r="E632" s="1139"/>
      <c r="F632" s="1140" t="s">
        <v>3692</v>
      </c>
      <c r="G632" s="1138" t="s">
        <v>2385</v>
      </c>
      <c r="H632" s="1714">
        <f>H623/3</f>
        <v>0</v>
      </c>
      <c r="I632" s="1192">
        <f t="shared" si="27"/>
        <v>0</v>
      </c>
      <c r="J632" s="1141"/>
      <c r="K632" s="1141"/>
      <c r="L632" s="1129"/>
      <c r="M632" s="934" t="s">
        <v>1260</v>
      </c>
    </row>
    <row r="633" spans="1:14" s="1016" customFormat="1" ht="25.2" hidden="1" customHeight="1">
      <c r="A633" s="1086">
        <f t="shared" si="26"/>
        <v>0</v>
      </c>
      <c r="B633" s="1226"/>
      <c r="C633" s="2841"/>
      <c r="D633" s="1099"/>
      <c r="E633" s="1142"/>
      <c r="F633" s="1265" t="s">
        <v>2279</v>
      </c>
      <c r="G633" s="1043"/>
      <c r="H633" s="1100"/>
      <c r="I633" s="1192">
        <f t="shared" si="27"/>
        <v>0</v>
      </c>
      <c r="J633" s="1143"/>
      <c r="K633" s="1143"/>
      <c r="L633" s="1015"/>
      <c r="M633" s="934" t="s">
        <v>1260</v>
      </c>
    </row>
    <row r="634" spans="1:14" s="1016" customFormat="1" ht="25.2" hidden="1" customHeight="1">
      <c r="A634" s="1086">
        <f t="shared" si="26"/>
        <v>0</v>
      </c>
      <c r="B634" s="1087" t="s">
        <v>1000</v>
      </c>
      <c r="C634" s="2842"/>
      <c r="D634" s="1099"/>
      <c r="E634" s="1012" t="str">
        <f>VLOOKUP($B634,DG!A:D,DG!$B$2,)</f>
        <v>05.6100</v>
      </c>
      <c r="F634" s="1013" t="str">
        <f>VLOOKUP($B634,DG!A:D,DG!$C$2,)</f>
        <v>Giá chùm treo máy biến áp 3x25</v>
      </c>
      <c r="G634" s="1012" t="str">
        <f>VLOOKUP($B634,DG!A:D,DG!$D$2,)</f>
        <v>cái</v>
      </c>
      <c r="H634" s="1100">
        <f>H632</f>
        <v>0</v>
      </c>
      <c r="I634" s="1192">
        <f t="shared" si="27"/>
        <v>0</v>
      </c>
      <c r="J634" s="1041"/>
      <c r="K634" s="1041"/>
      <c r="L634" s="1015"/>
      <c r="M634" s="934" t="s">
        <v>1260</v>
      </c>
    </row>
    <row r="635" spans="1:14" s="1016" customFormat="1" ht="25.2" hidden="1" customHeight="1">
      <c r="A635" s="1086">
        <f t="shared" si="26"/>
        <v>0</v>
      </c>
      <c r="B635" s="1226" t="s">
        <v>1786</v>
      </c>
      <c r="C635" s="2841"/>
      <c r="D635" s="1099"/>
      <c r="E635" s="1142"/>
      <c r="F635" s="1013" t="str">
        <f>VLOOKUP($B635,DG!A:D,DG!$C$2,)</f>
        <v>Boulon 16x50+ 2 long đền vuông D18-50x50x3/Zn</v>
      </c>
      <c r="G635" s="1012" t="str">
        <f>VLOOKUP($B635,DG!A:D,DG!$D$2,)</f>
        <v>bộ</v>
      </c>
      <c r="H635" s="1100">
        <f>6*H632</f>
        <v>0</v>
      </c>
      <c r="I635" s="1192">
        <f t="shared" si="27"/>
        <v>0</v>
      </c>
      <c r="J635" s="1041"/>
      <c r="K635" s="1041"/>
      <c r="L635" s="1015"/>
      <c r="M635" s="934" t="s">
        <v>1260</v>
      </c>
    </row>
    <row r="636" spans="1:14" s="1016" customFormat="1" ht="25.2" hidden="1" customHeight="1">
      <c r="A636" s="1086">
        <f t="shared" si="26"/>
        <v>0</v>
      </c>
      <c r="B636" s="1226" t="s">
        <v>1610</v>
      </c>
      <c r="C636" s="2841"/>
      <c r="D636" s="1099"/>
      <c r="E636" s="1142"/>
      <c r="F636" s="1013" t="str">
        <f>VLOOKUP($B636,DG!A:D,DG!$C$2,)</f>
        <v>Boulon 16x300+ 2 long đền vuông D18-50x50x3/Zn</v>
      </c>
      <c r="G636" s="1012" t="str">
        <f>VLOOKUP($B636,DG!A:D,DG!$D$2,)</f>
        <v>bộ</v>
      </c>
      <c r="H636" s="1100">
        <f>2*H632</f>
        <v>0</v>
      </c>
      <c r="I636" s="1192">
        <f t="shared" si="27"/>
        <v>0</v>
      </c>
      <c r="J636" s="1041"/>
      <c r="K636" s="1041"/>
      <c r="L636" s="1015"/>
      <c r="M636" s="934" t="s">
        <v>1260</v>
      </c>
    </row>
    <row r="637" spans="1:14" s="1016" customFormat="1" ht="25.2" hidden="1" customHeight="1">
      <c r="A637" s="1086">
        <f t="shared" si="26"/>
        <v>0</v>
      </c>
      <c r="B637" s="1226"/>
      <c r="C637" s="2841"/>
      <c r="D637" s="1011">
        <f>IF(H637&gt;0,D632+1,D632)</f>
        <v>0</v>
      </c>
      <c r="E637" s="1118"/>
      <c r="F637" s="1119" t="s">
        <v>3674</v>
      </c>
      <c r="G637" s="1099" t="s">
        <v>2385</v>
      </c>
      <c r="H637" s="1707">
        <f>H632*0</f>
        <v>0</v>
      </c>
      <c r="I637" s="1192">
        <f t="shared" si="27"/>
        <v>0</v>
      </c>
      <c r="J637" s="1064"/>
      <c r="K637" s="1064"/>
      <c r="L637" s="1043"/>
      <c r="M637" s="934" t="s">
        <v>1260</v>
      </c>
    </row>
    <row r="638" spans="1:14" s="1016" customFormat="1" ht="25.2" hidden="1" customHeight="1">
      <c r="A638" s="1086">
        <f t="shared" si="26"/>
        <v>0</v>
      </c>
      <c r="B638" s="1226"/>
      <c r="C638" s="2841"/>
      <c r="D638" s="1099"/>
      <c r="E638" s="1118"/>
      <c r="F638" s="1264" t="s">
        <v>2279</v>
      </c>
      <c r="G638" s="1043"/>
      <c r="H638" s="1100"/>
      <c r="I638" s="1192">
        <f t="shared" si="27"/>
        <v>0</v>
      </c>
      <c r="J638" s="1064"/>
      <c r="K638" s="1064"/>
      <c r="L638" s="1043"/>
      <c r="M638" s="934" t="s">
        <v>1260</v>
      </c>
      <c r="N638" s="1120"/>
    </row>
    <row r="639" spans="1:14" s="1016" customFormat="1" ht="25.2" hidden="1" customHeight="1">
      <c r="A639" s="1086">
        <f t="shared" si="26"/>
        <v>0</v>
      </c>
      <c r="B639" s="1087" t="s">
        <v>115</v>
      </c>
      <c r="C639" s="2842"/>
      <c r="D639" s="1043"/>
      <c r="E639" s="1012">
        <f>VLOOKUP($B639,DG!A:D,DG!$B$2,)</f>
        <v>0</v>
      </c>
      <c r="F639" s="1013" t="str">
        <f>VLOOKUP($B639,DG!A:D,DG!$C$2,)</f>
        <v>Trụ BTLT 12m F540 dự ứng lực</v>
      </c>
      <c r="G639" s="1012" t="str">
        <f>VLOOKUP($B639,DG!A:D,DG!$D$2,)</f>
        <v>trụ</v>
      </c>
      <c r="H639" s="1100">
        <f>1*H637</f>
        <v>0</v>
      </c>
      <c r="I639" s="1192">
        <f t="shared" si="27"/>
        <v>0</v>
      </c>
      <c r="J639" s="1041"/>
      <c r="K639" s="1041"/>
      <c r="L639" s="1043"/>
      <c r="M639" s="934" t="s">
        <v>1260</v>
      </c>
      <c r="N639" s="1120"/>
    </row>
    <row r="640" spans="1:14" s="1016" customFormat="1" ht="25.2" hidden="1" customHeight="1">
      <c r="A640" s="1086">
        <f t="shared" si="26"/>
        <v>0</v>
      </c>
      <c r="B640" s="1087" t="s">
        <v>1814</v>
      </c>
      <c r="C640" s="2842"/>
      <c r="D640" s="1043"/>
      <c r="E640" s="1121"/>
      <c r="F640" s="1013" t="str">
        <f>VLOOKUP($B640,DG!A:D,DG!$C$2,)</f>
        <v>Vật liệu dựng trụ</v>
      </c>
      <c r="G640" s="1012" t="str">
        <f>VLOOKUP($B640,DG!A:D,DG!$D$2,)</f>
        <v>trụ</v>
      </c>
      <c r="H640" s="1100">
        <f>H639</f>
        <v>0</v>
      </c>
      <c r="I640" s="1192">
        <f t="shared" si="27"/>
        <v>0</v>
      </c>
      <c r="J640" s="1041"/>
      <c r="K640" s="1041"/>
      <c r="L640" s="1043"/>
      <c r="M640" s="934" t="s">
        <v>1260</v>
      </c>
      <c r="N640" s="1120"/>
    </row>
    <row r="641" spans="1:14" s="1016" customFormat="1" ht="25.2" hidden="1" customHeight="1">
      <c r="A641" s="1086">
        <f t="shared" si="26"/>
        <v>0</v>
      </c>
      <c r="B641" s="1087" t="s">
        <v>2126</v>
      </c>
      <c r="C641" s="2842"/>
      <c r="D641" s="1043"/>
      <c r="E641" s="1121"/>
      <c r="F641" s="1013" t="str">
        <f>VLOOKUP($B641,DG!A:D,DG!$C$2,)</f>
        <v>Dựng trụ BTLT 12m trong TBA bằng thủ công + cơ giới</v>
      </c>
      <c r="G641" s="1012" t="str">
        <f>VLOOKUP($B641,DG!A:D,DG!$D$2,)</f>
        <v>trụ</v>
      </c>
      <c r="H641" s="1100">
        <f>H639</f>
        <v>0</v>
      </c>
      <c r="I641" s="1192">
        <f t="shared" si="27"/>
        <v>0</v>
      </c>
      <c r="J641" s="1041"/>
      <c r="K641" s="1041"/>
      <c r="L641" s="1043"/>
      <c r="M641" s="934" t="s">
        <v>1260</v>
      </c>
      <c r="N641" s="1120"/>
    </row>
    <row r="642" spans="1:14" s="1016" customFormat="1" ht="25.2" hidden="1" customHeight="1">
      <c r="A642" s="1086">
        <f t="shared" si="26"/>
        <v>0</v>
      </c>
      <c r="B642" s="1226"/>
      <c r="C642" s="2841"/>
      <c r="D642" s="1011">
        <f>IF(H642&gt;0,D637+1,D637)</f>
        <v>0</v>
      </c>
      <c r="E642" s="1118"/>
      <c r="F642" s="1119" t="s">
        <v>2352</v>
      </c>
      <c r="G642" s="1099" t="s">
        <v>2385</v>
      </c>
      <c r="H642" s="1707">
        <f>H637</f>
        <v>0</v>
      </c>
      <c r="I642" s="1192">
        <f t="shared" si="27"/>
        <v>0</v>
      </c>
      <c r="J642" s="1064"/>
      <c r="K642" s="1064"/>
      <c r="L642" s="1043"/>
      <c r="M642" s="934" t="s">
        <v>1260</v>
      </c>
    </row>
    <row r="643" spans="1:14" s="1016" customFormat="1" ht="25.2" hidden="1" customHeight="1">
      <c r="A643" s="1086">
        <f t="shared" si="26"/>
        <v>0</v>
      </c>
      <c r="B643" s="1226"/>
      <c r="C643" s="2841"/>
      <c r="D643" s="1099"/>
      <c r="E643" s="1118"/>
      <c r="F643" s="1264" t="s">
        <v>2279</v>
      </c>
      <c r="G643" s="1043"/>
      <c r="H643" s="1100"/>
      <c r="I643" s="1192">
        <f t="shared" si="27"/>
        <v>0</v>
      </c>
      <c r="J643" s="1064"/>
      <c r="K643" s="1064"/>
      <c r="L643" s="1043"/>
      <c r="M643" s="934" t="s">
        <v>1260</v>
      </c>
      <c r="N643" s="1120"/>
    </row>
    <row r="644" spans="1:14" s="1016" customFormat="1" ht="25.2" hidden="1" customHeight="1">
      <c r="A644" s="1086">
        <f t="shared" si="26"/>
        <v>0</v>
      </c>
      <c r="B644" s="1233" t="s">
        <v>636</v>
      </c>
      <c r="C644" s="2843"/>
      <c r="D644" s="1043"/>
      <c r="E644" s="1012" t="str">
        <f>VLOOKUP($B644,DG!A:D,DG!$B$2,)</f>
        <v>04.4001</v>
      </c>
      <c r="F644" s="1013" t="str">
        <f>VLOOKUP($B644,DG!A:D,DG!$C$2,)</f>
        <v>Đà cản BTCT 1,2m</v>
      </c>
      <c r="G644" s="1012" t="str">
        <f>VLOOKUP($B644,DG!A:D,DG!$D$2,)</f>
        <v>cái</v>
      </c>
      <c r="H644" s="1100">
        <f>1*H642</f>
        <v>0</v>
      </c>
      <c r="I644" s="1192">
        <f t="shared" si="27"/>
        <v>0</v>
      </c>
      <c r="J644" s="1041"/>
      <c r="K644" s="1041"/>
      <c r="L644" s="1043"/>
      <c r="M644" s="934" t="s">
        <v>1260</v>
      </c>
      <c r="N644" s="1120"/>
    </row>
    <row r="645" spans="1:14" s="1016" customFormat="1" ht="25.2" hidden="1" customHeight="1">
      <c r="A645" s="1086">
        <f t="shared" si="26"/>
        <v>0</v>
      </c>
      <c r="B645" s="1233" t="s">
        <v>566</v>
      </c>
      <c r="C645" s="2843"/>
      <c r="D645" s="1043"/>
      <c r="E645" s="1012">
        <f>VLOOKUP($B645,DG!A:D,DG!$B$2,)</f>
        <v>0</v>
      </c>
      <c r="F645" s="1013" t="str">
        <f>VLOOKUP($B645,DG!A:D,DG!$C$2,)</f>
        <v>Boulon 22x650+ 2 long đền vuông D24-50x50x3/Zn</v>
      </c>
      <c r="G645" s="1012" t="str">
        <f>VLOOKUP($B645,DG!A:D,DG!$D$2,)</f>
        <v>bộ</v>
      </c>
      <c r="H645" s="1100">
        <f>H642</f>
        <v>0</v>
      </c>
      <c r="I645" s="1192">
        <f t="shared" si="27"/>
        <v>0</v>
      </c>
      <c r="J645" s="1041"/>
      <c r="K645" s="1041"/>
      <c r="L645" s="1043"/>
      <c r="M645" s="934" t="s">
        <v>1260</v>
      </c>
      <c r="N645" s="1120"/>
    </row>
    <row r="646" spans="1:14" s="1016" customFormat="1" ht="25.2" hidden="1" customHeight="1">
      <c r="A646" s="1086">
        <f t="shared" si="26"/>
        <v>0</v>
      </c>
      <c r="B646" s="1233" t="str">
        <f>IF(chitiet!G5=1,"MDD1",IF(chitiet!G5=2,"MDD2",IF(chitiet!G5=3,"MDD3",IF(chitiet!G5=4,"MDD4"))))</f>
        <v>MDD3</v>
      </c>
      <c r="C646" s="2843"/>
      <c r="D646" s="1043"/>
      <c r="E646" s="1012" t="str">
        <f>VLOOKUP($B646,DG!A:D,DG!$B$2,)</f>
        <v>03.1013</v>
      </c>
      <c r="F646" s="1013" t="str">
        <f>VLOOKUP($B646,DG!A:D,DG!$C$2,)</f>
        <v>Đào hố móng đất cấp 3 sâu &gt;1m</v>
      </c>
      <c r="G646" s="1012" t="str">
        <f>VLOOKUP($B646,DG!A:D,DG!$D$2,)</f>
        <v>m3</v>
      </c>
      <c r="H646" s="1100">
        <f>H642*1.45</f>
        <v>0</v>
      </c>
      <c r="I646" s="1192">
        <f t="shared" si="27"/>
        <v>0</v>
      </c>
      <c r="J646" s="1041"/>
      <c r="K646" s="1041"/>
      <c r="L646" s="1043"/>
      <c r="M646" s="934" t="s">
        <v>1260</v>
      </c>
      <c r="N646" s="1120"/>
    </row>
    <row r="647" spans="1:14" s="1016" customFormat="1" ht="25.2" hidden="1" customHeight="1">
      <c r="A647" s="1086">
        <f t="shared" si="26"/>
        <v>0</v>
      </c>
      <c r="B647" s="1233" t="str">
        <f>IF(chitiet!G5=1,"MDAP1",IF(chitiet!G5=2,"MDAP2",IF(chitiet!G5=3,"MDAP3",IF(chitiet!G5=4,"MDAP4"))))</f>
        <v>MDAP3</v>
      </c>
      <c r="C647" s="2843"/>
      <c r="D647" s="1043"/>
      <c r="E647" s="1012" t="str">
        <f>VLOOKUP($B647,DG!A:D,DG!$B$2,)</f>
        <v>03.4113</v>
      </c>
      <c r="F647" s="1013" t="str">
        <f>VLOOKUP($B647,DG!A:D,DG!$C$2,)</f>
        <v>Đắp đất hố móng, độ chặt k=0,95</v>
      </c>
      <c r="G647" s="1012" t="str">
        <f>VLOOKUP($B647,DG!A:D,DG!$D$2,)</f>
        <v>m3</v>
      </c>
      <c r="H647" s="1100">
        <f>H642*1.37</f>
        <v>0</v>
      </c>
      <c r="I647" s="1192">
        <f t="shared" si="27"/>
        <v>0</v>
      </c>
      <c r="J647" s="1041"/>
      <c r="K647" s="1041"/>
      <c r="L647" s="1043"/>
      <c r="M647" s="934" t="s">
        <v>1260</v>
      </c>
      <c r="N647" s="1120"/>
    </row>
    <row r="648" spans="1:14" s="1016" customFormat="1" ht="25.2" hidden="1" customHeight="1">
      <c r="A648" s="1086">
        <f t="shared" si="26"/>
        <v>0</v>
      </c>
      <c r="B648" s="1226"/>
      <c r="C648" s="2841"/>
      <c r="D648" s="1099">
        <f>IF(H648&gt;0,D642+1,D642)</f>
        <v>0</v>
      </c>
      <c r="E648" s="1142"/>
      <c r="F648" s="1130" t="s">
        <v>3699</v>
      </c>
      <c r="G648" s="1099" t="s">
        <v>2385</v>
      </c>
      <c r="H648" s="1707">
        <f>H632</f>
        <v>0</v>
      </c>
      <c r="I648" s="1192">
        <f t="shared" si="27"/>
        <v>0</v>
      </c>
      <c r="J648" s="1064"/>
      <c r="K648" s="1064"/>
      <c r="L648" s="1015"/>
      <c r="M648" s="934" t="s">
        <v>1260</v>
      </c>
    </row>
    <row r="649" spans="1:14" s="1016" customFormat="1" ht="25.2" hidden="1" customHeight="1">
      <c r="A649" s="1086">
        <f t="shared" si="26"/>
        <v>0</v>
      </c>
      <c r="B649" s="1226"/>
      <c r="C649" s="2841"/>
      <c r="D649" s="1099"/>
      <c r="E649" s="1142"/>
      <c r="F649" s="1265" t="s">
        <v>2279</v>
      </c>
      <c r="G649" s="1043"/>
      <c r="H649" s="1100"/>
      <c r="I649" s="1192">
        <f t="shared" si="27"/>
        <v>0</v>
      </c>
      <c r="J649" s="1064"/>
      <c r="K649" s="1064"/>
      <c r="L649" s="1015"/>
      <c r="M649" s="934" t="s">
        <v>1260</v>
      </c>
    </row>
    <row r="650" spans="1:14" s="1016" customFormat="1" ht="25.2" hidden="1" customHeight="1">
      <c r="A650" s="1086">
        <f t="shared" si="26"/>
        <v>0</v>
      </c>
      <c r="B650" s="1233" t="s">
        <v>364</v>
      </c>
      <c r="C650" s="2843"/>
      <c r="D650" s="1099"/>
      <c r="E650" s="1012">
        <f>VLOOKUP($B650,DG!A:D,DG!$B$2,)</f>
        <v>0</v>
      </c>
      <c r="F650" s="1013" t="str">
        <f>VLOOKUP($B650,DG!A:D,DG!$C$2,)</f>
        <v>Xà composite 110x800x5</v>
      </c>
      <c r="G650" s="1012" t="str">
        <f>VLOOKUP($B650,DG!A:D,DG!$D$2,)</f>
        <v>cái</v>
      </c>
      <c r="H650" s="1100">
        <f>H648*2.4</f>
        <v>0</v>
      </c>
      <c r="I650" s="1192">
        <f t="shared" si="27"/>
        <v>0</v>
      </c>
      <c r="J650" s="1041"/>
      <c r="K650" s="1041"/>
      <c r="L650" s="1015"/>
      <c r="M650" s="934" t="s">
        <v>1260</v>
      </c>
    </row>
    <row r="651" spans="1:14" s="1016" customFormat="1" ht="25.2" hidden="1" customHeight="1">
      <c r="A651" s="1086">
        <f t="shared" si="26"/>
        <v>0</v>
      </c>
      <c r="B651" s="1226" t="s">
        <v>365</v>
      </c>
      <c r="C651" s="2841"/>
      <c r="D651" s="1099"/>
      <c r="E651" s="1012">
        <f>VLOOKUP($B651,DG!A:D,DG!$B$2,)</f>
        <v>0</v>
      </c>
      <c r="F651" s="1013" t="str">
        <f>VLOOKUP($B651,DG!A:D,DG!$C$2,)</f>
        <v>Chống composite 40x10x920</v>
      </c>
      <c r="G651" s="1012" t="str">
        <f>VLOOKUP($B651,DG!A:D,DG!$D$2,)</f>
        <v>cái</v>
      </c>
      <c r="H651" s="1100">
        <f>2*H648</f>
        <v>0</v>
      </c>
      <c r="I651" s="1192">
        <f t="shared" si="27"/>
        <v>0</v>
      </c>
      <c r="J651" s="1041"/>
      <c r="K651" s="1041"/>
      <c r="L651" s="1015"/>
      <c r="M651" s="934" t="s">
        <v>1260</v>
      </c>
    </row>
    <row r="652" spans="1:14" s="1016" customFormat="1" ht="25.2" hidden="1" customHeight="1">
      <c r="A652" s="1086">
        <f t="shared" si="26"/>
        <v>0</v>
      </c>
      <c r="B652" s="1226" t="s">
        <v>488</v>
      </c>
      <c r="C652" s="2841"/>
      <c r="D652" s="1099"/>
      <c r="E652" s="1012">
        <f>VLOOKUP($B652,DG!A:D,DG!$B$2,)</f>
        <v>0</v>
      </c>
      <c r="F652" s="1013" t="str">
        <f>VLOOKUP($B652,DG!A:D,DG!$C$2,)</f>
        <v>Bass LL bắt FCO, LA</v>
      </c>
      <c r="G652" s="1012" t="str">
        <f>VLOOKUP($B652,DG!A:D,DG!$D$2,)</f>
        <v>bộ</v>
      </c>
      <c r="H652" s="1100">
        <f>H648*3</f>
        <v>0</v>
      </c>
      <c r="I652" s="1192">
        <f t="shared" si="27"/>
        <v>0</v>
      </c>
      <c r="J652" s="1041"/>
      <c r="K652" s="1041"/>
      <c r="L652" s="1015"/>
      <c r="M652" s="934" t="s">
        <v>1260</v>
      </c>
    </row>
    <row r="653" spans="1:14" s="1016" customFormat="1" ht="25.2" hidden="1" customHeight="1">
      <c r="A653" s="1086">
        <f t="shared" si="26"/>
        <v>0</v>
      </c>
      <c r="B653" s="1226" t="s">
        <v>802</v>
      </c>
      <c r="C653" s="2841"/>
      <c r="D653" s="1099"/>
      <c r="E653" s="1012">
        <f>VLOOKUP($B653,DG!A:D,DG!$B$2,)</f>
        <v>0</v>
      </c>
      <c r="F653" s="1013" t="str">
        <f>VLOOKUP($B653,DG!A:D,DG!$C$2,)</f>
        <v>Boulon 16x100+ 2 long đền vuông D18-50x50x3/Zn</v>
      </c>
      <c r="G653" s="1012" t="str">
        <f>VLOOKUP($B653,DG!A:D,DG!$D$2,)</f>
        <v>bộ</v>
      </c>
      <c r="H653" s="1100">
        <f>2*H648</f>
        <v>0</v>
      </c>
      <c r="I653" s="1192">
        <f t="shared" si="27"/>
        <v>0</v>
      </c>
      <c r="J653" s="1041"/>
      <c r="K653" s="1041"/>
      <c r="L653" s="1015"/>
      <c r="M653" s="934" t="s">
        <v>1260</v>
      </c>
    </row>
    <row r="654" spans="1:14" s="1016" customFormat="1" ht="25.2" hidden="1" customHeight="1">
      <c r="A654" s="1086">
        <f t="shared" si="26"/>
        <v>0</v>
      </c>
      <c r="B654" s="1226" t="s">
        <v>1083</v>
      </c>
      <c r="C654" s="2841"/>
      <c r="D654" s="1099"/>
      <c r="E654" s="1012">
        <f>VLOOKUP($B654,DG!A:D,DG!$B$2,)</f>
        <v>0</v>
      </c>
      <c r="F654" s="1013" t="str">
        <f>VLOOKUP($B654,DG!A:D,DG!$C$2,)</f>
        <v>Boulon 16x400+ 2 long đền vuông D18-50x50x3/Zn</v>
      </c>
      <c r="G654" s="1012" t="str">
        <f>VLOOKUP($B654,DG!A:D,DG!$D$2,)</f>
        <v>bộ</v>
      </c>
      <c r="H654" s="1100">
        <f>2*H648</f>
        <v>0</v>
      </c>
      <c r="I654" s="1192">
        <f t="shared" si="27"/>
        <v>0</v>
      </c>
      <c r="J654" s="1041"/>
      <c r="K654" s="1041"/>
      <c r="L654" s="1015"/>
      <c r="M654" s="934" t="s">
        <v>1260</v>
      </c>
    </row>
    <row r="655" spans="1:14" s="1016" customFormat="1" ht="25.2" hidden="1" customHeight="1">
      <c r="A655" s="1086">
        <f t="shared" si="26"/>
        <v>0</v>
      </c>
      <c r="B655" s="1226" t="s">
        <v>420</v>
      </c>
      <c r="C655" s="2841"/>
      <c r="D655" s="1099"/>
      <c r="E655" s="1012" t="str">
        <f>VLOOKUP($B655,DG!A:D,DG!$B$2,)</f>
        <v>05.6102</v>
      </c>
      <c r="F655" s="1013" t="str">
        <f>VLOOKUP($B655,DG!A:D,DG!$C$2,)</f>
        <v>Lắp xà đỡ ≤ 50kg</v>
      </c>
      <c r="G655" s="1012" t="str">
        <f>VLOOKUP($B655,DG!A:D,DG!$D$2,)</f>
        <v>bộ</v>
      </c>
      <c r="H655" s="1100">
        <f>H648</f>
        <v>0</v>
      </c>
      <c r="I655" s="1192">
        <f t="shared" si="27"/>
        <v>0</v>
      </c>
      <c r="J655" s="1041"/>
      <c r="K655" s="1041"/>
      <c r="L655" s="1015"/>
      <c r="M655" s="934" t="s">
        <v>1260</v>
      </c>
    </row>
    <row r="656" spans="1:14" s="1016" customFormat="1" ht="25.2" hidden="1" customHeight="1">
      <c r="A656" s="1086">
        <f t="shared" si="26"/>
        <v>0</v>
      </c>
      <c r="B656" s="1226"/>
      <c r="C656" s="2841"/>
      <c r="D656" s="1099">
        <f>IF(H656&gt;0,D648+1,D648)</f>
        <v>0</v>
      </c>
      <c r="E656" s="1142"/>
      <c r="F656" s="1130" t="s">
        <v>3694</v>
      </c>
      <c r="G656" s="1099" t="s">
        <v>2385</v>
      </c>
      <c r="H656" s="1707">
        <f>H632</f>
        <v>0</v>
      </c>
      <c r="I656" s="1192">
        <f t="shared" si="27"/>
        <v>0</v>
      </c>
      <c r="J656" s="1064"/>
      <c r="K656" s="1064"/>
      <c r="L656" s="1015"/>
      <c r="M656" s="934" t="s">
        <v>1260</v>
      </c>
    </row>
    <row r="657" spans="1:13" s="1016" customFormat="1" ht="25.2" hidden="1" customHeight="1">
      <c r="A657" s="1086">
        <f t="shared" si="26"/>
        <v>0</v>
      </c>
      <c r="B657" s="1226"/>
      <c r="C657" s="2841"/>
      <c r="D657" s="1099"/>
      <c r="E657" s="1142"/>
      <c r="F657" s="1265" t="s">
        <v>2279</v>
      </c>
      <c r="G657" s="1043"/>
      <c r="H657" s="1100"/>
      <c r="I657" s="1192">
        <f t="shared" si="27"/>
        <v>0</v>
      </c>
      <c r="J657" s="1064"/>
      <c r="K657" s="1064"/>
      <c r="L657" s="1015"/>
      <c r="M657" s="934" t="s">
        <v>1260</v>
      </c>
    </row>
    <row r="658" spans="1:13" s="1016" customFormat="1" ht="25.2" hidden="1" customHeight="1">
      <c r="A658" s="1086">
        <f t="shared" si="26"/>
        <v>0</v>
      </c>
      <c r="B658" s="1226" t="s">
        <v>103</v>
      </c>
      <c r="C658" s="2841"/>
      <c r="D658" s="1043"/>
      <c r="E658" s="1012">
        <f>VLOOKUP($B658,DG!A:D,DG!$B$2,)</f>
        <v>0</v>
      </c>
      <c r="F658" s="1013" t="str">
        <f>VLOOKUP($B658,DG!A:D,DG!$C$2,)</f>
        <v>Cáp đồng trần M25mm2</v>
      </c>
      <c r="G658" s="1012" t="str">
        <f>VLOOKUP($B658,DG!A:D,DG!$D$2,)</f>
        <v>kg</v>
      </c>
      <c r="H658" s="1100">
        <f>H656*8*0.224</f>
        <v>0</v>
      </c>
      <c r="I658" s="1192">
        <f t="shared" si="27"/>
        <v>0</v>
      </c>
      <c r="J658" s="1041"/>
      <c r="K658" s="1041"/>
      <c r="L658" s="1015"/>
      <c r="M658" s="934" t="s">
        <v>1260</v>
      </c>
    </row>
    <row r="659" spans="1:13" s="1016" customFormat="1" ht="25.2" hidden="1" customHeight="1">
      <c r="A659" s="1086">
        <f t="shared" si="26"/>
        <v>0</v>
      </c>
      <c r="B659" s="1087" t="s">
        <v>1508</v>
      </c>
      <c r="C659" s="2842"/>
      <c r="D659" s="1043"/>
      <c r="E659" s="1012">
        <f>VLOOKUP($B659,DG!A:D,DG!$B$2,)</f>
        <v>0</v>
      </c>
      <c r="F659" s="1013" t="str">
        <f>VLOOKUP($B659,DG!A:D,DG!$C$2,)</f>
        <v>Cọc tiếp đất Þ 16- 2,4m + kẹp cọc mạ đồng</v>
      </c>
      <c r="G659" s="1012" t="str">
        <f>VLOOKUP($B659,DG!A:D,DG!$D$2,)</f>
        <v>bộ</v>
      </c>
      <c r="H659" s="1100">
        <f>H656*9</f>
        <v>0</v>
      </c>
      <c r="I659" s="1192">
        <f t="shared" si="27"/>
        <v>0</v>
      </c>
      <c r="J659" s="1041"/>
      <c r="K659" s="1041"/>
      <c r="L659" s="1015"/>
      <c r="M659" s="934" t="s">
        <v>1260</v>
      </c>
    </row>
    <row r="660" spans="1:13" s="1016" customFormat="1" ht="25.2" hidden="1" customHeight="1">
      <c r="A660" s="1086">
        <f t="shared" si="26"/>
        <v>0</v>
      </c>
      <c r="B660" s="1087" t="s">
        <v>995</v>
      </c>
      <c r="C660" s="2842"/>
      <c r="D660" s="1043"/>
      <c r="E660" s="1012">
        <f>VLOOKUP($B660,DG!A:D,DG!$B$2,)</f>
        <v>0</v>
      </c>
      <c r="F660" s="1013" t="str">
        <f>VLOOKUP($B660,DG!A:D,DG!$C$2,)</f>
        <v>Sắt Ø10</v>
      </c>
      <c r="G660" s="1012" t="str">
        <f>VLOOKUP($B660,DG!A:D,DG!$D$2,)</f>
        <v>kg</v>
      </c>
      <c r="H660" s="1100">
        <f>0.395*31*H656</f>
        <v>0</v>
      </c>
      <c r="I660" s="1192">
        <f t="shared" si="27"/>
        <v>0</v>
      </c>
      <c r="J660" s="1041"/>
      <c r="K660" s="1041"/>
      <c r="L660" s="1015"/>
      <c r="M660" s="934" t="s">
        <v>1260</v>
      </c>
    </row>
    <row r="661" spans="1:13" s="1016" customFormat="1" ht="25.2" hidden="1" customHeight="1">
      <c r="A661" s="1086">
        <f t="shared" si="26"/>
        <v>0</v>
      </c>
      <c r="B661" s="1087" t="s">
        <v>376</v>
      </c>
      <c r="C661" s="2842"/>
      <c r="D661" s="1043"/>
      <c r="E661" s="1012">
        <f>VLOOKUP($B661,DG!A:D,DG!$B$2,)</f>
        <v>0</v>
      </c>
      <c r="F661" s="1013" t="str">
        <f>VLOOKUP($B661,DG!A:D,DG!$C$2,)</f>
        <v>Bake D16 - 200x200</v>
      </c>
      <c r="G661" s="1012" t="str">
        <f>VLOOKUP($B661,DG!A:D,DG!$D$2,)</f>
        <v>cái</v>
      </c>
      <c r="H661" s="1100">
        <f>H656*14</f>
        <v>0</v>
      </c>
      <c r="I661" s="1192">
        <f t="shared" si="27"/>
        <v>0</v>
      </c>
      <c r="J661" s="1041"/>
      <c r="K661" s="1041"/>
      <c r="L661" s="1015"/>
      <c r="M661" s="934" t="s">
        <v>1260</v>
      </c>
    </row>
    <row r="662" spans="1:13" s="1016" customFormat="1" ht="25.2" hidden="1" customHeight="1">
      <c r="A662" s="1086">
        <f t="shared" si="26"/>
        <v>0</v>
      </c>
      <c r="B662" s="1231" t="s">
        <v>1579</v>
      </c>
      <c r="C662" s="2844"/>
      <c r="D662" s="1043"/>
      <c r="E662" s="1012">
        <f>VLOOKUP($B662,DG!A:D,DG!$B$2,)</f>
        <v>0</v>
      </c>
      <c r="F662" s="1013" t="str">
        <f>VLOOKUP($B662,DG!A:D,DG!$C$2,)</f>
        <v>Kẹp ép WR cỡ dây 50mm2</v>
      </c>
      <c r="G662" s="1012" t="str">
        <f>VLOOKUP($B662,DG!A:D,DG!$D$2,)</f>
        <v>cái</v>
      </c>
      <c r="H662" s="1100">
        <f>2*H656</f>
        <v>0</v>
      </c>
      <c r="I662" s="1192">
        <f t="shared" si="27"/>
        <v>0</v>
      </c>
      <c r="J662" s="1041"/>
      <c r="K662" s="1041"/>
      <c r="L662" s="1015"/>
      <c r="M662" s="934" t="s">
        <v>1260</v>
      </c>
    </row>
    <row r="663" spans="1:13" s="1016" customFormat="1" ht="25.2" hidden="1" customHeight="1">
      <c r="A663" s="1086">
        <f t="shared" si="26"/>
        <v>0</v>
      </c>
      <c r="B663" s="1231" t="s">
        <v>1114</v>
      </c>
      <c r="C663" s="2844"/>
      <c r="D663" s="1043"/>
      <c r="E663" s="1012">
        <f>VLOOKUP($B663,DG!A:D,DG!$B$2,)</f>
        <v>0</v>
      </c>
      <c r="F663" s="1013" t="str">
        <f>VLOOKUP($B663,DG!A:D,DG!$C$2,)</f>
        <v>Kẹp ép cỡ dây 25mm2</v>
      </c>
      <c r="G663" s="1012" t="str">
        <f>VLOOKUP($B663,DG!A:D,DG!$D$2,)</f>
        <v>cái</v>
      </c>
      <c r="H663" s="1100">
        <f>H656*4</f>
        <v>0</v>
      </c>
      <c r="I663" s="1192">
        <f t="shared" si="27"/>
        <v>0</v>
      </c>
      <c r="J663" s="1041"/>
      <c r="K663" s="1041"/>
      <c r="L663" s="1015"/>
      <c r="M663" s="934" t="s">
        <v>1260</v>
      </c>
    </row>
    <row r="664" spans="1:13" s="1016" customFormat="1" ht="25.2" hidden="1" customHeight="1">
      <c r="A664" s="1086">
        <f t="shared" si="26"/>
        <v>0</v>
      </c>
      <c r="B664" s="1231" t="s">
        <v>377</v>
      </c>
      <c r="C664" s="2844"/>
      <c r="D664" s="1043"/>
      <c r="E664" s="1012" t="str">
        <f>VLOOKUP($B664,DG!A:D,DG!$B$2,)</f>
        <v>03.4002</v>
      </c>
      <c r="F664" s="1013" t="str">
        <f>VLOOKUP($B664,DG!A:D,DG!$C$2,)</f>
        <v>Đầu cosse ép Cu 35mm2</v>
      </c>
      <c r="G664" s="1012" t="str">
        <f>VLOOKUP($B664,DG!A:D,DG!$D$2,)</f>
        <v>cái</v>
      </c>
      <c r="H664" s="1100">
        <f>H656*3</f>
        <v>0</v>
      </c>
      <c r="I664" s="1192">
        <f t="shared" si="27"/>
        <v>0</v>
      </c>
      <c r="J664" s="1041"/>
      <c r="K664" s="1041"/>
      <c r="L664" s="1015"/>
      <c r="M664" s="934" t="s">
        <v>1260</v>
      </c>
    </row>
    <row r="665" spans="1:13" s="1016" customFormat="1" ht="25.2" hidden="1" customHeight="1">
      <c r="A665" s="1086">
        <f t="shared" si="26"/>
        <v>0</v>
      </c>
      <c r="B665" s="1231" t="s">
        <v>371</v>
      </c>
      <c r="C665" s="2844"/>
      <c r="D665" s="1043"/>
      <c r="E665" s="1012" t="str">
        <f>VLOOKUP($B665,DG!A:D,DG!$B$2,)</f>
        <v>03.4003</v>
      </c>
      <c r="F665" s="1013" t="str">
        <f>VLOOKUP($B665,DG!A:D,DG!$C$2,)</f>
        <v>Đầu cosse ép Cu 70mm2</v>
      </c>
      <c r="G665" s="1012" t="str">
        <f>VLOOKUP($B665,DG!A:D,DG!$D$2,)</f>
        <v>cái</v>
      </c>
      <c r="H665" s="1100">
        <f>H656*2</f>
        <v>0</v>
      </c>
      <c r="I665" s="1192">
        <f t="shared" si="27"/>
        <v>0</v>
      </c>
      <c r="J665" s="1041"/>
      <c r="K665" s="1041"/>
      <c r="L665" s="1015"/>
      <c r="M665" s="934" t="s">
        <v>1260</v>
      </c>
    </row>
    <row r="666" spans="1:13" s="1016" customFormat="1" ht="25.2" hidden="1" customHeight="1">
      <c r="A666" s="1086">
        <f t="shared" ref="A666:A729" si="29">IF(AND(M666=$M$23,I666&gt;0),1,0)</f>
        <v>0</v>
      </c>
      <c r="B666" s="1087" t="s">
        <v>375</v>
      </c>
      <c r="C666" s="2842"/>
      <c r="D666" s="1043"/>
      <c r="E666" s="1012" t="str">
        <f>VLOOKUP($B666,DG!A:D,DG!$B$2,)</f>
        <v>06.3231</v>
      </c>
      <c r="F666" s="1013" t="str">
        <f>VLOOKUP($B666,DG!A:D,DG!$C$2,)</f>
        <v>Cổ dê kẹp sắt Ø 10</v>
      </c>
      <c r="G666" s="1012" t="str">
        <f>VLOOKUP($B666,DG!A:D,DG!$D$2,)</f>
        <v>bộ</v>
      </c>
      <c r="H666" s="1100">
        <f>4*H656</f>
        <v>0</v>
      </c>
      <c r="I666" s="1192">
        <f t="shared" si="27"/>
        <v>0</v>
      </c>
      <c r="J666" s="1041"/>
      <c r="K666" s="1041"/>
      <c r="L666" s="1015"/>
      <c r="M666" s="934" t="s">
        <v>1260</v>
      </c>
    </row>
    <row r="667" spans="1:13" s="1016" customFormat="1" ht="25.2" hidden="1" customHeight="1">
      <c r="A667" s="1086">
        <f t="shared" si="29"/>
        <v>0</v>
      </c>
      <c r="B667" s="1087" t="s">
        <v>1350</v>
      </c>
      <c r="C667" s="2842"/>
      <c r="D667" s="1043"/>
      <c r="E667" s="1012">
        <f>VLOOKUP($B667,DG!A:D,DG!$B$2,)</f>
        <v>0</v>
      </c>
      <c r="F667" s="1013" t="s">
        <v>821</v>
      </c>
      <c r="G667" s="1012" t="str">
        <f>VLOOKUP($B667,DG!A:D,DG!$D$2,)</f>
        <v>bộ</v>
      </c>
      <c r="H667" s="1100">
        <f>2*H656</f>
        <v>0</v>
      </c>
      <c r="I667" s="1192">
        <f t="shared" si="27"/>
        <v>0</v>
      </c>
      <c r="J667" s="1041"/>
      <c r="K667" s="1041"/>
      <c r="L667" s="1015"/>
      <c r="M667" s="934" t="s">
        <v>1260</v>
      </c>
    </row>
    <row r="668" spans="1:13" s="1016" customFormat="1" ht="25.2" hidden="1" customHeight="1">
      <c r="A668" s="1086">
        <f t="shared" si="29"/>
        <v>0</v>
      </c>
      <c r="B668" s="1231" t="s">
        <v>2183</v>
      </c>
      <c r="C668" s="2844"/>
      <c r="D668" s="1043"/>
      <c r="E668" s="1012" t="str">
        <f>VLOOKUP($B668,DG!A:D,DG!$B$2,)</f>
        <v>04.7002</v>
      </c>
      <c r="F668" s="1013" t="str">
        <f>VLOOKUP($B668,DG!A:D,DG!$C$2,)</f>
        <v>Kéo dây tiếp địa trong TBA</v>
      </c>
      <c r="G668" s="1012" t="str">
        <f>VLOOKUP($B668,DG!A:D,DG!$D$2,)</f>
        <v>kg</v>
      </c>
      <c r="H668" s="1100">
        <f>H656*31</f>
        <v>0</v>
      </c>
      <c r="I668" s="1192">
        <f t="shared" si="27"/>
        <v>0</v>
      </c>
      <c r="J668" s="1041"/>
      <c r="K668" s="1041"/>
      <c r="L668" s="1015"/>
      <c r="M668" s="934" t="s">
        <v>1260</v>
      </c>
    </row>
    <row r="669" spans="1:13" s="1016" customFormat="1" ht="25.2" hidden="1" customHeight="1">
      <c r="A669" s="1086">
        <f t="shared" si="29"/>
        <v>0</v>
      </c>
      <c r="B669" s="1087" t="s">
        <v>902</v>
      </c>
      <c r="C669" s="2842"/>
      <c r="D669" s="1043"/>
      <c r="E669" s="1012" t="str">
        <f>VLOOKUP($B669,DG!A:D,DG!$B$2,)</f>
        <v>04.7001</v>
      </c>
      <c r="F669" s="1013" t="str">
        <f>VLOOKUP($B669,DG!A:D,DG!$C$2,)</f>
        <v>Đóng cọc tiếp địa trong TBA</v>
      </c>
      <c r="G669" s="1012" t="str">
        <f>VLOOKUP($B669,DG!A:D,DG!$D$2,)</f>
        <v>cọc</v>
      </c>
      <c r="H669" s="1100">
        <f>H659</f>
        <v>0</v>
      </c>
      <c r="I669" s="1192">
        <f t="shared" si="27"/>
        <v>0</v>
      </c>
      <c r="J669" s="1041"/>
      <c r="K669" s="1041"/>
      <c r="L669" s="1015"/>
      <c r="M669" s="934" t="s">
        <v>1260</v>
      </c>
    </row>
    <row r="670" spans="1:13" s="1016" customFormat="1" ht="25.2" hidden="1" customHeight="1">
      <c r="A670" s="1086">
        <f t="shared" si="29"/>
        <v>0</v>
      </c>
      <c r="B670" s="1231" t="str">
        <f>"dtd"&amp;chitiet!G5</f>
        <v>dtd3</v>
      </c>
      <c r="C670" s="2844"/>
      <c r="D670" s="1043"/>
      <c r="E670" s="1012" t="str">
        <f>VLOOKUP($B670,DG!A:D,DG!$B$2,)</f>
        <v>03.3123</v>
      </c>
      <c r="F670" s="1013" t="str">
        <f>VLOOKUP($B670,DG!A:D,DG!$C$2,)</f>
        <v>Đào rãnh tiếp địa đất cấp 3</v>
      </c>
      <c r="G670" s="1012" t="str">
        <f>VLOOKUP($B670,DG!A:D,DG!$D$2,)</f>
        <v>m3</v>
      </c>
      <c r="H670" s="1100">
        <f>H656*11*0.3*0.5</f>
        <v>0</v>
      </c>
      <c r="I670" s="1192">
        <f t="shared" si="27"/>
        <v>0</v>
      </c>
      <c r="J670" s="1041"/>
      <c r="K670" s="1041"/>
      <c r="L670" s="1015"/>
      <c r="M670" s="934" t="s">
        <v>1260</v>
      </c>
    </row>
    <row r="671" spans="1:13" s="1016" customFormat="1" ht="25.2" hidden="1" customHeight="1">
      <c r="A671" s="1086">
        <f t="shared" si="29"/>
        <v>0</v>
      </c>
      <c r="B671" s="1087" t="str">
        <f>"datd"&amp;chitiet!G5</f>
        <v>datd3</v>
      </c>
      <c r="C671" s="2842"/>
      <c r="D671" s="1043"/>
      <c r="E671" s="1012" t="str">
        <f>VLOOKUP($B671,DG!A:D,DG!$B$2,)</f>
        <v>03.4123</v>
      </c>
      <c r="F671" s="1013" t="str">
        <f>VLOOKUP($B671,DG!A:D,DG!$C$2,)</f>
        <v>Đắp đất rãnh tiếp độ chặt k=0,85</v>
      </c>
      <c r="G671" s="1012" t="str">
        <f>VLOOKUP($B671,DG!A:D,DG!$D$2,)</f>
        <v>m3</v>
      </c>
      <c r="H671" s="1100">
        <f>H670</f>
        <v>0</v>
      </c>
      <c r="I671" s="1192">
        <f t="shared" si="27"/>
        <v>0</v>
      </c>
      <c r="J671" s="1041"/>
      <c r="K671" s="1041"/>
      <c r="L671" s="1015"/>
      <c r="M671" s="934" t="s">
        <v>1260</v>
      </c>
    </row>
    <row r="672" spans="1:13" s="1016" customFormat="1" ht="25.2" hidden="1" customHeight="1">
      <c r="A672" s="1086">
        <f t="shared" si="29"/>
        <v>0</v>
      </c>
      <c r="B672" s="1226"/>
      <c r="C672" s="2841"/>
      <c r="D672" s="1099">
        <f>IF(H672&gt;0,D656+1,D656)</f>
        <v>0</v>
      </c>
      <c r="E672" s="1142"/>
      <c r="F672" s="1119" t="s">
        <v>3700</v>
      </c>
      <c r="G672" s="1099" t="s">
        <v>2385</v>
      </c>
      <c r="H672" s="1707">
        <f>H656</f>
        <v>0</v>
      </c>
      <c r="I672" s="1192">
        <f t="shared" si="27"/>
        <v>0</v>
      </c>
      <c r="J672" s="1064"/>
      <c r="K672" s="1064"/>
      <c r="L672" s="1015"/>
      <c r="M672" s="934" t="s">
        <v>1260</v>
      </c>
    </row>
    <row r="673" spans="1:13" s="1016" customFormat="1" ht="25.2" hidden="1" customHeight="1">
      <c r="A673" s="1086">
        <f t="shared" si="29"/>
        <v>0</v>
      </c>
      <c r="B673" s="1226"/>
      <c r="C673" s="2841"/>
      <c r="D673" s="1099"/>
      <c r="E673" s="1142"/>
      <c r="F673" s="1265" t="s">
        <v>2279</v>
      </c>
      <c r="G673" s="1043"/>
      <c r="H673" s="1100"/>
      <c r="I673" s="1192">
        <f t="shared" si="27"/>
        <v>0</v>
      </c>
      <c r="J673" s="1064"/>
      <c r="K673" s="1064"/>
      <c r="L673" s="1015"/>
      <c r="M673" s="934" t="s">
        <v>1260</v>
      </c>
    </row>
    <row r="674" spans="1:13" s="1016" customFormat="1" ht="25.2" hidden="1" customHeight="1">
      <c r="A674" s="1086">
        <f t="shared" si="29"/>
        <v>0</v>
      </c>
      <c r="B674" s="1233" t="s">
        <v>617</v>
      </c>
      <c r="C674" s="2843"/>
      <c r="D674" s="1043"/>
      <c r="E674" s="1012" t="str">
        <f>VLOOKUP($B674,DG!A:D,DG!$B$2,)</f>
        <v>05.1102</v>
      </c>
      <c r="F674" s="1013" t="str">
        <f>VLOOKUP($B674,DG!A:D,DG!$C$2,)</f>
        <v>Vỏ tủ + khóa tủ</v>
      </c>
      <c r="G674" s="1012" t="str">
        <f>VLOOKUP($B674,DG!A:D,DG!$D$2,)</f>
        <v>cái</v>
      </c>
      <c r="H674" s="1100">
        <f>H672</f>
        <v>0</v>
      </c>
      <c r="I674" s="1192">
        <f t="shared" si="27"/>
        <v>0</v>
      </c>
      <c r="J674" s="1041"/>
      <c r="K674" s="1041"/>
      <c r="L674" s="1015"/>
      <c r="M674" s="934" t="s">
        <v>1260</v>
      </c>
    </row>
    <row r="675" spans="1:13" s="1016" customFormat="1" ht="25.2" hidden="1" customHeight="1">
      <c r="A675" s="1086">
        <f t="shared" si="29"/>
        <v>0</v>
      </c>
      <c r="B675" s="1226" t="s">
        <v>879</v>
      </c>
      <c r="C675" s="2841"/>
      <c r="D675" s="1043"/>
      <c r="E675" s="1144"/>
      <c r="F675" s="1013" t="str">
        <f>VLOOKUP($B675,DG!A:D,DG!$C$2,)</f>
        <v>Cổ dê bắt tủ</v>
      </c>
      <c r="G675" s="1012" t="str">
        <f>VLOOKUP($B675,DG!A:D,DG!$D$2,)</f>
        <v>bộ</v>
      </c>
      <c r="H675" s="1100">
        <f>7.018*H672</f>
        <v>0</v>
      </c>
      <c r="I675" s="1192">
        <f t="shared" si="27"/>
        <v>0</v>
      </c>
      <c r="J675" s="1041"/>
      <c r="K675" s="1041"/>
      <c r="L675" s="1015"/>
      <c r="M675" s="934" t="s">
        <v>1260</v>
      </c>
    </row>
    <row r="676" spans="1:13" s="1016" customFormat="1" ht="25.2" hidden="1" customHeight="1">
      <c r="A676" s="1086">
        <f t="shared" si="29"/>
        <v>0</v>
      </c>
      <c r="B676" s="1226" t="s">
        <v>880</v>
      </c>
      <c r="C676" s="2841"/>
      <c r="D676" s="1043"/>
      <c r="E676" s="1144"/>
      <c r="F676" s="1013" t="str">
        <f>VLOOKUP($B676,DG!A:D,DG!$C$2,)</f>
        <v xml:space="preserve">Bakelit 550x450 dầy 10mm </v>
      </c>
      <c r="G676" s="1012" t="str">
        <f>VLOOKUP($B676,DG!A:D,DG!$D$2,)</f>
        <v>cái</v>
      </c>
      <c r="H676" s="1100">
        <f>H672</f>
        <v>0</v>
      </c>
      <c r="I676" s="1192">
        <f t="shared" si="27"/>
        <v>0</v>
      </c>
      <c r="J676" s="1041"/>
      <c r="K676" s="1041"/>
      <c r="L676" s="1015"/>
      <c r="M676" s="934" t="s">
        <v>1260</v>
      </c>
    </row>
    <row r="677" spans="1:13" s="1016" customFormat="1" ht="25.2" hidden="1" customHeight="1">
      <c r="A677" s="1086">
        <f t="shared" si="29"/>
        <v>0</v>
      </c>
      <c r="B677" s="1226"/>
      <c r="C677" s="2841"/>
      <c r="D677" s="1099">
        <f>IF(H677&gt;0,D672+1,D672)</f>
        <v>0</v>
      </c>
      <c r="E677" s="1142"/>
      <c r="F677" s="1130" t="s">
        <v>3701</v>
      </c>
      <c r="G677" s="1099" t="s">
        <v>2385</v>
      </c>
      <c r="H677" s="1707">
        <f>H632</f>
        <v>0</v>
      </c>
      <c r="I677" s="1192">
        <f t="shared" si="27"/>
        <v>0</v>
      </c>
      <c r="J677" s="1064"/>
      <c r="K677" s="1064"/>
      <c r="L677" s="1015"/>
      <c r="M677" s="934" t="s">
        <v>1260</v>
      </c>
    </row>
    <row r="678" spans="1:13" s="1016" customFormat="1" ht="25.2" hidden="1" customHeight="1">
      <c r="A678" s="1086">
        <f t="shared" si="29"/>
        <v>0</v>
      </c>
      <c r="B678" s="1226"/>
      <c r="C678" s="2841"/>
      <c r="D678" s="1099"/>
      <c r="E678" s="1142"/>
      <c r="F678" s="1265" t="s">
        <v>2279</v>
      </c>
      <c r="G678" s="1043"/>
      <c r="H678" s="1100"/>
      <c r="I678" s="1192">
        <f t="shared" si="27"/>
        <v>0</v>
      </c>
      <c r="J678" s="1064"/>
      <c r="K678" s="1064"/>
      <c r="L678" s="1015"/>
      <c r="M678" s="934" t="s">
        <v>1260</v>
      </c>
    </row>
    <row r="679" spans="1:13" s="1016" customFormat="1" ht="25.2" hidden="1" customHeight="1">
      <c r="A679" s="1086">
        <f t="shared" si="29"/>
        <v>0</v>
      </c>
      <c r="B679" s="1229" t="s">
        <v>4449</v>
      </c>
      <c r="C679" s="2842"/>
      <c r="D679" s="1043"/>
      <c r="E679" s="1012">
        <f>VLOOKUP($B679,DG!A:D,DG!$B$2,)</f>
        <v>0</v>
      </c>
      <c r="F679" s="1013" t="str">
        <f>VLOOKUP($B679,DG!A:D,DG!$C$2,)</f>
        <v>Cáp 24KV C/XLPE/PVC 25mm2</v>
      </c>
      <c r="G679" s="1012" t="str">
        <f>VLOOKUP($B679,DG!A:D,DG!$D$2,)</f>
        <v>mét</v>
      </c>
      <c r="H679" s="1100">
        <f>9*H677</f>
        <v>0</v>
      </c>
      <c r="I679" s="1192">
        <f t="shared" si="27"/>
        <v>0</v>
      </c>
      <c r="J679" s="1041"/>
      <c r="K679" s="1041"/>
      <c r="L679" s="1015"/>
      <c r="M679" s="934" t="s">
        <v>1260</v>
      </c>
    </row>
    <row r="680" spans="1:13" s="1016" customFormat="1" ht="25.2" hidden="1" customHeight="1">
      <c r="A680" s="1086">
        <f t="shared" si="29"/>
        <v>0</v>
      </c>
      <c r="B680" s="1087" t="s">
        <v>1479</v>
      </c>
      <c r="C680" s="2842"/>
      <c r="D680" s="1043"/>
      <c r="E680" s="1012" t="str">
        <f>VLOOKUP($B680,DG!A:D,DG!$B$2,)</f>
        <v>04.3007</v>
      </c>
      <c r="F680" s="1013" t="str">
        <f>VLOOKUP($B680,DG!A:D,DG!$C$2,)</f>
        <v>Kẹp quai 2/0</v>
      </c>
      <c r="G680" s="1012" t="str">
        <f>VLOOKUP($B680,DG!A:D,DG!$D$2,)</f>
        <v>cái</v>
      </c>
      <c r="H680" s="1100">
        <f>3*H677</f>
        <v>0</v>
      </c>
      <c r="I680" s="1192">
        <f t="shared" si="27"/>
        <v>0</v>
      </c>
      <c r="J680" s="1041"/>
      <c r="K680" s="1041"/>
      <c r="L680" s="1015"/>
      <c r="M680" s="934" t="s">
        <v>1260</v>
      </c>
    </row>
    <row r="681" spans="1:13" s="1016" customFormat="1" ht="25.2" hidden="1" customHeight="1">
      <c r="A681" s="1086">
        <f t="shared" si="29"/>
        <v>0</v>
      </c>
      <c r="B681" s="1087" t="s">
        <v>1477</v>
      </c>
      <c r="C681" s="2842"/>
      <c r="D681" s="1043"/>
      <c r="E681" s="1012" t="str">
        <f>VLOOKUP($B681,DG!A:D,DG!$B$2,)</f>
        <v>04.3007</v>
      </c>
      <c r="F681" s="1013" t="str">
        <f>VLOOKUP($B681,DG!A:D,DG!$C$2,)</f>
        <v>Kẹp hotline 2/0</v>
      </c>
      <c r="G681" s="1012" t="str">
        <f>VLOOKUP($B681,DG!A:D,DG!$D$2,)</f>
        <v>cái</v>
      </c>
      <c r="H681" s="1100">
        <f>3*H677</f>
        <v>0</v>
      </c>
      <c r="I681" s="1192">
        <f t="shared" si="27"/>
        <v>0</v>
      </c>
      <c r="J681" s="1041"/>
      <c r="K681" s="1041"/>
      <c r="L681" s="1015"/>
      <c r="M681" s="934" t="s">
        <v>1260</v>
      </c>
    </row>
    <row r="682" spans="1:13" s="1016" customFormat="1" ht="25.2" hidden="1" customHeight="1">
      <c r="A682" s="1086">
        <f t="shared" si="29"/>
        <v>0</v>
      </c>
      <c r="B682" s="1087" t="s">
        <v>382</v>
      </c>
      <c r="C682" s="2842"/>
      <c r="D682" s="1043"/>
      <c r="E682" s="1012">
        <f>VLOOKUP($B682,DG!A:D,DG!$B$2,)</f>
        <v>0</v>
      </c>
      <c r="F682" s="1013" t="str">
        <f>VLOOKUP($B682,DG!A:D,DG!$C$2,)</f>
        <v>Chụp đầu cực FCO (bộ 2 cái)</v>
      </c>
      <c r="G682" s="1012" t="str">
        <f>VLOOKUP($B682,DG!A:D,DG!$D$2,)</f>
        <v>bộ</v>
      </c>
      <c r="H682" s="1100">
        <f>H624</f>
        <v>0</v>
      </c>
      <c r="I682" s="1192">
        <f t="shared" si="27"/>
        <v>0</v>
      </c>
      <c r="J682" s="1041"/>
      <c r="K682" s="1041"/>
      <c r="L682" s="1015"/>
      <c r="M682" s="934" t="s">
        <v>1260</v>
      </c>
    </row>
    <row r="683" spans="1:13" s="1016" customFormat="1" ht="25.2" hidden="1" customHeight="1">
      <c r="A683" s="1086">
        <f t="shared" si="29"/>
        <v>0</v>
      </c>
      <c r="B683" s="1087" t="s">
        <v>383</v>
      </c>
      <c r="C683" s="2842"/>
      <c r="D683" s="1043"/>
      <c r="E683" s="1012">
        <f>VLOOKUP($B683,DG!A:D,DG!$B$2,)</f>
        <v>0</v>
      </c>
      <c r="F683" s="1013" t="str">
        <f>VLOOKUP($B683,DG!A:D,DG!$C$2,)</f>
        <v>Chụp đầu cực LA</v>
      </c>
      <c r="G683" s="1012" t="str">
        <f>VLOOKUP($B683,DG!A:D,DG!$D$2,)</f>
        <v>cái</v>
      </c>
      <c r="H683" s="1100">
        <f>H626</f>
        <v>0</v>
      </c>
      <c r="I683" s="1192">
        <f t="shared" si="27"/>
        <v>0</v>
      </c>
      <c r="J683" s="1041"/>
      <c r="K683" s="1041"/>
      <c r="L683" s="1015"/>
      <c r="M683" s="934" t="s">
        <v>1260</v>
      </c>
    </row>
    <row r="684" spans="1:13" s="1016" customFormat="1" ht="25.2" hidden="1" customHeight="1">
      <c r="A684" s="1086">
        <f t="shared" si="29"/>
        <v>0</v>
      </c>
      <c r="B684" s="1087" t="s">
        <v>384</v>
      </c>
      <c r="C684" s="2842"/>
      <c r="D684" s="1043"/>
      <c r="E684" s="1012">
        <f>VLOOKUP($B684,DG!A:D,DG!$B$2,)</f>
        <v>0</v>
      </c>
      <c r="F684" s="1013" t="str">
        <f>VLOOKUP($B684,DG!A:D,DG!$C$2,)</f>
        <v>Chụp đầu MBA</v>
      </c>
      <c r="G684" s="1012" t="str">
        <f>VLOOKUP($B684,DG!A:D,DG!$D$2,)</f>
        <v>cái</v>
      </c>
      <c r="H684" s="1100">
        <f>H623</f>
        <v>0</v>
      </c>
      <c r="I684" s="1192">
        <f t="shared" si="27"/>
        <v>0</v>
      </c>
      <c r="J684" s="1041"/>
      <c r="K684" s="1041"/>
      <c r="L684" s="1015"/>
      <c r="M684" s="934" t="s">
        <v>1260</v>
      </c>
    </row>
    <row r="685" spans="1:13" s="1016" customFormat="1" ht="25.2" hidden="1" customHeight="1">
      <c r="A685" s="1086">
        <f t="shared" si="29"/>
        <v>0</v>
      </c>
      <c r="B685" s="1087" t="s">
        <v>1525</v>
      </c>
      <c r="C685" s="2842"/>
      <c r="D685" s="1043"/>
      <c r="E685" s="1012" t="str">
        <f>VLOOKUP($B685,DG!A:D,DG!$B$2,)</f>
        <v>04.4201</v>
      </c>
      <c r="F685" s="1013" t="str">
        <f>VLOOKUP($B685,DG!A:D,DG!$C$2,)</f>
        <v>Lắp cáp đồng xuống thiết bị D ≤ 95mm2</v>
      </c>
      <c r="G685" s="1012" t="str">
        <f>VLOOKUP($B685,DG!A:D,DG!$D$2,)</f>
        <v>m</v>
      </c>
      <c r="H685" s="1100">
        <f>H679</f>
        <v>0</v>
      </c>
      <c r="I685" s="1192">
        <f t="shared" ref="I685:I748" si="30">IF(M685=$M$23,H685+J685-K685,0)</f>
        <v>0</v>
      </c>
      <c r="J685" s="1041"/>
      <c r="K685" s="1041"/>
      <c r="L685" s="1015"/>
      <c r="M685" s="934" t="s">
        <v>1260</v>
      </c>
    </row>
    <row r="686" spans="1:13" s="1016" customFormat="1" ht="25.2" hidden="1" customHeight="1">
      <c r="A686" s="1086">
        <f t="shared" si="29"/>
        <v>0</v>
      </c>
      <c r="B686" s="1226"/>
      <c r="C686" s="2841"/>
      <c r="D686" s="1099">
        <f>IF(H686&gt;0,D677+1,D677)</f>
        <v>0</v>
      </c>
      <c r="E686" s="1142"/>
      <c r="F686" s="1130" t="s">
        <v>3702</v>
      </c>
      <c r="G686" s="1099" t="s">
        <v>2385</v>
      </c>
      <c r="H686" s="1707">
        <f>+H632</f>
        <v>0</v>
      </c>
      <c r="I686" s="1192">
        <f t="shared" si="30"/>
        <v>0</v>
      </c>
      <c r="J686" s="1064"/>
      <c r="K686" s="1064"/>
      <c r="L686" s="1015"/>
      <c r="M686" s="934" t="s">
        <v>1260</v>
      </c>
    </row>
    <row r="687" spans="1:13" s="1016" customFormat="1" ht="25.2" hidden="1" customHeight="1">
      <c r="A687" s="1086">
        <f t="shared" si="29"/>
        <v>0</v>
      </c>
      <c r="B687" s="1226"/>
      <c r="C687" s="2841"/>
      <c r="D687" s="1099"/>
      <c r="E687" s="1142"/>
      <c r="F687" s="1265" t="s">
        <v>2279</v>
      </c>
      <c r="G687" s="1099"/>
      <c r="H687" s="1707"/>
      <c r="I687" s="1192">
        <f t="shared" si="30"/>
        <v>0</v>
      </c>
      <c r="J687" s="1064"/>
      <c r="K687" s="1064"/>
      <c r="L687" s="1015"/>
      <c r="M687" s="934" t="s">
        <v>1260</v>
      </c>
    </row>
    <row r="688" spans="1:13" s="1016" customFormat="1" ht="25.2" hidden="1" customHeight="1">
      <c r="A688" s="1086">
        <f t="shared" si="29"/>
        <v>0</v>
      </c>
      <c r="B688" s="1226" t="s">
        <v>1623</v>
      </c>
      <c r="C688" s="2841"/>
      <c r="D688" s="1043"/>
      <c r="E688" s="1012">
        <f>VLOOKUP($B688,DG!A:D,DG!$B$2,)</f>
        <v>0</v>
      </c>
      <c r="F688" s="1013" t="str">
        <f>VLOOKUP($B688,DG!A:D,DG!$C$2,)&amp;": 9m/1pha"</f>
        <v>Cáp đồng bọc CV70: 9m/1pha</v>
      </c>
      <c r="G688" s="1012" t="str">
        <f>VLOOKUP($B688,DG!A:D,DG!$D$2,)</f>
        <v>mét</v>
      </c>
      <c r="H688" s="1100">
        <f>9*H686*3</f>
        <v>0</v>
      </c>
      <c r="I688" s="1192">
        <f t="shared" si="30"/>
        <v>0</v>
      </c>
      <c r="J688" s="1041"/>
      <c r="K688" s="1041"/>
      <c r="L688" s="1015"/>
      <c r="M688" s="934" t="s">
        <v>1260</v>
      </c>
    </row>
    <row r="689" spans="1:13" s="1016" customFormat="1" ht="25.2" hidden="1" customHeight="1">
      <c r="A689" s="1086">
        <f t="shared" si="29"/>
        <v>0</v>
      </c>
      <c r="B689" s="1226">
        <f>Solieu!$L$62</f>
        <v>0</v>
      </c>
      <c r="C689" s="2841"/>
      <c r="D689" s="1043"/>
      <c r="E689" s="1012" t="e">
        <f>VLOOKUP($B689,DG!A:D,DG!$B$2,)</f>
        <v>#N/A</v>
      </c>
      <c r="F689" s="1013" t="e">
        <f>VLOOKUP($B689,DG!A:D,DG!$C$2,)&amp;": 10m/trung hòa"</f>
        <v>#N/A</v>
      </c>
      <c r="G689" s="1012" t="e">
        <f>VLOOKUP($B689,DG!A:D,DG!$D$2,)</f>
        <v>#N/A</v>
      </c>
      <c r="H689" s="1713">
        <f>10*H686</f>
        <v>0</v>
      </c>
      <c r="I689" s="1192">
        <f t="shared" si="30"/>
        <v>0</v>
      </c>
      <c r="J689" s="1041"/>
      <c r="K689" s="1041"/>
      <c r="L689" s="1015"/>
      <c r="M689" s="934" t="s">
        <v>1260</v>
      </c>
    </row>
    <row r="690" spans="1:13" s="1016" customFormat="1" ht="25.2" hidden="1" customHeight="1">
      <c r="A690" s="1086">
        <f t="shared" si="29"/>
        <v>0</v>
      </c>
      <c r="B690" s="1226" t="s">
        <v>1822</v>
      </c>
      <c r="C690" s="2841"/>
      <c r="D690" s="1043"/>
      <c r="E690" s="1012" t="str">
        <f>VLOOKUP($B690,DG!A:D,DG!$B$2,)</f>
        <v>03.1401</v>
      </c>
      <c r="F690" s="1013" t="str">
        <f>VLOOKUP($B690,DG!A:D,DG!$C$2,)</f>
        <v xml:space="preserve">Cáp CVV 4x2,5mm2  </v>
      </c>
      <c r="G690" s="1012" t="str">
        <f>VLOOKUP($B690,DG!A:D,DG!$D$2,)</f>
        <v>mét</v>
      </c>
      <c r="H690" s="1100">
        <f>2*H686</f>
        <v>0</v>
      </c>
      <c r="I690" s="1192">
        <f t="shared" si="30"/>
        <v>0</v>
      </c>
      <c r="J690" s="1041"/>
      <c r="K690" s="1041"/>
      <c r="L690" s="1015"/>
      <c r="M690" s="934" t="s">
        <v>1260</v>
      </c>
    </row>
    <row r="691" spans="1:13" s="1016" customFormat="1" ht="25.2" hidden="1" customHeight="1">
      <c r="A691" s="1086">
        <f t="shared" si="29"/>
        <v>0</v>
      </c>
      <c r="B691" s="1226" t="s">
        <v>1303</v>
      </c>
      <c r="C691" s="2841"/>
      <c r="D691" s="1043"/>
      <c r="E691" s="1012" t="str">
        <f>VLOOKUP($B691,DG!A:D,DG!$B$2,)</f>
        <v>03.4003</v>
      </c>
      <c r="F691" s="1013" t="str">
        <f>VLOOKUP($B691,DG!A:D,DG!$C$2,)</f>
        <v>Đầu cosse ép Cu 70mm2</v>
      </c>
      <c r="G691" s="1012" t="str">
        <f>VLOOKUP($B691,DG!A:D,DG!$D$2,)</f>
        <v>cái</v>
      </c>
      <c r="H691" s="1713">
        <f>6*H686</f>
        <v>0</v>
      </c>
      <c r="I691" s="1192">
        <f t="shared" si="30"/>
        <v>0</v>
      </c>
      <c r="J691" s="1041"/>
      <c r="K691" s="1041"/>
      <c r="L691" s="1015"/>
      <c r="M691" s="934" t="s">
        <v>1260</v>
      </c>
    </row>
    <row r="692" spans="1:13" s="1016" customFormat="1" ht="25.2" hidden="1" customHeight="1">
      <c r="A692" s="1086">
        <f t="shared" si="29"/>
        <v>0</v>
      </c>
      <c r="B692" s="1226" t="s">
        <v>1302</v>
      </c>
      <c r="C692" s="2841"/>
      <c r="D692" s="1043"/>
      <c r="E692" s="1012" t="str">
        <f>VLOOKUP($B692,DG!A:D,DG!$B$2,)</f>
        <v>03.4002</v>
      </c>
      <c r="F692" s="1013" t="str">
        <f>VLOOKUP($B692,DG!A:D,DG!$C$2,)</f>
        <v>Đầu cosse ép Cu 50mm2</v>
      </c>
      <c r="G692" s="1012" t="str">
        <f>VLOOKUP($B692,DG!A:D,DG!$D$2,)</f>
        <v>cái</v>
      </c>
      <c r="H692" s="1100">
        <f>H686*2</f>
        <v>0</v>
      </c>
      <c r="I692" s="1192">
        <f t="shared" si="30"/>
        <v>0</v>
      </c>
      <c r="J692" s="1041"/>
      <c r="K692" s="1041"/>
      <c r="L692" s="1015"/>
      <c r="M692" s="934" t="s">
        <v>1260</v>
      </c>
    </row>
    <row r="693" spans="1:13" s="1016" customFormat="1" ht="25.2" hidden="1" customHeight="1">
      <c r="A693" s="1086">
        <f t="shared" si="29"/>
        <v>0</v>
      </c>
      <c r="B693" s="1226" t="s">
        <v>2078</v>
      </c>
      <c r="C693" s="2841"/>
      <c r="D693" s="1043"/>
      <c r="E693" s="1012">
        <f>VLOOKUP($B693,DG!A:D,DG!$B$2,)</f>
        <v>0</v>
      </c>
      <c r="F693" s="1013" t="str">
        <f>VLOOKUP($B693,DG!A:D,DG!$C$2,)</f>
        <v>Chụp đầu cosse  70mm2</v>
      </c>
      <c r="G693" s="1012" t="str">
        <f>VLOOKUP($B693,DG!A:D,DG!$D$2,)</f>
        <v>cái</v>
      </c>
      <c r="H693" s="1100">
        <f>H691</f>
        <v>0</v>
      </c>
      <c r="I693" s="1192">
        <f t="shared" si="30"/>
        <v>0</v>
      </c>
      <c r="J693" s="1041"/>
      <c r="K693" s="1041"/>
      <c r="L693" s="1015"/>
      <c r="M693" s="934" t="s">
        <v>1260</v>
      </c>
    </row>
    <row r="694" spans="1:13" s="1016" customFormat="1" ht="25.2" hidden="1" customHeight="1">
      <c r="A694" s="1086">
        <f t="shared" si="29"/>
        <v>0</v>
      </c>
      <c r="B694" s="1226" t="s">
        <v>1178</v>
      </c>
      <c r="C694" s="2841"/>
      <c r="D694" s="1043"/>
      <c r="E694" s="1012">
        <f>VLOOKUP($B694,DG!A:D,DG!$B$2,)</f>
        <v>0</v>
      </c>
      <c r="F694" s="1013" t="str">
        <f>VLOOKUP($B694,DG!A:D,DG!$C$2,)</f>
        <v>Chụp đầu cosse  50mm2</v>
      </c>
      <c r="G694" s="1012" t="str">
        <f>VLOOKUP($B694,DG!A:D,DG!$D$2,)</f>
        <v>cái</v>
      </c>
      <c r="H694" s="1100">
        <f>H692</f>
        <v>0</v>
      </c>
      <c r="I694" s="1192">
        <f t="shared" si="30"/>
        <v>0</v>
      </c>
      <c r="J694" s="1041"/>
      <c r="K694" s="1041"/>
      <c r="L694" s="1015"/>
      <c r="M694" s="934" t="s">
        <v>1260</v>
      </c>
    </row>
    <row r="695" spans="1:13" s="1016" customFormat="1" ht="25.2" hidden="1" customHeight="1">
      <c r="A695" s="1086">
        <f t="shared" si="29"/>
        <v>0</v>
      </c>
      <c r="B695" s="1226" t="s">
        <v>282</v>
      </c>
      <c r="C695" s="2841"/>
      <c r="D695" s="1043"/>
      <c r="E695" s="1012" t="str">
        <f>VLOOKUP($B695,DG!A:D,DG!$B$2,)</f>
        <v>04.8003</v>
      </c>
      <c r="F695" s="1013" t="str">
        <f>VLOOKUP($B695,DG!A:D,DG!$C$2,)</f>
        <v xml:space="preserve">Ống PVC D90x3,8mm </v>
      </c>
      <c r="G695" s="1012" t="str">
        <f>VLOOKUP($B695,DG!A:D,DG!$D$2,)</f>
        <v>m</v>
      </c>
      <c r="H695" s="1100">
        <f>8*H686</f>
        <v>0</v>
      </c>
      <c r="I695" s="1192">
        <f t="shared" si="30"/>
        <v>0</v>
      </c>
      <c r="J695" s="1041"/>
      <c r="K695" s="1041"/>
      <c r="L695" s="1015"/>
      <c r="M695" s="934" t="s">
        <v>1260</v>
      </c>
    </row>
    <row r="696" spans="1:13" s="1016" customFormat="1" ht="25.2" hidden="1" customHeight="1">
      <c r="A696" s="1086">
        <f t="shared" si="29"/>
        <v>0</v>
      </c>
      <c r="B696" s="1087" t="s">
        <v>1990</v>
      </c>
      <c r="C696" s="2842"/>
      <c r="D696" s="1043"/>
      <c r="E696" s="1012" t="str">
        <f>VLOOKUP($B696,DG!A:D,DG!$B$2,)</f>
        <v>06.3231</v>
      </c>
      <c r="F696" s="1013" t="str">
        <f>VLOOKUP($B696,DG!A:D,DG!$C$2,)</f>
        <v>Cổ dê kẹp ống PVC Ø 90</v>
      </c>
      <c r="G696" s="1012" t="str">
        <f>VLOOKUP($B696,DG!A:D,DG!$D$2,)</f>
        <v>bộ</v>
      </c>
      <c r="H696" s="1100">
        <f>3*H686</f>
        <v>0</v>
      </c>
      <c r="I696" s="1192">
        <f t="shared" si="30"/>
        <v>0</v>
      </c>
      <c r="J696" s="1041"/>
      <c r="K696" s="1041"/>
      <c r="L696" s="1015"/>
      <c r="M696" s="934" t="s">
        <v>1260</v>
      </c>
    </row>
    <row r="697" spans="1:13" s="1016" customFormat="1" ht="25.2" hidden="1" customHeight="1">
      <c r="A697" s="1086">
        <f t="shared" si="29"/>
        <v>0</v>
      </c>
      <c r="B697" s="1087" t="s">
        <v>1131</v>
      </c>
      <c r="C697" s="2842"/>
      <c r="D697" s="1043"/>
      <c r="E697" s="1012" t="str">
        <f>VLOOKUP($B697,DG!A:D,DG!$B$2,)</f>
        <v>06.2110</v>
      </c>
      <c r="F697" s="1013" t="str">
        <f>VLOOKUP($B697,DG!A:D,DG!$C$2,)&amp;": CD-320"</f>
        <v>Lắp cổ dê: CD-320</v>
      </c>
      <c r="G697" s="1012" t="str">
        <f>VLOOKUP($B697,DG!A:D,DG!$D$2,)</f>
        <v>bộ</v>
      </c>
      <c r="H697" s="1100">
        <f>1.12*H687</f>
        <v>0</v>
      </c>
      <c r="I697" s="1192">
        <f t="shared" si="30"/>
        <v>0</v>
      </c>
      <c r="J697" s="1041"/>
      <c r="K697" s="1041"/>
      <c r="L697" s="1015"/>
      <c r="M697" s="934" t="s">
        <v>1260</v>
      </c>
    </row>
    <row r="698" spans="1:13" s="1016" customFormat="1" ht="25.2" hidden="1" customHeight="1">
      <c r="A698" s="1086">
        <f t="shared" si="29"/>
        <v>0</v>
      </c>
      <c r="B698" s="1226" t="s">
        <v>69</v>
      </c>
      <c r="C698" s="2841"/>
      <c r="D698" s="1043"/>
      <c r="E698" s="1012">
        <f>VLOOKUP($B698,DG!A:D,DG!$B$2,)</f>
        <v>0</v>
      </c>
      <c r="F698" s="1013" t="str">
        <f>VLOOKUP($B698,DG!A:D,DG!$C$2,)</f>
        <v>Co  90 độ PVC 90</v>
      </c>
      <c r="G698" s="1012" t="str">
        <f>VLOOKUP($B698,DG!A:D,DG!$D$2,)</f>
        <v>cái</v>
      </c>
      <c r="H698" s="1100">
        <f>2*H686</f>
        <v>0</v>
      </c>
      <c r="I698" s="1192">
        <f t="shared" si="30"/>
        <v>0</v>
      </c>
      <c r="J698" s="1041"/>
      <c r="K698" s="1041"/>
      <c r="L698" s="1015"/>
      <c r="M698" s="934" t="s">
        <v>1260</v>
      </c>
    </row>
    <row r="699" spans="1:13" s="1016" customFormat="1" ht="25.2" hidden="1" customHeight="1">
      <c r="A699" s="1086">
        <f t="shared" si="29"/>
        <v>0</v>
      </c>
      <c r="B699" s="1226" t="s">
        <v>725</v>
      </c>
      <c r="C699" s="2841"/>
      <c r="D699" s="1043"/>
      <c r="E699" s="1012">
        <f>VLOOKUP($B699,DG!A:D,DG!$B$2,)</f>
        <v>0</v>
      </c>
      <c r="F699" s="1013" t="str">
        <f>VLOOKUP($B699,DG!A:D,DG!$C$2,)</f>
        <v xml:space="preserve">Nối thẳng ống PVC 90 </v>
      </c>
      <c r="G699" s="1012" t="str">
        <f>VLOOKUP($B699,DG!A:D,DG!$D$2,)</f>
        <v>cái</v>
      </c>
      <c r="H699" s="1713">
        <f>1*H686*0</f>
        <v>0</v>
      </c>
      <c r="I699" s="1192">
        <f t="shared" si="30"/>
        <v>0</v>
      </c>
      <c r="J699" s="1041"/>
      <c r="K699" s="1041"/>
      <c r="L699" s="1015"/>
      <c r="M699" s="934" t="s">
        <v>1260</v>
      </c>
    </row>
    <row r="700" spans="1:13" s="1016" customFormat="1" ht="25.2" hidden="1" customHeight="1">
      <c r="A700" s="1086">
        <f t="shared" si="29"/>
        <v>0</v>
      </c>
      <c r="B700" s="1226" t="s">
        <v>419</v>
      </c>
      <c r="C700" s="2841"/>
      <c r="D700" s="1043"/>
      <c r="E700" s="1012">
        <f>VLOOKUP($B700,DG!A:D,DG!$B$2,)</f>
        <v>0</v>
      </c>
      <c r="F700" s="1013" t="str">
        <f>VLOOKUP($B700,DG!A:D,DG!$C$2,)</f>
        <v>Keo dán ống PVC (100gr)</v>
      </c>
      <c r="G700" s="1012" t="str">
        <f>VLOOKUP($B700,DG!A:D,DG!$D$2,)</f>
        <v>tuýp</v>
      </c>
      <c r="H700" s="1100">
        <f>H686</f>
        <v>0</v>
      </c>
      <c r="I700" s="1192">
        <f t="shared" si="30"/>
        <v>0</v>
      </c>
      <c r="J700" s="1041"/>
      <c r="K700" s="1041"/>
      <c r="L700" s="1015"/>
      <c r="M700" s="934" t="s">
        <v>1260</v>
      </c>
    </row>
    <row r="701" spans="1:13" s="1016" customFormat="1" ht="25.2" hidden="1" customHeight="1">
      <c r="A701" s="1086">
        <f t="shared" si="29"/>
        <v>0</v>
      </c>
      <c r="B701" s="1226" t="s">
        <v>1179</v>
      </c>
      <c r="C701" s="2841"/>
      <c r="D701" s="1043"/>
      <c r="E701" s="1012">
        <f>VLOOKUP($B701,DG!A:D,DG!$B$2,)</f>
        <v>0</v>
      </c>
      <c r="F701" s="1013" t="str">
        <f>VLOOKUP($B701,DG!A:D,DG!$C$2,)</f>
        <v>Keo silicon bít miệng ống</v>
      </c>
      <c r="G701" s="1012" t="str">
        <f>VLOOKUP($B701,DG!A:D,DG!$D$2,)</f>
        <v>ống</v>
      </c>
      <c r="H701" s="1100">
        <f>H686</f>
        <v>0</v>
      </c>
      <c r="I701" s="1192">
        <f t="shared" si="30"/>
        <v>0</v>
      </c>
      <c r="J701" s="1041"/>
      <c r="K701" s="1041"/>
      <c r="L701" s="1015"/>
      <c r="M701" s="934" t="s">
        <v>1260</v>
      </c>
    </row>
    <row r="702" spans="1:13" s="1016" customFormat="1" ht="25.2" hidden="1" customHeight="1">
      <c r="A702" s="1086">
        <f t="shared" si="29"/>
        <v>0</v>
      </c>
      <c r="B702" s="1087" t="s">
        <v>672</v>
      </c>
      <c r="C702" s="2842"/>
      <c r="D702" s="1043"/>
      <c r="E702" s="1012">
        <f>VLOOKUP($B702,DG!A:D,DG!$B$2,)</f>
        <v>0</v>
      </c>
      <c r="F702" s="1013" t="str">
        <f>VLOOKUP($B702,DG!A:D,DG!$C$2,)</f>
        <v>Băng keo cách điện</v>
      </c>
      <c r="G702" s="1012" t="str">
        <f>VLOOKUP($B702,DG!A:D,DG!$D$2,)</f>
        <v>cuộn</v>
      </c>
      <c r="H702" s="1100">
        <f>H686*2</f>
        <v>0</v>
      </c>
      <c r="I702" s="1192">
        <f t="shared" si="30"/>
        <v>0</v>
      </c>
      <c r="J702" s="1041"/>
      <c r="K702" s="1041"/>
      <c r="L702" s="1015"/>
      <c r="M702" s="934" t="s">
        <v>1260</v>
      </c>
    </row>
    <row r="703" spans="1:13" s="1016" customFormat="1" ht="25.2" hidden="1" customHeight="1">
      <c r="A703" s="1086">
        <f t="shared" si="29"/>
        <v>0</v>
      </c>
      <c r="B703" s="1231" t="s">
        <v>2182</v>
      </c>
      <c r="C703" s="2844"/>
      <c r="D703" s="1043"/>
      <c r="E703" s="1012" t="str">
        <f>VLOOKUP($B703,DG!A:D,DG!$B$2,)</f>
        <v>07.2415</v>
      </c>
      <c r="F703" s="1013" t="str">
        <f>VLOOKUP($B703,DG!A:D,DG!$C$2,)</f>
        <v>Lắp ống nhựa PVC D90</v>
      </c>
      <c r="G703" s="1012" t="str">
        <f>VLOOKUP($B703,DG!A:D,DG!$D$2,)</f>
        <v>mét</v>
      </c>
      <c r="H703" s="1100">
        <f>H695</f>
        <v>0</v>
      </c>
      <c r="I703" s="1192">
        <f t="shared" si="30"/>
        <v>0</v>
      </c>
      <c r="J703" s="1041"/>
      <c r="K703" s="1041"/>
      <c r="L703" s="1015"/>
      <c r="M703" s="934" t="s">
        <v>1260</v>
      </c>
    </row>
    <row r="704" spans="1:13" s="1016" customFormat="1" ht="25.2" hidden="1" customHeight="1">
      <c r="A704" s="1086">
        <f t="shared" si="29"/>
        <v>0</v>
      </c>
      <c r="B704" s="1087" t="s">
        <v>1525</v>
      </c>
      <c r="C704" s="2842"/>
      <c r="D704" s="1043"/>
      <c r="E704" s="1012" t="str">
        <f>VLOOKUP($B704,DG!A:D,DG!$B$2,)</f>
        <v>04.4201</v>
      </c>
      <c r="F704" s="1013" t="str">
        <f>VLOOKUP($B704,DG!A:D,DG!$C$2,)</f>
        <v>Lắp cáp đồng xuống thiết bị D ≤ 95mm2</v>
      </c>
      <c r="G704" s="1012" t="str">
        <f>VLOOKUP($B704,DG!A:D,DG!$D$2,)</f>
        <v>m</v>
      </c>
      <c r="H704" s="1100">
        <f>H688+H689</f>
        <v>0</v>
      </c>
      <c r="I704" s="1192">
        <f t="shared" si="30"/>
        <v>0</v>
      </c>
      <c r="J704" s="1041"/>
      <c r="K704" s="1041"/>
      <c r="L704" s="1015"/>
      <c r="M704" s="934" t="s">
        <v>1260</v>
      </c>
    </row>
    <row r="705" spans="1:13" s="1016" customFormat="1" ht="25.2" hidden="1" customHeight="1">
      <c r="A705" s="1086">
        <f t="shared" si="29"/>
        <v>0</v>
      </c>
      <c r="B705" s="1226" t="s">
        <v>289</v>
      </c>
      <c r="C705" s="2841"/>
      <c r="D705" s="1103">
        <f>IF(H705&gt;0,D686+1,D686)</f>
        <v>0</v>
      </c>
      <c r="E705" s="1122"/>
      <c r="F705" s="1145" t="s">
        <v>3703</v>
      </c>
      <c r="G705" s="1012" t="str">
        <f>VLOOKUP($B705,DG!A:D,DG!$D$2,)</f>
        <v>bộ</v>
      </c>
      <c r="H705" s="1708">
        <f>H648</f>
        <v>0</v>
      </c>
      <c r="I705" s="1192">
        <f t="shared" si="30"/>
        <v>0</v>
      </c>
      <c r="J705" s="1041"/>
      <c r="K705" s="1041"/>
      <c r="L705" s="1031"/>
      <c r="M705" s="934" t="s">
        <v>1260</v>
      </c>
    </row>
    <row r="706" spans="1:13" s="1016" customFormat="1" ht="25.2" hidden="1" customHeight="1">
      <c r="A706" s="1086">
        <f t="shared" si="29"/>
        <v>0</v>
      </c>
      <c r="B706" s="1221"/>
      <c r="C706" s="2845"/>
      <c r="D706" s="1123"/>
      <c r="E706" s="1124"/>
      <c r="F706" s="1003"/>
      <c r="G706" s="1125"/>
      <c r="H706" s="1709"/>
      <c r="I706" s="1192">
        <f t="shared" si="30"/>
        <v>0</v>
      </c>
      <c r="J706" s="1126"/>
      <c r="K706" s="1127"/>
      <c r="L706" s="1069"/>
      <c r="M706" s="934"/>
    </row>
    <row r="707" spans="1:13" s="1016" customFormat="1" ht="25.2" hidden="1" customHeight="1">
      <c r="A707" s="1086">
        <f t="shared" si="29"/>
        <v>0</v>
      </c>
      <c r="B707" s="1248"/>
      <c r="C707" s="2850"/>
      <c r="D707" s="1146" t="str">
        <f>"Địa Điểm: "&amp;Solieu!C7</f>
        <v>Địa Điểm: x</v>
      </c>
      <c r="E707" s="1146"/>
      <c r="F707" s="1146"/>
      <c r="G707" s="1146"/>
      <c r="H707" s="1751"/>
      <c r="I707" s="1192">
        <f t="shared" si="30"/>
        <v>0</v>
      </c>
      <c r="J707" s="1146"/>
      <c r="K707" s="1146"/>
      <c r="L707" s="1146"/>
      <c r="M707" s="934"/>
    </row>
    <row r="708" spans="1:13" s="1016" customFormat="1" ht="25.2" hidden="1" customHeight="1">
      <c r="A708" s="1086">
        <f t="shared" si="29"/>
        <v>0</v>
      </c>
      <c r="B708" s="1248"/>
      <c r="C708" s="2850"/>
      <c r="D708" s="1033"/>
      <c r="E708" s="1128"/>
      <c r="F708" s="1147"/>
      <c r="G708" s="1147"/>
      <c r="H708" s="1716"/>
      <c r="I708" s="1192">
        <f t="shared" si="30"/>
        <v>0</v>
      </c>
      <c r="J708" s="1147"/>
      <c r="K708" s="1147"/>
      <c r="L708" s="934"/>
      <c r="M708" s="934"/>
    </row>
    <row r="709" spans="1:13" s="1016" customFormat="1" ht="25.2" hidden="1" customHeight="1">
      <c r="A709" s="1086">
        <f t="shared" si="29"/>
        <v>0</v>
      </c>
      <c r="B709" s="1226"/>
      <c r="C709" s="2841"/>
      <c r="D709" s="1145"/>
      <c r="E709" s="1145"/>
      <c r="F709" s="1148" t="s">
        <v>3704</v>
      </c>
      <c r="G709" s="1149"/>
      <c r="H709" s="1730"/>
      <c r="I709" s="1192">
        <f t="shared" si="30"/>
        <v>0</v>
      </c>
      <c r="J709" s="1149"/>
      <c r="K709" s="1149"/>
      <c r="L709" s="1129"/>
      <c r="M709" s="934" t="s">
        <v>1261</v>
      </c>
    </row>
    <row r="710" spans="1:13" s="1016" customFormat="1" ht="25.2" hidden="1" customHeight="1">
      <c r="A710" s="1086">
        <f t="shared" si="29"/>
        <v>0</v>
      </c>
      <c r="B710" s="1227" t="s">
        <v>1211</v>
      </c>
      <c r="C710" s="2840"/>
      <c r="D710" s="1023">
        <f>IF(H710&gt;0,1,0)</f>
        <v>0</v>
      </c>
      <c r="E710" s="1012" t="str">
        <f>VLOOKUP($B710,DG!A:D,DG!$B$2,)</f>
        <v>01.1412</v>
      </c>
      <c r="F710" s="1013" t="str">
        <f>VLOOKUP($B710,DG!A:D,DG!$C$2,)</f>
        <v>Máy biến áp 12,7/0,22-0,44kV  37,5kVA</v>
      </c>
      <c r="G710" s="1012" t="str">
        <f>VLOOKUP($B710,DG!A:D,DG!$D$2,)</f>
        <v>máy</v>
      </c>
      <c r="H710" s="2744">
        <f>L8*3</f>
        <v>0</v>
      </c>
      <c r="I710" s="1192">
        <f t="shared" si="30"/>
        <v>0</v>
      </c>
      <c r="J710" s="1041"/>
      <c r="K710" s="1041"/>
      <c r="L710" s="1015"/>
      <c r="M710" s="934" t="s">
        <v>1261</v>
      </c>
    </row>
    <row r="711" spans="1:13" s="1016" customFormat="1" ht="25.2" hidden="1" customHeight="1">
      <c r="A711" s="1086">
        <f t="shared" si="29"/>
        <v>0</v>
      </c>
      <c r="B711" s="1227" t="s">
        <v>1211</v>
      </c>
      <c r="C711" s="2840"/>
      <c r="D711" s="1023">
        <f>IF(H711&gt;0,D710+1,D710)</f>
        <v>0</v>
      </c>
      <c r="E711" s="1012" t="str">
        <f>VLOOKUP($B711,DG!A:D,DG!$B$2,)</f>
        <v>01.1412</v>
      </c>
      <c r="F711" s="1013" t="str">
        <f>VLOOKUP($B711,DG!A:D,DG!$C$2,)&amp;" : Thaùo + laép"</f>
        <v>Máy biến áp 12,7/0,22-0,44kV  37,5kVA : Thaùo + laép</v>
      </c>
      <c r="G711" s="1012" t="str">
        <f>VLOOKUP($B711,DG!A:D,DG!$D$2,)</f>
        <v>máy</v>
      </c>
      <c r="H711" s="2744"/>
      <c r="I711" s="1192">
        <f t="shared" si="30"/>
        <v>0</v>
      </c>
      <c r="J711" s="1041"/>
      <c r="K711" s="1041"/>
      <c r="L711" s="1015"/>
      <c r="M711" s="934" t="s">
        <v>1261</v>
      </c>
    </row>
    <row r="712" spans="1:13" s="1016" customFormat="1" ht="25.2" hidden="1" customHeight="1">
      <c r="A712" s="1086">
        <f t="shared" si="29"/>
        <v>0</v>
      </c>
      <c r="B712" s="1227" t="s">
        <v>1652</v>
      </c>
      <c r="C712" s="2840"/>
      <c r="D712" s="1023">
        <f t="shared" ref="D712:D723" si="31">IF(H712&gt;0,D711+1,D711)</f>
        <v>0</v>
      </c>
      <c r="E712" s="1012" t="str">
        <f>VLOOKUP($B712,DG!A:D,DG!$B$2,)</f>
        <v>02.3155</v>
      </c>
      <c r="F712" s="1013" t="str">
        <f>VLOOKUP($B712,DG!A:D,DG!$C$2,)</f>
        <v>FCO 24kV - 100A</v>
      </c>
      <c r="G712" s="1012" t="str">
        <f>VLOOKUP($B712,DG!A:D,DG!$D$2,)</f>
        <v>cái</v>
      </c>
      <c r="H712" s="2745">
        <f>+H710</f>
        <v>0</v>
      </c>
      <c r="I712" s="1192">
        <f t="shared" si="30"/>
        <v>0</v>
      </c>
      <c r="J712" s="1041"/>
      <c r="K712" s="1041"/>
      <c r="L712" s="1015"/>
      <c r="M712" s="934" t="s">
        <v>1261</v>
      </c>
    </row>
    <row r="713" spans="1:13" s="1016" customFormat="1" ht="25.2" hidden="1" customHeight="1">
      <c r="A713" s="1086">
        <f t="shared" si="29"/>
        <v>0</v>
      </c>
      <c r="B713" s="1226" t="s">
        <v>888</v>
      </c>
      <c r="C713" s="2841"/>
      <c r="D713" s="1023">
        <f t="shared" si="31"/>
        <v>0</v>
      </c>
      <c r="E713" s="1012">
        <f>VLOOKUP($B713,DG!A:D,DG!$B$2,)</f>
        <v>0</v>
      </c>
      <c r="F713" s="1013" t="str">
        <f>VLOOKUP($B713,DG!A:D,DG!$C$2,)</f>
        <v>Dây chảy 3K</v>
      </c>
      <c r="G713" s="1012" t="str">
        <f>VLOOKUP($B713,DG!A:D,DG!$D$2,)</f>
        <v>Sợi</v>
      </c>
      <c r="H713" s="2745"/>
      <c r="I713" s="1192">
        <f t="shared" si="30"/>
        <v>0</v>
      </c>
      <c r="J713" s="1041"/>
      <c r="K713" s="1041"/>
      <c r="L713" s="1015"/>
      <c r="M713" s="934" t="s">
        <v>1261</v>
      </c>
    </row>
    <row r="714" spans="1:13" s="1016" customFormat="1" ht="25.2" hidden="1" customHeight="1">
      <c r="A714" s="1086">
        <f t="shared" si="29"/>
        <v>0</v>
      </c>
      <c r="B714" s="1221" t="s">
        <v>1373</v>
      </c>
      <c r="C714" s="2845"/>
      <c r="D714" s="1023">
        <f t="shared" si="31"/>
        <v>0</v>
      </c>
      <c r="E714" s="1012" t="str">
        <f>VLOOKUP($B714,DG!A:D,DG!$B$2,)</f>
        <v>02.5114</v>
      </c>
      <c r="F714" s="1013" t="str">
        <f>VLOOKUP($B714,DG!A:D,DG!$C$2,)</f>
        <v>Chống sét van LA-18KV-10KA</v>
      </c>
      <c r="G714" s="1012" t="str">
        <f>VLOOKUP($B714,DG!A:D,DG!$D$2,)</f>
        <v>cái</v>
      </c>
      <c r="H714" s="2745">
        <f>H712</f>
        <v>0</v>
      </c>
      <c r="I714" s="1192">
        <f t="shared" si="30"/>
        <v>0</v>
      </c>
      <c r="J714" s="1041"/>
      <c r="K714" s="1041"/>
      <c r="L714" s="1015"/>
      <c r="M714" s="934" t="s">
        <v>1261</v>
      </c>
    </row>
    <row r="715" spans="1:13" s="1016" customFormat="1" ht="25.2" hidden="1" customHeight="1">
      <c r="A715" s="1086">
        <f t="shared" si="29"/>
        <v>0</v>
      </c>
      <c r="B715" s="1221" t="s">
        <v>4354</v>
      </c>
      <c r="C715" s="2845"/>
      <c r="D715" s="1023">
        <f t="shared" si="31"/>
        <v>0</v>
      </c>
      <c r="E715" s="1012" t="str">
        <f>VLOOKUP($B715,DG!A:D,DG!$B$2,)</f>
        <v>02.5114</v>
      </c>
      <c r="F715" s="1013" t="str">
        <f>VLOOKUP($B715,DG!A:D,DG!$C$2,)&amp;": Thaùo + laép"</f>
        <v>LA 12kV 10kA: Thaùo + laép</v>
      </c>
      <c r="G715" s="1012" t="str">
        <f>VLOOKUP($B715,DG!A:D,DG!$D$2,)</f>
        <v>cái</v>
      </c>
      <c r="H715" s="2745">
        <f>H712</f>
        <v>0</v>
      </c>
      <c r="I715" s="1192">
        <f t="shared" si="30"/>
        <v>0</v>
      </c>
      <c r="J715" s="1041"/>
      <c r="K715" s="1041"/>
      <c r="L715" s="1015"/>
      <c r="M715" s="934" t="s">
        <v>1261</v>
      </c>
    </row>
    <row r="716" spans="1:13" s="1016" customFormat="1" ht="25.2" hidden="1" customHeight="1">
      <c r="A716" s="1086">
        <f t="shared" si="29"/>
        <v>0</v>
      </c>
      <c r="B716" s="1228" t="s">
        <v>1427</v>
      </c>
      <c r="C716" s="2840"/>
      <c r="D716" s="1023">
        <f t="shared" si="31"/>
        <v>0</v>
      </c>
      <c r="E716" s="1012" t="str">
        <f>VLOOKUP($B716,DG!A:D,DG!$B$2,)</f>
        <v>02.8401</v>
      </c>
      <c r="F716" s="1013" t="str">
        <f>VLOOKUP($B716,DG!A:D,DG!$C$2,)</f>
        <v>MCCB 3 cực 400V -200A - 35KA</v>
      </c>
      <c r="G716" s="1012" t="str">
        <f>VLOOKUP($B716,DG!A:D,DG!$D$2,)</f>
        <v>cái</v>
      </c>
      <c r="H716" s="2745"/>
      <c r="I716" s="1192">
        <f t="shared" si="30"/>
        <v>0</v>
      </c>
      <c r="J716" s="1041"/>
      <c r="K716" s="1041"/>
      <c r="L716" s="1015"/>
      <c r="M716" s="934" t="s">
        <v>1261</v>
      </c>
    </row>
    <row r="717" spans="1:13" s="1016" customFormat="1" ht="25.2" hidden="1" customHeight="1">
      <c r="A717" s="1086">
        <f t="shared" si="29"/>
        <v>0</v>
      </c>
      <c r="B717" s="1228" t="s">
        <v>758</v>
      </c>
      <c r="C717" s="2840"/>
      <c r="D717" s="1023">
        <f t="shared" si="31"/>
        <v>0</v>
      </c>
      <c r="E717" s="1012" t="str">
        <f>VLOOKUP($B717,DG!A:D,DG!$B$2,)</f>
        <v>02.8534</v>
      </c>
      <c r="F717" s="1013" t="str">
        <f>VLOOKUP($B717,DG!A:D,DG!$C$2,)</f>
        <v>Tụ bù 1 pha 30Kvar</v>
      </c>
      <c r="G717" s="1012" t="str">
        <f>VLOOKUP($B717,DG!A:D,DG!$D$2,)</f>
        <v>tủ</v>
      </c>
      <c r="H717" s="2746"/>
      <c r="I717" s="1192">
        <f t="shared" si="30"/>
        <v>0</v>
      </c>
      <c r="J717" s="1041"/>
      <c r="K717" s="1041"/>
      <c r="L717" s="1015"/>
      <c r="M717" s="934" t="s">
        <v>1261</v>
      </c>
    </row>
    <row r="718" spans="1:13" s="1016" customFormat="1" ht="25.2" hidden="1" customHeight="1">
      <c r="A718" s="1086">
        <f t="shared" si="29"/>
        <v>0</v>
      </c>
      <c r="B718" s="1228" t="s">
        <v>758</v>
      </c>
      <c r="C718" s="2840"/>
      <c r="D718" s="1023">
        <f t="shared" si="31"/>
        <v>0</v>
      </c>
      <c r="E718" s="1012" t="str">
        <f>VLOOKUP($B718,DG!A:D,DG!$B$2,)</f>
        <v>02.8534</v>
      </c>
      <c r="F718" s="1013" t="s">
        <v>3705</v>
      </c>
      <c r="G718" s="1012" t="str">
        <f>VLOOKUP($B718,DG!A:D,DG!$D$2,)</f>
        <v>tủ</v>
      </c>
      <c r="H718" s="2746"/>
      <c r="I718" s="1192">
        <f t="shared" si="30"/>
        <v>0</v>
      </c>
      <c r="J718" s="1041"/>
      <c r="K718" s="1041"/>
      <c r="L718" s="1015"/>
      <c r="M718" s="934" t="s">
        <v>1261</v>
      </c>
    </row>
    <row r="719" spans="1:13" s="1016" customFormat="1" ht="25.2" hidden="1" customHeight="1">
      <c r="A719" s="1086">
        <f t="shared" si="29"/>
        <v>0</v>
      </c>
      <c r="B719" s="1229" t="s">
        <v>2043</v>
      </c>
      <c r="C719" s="2842"/>
      <c r="D719" s="1023">
        <f t="shared" si="31"/>
        <v>0</v>
      </c>
      <c r="E719" s="1012">
        <f>VLOOKUP($B719,DG!A:D,DG!$B$2,)</f>
        <v>0</v>
      </c>
      <c r="F719" s="1095" t="str">
        <f>VLOOKUP($B719,DG!A:D,DG!$C$2,)</f>
        <v>Biến dòng 600V - 100/5A</v>
      </c>
      <c r="G719" s="1012" t="str">
        <f>VLOOKUP($B719,DG!A:D,DG!$D$2,)</f>
        <v>cái</v>
      </c>
      <c r="H719" s="2746"/>
      <c r="I719" s="1192">
        <f t="shared" si="30"/>
        <v>0</v>
      </c>
      <c r="J719" s="1041"/>
      <c r="K719" s="1041"/>
      <c r="L719" s="1043"/>
      <c r="M719" s="934" t="s">
        <v>1261</v>
      </c>
    </row>
    <row r="720" spans="1:13" s="1016" customFormat="1" ht="25.2" hidden="1" customHeight="1">
      <c r="A720" s="1086">
        <f t="shared" si="29"/>
        <v>0</v>
      </c>
      <c r="B720" s="1233" t="s">
        <v>288</v>
      </c>
      <c r="C720" s="2843"/>
      <c r="D720" s="1023">
        <f t="shared" si="31"/>
        <v>0</v>
      </c>
      <c r="E720" s="1012" t="str">
        <f>VLOOKUP($B720,DG!A:D,DG!$B$2,)</f>
        <v>05.5104</v>
      </c>
      <c r="F720" s="1095" t="str">
        <f>VLOOKUP($B720,DG!A:D,DG!$C$2,)</f>
        <v>Điện kế 3 pha 4 dây 220/380V-5A</v>
      </c>
      <c r="G720" s="1012" t="str">
        <f>VLOOKUP($B720,DG!A:D,DG!$D$2,)</f>
        <v>cái</v>
      </c>
      <c r="H720" s="2747">
        <f>+H710</f>
        <v>0</v>
      </c>
      <c r="I720" s="1192">
        <f t="shared" si="30"/>
        <v>0</v>
      </c>
      <c r="J720" s="1041"/>
      <c r="K720" s="1041"/>
      <c r="L720" s="1043"/>
      <c r="M720" s="934" t="s">
        <v>1261</v>
      </c>
    </row>
    <row r="721" spans="1:13" s="1016" customFormat="1" ht="25.2" hidden="1" customHeight="1">
      <c r="A721" s="1086">
        <f t="shared" si="29"/>
        <v>0</v>
      </c>
      <c r="B721" s="1226" t="s">
        <v>199</v>
      </c>
      <c r="C721" s="2841"/>
      <c r="D721" s="1023">
        <f t="shared" si="31"/>
        <v>0</v>
      </c>
      <c r="E721" s="1012">
        <f>VLOOKUP($B721,DG!A:D,DG!$B$2,)</f>
        <v>0</v>
      </c>
      <c r="F721" s="1013" t="str">
        <f>VLOOKUP($B721,DG!A:D,DG!$C$2,)</f>
        <v xml:space="preserve">Ampe kế 100/5A-600v +AS </v>
      </c>
      <c r="G721" s="1012" t="str">
        <f>VLOOKUP($B721,DG!A:D,DG!$D$2,)</f>
        <v>Bộ</v>
      </c>
      <c r="H721" s="2745"/>
      <c r="I721" s="1192">
        <f t="shared" si="30"/>
        <v>0</v>
      </c>
      <c r="J721" s="1041"/>
      <c r="K721" s="1041"/>
      <c r="L721" s="1015"/>
      <c r="M721" s="934" t="s">
        <v>1261</v>
      </c>
    </row>
    <row r="722" spans="1:13" s="1016" customFormat="1" ht="25.2" hidden="1" customHeight="1">
      <c r="A722" s="1086">
        <f t="shared" si="29"/>
        <v>0</v>
      </c>
      <c r="B722" s="1226" t="s">
        <v>200</v>
      </c>
      <c r="C722" s="2841"/>
      <c r="D722" s="1023">
        <f t="shared" si="31"/>
        <v>0</v>
      </c>
      <c r="E722" s="1012">
        <f>VLOOKUP($B722,DG!A:D,DG!$B$2,)</f>
        <v>0</v>
      </c>
      <c r="F722" s="1013" t="str">
        <f>VLOOKUP($B722,DG!A:D,DG!$C$2,)</f>
        <v>Volt kế 500V + VS + 2xChì ống 1A-230V</v>
      </c>
      <c r="G722" s="1012" t="str">
        <f>VLOOKUP($B722,DG!A:D,DG!$D$2,)</f>
        <v>Bộ</v>
      </c>
      <c r="H722" s="2747">
        <f>+H714*0</f>
        <v>0</v>
      </c>
      <c r="I722" s="1192">
        <f t="shared" si="30"/>
        <v>0</v>
      </c>
      <c r="J722" s="1041"/>
      <c r="K722" s="1041"/>
      <c r="L722" s="1031"/>
      <c r="M722" s="934" t="s">
        <v>1261</v>
      </c>
    </row>
    <row r="723" spans="1:13" s="1016" customFormat="1" ht="25.2" hidden="1" customHeight="1">
      <c r="A723" s="1086">
        <f t="shared" si="29"/>
        <v>0</v>
      </c>
      <c r="B723" s="1226"/>
      <c r="C723" s="2841"/>
      <c r="D723" s="1023">
        <f t="shared" si="31"/>
        <v>0</v>
      </c>
      <c r="E723" s="1012"/>
      <c r="F723" s="1150" t="s">
        <v>3706</v>
      </c>
      <c r="G723" s="1151"/>
      <c r="H723" s="2748">
        <f>H712/3*0</f>
        <v>0</v>
      </c>
      <c r="I723" s="1192">
        <f t="shared" si="30"/>
        <v>0</v>
      </c>
      <c r="J723" s="1041"/>
      <c r="K723" s="1041"/>
      <c r="L723" s="1152"/>
      <c r="M723" s="934" t="s">
        <v>1261</v>
      </c>
    </row>
    <row r="724" spans="1:13" s="1016" customFormat="1" ht="25.2" hidden="1" customHeight="1">
      <c r="A724" s="1086">
        <f t="shared" si="29"/>
        <v>0</v>
      </c>
      <c r="B724" s="1226" t="s">
        <v>1649</v>
      </c>
      <c r="C724" s="2841"/>
      <c r="D724" s="1023">
        <f>IF(H724&gt;0,D723+1,D723)</f>
        <v>0</v>
      </c>
      <c r="E724" s="1012" t="str">
        <f>VLOOKUP($B724,DG!A:D,DG!$B$2,)</f>
        <v>01.1162</v>
      </c>
      <c r="F724" s="1013" t="str">
        <f>VLOOKUP($B724,DG!A:D,DG!$C$2,)&amp;": thaùo"</f>
        <v>Máy biến áp 8,6(12,7)/0,22-0,44kV- 37,5kVA: thaùo</v>
      </c>
      <c r="G724" s="1012" t="str">
        <f>VLOOKUP($B724,DG!A:D,DG!$D$2,)</f>
        <v>máy</v>
      </c>
      <c r="H724" s="1100"/>
      <c r="I724" s="1192">
        <f t="shared" si="30"/>
        <v>0</v>
      </c>
      <c r="J724" s="1041"/>
      <c r="K724" s="1041"/>
      <c r="L724" s="1105"/>
      <c r="M724" s="934" t="s">
        <v>1261</v>
      </c>
    </row>
    <row r="725" spans="1:13" s="1016" customFormat="1" ht="25.2" hidden="1" customHeight="1">
      <c r="A725" s="1086">
        <f t="shared" si="29"/>
        <v>0</v>
      </c>
      <c r="B725" s="1226" t="s">
        <v>1649</v>
      </c>
      <c r="C725" s="2841"/>
      <c r="D725" s="1023">
        <f>IF(H725&gt;0,D724+1,D724)</f>
        <v>0</v>
      </c>
      <c r="E725" s="1012" t="str">
        <f>VLOOKUP($B725,DG!A:D,DG!$B$2,)</f>
        <v>01.1162</v>
      </c>
      <c r="F725" s="1013" t="str">
        <f>VLOOKUP($B725,DG!A:D,DG!$C$2,)&amp;": laép"</f>
        <v>Máy biến áp 8,6(12,7)/0,22-0,44kV- 37,5kVA: laép</v>
      </c>
      <c r="G725" s="1012" t="str">
        <f>VLOOKUP($B725,DG!A:D,DG!$D$2,)</f>
        <v>máy</v>
      </c>
      <c r="H725" s="1100"/>
      <c r="I725" s="1192">
        <f t="shared" si="30"/>
        <v>0</v>
      </c>
      <c r="J725" s="1041"/>
      <c r="K725" s="1041"/>
      <c r="L725" s="1105"/>
      <c r="M725" s="934" t="s">
        <v>1261</v>
      </c>
    </row>
    <row r="726" spans="1:13" s="1016" customFormat="1" ht="25.2" hidden="1" customHeight="1">
      <c r="A726" s="1086">
        <f t="shared" si="29"/>
        <v>0</v>
      </c>
      <c r="B726" s="1227" t="s">
        <v>1652</v>
      </c>
      <c r="C726" s="2840"/>
      <c r="D726" s="1023">
        <f>IF(H726&gt;0,D724+1,D724)</f>
        <v>0</v>
      </c>
      <c r="E726" s="1012" t="str">
        <f>VLOOKUP($B726,DG!A:D,DG!$B$2,)</f>
        <v>02.3155</v>
      </c>
      <c r="F726" s="1013" t="str">
        <f>VLOOKUP($B726,DG!A:D,DG!$C$2,)&amp;": thaùo"</f>
        <v>FCO 24kV - 100A: thaùo</v>
      </c>
      <c r="G726" s="1012" t="str">
        <f>VLOOKUP($B726,DG!A:D,DG!$D$2,)</f>
        <v>cái</v>
      </c>
      <c r="H726" s="1100"/>
      <c r="I726" s="1192">
        <f t="shared" si="30"/>
        <v>0</v>
      </c>
      <c r="J726" s="1041"/>
      <c r="K726" s="1041"/>
      <c r="L726" s="1105"/>
      <c r="M726" s="934" t="s">
        <v>1261</v>
      </c>
    </row>
    <row r="727" spans="1:13" s="1016" customFormat="1" ht="25.2" hidden="1" customHeight="1">
      <c r="A727" s="1086">
        <f t="shared" si="29"/>
        <v>0</v>
      </c>
      <c r="B727" s="1227" t="s">
        <v>1652</v>
      </c>
      <c r="C727" s="2840"/>
      <c r="D727" s="1023">
        <f>IF(H727&gt;0,D725+1,D725)</f>
        <v>0</v>
      </c>
      <c r="E727" s="1012" t="str">
        <f>VLOOKUP($B727,DG!A:D,DG!$B$2,)</f>
        <v>02.3155</v>
      </c>
      <c r="F727" s="1013" t="str">
        <f>VLOOKUP($B727,DG!A:D,DG!$C$2,)&amp;": laép"</f>
        <v>FCO 24kV - 100A: laép</v>
      </c>
      <c r="G727" s="1012" t="str">
        <f>VLOOKUP($B727,DG!A:D,DG!$D$2,)</f>
        <v>cái</v>
      </c>
      <c r="H727" s="1100"/>
      <c r="I727" s="1192">
        <f t="shared" si="30"/>
        <v>0</v>
      </c>
      <c r="J727" s="1041"/>
      <c r="K727" s="1041"/>
      <c r="L727" s="1105"/>
      <c r="M727" s="934" t="s">
        <v>1261</v>
      </c>
    </row>
    <row r="728" spans="1:13" s="1016" customFormat="1" ht="25.2" hidden="1" customHeight="1">
      <c r="A728" s="1086">
        <f t="shared" si="29"/>
        <v>0</v>
      </c>
      <c r="B728" s="1226" t="s">
        <v>1373</v>
      </c>
      <c r="C728" s="2841"/>
      <c r="D728" s="1023">
        <f>IF(H728&gt;0,D726+1,D726)</f>
        <v>0</v>
      </c>
      <c r="E728" s="1012" t="str">
        <f>VLOOKUP($B728,DG!A:D,DG!$B$2,)</f>
        <v>02.5114</v>
      </c>
      <c r="F728" s="1013" t="str">
        <f>VLOOKUP($B728,DG!A:D,DG!$C$2,)&amp;": thaùo"</f>
        <v>Chống sét van LA-18KV-10KA: thaùo</v>
      </c>
      <c r="G728" s="1012" t="str">
        <f>VLOOKUP($B728,DG!A:D,DG!$D$2,)</f>
        <v>cái</v>
      </c>
      <c r="H728" s="1100"/>
      <c r="I728" s="1192">
        <f t="shared" si="30"/>
        <v>0</v>
      </c>
      <c r="J728" s="1041"/>
      <c r="K728" s="1041"/>
      <c r="L728" s="1105"/>
      <c r="M728" s="934" t="s">
        <v>1261</v>
      </c>
    </row>
    <row r="729" spans="1:13" s="1016" customFormat="1" ht="25.2" hidden="1" customHeight="1">
      <c r="A729" s="1086">
        <f t="shared" si="29"/>
        <v>0</v>
      </c>
      <c r="B729" s="1226" t="s">
        <v>1373</v>
      </c>
      <c r="C729" s="2841"/>
      <c r="D729" s="1023">
        <f>IF(H729&gt;0,D727+1,D727)</f>
        <v>0</v>
      </c>
      <c r="E729" s="1012" t="str">
        <f>VLOOKUP($B729,DG!A:D,DG!$B$2,)</f>
        <v>02.5114</v>
      </c>
      <c r="F729" s="1013" t="str">
        <f>VLOOKUP($B729,DG!A:D,DG!$C$2,)&amp;": laép"</f>
        <v>Chống sét van LA-18KV-10KA: laép</v>
      </c>
      <c r="G729" s="1012" t="str">
        <f>VLOOKUP($B729,DG!A:D,DG!$D$2,)</f>
        <v>cái</v>
      </c>
      <c r="H729" s="1100"/>
      <c r="I729" s="1192">
        <f t="shared" si="30"/>
        <v>0</v>
      </c>
      <c r="J729" s="1041"/>
      <c r="K729" s="1041"/>
      <c r="L729" s="1105"/>
      <c r="M729" s="934" t="s">
        <v>1261</v>
      </c>
    </row>
    <row r="730" spans="1:13" s="1016" customFormat="1" ht="25.2" hidden="1" customHeight="1">
      <c r="A730" s="1086">
        <f t="shared" ref="A730:A793" si="32">IF(AND(M730=$M$23,I730&gt;0),1,0)</f>
        <v>0</v>
      </c>
      <c r="B730" s="1226" t="s">
        <v>989</v>
      </c>
      <c r="C730" s="2841"/>
      <c r="D730" s="1023">
        <f>IF(H730&gt;0,D728+1,D728)</f>
        <v>0</v>
      </c>
      <c r="E730" s="1012" t="str">
        <f>VLOOKUP($B730,DG!A:D,DG!$B$2,)</f>
        <v>05.6001</v>
      </c>
      <c r="F730" s="1013" t="str">
        <f>VLOOKUP($B730,DG!A:D,DG!$C$2,)</f>
        <v>Giá chữ "T" lắp FCO, LA (V50x50x5)</v>
      </c>
      <c r="G730" s="1012" t="str">
        <f>VLOOKUP($B730,DG!A:D,DG!$D$2,)</f>
        <v>Kg</v>
      </c>
      <c r="H730" s="1100"/>
      <c r="I730" s="1192">
        <f t="shared" si="30"/>
        <v>0</v>
      </c>
      <c r="J730" s="1041"/>
      <c r="K730" s="1041"/>
      <c r="L730" s="1105"/>
      <c r="M730" s="934" t="s">
        <v>1261</v>
      </c>
    </row>
    <row r="731" spans="1:13" s="1016" customFormat="1" ht="25.2" hidden="1" customHeight="1">
      <c r="A731" s="1086">
        <f t="shared" si="32"/>
        <v>0</v>
      </c>
      <c r="B731" s="1226"/>
      <c r="C731" s="2841"/>
      <c r="D731" s="1153"/>
      <c r="E731" s="1154"/>
      <c r="F731" s="1155"/>
      <c r="G731" s="1154"/>
      <c r="H731" s="1717"/>
      <c r="I731" s="1192">
        <f t="shared" si="30"/>
        <v>0</v>
      </c>
      <c r="J731" s="1041"/>
      <c r="K731" s="1041"/>
      <c r="L731" s="1031"/>
      <c r="M731" s="934" t="s">
        <v>1261</v>
      </c>
    </row>
    <row r="732" spans="1:13" s="1016" customFormat="1" ht="25.2" hidden="1" customHeight="1">
      <c r="A732" s="1086">
        <f t="shared" si="32"/>
        <v>0</v>
      </c>
      <c r="B732" s="1226"/>
      <c r="C732" s="2841"/>
      <c r="D732" s="1093"/>
      <c r="E732" s="1135"/>
      <c r="F732" s="1156"/>
      <c r="G732" s="1157"/>
      <c r="H732" s="1718"/>
      <c r="I732" s="1192">
        <f t="shared" si="30"/>
        <v>0</v>
      </c>
      <c r="J732" s="1041"/>
      <c r="K732" s="1041"/>
      <c r="L732" s="1069"/>
      <c r="M732" s="934" t="s">
        <v>1261</v>
      </c>
    </row>
    <row r="733" spans="1:13" s="1016" customFormat="1" ht="25.2" hidden="1" customHeight="1">
      <c r="A733" s="1086">
        <f t="shared" si="32"/>
        <v>0</v>
      </c>
      <c r="B733" s="1226"/>
      <c r="C733" s="2841"/>
      <c r="D733" s="1158"/>
      <c r="E733" s="1159"/>
      <c r="F733" s="1160" t="s">
        <v>3673</v>
      </c>
      <c r="G733" s="1160"/>
      <c r="H733" s="1719"/>
      <c r="I733" s="1192">
        <f t="shared" si="30"/>
        <v>0</v>
      </c>
      <c r="J733" s="1104"/>
      <c r="K733" s="1104"/>
      <c r="L733" s="1136"/>
      <c r="M733" s="934" t="s">
        <v>1261</v>
      </c>
    </row>
    <row r="734" spans="1:13" s="1016" customFormat="1" ht="25.2" hidden="1" customHeight="1">
      <c r="A734" s="1086">
        <f t="shared" si="32"/>
        <v>0</v>
      </c>
      <c r="B734" s="1226"/>
      <c r="C734" s="2841"/>
      <c r="D734" s="1096">
        <f>IF(H734&gt;0,1,0)</f>
        <v>0</v>
      </c>
      <c r="E734" s="1097"/>
      <c r="F734" s="1098" t="s">
        <v>3692</v>
      </c>
      <c r="G734" s="1007" t="s">
        <v>2385</v>
      </c>
      <c r="H734" s="1193"/>
      <c r="I734" s="1193">
        <f t="shared" si="30"/>
        <v>0</v>
      </c>
      <c r="J734" s="1007"/>
      <c r="K734" s="1007"/>
      <c r="L734" s="1007"/>
      <c r="M734" s="934" t="s">
        <v>1261</v>
      </c>
    </row>
    <row r="735" spans="1:13" s="1016" customFormat="1" ht="25.2" hidden="1" customHeight="1">
      <c r="A735" s="1086">
        <f t="shared" si="32"/>
        <v>0</v>
      </c>
      <c r="B735" s="1226"/>
      <c r="C735" s="2841"/>
      <c r="D735" s="1161"/>
      <c r="E735" s="1162"/>
      <c r="F735" s="1266" t="s">
        <v>2279</v>
      </c>
      <c r="G735" s="1163"/>
      <c r="H735" s="1720"/>
      <c r="I735" s="1192">
        <f t="shared" si="30"/>
        <v>0</v>
      </c>
      <c r="J735" s="1164"/>
      <c r="K735" s="1164"/>
      <c r="L735" s="1129"/>
      <c r="M735" s="934" t="s">
        <v>1261</v>
      </c>
    </row>
    <row r="736" spans="1:13" s="1016" customFormat="1" ht="25.2" hidden="1" customHeight="1">
      <c r="A736" s="1086">
        <f t="shared" si="32"/>
        <v>0</v>
      </c>
      <c r="B736" s="1087" t="s">
        <v>1587</v>
      </c>
      <c r="C736" s="2842"/>
      <c r="D736" s="1099"/>
      <c r="E736" s="1012" t="str">
        <f>VLOOKUP($B736,DG!A:D,DG!$B$2,)</f>
        <v>05.6100</v>
      </c>
      <c r="F736" s="1013" t="str">
        <f>VLOOKUP($B736,DG!A:D,DG!$C$2,)</f>
        <v>Giá chùm treo máy biến áp 3x37,5</v>
      </c>
      <c r="G736" s="1012" t="str">
        <f>VLOOKUP($B736,DG!A:D,DG!$D$2,)</f>
        <v>cái</v>
      </c>
      <c r="H736" s="2745">
        <f>H734*41</f>
        <v>0</v>
      </c>
      <c r="I736" s="1192">
        <f t="shared" si="30"/>
        <v>0</v>
      </c>
      <c r="J736" s="1041"/>
      <c r="K736" s="1041"/>
      <c r="L736" s="1015"/>
      <c r="M736" s="934" t="s">
        <v>1261</v>
      </c>
    </row>
    <row r="737" spans="1:14" s="1016" customFormat="1" ht="25.2" hidden="1" customHeight="1">
      <c r="A737" s="1086">
        <f t="shared" si="32"/>
        <v>0</v>
      </c>
      <c r="B737" s="1226" t="s">
        <v>1786</v>
      </c>
      <c r="C737" s="2841"/>
      <c r="D737" s="1099"/>
      <c r="E737" s="1100"/>
      <c r="F737" s="1013" t="str">
        <f>VLOOKUP($B737,DG!A:D,DG!$C$2,)</f>
        <v>Boulon 16x50+ 2 long đền vuông D18-50x50x3/Zn</v>
      </c>
      <c r="G737" s="1012" t="str">
        <f>VLOOKUP($B737,DG!A:D,DG!$D$2,)</f>
        <v>bộ</v>
      </c>
      <c r="H737" s="2745">
        <f>6*H734</f>
        <v>0</v>
      </c>
      <c r="I737" s="1192">
        <f t="shared" si="30"/>
        <v>0</v>
      </c>
      <c r="J737" s="1041"/>
      <c r="K737" s="1041"/>
      <c r="L737" s="1015"/>
      <c r="M737" s="934" t="s">
        <v>1261</v>
      </c>
    </row>
    <row r="738" spans="1:14" s="1016" customFormat="1" ht="25.2" hidden="1" customHeight="1">
      <c r="A738" s="1086">
        <f t="shared" si="32"/>
        <v>0</v>
      </c>
      <c r="B738" s="1226" t="s">
        <v>1610</v>
      </c>
      <c r="C738" s="2841"/>
      <c r="D738" s="1099"/>
      <c r="E738" s="1100"/>
      <c r="F738" s="1013" t="str">
        <f>VLOOKUP($B738,DG!A:D,DG!$C$2,)</f>
        <v>Boulon 16x300+ 2 long đền vuông D18-50x50x3/Zn</v>
      </c>
      <c r="G738" s="1012" t="str">
        <f>VLOOKUP($B738,DG!A:D,DG!$D$2,)</f>
        <v>bộ</v>
      </c>
      <c r="H738" s="2745">
        <f>2*H734</f>
        <v>0</v>
      </c>
      <c r="I738" s="1192">
        <f t="shared" si="30"/>
        <v>0</v>
      </c>
      <c r="J738" s="1041"/>
      <c r="K738" s="1041"/>
      <c r="L738" s="1015"/>
      <c r="M738" s="934" t="s">
        <v>1261</v>
      </c>
    </row>
    <row r="739" spans="1:14" s="1016" customFormat="1" ht="25.2" hidden="1" customHeight="1">
      <c r="A739" s="1086">
        <f t="shared" si="32"/>
        <v>0</v>
      </c>
      <c r="B739" s="1226" t="s">
        <v>516</v>
      </c>
      <c r="C739" s="2841"/>
      <c r="D739" s="1099"/>
      <c r="E739" s="1100"/>
      <c r="F739" s="1095" t="str">
        <f>VLOOKUP($B739,DG!A:D,DG!$C$2,)</f>
        <v>Lắp xà đỡ ≤ 50kg</v>
      </c>
      <c r="G739" s="1012" t="str">
        <f>VLOOKUP($B739,DG!A:D,DG!$D$2,)</f>
        <v>bộ</v>
      </c>
      <c r="H739" s="2745">
        <f>H734</f>
        <v>0</v>
      </c>
      <c r="I739" s="1192">
        <f t="shared" si="30"/>
        <v>0</v>
      </c>
      <c r="J739" s="1041"/>
      <c r="K739" s="1041"/>
      <c r="L739" s="1015"/>
      <c r="M739" s="934" t="s">
        <v>1261</v>
      </c>
    </row>
    <row r="740" spans="1:14" s="1016" customFormat="1" ht="25.2" hidden="1" customHeight="1">
      <c r="A740" s="1086">
        <f t="shared" si="32"/>
        <v>0</v>
      </c>
      <c r="B740" s="1226"/>
      <c r="C740" s="2841"/>
      <c r="D740" s="1017">
        <f>IF(H740&gt;0,D734+1,D734)</f>
        <v>0</v>
      </c>
      <c r="E740" s="1165"/>
      <c r="F740" s="1166" t="s">
        <v>3674</v>
      </c>
      <c r="G740" s="1167" t="s">
        <v>2385</v>
      </c>
      <c r="H740" s="1721"/>
      <c r="I740" s="1193">
        <f t="shared" si="30"/>
        <v>0</v>
      </c>
      <c r="J740" s="1020"/>
      <c r="K740" s="1020"/>
      <c r="L740" s="1020"/>
      <c r="M740" s="934" t="s">
        <v>1261</v>
      </c>
    </row>
    <row r="741" spans="1:14" s="1016" customFormat="1" ht="25.2" hidden="1" customHeight="1">
      <c r="A741" s="1086">
        <f t="shared" si="32"/>
        <v>0</v>
      </c>
      <c r="B741" s="1226"/>
      <c r="C741" s="2841"/>
      <c r="D741" s="1099"/>
      <c r="E741" s="1118"/>
      <c r="F741" s="1264" t="s">
        <v>2279</v>
      </c>
      <c r="G741" s="1043"/>
      <c r="H741" s="2748"/>
      <c r="I741" s="1192">
        <f t="shared" si="30"/>
        <v>0</v>
      </c>
      <c r="J741" s="1041"/>
      <c r="K741" s="1041"/>
      <c r="L741" s="1043"/>
      <c r="M741" s="934" t="s">
        <v>1261</v>
      </c>
      <c r="N741" s="1120"/>
    </row>
    <row r="742" spans="1:14" s="1016" customFormat="1" ht="25.2" hidden="1" customHeight="1">
      <c r="A742" s="1086">
        <f t="shared" si="32"/>
        <v>0</v>
      </c>
      <c r="B742" s="1087" t="s">
        <v>115</v>
      </c>
      <c r="C742" s="2842"/>
      <c r="D742" s="1043"/>
      <c r="E742" s="1012">
        <f>VLOOKUP($B742,DG!A:D,DG!$B$2,)</f>
        <v>0</v>
      </c>
      <c r="F742" s="1013" t="str">
        <f>VLOOKUP($B742,DG!A:D,DG!$C$2,)</f>
        <v>Trụ BTLT 12m F540 dự ứng lực</v>
      </c>
      <c r="G742" s="1012" t="str">
        <f>VLOOKUP($B742,DG!A:D,DG!$D$2,)</f>
        <v>trụ</v>
      </c>
      <c r="H742" s="2748">
        <f>1*H740</f>
        <v>0</v>
      </c>
      <c r="I742" s="1192">
        <f t="shared" si="30"/>
        <v>0</v>
      </c>
      <c r="J742" s="1041"/>
      <c r="K742" s="1041"/>
      <c r="L742" s="1043"/>
      <c r="M742" s="934" t="s">
        <v>1261</v>
      </c>
      <c r="N742" s="1120"/>
    </row>
    <row r="743" spans="1:14" s="1016" customFormat="1" ht="25.2" hidden="1" customHeight="1">
      <c r="A743" s="1086">
        <f t="shared" si="32"/>
        <v>0</v>
      </c>
      <c r="B743" s="1087" t="s">
        <v>1814</v>
      </c>
      <c r="C743" s="2842"/>
      <c r="D743" s="1043"/>
      <c r="E743" s="1121"/>
      <c r="F743" s="1013" t="str">
        <f>VLOOKUP($B743,DG!A:D,DG!$C$2,)</f>
        <v>Vật liệu dựng trụ</v>
      </c>
      <c r="G743" s="1012" t="str">
        <f>VLOOKUP($B743,DG!A:D,DG!$D$2,)</f>
        <v>trụ</v>
      </c>
      <c r="H743" s="2748">
        <f>H742</f>
        <v>0</v>
      </c>
      <c r="I743" s="1192">
        <f t="shared" si="30"/>
        <v>0</v>
      </c>
      <c r="J743" s="1041"/>
      <c r="K743" s="1041"/>
      <c r="L743" s="1043"/>
      <c r="M743" s="934" t="s">
        <v>1261</v>
      </c>
      <c r="N743" s="1120"/>
    </row>
    <row r="744" spans="1:14" s="1016" customFormat="1" ht="25.2" hidden="1" customHeight="1">
      <c r="A744" s="1086">
        <f t="shared" si="32"/>
        <v>0</v>
      </c>
      <c r="B744" s="1087" t="s">
        <v>2126</v>
      </c>
      <c r="C744" s="2842"/>
      <c r="D744" s="1043"/>
      <c r="E744" s="1121"/>
      <c r="F744" s="1013" t="str">
        <f>VLOOKUP($B744,DG!A:D,DG!$C$2,)</f>
        <v>Dựng trụ BTLT 12m trong TBA bằng thủ công + cơ giới</v>
      </c>
      <c r="G744" s="1012" t="str">
        <f>VLOOKUP($B744,DG!A:D,DG!$D$2,)</f>
        <v>trụ</v>
      </c>
      <c r="H744" s="2748">
        <f>H742</f>
        <v>0</v>
      </c>
      <c r="I744" s="1192">
        <f t="shared" si="30"/>
        <v>0</v>
      </c>
      <c r="J744" s="1041"/>
      <c r="K744" s="1041"/>
      <c r="L744" s="1043"/>
      <c r="M744" s="934" t="s">
        <v>1261</v>
      </c>
      <c r="N744" s="1120"/>
    </row>
    <row r="745" spans="1:14" s="1016" customFormat="1" ht="25.2" hidden="1" customHeight="1">
      <c r="A745" s="1086">
        <f t="shared" si="32"/>
        <v>0</v>
      </c>
      <c r="B745" s="1226"/>
      <c r="C745" s="2841"/>
      <c r="D745" s="1017">
        <f>IF(H745&gt;0,D740+1,D740)</f>
        <v>0</v>
      </c>
      <c r="E745" s="1165"/>
      <c r="F745" s="1166" t="s">
        <v>2352</v>
      </c>
      <c r="G745" s="1167" t="s">
        <v>2385</v>
      </c>
      <c r="H745" s="2749">
        <f>H740</f>
        <v>0</v>
      </c>
      <c r="I745" s="1193">
        <f t="shared" si="30"/>
        <v>0</v>
      </c>
      <c r="J745" s="1020"/>
      <c r="K745" s="1020"/>
      <c r="L745" s="1020"/>
      <c r="M745" s="934" t="s">
        <v>1261</v>
      </c>
    </row>
    <row r="746" spans="1:14" s="1016" customFormat="1" ht="25.2" hidden="1" customHeight="1">
      <c r="A746" s="1086">
        <f t="shared" si="32"/>
        <v>0</v>
      </c>
      <c r="B746" s="1226"/>
      <c r="C746" s="2841"/>
      <c r="D746" s="1099"/>
      <c r="E746" s="1118"/>
      <c r="F746" s="1264" t="s">
        <v>2279</v>
      </c>
      <c r="G746" s="1043"/>
      <c r="H746" s="2748"/>
      <c r="I746" s="1192">
        <f t="shared" si="30"/>
        <v>0</v>
      </c>
      <c r="J746" s="1041"/>
      <c r="K746" s="1041"/>
      <c r="L746" s="1043"/>
      <c r="M746" s="934" t="s">
        <v>1261</v>
      </c>
      <c r="N746" s="1120"/>
    </row>
    <row r="747" spans="1:14" s="1016" customFormat="1" ht="25.2" hidden="1" customHeight="1">
      <c r="A747" s="1086">
        <f t="shared" si="32"/>
        <v>0</v>
      </c>
      <c r="B747" s="1233" t="s">
        <v>636</v>
      </c>
      <c r="C747" s="2843"/>
      <c r="D747" s="1043"/>
      <c r="E747" s="1012" t="str">
        <f>VLOOKUP($B747,DG!A:D,DG!$B$2,)</f>
        <v>04.4001</v>
      </c>
      <c r="F747" s="1013" t="str">
        <f>VLOOKUP($B747,DG!A:D,DG!$C$2,)</f>
        <v>Đà cản BTCT 1,2m</v>
      </c>
      <c r="G747" s="1012" t="str">
        <f>VLOOKUP($B747,DG!A:D,DG!$D$2,)</f>
        <v>cái</v>
      </c>
      <c r="H747" s="2748">
        <f>1*H745</f>
        <v>0</v>
      </c>
      <c r="I747" s="1192">
        <f t="shared" si="30"/>
        <v>0</v>
      </c>
      <c r="J747" s="1041"/>
      <c r="K747" s="1041"/>
      <c r="L747" s="1043"/>
      <c r="M747" s="934" t="s">
        <v>1261</v>
      </c>
      <c r="N747" s="1120"/>
    </row>
    <row r="748" spans="1:14" s="1016" customFormat="1" ht="25.2" hidden="1" customHeight="1">
      <c r="A748" s="1086">
        <f t="shared" si="32"/>
        <v>0</v>
      </c>
      <c r="B748" s="1233" t="s">
        <v>566</v>
      </c>
      <c r="C748" s="2843"/>
      <c r="D748" s="1043"/>
      <c r="E748" s="1012">
        <f>VLOOKUP($B748,DG!A:D,DG!$B$2,)</f>
        <v>0</v>
      </c>
      <c r="F748" s="1013" t="str">
        <f>VLOOKUP($B748,DG!A:D,DG!$C$2,)</f>
        <v>Boulon 22x650+ 2 long đền vuông D24-50x50x3/Zn</v>
      </c>
      <c r="G748" s="1012" t="str">
        <f>VLOOKUP($B748,DG!A:D,DG!$D$2,)</f>
        <v>bộ</v>
      </c>
      <c r="H748" s="2748">
        <f>H745</f>
        <v>0</v>
      </c>
      <c r="I748" s="1192">
        <f t="shared" si="30"/>
        <v>0</v>
      </c>
      <c r="J748" s="1041"/>
      <c r="K748" s="1041"/>
      <c r="L748" s="1043"/>
      <c r="M748" s="934" t="s">
        <v>1261</v>
      </c>
      <c r="N748" s="1120"/>
    </row>
    <row r="749" spans="1:14" s="1016" customFormat="1" ht="25.2" hidden="1" customHeight="1">
      <c r="A749" s="1086">
        <f t="shared" si="32"/>
        <v>0</v>
      </c>
      <c r="B749" s="1233" t="str">
        <f>IF(chitiet!G5=1,"MDD1",IF(chitiet!G5=2,"MDD2",IF(chitiet!G5=3,"MDD3",IF(chitiet!G5=4,"MDD4"))))</f>
        <v>MDD3</v>
      </c>
      <c r="C749" s="2843"/>
      <c r="D749" s="1043"/>
      <c r="E749" s="1012" t="str">
        <f>VLOOKUP($B749,DG!A:D,DG!$B$2,)</f>
        <v>03.1013</v>
      </c>
      <c r="F749" s="1013" t="str">
        <f>VLOOKUP($B749,DG!A:D,DG!$C$2,)</f>
        <v>Đào hố móng đất cấp 3 sâu &gt;1m</v>
      </c>
      <c r="G749" s="1012" t="str">
        <f>VLOOKUP($B749,DG!A:D,DG!$D$2,)</f>
        <v>m3</v>
      </c>
      <c r="H749" s="2748">
        <f>H745*1.45</f>
        <v>0</v>
      </c>
      <c r="I749" s="1192">
        <f t="shared" ref="I749:I812" si="33">IF(M749=$M$23,H749+J749-K749,0)</f>
        <v>0</v>
      </c>
      <c r="J749" s="1041"/>
      <c r="K749" s="1041"/>
      <c r="L749" s="1043"/>
      <c r="M749" s="934" t="s">
        <v>1261</v>
      </c>
      <c r="N749" s="1120"/>
    </row>
    <row r="750" spans="1:14" s="1016" customFormat="1" ht="25.2" hidden="1" customHeight="1">
      <c r="A750" s="1086">
        <f t="shared" si="32"/>
        <v>0</v>
      </c>
      <c r="B750" s="1233" t="str">
        <f>IF(chitiet!G5=1,"MDAP1",IF(chitiet!G5=2,"MDAP2",IF(chitiet!G5=3,"MDAP3",IF(chitiet!G5=4,"MDAP4"))))</f>
        <v>MDAP3</v>
      </c>
      <c r="C750" s="2843"/>
      <c r="D750" s="1105"/>
      <c r="E750" s="1029" t="str">
        <f>VLOOKUP($B750,DG!A:D,DG!$B$2,)</f>
        <v>03.4113</v>
      </c>
      <c r="F750" s="1030" t="str">
        <f>VLOOKUP($B750,DG!A:D,DG!$C$2,)</f>
        <v>Đắp đất hố móng, độ chặt k=0,95</v>
      </c>
      <c r="G750" s="1029" t="str">
        <f>VLOOKUP($B750,DG!A:D,DG!$D$2,)</f>
        <v>m3</v>
      </c>
      <c r="H750" s="2748">
        <f>H745*1.37</f>
        <v>0</v>
      </c>
      <c r="I750" s="1192">
        <f t="shared" si="33"/>
        <v>0</v>
      </c>
      <c r="J750" s="1104"/>
      <c r="K750" s="1104"/>
      <c r="L750" s="1105"/>
      <c r="M750" s="934" t="s">
        <v>1261</v>
      </c>
      <c r="N750" s="1120"/>
    </row>
    <row r="751" spans="1:14" s="1016" customFormat="1" ht="25.2" hidden="1" customHeight="1">
      <c r="A751" s="1086">
        <f t="shared" si="32"/>
        <v>0</v>
      </c>
      <c r="B751" s="1226"/>
      <c r="C751" s="2841"/>
      <c r="D751" s="1096">
        <f>IF(H751&gt;0,D745+1,D745)</f>
        <v>0</v>
      </c>
      <c r="E751" s="1101"/>
      <c r="F751" s="1102" t="s">
        <v>4344</v>
      </c>
      <c r="G751" s="1007" t="s">
        <v>2385</v>
      </c>
      <c r="H751" s="2750">
        <f>H734</f>
        <v>0</v>
      </c>
      <c r="I751" s="1193">
        <f t="shared" si="33"/>
        <v>0</v>
      </c>
      <c r="J751" s="1007"/>
      <c r="K751" s="1007"/>
      <c r="L751" s="1007"/>
      <c r="M751" s="934" t="s">
        <v>1261</v>
      </c>
    </row>
    <row r="752" spans="1:14" s="1016" customFormat="1" ht="25.2" hidden="1" customHeight="1">
      <c r="A752" s="1086">
        <f t="shared" si="32"/>
        <v>0</v>
      </c>
      <c r="B752" s="1226"/>
      <c r="C752" s="2841"/>
      <c r="D752" s="1161"/>
      <c r="E752" s="1162"/>
      <c r="F752" s="1266" t="s">
        <v>2279</v>
      </c>
      <c r="G752" s="1163"/>
      <c r="H752" s="2745"/>
      <c r="I752" s="1192">
        <f t="shared" si="33"/>
        <v>0</v>
      </c>
      <c r="J752" s="1164"/>
      <c r="K752" s="1164"/>
      <c r="L752" s="1129"/>
      <c r="M752" s="934" t="s">
        <v>1261</v>
      </c>
    </row>
    <row r="753" spans="1:13" s="1016" customFormat="1" ht="25.2" hidden="1" customHeight="1">
      <c r="A753" s="1086">
        <f t="shared" si="32"/>
        <v>0</v>
      </c>
      <c r="B753" s="1087" t="s">
        <v>4332</v>
      </c>
      <c r="C753" s="2842"/>
      <c r="D753" s="1099"/>
      <c r="E753" s="1012">
        <f>VLOOKUP($B753,DG!A:D,DG!$B$2,)</f>
        <v>0</v>
      </c>
      <c r="F753" s="1013" t="str">
        <f>VLOOKUP($B753,DG!A:D,DG!$C$2,)</f>
        <v>Xà composite 110x800x5 dài 2,4m</v>
      </c>
      <c r="G753" s="1012" t="str">
        <f>VLOOKUP($B753,DG!A:D,DG!$D$2,)</f>
        <v>cái</v>
      </c>
      <c r="H753" s="2745">
        <f>H751*9.02*(2.2+4*0.07)</f>
        <v>0</v>
      </c>
      <c r="I753" s="1192">
        <f t="shared" si="33"/>
        <v>0</v>
      </c>
      <c r="J753" s="1041"/>
      <c r="K753" s="1041"/>
      <c r="L753" s="1015"/>
      <c r="M753" s="934" t="s">
        <v>1261</v>
      </c>
    </row>
    <row r="754" spans="1:13" s="1016" customFormat="1" ht="25.2" hidden="1" customHeight="1">
      <c r="A754" s="1086">
        <f t="shared" si="32"/>
        <v>0</v>
      </c>
      <c r="B754" s="1087" t="s">
        <v>365</v>
      </c>
      <c r="C754" s="2842"/>
      <c r="D754" s="1099"/>
      <c r="E754" s="1012">
        <f>VLOOKUP($B754,DG!A:D,DG!$B$2,)</f>
        <v>0</v>
      </c>
      <c r="F754" s="1013" t="str">
        <f>VLOOKUP($B754,DG!A:D,DG!$C$2,)</f>
        <v>Chống composite 40x10x920</v>
      </c>
      <c r="G754" s="1012" t="str">
        <f>VLOOKUP($B754,DG!A:D,DG!$D$2,)</f>
        <v>cái</v>
      </c>
      <c r="H754" s="2745">
        <f>H751*2*3.77*0.81</f>
        <v>0</v>
      </c>
      <c r="I754" s="1192">
        <f t="shared" si="33"/>
        <v>0</v>
      </c>
      <c r="J754" s="1041"/>
      <c r="K754" s="1041"/>
      <c r="L754" s="1015"/>
      <c r="M754" s="934" t="s">
        <v>1261</v>
      </c>
    </row>
    <row r="755" spans="1:13" s="1016" customFormat="1" ht="25.2" hidden="1" customHeight="1">
      <c r="A755" s="1086">
        <f t="shared" si="32"/>
        <v>0</v>
      </c>
      <c r="B755" s="1087" t="s">
        <v>1079</v>
      </c>
      <c r="C755" s="2842"/>
      <c r="D755" s="1099"/>
      <c r="E755" s="1012">
        <f>VLOOKUP($B755,DG!A:D,DG!$B$2,)</f>
        <v>0</v>
      </c>
      <c r="F755" s="1013" t="str">
        <f>VLOOKUP($B755,DG!A:D,DG!$C$2,)</f>
        <v>Boulon 16x350+ 2 long đền vuông D18-50x50x3/Zn</v>
      </c>
      <c r="G755" s="1012" t="str">
        <f>VLOOKUP($B755,DG!A:D,DG!$D$2,)</f>
        <v>bộ</v>
      </c>
      <c r="H755" s="2745">
        <f>H751*3</f>
        <v>0</v>
      </c>
      <c r="I755" s="1192">
        <f t="shared" si="33"/>
        <v>0</v>
      </c>
      <c r="J755" s="1041"/>
      <c r="K755" s="1041"/>
      <c r="L755" s="1015"/>
      <c r="M755" s="934" t="s">
        <v>1261</v>
      </c>
    </row>
    <row r="756" spans="1:13" s="1016" customFormat="1" ht="25.2" hidden="1" customHeight="1">
      <c r="A756" s="1086">
        <f t="shared" si="32"/>
        <v>0</v>
      </c>
      <c r="B756" s="1087" t="s">
        <v>244</v>
      </c>
      <c r="C756" s="2842"/>
      <c r="D756" s="1099"/>
      <c r="E756" s="1012">
        <f>VLOOKUP($B756,DG!A:D,DG!$B$2,)</f>
        <v>0</v>
      </c>
      <c r="F756" s="1013" t="str">
        <f>VLOOKUP($B756,DG!A:D,DG!$C$2,)</f>
        <v>Boulon 16x150+ 2 long đền vuông D18-50x50x3/Zn</v>
      </c>
      <c r="G756" s="1012" t="str">
        <f>VLOOKUP($B756,DG!A:D,DG!$D$2,)</f>
        <v>bộ</v>
      </c>
      <c r="H756" s="2745">
        <f>4*H751</f>
        <v>0</v>
      </c>
      <c r="I756" s="1192">
        <f t="shared" si="33"/>
        <v>0</v>
      </c>
      <c r="J756" s="1041"/>
      <c r="K756" s="1041"/>
      <c r="L756" s="1015"/>
      <c r="M756" s="934" t="s">
        <v>1261</v>
      </c>
    </row>
    <row r="757" spans="1:13" s="1016" customFormat="1" ht="25.2" hidden="1" customHeight="1">
      <c r="A757" s="1086">
        <f t="shared" si="32"/>
        <v>0</v>
      </c>
      <c r="B757" s="1230" t="s">
        <v>2271</v>
      </c>
      <c r="C757" s="2851"/>
      <c r="D757" s="1099"/>
      <c r="E757" s="1012">
        <f>VLOOKUP($B757,DG!A:D,DG!$B$2,)</f>
        <v>0</v>
      </c>
      <c r="F757" s="1013" t="str">
        <f>VLOOKUP($B757,DG!A:D,DG!$C$2,)</f>
        <v>Bass LL bắt FCO, LA</v>
      </c>
      <c r="G757" s="1012" t="str">
        <f>VLOOKUP($B757,DG!A:D,DG!$D$2,)</f>
        <v>bộ</v>
      </c>
      <c r="H757" s="2745">
        <f>2*H751</f>
        <v>0</v>
      </c>
      <c r="I757" s="1192">
        <f t="shared" si="33"/>
        <v>0</v>
      </c>
      <c r="J757" s="1041"/>
      <c r="K757" s="1041"/>
      <c r="L757" s="1015"/>
      <c r="M757" s="934" t="s">
        <v>1261</v>
      </c>
    </row>
    <row r="758" spans="1:13" s="1016" customFormat="1" ht="25.2" hidden="1" customHeight="1">
      <c r="A758" s="1086">
        <f t="shared" si="32"/>
        <v>0</v>
      </c>
      <c r="B758" s="1226" t="s">
        <v>516</v>
      </c>
      <c r="C758" s="2841"/>
      <c r="D758" s="1103"/>
      <c r="E758" s="1029" t="str">
        <f>VLOOKUP($B758,DG!A:D,DG!$B$2,)</f>
        <v>05.6102</v>
      </c>
      <c r="F758" s="1095" t="str">
        <f>VLOOKUP($B758,DG!A:D,DG!$C$2,)</f>
        <v>Lắp xà đỡ ≤ 50kg</v>
      </c>
      <c r="G758" s="1029" t="str">
        <f>VLOOKUP($B758,DG!A:D,DG!$D$2,)</f>
        <v>bộ</v>
      </c>
      <c r="H758" s="2745">
        <f>H751</f>
        <v>0</v>
      </c>
      <c r="I758" s="1192">
        <f t="shared" si="33"/>
        <v>0</v>
      </c>
      <c r="J758" s="1104"/>
      <c r="K758" s="1104"/>
      <c r="L758" s="1031"/>
      <c r="M758" s="934" t="s">
        <v>1261</v>
      </c>
    </row>
    <row r="759" spans="1:13" s="1016" customFormat="1" ht="25.2" hidden="1" customHeight="1">
      <c r="A759" s="1086">
        <f t="shared" si="32"/>
        <v>0</v>
      </c>
      <c r="B759" s="1226"/>
      <c r="C759" s="2841"/>
      <c r="D759" s="1096">
        <f>IF(H759&gt;0,D751+1,D751)</f>
        <v>0</v>
      </c>
      <c r="E759" s="1097"/>
      <c r="F759" s="1098" t="s">
        <v>4377</v>
      </c>
      <c r="G759" s="1007" t="s">
        <v>2385</v>
      </c>
      <c r="H759" s="2750"/>
      <c r="I759" s="1193">
        <f t="shared" si="33"/>
        <v>0</v>
      </c>
      <c r="J759" s="1007"/>
      <c r="K759" s="1007"/>
      <c r="L759" s="1007"/>
      <c r="M759" s="934" t="s">
        <v>1261</v>
      </c>
    </row>
    <row r="760" spans="1:13" s="1016" customFormat="1" ht="25.2" hidden="1" customHeight="1">
      <c r="A760" s="1086">
        <f t="shared" si="32"/>
        <v>0</v>
      </c>
      <c r="B760" s="1226"/>
      <c r="C760" s="2841"/>
      <c r="D760" s="1161"/>
      <c r="E760" s="1168"/>
      <c r="F760" s="1266" t="s">
        <v>2279</v>
      </c>
      <c r="G760" s="1163"/>
      <c r="H760" s="2745"/>
      <c r="I760" s="1192">
        <f t="shared" si="33"/>
        <v>0</v>
      </c>
      <c r="J760" s="1164"/>
      <c r="K760" s="1164"/>
      <c r="L760" s="1129"/>
      <c r="M760" s="934" t="s">
        <v>1261</v>
      </c>
    </row>
    <row r="761" spans="1:13" s="1016" customFormat="1" ht="25.2" hidden="1" customHeight="1">
      <c r="A761" s="1086">
        <f t="shared" si="32"/>
        <v>0</v>
      </c>
      <c r="B761" s="1226" t="s">
        <v>1033</v>
      </c>
      <c r="C761" s="2841"/>
      <c r="D761" s="1099"/>
      <c r="E761" s="1012"/>
      <c r="F761" s="1013" t="str">
        <f>VLOOKUP($B761,DG!A:D,DG!$C$2,)</f>
        <v>Cáp đồng trần M25mm2</v>
      </c>
      <c r="G761" s="1012" t="str">
        <f>VLOOKUP($B761,DG!A:D,DG!$D$2,)</f>
        <v>kg</v>
      </c>
      <c r="H761" s="2748">
        <f>H759*0.224*30</f>
        <v>0</v>
      </c>
      <c r="I761" s="1192">
        <f t="shared" si="33"/>
        <v>0</v>
      </c>
      <c r="J761" s="1041"/>
      <c r="K761" s="1041"/>
      <c r="L761" s="1015"/>
      <c r="M761" s="934" t="s">
        <v>1261</v>
      </c>
    </row>
    <row r="762" spans="1:13" s="1016" customFormat="1" ht="25.2" hidden="1" customHeight="1">
      <c r="A762" s="1086">
        <f t="shared" si="32"/>
        <v>0</v>
      </c>
      <c r="B762" s="1087" t="s">
        <v>1508</v>
      </c>
      <c r="C762" s="2842"/>
      <c r="D762" s="1099"/>
      <c r="E762" s="1012">
        <f>VLOOKUP($B762,DG!A:D,DG!$B$2,)</f>
        <v>0</v>
      </c>
      <c r="F762" s="1013" t="str">
        <f>VLOOKUP($B762,DG!A:D,DG!$C$2,)</f>
        <v>Cọc tiếp đất Þ 16- 2,4m + kẹp cọc mạ đồng</v>
      </c>
      <c r="G762" s="1012" t="str">
        <f>VLOOKUP($B762,DG!A:D,DG!$D$2,)</f>
        <v>bộ</v>
      </c>
      <c r="H762" s="2748"/>
      <c r="I762" s="1192">
        <f t="shared" si="33"/>
        <v>0</v>
      </c>
      <c r="J762" s="1041"/>
      <c r="K762" s="1041"/>
      <c r="L762" s="1015"/>
      <c r="M762" s="934" t="s">
        <v>1261</v>
      </c>
    </row>
    <row r="763" spans="1:13" s="1016" customFormat="1" ht="25.2" hidden="1" customHeight="1">
      <c r="A763" s="1086">
        <f t="shared" si="32"/>
        <v>0</v>
      </c>
      <c r="B763" s="1087" t="s">
        <v>1490</v>
      </c>
      <c r="C763" s="2842"/>
      <c r="D763" s="1043"/>
      <c r="E763" s="1012" t="str">
        <f>VLOOKUP($B763,DG!A:D,DG!$B$2,)</f>
        <v>07.2403</v>
      </c>
      <c r="F763" s="1013" t="str">
        <f>VLOOKUP($B763,DG!A:D,DG!$C$2,)</f>
        <v xml:space="preserve">Ống PVC D21x1,6mm </v>
      </c>
      <c r="G763" s="1012" t="str">
        <f>VLOOKUP($B763,DG!A:D,DG!$D$2,)</f>
        <v>m</v>
      </c>
      <c r="H763" s="2745">
        <f>6*H759</f>
        <v>0</v>
      </c>
      <c r="I763" s="1192">
        <f t="shared" si="33"/>
        <v>0</v>
      </c>
      <c r="J763" s="1041"/>
      <c r="K763" s="1041"/>
      <c r="L763" s="1015"/>
      <c r="M763" s="934" t="s">
        <v>1261</v>
      </c>
    </row>
    <row r="764" spans="1:13" s="1016" customFormat="1" ht="25.2" hidden="1" customHeight="1">
      <c r="A764" s="1086">
        <f t="shared" si="32"/>
        <v>0</v>
      </c>
      <c r="B764" s="1231" t="s">
        <v>1579</v>
      </c>
      <c r="C764" s="2844"/>
      <c r="D764" s="1099"/>
      <c r="E764" s="1012">
        <f>VLOOKUP($B764,DG!A:D,DG!$B$2,)</f>
        <v>0</v>
      </c>
      <c r="F764" s="1013" t="str">
        <f>VLOOKUP($B764,DG!A:D,DG!$C$2,)</f>
        <v>Kẹp ép WR cỡ dây 50mm2</v>
      </c>
      <c r="G764" s="1012" t="str">
        <f>VLOOKUP($B764,DG!A:D,DG!$D$2,)</f>
        <v>cái</v>
      </c>
      <c r="H764" s="2745">
        <f>H759*2</f>
        <v>0</v>
      </c>
      <c r="I764" s="1192">
        <f t="shared" si="33"/>
        <v>0</v>
      </c>
      <c r="J764" s="1041"/>
      <c r="K764" s="1041"/>
      <c r="L764" s="1015"/>
      <c r="M764" s="934" t="s">
        <v>1261</v>
      </c>
    </row>
    <row r="765" spans="1:13" s="1016" customFormat="1" ht="25.2" hidden="1" customHeight="1">
      <c r="A765" s="1086">
        <f t="shared" si="32"/>
        <v>0</v>
      </c>
      <c r="B765" s="1232" t="s">
        <v>1062</v>
      </c>
      <c r="C765" s="2852"/>
      <c r="D765" s="1099"/>
      <c r="E765" s="1012" t="str">
        <f>VLOOKUP($B765,DG!A:D,DG!$B$2,)</f>
        <v>04.3107</v>
      </c>
      <c r="F765" s="1013" t="str">
        <f>VLOOKUP($B765,DG!A:D,DG!$C$2,)</f>
        <v>Ốc siết cáp cỡ 25mm2</v>
      </c>
      <c r="G765" s="1012" t="str">
        <f>VLOOKUP($B765,DG!A:D,DG!$D$2,)</f>
        <v>cái</v>
      </c>
      <c r="H765" s="2745">
        <f>2*H759</f>
        <v>0</v>
      </c>
      <c r="I765" s="1192">
        <f t="shared" si="33"/>
        <v>0</v>
      </c>
      <c r="J765" s="1041"/>
      <c r="K765" s="1041"/>
      <c r="L765" s="1015"/>
      <c r="M765" s="934" t="s">
        <v>1261</v>
      </c>
    </row>
    <row r="766" spans="1:13" s="1016" customFormat="1" ht="25.2" hidden="1" customHeight="1">
      <c r="A766" s="1086">
        <f t="shared" si="32"/>
        <v>0</v>
      </c>
      <c r="B766" s="1087" t="s">
        <v>525</v>
      </c>
      <c r="C766" s="2842"/>
      <c r="D766" s="1099"/>
      <c r="E766" s="1012" t="str">
        <f>VLOOKUP($B766,DG!A:D,DG!$B$2,)</f>
        <v>06.3231</v>
      </c>
      <c r="F766" s="1013" t="str">
        <f>VLOOKUP($B766,DG!A:D,DG!$C$2,)</f>
        <v>Cổ dê kẹp ống PVC  21</v>
      </c>
      <c r="G766" s="1012" t="str">
        <f>VLOOKUP($B766,DG!A:D,DG!$D$2,)</f>
        <v>bộ</v>
      </c>
      <c r="H766" s="2745">
        <f>3*H759*0</f>
        <v>0</v>
      </c>
      <c r="I766" s="1192">
        <f t="shared" si="33"/>
        <v>0</v>
      </c>
      <c r="J766" s="1041"/>
      <c r="K766" s="1041"/>
      <c r="L766" s="1015"/>
      <c r="M766" s="934" t="s">
        <v>1261</v>
      </c>
    </row>
    <row r="767" spans="1:13" s="1016" customFormat="1" ht="25.2" hidden="1" customHeight="1">
      <c r="A767" s="1086">
        <f t="shared" si="32"/>
        <v>0</v>
      </c>
      <c r="B767" s="1231" t="s">
        <v>2183</v>
      </c>
      <c r="C767" s="2844"/>
      <c r="D767" s="1043"/>
      <c r="E767" s="1012" t="str">
        <f>VLOOKUP($B767,DG!A:D,DG!$B$2,)</f>
        <v>04.7002</v>
      </c>
      <c r="F767" s="1095" t="str">
        <f>VLOOKUP($B767,DG!A:D,DG!$C$2,)</f>
        <v>Kéo dây tiếp địa trong TBA</v>
      </c>
      <c r="G767" s="1012" t="str">
        <f>VLOOKUP($B767,DG!A:D,DG!$D$2,)</f>
        <v>kg</v>
      </c>
      <c r="H767" s="2748">
        <f>H759*$I$3</f>
        <v>0</v>
      </c>
      <c r="I767" s="1192">
        <f t="shared" si="33"/>
        <v>0</v>
      </c>
      <c r="J767" s="1041"/>
      <c r="K767" s="1041"/>
      <c r="L767" s="1015"/>
      <c r="M767" s="934" t="s">
        <v>1261</v>
      </c>
    </row>
    <row r="768" spans="1:13" s="1016" customFormat="1" ht="25.2" hidden="1" customHeight="1">
      <c r="A768" s="1086">
        <f t="shared" si="32"/>
        <v>0</v>
      </c>
      <c r="B768" s="1087" t="s">
        <v>902</v>
      </c>
      <c r="C768" s="2842"/>
      <c r="D768" s="1043"/>
      <c r="E768" s="1012" t="str">
        <f>VLOOKUP($B768,DG!A:D,DG!$B$2,)</f>
        <v>04.7001</v>
      </c>
      <c r="F768" s="1095" t="str">
        <f>VLOOKUP($B768,DG!A:D,DG!$C$2,)</f>
        <v>Đóng cọc tiếp địa trong TBA</v>
      </c>
      <c r="G768" s="1012" t="str">
        <f>VLOOKUP($B768,DG!A:D,DG!$D$2,)</f>
        <v>cọc</v>
      </c>
      <c r="H768" s="2748"/>
      <c r="I768" s="1192">
        <f t="shared" si="33"/>
        <v>0</v>
      </c>
      <c r="J768" s="1041"/>
      <c r="K768" s="1041"/>
      <c r="L768" s="1015"/>
      <c r="M768" s="934" t="s">
        <v>1261</v>
      </c>
    </row>
    <row r="769" spans="1:16" s="1016" customFormat="1" ht="25.2" hidden="1" customHeight="1">
      <c r="A769" s="1086">
        <f t="shared" si="32"/>
        <v>0</v>
      </c>
      <c r="B769" s="1087" t="s">
        <v>1585</v>
      </c>
      <c r="C769" s="2842"/>
      <c r="D769" s="1043"/>
      <c r="E769" s="1012">
        <f>VLOOKUP($B769,DG!A:D,DG!$B$2,)</f>
        <v>0</v>
      </c>
      <c r="F769" s="1013" t="str">
        <f>VLOOKUP($B769,DG!A:D,DG!$C$2,)</f>
        <v>Giếng tiếp địa khoan đất</v>
      </c>
      <c r="G769" s="1012" t="str">
        <f>VLOOKUP($B769,DG!A:D,DG!$D$2,)</f>
        <v>Cái</v>
      </c>
      <c r="H769" s="2748"/>
      <c r="I769" s="1192">
        <f t="shared" si="33"/>
        <v>0</v>
      </c>
      <c r="J769" s="1041"/>
      <c r="K769" s="1041"/>
      <c r="L769" s="1015"/>
      <c r="M769" s="934" t="s">
        <v>1261</v>
      </c>
    </row>
    <row r="770" spans="1:16" s="1016" customFormat="1" ht="25.2" hidden="1" customHeight="1">
      <c r="A770" s="1086">
        <f t="shared" si="32"/>
        <v>0</v>
      </c>
      <c r="B770" s="1231" t="s">
        <v>1055</v>
      </c>
      <c r="C770" s="2844"/>
      <c r="D770" s="1043"/>
      <c r="E770" s="1012" t="str">
        <f>VLOOKUP($B770,DG!A:D,DG!$B$2,)</f>
        <v>03.3123</v>
      </c>
      <c r="F770" s="1095" t="str">
        <f>VLOOKUP($B770,DG!A:D,DG!$C$2,)</f>
        <v>Đào rãnh tiếp địa đất cấp 3</v>
      </c>
      <c r="G770" s="1012" t="str">
        <f>VLOOKUP($B770,DG!A:D,DG!$D$2,)</f>
        <v>m3</v>
      </c>
      <c r="H770" s="1100"/>
      <c r="I770" s="1192">
        <f t="shared" si="33"/>
        <v>0</v>
      </c>
      <c r="J770" s="1041"/>
      <c r="K770" s="1041"/>
      <c r="L770" s="1015"/>
      <c r="M770" s="934" t="s">
        <v>1261</v>
      </c>
    </row>
    <row r="771" spans="1:16" s="1016" customFormat="1" ht="25.2" hidden="1" customHeight="1">
      <c r="A771" s="1086">
        <f t="shared" si="32"/>
        <v>0</v>
      </c>
      <c r="B771" s="1087" t="s">
        <v>1056</v>
      </c>
      <c r="C771" s="2842"/>
      <c r="D771" s="1105"/>
      <c r="E771" s="1029" t="str">
        <f>VLOOKUP($B771,DG!A:D,DG!$B$2,)</f>
        <v>03.4123</v>
      </c>
      <c r="F771" s="1095" t="str">
        <f>VLOOKUP($B771,DG!A:D,DG!$C$2,)</f>
        <v>Đắp đất rãnh tiếp độ chặt k=0,85</v>
      </c>
      <c r="G771" s="1029" t="str">
        <f>VLOOKUP($B771,DG!A:D,DG!$D$2,)</f>
        <v>m3</v>
      </c>
      <c r="H771" s="1715"/>
      <c r="I771" s="1192">
        <f t="shared" si="33"/>
        <v>0</v>
      </c>
      <c r="J771" s="1104"/>
      <c r="K771" s="1104"/>
      <c r="L771" s="1031"/>
      <c r="M771" s="934" t="s">
        <v>1261</v>
      </c>
    </row>
    <row r="772" spans="1:16" s="1016" customFormat="1" ht="25.2" hidden="1" customHeight="1">
      <c r="A772" s="1086">
        <f t="shared" si="32"/>
        <v>0</v>
      </c>
      <c r="B772" s="1226"/>
      <c r="C772" s="2841"/>
      <c r="D772" s="1004">
        <f>IF(H772&gt;0,D759+1,D759)</f>
        <v>0</v>
      </c>
      <c r="E772" s="1005"/>
      <c r="F772" s="1006" t="s">
        <v>3700</v>
      </c>
      <c r="G772" s="1004" t="s">
        <v>2385</v>
      </c>
      <c r="H772" s="1193"/>
      <c r="I772" s="1193">
        <f t="shared" si="33"/>
        <v>0</v>
      </c>
      <c r="J772" s="1007"/>
      <c r="K772" s="1007"/>
      <c r="L772" s="1007"/>
      <c r="M772" s="934" t="s">
        <v>1261</v>
      </c>
    </row>
    <row r="773" spans="1:16" s="1016" customFormat="1" ht="25.2" hidden="1" customHeight="1">
      <c r="A773" s="1086">
        <f t="shared" si="32"/>
        <v>0</v>
      </c>
      <c r="B773" s="1226"/>
      <c r="C773" s="2841"/>
      <c r="D773" s="1161"/>
      <c r="E773" s="1168"/>
      <c r="F773" s="1266" t="s">
        <v>2279</v>
      </c>
      <c r="G773" s="1163"/>
      <c r="H773" s="2745"/>
      <c r="I773" s="1192">
        <f t="shared" si="33"/>
        <v>0</v>
      </c>
      <c r="J773" s="1164"/>
      <c r="K773" s="1164"/>
      <c r="L773" s="1129"/>
      <c r="M773" s="934" t="s">
        <v>1261</v>
      </c>
    </row>
    <row r="774" spans="1:16" s="1016" customFormat="1" ht="25.2" hidden="1" customHeight="1">
      <c r="A774" s="1086">
        <f t="shared" si="32"/>
        <v>0</v>
      </c>
      <c r="B774" s="1233" t="s">
        <v>617</v>
      </c>
      <c r="C774" s="2843"/>
      <c r="D774" s="1099"/>
      <c r="E774" s="1012" t="str">
        <f>VLOOKUP($B774,DG!A:D,DG!$B$2,)</f>
        <v>05.1102</v>
      </c>
      <c r="F774" s="1013" t="str">
        <f>VLOOKUP($B774,DG!A:D,DG!$C$2,)</f>
        <v>Vỏ tủ + khóa tủ</v>
      </c>
      <c r="G774" s="1012" t="str">
        <f>VLOOKUP($B774,DG!A:D,DG!$D$2,)</f>
        <v>cái</v>
      </c>
      <c r="H774" s="2745">
        <f>H772*0</f>
        <v>0</v>
      </c>
      <c r="I774" s="1192">
        <f t="shared" si="33"/>
        <v>0</v>
      </c>
      <c r="J774" s="1041"/>
      <c r="K774" s="1041"/>
      <c r="L774" s="1015"/>
      <c r="M774" s="934" t="s">
        <v>1261</v>
      </c>
    </row>
    <row r="775" spans="1:16" s="1016" customFormat="1" ht="25.2" hidden="1" customHeight="1">
      <c r="A775" s="1086">
        <f t="shared" si="32"/>
        <v>0</v>
      </c>
      <c r="B775" s="1226" t="s">
        <v>588</v>
      </c>
      <c r="C775" s="2841"/>
      <c r="D775" s="1099"/>
      <c r="E775" s="1100"/>
      <c r="F775" s="1013" t="str">
        <f>VLOOKUP($B775,DG!A:D,DG!$C$2,)</f>
        <v>Cổ dê bắt tủ</v>
      </c>
      <c r="G775" s="1012" t="str">
        <f>VLOOKUP($B775,DG!A:D,DG!$D$2,)</f>
        <v>bộ</v>
      </c>
      <c r="H775" s="2745">
        <f>2*H772*0</f>
        <v>0</v>
      </c>
      <c r="I775" s="1192">
        <f t="shared" si="33"/>
        <v>0</v>
      </c>
      <c r="J775" s="1041"/>
      <c r="K775" s="1041"/>
      <c r="L775" s="1015"/>
      <c r="M775" s="934" t="s">
        <v>1261</v>
      </c>
    </row>
    <row r="776" spans="1:16" s="1016" customFormat="1" ht="25.2" hidden="1" customHeight="1">
      <c r="A776" s="1086">
        <f t="shared" si="32"/>
        <v>0</v>
      </c>
      <c r="B776" s="1226" t="s">
        <v>2019</v>
      </c>
      <c r="C776" s="2841"/>
      <c r="D776" s="1099"/>
      <c r="E776" s="1100"/>
      <c r="F776" s="1013" t="str">
        <f>VLOOKUP($B776,DG!A:D,DG!$C$2,)</f>
        <v>Boulon 12x40+ 2 long đền vuông D14-50x50x3/Zn</v>
      </c>
      <c r="G776" s="1012" t="str">
        <f>VLOOKUP($B776,DG!A:D,DG!$D$2,)</f>
        <v>bộ</v>
      </c>
      <c r="H776" s="2745">
        <f>H772*4</f>
        <v>0</v>
      </c>
      <c r="I776" s="1192">
        <f t="shared" si="33"/>
        <v>0</v>
      </c>
      <c r="J776" s="1041"/>
      <c r="K776" s="1041"/>
      <c r="L776" s="1015"/>
      <c r="M776" s="934" t="s">
        <v>1261</v>
      </c>
    </row>
    <row r="777" spans="1:16" s="1016" customFormat="1" ht="25.2" hidden="1" customHeight="1">
      <c r="A777" s="1086">
        <f t="shared" si="32"/>
        <v>0</v>
      </c>
      <c r="B777" s="1226" t="s">
        <v>880</v>
      </c>
      <c r="C777" s="2841"/>
      <c r="D777" s="1099"/>
      <c r="E777" s="1100"/>
      <c r="F777" s="1013" t="str">
        <f>VLOOKUP($B777,DG!A:D,DG!$C$2,)</f>
        <v xml:space="preserve">Bakelit 550x450 dầy 10mm </v>
      </c>
      <c r="G777" s="1012" t="str">
        <f>VLOOKUP($B777,DG!A:D,DG!$D$2,)</f>
        <v>cái</v>
      </c>
      <c r="H777" s="1713"/>
      <c r="I777" s="1192">
        <f t="shared" si="33"/>
        <v>0</v>
      </c>
      <c r="J777" s="1041"/>
      <c r="K777" s="1041"/>
      <c r="L777" s="1015"/>
      <c r="M777" s="934" t="s">
        <v>1261</v>
      </c>
    </row>
    <row r="778" spans="1:16" s="1016" customFormat="1" ht="25.2" hidden="1" customHeight="1">
      <c r="A778" s="1086">
        <f t="shared" si="32"/>
        <v>0</v>
      </c>
      <c r="B778" s="1226"/>
      <c r="C778" s="2841"/>
      <c r="D778" s="1017">
        <f>IF(H778&gt;0,D772+1,D772)</f>
        <v>0</v>
      </c>
      <c r="E778" s="1018"/>
      <c r="F778" s="1019" t="s">
        <v>3707</v>
      </c>
      <c r="G778" s="1017" t="s">
        <v>2385</v>
      </c>
      <c r="H778" s="1722"/>
      <c r="I778" s="1193">
        <f t="shared" si="33"/>
        <v>0</v>
      </c>
      <c r="J778" s="1169"/>
      <c r="K778" s="1169"/>
      <c r="L778" s="1169"/>
      <c r="M778" s="934" t="s">
        <v>1261</v>
      </c>
    </row>
    <row r="779" spans="1:16" s="1016" customFormat="1" ht="25.2" hidden="1" customHeight="1">
      <c r="A779" s="1086">
        <f t="shared" si="32"/>
        <v>0</v>
      </c>
      <c r="B779" s="1226"/>
      <c r="C779" s="2841"/>
      <c r="D779" s="1011"/>
      <c r="E779" s="1021"/>
      <c r="F779" s="1267" t="s">
        <v>2279</v>
      </c>
      <c r="G779" s="1023"/>
      <c r="H779" s="1713"/>
      <c r="I779" s="1192">
        <f t="shared" si="33"/>
        <v>0</v>
      </c>
      <c r="J779" s="1041"/>
      <c r="K779" s="1041"/>
      <c r="L779" s="1015"/>
      <c r="M779" s="934" t="s">
        <v>1261</v>
      </c>
    </row>
    <row r="780" spans="1:16" s="1016" customFormat="1" ht="25.2" hidden="1" customHeight="1">
      <c r="A780" s="1086">
        <f t="shared" si="32"/>
        <v>0</v>
      </c>
      <c r="B780" s="1226" t="s">
        <v>653</v>
      </c>
      <c r="C780" s="2841"/>
      <c r="D780" s="1023"/>
      <c r="E780" s="1024">
        <f>VLOOKUP($B780,DG!A:D,DG!$B$2,)</f>
        <v>0</v>
      </c>
      <c r="F780" s="1025" t="str">
        <f>VLOOKUP($B780,DG!A:D,DG!$C$2,)</f>
        <v>Ximăng (PC40)</v>
      </c>
      <c r="G780" s="1024" t="str">
        <f>VLOOKUP($B780,DG!A:D,DG!$D$2,)</f>
        <v>kg</v>
      </c>
      <c r="H780" s="1713"/>
      <c r="I780" s="1192">
        <f t="shared" si="33"/>
        <v>0</v>
      </c>
      <c r="J780" s="1041"/>
      <c r="K780" s="1041"/>
      <c r="L780" s="1015"/>
      <c r="M780" s="934" t="s">
        <v>1261</v>
      </c>
    </row>
    <row r="781" spans="1:16" s="1016" customFormat="1" ht="25.2" hidden="1" customHeight="1">
      <c r="A781" s="1086">
        <f t="shared" si="32"/>
        <v>0</v>
      </c>
      <c r="B781" s="1226" t="s">
        <v>752</v>
      </c>
      <c r="C781" s="2841"/>
      <c r="D781" s="1011"/>
      <c r="E781" s="1024">
        <f>VLOOKUP($B781,DG!A:D,DG!$B$2,)</f>
        <v>0</v>
      </c>
      <c r="F781" s="1025" t="str">
        <f>VLOOKUP($B781,DG!A:D,DG!$C$2,)</f>
        <v>Cát vàng</v>
      </c>
      <c r="G781" s="1024" t="str">
        <f>VLOOKUP($B781,DG!A:D,DG!$D$2,)</f>
        <v>m3</v>
      </c>
      <c r="H781" s="1723"/>
      <c r="I781" s="1192">
        <f t="shared" si="33"/>
        <v>0</v>
      </c>
      <c r="J781" s="1041"/>
      <c r="K781" s="1041"/>
      <c r="L781" s="1015"/>
      <c r="M781" s="934" t="s">
        <v>1261</v>
      </c>
    </row>
    <row r="782" spans="1:16" s="1016" customFormat="1" ht="25.2" hidden="1" customHeight="1">
      <c r="A782" s="1086">
        <f t="shared" si="32"/>
        <v>0</v>
      </c>
      <c r="B782" s="1226" t="s">
        <v>216</v>
      </c>
      <c r="C782" s="2841"/>
      <c r="D782" s="1011"/>
      <c r="E782" s="1024">
        <f>VLOOKUP($B782,DG!A:D,DG!$B$2,)</f>
        <v>0</v>
      </c>
      <c r="F782" s="1025" t="str">
        <f>VLOOKUP($B782,DG!A:D,DG!$C$2,)</f>
        <v>Đá 1x2</v>
      </c>
      <c r="G782" s="1024" t="str">
        <f>VLOOKUP($B782,DG!A:D,DG!$D$2,)</f>
        <v>m3</v>
      </c>
      <c r="H782" s="1723"/>
      <c r="I782" s="1192">
        <f t="shared" si="33"/>
        <v>0</v>
      </c>
      <c r="J782" s="1041"/>
      <c r="K782" s="1041"/>
      <c r="L782" s="1015"/>
      <c r="M782" s="934" t="s">
        <v>1261</v>
      </c>
    </row>
    <row r="783" spans="1:16" s="1016" customFormat="1" ht="25.2" hidden="1" customHeight="1">
      <c r="A783" s="1086">
        <f t="shared" si="32"/>
        <v>0</v>
      </c>
      <c r="B783" s="1226" t="s">
        <v>654</v>
      </c>
      <c r="C783" s="2841"/>
      <c r="D783" s="1023"/>
      <c r="E783" s="1024" t="str">
        <f>VLOOKUP($B783,DG!A:D,DG!$B$2,)</f>
        <v>04.1203c</v>
      </c>
      <c r="F783" s="1025" t="str">
        <f>VLOOKUP($B783,DG!A:D,DG!$C$2,)</f>
        <v>Đổ bê tông móng trụ &lt;=250cm-M200 đá 1x2</v>
      </c>
      <c r="G783" s="1024" t="str">
        <f>VLOOKUP($B783,DG!A:D,DG!$D$2,)</f>
        <v>m3</v>
      </c>
      <c r="H783" s="1713"/>
      <c r="I783" s="1192">
        <f t="shared" si="33"/>
        <v>0</v>
      </c>
      <c r="J783" s="1041"/>
      <c r="K783" s="1041"/>
      <c r="L783" s="1015"/>
      <c r="M783" s="934" t="s">
        <v>1261</v>
      </c>
      <c r="N783" s="1026">
        <f>1.025*0.45</f>
        <v>0.46124999999999999</v>
      </c>
      <c r="O783" s="1026">
        <f>1.025*0.866</f>
        <v>0.88764999999999994</v>
      </c>
      <c r="P783" s="1170"/>
    </row>
    <row r="784" spans="1:16" s="1016" customFormat="1" ht="25.2" hidden="1" customHeight="1">
      <c r="A784" s="1086">
        <f t="shared" si="32"/>
        <v>0</v>
      </c>
      <c r="B784" s="1226"/>
      <c r="C784" s="2841"/>
      <c r="D784" s="1017">
        <f>IF(H784&gt;0,D778+1,D778)</f>
        <v>0</v>
      </c>
      <c r="E784" s="1018"/>
      <c r="F784" s="1027" t="s">
        <v>3708</v>
      </c>
      <c r="G784" s="1017" t="s">
        <v>2385</v>
      </c>
      <c r="H784" s="1722"/>
      <c r="I784" s="1193">
        <f t="shared" si="33"/>
        <v>0</v>
      </c>
      <c r="J784" s="1169"/>
      <c r="K784" s="1169"/>
      <c r="L784" s="1169"/>
      <c r="M784" s="934" t="s">
        <v>1261</v>
      </c>
    </row>
    <row r="785" spans="1:13" s="1016" customFormat="1" ht="25.2" hidden="1" customHeight="1">
      <c r="A785" s="1086">
        <f t="shared" si="32"/>
        <v>0</v>
      </c>
      <c r="B785" s="1226"/>
      <c r="C785" s="2841"/>
      <c r="D785" s="1011"/>
      <c r="E785" s="1021"/>
      <c r="F785" s="1268" t="s">
        <v>2279</v>
      </c>
      <c r="G785" s="1011"/>
      <c r="H785" s="1723"/>
      <c r="I785" s="1192">
        <f t="shared" si="33"/>
        <v>0</v>
      </c>
      <c r="J785" s="1041"/>
      <c r="K785" s="1041"/>
      <c r="L785" s="1015"/>
      <c r="M785" s="934" t="s">
        <v>1261</v>
      </c>
    </row>
    <row r="786" spans="1:13" s="1016" customFormat="1" ht="25.2" hidden="1" customHeight="1">
      <c r="A786" s="1086">
        <f t="shared" si="32"/>
        <v>0</v>
      </c>
      <c r="B786" s="1226" t="s">
        <v>1489</v>
      </c>
      <c r="C786" s="2841"/>
      <c r="D786" s="1023"/>
      <c r="E786" s="1012" t="str">
        <f>VLOOKUP($B786,DG!A:D,DG!$B$2,)</f>
        <v>04.8003</v>
      </c>
      <c r="F786" s="1013" t="str">
        <f>VLOOKUP($B786,DG!A:D,DG!$C$2,)</f>
        <v xml:space="preserve">Ống PVC D90x3,8mm </v>
      </c>
      <c r="G786" s="1012" t="str">
        <f>VLOOKUP($B786,DG!A:D,DG!$D$2,)</f>
        <v>m</v>
      </c>
      <c r="H786" s="1713"/>
      <c r="I786" s="1192">
        <f t="shared" si="33"/>
        <v>0</v>
      </c>
      <c r="J786" s="1041"/>
      <c r="K786" s="1041"/>
      <c r="L786" s="1015"/>
      <c r="M786" s="934" t="s">
        <v>1261</v>
      </c>
    </row>
    <row r="787" spans="1:13" s="1016" customFormat="1" ht="25.2" hidden="1" customHeight="1">
      <c r="A787" s="1086">
        <f t="shared" si="32"/>
        <v>0</v>
      </c>
      <c r="B787" s="1226" t="s">
        <v>86</v>
      </c>
      <c r="C787" s="2841"/>
      <c r="D787" s="1028"/>
      <c r="E787" s="1029">
        <f>VLOOKUP($B787,DG!A:D,DG!$B$2,)</f>
        <v>0</v>
      </c>
      <c r="F787" s="1030" t="str">
        <f>VLOOKUP($B787,DG!A:D,DG!$C$2,)</f>
        <v>Co  90 độ PVC 90</v>
      </c>
      <c r="G787" s="1029" t="str">
        <f>VLOOKUP($B787,DG!A:D,DG!$D$2,)</f>
        <v>cái</v>
      </c>
      <c r="H787" s="1724"/>
      <c r="I787" s="1192">
        <f t="shared" si="33"/>
        <v>0</v>
      </c>
      <c r="J787" s="1104"/>
      <c r="K787" s="1104"/>
      <c r="L787" s="1031"/>
      <c r="M787" s="934" t="s">
        <v>1261</v>
      </c>
    </row>
    <row r="788" spans="1:13" s="1016" customFormat="1" ht="25.2" hidden="1" customHeight="1">
      <c r="A788" s="1086">
        <f t="shared" si="32"/>
        <v>0</v>
      </c>
      <c r="B788" s="1226"/>
      <c r="C788" s="2841"/>
      <c r="D788" s="1096">
        <f>IF(H788&gt;0,D784+1,D784)</f>
        <v>0</v>
      </c>
      <c r="E788" s="1097"/>
      <c r="F788" s="1098" t="s">
        <v>3701</v>
      </c>
      <c r="G788" s="1007" t="s">
        <v>2385</v>
      </c>
      <c r="H788" s="1193"/>
      <c r="I788" s="1193">
        <f t="shared" si="33"/>
        <v>0</v>
      </c>
      <c r="J788" s="1007"/>
      <c r="K788" s="1007"/>
      <c r="L788" s="1007"/>
      <c r="M788" s="934" t="s">
        <v>1261</v>
      </c>
    </row>
    <row r="789" spans="1:13" s="1016" customFormat="1" ht="25.2" hidden="1" customHeight="1">
      <c r="A789" s="1086">
        <f t="shared" si="32"/>
        <v>0</v>
      </c>
      <c r="B789" s="1226"/>
      <c r="C789" s="2841"/>
      <c r="D789" s="1161"/>
      <c r="E789" s="1168"/>
      <c r="F789" s="1266" t="s">
        <v>2279</v>
      </c>
      <c r="G789" s="1163"/>
      <c r="H789" s="1720"/>
      <c r="I789" s="1192">
        <f t="shared" si="33"/>
        <v>0</v>
      </c>
      <c r="J789" s="1164"/>
      <c r="K789" s="1164"/>
      <c r="L789" s="1129"/>
      <c r="M789" s="934" t="s">
        <v>1261</v>
      </c>
    </row>
    <row r="790" spans="1:13" s="1016" customFormat="1" ht="25.2" hidden="1" customHeight="1">
      <c r="A790" s="1086">
        <f t="shared" si="32"/>
        <v>0</v>
      </c>
      <c r="B790" s="1229" t="s">
        <v>697</v>
      </c>
      <c r="C790" s="2842"/>
      <c r="D790" s="1099"/>
      <c r="E790" s="1012">
        <f>VLOOKUP($B790,DG!A:D,DG!$B$2,)</f>
        <v>0</v>
      </c>
      <c r="F790" s="1013" t="str">
        <f>VLOOKUP($B790,DG!A:D,DG!$C$2,)</f>
        <v>Cáp 24KV C/XLPE/PVC 25mm2</v>
      </c>
      <c r="G790" s="1012" t="str">
        <f>VLOOKUP($B790,DG!A:D,DG!$D$2,)</f>
        <v>mét</v>
      </c>
      <c r="H790" s="2745">
        <f>9*H788</f>
        <v>0</v>
      </c>
      <c r="I790" s="1192">
        <f t="shared" si="33"/>
        <v>0</v>
      </c>
      <c r="J790" s="1041"/>
      <c r="K790" s="1041"/>
      <c r="L790" s="1015"/>
      <c r="M790" s="934" t="s">
        <v>1261</v>
      </c>
    </row>
    <row r="791" spans="1:13" s="1016" customFormat="1" ht="25.2" hidden="1" customHeight="1">
      <c r="A791" s="1086">
        <f t="shared" si="32"/>
        <v>0</v>
      </c>
      <c r="B791" s="1087" t="s">
        <v>1479</v>
      </c>
      <c r="C791" s="2842"/>
      <c r="D791" s="1099"/>
      <c r="E791" s="1012" t="str">
        <f>VLOOKUP($B791,DG!A:D,DG!$B$2,)</f>
        <v>04.3007</v>
      </c>
      <c r="F791" s="1013" t="str">
        <f>VLOOKUP($B791,DG!A:D,DG!$C$2,)</f>
        <v>Kẹp quai 2/0</v>
      </c>
      <c r="G791" s="1012" t="str">
        <f>VLOOKUP($B791,DG!A:D,DG!$D$2,)</f>
        <v>cái</v>
      </c>
      <c r="H791" s="2745">
        <f>H788*2</f>
        <v>0</v>
      </c>
      <c r="I791" s="1192">
        <f t="shared" si="33"/>
        <v>0</v>
      </c>
      <c r="J791" s="1041"/>
      <c r="K791" s="1041"/>
      <c r="L791" s="1015"/>
      <c r="M791" s="934" t="s">
        <v>1261</v>
      </c>
    </row>
    <row r="792" spans="1:13" s="1016" customFormat="1" ht="25.2" hidden="1" customHeight="1">
      <c r="A792" s="1086">
        <f t="shared" si="32"/>
        <v>0</v>
      </c>
      <c r="B792" s="1087" t="s">
        <v>1477</v>
      </c>
      <c r="C792" s="2842"/>
      <c r="D792" s="1099"/>
      <c r="E792" s="1012" t="str">
        <f>VLOOKUP($B792,DG!A:D,DG!$B$2,)</f>
        <v>04.3007</v>
      </c>
      <c r="F792" s="1013" t="str">
        <f>VLOOKUP($B792,DG!A:D,DG!$C$2,)</f>
        <v>Kẹp hotline 2/0</v>
      </c>
      <c r="G792" s="1012" t="str">
        <f>VLOOKUP($B792,DG!A:D,DG!$D$2,)</f>
        <v>cái</v>
      </c>
      <c r="H792" s="2745">
        <f>H791</f>
        <v>0</v>
      </c>
      <c r="I792" s="1192">
        <f t="shared" si="33"/>
        <v>0</v>
      </c>
      <c r="J792" s="1041"/>
      <c r="K792" s="1041"/>
      <c r="L792" s="1015"/>
      <c r="M792" s="934" t="s">
        <v>1261</v>
      </c>
    </row>
    <row r="793" spans="1:13" s="1016" customFormat="1" ht="25.2" hidden="1" customHeight="1">
      <c r="A793" s="1086">
        <f t="shared" si="32"/>
        <v>0</v>
      </c>
      <c r="B793" s="1087" t="s">
        <v>1525</v>
      </c>
      <c r="C793" s="2842"/>
      <c r="D793" s="1103"/>
      <c r="E793" s="1029" t="str">
        <f>VLOOKUP($B793,DG!A:D,DG!$B$2,)</f>
        <v>04.4201</v>
      </c>
      <c r="F793" s="1095" t="str">
        <f>VLOOKUP($B793,DG!A:D,DG!$C$2,)</f>
        <v>Lắp cáp đồng xuống thiết bị D ≤ 95mm2</v>
      </c>
      <c r="G793" s="1029" t="str">
        <f>VLOOKUP($B793,DG!A:D,DG!$D$2,)</f>
        <v>m</v>
      </c>
      <c r="H793" s="2745">
        <f>H790</f>
        <v>0</v>
      </c>
      <c r="I793" s="1192">
        <f t="shared" si="33"/>
        <v>0</v>
      </c>
      <c r="J793" s="1104"/>
      <c r="K793" s="1104"/>
      <c r="L793" s="1031"/>
      <c r="M793" s="934" t="s">
        <v>1261</v>
      </c>
    </row>
    <row r="794" spans="1:13" s="1016" customFormat="1" ht="25.2" hidden="1" customHeight="1">
      <c r="A794" s="1086">
        <f t="shared" ref="A794:A857" si="34">IF(AND(M794=$M$23,I794&gt;0),1,0)</f>
        <v>0</v>
      </c>
      <c r="B794" s="1226"/>
      <c r="C794" s="2841"/>
      <c r="D794" s="1096">
        <f>IF(H794&gt;0,D788+1,D788)</f>
        <v>0</v>
      </c>
      <c r="E794" s="1097"/>
      <c r="F794" s="1106" t="s">
        <v>3709</v>
      </c>
      <c r="G794" s="1007" t="s">
        <v>2385</v>
      </c>
      <c r="H794" s="1193">
        <f>H734</f>
        <v>0</v>
      </c>
      <c r="I794" s="1193">
        <f t="shared" si="33"/>
        <v>0</v>
      </c>
      <c r="J794" s="1007"/>
      <c r="K794" s="1007"/>
      <c r="L794" s="1007"/>
      <c r="M794" s="934" t="s">
        <v>1261</v>
      </c>
    </row>
    <row r="795" spans="1:13" s="1016" customFormat="1" ht="25.2" hidden="1" customHeight="1">
      <c r="A795" s="1086">
        <f t="shared" si="34"/>
        <v>0</v>
      </c>
      <c r="B795" s="1226"/>
      <c r="C795" s="2841"/>
      <c r="D795" s="1161"/>
      <c r="E795" s="1168"/>
      <c r="F795" s="1269" t="s">
        <v>2279</v>
      </c>
      <c r="G795" s="1171"/>
      <c r="H795" s="1725"/>
      <c r="I795" s="1192">
        <f t="shared" si="33"/>
        <v>0</v>
      </c>
      <c r="J795" s="1164"/>
      <c r="K795" s="1164"/>
      <c r="L795" s="1129"/>
      <c r="M795" s="934" t="s">
        <v>1261</v>
      </c>
    </row>
    <row r="796" spans="1:13" s="1016" customFormat="1" ht="25.2" hidden="1" customHeight="1">
      <c r="A796" s="1086">
        <f t="shared" si="34"/>
        <v>0</v>
      </c>
      <c r="B796" s="1226" t="s">
        <v>83</v>
      </c>
      <c r="C796" s="2841"/>
      <c r="D796" s="1043"/>
      <c r="E796" s="1012">
        <f>VLOOKUP($B796,DG!A:D,DG!$B$2,)</f>
        <v>0</v>
      </c>
      <c r="F796" s="1013" t="str">
        <f>VLOOKUP($B796,DG!A:D,DG!$C$2,)&amp;" 9m/pha"</f>
        <v>Cáp đồng bọc CV95 9m/pha</v>
      </c>
      <c r="G796" s="1012" t="str">
        <f>VLOOKUP($B796,DG!A:D,DG!$D$2,)</f>
        <v>mét</v>
      </c>
      <c r="H796" s="2745">
        <v>0</v>
      </c>
      <c r="I796" s="1192">
        <f t="shared" si="33"/>
        <v>0</v>
      </c>
      <c r="J796" s="1041"/>
      <c r="K796" s="1041"/>
      <c r="L796" s="1015"/>
      <c r="M796" s="934" t="s">
        <v>1261</v>
      </c>
    </row>
    <row r="797" spans="1:13" s="1016" customFormat="1" ht="25.2" hidden="1" customHeight="1">
      <c r="A797" s="1086">
        <f t="shared" si="34"/>
        <v>0</v>
      </c>
      <c r="B797" s="1226" t="s">
        <v>237</v>
      </c>
      <c r="C797" s="2841"/>
      <c r="D797" s="1043"/>
      <c r="E797" s="1012">
        <f>VLOOKUP($B797,DG!A:D,DG!$B$2,)</f>
        <v>0</v>
      </c>
      <c r="F797" s="1013" t="str">
        <f>VLOOKUP($B797,DG!A:D,DG!$C$2,)&amp;" 11m/trung hòa"</f>
        <v>Cáp đồng bọc CV70 11m/trung hòa</v>
      </c>
      <c r="G797" s="1012" t="str">
        <f>VLOOKUP($B797,DG!A:D,DG!$D$2,)</f>
        <v>mét</v>
      </c>
      <c r="H797" s="2745">
        <v>0</v>
      </c>
      <c r="I797" s="1192">
        <f t="shared" si="33"/>
        <v>0</v>
      </c>
      <c r="J797" s="1041"/>
      <c r="K797" s="1041"/>
      <c r="L797" s="1015"/>
      <c r="M797" s="934" t="s">
        <v>1261</v>
      </c>
    </row>
    <row r="798" spans="1:13" s="1016" customFormat="1" ht="25.2" hidden="1" customHeight="1">
      <c r="A798" s="1086">
        <f t="shared" si="34"/>
        <v>0</v>
      </c>
      <c r="B798" s="1226" t="s">
        <v>2276</v>
      </c>
      <c r="C798" s="2841"/>
      <c r="D798" s="1043"/>
      <c r="E798" s="1012" t="str">
        <f>VLOOKUP($B798,DG!A:D,DG!$B$2,)</f>
        <v>03.1401</v>
      </c>
      <c r="F798" s="1013" t="str">
        <f>VLOOKUP($B798,DG!A:D,DG!$C$2,)</f>
        <v xml:space="preserve">Cáp CVV 4x4mm2  </v>
      </c>
      <c r="G798" s="1012" t="str">
        <f>VLOOKUP($B798,DG!A:D,DG!$D$2,)</f>
        <v>mét</v>
      </c>
      <c r="H798" s="2745">
        <v>0</v>
      </c>
      <c r="I798" s="1192">
        <f t="shared" si="33"/>
        <v>0</v>
      </c>
      <c r="J798" s="1041"/>
      <c r="K798" s="1041"/>
      <c r="L798" s="1015"/>
      <c r="M798" s="934" t="s">
        <v>1261</v>
      </c>
    </row>
    <row r="799" spans="1:13" s="1016" customFormat="1" ht="25.2" hidden="1" customHeight="1">
      <c r="A799" s="1086">
        <f t="shared" si="34"/>
        <v>0</v>
      </c>
      <c r="B799" s="1226" t="s">
        <v>1304</v>
      </c>
      <c r="C799" s="2841"/>
      <c r="D799" s="1043"/>
      <c r="E799" s="1012" t="str">
        <f>VLOOKUP($B799,DG!A:D,DG!$B$2,)</f>
        <v>03.4004</v>
      </c>
      <c r="F799" s="1013" t="str">
        <f>VLOOKUP($B799,DG!A:D,DG!$C$2,)</f>
        <v>Đầu cosse ép Cu 95mm2</v>
      </c>
      <c r="G799" s="1012" t="str">
        <f>VLOOKUP($B799,DG!A:D,DG!$D$2,)</f>
        <v>cái</v>
      </c>
      <c r="H799" s="2745">
        <v>0</v>
      </c>
      <c r="I799" s="1192">
        <f t="shared" si="33"/>
        <v>0</v>
      </c>
      <c r="J799" s="1041"/>
      <c r="K799" s="1041"/>
      <c r="L799" s="1015"/>
      <c r="M799" s="934" t="s">
        <v>1261</v>
      </c>
    </row>
    <row r="800" spans="1:13" s="1016" customFormat="1" ht="25.2" hidden="1" customHeight="1">
      <c r="A800" s="1086">
        <f t="shared" si="34"/>
        <v>0</v>
      </c>
      <c r="B800" s="1226" t="s">
        <v>1303</v>
      </c>
      <c r="C800" s="2841"/>
      <c r="D800" s="1043"/>
      <c r="E800" s="1012" t="str">
        <f>VLOOKUP($B800,DG!A:D,DG!$B$2,)</f>
        <v>03.4003</v>
      </c>
      <c r="F800" s="1013" t="str">
        <f>VLOOKUP($B800,DG!A:D,DG!$C$2,)</f>
        <v>Đầu cosse ép Cu 70mm2</v>
      </c>
      <c r="G800" s="1012" t="str">
        <f>VLOOKUP($B800,DG!A:D,DG!$D$2,)</f>
        <v>cái</v>
      </c>
      <c r="H800" s="2745">
        <v>0</v>
      </c>
      <c r="I800" s="1192">
        <f t="shared" si="33"/>
        <v>0</v>
      </c>
      <c r="J800" s="1041"/>
      <c r="K800" s="1041"/>
      <c r="L800" s="1015"/>
      <c r="M800" s="934" t="s">
        <v>1261</v>
      </c>
    </row>
    <row r="801" spans="1:13" s="1016" customFormat="1" ht="25.2" hidden="1" customHeight="1">
      <c r="A801" s="1086">
        <f t="shared" si="34"/>
        <v>0</v>
      </c>
      <c r="B801" s="1226" t="s">
        <v>93</v>
      </c>
      <c r="C801" s="2841"/>
      <c r="D801" s="1043"/>
      <c r="E801" s="1012">
        <f>VLOOKUP($B801,DG!A:D,DG!$B$2,)</f>
        <v>0</v>
      </c>
      <c r="F801" s="1013" t="str">
        <f>VLOOKUP($B801,DG!A:D,DG!$C$2,)</f>
        <v>Chụp đầu cosse  120mm2</v>
      </c>
      <c r="G801" s="1012" t="str">
        <f>VLOOKUP($B801,DG!A:D,DG!$D$2,)</f>
        <v>cái</v>
      </c>
      <c r="H801" s="2745">
        <f>H799</f>
        <v>0</v>
      </c>
      <c r="I801" s="1192">
        <f t="shared" si="33"/>
        <v>0</v>
      </c>
      <c r="J801" s="1041"/>
      <c r="K801" s="1041"/>
      <c r="L801" s="1015"/>
      <c r="M801" s="934" t="s">
        <v>1261</v>
      </c>
    </row>
    <row r="802" spans="1:13" s="1016" customFormat="1" ht="25.2" hidden="1" customHeight="1">
      <c r="A802" s="1086">
        <f t="shared" si="34"/>
        <v>0</v>
      </c>
      <c r="B802" s="1226" t="s">
        <v>94</v>
      </c>
      <c r="C802" s="2841"/>
      <c r="D802" s="1043"/>
      <c r="E802" s="1012">
        <f>VLOOKUP($B802,DG!A:D,DG!$B$2,)</f>
        <v>0</v>
      </c>
      <c r="F802" s="1013" t="str">
        <f>VLOOKUP($B802,DG!A:D,DG!$C$2,)</f>
        <v>Chụp đầu cosse  95mm2</v>
      </c>
      <c r="G802" s="1012" t="str">
        <f>VLOOKUP($B802,DG!A:D,DG!$D$2,)</f>
        <v>cái</v>
      </c>
      <c r="H802" s="2745">
        <f>H800</f>
        <v>0</v>
      </c>
      <c r="I802" s="1192">
        <f t="shared" si="33"/>
        <v>0</v>
      </c>
      <c r="J802" s="1041"/>
      <c r="K802" s="1041"/>
      <c r="L802" s="1015"/>
      <c r="M802" s="934" t="s">
        <v>1261</v>
      </c>
    </row>
    <row r="803" spans="1:13" s="1016" customFormat="1" ht="25.2" hidden="1" customHeight="1">
      <c r="A803" s="1086">
        <f t="shared" si="34"/>
        <v>0</v>
      </c>
      <c r="B803" s="1226" t="s">
        <v>282</v>
      </c>
      <c r="C803" s="2841"/>
      <c r="D803" s="1043"/>
      <c r="E803" s="1012" t="str">
        <f>VLOOKUP($B803,DG!A:D,DG!$B$2,)</f>
        <v>04.8003</v>
      </c>
      <c r="F803" s="1013" t="str">
        <f>VLOOKUP($B803,DG!A:D,DG!$C$2,)</f>
        <v xml:space="preserve">Ống PVC D90x3,8mm </v>
      </c>
      <c r="G803" s="1012" t="str">
        <f>VLOOKUP($B803,DG!A:D,DG!$D$2,)</f>
        <v>m</v>
      </c>
      <c r="H803" s="2745">
        <v>0</v>
      </c>
      <c r="I803" s="1192">
        <f t="shared" si="33"/>
        <v>0</v>
      </c>
      <c r="J803" s="1041"/>
      <c r="K803" s="1041"/>
      <c r="L803" s="1015"/>
      <c r="M803" s="934" t="s">
        <v>1261</v>
      </c>
    </row>
    <row r="804" spans="1:13" s="1016" customFormat="1" ht="25.2" hidden="1" customHeight="1">
      <c r="A804" s="1086">
        <f t="shared" si="34"/>
        <v>0</v>
      </c>
      <c r="B804" s="1087" t="s">
        <v>276</v>
      </c>
      <c r="C804" s="2842"/>
      <c r="D804" s="1043"/>
      <c r="E804" s="1012" t="str">
        <f>VLOOKUP($B804,DG!A:D,DG!$B$2,)</f>
        <v>06.3231</v>
      </c>
      <c r="F804" s="1013" t="str">
        <f>VLOOKUP($B804,DG!A:D,DG!$C$2,)</f>
        <v>Cổ dê kẹp ống PVC Ø 90</v>
      </c>
      <c r="G804" s="1012" t="str">
        <f>VLOOKUP($B804,DG!A:D,DG!$D$2,)</f>
        <v>bộ</v>
      </c>
      <c r="H804" s="2745">
        <f>H794*2*0</f>
        <v>0</v>
      </c>
      <c r="I804" s="1192">
        <f t="shared" si="33"/>
        <v>0</v>
      </c>
      <c r="J804" s="1041"/>
      <c r="K804" s="1041"/>
      <c r="L804" s="1015"/>
      <c r="M804" s="934" t="s">
        <v>1261</v>
      </c>
    </row>
    <row r="805" spans="1:13" s="1016" customFormat="1" ht="25.2" hidden="1" customHeight="1">
      <c r="A805" s="1086">
        <f t="shared" si="34"/>
        <v>0</v>
      </c>
      <c r="B805" s="1226" t="s">
        <v>283</v>
      </c>
      <c r="C805" s="2841"/>
      <c r="D805" s="1043"/>
      <c r="E805" s="1012">
        <f>VLOOKUP($B805,DG!A:D,DG!$B$2,)</f>
        <v>0</v>
      </c>
      <c r="F805" s="1013" t="str">
        <f>VLOOKUP($B805,DG!A:D,DG!$C$2,)</f>
        <v>Co sừng 90 độ PVC 90</v>
      </c>
      <c r="G805" s="1012" t="str">
        <f>VLOOKUP($B805,DG!A:D,DG!$D$2,)</f>
        <v>cái</v>
      </c>
      <c r="H805" s="2745">
        <f>H794*2*0</f>
        <v>0</v>
      </c>
      <c r="I805" s="1192">
        <f t="shared" si="33"/>
        <v>0</v>
      </c>
      <c r="J805" s="1041"/>
      <c r="K805" s="1041"/>
      <c r="L805" s="1015"/>
      <c r="M805" s="934" t="s">
        <v>1261</v>
      </c>
    </row>
    <row r="806" spans="1:13" s="1016" customFormat="1" ht="25.2" hidden="1" customHeight="1">
      <c r="A806" s="1086">
        <f t="shared" si="34"/>
        <v>0</v>
      </c>
      <c r="B806" s="1226" t="s">
        <v>4346</v>
      </c>
      <c r="C806" s="2841"/>
      <c r="D806" s="1043"/>
      <c r="E806" s="1012">
        <f>VLOOKUP($B806,DG!A:D,DG!$B$2,)</f>
        <v>0</v>
      </c>
      <c r="F806" s="1013" t="str">
        <f>VLOOKUP($B806,DG!A:D,DG!$C$2,)</f>
        <v>Nối ống PVC 114 - 90</v>
      </c>
      <c r="G806" s="1012" t="str">
        <f>VLOOKUP($B806,DG!A:D,DG!$D$2,)</f>
        <v>cái</v>
      </c>
      <c r="H806" s="2745">
        <f>H794*0</f>
        <v>0</v>
      </c>
      <c r="I806" s="1192">
        <f t="shared" si="33"/>
        <v>0</v>
      </c>
      <c r="J806" s="1041"/>
      <c r="K806" s="1041"/>
      <c r="L806" s="1015"/>
      <c r="M806" s="934" t="s">
        <v>1261</v>
      </c>
    </row>
    <row r="807" spans="1:13" s="1016" customFormat="1" ht="25.2" hidden="1" customHeight="1">
      <c r="A807" s="1086">
        <f t="shared" si="34"/>
        <v>0</v>
      </c>
      <c r="B807" s="1226" t="s">
        <v>70</v>
      </c>
      <c r="C807" s="2841"/>
      <c r="D807" s="1043"/>
      <c r="E807" s="1012">
        <f>VLOOKUP($B807,DG!A:D,DG!$B$2,)</f>
        <v>0</v>
      </c>
      <c r="F807" s="1013" t="str">
        <f>VLOOKUP($B807,DG!A:D,DG!$C$2,)</f>
        <v>Co  90 độ PVC 90</v>
      </c>
      <c r="G807" s="1012" t="str">
        <f>VLOOKUP($B807,DG!A:D,DG!$D$2,)</f>
        <v>cái</v>
      </c>
      <c r="H807" s="1713"/>
      <c r="I807" s="1192">
        <f t="shared" si="33"/>
        <v>0</v>
      </c>
      <c r="J807" s="1041"/>
      <c r="K807" s="1041"/>
      <c r="L807" s="1015"/>
      <c r="M807" s="934" t="s">
        <v>1261</v>
      </c>
    </row>
    <row r="808" spans="1:13" s="1016" customFormat="1" ht="25.2" hidden="1" customHeight="1">
      <c r="A808" s="1086">
        <f t="shared" si="34"/>
        <v>0</v>
      </c>
      <c r="B808" s="1226" t="s">
        <v>419</v>
      </c>
      <c r="C808" s="2841"/>
      <c r="D808" s="1043"/>
      <c r="E808" s="1012">
        <f>VLOOKUP($B808,DG!A:D,DG!$B$2,)</f>
        <v>0</v>
      </c>
      <c r="F808" s="1013" t="str">
        <f>VLOOKUP($B808,DG!A:D,DG!$C$2,)</f>
        <v>Keo dán ống PVC (100gr)</v>
      </c>
      <c r="G808" s="1012" t="str">
        <f>VLOOKUP($B808,DG!A:D,DG!$D$2,)</f>
        <v>tuýp</v>
      </c>
      <c r="H808" s="2745">
        <f>H794*0</f>
        <v>0</v>
      </c>
      <c r="I808" s="1192">
        <f t="shared" si="33"/>
        <v>0</v>
      </c>
      <c r="J808" s="1041"/>
      <c r="K808" s="1041"/>
      <c r="L808" s="1015"/>
      <c r="M808" s="934" t="s">
        <v>1261</v>
      </c>
    </row>
    <row r="809" spans="1:13" s="1016" customFormat="1" ht="25.2" hidden="1" customHeight="1">
      <c r="A809" s="1086">
        <f t="shared" si="34"/>
        <v>0</v>
      </c>
      <c r="B809" s="1226" t="s">
        <v>1179</v>
      </c>
      <c r="C809" s="2841"/>
      <c r="D809" s="1043"/>
      <c r="E809" s="1012">
        <f>VLOOKUP($B809,DG!A:D,DG!$B$2,)</f>
        <v>0</v>
      </c>
      <c r="F809" s="1013" t="str">
        <f>VLOOKUP($B809,DG!A:D,DG!$C$2,)</f>
        <v>Keo silicon bít miệng ống</v>
      </c>
      <c r="G809" s="1012" t="str">
        <f>VLOOKUP($B809,DG!A:D,DG!$D$2,)</f>
        <v>ống</v>
      </c>
      <c r="H809" s="1713"/>
      <c r="I809" s="1192">
        <f t="shared" si="33"/>
        <v>0</v>
      </c>
      <c r="J809" s="1041"/>
      <c r="K809" s="1041"/>
      <c r="L809" s="1015"/>
      <c r="M809" s="934" t="s">
        <v>1261</v>
      </c>
    </row>
    <row r="810" spans="1:13" s="1016" customFormat="1" ht="25.2" hidden="1" customHeight="1">
      <c r="A810" s="1086">
        <f t="shared" si="34"/>
        <v>0</v>
      </c>
      <c r="B810" s="1087" t="s">
        <v>672</v>
      </c>
      <c r="C810" s="2842"/>
      <c r="D810" s="1043"/>
      <c r="E810" s="1012">
        <f>VLOOKUP($B810,DG!A:D,DG!$B$2,)</f>
        <v>0</v>
      </c>
      <c r="F810" s="1013" t="str">
        <f>VLOOKUP($B810,DG!A:D,DG!$C$2,)</f>
        <v>Băng keo cách điện</v>
      </c>
      <c r="G810" s="1012" t="str">
        <f>VLOOKUP($B810,DG!A:D,DG!$D$2,)</f>
        <v>cuộn</v>
      </c>
      <c r="H810" s="1713"/>
      <c r="I810" s="1192">
        <f t="shared" si="33"/>
        <v>0</v>
      </c>
      <c r="J810" s="1041"/>
      <c r="K810" s="1041"/>
      <c r="L810" s="1015"/>
      <c r="M810" s="934" t="s">
        <v>1261</v>
      </c>
    </row>
    <row r="811" spans="1:13" s="1016" customFormat="1" ht="25.2" hidden="1" customHeight="1">
      <c r="A811" s="1086">
        <f t="shared" si="34"/>
        <v>0</v>
      </c>
      <c r="B811" s="1231" t="s">
        <v>4348</v>
      </c>
      <c r="C811" s="2844"/>
      <c r="D811" s="1043"/>
      <c r="E811" s="1012">
        <f>VLOOKUP($B811,DG!A:D,DG!$B$2,)</f>
        <v>0</v>
      </c>
      <c r="F811" s="1013" t="str">
        <f>VLOOKUP($B811,DG!A:D,DG!$C$2,)</f>
        <v>Chụp cách điện đầu cực MBA</v>
      </c>
      <c r="G811" s="1012" t="str">
        <f>VLOOKUP($B811,DG!A:D,DG!$D$2,)</f>
        <v>cái</v>
      </c>
      <c r="H811" s="1100"/>
      <c r="I811" s="1192">
        <f t="shared" si="33"/>
        <v>0</v>
      </c>
      <c r="J811" s="1041"/>
      <c r="K811" s="1041"/>
      <c r="L811" s="1015"/>
      <c r="M811" s="934" t="s">
        <v>1261</v>
      </c>
    </row>
    <row r="812" spans="1:13" s="1016" customFormat="1" ht="25.2" hidden="1" customHeight="1">
      <c r="A812" s="1086">
        <f t="shared" si="34"/>
        <v>0</v>
      </c>
      <c r="B812" s="1231" t="s">
        <v>4342</v>
      </c>
      <c r="C812" s="2844"/>
      <c r="D812" s="1043"/>
      <c r="E812" s="1012">
        <f>VLOOKUP($B812,DG!A:D,DG!$B$2,)</f>
        <v>0</v>
      </c>
      <c r="F812" s="1013" t="str">
        <f>VLOOKUP($B812,DG!A:D,DG!$C$2,)</f>
        <v>Chụp cách điện đầu cực FCO (trên + dưới)</v>
      </c>
      <c r="G812" s="1012" t="str">
        <f>VLOOKUP($B812,DG!A:D,DG!$D$2,)</f>
        <v>bộ</v>
      </c>
      <c r="H812" s="1100"/>
      <c r="I812" s="1192">
        <f t="shared" si="33"/>
        <v>0</v>
      </c>
      <c r="J812" s="1041"/>
      <c r="K812" s="1041"/>
      <c r="L812" s="1015"/>
      <c r="M812" s="934" t="s">
        <v>1261</v>
      </c>
    </row>
    <row r="813" spans="1:13" s="1016" customFormat="1" ht="25.2" hidden="1" customHeight="1">
      <c r="A813" s="1086">
        <f t="shared" si="34"/>
        <v>0</v>
      </c>
      <c r="B813" s="1231" t="s">
        <v>4350</v>
      </c>
      <c r="C813" s="2844"/>
      <c r="D813" s="1043"/>
      <c r="E813" s="1012">
        <f>VLOOKUP($B813,DG!A:D,DG!$B$2,)</f>
        <v>0</v>
      </c>
      <c r="F813" s="1013" t="str">
        <f>VLOOKUP($B813,DG!A:D,DG!$C$2,)</f>
        <v>Chụp cách điện đầu cực LA</v>
      </c>
      <c r="G813" s="1012" t="str">
        <f>VLOOKUP($B813,DG!A:D,DG!$D$2,)</f>
        <v>cái</v>
      </c>
      <c r="H813" s="1100"/>
      <c r="I813" s="1192">
        <f t="shared" ref="I813:I880" si="35">IF(M813=$M$23,H813+J813-K813,0)</f>
        <v>0</v>
      </c>
      <c r="J813" s="1041"/>
      <c r="K813" s="1041"/>
      <c r="L813" s="1015"/>
      <c r="M813" s="934" t="s">
        <v>1261</v>
      </c>
    </row>
    <row r="814" spans="1:13" s="1016" customFormat="1" ht="25.2" hidden="1" customHeight="1">
      <c r="A814" s="1086">
        <f t="shared" si="34"/>
        <v>0</v>
      </c>
      <c r="B814" s="1231" t="s">
        <v>2182</v>
      </c>
      <c r="C814" s="2844"/>
      <c r="D814" s="1043"/>
      <c r="E814" s="1012" t="str">
        <f>VLOOKUP($B814,DG!A:D,DG!$B$2,)</f>
        <v>07.2415</v>
      </c>
      <c r="F814" s="1095" t="str">
        <f>VLOOKUP($B814,DG!A:D,DG!$C$2,)</f>
        <v>Lắp ống nhựa PVC D90</v>
      </c>
      <c r="G814" s="1012" t="str">
        <f>VLOOKUP($B814,DG!A:D,DG!$D$2,)</f>
        <v>mét</v>
      </c>
      <c r="H814" s="1100"/>
      <c r="I814" s="1192">
        <f t="shared" si="35"/>
        <v>0</v>
      </c>
      <c r="J814" s="1041"/>
      <c r="K814" s="1041"/>
      <c r="L814" s="1015"/>
      <c r="M814" s="934" t="s">
        <v>1261</v>
      </c>
    </row>
    <row r="815" spans="1:13" s="1016" customFormat="1" ht="25.2" hidden="1" customHeight="1">
      <c r="A815" s="1086">
        <f t="shared" si="34"/>
        <v>0</v>
      </c>
      <c r="B815" s="1087" t="s">
        <v>1525</v>
      </c>
      <c r="C815" s="2842"/>
      <c r="D815" s="1043"/>
      <c r="E815" s="1012" t="str">
        <f>VLOOKUP($B815,DG!A:D,DG!$B$2,)</f>
        <v>04.4201</v>
      </c>
      <c r="F815" s="1095" t="str">
        <f>VLOOKUP($B815,DG!A:D,DG!$C$2,)</f>
        <v>Lắp cáp đồng xuống thiết bị D ≤ 95mm2</v>
      </c>
      <c r="G815" s="1012" t="str">
        <f>VLOOKUP($B815,DG!A:D,DG!$D$2,)</f>
        <v>m</v>
      </c>
      <c r="H815" s="1100"/>
      <c r="I815" s="1192">
        <f t="shared" si="35"/>
        <v>0</v>
      </c>
      <c r="J815" s="1041"/>
      <c r="K815" s="1041"/>
      <c r="L815" s="1015"/>
      <c r="M815" s="934" t="s">
        <v>1261</v>
      </c>
    </row>
    <row r="816" spans="1:13" s="1016" customFormat="1" ht="25.2" hidden="1" customHeight="1">
      <c r="A816" s="1086">
        <f t="shared" si="34"/>
        <v>0</v>
      </c>
      <c r="B816" s="1226" t="s">
        <v>289</v>
      </c>
      <c r="C816" s="2841"/>
      <c r="D816" s="1103">
        <f>IF(H816&gt;0,D794+1,D794)</f>
        <v>0</v>
      </c>
      <c r="E816" s="1107"/>
      <c r="F816" s="1013" t="str">
        <f>VLOOKUP($B816,DG!A:D,DG!$C$2,)</f>
        <v>Bảng tên trạm, bảng báo nguy hiểm + đinh vít</v>
      </c>
      <c r="G816" s="1012" t="str">
        <f>VLOOKUP($B816,DG!A:D,DG!$D$2,)</f>
        <v>bộ</v>
      </c>
      <c r="H816" s="1724"/>
      <c r="I816" s="1192">
        <f t="shared" si="35"/>
        <v>0</v>
      </c>
      <c r="J816" s="1041"/>
      <c r="K816" s="1041"/>
      <c r="L816" s="1015"/>
      <c r="M816" s="934" t="s">
        <v>1261</v>
      </c>
    </row>
    <row r="817" spans="1:13" s="1016" customFormat="1" ht="25.2" hidden="1" customHeight="1">
      <c r="A817" s="1086">
        <f t="shared" si="34"/>
        <v>0</v>
      </c>
      <c r="B817" s="1226" t="s">
        <v>1626</v>
      </c>
      <c r="C817" s="2841"/>
      <c r="D817" s="1103">
        <f>IF(H817&gt;0,D795+1,D795)</f>
        <v>0</v>
      </c>
      <c r="E817" s="1107"/>
      <c r="F817" s="1030" t="str">
        <f>VLOOKUP($B817,DG!A:D,DG!$C$2,)</f>
        <v>Móng đặt tủ bù (0,2x0,2x0,4)x4 móng</v>
      </c>
      <c r="G817" s="1029" t="str">
        <f>VLOOKUP($B817,DG!A:D,DG!$D$2,)</f>
        <v>Trọn bộ</v>
      </c>
      <c r="H817" s="1752"/>
      <c r="I817" s="1192">
        <f t="shared" si="35"/>
        <v>0</v>
      </c>
      <c r="J817" s="1104"/>
      <c r="K817" s="1104"/>
      <c r="L817" s="1104"/>
      <c r="M817" s="934" t="s">
        <v>1261</v>
      </c>
    </row>
    <row r="818" spans="1:13" s="1016" customFormat="1" ht="25.2" hidden="1" customHeight="1">
      <c r="A818" s="1086">
        <f t="shared" si="34"/>
        <v>0</v>
      </c>
      <c r="B818" s="1248"/>
      <c r="C818" s="2850"/>
      <c r="D818" s="1040"/>
      <c r="E818" s="1112"/>
      <c r="F818" s="1010"/>
      <c r="G818" s="1157"/>
      <c r="H818" s="1718"/>
      <c r="I818" s="1192">
        <f t="shared" si="35"/>
        <v>0</v>
      </c>
      <c r="J818" s="1172"/>
      <c r="K818" s="1173"/>
      <c r="L818" s="1069"/>
      <c r="M818" s="934" t="s">
        <v>1261</v>
      </c>
    </row>
    <row r="819" spans="1:13" s="1075" customFormat="1" ht="25.2" hidden="1" customHeight="1">
      <c r="A819" s="1086">
        <f t="shared" si="34"/>
        <v>0</v>
      </c>
      <c r="B819" s="1249"/>
      <c r="C819" s="2853"/>
      <c r="D819" s="1120"/>
      <c r="E819" s="1174"/>
      <c r="F819" s="1175"/>
      <c r="G819" s="1176"/>
      <c r="H819" s="1726"/>
      <c r="I819" s="1192">
        <f t="shared" si="35"/>
        <v>0</v>
      </c>
      <c r="J819" s="1175"/>
      <c r="K819" s="1175"/>
      <c r="M819" s="1120"/>
    </row>
    <row r="820" spans="1:13" s="1016" customFormat="1" ht="25.2" hidden="1" customHeight="1">
      <c r="A820" s="1086">
        <f t="shared" si="34"/>
        <v>0</v>
      </c>
      <c r="B820" s="1250"/>
      <c r="C820" s="2854"/>
      <c r="D820" s="939" t="e">
        <f>"BAÛNG TOÅNG HÔÏP VAÄT LIEÄU, NHAÂN COÂNG, MAÙY THI COÂNG : "&amp;#REF!&amp;" TRAÏM 3P_3x50KVA"</f>
        <v>#REF!</v>
      </c>
      <c r="E820" s="939"/>
      <c r="F820" s="939"/>
      <c r="G820" s="939"/>
      <c r="H820" s="1727"/>
      <c r="I820" s="1192">
        <f t="shared" si="35"/>
        <v>0</v>
      </c>
      <c r="J820" s="939"/>
      <c r="K820" s="939"/>
      <c r="M820" s="934"/>
    </row>
    <row r="821" spans="1:13" s="1016" customFormat="1" ht="25.2" hidden="1" customHeight="1">
      <c r="A821" s="1086">
        <f t="shared" si="34"/>
        <v>0</v>
      </c>
      <c r="B821" s="1226"/>
      <c r="C821" s="2841"/>
      <c r="D821" s="1036"/>
      <c r="E821" s="1037"/>
      <c r="F821" s="1038" t="s">
        <v>3672</v>
      </c>
      <c r="G821" s="1039"/>
      <c r="H821" s="1753"/>
      <c r="I821" s="1192">
        <f t="shared" si="35"/>
        <v>0</v>
      </c>
      <c r="J821" s="1039"/>
      <c r="K821" s="1039"/>
      <c r="L821" s="1088"/>
      <c r="M821" s="934" t="s">
        <v>1262</v>
      </c>
    </row>
    <row r="822" spans="1:13" s="1016" customFormat="1" ht="25.2" hidden="1" customHeight="1">
      <c r="A822" s="1086">
        <f t="shared" si="34"/>
        <v>0</v>
      </c>
      <c r="B822" s="1227" t="s">
        <v>4392</v>
      </c>
      <c r="C822" s="2840"/>
      <c r="D822" s="1023">
        <f>IF(H822&gt;0,1,0)</f>
        <v>0</v>
      </c>
      <c r="E822" s="1012" t="str">
        <f>VLOOKUP($B822,DG!A:D,DG!$B$2,)</f>
        <v>01.1162</v>
      </c>
      <c r="F822" s="1013" t="str">
        <f>VLOOKUP($B822,DG!A:D,DG!$C$2,)</f>
        <v>Máy biến áp 12,7/0,23-0,46kV 50kVA</v>
      </c>
      <c r="G822" s="1012" t="str">
        <f>VLOOKUP($B822,DG!A:D,DG!$D$2,)</f>
        <v>máy</v>
      </c>
      <c r="H822" s="1728">
        <f>L9*3</f>
        <v>0</v>
      </c>
      <c r="I822" s="1192">
        <f t="shared" si="35"/>
        <v>0</v>
      </c>
      <c r="J822" s="1041"/>
      <c r="K822" s="1041"/>
      <c r="L822" s="1129"/>
      <c r="M822" s="934" t="s">
        <v>1262</v>
      </c>
    </row>
    <row r="823" spans="1:13" s="1016" customFormat="1" ht="25.2" hidden="1" customHeight="1">
      <c r="A823" s="1086">
        <f t="shared" si="34"/>
        <v>0</v>
      </c>
      <c r="B823" s="1227" t="s">
        <v>1652</v>
      </c>
      <c r="C823" s="2840"/>
      <c r="D823" s="1023">
        <f t="shared" ref="D823:D830" si="36">IF(H823&gt;0,D822+1,D822)</f>
        <v>0</v>
      </c>
      <c r="E823" s="1012" t="str">
        <f>VLOOKUP($B823,DG!A:D,DG!$B$2,)</f>
        <v>02.3155</v>
      </c>
      <c r="F823" s="1013" t="str">
        <f>VLOOKUP($B823,DG!A:D,DG!$C$2,)</f>
        <v>FCO 24kV - 100A</v>
      </c>
      <c r="G823" s="1012" t="str">
        <f>VLOOKUP($B823,DG!A:D,DG!$D$2,)</f>
        <v>cái</v>
      </c>
      <c r="H823" s="1713">
        <f>+H822</f>
        <v>0</v>
      </c>
      <c r="I823" s="1192">
        <f t="shared" si="35"/>
        <v>0</v>
      </c>
      <c r="J823" s="1041"/>
      <c r="K823" s="1041"/>
      <c r="L823" s="1015"/>
      <c r="M823" s="934" t="s">
        <v>1262</v>
      </c>
    </row>
    <row r="824" spans="1:13" s="1016" customFormat="1" ht="25.2" hidden="1" customHeight="1">
      <c r="A824" s="1086">
        <f t="shared" si="34"/>
        <v>0</v>
      </c>
      <c r="B824" s="1226" t="s">
        <v>367</v>
      </c>
      <c r="C824" s="2841"/>
      <c r="D824" s="1023">
        <f t="shared" si="36"/>
        <v>1</v>
      </c>
      <c r="E824" s="1012">
        <f>VLOOKUP($B824,DG!A:D,DG!$B$2,)</f>
        <v>0</v>
      </c>
      <c r="F824" s="1013" t="str">
        <f>VLOOKUP($B824,DG!A:D,DG!$C$2,)</f>
        <v>Dây chảy 6K</v>
      </c>
      <c r="G824" s="1012" t="str">
        <f>VLOOKUP($B824,DG!A:D,DG!$D$2,)</f>
        <v>Sợi</v>
      </c>
      <c r="H824" s="1713">
        <v>3</v>
      </c>
      <c r="I824" s="1192">
        <f t="shared" si="35"/>
        <v>0</v>
      </c>
      <c r="J824" s="1041"/>
      <c r="K824" s="1041"/>
      <c r="L824" s="1015"/>
      <c r="M824" s="934" t="s">
        <v>1262</v>
      </c>
    </row>
    <row r="825" spans="1:13" s="1016" customFormat="1" ht="25.2" hidden="1" customHeight="1">
      <c r="A825" s="1086">
        <f t="shared" si="34"/>
        <v>0</v>
      </c>
      <c r="B825" s="1226" t="str">
        <f>IF(RIGHT(B823,2)=12,"LA12","LA18")</f>
        <v>LA18</v>
      </c>
      <c r="C825" s="2841"/>
      <c r="D825" s="1023">
        <f t="shared" si="36"/>
        <v>1</v>
      </c>
      <c r="E825" s="1012" t="str">
        <f>VLOOKUP($B825,DG!A:D,DG!$B$2,)</f>
        <v>02.5114</v>
      </c>
      <c r="F825" s="1013" t="str">
        <f>VLOOKUP($B825,DG!A:D,DG!$C$2,)</f>
        <v>Chống sét van LA-18KV-10KA</v>
      </c>
      <c r="G825" s="1012" t="str">
        <f>VLOOKUP($B825,DG!A:D,DG!$D$2,)</f>
        <v>cái</v>
      </c>
      <c r="H825" s="1713">
        <f>H823</f>
        <v>0</v>
      </c>
      <c r="I825" s="1192">
        <f t="shared" si="35"/>
        <v>0</v>
      </c>
      <c r="J825" s="1041"/>
      <c r="K825" s="1041"/>
      <c r="L825" s="1015"/>
      <c r="M825" s="934" t="s">
        <v>1262</v>
      </c>
    </row>
    <row r="826" spans="1:13" s="1016" customFormat="1" ht="25.2" hidden="1" customHeight="1">
      <c r="A826" s="1086">
        <f t="shared" si="34"/>
        <v>0</v>
      </c>
      <c r="B826" s="1227" t="s">
        <v>4926</v>
      </c>
      <c r="C826" s="2840"/>
      <c r="D826" s="1023">
        <f t="shared" si="36"/>
        <v>1</v>
      </c>
      <c r="E826" s="1012" t="str">
        <f>VLOOKUP($B826,DG!A:D,DG!$B$2,)</f>
        <v>02.8401</v>
      </c>
      <c r="F826" s="1013" t="str">
        <f>VLOOKUP($B826,DG!A:D,DG!$C$2,)</f>
        <v>MCCB 3 cực 400V -200A - 35KA</v>
      </c>
      <c r="G826" s="1012" t="str">
        <f>VLOOKUP($B826,DG!A:D,DG!$D$2,)</f>
        <v>cái</v>
      </c>
      <c r="H826" s="1729">
        <f>H822/3</f>
        <v>0</v>
      </c>
      <c r="I826" s="1192">
        <f t="shared" si="35"/>
        <v>0</v>
      </c>
      <c r="J826" s="1041"/>
      <c r="K826" s="1041"/>
      <c r="L826" s="1015"/>
      <c r="M826" s="934" t="s">
        <v>1262</v>
      </c>
    </row>
    <row r="827" spans="1:13" s="1016" customFormat="1" ht="25.2" hidden="1" customHeight="1">
      <c r="A827" s="1086">
        <f t="shared" si="34"/>
        <v>0</v>
      </c>
      <c r="B827" s="1227" t="s">
        <v>2192</v>
      </c>
      <c r="C827" s="2840"/>
      <c r="D827" s="1023">
        <f t="shared" si="36"/>
        <v>1</v>
      </c>
      <c r="E827" s="1012" t="str">
        <f>VLOOKUP($B827,DG!A:D,DG!$B$2,)</f>
        <v>02.8534</v>
      </c>
      <c r="F827" s="1013" t="str">
        <f>VLOOKUP($B827,DG!A:D,DG!$C$2,)</f>
        <v>Tủ tụ bù hạ thế 60kVAr</v>
      </c>
      <c r="G827" s="1012" t="str">
        <f>VLOOKUP($B827,DG!A:D,DG!$D$2,)</f>
        <v>tủ</v>
      </c>
      <c r="H827" s="1729">
        <f>H822/3*0</f>
        <v>0</v>
      </c>
      <c r="I827" s="1192">
        <f t="shared" si="35"/>
        <v>0</v>
      </c>
      <c r="J827" s="1041"/>
      <c r="K827" s="1041"/>
      <c r="L827" s="1015"/>
      <c r="M827" s="934" t="s">
        <v>1262</v>
      </c>
    </row>
    <row r="828" spans="1:13" s="1016" customFormat="1" ht="25.2" hidden="1" customHeight="1">
      <c r="A828" s="1086">
        <f t="shared" si="34"/>
        <v>0</v>
      </c>
      <c r="B828" s="1229" t="s">
        <v>367</v>
      </c>
      <c r="C828" s="2842"/>
      <c r="D828" s="1023">
        <f>IF(H828&gt;0,D826+1,D826)</f>
        <v>1</v>
      </c>
      <c r="E828" s="1012">
        <f>VLOOKUP($B828,DG!A:D,DG!$B$2,)</f>
        <v>0</v>
      </c>
      <c r="F828" s="1013" t="str">
        <f>VLOOKUP($B828,DG!A:D,DG!$C$2,)</f>
        <v>Dây chảy 6K</v>
      </c>
      <c r="G828" s="1012" t="str">
        <f>VLOOKUP($B828,DG!A:D,DG!$D$2,)</f>
        <v>Sợi</v>
      </c>
      <c r="H828" s="1713">
        <f>H821</f>
        <v>0</v>
      </c>
      <c r="I828" s="1192">
        <f>IF(M828=$M$23,H828+J828-K828,0)</f>
        <v>0</v>
      </c>
      <c r="J828" s="1041"/>
      <c r="K828" s="1041"/>
      <c r="L828" s="1043" t="s">
        <v>2601</v>
      </c>
      <c r="M828" s="934" t="s">
        <v>1262</v>
      </c>
    </row>
    <row r="829" spans="1:13" s="1016" customFormat="1" ht="25.2" hidden="1" customHeight="1">
      <c r="A829" s="1086">
        <f t="shared" si="34"/>
        <v>0</v>
      </c>
      <c r="B829" s="1229" t="s">
        <v>1116</v>
      </c>
      <c r="C829" s="2842"/>
      <c r="D829" s="1023">
        <f>IF(H829&gt;0,D827+1,D827)</f>
        <v>1</v>
      </c>
      <c r="E829" s="1012">
        <f>VLOOKUP($B829,DG!A:D,DG!$B$2,)</f>
        <v>0</v>
      </c>
      <c r="F829" s="1013" t="str">
        <f>VLOOKUP($B829,DG!A:D,DG!$C$2,)</f>
        <v xml:space="preserve">Biến dòng 600V - 200/5A </v>
      </c>
      <c r="G829" s="1012" t="str">
        <f>VLOOKUP($B829,DG!A:D,DG!$D$2,)</f>
        <v>cái</v>
      </c>
      <c r="H829" s="1713">
        <f>H822</f>
        <v>0</v>
      </c>
      <c r="I829" s="1192">
        <f t="shared" si="35"/>
        <v>0</v>
      </c>
      <c r="J829" s="1041"/>
      <c r="K829" s="1041"/>
      <c r="L829" s="1043" t="s">
        <v>2601</v>
      </c>
      <c r="M829" s="934" t="s">
        <v>1262</v>
      </c>
    </row>
    <row r="830" spans="1:13" s="1016" customFormat="1" ht="25.2" hidden="1" customHeight="1">
      <c r="A830" s="1086">
        <f t="shared" si="34"/>
        <v>0</v>
      </c>
      <c r="B830" s="1233" t="s">
        <v>288</v>
      </c>
      <c r="C830" s="2843"/>
      <c r="D830" s="1023">
        <f t="shared" si="36"/>
        <v>2</v>
      </c>
      <c r="E830" s="1012" t="str">
        <f>VLOOKUP($B830,DG!A:D,DG!$B$2,)</f>
        <v>05.5104</v>
      </c>
      <c r="F830" s="1013" t="str">
        <f>VLOOKUP($B830,DG!A:D,DG!$C$2,)</f>
        <v>Điện kế 3 pha 4 dây 220/380V-5A</v>
      </c>
      <c r="G830" s="1012" t="str">
        <f>VLOOKUP($B830,DG!A:D,DG!$D$2,)</f>
        <v>cái</v>
      </c>
      <c r="H830" s="1713">
        <f>H824/3</f>
        <v>1</v>
      </c>
      <c r="I830" s="1192">
        <f t="shared" si="35"/>
        <v>0</v>
      </c>
      <c r="J830" s="1041"/>
      <c r="K830" s="1041"/>
      <c r="L830" s="1043" t="s">
        <v>2601</v>
      </c>
      <c r="M830" s="934" t="s">
        <v>1262</v>
      </c>
    </row>
    <row r="831" spans="1:13" s="1016" customFormat="1" ht="25.2" hidden="1" customHeight="1">
      <c r="A831" s="1086">
        <f t="shared" si="34"/>
        <v>0</v>
      </c>
      <c r="B831" s="1226"/>
      <c r="C831" s="2841"/>
      <c r="D831" s="1046"/>
      <c r="E831" s="1047"/>
      <c r="F831" s="1009"/>
      <c r="G831" s="1046"/>
      <c r="H831" s="1718"/>
      <c r="I831" s="1192">
        <f t="shared" si="35"/>
        <v>0</v>
      </c>
      <c r="J831" s="1009"/>
      <c r="K831" s="1046"/>
      <c r="L831" s="1177"/>
      <c r="M831" s="934" t="s">
        <v>1262</v>
      </c>
    </row>
    <row r="832" spans="1:13" s="1016" customFormat="1" ht="25.2" hidden="1" customHeight="1">
      <c r="A832" s="1086">
        <f t="shared" si="34"/>
        <v>0</v>
      </c>
      <c r="B832" s="1226"/>
      <c r="C832" s="2841"/>
      <c r="D832" s="1048"/>
      <c r="E832" s="1049"/>
      <c r="F832" s="1038" t="s">
        <v>3673</v>
      </c>
      <c r="G832" s="1038"/>
      <c r="H832" s="1730"/>
      <c r="I832" s="1192">
        <f t="shared" si="35"/>
        <v>0</v>
      </c>
      <c r="J832" s="1038"/>
      <c r="K832" s="1038"/>
      <c r="L832" s="1069"/>
      <c r="M832" s="934" t="s">
        <v>1262</v>
      </c>
    </row>
    <row r="833" spans="1:14" s="1016" customFormat="1" ht="25.2" hidden="1" customHeight="1">
      <c r="A833" s="1086">
        <f t="shared" si="34"/>
        <v>0</v>
      </c>
      <c r="B833" s="1226"/>
      <c r="C833" s="2841"/>
      <c r="D833" s="1116">
        <f>IF(H833&gt;0,1,0)</f>
        <v>0</v>
      </c>
      <c r="E833" s="1178"/>
      <c r="F833" s="1179" t="s">
        <v>3692</v>
      </c>
      <c r="G833" s="1116" t="s">
        <v>2385</v>
      </c>
      <c r="H833" s="1731">
        <f>H822/3</f>
        <v>0</v>
      </c>
      <c r="I833" s="1192">
        <f t="shared" si="35"/>
        <v>0</v>
      </c>
      <c r="J833" s="1180"/>
      <c r="K833" s="1180"/>
      <c r="L833" s="1129"/>
      <c r="M833" s="934" t="s">
        <v>1262</v>
      </c>
    </row>
    <row r="834" spans="1:14" s="1016" customFormat="1" ht="25.2" hidden="1" customHeight="1">
      <c r="A834" s="1086">
        <f t="shared" si="34"/>
        <v>0</v>
      </c>
      <c r="B834" s="1226"/>
      <c r="C834" s="2841"/>
      <c r="D834" s="1011"/>
      <c r="E834" s="1021"/>
      <c r="F834" s="1267" t="s">
        <v>2279</v>
      </c>
      <c r="G834" s="1023"/>
      <c r="H834" s="1713"/>
      <c r="I834" s="1192">
        <f t="shared" si="35"/>
        <v>0</v>
      </c>
      <c r="J834" s="1062"/>
      <c r="K834" s="1062"/>
      <c r="L834" s="1015"/>
      <c r="M834" s="934" t="s">
        <v>1262</v>
      </c>
    </row>
    <row r="835" spans="1:14" s="1016" customFormat="1" ht="25.2" hidden="1" customHeight="1">
      <c r="A835" s="1086">
        <f t="shared" si="34"/>
        <v>0</v>
      </c>
      <c r="B835" s="1087" t="s">
        <v>1041</v>
      </c>
      <c r="C835" s="2842"/>
      <c r="D835" s="1011"/>
      <c r="E835" s="1012">
        <f>VLOOKUP($B835,DG!A:D,DG!$B$2,)</f>
        <v>0</v>
      </c>
      <c r="F835" s="1013" t="str">
        <f>VLOOKUP($B835,DG!A:D,DG!$C$2,)</f>
        <v>Gía chùm treo máy biến áp 3x50</v>
      </c>
      <c r="G835" s="1012" t="str">
        <f>VLOOKUP($B835,DG!A:D,DG!$D$2,)</f>
        <v>bô</v>
      </c>
      <c r="H835" s="1713">
        <f>H833</f>
        <v>0</v>
      </c>
      <c r="I835" s="1192">
        <f t="shared" si="35"/>
        <v>0</v>
      </c>
      <c r="J835" s="1041"/>
      <c r="K835" s="1041"/>
      <c r="L835" s="1015"/>
      <c r="M835" s="934" t="s">
        <v>1262</v>
      </c>
    </row>
    <row r="836" spans="1:14" s="1016" customFormat="1" ht="25.2" hidden="1" customHeight="1">
      <c r="A836" s="1086">
        <f t="shared" si="34"/>
        <v>0</v>
      </c>
      <c r="B836" s="1226" t="s">
        <v>1786</v>
      </c>
      <c r="C836" s="2841"/>
      <c r="D836" s="1011"/>
      <c r="E836" s="1012">
        <f>VLOOKUP($B836,DG!A:D,DG!$B$2,)</f>
        <v>0</v>
      </c>
      <c r="F836" s="1013" t="str">
        <f>VLOOKUP($B836,DG!A:D,DG!$C$2,)</f>
        <v>Boulon 16x50+ 2 long đền vuông D18-50x50x3/Zn</v>
      </c>
      <c r="G836" s="1012" t="str">
        <f>VLOOKUP($B836,DG!A:D,DG!$D$2,)</f>
        <v>bộ</v>
      </c>
      <c r="H836" s="1713">
        <f>6*H833</f>
        <v>0</v>
      </c>
      <c r="I836" s="1192">
        <f t="shared" si="35"/>
        <v>0</v>
      </c>
      <c r="J836" s="1041"/>
      <c r="K836" s="1041"/>
      <c r="L836" s="1015"/>
      <c r="M836" s="934" t="s">
        <v>1262</v>
      </c>
    </row>
    <row r="837" spans="1:14" s="1016" customFormat="1" ht="25.2" hidden="1" customHeight="1">
      <c r="A837" s="1086">
        <f t="shared" si="34"/>
        <v>0</v>
      </c>
      <c r="B837" s="1226" t="s">
        <v>1610</v>
      </c>
      <c r="C837" s="2841"/>
      <c r="D837" s="1011"/>
      <c r="E837" s="1012">
        <f>VLOOKUP($B837,DG!A:D,DG!$B$2,)</f>
        <v>0</v>
      </c>
      <c r="F837" s="1013" t="str">
        <f>VLOOKUP($B837,DG!A:D,DG!$C$2,)</f>
        <v>Boulon 16x300+ 2 long đền vuông D18-50x50x3/Zn</v>
      </c>
      <c r="G837" s="1012" t="str">
        <f>VLOOKUP($B837,DG!A:D,DG!$D$2,)</f>
        <v>bộ</v>
      </c>
      <c r="H837" s="1713">
        <f>2*H833</f>
        <v>0</v>
      </c>
      <c r="I837" s="1192">
        <f>IF(M837=$M$23,H837+J837-K837,0)</f>
        <v>0</v>
      </c>
      <c r="J837" s="1041"/>
      <c r="K837" s="1041"/>
      <c r="L837" s="1015"/>
      <c r="M837" s="934" t="s">
        <v>1262</v>
      </c>
    </row>
    <row r="838" spans="1:14" s="1016" customFormat="1" ht="25.2" hidden="1" customHeight="1">
      <c r="A838" s="1086">
        <f t="shared" si="34"/>
        <v>0</v>
      </c>
      <c r="B838" s="1226" t="s">
        <v>4764</v>
      </c>
      <c r="C838" s="2841"/>
      <c r="D838" s="1011"/>
      <c r="E838" s="1012" t="str">
        <f>VLOOKUP($B838,DG!A:D,DG!$B$2,)</f>
        <v>05.6100</v>
      </c>
      <c r="F838" s="1013" t="str">
        <f>VLOOKUP($B838,DG!A:D,DG!$C$2,)</f>
        <v>Lắp giá treo máy biến áp</v>
      </c>
      <c r="G838" s="1012" t="str">
        <f>VLOOKUP($B838,DG!A:D,DG!$D$2,)</f>
        <v>tấn</v>
      </c>
      <c r="H838" s="1713"/>
      <c r="I838" s="1192">
        <f t="shared" si="35"/>
        <v>0</v>
      </c>
      <c r="J838" s="1041"/>
      <c r="K838" s="1041"/>
      <c r="L838" s="1015"/>
      <c r="M838" s="934" t="s">
        <v>1262</v>
      </c>
    </row>
    <row r="839" spans="1:14" s="1016" customFormat="1" ht="25.2" hidden="1" customHeight="1">
      <c r="A839" s="1086">
        <f t="shared" si="34"/>
        <v>0</v>
      </c>
      <c r="B839" s="1226"/>
      <c r="C839" s="2841"/>
      <c r="D839" s="1011">
        <f>IF(H839&gt;0,D833+1,D833)</f>
        <v>0</v>
      </c>
      <c r="E839" s="1118"/>
      <c r="F839" s="1119" t="s">
        <v>3674</v>
      </c>
      <c r="G839" s="1099" t="s">
        <v>2385</v>
      </c>
      <c r="H839" s="1707">
        <f>H833*0</f>
        <v>0</v>
      </c>
      <c r="I839" s="1192">
        <f t="shared" si="35"/>
        <v>0</v>
      </c>
      <c r="J839" s="1064"/>
      <c r="K839" s="1064"/>
      <c r="L839" s="1043"/>
      <c r="M839" s="934" t="s">
        <v>1262</v>
      </c>
    </row>
    <row r="840" spans="1:14" s="1016" customFormat="1" ht="25.2" hidden="1" customHeight="1">
      <c r="A840" s="1086">
        <f t="shared" si="34"/>
        <v>0</v>
      </c>
      <c r="B840" s="1226"/>
      <c r="C840" s="2841"/>
      <c r="D840" s="1099"/>
      <c r="E840" s="1118"/>
      <c r="F840" s="1264" t="s">
        <v>2279</v>
      </c>
      <c r="G840" s="1043"/>
      <c r="H840" s="1100"/>
      <c r="I840" s="1192">
        <f t="shared" si="35"/>
        <v>0</v>
      </c>
      <c r="J840" s="1064"/>
      <c r="K840" s="1064"/>
      <c r="L840" s="1043"/>
      <c r="M840" s="934" t="s">
        <v>1262</v>
      </c>
      <c r="N840" s="1120"/>
    </row>
    <row r="841" spans="1:14" s="1016" customFormat="1" ht="25.2" hidden="1" customHeight="1">
      <c r="A841" s="1086">
        <f t="shared" si="34"/>
        <v>0</v>
      </c>
      <c r="B841" s="1087" t="s">
        <v>115</v>
      </c>
      <c r="C841" s="2842"/>
      <c r="D841" s="1043"/>
      <c r="E841" s="1012">
        <f>VLOOKUP($B841,DG!A:D,DG!$B$2,)</f>
        <v>0</v>
      </c>
      <c r="F841" s="1013" t="str">
        <f>VLOOKUP($B841,DG!A:D,DG!$C$2,)</f>
        <v>Trụ BTLT 12m F540 dự ứng lực</v>
      </c>
      <c r="G841" s="1012" t="str">
        <f>VLOOKUP($B841,DG!A:D,DG!$D$2,)</f>
        <v>trụ</v>
      </c>
      <c r="H841" s="1100">
        <f>1*H839</f>
        <v>0</v>
      </c>
      <c r="I841" s="1192">
        <f t="shared" si="35"/>
        <v>0</v>
      </c>
      <c r="J841" s="1041"/>
      <c r="K841" s="1041"/>
      <c r="L841" s="1043"/>
      <c r="M841" s="934" t="s">
        <v>1262</v>
      </c>
      <c r="N841" s="1120"/>
    </row>
    <row r="842" spans="1:14" s="1016" customFormat="1" ht="25.2" hidden="1" customHeight="1">
      <c r="A842" s="1086">
        <f t="shared" si="34"/>
        <v>0</v>
      </c>
      <c r="B842" s="1087" t="s">
        <v>1814</v>
      </c>
      <c r="C842" s="2842"/>
      <c r="D842" s="1043"/>
      <c r="E842" s="1121"/>
      <c r="F842" s="1013" t="str">
        <f>VLOOKUP($B842,DG!A:D,DG!$C$2,)</f>
        <v>Vật liệu dựng trụ</v>
      </c>
      <c r="G842" s="1012" t="str">
        <f>VLOOKUP($B842,DG!A:D,DG!$D$2,)</f>
        <v>trụ</v>
      </c>
      <c r="H842" s="1100">
        <f>H841</f>
        <v>0</v>
      </c>
      <c r="I842" s="1192">
        <f t="shared" si="35"/>
        <v>0</v>
      </c>
      <c r="J842" s="1041"/>
      <c r="K842" s="1041"/>
      <c r="L842" s="1043"/>
      <c r="M842" s="934" t="s">
        <v>1262</v>
      </c>
      <c r="N842" s="1120"/>
    </row>
    <row r="843" spans="1:14" s="1016" customFormat="1" ht="25.2" hidden="1" customHeight="1">
      <c r="A843" s="1086">
        <f t="shared" si="34"/>
        <v>0</v>
      </c>
      <c r="B843" s="1087" t="s">
        <v>2126</v>
      </c>
      <c r="C843" s="2842"/>
      <c r="D843" s="1043"/>
      <c r="E843" s="1121"/>
      <c r="F843" s="1013" t="str">
        <f>VLOOKUP($B843,DG!A:D,DG!$C$2,)</f>
        <v>Dựng trụ BTLT 12m trong TBA bằng thủ công + cơ giới</v>
      </c>
      <c r="G843" s="1012" t="str">
        <f>VLOOKUP($B843,DG!A:D,DG!$D$2,)</f>
        <v>trụ</v>
      </c>
      <c r="H843" s="1100">
        <f>H841</f>
        <v>0</v>
      </c>
      <c r="I843" s="1192">
        <f t="shared" si="35"/>
        <v>0</v>
      </c>
      <c r="J843" s="1041"/>
      <c r="K843" s="1041"/>
      <c r="L843" s="1043"/>
      <c r="M843" s="934" t="s">
        <v>1262</v>
      </c>
      <c r="N843" s="1120"/>
    </row>
    <row r="844" spans="1:14" s="1016" customFormat="1" ht="25.2" hidden="1" customHeight="1">
      <c r="A844" s="1086">
        <f t="shared" si="34"/>
        <v>0</v>
      </c>
      <c r="B844" s="1226"/>
      <c r="C844" s="2841"/>
      <c r="D844" s="1011">
        <f>IF(H844&gt;0,D839+1,D839)</f>
        <v>0</v>
      </c>
      <c r="E844" s="1118"/>
      <c r="F844" s="1119" t="s">
        <v>2352</v>
      </c>
      <c r="G844" s="1099" t="s">
        <v>2385</v>
      </c>
      <c r="H844" s="1707">
        <f>H839</f>
        <v>0</v>
      </c>
      <c r="I844" s="1192">
        <f t="shared" si="35"/>
        <v>0</v>
      </c>
      <c r="J844" s="1064"/>
      <c r="K844" s="1064"/>
      <c r="L844" s="1043"/>
      <c r="M844" s="934" t="s">
        <v>1262</v>
      </c>
    </row>
    <row r="845" spans="1:14" s="1016" customFormat="1" ht="25.2" hidden="1" customHeight="1">
      <c r="A845" s="1086">
        <f t="shared" si="34"/>
        <v>0</v>
      </c>
      <c r="B845" s="1226"/>
      <c r="C845" s="2841"/>
      <c r="D845" s="1099"/>
      <c r="E845" s="1118"/>
      <c r="F845" s="1264" t="s">
        <v>2279</v>
      </c>
      <c r="G845" s="1043"/>
      <c r="H845" s="1100"/>
      <c r="I845" s="1192">
        <f t="shared" si="35"/>
        <v>0</v>
      </c>
      <c r="J845" s="1064"/>
      <c r="K845" s="1064"/>
      <c r="L845" s="1043"/>
      <c r="M845" s="934" t="s">
        <v>1262</v>
      </c>
      <c r="N845" s="1120"/>
    </row>
    <row r="846" spans="1:14" s="1016" customFormat="1" ht="25.2" hidden="1" customHeight="1">
      <c r="A846" s="1086">
        <f t="shared" si="34"/>
        <v>0</v>
      </c>
      <c r="B846" s="1233" t="s">
        <v>636</v>
      </c>
      <c r="C846" s="2843"/>
      <c r="D846" s="1043"/>
      <c r="E846" s="1012" t="str">
        <f>VLOOKUP($B846,DG!A:D,DG!$B$2,)</f>
        <v>04.4001</v>
      </c>
      <c r="F846" s="1013" t="str">
        <f>VLOOKUP($B846,DG!A:D,DG!$C$2,)</f>
        <v>Đà cản BTCT 1,2m</v>
      </c>
      <c r="G846" s="1012" t="str">
        <f>VLOOKUP($B846,DG!A:D,DG!$D$2,)</f>
        <v>cái</v>
      </c>
      <c r="H846" s="1100">
        <f>1*H844</f>
        <v>0</v>
      </c>
      <c r="I846" s="1192">
        <f t="shared" si="35"/>
        <v>0</v>
      </c>
      <c r="J846" s="1041"/>
      <c r="K846" s="1041"/>
      <c r="L846" s="1043"/>
      <c r="M846" s="934" t="s">
        <v>1262</v>
      </c>
      <c r="N846" s="1120"/>
    </row>
    <row r="847" spans="1:14" s="1016" customFormat="1" ht="25.2" hidden="1" customHeight="1">
      <c r="A847" s="1086">
        <f t="shared" si="34"/>
        <v>0</v>
      </c>
      <c r="B847" s="1233" t="s">
        <v>566</v>
      </c>
      <c r="C847" s="2843"/>
      <c r="D847" s="1043"/>
      <c r="E847" s="1012">
        <f>VLOOKUP($B847,DG!A:D,DG!$B$2,)</f>
        <v>0</v>
      </c>
      <c r="F847" s="1013" t="str">
        <f>VLOOKUP($B847,DG!A:D,DG!$C$2,)</f>
        <v>Boulon 22x650+ 2 long đền vuông D24-50x50x3/Zn</v>
      </c>
      <c r="G847" s="1012" t="str">
        <f>VLOOKUP($B847,DG!A:D,DG!$D$2,)</f>
        <v>bộ</v>
      </c>
      <c r="H847" s="1100">
        <f>H844</f>
        <v>0</v>
      </c>
      <c r="I847" s="1192">
        <f t="shared" si="35"/>
        <v>0</v>
      </c>
      <c r="J847" s="1041"/>
      <c r="K847" s="1041"/>
      <c r="L847" s="1043"/>
      <c r="M847" s="934" t="s">
        <v>1262</v>
      </c>
      <c r="N847" s="1120"/>
    </row>
    <row r="848" spans="1:14" s="1016" customFormat="1" ht="25.2" hidden="1" customHeight="1">
      <c r="A848" s="1086">
        <f t="shared" si="34"/>
        <v>0</v>
      </c>
      <c r="B848" s="1233" t="str">
        <f>IF(chitiet!G5=1,"MDD1",IF(chitiet!G5=2,"MDD2",IF(chitiet!G5=3,"MDD3",IF(chitiet!G5=4,"MDD4"))))</f>
        <v>MDD3</v>
      </c>
      <c r="C848" s="2843"/>
      <c r="D848" s="1043"/>
      <c r="E848" s="1012" t="str">
        <f>VLOOKUP($B848,DG!A:D,DG!$B$2,)</f>
        <v>03.1013</v>
      </c>
      <c r="F848" s="1013" t="str">
        <f>VLOOKUP($B848,DG!A:D,DG!$C$2,)</f>
        <v>Đào hố móng đất cấp 3 sâu &gt;1m</v>
      </c>
      <c r="G848" s="1012" t="str">
        <f>VLOOKUP($B848,DG!A:D,DG!$D$2,)</f>
        <v>m3</v>
      </c>
      <c r="H848" s="1100">
        <f>H844*0.87</f>
        <v>0</v>
      </c>
      <c r="I848" s="1192">
        <f t="shared" si="35"/>
        <v>0</v>
      </c>
      <c r="J848" s="1041"/>
      <c r="K848" s="1041"/>
      <c r="L848" s="1043"/>
      <c r="M848" s="934" t="s">
        <v>1262</v>
      </c>
      <c r="N848" s="1120"/>
    </row>
    <row r="849" spans="1:14" s="1016" customFormat="1" ht="25.2" hidden="1" customHeight="1">
      <c r="A849" s="1086">
        <f t="shared" si="34"/>
        <v>0</v>
      </c>
      <c r="B849" s="1233" t="str">
        <f>IF(chitiet!G5=1,"MDAP1",IF(chitiet!G5=2,"MDAP2",IF(chitiet!G5=3,"MDAP3",IF(chitiet!G5=4,"MDAP4"))))</f>
        <v>MDAP3</v>
      </c>
      <c r="C849" s="2843"/>
      <c r="D849" s="1043"/>
      <c r="E849" s="1012" t="str">
        <f>VLOOKUP($B849,DG!A:D,DG!$B$2,)</f>
        <v>03.4113</v>
      </c>
      <c r="F849" s="1013" t="str">
        <f>VLOOKUP($B849,DG!A:D,DG!$C$2,)</f>
        <v>Đắp đất hố móng, độ chặt k=0,95</v>
      </c>
      <c r="G849" s="1012" t="str">
        <f>VLOOKUP($B849,DG!A:D,DG!$D$2,)</f>
        <v>m3</v>
      </c>
      <c r="H849" s="1100">
        <f>H844*0.79</f>
        <v>0</v>
      </c>
      <c r="I849" s="1192">
        <f t="shared" si="35"/>
        <v>0</v>
      </c>
      <c r="J849" s="1041"/>
      <c r="K849" s="1041"/>
      <c r="L849" s="1043"/>
      <c r="M849" s="934" t="s">
        <v>1262</v>
      </c>
      <c r="N849" s="1120"/>
    </row>
    <row r="850" spans="1:14" s="1016" customFormat="1" ht="25.2" hidden="1" customHeight="1">
      <c r="A850" s="1086">
        <f t="shared" si="34"/>
        <v>0</v>
      </c>
      <c r="B850" s="1226"/>
      <c r="C850" s="2841"/>
      <c r="D850" s="1099">
        <f>IF(H850&gt;0,D844+1,D844)</f>
        <v>0</v>
      </c>
      <c r="E850" s="1142"/>
      <c r="F850" s="1130" t="s">
        <v>3699</v>
      </c>
      <c r="G850" s="1099" t="s">
        <v>2385</v>
      </c>
      <c r="H850" s="1707">
        <f>H833</f>
        <v>0</v>
      </c>
      <c r="I850" s="1192">
        <f t="shared" si="35"/>
        <v>0</v>
      </c>
      <c r="J850" s="1064"/>
      <c r="K850" s="1064"/>
      <c r="L850" s="1015"/>
      <c r="M850" s="934" t="s">
        <v>1262</v>
      </c>
    </row>
    <row r="851" spans="1:14" s="1016" customFormat="1" ht="25.2" hidden="1" customHeight="1">
      <c r="A851" s="1086">
        <f t="shared" si="34"/>
        <v>0</v>
      </c>
      <c r="B851" s="1226"/>
      <c r="C851" s="2841"/>
      <c r="D851" s="1099"/>
      <c r="E851" s="1142"/>
      <c r="F851" s="1265" t="s">
        <v>2279</v>
      </c>
      <c r="G851" s="1043"/>
      <c r="H851" s="1100"/>
      <c r="I851" s="1192">
        <f t="shared" si="35"/>
        <v>0</v>
      </c>
      <c r="J851" s="1064"/>
      <c r="K851" s="1064"/>
      <c r="L851" s="1015"/>
      <c r="M851" s="934" t="s">
        <v>1262</v>
      </c>
    </row>
    <row r="852" spans="1:14" s="1016" customFormat="1" ht="25.2" hidden="1" customHeight="1">
      <c r="A852" s="1086">
        <f t="shared" si="34"/>
        <v>0</v>
      </c>
      <c r="B852" s="1233" t="s">
        <v>4328</v>
      </c>
      <c r="C852" s="2843"/>
      <c r="D852" s="1099"/>
      <c r="E852" s="1012">
        <f>VLOOKUP($B852,DG!A:D,DG!$B$2,)</f>
        <v>0</v>
      </c>
      <c r="F852" s="1013" t="str">
        <f>VLOOKUP($B852,DG!A:D,DG!$C$2,)</f>
        <v>Xà composite 110x800x5 dài 2,4m</v>
      </c>
      <c r="G852" s="1012" t="str">
        <f>VLOOKUP($B852,DG!A:D,DG!$D$2,)</f>
        <v>cái</v>
      </c>
      <c r="H852" s="1100">
        <v>1</v>
      </c>
      <c r="I852" s="1192">
        <f t="shared" si="35"/>
        <v>0</v>
      </c>
      <c r="J852" s="1041"/>
      <c r="K852" s="1041"/>
      <c r="L852" s="1015"/>
      <c r="M852" s="934" t="s">
        <v>1262</v>
      </c>
    </row>
    <row r="853" spans="1:14" s="1016" customFormat="1" ht="25.2" hidden="1" customHeight="1">
      <c r="A853" s="1086">
        <f t="shared" si="34"/>
        <v>0</v>
      </c>
      <c r="B853" s="1226" t="s">
        <v>365</v>
      </c>
      <c r="C853" s="2841"/>
      <c r="D853" s="1099"/>
      <c r="E853" s="1012">
        <f>VLOOKUP($B853,DG!A:D,DG!$B$2,)</f>
        <v>0</v>
      </c>
      <c r="F853" s="1013" t="str">
        <f>VLOOKUP($B853,DG!A:D,DG!$C$2,)</f>
        <v>Chống composite 40x10x920</v>
      </c>
      <c r="G853" s="1012" t="str">
        <f>VLOOKUP($B853,DG!A:D,DG!$D$2,)</f>
        <v>cái</v>
      </c>
      <c r="H853" s="1100">
        <v>2</v>
      </c>
      <c r="I853" s="1192">
        <f t="shared" si="35"/>
        <v>0</v>
      </c>
      <c r="J853" s="1041"/>
      <c r="K853" s="1041"/>
      <c r="L853" s="1015"/>
      <c r="M853" s="934" t="s">
        <v>1262</v>
      </c>
    </row>
    <row r="854" spans="1:14" s="1016" customFormat="1" ht="25.2" hidden="1" customHeight="1">
      <c r="A854" s="1086">
        <f t="shared" si="34"/>
        <v>0</v>
      </c>
      <c r="B854" s="1226" t="s">
        <v>488</v>
      </c>
      <c r="C854" s="2841"/>
      <c r="D854" s="1099"/>
      <c r="E854" s="1012">
        <f>VLOOKUP($B854,DG!A:D,DG!$B$2,)</f>
        <v>0</v>
      </c>
      <c r="F854" s="1013" t="str">
        <f>VLOOKUP($B854,DG!A:D,DG!$C$2,)</f>
        <v>Bass LL bắt FCO, LA</v>
      </c>
      <c r="G854" s="1012" t="str">
        <f>VLOOKUP($B854,DG!A:D,DG!$D$2,)</f>
        <v>bộ</v>
      </c>
      <c r="H854" s="1100">
        <f>H850*3</f>
        <v>0</v>
      </c>
      <c r="I854" s="1192">
        <f t="shared" si="35"/>
        <v>0</v>
      </c>
      <c r="J854" s="1041"/>
      <c r="K854" s="1041"/>
      <c r="L854" s="1015"/>
      <c r="M854" s="934" t="s">
        <v>1262</v>
      </c>
    </row>
    <row r="855" spans="1:14" s="1016" customFormat="1" ht="25.2" hidden="1" customHeight="1">
      <c r="A855" s="1086">
        <f t="shared" si="34"/>
        <v>0</v>
      </c>
      <c r="B855" s="1226" t="s">
        <v>244</v>
      </c>
      <c r="C855" s="2841"/>
      <c r="D855" s="1099"/>
      <c r="E855" s="1012">
        <f>VLOOKUP($B855,DG!A:D,DG!$B$2,)</f>
        <v>0</v>
      </c>
      <c r="F855" s="1013" t="str">
        <f>VLOOKUP($B855,DG!A:D,DG!$C$2,)</f>
        <v>Boulon 16x150+ 2 long đền vuông D18-50x50x3/Zn</v>
      </c>
      <c r="G855" s="1012" t="str">
        <f>VLOOKUP($B855,DG!A:D,DG!$D$2,)</f>
        <v>bộ</v>
      </c>
      <c r="H855" s="1100">
        <f>2*H850</f>
        <v>0</v>
      </c>
      <c r="I855" s="1192">
        <f t="shared" si="35"/>
        <v>0</v>
      </c>
      <c r="J855" s="1041"/>
      <c r="K855" s="1041"/>
      <c r="L855" s="1015"/>
      <c r="M855" s="934" t="s">
        <v>1262</v>
      </c>
    </row>
    <row r="856" spans="1:14" s="1016" customFormat="1" ht="25.2" hidden="1" customHeight="1">
      <c r="A856" s="1086">
        <f t="shared" si="34"/>
        <v>0</v>
      </c>
      <c r="B856" s="1226" t="s">
        <v>1610</v>
      </c>
      <c r="C856" s="2841"/>
      <c r="D856" s="1099"/>
      <c r="E856" s="1012">
        <f>VLOOKUP($B856,DG!A:D,DG!$B$2,)</f>
        <v>0</v>
      </c>
      <c r="F856" s="1013" t="str">
        <f>VLOOKUP($B856,DG!A:D,DG!$C$2,)</f>
        <v>Boulon 16x300+ 2 long đền vuông D18-50x50x3/Zn</v>
      </c>
      <c r="G856" s="1012" t="str">
        <f>VLOOKUP($B856,DG!A:D,DG!$D$2,)</f>
        <v>bộ</v>
      </c>
      <c r="H856" s="1100">
        <v>1</v>
      </c>
      <c r="I856" s="1192">
        <f>IF(M856=$M$23,H856+J856-K856,0)</f>
        <v>0</v>
      </c>
      <c r="J856" s="1041"/>
      <c r="K856" s="1041"/>
      <c r="L856" s="1015"/>
      <c r="M856" s="934" t="s">
        <v>1262</v>
      </c>
    </row>
    <row r="857" spans="1:14" s="1016" customFormat="1" ht="25.2" hidden="1" customHeight="1">
      <c r="A857" s="1086">
        <f t="shared" si="34"/>
        <v>0</v>
      </c>
      <c r="B857" s="1226" t="s">
        <v>1083</v>
      </c>
      <c r="C857" s="2841"/>
      <c r="D857" s="1099"/>
      <c r="E857" s="1012">
        <f>VLOOKUP($B857,DG!A:D,DG!$B$2,)</f>
        <v>0</v>
      </c>
      <c r="F857" s="1013" t="str">
        <f>VLOOKUP($B857,DG!A:D,DG!$C$2,)</f>
        <v>Boulon 16x400+ 2 long đền vuông D18-50x50x3/Zn</v>
      </c>
      <c r="G857" s="1012" t="str">
        <f>VLOOKUP($B857,DG!A:D,DG!$D$2,)</f>
        <v>bộ</v>
      </c>
      <c r="H857" s="1100">
        <v>1</v>
      </c>
      <c r="I857" s="1192">
        <f t="shared" si="35"/>
        <v>0</v>
      </c>
      <c r="J857" s="1041"/>
      <c r="K857" s="1041"/>
      <c r="L857" s="1015"/>
      <c r="M857" s="934" t="s">
        <v>1262</v>
      </c>
    </row>
    <row r="858" spans="1:14" s="1016" customFormat="1" ht="25.2" hidden="1" customHeight="1">
      <c r="A858" s="1086">
        <f t="shared" ref="A858:A921" si="37">IF(AND(M858=$M$23,I858&gt;0),1,0)</f>
        <v>0</v>
      </c>
      <c r="B858" s="1226" t="s">
        <v>420</v>
      </c>
      <c r="C858" s="2841"/>
      <c r="D858" s="1099"/>
      <c r="E858" s="1012" t="str">
        <f>VLOOKUP($B858,DG!A:D,DG!$B$2,)</f>
        <v>05.6102</v>
      </c>
      <c r="F858" s="1013" t="str">
        <f>VLOOKUP($B858,DG!A:D,DG!$C$2,)</f>
        <v>Lắp xà đỡ ≤ 50kg</v>
      </c>
      <c r="G858" s="1012" t="str">
        <f>VLOOKUP($B858,DG!A:D,DG!$D$2,)</f>
        <v>bộ</v>
      </c>
      <c r="H858" s="1100">
        <f>H850</f>
        <v>0</v>
      </c>
      <c r="I858" s="1192">
        <f t="shared" si="35"/>
        <v>0</v>
      </c>
      <c r="J858" s="1041"/>
      <c r="K858" s="1041"/>
      <c r="L858" s="1015"/>
      <c r="M858" s="934" t="s">
        <v>1262</v>
      </c>
    </row>
    <row r="859" spans="1:14" s="1016" customFormat="1" ht="25.2" hidden="1" customHeight="1">
      <c r="A859" s="1086">
        <f t="shared" si="37"/>
        <v>0</v>
      </c>
      <c r="B859" s="1226"/>
      <c r="C859" s="2841"/>
      <c r="D859" s="1011">
        <f>IF(H859&gt;0,D850+1,D850)</f>
        <v>0</v>
      </c>
      <c r="E859" s="1021"/>
      <c r="F859" s="1181" t="s">
        <v>3694</v>
      </c>
      <c r="G859" s="1011" t="s">
        <v>2385</v>
      </c>
      <c r="H859" s="1723">
        <f>H833</f>
        <v>0</v>
      </c>
      <c r="I859" s="1192">
        <f t="shared" si="35"/>
        <v>0</v>
      </c>
      <c r="J859" s="1064"/>
      <c r="K859" s="1064"/>
      <c r="L859" s="1015"/>
      <c r="M859" s="934" t="s">
        <v>1262</v>
      </c>
    </row>
    <row r="860" spans="1:14" s="1016" customFormat="1" ht="25.2" hidden="1" customHeight="1">
      <c r="A860" s="1086">
        <f t="shared" si="37"/>
        <v>0</v>
      </c>
      <c r="B860" s="1226"/>
      <c r="C860" s="2841"/>
      <c r="D860" s="1011"/>
      <c r="E860" s="1021"/>
      <c r="F860" s="1267" t="s">
        <v>2279</v>
      </c>
      <c r="G860" s="1012"/>
      <c r="H860" s="1713"/>
      <c r="I860" s="1192">
        <f t="shared" si="35"/>
        <v>0</v>
      </c>
      <c r="J860" s="1064"/>
      <c r="K860" s="1064"/>
      <c r="L860" s="1015"/>
      <c r="M860" s="934" t="s">
        <v>1262</v>
      </c>
    </row>
    <row r="861" spans="1:14" s="1016" customFormat="1" ht="25.2" hidden="1" customHeight="1">
      <c r="A861" s="1086">
        <f t="shared" si="37"/>
        <v>0</v>
      </c>
      <c r="B861" s="1226" t="s">
        <v>103</v>
      </c>
      <c r="C861" s="2841"/>
      <c r="D861" s="1043"/>
      <c r="E861" s="1012">
        <f>VLOOKUP($B861,DG!A:D,DG!$B$2,)</f>
        <v>0</v>
      </c>
      <c r="F861" s="1013" t="str">
        <f>VLOOKUP($B861,DG!A:D,DG!$C$2,)</f>
        <v>Cáp đồng trần M25mm2</v>
      </c>
      <c r="G861" s="1012" t="str">
        <f>VLOOKUP($B861,DG!A:D,DG!$D$2,)</f>
        <v>kg</v>
      </c>
      <c r="H861" s="1100">
        <v>11.9</v>
      </c>
      <c r="I861" s="1192">
        <f t="shared" si="35"/>
        <v>0</v>
      </c>
      <c r="J861" s="1041"/>
      <c r="K861" s="1041"/>
      <c r="L861" s="1015"/>
      <c r="M861" s="934" t="s">
        <v>1262</v>
      </c>
    </row>
    <row r="862" spans="1:14" s="1016" customFormat="1" ht="25.2" hidden="1" customHeight="1">
      <c r="A862" s="1086">
        <f t="shared" si="37"/>
        <v>0</v>
      </c>
      <c r="B862" s="1226" t="s">
        <v>2107</v>
      </c>
      <c r="C862" s="2841"/>
      <c r="D862" s="1043"/>
      <c r="E862" s="1012" t="str">
        <f>VLOOKUP($B862,DG!A:D,DG!$B$2,)</f>
        <v>04.4201</v>
      </c>
      <c r="F862" s="1013" t="str">
        <f>VLOOKUP($B862,DG!A:D,DG!$C$2,)</f>
        <v>Cáp đồng bọc CV11</v>
      </c>
      <c r="G862" s="1012" t="str">
        <f>VLOOKUP($B862,DG!A:D,DG!$D$2,)</f>
        <v>mét</v>
      </c>
      <c r="H862" s="1100">
        <v>2</v>
      </c>
      <c r="I862" s="1192">
        <f>IF(M862=$M$23,H862+J862-K862,0)</f>
        <v>0</v>
      </c>
      <c r="J862" s="1041"/>
      <c r="K862" s="1041"/>
      <c r="L862" s="1015"/>
      <c r="M862" s="934" t="s">
        <v>1262</v>
      </c>
    </row>
    <row r="863" spans="1:14" s="1016" customFormat="1" ht="25.2" hidden="1" customHeight="1">
      <c r="A863" s="1086">
        <f t="shared" si="37"/>
        <v>0</v>
      </c>
      <c r="B863" s="1087" t="s">
        <v>1508</v>
      </c>
      <c r="C863" s="2842"/>
      <c r="D863" s="1043"/>
      <c r="E863" s="1012">
        <f>VLOOKUP($B863,DG!A:D,DG!$B$2,)</f>
        <v>0</v>
      </c>
      <c r="F863" s="1013" t="str">
        <f>VLOOKUP($B863,DG!A:D,DG!$C$2,)</f>
        <v>Cọc tiếp đất Þ 16- 2,4m + kẹp cọc mạ đồng</v>
      </c>
      <c r="G863" s="1012" t="str">
        <f>VLOOKUP($B863,DG!A:D,DG!$D$2,)</f>
        <v>bộ</v>
      </c>
      <c r="H863" s="1100">
        <v>10</v>
      </c>
      <c r="I863" s="1192">
        <f t="shared" si="35"/>
        <v>0</v>
      </c>
      <c r="J863" s="1041"/>
      <c r="K863" s="1041"/>
      <c r="L863" s="1015"/>
      <c r="M863" s="934" t="s">
        <v>1262</v>
      </c>
    </row>
    <row r="864" spans="1:14" s="1016" customFormat="1" ht="25.2" hidden="1" customHeight="1">
      <c r="A864" s="1086">
        <f t="shared" si="37"/>
        <v>0</v>
      </c>
      <c r="B864" s="1087" t="s">
        <v>995</v>
      </c>
      <c r="C864" s="2842"/>
      <c r="D864" s="1043"/>
      <c r="E864" s="1012">
        <f>VLOOKUP($B864,DG!A:D,DG!$B$2,)</f>
        <v>0</v>
      </c>
      <c r="F864" s="1013" t="str">
        <f>VLOOKUP($B864,DG!A:D,DG!$C$2,)</f>
        <v>Sắt Ø10</v>
      </c>
      <c r="G864" s="1012" t="str">
        <f>VLOOKUP($B864,DG!A:D,DG!$D$2,)</f>
        <v>kg</v>
      </c>
      <c r="H864" s="1100"/>
      <c r="I864" s="1192">
        <f t="shared" si="35"/>
        <v>0</v>
      </c>
      <c r="J864" s="1041"/>
      <c r="K864" s="1041"/>
      <c r="L864" s="1015"/>
      <c r="M864" s="934" t="s">
        <v>1262</v>
      </c>
    </row>
    <row r="865" spans="1:13" s="1016" customFormat="1" ht="25.2" hidden="1" customHeight="1">
      <c r="A865" s="1086">
        <f t="shared" si="37"/>
        <v>0</v>
      </c>
      <c r="B865" s="1087" t="s">
        <v>372</v>
      </c>
      <c r="C865" s="2842"/>
      <c r="D865" s="1043"/>
      <c r="E865" s="1012">
        <f>VLOOKUP($B865,DG!A:D,DG!$B$2,)</f>
        <v>0</v>
      </c>
      <c r="F865" s="1013" t="str">
        <f>VLOOKUP($B865,DG!A:D,DG!$C$2,)</f>
        <v>Bake D16 - 200x200</v>
      </c>
      <c r="G865" s="1012" t="str">
        <f>VLOOKUP($B865,DG!A:D,DG!$D$2,)</f>
        <v>cái</v>
      </c>
      <c r="H865" s="1100"/>
      <c r="I865" s="1192">
        <f t="shared" si="35"/>
        <v>0</v>
      </c>
      <c r="J865" s="1041"/>
      <c r="K865" s="1041"/>
      <c r="L865" s="1015"/>
      <c r="M865" s="934" t="s">
        <v>1262</v>
      </c>
    </row>
    <row r="866" spans="1:13" s="1016" customFormat="1" ht="25.2" hidden="1" customHeight="1">
      <c r="A866" s="1086">
        <f t="shared" si="37"/>
        <v>0</v>
      </c>
      <c r="B866" s="1231" t="s">
        <v>1062</v>
      </c>
      <c r="C866" s="2844"/>
      <c r="D866" s="1043"/>
      <c r="E866" s="1012" t="str">
        <f>VLOOKUP($B866,DG!A:D,DG!$B$2,)</f>
        <v>04.3107</v>
      </c>
      <c r="F866" s="1013" t="str">
        <f>VLOOKUP($B866,DG!A:D,DG!$C$2,)</f>
        <v>Ốc siết cáp cỡ 25mm2</v>
      </c>
      <c r="G866" s="1012" t="str">
        <f>VLOOKUP($B866,DG!A:D,DG!$D$2,)</f>
        <v>cái</v>
      </c>
      <c r="H866" s="1100">
        <v>6</v>
      </c>
      <c r="I866" s="1192">
        <f t="shared" si="35"/>
        <v>0</v>
      </c>
      <c r="J866" s="1041"/>
      <c r="K866" s="1041"/>
      <c r="L866" s="1015"/>
      <c r="M866" s="934" t="s">
        <v>1262</v>
      </c>
    </row>
    <row r="867" spans="1:13" s="1016" customFormat="1" ht="25.2" hidden="1" customHeight="1">
      <c r="A867" s="1086">
        <f t="shared" si="37"/>
        <v>0</v>
      </c>
      <c r="B867" s="1231" t="s">
        <v>1115</v>
      </c>
      <c r="C867" s="2844"/>
      <c r="D867" s="1043"/>
      <c r="E867" s="1012">
        <f>VLOOKUP($B867,DG!A:D,DG!$B$2,)</f>
        <v>0</v>
      </c>
      <c r="F867" s="1013" t="str">
        <f>VLOOKUP($B867,DG!A:D,DG!$C$2,)</f>
        <v>Kẹp ép cỡ dây 25mm2</v>
      </c>
      <c r="G867" s="1012" t="str">
        <f>VLOOKUP($B867,DG!A:D,DG!$D$2,)</f>
        <v>cái</v>
      </c>
      <c r="H867" s="1100">
        <v>2</v>
      </c>
      <c r="I867" s="1192">
        <f t="shared" si="35"/>
        <v>0</v>
      </c>
      <c r="J867" s="1041"/>
      <c r="K867" s="1041"/>
      <c r="L867" s="1015"/>
      <c r="M867" s="934" t="s">
        <v>1262</v>
      </c>
    </row>
    <row r="868" spans="1:13" s="1016" customFormat="1" ht="25.2" hidden="1" customHeight="1">
      <c r="A868" s="1086">
        <f t="shared" si="37"/>
        <v>0</v>
      </c>
      <c r="B868" s="1231" t="s">
        <v>377</v>
      </c>
      <c r="C868" s="2844"/>
      <c r="D868" s="1043"/>
      <c r="E868" s="1012" t="str">
        <f>VLOOKUP($B868,DG!A:D,DG!$B$2,)</f>
        <v>03.4002</v>
      </c>
      <c r="F868" s="1013" t="str">
        <f>VLOOKUP($B868,DG!A:D,DG!$C$2,)</f>
        <v>Đầu cosse ép Cu 35mm2</v>
      </c>
      <c r="G868" s="1012" t="str">
        <f>VLOOKUP($B868,DG!A:D,DG!$D$2,)</f>
        <v>cái</v>
      </c>
      <c r="H868" s="1100"/>
      <c r="I868" s="1192">
        <f t="shared" si="35"/>
        <v>0</v>
      </c>
      <c r="J868" s="1041"/>
      <c r="K868" s="1041"/>
      <c r="L868" s="1015"/>
      <c r="M868" s="934" t="s">
        <v>1262</v>
      </c>
    </row>
    <row r="869" spans="1:13" s="1016" customFormat="1" ht="25.2" hidden="1" customHeight="1">
      <c r="A869" s="1086">
        <f t="shared" si="37"/>
        <v>0</v>
      </c>
      <c r="B869" s="1231" t="s">
        <v>371</v>
      </c>
      <c r="C869" s="2844"/>
      <c r="D869" s="1043"/>
      <c r="E869" s="1012" t="str">
        <f>VLOOKUP($B869,DG!A:D,DG!$B$2,)</f>
        <v>03.4003</v>
      </c>
      <c r="F869" s="1013" t="str">
        <f>VLOOKUP($B869,DG!A:D,DG!$C$2,)</f>
        <v>Đầu cosse ép Cu 70mm2</v>
      </c>
      <c r="G869" s="1012" t="str">
        <f>VLOOKUP($B869,DG!A:D,DG!$D$2,)</f>
        <v>cái</v>
      </c>
      <c r="H869" s="1100"/>
      <c r="I869" s="1192">
        <f t="shared" si="35"/>
        <v>0</v>
      </c>
      <c r="J869" s="1041"/>
      <c r="K869" s="1041"/>
      <c r="L869" s="1015"/>
      <c r="M869" s="934" t="s">
        <v>1262</v>
      </c>
    </row>
    <row r="870" spans="1:13" s="1016" customFormat="1" ht="25.2" hidden="1" customHeight="1">
      <c r="A870" s="1086">
        <f t="shared" si="37"/>
        <v>0</v>
      </c>
      <c r="B870" s="1087" t="s">
        <v>375</v>
      </c>
      <c r="C870" s="2842"/>
      <c r="D870" s="1043"/>
      <c r="E870" s="1012" t="str">
        <f>VLOOKUP($B870,DG!A:D,DG!$B$2,)</f>
        <v>06.3231</v>
      </c>
      <c r="F870" s="1013" t="str">
        <f>VLOOKUP($B870,DG!A:D,DG!$C$2,)</f>
        <v>Cổ dê kẹp sắt Ø 10</v>
      </c>
      <c r="G870" s="1012" t="str">
        <f>VLOOKUP($B870,DG!A:D,DG!$D$2,)</f>
        <v>bộ</v>
      </c>
      <c r="H870" s="1100"/>
      <c r="I870" s="1192">
        <f t="shared" si="35"/>
        <v>0</v>
      </c>
      <c r="J870" s="1041"/>
      <c r="K870" s="1041"/>
      <c r="L870" s="1015"/>
      <c r="M870" s="934" t="s">
        <v>1262</v>
      </c>
    </row>
    <row r="871" spans="1:13" s="1016" customFormat="1" ht="25.2" hidden="1" customHeight="1">
      <c r="A871" s="1086">
        <f t="shared" si="37"/>
        <v>0</v>
      </c>
      <c r="B871" s="1087" t="s">
        <v>1350</v>
      </c>
      <c r="C871" s="2842"/>
      <c r="D871" s="1043"/>
      <c r="E871" s="1012">
        <f>VLOOKUP($B871,DG!A:D,DG!$B$2,)</f>
        <v>0</v>
      </c>
      <c r="F871" s="1013" t="s">
        <v>821</v>
      </c>
      <c r="G871" s="1012" t="str">
        <f>VLOOKUP($B871,DG!A:D,DG!$D$2,)</f>
        <v>bộ</v>
      </c>
      <c r="H871" s="1100"/>
      <c r="I871" s="1192">
        <f t="shared" si="35"/>
        <v>0</v>
      </c>
      <c r="J871" s="1041"/>
      <c r="K871" s="1041"/>
      <c r="L871" s="1015"/>
      <c r="M871" s="934" t="s">
        <v>1262</v>
      </c>
    </row>
    <row r="872" spans="1:13" s="1016" customFormat="1" ht="25.2" hidden="1" customHeight="1">
      <c r="A872" s="1086">
        <f t="shared" si="37"/>
        <v>0</v>
      </c>
      <c r="B872" s="1231" t="s">
        <v>2183</v>
      </c>
      <c r="C872" s="2844"/>
      <c r="D872" s="1043"/>
      <c r="E872" s="1012" t="str">
        <f>VLOOKUP($B872,DG!A:D,DG!$B$2,)</f>
        <v>04.7002</v>
      </c>
      <c r="F872" s="1013" t="str">
        <f>VLOOKUP($B872,DG!A:D,DG!$C$2,)</f>
        <v>Kéo dây tiếp địa trong TBA</v>
      </c>
      <c r="G872" s="1012" t="str">
        <f>VLOOKUP($B872,DG!A:D,DG!$D$2,)</f>
        <v>kg</v>
      </c>
      <c r="H872" s="1100">
        <v>53</v>
      </c>
      <c r="I872" s="1192">
        <f t="shared" si="35"/>
        <v>0</v>
      </c>
      <c r="J872" s="1041"/>
      <c r="K872" s="1041"/>
      <c r="L872" s="1015"/>
      <c r="M872" s="934" t="s">
        <v>1262</v>
      </c>
    </row>
    <row r="873" spans="1:13" s="1016" customFormat="1" ht="25.2" hidden="1" customHeight="1">
      <c r="A873" s="1086">
        <f t="shared" si="37"/>
        <v>0</v>
      </c>
      <c r="B873" s="1087" t="s">
        <v>902</v>
      </c>
      <c r="C873" s="2842"/>
      <c r="D873" s="1043"/>
      <c r="E873" s="1012" t="str">
        <f>VLOOKUP($B873,DG!A:D,DG!$B$2,)</f>
        <v>04.7001</v>
      </c>
      <c r="F873" s="1013" t="str">
        <f>VLOOKUP($B873,DG!A:D,DG!$C$2,)</f>
        <v>Đóng cọc tiếp địa trong TBA</v>
      </c>
      <c r="G873" s="1012" t="str">
        <f>VLOOKUP($B873,DG!A:D,DG!$D$2,)</f>
        <v>cọc</v>
      </c>
      <c r="H873" s="1100">
        <f>H863</f>
        <v>10</v>
      </c>
      <c r="I873" s="1192">
        <f t="shared" si="35"/>
        <v>0</v>
      </c>
      <c r="J873" s="1041"/>
      <c r="K873" s="1041"/>
      <c r="L873" s="1015"/>
      <c r="M873" s="934" t="s">
        <v>1262</v>
      </c>
    </row>
    <row r="874" spans="1:13" s="1016" customFormat="1" ht="25.2" hidden="1" customHeight="1">
      <c r="A874" s="1086">
        <f t="shared" si="37"/>
        <v>0</v>
      </c>
      <c r="B874" s="1231" t="str">
        <f>"dtd"&amp;chitiet!G5</f>
        <v>dtd3</v>
      </c>
      <c r="C874" s="2844"/>
      <c r="D874" s="1043"/>
      <c r="E874" s="1012" t="str">
        <f>VLOOKUP($B874,DG!A:D,DG!$B$2,)</f>
        <v>03.3123</v>
      </c>
      <c r="F874" s="1013" t="str">
        <f>VLOOKUP($B874,DG!A:D,DG!$C$2,)</f>
        <v>Đào rãnh tiếp địa đất cấp 3</v>
      </c>
      <c r="G874" s="1012" t="str">
        <f>VLOOKUP($B874,DG!A:D,DG!$D$2,)</f>
        <v>m3</v>
      </c>
      <c r="H874" s="1100">
        <v>4.0999999999999996</v>
      </c>
      <c r="I874" s="1192">
        <f t="shared" si="35"/>
        <v>0</v>
      </c>
      <c r="J874" s="1041"/>
      <c r="K874" s="1041"/>
      <c r="L874" s="1015"/>
      <c r="M874" s="934" t="s">
        <v>1262</v>
      </c>
    </row>
    <row r="875" spans="1:13" s="1016" customFormat="1" ht="25.2" hidden="1" customHeight="1">
      <c r="A875" s="1086">
        <f t="shared" si="37"/>
        <v>0</v>
      </c>
      <c r="B875" s="1087" t="str">
        <f>"datd"&amp;chitiet!G5</f>
        <v>datd3</v>
      </c>
      <c r="C875" s="2842"/>
      <c r="D875" s="1043"/>
      <c r="E875" s="1012" t="str">
        <f>VLOOKUP($B875,DG!A:D,DG!$B$2,)</f>
        <v>03.4123</v>
      </c>
      <c r="F875" s="1013" t="str">
        <f>VLOOKUP($B875,DG!A:D,DG!$C$2,)</f>
        <v>Đắp đất rãnh tiếp độ chặt k=0,85</v>
      </c>
      <c r="G875" s="1012" t="str">
        <f>VLOOKUP($B875,DG!A:D,DG!$D$2,)</f>
        <v>m3</v>
      </c>
      <c r="H875" s="1100">
        <f>H874</f>
        <v>4.0999999999999996</v>
      </c>
      <c r="I875" s="1192">
        <f t="shared" si="35"/>
        <v>0</v>
      </c>
      <c r="J875" s="1041"/>
      <c r="K875" s="1041"/>
      <c r="L875" s="1015"/>
      <c r="M875" s="934" t="s">
        <v>1262</v>
      </c>
    </row>
    <row r="876" spans="1:13" s="1016" customFormat="1" ht="25.2" hidden="1" customHeight="1">
      <c r="A876" s="1086">
        <f t="shared" si="37"/>
        <v>0</v>
      </c>
      <c r="B876" s="1226"/>
      <c r="C876" s="2841"/>
      <c r="D876" s="1181">
        <f>IF(H876&gt;0,D859+1,D859)</f>
        <v>0</v>
      </c>
      <c r="E876" s="1182"/>
      <c r="F876" s="1183" t="s">
        <v>3700</v>
      </c>
      <c r="G876" s="1011" t="s">
        <v>2385</v>
      </c>
      <c r="H876" s="1723">
        <f>H833</f>
        <v>0</v>
      </c>
      <c r="I876" s="1192">
        <f t="shared" si="35"/>
        <v>0</v>
      </c>
      <c r="J876" s="1184"/>
      <c r="K876" s="1184"/>
      <c r="L876" s="1015"/>
      <c r="M876" s="934" t="s">
        <v>1262</v>
      </c>
    </row>
    <row r="877" spans="1:13" s="1016" customFormat="1" ht="25.2" hidden="1" customHeight="1">
      <c r="A877" s="1086">
        <f t="shared" si="37"/>
        <v>0</v>
      </c>
      <c r="B877" s="1226"/>
      <c r="C877" s="2841"/>
      <c r="D877" s="1011"/>
      <c r="E877" s="1021"/>
      <c r="F877" s="1267" t="s">
        <v>2279</v>
      </c>
      <c r="G877" s="1012"/>
      <c r="H877" s="1713"/>
      <c r="I877" s="1192">
        <f t="shared" si="35"/>
        <v>0</v>
      </c>
      <c r="J877" s="1064"/>
      <c r="K877" s="1064"/>
      <c r="L877" s="1015"/>
      <c r="M877" s="934" t="s">
        <v>1262</v>
      </c>
    </row>
    <row r="878" spans="1:13" s="1016" customFormat="1" ht="25.2" hidden="1" customHeight="1">
      <c r="A878" s="1086">
        <f t="shared" si="37"/>
        <v>0</v>
      </c>
      <c r="B878" s="1251" t="s">
        <v>617</v>
      </c>
      <c r="C878" s="2855"/>
      <c r="D878" s="1185"/>
      <c r="E878" s="1012" t="str">
        <f>VLOOKUP($B878,DG!A:D,DG!$B$2,)</f>
        <v>05.1102</v>
      </c>
      <c r="F878" s="1013" t="str">
        <f>VLOOKUP($B878,DG!A:D,DG!$C$2,)</f>
        <v>Vỏ tủ + khóa tủ</v>
      </c>
      <c r="G878" s="1012" t="str">
        <f>VLOOKUP($B878,DG!A:D,DG!$D$2,)</f>
        <v>cái</v>
      </c>
      <c r="H878" s="1713">
        <f>H876</f>
        <v>0</v>
      </c>
      <c r="I878" s="1192">
        <f t="shared" si="35"/>
        <v>0</v>
      </c>
      <c r="J878" s="1041"/>
      <c r="K878" s="1041"/>
      <c r="L878" s="1015"/>
      <c r="M878" s="934" t="s">
        <v>1262</v>
      </c>
    </row>
    <row r="879" spans="1:13" s="1016" customFormat="1" ht="25.2" hidden="1" customHeight="1">
      <c r="A879" s="1086">
        <f t="shared" si="37"/>
        <v>0</v>
      </c>
      <c r="B879" s="1226" t="s">
        <v>319</v>
      </c>
      <c r="C879" s="2841"/>
      <c r="D879" s="1023"/>
      <c r="E879" s="1012" t="str">
        <f>VLOOKUP($B879,DG!A:D,DG!$B$2,)</f>
        <v>06.3231</v>
      </c>
      <c r="F879" s="1013" t="str">
        <f>VLOOKUP($B879,DG!A:D,DG!$C$2,)</f>
        <v>Cổ dê CDĐKĐT( bắt thùng điện kế)</v>
      </c>
      <c r="G879" s="1012" t="str">
        <f>VLOOKUP($B879,DG!A:D,DG!$D$2,)</f>
        <v>bộ</v>
      </c>
      <c r="H879" s="1713">
        <f>2*H876</f>
        <v>0</v>
      </c>
      <c r="I879" s="1192">
        <f t="shared" si="35"/>
        <v>0</v>
      </c>
      <c r="J879" s="1041"/>
      <c r="K879" s="1041"/>
      <c r="L879" s="1015"/>
      <c r="M879" s="934" t="s">
        <v>1262</v>
      </c>
    </row>
    <row r="880" spans="1:13" s="1016" customFormat="1" ht="25.2" hidden="1" customHeight="1">
      <c r="A880" s="1086">
        <f t="shared" si="37"/>
        <v>0</v>
      </c>
      <c r="B880" s="1226" t="s">
        <v>880</v>
      </c>
      <c r="C880" s="2841"/>
      <c r="D880" s="1023"/>
      <c r="E880" s="1186"/>
      <c r="F880" s="1013" t="str">
        <f>VLOOKUP($B880,DG!A:D,DG!$C$2,)</f>
        <v xml:space="preserve">Bakelit 550x450 dầy 10mm </v>
      </c>
      <c r="G880" s="1012" t="str">
        <f>VLOOKUP($B880,DG!A:D,DG!$D$2,)</f>
        <v>cái</v>
      </c>
      <c r="H880" s="1713">
        <f>H876</f>
        <v>0</v>
      </c>
      <c r="I880" s="1192">
        <f t="shared" si="35"/>
        <v>0</v>
      </c>
      <c r="J880" s="1041"/>
      <c r="K880" s="1041"/>
      <c r="L880" s="1015"/>
      <c r="M880" s="934" t="s">
        <v>1262</v>
      </c>
    </row>
    <row r="881" spans="1:13" s="1016" customFormat="1" ht="25.2" hidden="1" customHeight="1">
      <c r="A881" s="1086">
        <f t="shared" si="37"/>
        <v>0</v>
      </c>
      <c r="B881" s="1226"/>
      <c r="C881" s="2841"/>
      <c r="D881" s="1011">
        <f>IF(H881&gt;0,D876+1,D876)</f>
        <v>0</v>
      </c>
      <c r="E881" s="1021"/>
      <c r="F881" s="1181" t="s">
        <v>3701</v>
      </c>
      <c r="G881" s="1011" t="s">
        <v>2385</v>
      </c>
      <c r="H881" s="1723">
        <f>H833</f>
        <v>0</v>
      </c>
      <c r="I881" s="1192">
        <f t="shared" ref="I881:I972" si="38">IF(M881=$M$23,H881+J881-K881,0)</f>
        <v>0</v>
      </c>
      <c r="J881" s="1064"/>
      <c r="K881" s="1064"/>
      <c r="L881" s="1015"/>
      <c r="M881" s="934" t="s">
        <v>1262</v>
      </c>
    </row>
    <row r="882" spans="1:13" s="1016" customFormat="1" ht="25.2" hidden="1" customHeight="1">
      <c r="A882" s="1086">
        <f t="shared" si="37"/>
        <v>0</v>
      </c>
      <c r="B882" s="1226"/>
      <c r="C882" s="2841"/>
      <c r="D882" s="1011"/>
      <c r="E882" s="1021"/>
      <c r="F882" s="1267" t="s">
        <v>2279</v>
      </c>
      <c r="G882" s="1012"/>
      <c r="H882" s="1713"/>
      <c r="I882" s="1192">
        <f t="shared" si="38"/>
        <v>0</v>
      </c>
      <c r="J882" s="1064"/>
      <c r="K882" s="1064"/>
      <c r="L882" s="1015"/>
      <c r="M882" s="934" t="s">
        <v>1262</v>
      </c>
    </row>
    <row r="883" spans="1:13" s="1016" customFormat="1" ht="25.2" hidden="1" customHeight="1">
      <c r="A883" s="1086">
        <f t="shared" si="37"/>
        <v>0</v>
      </c>
      <c r="B883" s="1087" t="s">
        <v>697</v>
      </c>
      <c r="C883" s="2842"/>
      <c r="D883" s="1023"/>
      <c r="E883" s="1012">
        <f>VLOOKUP($B883,DG!A:D,DG!$B$2,)</f>
        <v>0</v>
      </c>
      <c r="F883" s="1013" t="str">
        <f>VLOOKUP($B883,DG!A:D,DG!$C$2,)</f>
        <v>Cáp 24KV C/XLPE/PVC 25mm2</v>
      </c>
      <c r="G883" s="1012" t="str">
        <f>VLOOKUP($B883,DG!A:D,DG!$D$2,)</f>
        <v>mét</v>
      </c>
      <c r="H883" s="1713">
        <v>12</v>
      </c>
      <c r="I883" s="1192">
        <f t="shared" si="38"/>
        <v>0</v>
      </c>
      <c r="J883" s="1041"/>
      <c r="K883" s="1041"/>
      <c r="L883" s="1015"/>
      <c r="M883" s="934" t="s">
        <v>1262</v>
      </c>
    </row>
    <row r="884" spans="1:13" s="1016" customFormat="1" ht="25.2" hidden="1" customHeight="1">
      <c r="A884" s="1086">
        <f t="shared" si="37"/>
        <v>0</v>
      </c>
      <c r="B884" s="1087" t="s">
        <v>1479</v>
      </c>
      <c r="C884" s="2842"/>
      <c r="D884" s="1023"/>
      <c r="E884" s="1012" t="str">
        <f>VLOOKUP($B884,DG!A:D,DG!$B$2,)</f>
        <v>04.3007</v>
      </c>
      <c r="F884" s="1013" t="str">
        <f>VLOOKUP($B884,DG!A:D,DG!$C$2,)</f>
        <v>Kẹp quai 2/0</v>
      </c>
      <c r="G884" s="1012" t="str">
        <f>VLOOKUP($B884,DG!A:D,DG!$D$2,)</f>
        <v>cái</v>
      </c>
      <c r="H884" s="1713">
        <f>3*H881</f>
        <v>0</v>
      </c>
      <c r="I884" s="1192">
        <f t="shared" si="38"/>
        <v>0</v>
      </c>
      <c r="J884" s="1041"/>
      <c r="K884" s="1041"/>
      <c r="L884" s="1015"/>
      <c r="M884" s="934" t="s">
        <v>1262</v>
      </c>
    </row>
    <row r="885" spans="1:13" s="1016" customFormat="1" ht="25.2" hidden="1" customHeight="1">
      <c r="A885" s="1086">
        <f t="shared" si="37"/>
        <v>0</v>
      </c>
      <c r="B885" s="1087" t="s">
        <v>1477</v>
      </c>
      <c r="C885" s="2842"/>
      <c r="D885" s="1023"/>
      <c r="E885" s="1012" t="str">
        <f>VLOOKUP($B885,DG!A:D,DG!$B$2,)</f>
        <v>04.3007</v>
      </c>
      <c r="F885" s="1013" t="str">
        <f>VLOOKUP($B885,DG!A:D,DG!$C$2,)</f>
        <v>Kẹp hotline 2/0</v>
      </c>
      <c r="G885" s="1012" t="str">
        <f>VLOOKUP($B885,DG!A:D,DG!$D$2,)</f>
        <v>cái</v>
      </c>
      <c r="H885" s="1713">
        <f>3*H880</f>
        <v>0</v>
      </c>
      <c r="I885" s="1192">
        <f>IF(M885=$M$23,H885+J885-K885,0)</f>
        <v>0</v>
      </c>
      <c r="J885" s="1041"/>
      <c r="K885" s="1041"/>
      <c r="L885" s="1015"/>
      <c r="M885" s="934" t="s">
        <v>1262</v>
      </c>
    </row>
    <row r="886" spans="1:13" s="1016" customFormat="1" ht="25.2" hidden="1" customHeight="1">
      <c r="A886" s="1086">
        <f t="shared" si="37"/>
        <v>0</v>
      </c>
      <c r="B886" s="1087" t="s">
        <v>488</v>
      </c>
      <c r="C886" s="2842"/>
      <c r="D886" s="1023"/>
      <c r="E886" s="1012">
        <f>VLOOKUP($B886,DG!A:D,DG!$B$2,)</f>
        <v>0</v>
      </c>
      <c r="F886" s="1013" t="str">
        <f>VLOOKUP($B886,DG!A:D,DG!$C$2,)</f>
        <v>Bass LL bắt FCO, LA</v>
      </c>
      <c r="G886" s="1012" t="str">
        <f>VLOOKUP($B886,DG!A:D,DG!$D$2,)</f>
        <v>bộ</v>
      </c>
      <c r="H886" s="1713">
        <f>3*H881</f>
        <v>0</v>
      </c>
      <c r="I886" s="1192">
        <f t="shared" si="38"/>
        <v>0</v>
      </c>
      <c r="J886" s="1041"/>
      <c r="K886" s="1041"/>
      <c r="L886" s="1015"/>
      <c r="M886" s="934" t="s">
        <v>1262</v>
      </c>
    </row>
    <row r="887" spans="1:13" s="1016" customFormat="1" ht="25.2" hidden="1" customHeight="1">
      <c r="A887" s="1086">
        <f t="shared" si="37"/>
        <v>0</v>
      </c>
      <c r="B887" s="1087" t="s">
        <v>382</v>
      </c>
      <c r="C887" s="2842"/>
      <c r="D887" s="1023"/>
      <c r="E887" s="1012">
        <f>VLOOKUP($B887,DG!A:D,DG!$B$2,)</f>
        <v>0</v>
      </c>
      <c r="F887" s="1013" t="str">
        <f>VLOOKUP($B887,DG!A:D,DG!$C$2,)</f>
        <v>Chụp đầu cực FCO (bộ 2 cái)</v>
      </c>
      <c r="G887" s="1012" t="str">
        <f>VLOOKUP($B887,DG!A:D,DG!$D$2,)</f>
        <v>bộ</v>
      </c>
      <c r="H887" s="1713">
        <f>H823</f>
        <v>0</v>
      </c>
      <c r="I887" s="1192">
        <f t="shared" si="38"/>
        <v>0</v>
      </c>
      <c r="J887" s="1041"/>
      <c r="K887" s="1041"/>
      <c r="L887" s="1015"/>
      <c r="M887" s="934" t="s">
        <v>1262</v>
      </c>
    </row>
    <row r="888" spans="1:13" s="1016" customFormat="1" ht="25.2" hidden="1" customHeight="1">
      <c r="A888" s="1086">
        <f t="shared" si="37"/>
        <v>0</v>
      </c>
      <c r="B888" s="1087" t="s">
        <v>383</v>
      </c>
      <c r="C888" s="2842"/>
      <c r="D888" s="1023"/>
      <c r="E888" s="1012">
        <f>VLOOKUP($B888,DG!A:D,DG!$B$2,)</f>
        <v>0</v>
      </c>
      <c r="F888" s="1013" t="str">
        <f>VLOOKUP($B888,DG!A:D,DG!$C$2,)</f>
        <v>Chụp đầu cực LA</v>
      </c>
      <c r="G888" s="1012" t="str">
        <f>VLOOKUP($B888,DG!A:D,DG!$D$2,)</f>
        <v>cái</v>
      </c>
      <c r="H888" s="1713">
        <f>H825</f>
        <v>0</v>
      </c>
      <c r="I888" s="1192">
        <f t="shared" si="38"/>
        <v>0</v>
      </c>
      <c r="J888" s="1041"/>
      <c r="K888" s="1041"/>
      <c r="L888" s="1015"/>
      <c r="M888" s="934" t="s">
        <v>1262</v>
      </c>
    </row>
    <row r="889" spans="1:13" s="1016" customFormat="1" ht="25.2" hidden="1" customHeight="1">
      <c r="A889" s="1086">
        <f t="shared" si="37"/>
        <v>0</v>
      </c>
      <c r="B889" s="1087" t="s">
        <v>384</v>
      </c>
      <c r="C889" s="2842"/>
      <c r="D889" s="1023"/>
      <c r="E889" s="1012">
        <f>VLOOKUP($B889,DG!A:D,DG!$B$2,)</f>
        <v>0</v>
      </c>
      <c r="F889" s="1013" t="str">
        <f>VLOOKUP($B889,DG!A:D,DG!$C$2,)</f>
        <v>Chụp đầu MBA</v>
      </c>
      <c r="G889" s="1012" t="str">
        <f>VLOOKUP($B889,DG!A:D,DG!$D$2,)</f>
        <v>cái</v>
      </c>
      <c r="H889" s="1713">
        <f>H822</f>
        <v>0</v>
      </c>
      <c r="I889" s="1192">
        <f t="shared" si="38"/>
        <v>0</v>
      </c>
      <c r="J889" s="1041"/>
      <c r="K889" s="1041"/>
      <c r="L889" s="1015"/>
      <c r="M889" s="934" t="s">
        <v>1262</v>
      </c>
    </row>
    <row r="890" spans="1:13" s="1016" customFormat="1" ht="25.2" hidden="1" customHeight="1">
      <c r="A890" s="1086">
        <f t="shared" si="37"/>
        <v>0</v>
      </c>
      <c r="B890" s="1087" t="s">
        <v>1525</v>
      </c>
      <c r="C890" s="2842"/>
      <c r="D890" s="1023"/>
      <c r="E890" s="1012" t="str">
        <f>VLOOKUP($B890,DG!A:D,DG!$B$2,)</f>
        <v>04.4201</v>
      </c>
      <c r="F890" s="1013" t="str">
        <f>VLOOKUP($B890,DG!A:D,DG!$C$2,)</f>
        <v>Lắp cáp đồng xuống thiết bị D ≤ 95mm2</v>
      </c>
      <c r="G890" s="1012" t="str">
        <f>VLOOKUP($B890,DG!A:D,DG!$D$2,)</f>
        <v>m</v>
      </c>
      <c r="H890" s="1713">
        <f>H883</f>
        <v>12</v>
      </c>
      <c r="I890" s="1192">
        <f t="shared" si="38"/>
        <v>0</v>
      </c>
      <c r="J890" s="1041"/>
      <c r="K890" s="1041"/>
      <c r="L890" s="1015"/>
      <c r="M890" s="934" t="s">
        <v>1262</v>
      </c>
    </row>
    <row r="891" spans="1:13" s="1016" customFormat="1" ht="25.2" hidden="1" customHeight="1">
      <c r="A891" s="1086">
        <f t="shared" si="37"/>
        <v>0</v>
      </c>
      <c r="B891" s="1226"/>
      <c r="C891" s="2841"/>
      <c r="D891" s="1011">
        <f>IF(H891&gt;0,D881+1,D881)</f>
        <v>0</v>
      </c>
      <c r="E891" s="1021"/>
      <c r="F891" s="1183" t="s">
        <v>3710</v>
      </c>
      <c r="G891" s="1011" t="s">
        <v>2385</v>
      </c>
      <c r="H891" s="1723">
        <f>H833</f>
        <v>0</v>
      </c>
      <c r="I891" s="1192">
        <f t="shared" si="38"/>
        <v>0</v>
      </c>
      <c r="J891" s="1064"/>
      <c r="K891" s="1064"/>
      <c r="L891" s="1015"/>
      <c r="M891" s="934" t="s">
        <v>1262</v>
      </c>
    </row>
    <row r="892" spans="1:13" s="1016" customFormat="1" ht="25.2" hidden="1" customHeight="1">
      <c r="A892" s="1086">
        <f t="shared" si="37"/>
        <v>0</v>
      </c>
      <c r="B892" s="1226"/>
      <c r="C892" s="2841"/>
      <c r="D892" s="1011"/>
      <c r="E892" s="1021"/>
      <c r="F892" s="1268" t="s">
        <v>2279</v>
      </c>
      <c r="G892" s="1012"/>
      <c r="H892" s="1723"/>
      <c r="I892" s="1192">
        <f t="shared" si="38"/>
        <v>0</v>
      </c>
      <c r="J892" s="1064"/>
      <c r="K892" s="1064"/>
      <c r="L892" s="1015"/>
      <c r="M892" s="934" t="s">
        <v>1262</v>
      </c>
    </row>
    <row r="893" spans="1:13" s="1016" customFormat="1" ht="25.2" hidden="1" customHeight="1">
      <c r="A893" s="1086">
        <f t="shared" si="37"/>
        <v>0</v>
      </c>
      <c r="B893" s="1226" t="s">
        <v>34</v>
      </c>
      <c r="C893" s="2841"/>
      <c r="D893" s="1023"/>
      <c r="E893" s="1012">
        <f>VLOOKUP($B893,DG!A:D,DG!$B$2,)</f>
        <v>0</v>
      </c>
      <c r="F893" s="1013" t="str">
        <f>VLOOKUP($B893,DG!A:D,DG!$C$2,)</f>
        <v>Cáp đồng bọc CV150</v>
      </c>
      <c r="G893" s="1012" t="str">
        <f>VLOOKUP($B893,DG!A:D,DG!$D$2,)</f>
        <v>mét</v>
      </c>
      <c r="H893" s="1713"/>
      <c r="I893" s="1192">
        <f t="shared" si="38"/>
        <v>0</v>
      </c>
      <c r="J893" s="1041"/>
      <c r="K893" s="1041"/>
      <c r="L893" s="1015"/>
      <c r="M893" s="934" t="s">
        <v>1262</v>
      </c>
    </row>
    <row r="894" spans="1:13" s="1016" customFormat="1" ht="25.2" hidden="1" customHeight="1">
      <c r="A894" s="1086">
        <f t="shared" si="37"/>
        <v>0</v>
      </c>
      <c r="B894" s="1226" t="s">
        <v>274</v>
      </c>
      <c r="C894" s="2841"/>
      <c r="D894" s="1023"/>
      <c r="E894" s="1012">
        <f>VLOOKUP($B894,DG!A:D,DG!$B$2,)</f>
        <v>0</v>
      </c>
      <c r="F894" s="1013" t="str">
        <f>VLOOKUP($B894,DG!A:D,DG!$C$2,)</f>
        <v>Cáp đồng bọc CV95</v>
      </c>
      <c r="G894" s="1012" t="str">
        <f>VLOOKUP($B894,DG!A:D,DG!$D$2,)</f>
        <v>mét</v>
      </c>
      <c r="H894" s="1713">
        <v>30</v>
      </c>
      <c r="I894" s="1192">
        <f>IF(M894=$M$23,H894+J894-K894,0)</f>
        <v>0</v>
      </c>
      <c r="J894" s="1041"/>
      <c r="K894" s="1041"/>
      <c r="L894" s="1015"/>
      <c r="M894" s="934" t="s">
        <v>1262</v>
      </c>
    </row>
    <row r="895" spans="1:13" s="1016" customFormat="1" ht="25.2" hidden="1" customHeight="1">
      <c r="A895" s="1086">
        <f t="shared" si="37"/>
        <v>0</v>
      </c>
      <c r="B895" s="1226" t="s">
        <v>2107</v>
      </c>
      <c r="C895" s="2841"/>
      <c r="D895" s="1023"/>
      <c r="E895" s="1012" t="str">
        <f>VLOOKUP($B895,DG!A:D,DG!$B$2,)</f>
        <v>04.4201</v>
      </c>
      <c r="F895" s="1013" t="str">
        <f>VLOOKUP($B895,DG!A:D,DG!$C$2,)</f>
        <v>Cáp đồng bọc CV11</v>
      </c>
      <c r="G895" s="1012" t="str">
        <f>VLOOKUP($B895,DG!A:D,DG!$D$2,)</f>
        <v>mét</v>
      </c>
      <c r="H895" s="1713">
        <v>3</v>
      </c>
      <c r="I895" s="1192">
        <f t="shared" si="38"/>
        <v>0</v>
      </c>
      <c r="J895" s="1041"/>
      <c r="K895" s="1041"/>
      <c r="L895" s="1015"/>
      <c r="M895" s="934" t="s">
        <v>1262</v>
      </c>
    </row>
    <row r="896" spans="1:13" s="1016" customFormat="1" ht="25.2" hidden="1" customHeight="1">
      <c r="A896" s="1086">
        <f t="shared" si="37"/>
        <v>0</v>
      </c>
      <c r="B896" s="1226" t="s">
        <v>2276</v>
      </c>
      <c r="C896" s="2841"/>
      <c r="D896" s="1043"/>
      <c r="E896" s="1012" t="str">
        <f>VLOOKUP($B896,DG!A:D,DG!$B$2,)</f>
        <v>03.1401</v>
      </c>
      <c r="F896" s="1013" t="str">
        <f>VLOOKUP($B896,DG!A:D,DG!$C$2,)</f>
        <v xml:space="preserve">Cáp CVV 4x4mm2  </v>
      </c>
      <c r="G896" s="1012" t="str">
        <f>VLOOKUP($B896,DG!A:D,DG!$D$2,)</f>
        <v>mét</v>
      </c>
      <c r="H896" s="1713">
        <v>2.5</v>
      </c>
      <c r="I896" s="1192">
        <f t="shared" si="38"/>
        <v>0</v>
      </c>
      <c r="J896" s="1041"/>
      <c r="K896" s="1041"/>
      <c r="L896" s="1015"/>
      <c r="M896" s="934" t="s">
        <v>1262</v>
      </c>
    </row>
    <row r="897" spans="1:13" s="1016" customFormat="1" ht="25.2" hidden="1" customHeight="1">
      <c r="A897" s="1086">
        <f t="shared" si="37"/>
        <v>0</v>
      </c>
      <c r="B897" s="1226" t="s">
        <v>4927</v>
      </c>
      <c r="C897" s="2841"/>
      <c r="D897" s="1023"/>
      <c r="E897" s="1012" t="str">
        <f>VLOOKUP($B897,DG!A:D,DG!$B$2,)</f>
        <v>03.4001</v>
      </c>
      <c r="F897" s="1013" t="str">
        <f>VLOOKUP($B897,DG!A:D,DG!$C$2,)</f>
        <v>Đầu cosse ép Cu 5mm2</v>
      </c>
      <c r="G897" s="1012" t="str">
        <f>VLOOKUP($B897,DG!A:D,DG!$D$2,)</f>
        <v>cái</v>
      </c>
      <c r="H897" s="1713">
        <v>6</v>
      </c>
      <c r="I897" s="1192">
        <f>IF(M897=$M$23,H897+J897-K897,0)</f>
        <v>0</v>
      </c>
      <c r="J897" s="1041"/>
      <c r="K897" s="1041"/>
      <c r="L897" s="1015"/>
      <c r="M897" s="934" t="s">
        <v>1262</v>
      </c>
    </row>
    <row r="898" spans="1:13" s="1016" customFormat="1" ht="25.2" hidden="1" customHeight="1">
      <c r="A898" s="1086">
        <f t="shared" si="37"/>
        <v>0</v>
      </c>
      <c r="B898" s="1226" t="str">
        <f>REPLACE(B893,1,2,"cos")</f>
        <v>cos150</v>
      </c>
      <c r="C898" s="2841"/>
      <c r="D898" s="1023"/>
      <c r="E898" s="1012" t="str">
        <f>VLOOKUP($B898,DG!A:D,DG!$B$2,)</f>
        <v>03.4006</v>
      </c>
      <c r="F898" s="1013" t="str">
        <f>VLOOKUP($B898,DG!A:D,DG!$C$2,)</f>
        <v>Đầu cosse ép Cu 150mm2</v>
      </c>
      <c r="G898" s="1012" t="str">
        <f>VLOOKUP($B898,DG!A:D,DG!$D$2,)</f>
        <v>cái</v>
      </c>
      <c r="H898" s="1713"/>
      <c r="I898" s="1192">
        <f t="shared" si="38"/>
        <v>0</v>
      </c>
      <c r="J898" s="1041"/>
      <c r="K898" s="1041"/>
      <c r="L898" s="1015"/>
      <c r="M898" s="934" t="s">
        <v>1262</v>
      </c>
    </row>
    <row r="899" spans="1:13" s="1016" customFormat="1" ht="25.2" hidden="1" customHeight="1">
      <c r="A899" s="1086">
        <f t="shared" si="37"/>
        <v>0</v>
      </c>
      <c r="B899" s="1226" t="str">
        <f>REPLACE(B894,1,2,"cos")</f>
        <v>cos95</v>
      </c>
      <c r="C899" s="2841"/>
      <c r="D899" s="1023"/>
      <c r="E899" s="1012" t="str">
        <f>VLOOKUP($B899,DG!A:D,DG!$B$2,)</f>
        <v>03.4004</v>
      </c>
      <c r="F899" s="1013" t="str">
        <f>VLOOKUP($B899,DG!A:D,DG!$C$2,)</f>
        <v>Đầu cosse ép Cu 95mm2</v>
      </c>
      <c r="G899" s="1012" t="str">
        <f>VLOOKUP($B899,DG!A:D,DG!$D$2,)</f>
        <v>cái</v>
      </c>
      <c r="H899" s="1713">
        <f>H891*1</f>
        <v>0</v>
      </c>
      <c r="I899" s="1192">
        <f t="shared" si="38"/>
        <v>0</v>
      </c>
      <c r="J899" s="1041"/>
      <c r="K899" s="1041"/>
      <c r="L899" s="1015"/>
      <c r="M899" s="934" t="s">
        <v>1262</v>
      </c>
    </row>
    <row r="900" spans="1:13" s="1016" customFormat="1" ht="25.2" hidden="1" customHeight="1">
      <c r="A900" s="1086">
        <f t="shared" si="37"/>
        <v>0</v>
      </c>
      <c r="B900" s="1226" t="str">
        <f>REPLACE(B893,1,2,"chcos")</f>
        <v>chcos150</v>
      </c>
      <c r="C900" s="2841"/>
      <c r="D900" s="1023"/>
      <c r="E900" s="1012">
        <f>VLOOKUP($B900,DG!A:D,DG!$B$2,)</f>
        <v>0</v>
      </c>
      <c r="F900" s="1013" t="str">
        <f>VLOOKUP($B900,DG!A:D,DG!$C$2,)</f>
        <v>Chụp đầu cosse  150mm2</v>
      </c>
      <c r="G900" s="1012" t="str">
        <f>VLOOKUP($B900,DG!A:D,DG!$D$2,)</f>
        <v>cái</v>
      </c>
      <c r="H900" s="1713"/>
      <c r="I900" s="1192">
        <f t="shared" si="38"/>
        <v>0</v>
      </c>
      <c r="J900" s="1041"/>
      <c r="K900" s="1041"/>
      <c r="L900" s="1015"/>
      <c r="M900" s="934" t="s">
        <v>1262</v>
      </c>
    </row>
    <row r="901" spans="1:13" s="1016" customFormat="1" ht="25.2" hidden="1" customHeight="1">
      <c r="A901" s="1086">
        <f t="shared" si="37"/>
        <v>0</v>
      </c>
      <c r="B901" s="1226" t="str">
        <f>REPLACE(B894,1,2,"chcos")</f>
        <v>chcos95</v>
      </c>
      <c r="C901" s="2841"/>
      <c r="D901" s="1023"/>
      <c r="E901" s="1012">
        <f>VLOOKUP($B901,DG!A:D,DG!$B$2,)</f>
        <v>0</v>
      </c>
      <c r="F901" s="1013" t="str">
        <f>VLOOKUP($B901,DG!A:D,DG!$C$2,)</f>
        <v>Chụp đầu cosse  95mm2</v>
      </c>
      <c r="G901" s="1012" t="str">
        <f>VLOOKUP($B901,DG!A:D,DG!$D$2,)</f>
        <v>cái</v>
      </c>
      <c r="H901" s="1713">
        <f>H899</f>
        <v>0</v>
      </c>
      <c r="I901" s="1192">
        <f t="shared" si="38"/>
        <v>0</v>
      </c>
      <c r="J901" s="1041"/>
      <c r="K901" s="1041"/>
      <c r="L901" s="1015"/>
      <c r="M901" s="934" t="s">
        <v>1262</v>
      </c>
    </row>
    <row r="902" spans="1:13" s="1016" customFormat="1" ht="25.2" hidden="1" customHeight="1">
      <c r="A902" s="1086">
        <f t="shared" si="37"/>
        <v>0</v>
      </c>
      <c r="B902" s="1226" t="s">
        <v>490</v>
      </c>
      <c r="C902" s="2841"/>
      <c r="D902" s="1023"/>
      <c r="E902" s="1012">
        <f>VLOOKUP($B902,DG!A:D,DG!$B$2,)</f>
        <v>0</v>
      </c>
      <c r="F902" s="1013" t="str">
        <f>VLOOKUP($B902,DG!A:D,DG!$C$2,)</f>
        <v>Dây đồng trần mềm dẹt</v>
      </c>
      <c r="G902" s="1012" t="str">
        <f>VLOOKUP($B902,DG!A:D,DG!$D$2,)</f>
        <v>mét</v>
      </c>
      <c r="H902" s="1713"/>
      <c r="I902" s="1192">
        <f t="shared" si="38"/>
        <v>0</v>
      </c>
      <c r="J902" s="1041"/>
      <c r="K902" s="1041"/>
      <c r="L902" s="1015"/>
      <c r="M902" s="934" t="s">
        <v>1262</v>
      </c>
    </row>
    <row r="903" spans="1:13" s="1016" customFormat="1" ht="25.2" hidden="1" customHeight="1">
      <c r="A903" s="1086">
        <f t="shared" si="37"/>
        <v>0</v>
      </c>
      <c r="B903" s="1226" t="s">
        <v>1042</v>
      </c>
      <c r="C903" s="2841"/>
      <c r="D903" s="1023"/>
      <c r="E903" s="1012">
        <f>VLOOKUP($B903,DG!A:D,DG!$B$2,)</f>
        <v>0</v>
      </c>
      <c r="F903" s="1013" t="str">
        <f>VLOOKUP($B903,DG!A:D,DG!$C$2,)</f>
        <v xml:space="preserve">Ống PVC D114x4,9mm </v>
      </c>
      <c r="G903" s="1012" t="str">
        <f>VLOOKUP($B903,DG!A:D,DG!$D$2,)</f>
        <v>m</v>
      </c>
      <c r="H903" s="1713">
        <v>11</v>
      </c>
      <c r="I903" s="1192">
        <f t="shared" si="38"/>
        <v>0</v>
      </c>
      <c r="J903" s="1041"/>
      <c r="K903" s="1041"/>
      <c r="L903" s="1015"/>
      <c r="M903" s="934" t="s">
        <v>1262</v>
      </c>
    </row>
    <row r="904" spans="1:13" s="1016" customFormat="1" ht="25.2" hidden="1" customHeight="1">
      <c r="A904" s="1086">
        <f t="shared" si="37"/>
        <v>0</v>
      </c>
      <c r="B904" s="1226" t="s">
        <v>1862</v>
      </c>
      <c r="C904" s="2842"/>
      <c r="D904" s="1023"/>
      <c r="E904" s="1012" t="str">
        <f>VLOOKUP($B904,DG!A:D,DG!$B$2,)</f>
        <v>06.3231</v>
      </c>
      <c r="F904" s="1013" t="str">
        <f>VLOOKUP($B904,DG!A:D,DG!$C$2,)&amp;" trụ đôi D280"</f>
        <v>Cổ dê kẹp ống PVC Ø 114 trụ đôi D280</v>
      </c>
      <c r="G904" s="1012" t="str">
        <f>VLOOKUP($B904,DG!A:D,DG!$D$2,)</f>
        <v>bộ</v>
      </c>
      <c r="H904" s="1713">
        <v>2</v>
      </c>
      <c r="I904" s="1192">
        <f>IF(M904=$M$23,H904+J904-K904,0)</f>
        <v>0</v>
      </c>
      <c r="J904" s="1041"/>
      <c r="K904" s="1041"/>
      <c r="L904" s="1015"/>
      <c r="M904" s="934" t="s">
        <v>1262</v>
      </c>
    </row>
    <row r="905" spans="1:13" s="1016" customFormat="1" ht="25.2" hidden="1" customHeight="1">
      <c r="A905" s="1086">
        <f t="shared" si="37"/>
        <v>0</v>
      </c>
      <c r="B905" s="1226" t="str">
        <f>REPLACE(B903,1,3,"cd")</f>
        <v>cd114</v>
      </c>
      <c r="C905" s="2842"/>
      <c r="D905" s="1023"/>
      <c r="E905" s="1012" t="str">
        <f>VLOOKUP($B905,DG!A:D,DG!$B$2,)</f>
        <v>06.3231</v>
      </c>
      <c r="F905" s="1013" t="str">
        <f>VLOOKUP($B905,DG!A:D,DG!$C$2,)&amp;" trụ đôi D230"</f>
        <v>Cổ dê kẹp ống PVC Ø 114 trụ đôi D230</v>
      </c>
      <c r="G905" s="1012" t="str">
        <f>VLOOKUP($B905,DG!A:D,DG!$D$2,)</f>
        <v>bộ</v>
      </c>
      <c r="H905" s="1713">
        <v>4</v>
      </c>
      <c r="I905" s="1192">
        <f t="shared" si="38"/>
        <v>0</v>
      </c>
      <c r="J905" s="1041"/>
      <c r="K905" s="1041"/>
      <c r="L905" s="1015"/>
      <c r="M905" s="934" t="s">
        <v>1262</v>
      </c>
    </row>
    <row r="906" spans="1:13" s="1016" customFormat="1" ht="25.2" hidden="1" customHeight="1">
      <c r="A906" s="1086">
        <f t="shared" si="37"/>
        <v>0</v>
      </c>
      <c r="B906" s="1226" t="str">
        <f>REPLACE(B903,1,3,"cut")&amp;"t"</f>
        <v>cut114t</v>
      </c>
      <c r="C906" s="2841"/>
      <c r="D906" s="1023"/>
      <c r="E906" s="1012">
        <f>VLOOKUP($B906,DG!A:D,DG!$B$2,)</f>
        <v>0</v>
      </c>
      <c r="F906" s="1013" t="str">
        <f>VLOOKUP($B906,DG!A:D,DG!$C$2,)</f>
        <v>Co  90 độ PVC 114</v>
      </c>
      <c r="G906" s="1012" t="str">
        <f>VLOOKUP($B906,DG!A:D,DG!$D$2,)</f>
        <v>cái</v>
      </c>
      <c r="H906" s="1713">
        <v>2</v>
      </c>
      <c r="I906" s="1192">
        <f>IF(M906=$M$23,H906+J906-K906,0)</f>
        <v>0</v>
      </c>
      <c r="J906" s="1041"/>
      <c r="K906" s="1041"/>
      <c r="L906" s="1015"/>
      <c r="M906" s="934" t="s">
        <v>1262</v>
      </c>
    </row>
    <row r="907" spans="1:13" s="1016" customFormat="1" ht="25.2" hidden="1" customHeight="1">
      <c r="A907" s="1086">
        <f t="shared" si="37"/>
        <v>0</v>
      </c>
      <c r="B907" s="1226" t="str">
        <f>REPLACE(B903,1,3,"cut")&amp;"l"</f>
        <v>cut114l</v>
      </c>
      <c r="C907" s="2841"/>
      <c r="D907" s="1023"/>
      <c r="E907" s="1012">
        <f>VLOOKUP($B907,DG!A:D,DG!$B$2,)</f>
        <v>0</v>
      </c>
      <c r="F907" s="1013" t="str">
        <f>VLOOKUP($B907,DG!A:D,DG!$C$2,)</f>
        <v>Co 135 độ PVC 114</v>
      </c>
      <c r="G907" s="1012" t="str">
        <f>VLOOKUP($B907,DG!A:D,DG!$D$2,)</f>
        <v>cái</v>
      </c>
      <c r="H907" s="1713">
        <v>2</v>
      </c>
      <c r="I907" s="1192">
        <f t="shared" si="38"/>
        <v>0</v>
      </c>
      <c r="J907" s="1041"/>
      <c r="K907" s="1041"/>
      <c r="L907" s="1015"/>
      <c r="M907" s="934" t="s">
        <v>1262</v>
      </c>
    </row>
    <row r="908" spans="1:13" s="1016" customFormat="1" ht="25.2" hidden="1" customHeight="1">
      <c r="A908" s="1086">
        <f t="shared" si="37"/>
        <v>0</v>
      </c>
      <c r="B908" s="1226" t="s">
        <v>1964</v>
      </c>
      <c r="C908" s="2841"/>
      <c r="D908" s="1023"/>
      <c r="E908" s="1012">
        <f>VLOOKUP($B908,DG!A:D,DG!$B$2,)</f>
        <v>0</v>
      </c>
      <c r="F908" s="1013" t="str">
        <f>VLOOKUP($B908,DG!A:D,DG!$C$2,)</f>
        <v>Khâu ven răng trong D114</v>
      </c>
      <c r="G908" s="1012" t="str">
        <f>VLOOKUP($B908,DG!A:D,DG!$D$2,)</f>
        <v>cái</v>
      </c>
      <c r="H908" s="1713">
        <v>1</v>
      </c>
      <c r="I908" s="1192">
        <f>IF(M908=$M$23,H908+J908-K908,0)</f>
        <v>0</v>
      </c>
      <c r="J908" s="1041"/>
      <c r="K908" s="1041"/>
      <c r="L908" s="1015"/>
      <c r="M908" s="934" t="s">
        <v>1262</v>
      </c>
    </row>
    <row r="909" spans="1:13" s="1016" customFormat="1" ht="25.2" hidden="1" customHeight="1">
      <c r="A909" s="1086">
        <f t="shared" si="37"/>
        <v>0</v>
      </c>
      <c r="B909" s="1226" t="s">
        <v>1965</v>
      </c>
      <c r="C909" s="2841"/>
      <c r="D909" s="1023"/>
      <c r="E909" s="1012">
        <f>VLOOKUP($B909,DG!A:D,DG!$B$2,)</f>
        <v>0</v>
      </c>
      <c r="F909" s="1013" t="str">
        <f>VLOOKUP($B909,DG!A:D,DG!$C$2,)</f>
        <v>Khâu ven răng ngoài D114</v>
      </c>
      <c r="G909" s="1012" t="str">
        <f>VLOOKUP($B909,DG!A:D,DG!$D$2,)</f>
        <v>cái</v>
      </c>
      <c r="H909" s="1713">
        <v>1</v>
      </c>
      <c r="I909" s="1192">
        <f>IF(M909=$M$23,H909+J909-K909,0)</f>
        <v>0</v>
      </c>
      <c r="J909" s="1041"/>
      <c r="K909" s="1041"/>
      <c r="L909" s="1015"/>
      <c r="M909" s="934" t="s">
        <v>1262</v>
      </c>
    </row>
    <row r="910" spans="1:13" s="1016" customFormat="1" ht="25.2" hidden="1" customHeight="1">
      <c r="A910" s="1086">
        <f t="shared" si="37"/>
        <v>0</v>
      </c>
      <c r="B910" s="1226" t="s">
        <v>905</v>
      </c>
      <c r="C910" s="2841"/>
      <c r="D910" s="1023"/>
      <c r="E910" s="1012">
        <f>VLOOKUP($B910,DG!A:D,DG!$B$2,)</f>
        <v>0</v>
      </c>
      <c r="F910" s="1013" t="str">
        <f>VLOOKUP($B910,DG!A:D,DG!$C$2,)</f>
        <v>Kẹp ép WR cỡ dây 50mm2</v>
      </c>
      <c r="G910" s="1012" t="str">
        <f>VLOOKUP($B910,DG!A:D,DG!$D$2,)</f>
        <v>cái</v>
      </c>
      <c r="H910" s="1713">
        <v>2</v>
      </c>
      <c r="I910" s="1192">
        <f t="shared" si="38"/>
        <v>0</v>
      </c>
      <c r="J910" s="1041"/>
      <c r="K910" s="1041"/>
      <c r="L910" s="1015"/>
      <c r="M910" s="934" t="s">
        <v>1262</v>
      </c>
    </row>
    <row r="911" spans="1:13" s="1016" customFormat="1" ht="25.2" hidden="1" customHeight="1">
      <c r="A911" s="1086">
        <f t="shared" si="37"/>
        <v>0</v>
      </c>
      <c r="B911" s="1226" t="s">
        <v>142</v>
      </c>
      <c r="C911" s="2841"/>
      <c r="D911" s="1023"/>
      <c r="E911" s="1012">
        <f>VLOOKUP($B911,DG!A:D,DG!$B$2,)</f>
        <v>0</v>
      </c>
      <c r="F911" s="1013" t="str">
        <f>VLOOKUP($B911,DG!A:D,DG!$C$2,)</f>
        <v>Kẹp ép WR cỡ dây 150mm2</v>
      </c>
      <c r="G911" s="1012" t="str">
        <f>VLOOKUP($B911,DG!A:D,DG!$D$2,)</f>
        <v>cái</v>
      </c>
      <c r="H911" s="1713">
        <v>6</v>
      </c>
      <c r="I911" s="1192">
        <f>IF(M911=$M$23,H911+J911-K911,0)</f>
        <v>0</v>
      </c>
      <c r="J911" s="1041"/>
      <c r="K911" s="1041"/>
      <c r="L911" s="1015"/>
      <c r="M911" s="934" t="s">
        <v>1262</v>
      </c>
    </row>
    <row r="912" spans="1:13" s="1016" customFormat="1" ht="25.2" hidden="1" customHeight="1">
      <c r="A912" s="1086">
        <f t="shared" si="37"/>
        <v>0</v>
      </c>
      <c r="B912" s="1226" t="str">
        <f>REPLACE(B903,1,3,"npvc")</f>
        <v>npvc114</v>
      </c>
      <c r="C912" s="2841"/>
      <c r="D912" s="1023"/>
      <c r="E912" s="1012">
        <f>VLOOKUP($B912,DG!A:D,DG!$B$2,)</f>
        <v>0</v>
      </c>
      <c r="F912" s="1013" t="str">
        <f>VLOOKUP($B912,DG!A:D,DG!$C$2,)</f>
        <v>Nối ống PVC 114</v>
      </c>
      <c r="G912" s="1012" t="str">
        <f>VLOOKUP($B912,DG!A:D,DG!$D$2,)</f>
        <v>cái</v>
      </c>
      <c r="H912" s="1713">
        <f>1*H891*0</f>
        <v>0</v>
      </c>
      <c r="I912" s="1192">
        <f t="shared" si="38"/>
        <v>0</v>
      </c>
      <c r="J912" s="1041"/>
      <c r="K912" s="1041"/>
      <c r="L912" s="1015"/>
      <c r="M912" s="934" t="s">
        <v>1262</v>
      </c>
    </row>
    <row r="913" spans="1:13" s="1016" customFormat="1" ht="25.2" hidden="1" customHeight="1">
      <c r="A913" s="1086">
        <f t="shared" si="37"/>
        <v>0</v>
      </c>
      <c r="B913" s="1226" t="s">
        <v>419</v>
      </c>
      <c r="C913" s="2841"/>
      <c r="D913" s="1023"/>
      <c r="E913" s="1012">
        <f>VLOOKUP($B913,DG!A:D,DG!$B$2,)</f>
        <v>0</v>
      </c>
      <c r="F913" s="1013" t="str">
        <f>VLOOKUP($B913,DG!A:D,DG!$C$2,)</f>
        <v>Keo dán ống PVC (100gr)</v>
      </c>
      <c r="G913" s="1012" t="str">
        <f>VLOOKUP($B913,DG!A:D,DG!$D$2,)</f>
        <v>tuýp</v>
      </c>
      <c r="H913" s="1713">
        <f>H891*1</f>
        <v>0</v>
      </c>
      <c r="I913" s="1192">
        <f t="shared" si="38"/>
        <v>0</v>
      </c>
      <c r="J913" s="1041"/>
      <c r="K913" s="1041"/>
      <c r="L913" s="1015"/>
      <c r="M913" s="934" t="s">
        <v>1262</v>
      </c>
    </row>
    <row r="914" spans="1:13" s="1016" customFormat="1" ht="25.2" hidden="1" customHeight="1">
      <c r="A914" s="1086">
        <f t="shared" si="37"/>
        <v>0</v>
      </c>
      <c r="B914" s="1226" t="s">
        <v>489</v>
      </c>
      <c r="C914" s="2841"/>
      <c r="D914" s="1023"/>
      <c r="E914" s="1012">
        <f>VLOOKUP($B914,DG!A:D,DG!$B$2,)</f>
        <v>0</v>
      </c>
      <c r="F914" s="1013" t="str">
        <f>VLOOKUP($B914,DG!A:D,DG!$C$2,)</f>
        <v>Keo silicon bít miệng ống</v>
      </c>
      <c r="G914" s="1012" t="str">
        <f>VLOOKUP($B914,DG!A:D,DG!$D$2,)</f>
        <v>ống</v>
      </c>
      <c r="H914" s="1713">
        <v>5</v>
      </c>
      <c r="I914" s="1192">
        <f t="shared" si="38"/>
        <v>0</v>
      </c>
      <c r="J914" s="1041"/>
      <c r="K914" s="1041"/>
      <c r="L914" s="1015"/>
      <c r="M914" s="934" t="s">
        <v>1262</v>
      </c>
    </row>
    <row r="915" spans="1:13" s="1016" customFormat="1" ht="25.2" hidden="1" customHeight="1">
      <c r="A915" s="1086">
        <f t="shared" si="37"/>
        <v>0</v>
      </c>
      <c r="B915" s="1087" t="s">
        <v>672</v>
      </c>
      <c r="C915" s="2842"/>
      <c r="D915" s="1023"/>
      <c r="E915" s="1012">
        <f>VLOOKUP($B915,DG!A:D,DG!$B$2,)</f>
        <v>0</v>
      </c>
      <c r="F915" s="1013" t="str">
        <f>VLOOKUP($B915,DG!A:D,DG!$C$2,)</f>
        <v>Băng keo cách điện</v>
      </c>
      <c r="G915" s="1012" t="str">
        <f>VLOOKUP($B915,DG!A:D,DG!$D$2,)</f>
        <v>cuộn</v>
      </c>
      <c r="H915" s="1713">
        <v>3</v>
      </c>
      <c r="I915" s="1192">
        <f t="shared" si="38"/>
        <v>0</v>
      </c>
      <c r="J915" s="1041"/>
      <c r="K915" s="1041"/>
      <c r="L915" s="1015"/>
      <c r="M915" s="934" t="s">
        <v>1262</v>
      </c>
    </row>
    <row r="916" spans="1:13" s="1016" customFormat="1" ht="25.2" hidden="1" customHeight="1">
      <c r="A916" s="1086">
        <f t="shared" si="37"/>
        <v>0</v>
      </c>
      <c r="B916" s="1231" t="s">
        <v>1863</v>
      </c>
      <c r="C916" s="2844"/>
      <c r="D916" s="1043"/>
      <c r="E916" s="1012" t="str">
        <f>VLOOKUP($B916,DG!A:D,DG!$B$2,)</f>
        <v>07,2407</v>
      </c>
      <c r="F916" s="1013" t="str">
        <f>VLOOKUP($B916,DG!A:D,DG!$C$2,)</f>
        <v>Lắp ống nhựa PVC D114</v>
      </c>
      <c r="G916" s="1012" t="str">
        <f>VLOOKUP($B916,DG!A:D,DG!$D$2,)</f>
        <v>mét</v>
      </c>
      <c r="H916" s="1100">
        <f>H903</f>
        <v>11</v>
      </c>
      <c r="I916" s="1192">
        <f t="shared" si="38"/>
        <v>0</v>
      </c>
      <c r="J916" s="1041"/>
      <c r="K916" s="1041"/>
      <c r="L916" s="1015"/>
      <c r="M916" s="934" t="s">
        <v>1262</v>
      </c>
    </row>
    <row r="917" spans="1:13" s="1016" customFormat="1" ht="25.2" hidden="1" customHeight="1">
      <c r="A917" s="1086">
        <f t="shared" si="37"/>
        <v>0</v>
      </c>
      <c r="B917" s="1087" t="s">
        <v>2006</v>
      </c>
      <c r="C917" s="2842"/>
      <c r="D917" s="1043"/>
      <c r="E917" s="1012" t="str">
        <f>VLOOKUP($B917,DG!A:D,DG!$B$2,)</f>
        <v>04.4202</v>
      </c>
      <c r="F917" s="1013" t="str">
        <f>VLOOKUP($B917,DG!A:D,DG!$C$2,)</f>
        <v>Lắp cáp đồng xuống thiết bị D ≤ 150mm2</v>
      </c>
      <c r="G917" s="1012" t="str">
        <f>VLOOKUP($B917,DG!A:D,DG!$D$2,)</f>
        <v>m</v>
      </c>
      <c r="H917" s="1100">
        <f>H893+H894</f>
        <v>30</v>
      </c>
      <c r="I917" s="1192">
        <f t="shared" si="38"/>
        <v>0</v>
      </c>
      <c r="J917" s="1041"/>
      <c r="K917" s="1041"/>
      <c r="L917" s="1015"/>
      <c r="M917" s="934" t="s">
        <v>1262</v>
      </c>
    </row>
    <row r="918" spans="1:13" s="1016" customFormat="1" ht="25.2" hidden="1" customHeight="1">
      <c r="A918" s="1086">
        <f t="shared" si="37"/>
        <v>0</v>
      </c>
      <c r="B918" s="1226" t="s">
        <v>289</v>
      </c>
      <c r="C918" s="2841"/>
      <c r="D918" s="1187">
        <f>IF(H918&gt;0,D891+1,D875)</f>
        <v>0</v>
      </c>
      <c r="E918" s="1188"/>
      <c r="F918" s="1013" t="str">
        <f>VLOOKUP($B918,DG!A:D,DG!$C$2,)</f>
        <v>Bảng tên trạm, bảng báo nguy hiểm + đinh vít</v>
      </c>
      <c r="G918" s="1012" t="str">
        <f>VLOOKUP($B918,DG!A:D,DG!$D$2,)</f>
        <v>bộ</v>
      </c>
      <c r="H918" s="1732">
        <f>H835</f>
        <v>0</v>
      </c>
      <c r="I918" s="1192">
        <f t="shared" ref="I918:I937" si="39">IF(M918=$M$23,H918+J918-K918,0)</f>
        <v>0</v>
      </c>
      <c r="J918" s="1041"/>
      <c r="K918" s="1041"/>
      <c r="L918" s="1015"/>
      <c r="M918" s="934" t="s">
        <v>1262</v>
      </c>
    </row>
    <row r="919" spans="1:13" s="1016" customFormat="1" ht="25.2" hidden="1" customHeight="1">
      <c r="A919" s="1086">
        <f t="shared" si="37"/>
        <v>0</v>
      </c>
      <c r="B919" s="1226" t="s">
        <v>289</v>
      </c>
      <c r="C919" s="2841"/>
      <c r="D919" s="1187">
        <v>8</v>
      </c>
      <c r="E919" s="1188"/>
      <c r="F919" s="1948" t="s">
        <v>4768</v>
      </c>
      <c r="G919" s="1949" t="str">
        <f>VLOOKUP($B919,DG!A:D,DG!$D$2,)</f>
        <v>bộ</v>
      </c>
      <c r="H919" s="1732"/>
      <c r="I919" s="1192">
        <f t="shared" si="39"/>
        <v>0</v>
      </c>
      <c r="J919" s="1041"/>
      <c r="K919" s="1041"/>
      <c r="L919" s="1015"/>
      <c r="M919" s="934" t="s">
        <v>1262</v>
      </c>
    </row>
    <row r="920" spans="1:13" s="1016" customFormat="1" ht="25.2" hidden="1" customHeight="1">
      <c r="A920" s="1086">
        <f t="shared" si="37"/>
        <v>0</v>
      </c>
      <c r="B920" s="1226" t="s">
        <v>34</v>
      </c>
      <c r="C920" s="2841"/>
      <c r="D920" s="1187"/>
      <c r="E920" s="1188"/>
      <c r="F920" s="1013" t="str">
        <f>VLOOKUP($B920,DG!A:D,DG!$C$2,)</f>
        <v>Cáp đồng bọc CV150</v>
      </c>
      <c r="G920" s="1012" t="str">
        <f>VLOOKUP($B920,DG!A:D,DG!$D$2,)</f>
        <v>mét</v>
      </c>
      <c r="H920" s="1724"/>
      <c r="I920" s="1192">
        <f t="shared" si="39"/>
        <v>0</v>
      </c>
      <c r="J920" s="1041"/>
      <c r="K920" s="1041"/>
      <c r="L920" s="1015"/>
      <c r="M920" s="934" t="s">
        <v>1262</v>
      </c>
    </row>
    <row r="921" spans="1:13" s="1016" customFormat="1" ht="25.2" hidden="1" customHeight="1">
      <c r="A921" s="1086">
        <f t="shared" si="37"/>
        <v>0</v>
      </c>
      <c r="B921" s="1226" t="s">
        <v>274</v>
      </c>
      <c r="C921" s="2841"/>
      <c r="D921" s="1187"/>
      <c r="E921" s="1188"/>
      <c r="F921" s="1013" t="str">
        <f>VLOOKUP($B921,DG!A:D,DG!$C$2,)</f>
        <v>Cáp đồng bọc CV95</v>
      </c>
      <c r="G921" s="1012" t="str">
        <f>VLOOKUP($B921,DG!A:D,DG!$D$2,)</f>
        <v>mét</v>
      </c>
      <c r="H921" s="1724"/>
      <c r="I921" s="1192">
        <f t="shared" si="39"/>
        <v>0</v>
      </c>
      <c r="J921" s="1041"/>
      <c r="K921" s="1041"/>
      <c r="L921" s="1015"/>
      <c r="M921" s="934" t="s">
        <v>1262</v>
      </c>
    </row>
    <row r="922" spans="1:13" s="1016" customFormat="1" ht="25.2" hidden="1" customHeight="1">
      <c r="A922" s="1086">
        <f t="shared" ref="A922:A985" si="40">IF(AND(M922=$M$23,I922&gt;0),1,0)</f>
        <v>0</v>
      </c>
      <c r="B922" s="1226" t="str">
        <f>REPLACE(B920,1,2,"cos")</f>
        <v>cos150</v>
      </c>
      <c r="C922" s="2841"/>
      <c r="D922" s="1187"/>
      <c r="E922" s="1188"/>
      <c r="F922" s="1013" t="str">
        <f>VLOOKUP($B922,DG!A:D,DG!$C$2,)</f>
        <v>Đầu cosse ép Cu 150mm2</v>
      </c>
      <c r="G922" s="1012" t="str">
        <f>VLOOKUP($B922,DG!A:D,DG!$D$2,)</f>
        <v>cái</v>
      </c>
      <c r="H922" s="1724"/>
      <c r="I922" s="1192">
        <f t="shared" si="39"/>
        <v>0</v>
      </c>
      <c r="J922" s="1041"/>
      <c r="K922" s="1041"/>
      <c r="L922" s="1015"/>
      <c r="M922" s="934" t="s">
        <v>1262</v>
      </c>
    </row>
    <row r="923" spans="1:13" s="1016" customFormat="1" ht="25.2" hidden="1" customHeight="1">
      <c r="A923" s="1086">
        <f t="shared" si="40"/>
        <v>0</v>
      </c>
      <c r="B923" s="1226" t="str">
        <f>REPLACE(B921,1,2,"cos")</f>
        <v>cos95</v>
      </c>
      <c r="C923" s="2841"/>
      <c r="D923" s="1187"/>
      <c r="E923" s="1188"/>
      <c r="F923" s="1013" t="str">
        <f>VLOOKUP($B923,DG!A:D,DG!$C$2,)</f>
        <v>Đầu cosse ép Cu 95mm2</v>
      </c>
      <c r="G923" s="1012" t="str">
        <f>VLOOKUP($B923,DG!A:D,DG!$D$2,)</f>
        <v>cái</v>
      </c>
      <c r="H923" s="1724"/>
      <c r="I923" s="1192">
        <f t="shared" si="39"/>
        <v>0</v>
      </c>
      <c r="J923" s="1041"/>
      <c r="K923" s="1041"/>
      <c r="L923" s="1015"/>
      <c r="M923" s="934" t="s">
        <v>1262</v>
      </c>
    </row>
    <row r="924" spans="1:13" s="1016" customFormat="1" ht="25.2" hidden="1" customHeight="1">
      <c r="A924" s="1086">
        <f t="shared" si="40"/>
        <v>0</v>
      </c>
      <c r="B924" s="1226" t="str">
        <f>REPLACE(B920,1,2,"chcos")</f>
        <v>chcos150</v>
      </c>
      <c r="C924" s="2841"/>
      <c r="D924" s="1187"/>
      <c r="E924" s="1188"/>
      <c r="F924" s="1013" t="str">
        <f>VLOOKUP($B924,DG!A:D,DG!$C$2,)</f>
        <v>Chụp đầu cosse  150mm2</v>
      </c>
      <c r="G924" s="1012" t="str">
        <f>VLOOKUP($B924,DG!A:D,DG!$D$2,)</f>
        <v>cái</v>
      </c>
      <c r="H924" s="1724"/>
      <c r="I924" s="1192">
        <f t="shared" si="39"/>
        <v>0</v>
      </c>
      <c r="J924" s="1041"/>
      <c r="K924" s="1041"/>
      <c r="L924" s="1015"/>
      <c r="M924" s="934" t="s">
        <v>1262</v>
      </c>
    </row>
    <row r="925" spans="1:13" s="1016" customFormat="1" ht="25.2" hidden="1" customHeight="1">
      <c r="A925" s="1086">
        <f t="shared" si="40"/>
        <v>0</v>
      </c>
      <c r="B925" s="1226" t="str">
        <f>REPLACE(B921,1,2,"chcos")</f>
        <v>chcos95</v>
      </c>
      <c r="C925" s="2841"/>
      <c r="D925" s="1187"/>
      <c r="E925" s="1188"/>
      <c r="F925" s="1013" t="str">
        <f>VLOOKUP($B925,DG!A:D,DG!$C$2,)</f>
        <v>Chụp đầu cosse  95mm2</v>
      </c>
      <c r="G925" s="1012" t="str">
        <f>VLOOKUP($B925,DG!A:D,DG!$D$2,)</f>
        <v>cái</v>
      </c>
      <c r="H925" s="1724"/>
      <c r="I925" s="1192">
        <f t="shared" si="39"/>
        <v>0</v>
      </c>
      <c r="J925" s="1041"/>
      <c r="K925" s="1041"/>
      <c r="L925" s="1015"/>
      <c r="M925" s="934" t="s">
        <v>1262</v>
      </c>
    </row>
    <row r="926" spans="1:13" s="1016" customFormat="1" ht="25.2" hidden="1" customHeight="1">
      <c r="A926" s="1086">
        <f t="shared" si="40"/>
        <v>0</v>
      </c>
      <c r="B926" s="1226" t="s">
        <v>1042</v>
      </c>
      <c r="C926" s="2841"/>
      <c r="D926" s="1187"/>
      <c r="E926" s="1188"/>
      <c r="F926" s="1013" t="str">
        <f>VLOOKUP($B926,DG!A:D,DG!$C$2,)</f>
        <v xml:space="preserve">Ống PVC D114x4,9mm </v>
      </c>
      <c r="G926" s="1012" t="str">
        <f>VLOOKUP($B926,DG!A:D,DG!$D$2,)</f>
        <v>m</v>
      </c>
      <c r="H926" s="1724"/>
      <c r="I926" s="1192">
        <f t="shared" si="39"/>
        <v>0</v>
      </c>
      <c r="J926" s="1041"/>
      <c r="K926" s="1041"/>
      <c r="L926" s="1015"/>
      <c r="M926" s="934" t="s">
        <v>1262</v>
      </c>
    </row>
    <row r="927" spans="1:13" s="1016" customFormat="1" ht="25.2" hidden="1" customHeight="1">
      <c r="A927" s="1086">
        <f t="shared" si="40"/>
        <v>0</v>
      </c>
      <c r="B927" s="1226" t="str">
        <f>REPLACE(B926,1,3,"cd")</f>
        <v>cd114</v>
      </c>
      <c r="C927" s="2841"/>
      <c r="D927" s="1187"/>
      <c r="E927" s="1188"/>
      <c r="F927" s="1013" t="str">
        <f>VLOOKUP($B927,DG!A:D,DG!$C$2,)</f>
        <v>Cổ dê kẹp ống PVC Ø 114</v>
      </c>
      <c r="G927" s="1012" t="str">
        <f>VLOOKUP($B927,DG!A:D,DG!$D$2,)</f>
        <v>bộ</v>
      </c>
      <c r="H927" s="1724"/>
      <c r="I927" s="1192">
        <f t="shared" si="39"/>
        <v>0</v>
      </c>
      <c r="J927" s="1041"/>
      <c r="K927" s="1041"/>
      <c r="L927" s="1015"/>
      <c r="M927" s="934" t="s">
        <v>1262</v>
      </c>
    </row>
    <row r="928" spans="1:13" s="1016" customFormat="1" ht="25.2" hidden="1" customHeight="1">
      <c r="A928" s="1086">
        <f t="shared" si="40"/>
        <v>0</v>
      </c>
      <c r="B928" s="1226" t="str">
        <f>REPLACE(B926,1,3,"cut")&amp;"t"</f>
        <v>cut114t</v>
      </c>
      <c r="C928" s="2841"/>
      <c r="D928" s="1187"/>
      <c r="E928" s="1188"/>
      <c r="F928" s="1013" t="str">
        <f>VLOOKUP($B928,DG!A:D,DG!$C$2,)</f>
        <v>Co  90 độ PVC 114</v>
      </c>
      <c r="G928" s="1012" t="str">
        <f>VLOOKUP($B928,DG!A:D,DG!$D$2,)</f>
        <v>cái</v>
      </c>
      <c r="H928" s="1724"/>
      <c r="I928" s="1192">
        <f t="shared" si="39"/>
        <v>0</v>
      </c>
      <c r="J928" s="1041"/>
      <c r="K928" s="1041"/>
      <c r="L928" s="1015"/>
      <c r="M928" s="934" t="s">
        <v>1262</v>
      </c>
    </row>
    <row r="929" spans="1:13" s="1016" customFormat="1" ht="25.2" hidden="1" customHeight="1">
      <c r="A929" s="1086">
        <f t="shared" si="40"/>
        <v>0</v>
      </c>
      <c r="B929" s="1226" t="str">
        <f>REPLACE(B926,1,3,"cut")&amp;"l"</f>
        <v>cut114l</v>
      </c>
      <c r="C929" s="2841"/>
      <c r="D929" s="1187"/>
      <c r="E929" s="1188"/>
      <c r="F929" s="1013" t="str">
        <f>VLOOKUP($B929,DG!A:D,DG!$C$2,)</f>
        <v>Co 135 độ PVC 114</v>
      </c>
      <c r="G929" s="1012" t="str">
        <f>VLOOKUP($B929,DG!A:D,DG!$D$2,)</f>
        <v>cái</v>
      </c>
      <c r="H929" s="1724"/>
      <c r="I929" s="1192">
        <f t="shared" si="39"/>
        <v>0</v>
      </c>
      <c r="J929" s="1041"/>
      <c r="K929" s="1041"/>
      <c r="L929" s="1015"/>
      <c r="M929" s="934" t="s">
        <v>1262</v>
      </c>
    </row>
    <row r="930" spans="1:13" s="1016" customFormat="1" ht="25.2" hidden="1" customHeight="1">
      <c r="A930" s="1086">
        <f t="shared" si="40"/>
        <v>0</v>
      </c>
      <c r="B930" s="1226" t="s">
        <v>1964</v>
      </c>
      <c r="C930" s="2841"/>
      <c r="D930" s="1187"/>
      <c r="E930" s="1188"/>
      <c r="F930" s="1013" t="str">
        <f>VLOOKUP($B930,DG!A:D,DG!$C$2,)</f>
        <v>Khâu ven răng trong D114</v>
      </c>
      <c r="G930" s="1012" t="str">
        <f>VLOOKUP($B930,DG!A:D,DG!$D$2,)</f>
        <v>cái</v>
      </c>
      <c r="H930" s="1724"/>
      <c r="I930" s="1192">
        <f t="shared" si="39"/>
        <v>0</v>
      </c>
      <c r="J930" s="1041"/>
      <c r="K930" s="1041"/>
      <c r="L930" s="1015"/>
      <c r="M930" s="934" t="s">
        <v>1262</v>
      </c>
    </row>
    <row r="931" spans="1:13" s="1016" customFormat="1" ht="25.2" hidden="1" customHeight="1">
      <c r="A931" s="1086">
        <f t="shared" si="40"/>
        <v>0</v>
      </c>
      <c r="B931" s="1226" t="s">
        <v>1965</v>
      </c>
      <c r="C931" s="2841"/>
      <c r="D931" s="1187"/>
      <c r="E931" s="1188"/>
      <c r="F931" s="1013" t="str">
        <f>VLOOKUP($B931,DG!A:D,DG!$C$2,)</f>
        <v>Khâu ven răng ngoài D114</v>
      </c>
      <c r="G931" s="1012" t="str">
        <f>VLOOKUP($B931,DG!A:D,DG!$D$2,)</f>
        <v>cái</v>
      </c>
      <c r="H931" s="1724"/>
      <c r="I931" s="1192">
        <f t="shared" si="39"/>
        <v>0</v>
      </c>
      <c r="J931" s="1041"/>
      <c r="K931" s="1041"/>
      <c r="L931" s="1015"/>
      <c r="M931" s="934" t="s">
        <v>1262</v>
      </c>
    </row>
    <row r="932" spans="1:13" s="1016" customFormat="1" ht="25.2" hidden="1" customHeight="1">
      <c r="A932" s="1086">
        <f t="shared" si="40"/>
        <v>0</v>
      </c>
      <c r="B932" s="1226" t="s">
        <v>419</v>
      </c>
      <c r="C932" s="2841"/>
      <c r="D932" s="1023"/>
      <c r="E932" s="1012">
        <f>VLOOKUP($B932,DG!A:D,DG!$B$2,)</f>
        <v>0</v>
      </c>
      <c r="F932" s="1013" t="str">
        <f>VLOOKUP($B932,DG!A:D,DG!$C$2,)</f>
        <v>Keo dán ống PVC (100gr)</v>
      </c>
      <c r="G932" s="1012" t="str">
        <f>VLOOKUP($B932,DG!A:D,DG!$D$2,)</f>
        <v>tuýp</v>
      </c>
      <c r="H932" s="1713"/>
      <c r="I932" s="1192">
        <f t="shared" si="39"/>
        <v>0</v>
      </c>
      <c r="J932" s="1041"/>
      <c r="K932" s="1041"/>
      <c r="L932" s="1015"/>
      <c r="M932" s="934" t="s">
        <v>1262</v>
      </c>
    </row>
    <row r="933" spans="1:13" s="1016" customFormat="1" ht="25.2" hidden="1" customHeight="1">
      <c r="A933" s="1086">
        <f t="shared" si="40"/>
        <v>0</v>
      </c>
      <c r="B933" s="1226" t="s">
        <v>489</v>
      </c>
      <c r="C933" s="2841"/>
      <c r="D933" s="1023"/>
      <c r="E933" s="1012">
        <f>VLOOKUP($B933,DG!A:D,DG!$B$2,)</f>
        <v>0</v>
      </c>
      <c r="F933" s="1013" t="str">
        <f>VLOOKUP($B933,DG!A:D,DG!$C$2,)</f>
        <v>Keo silicon bít miệng ống</v>
      </c>
      <c r="G933" s="1012" t="str">
        <f>VLOOKUP($B933,DG!A:D,DG!$D$2,)</f>
        <v>ống</v>
      </c>
      <c r="H933" s="1713"/>
      <c r="I933" s="1192">
        <f t="shared" si="39"/>
        <v>0</v>
      </c>
      <c r="J933" s="1041"/>
      <c r="K933" s="1041"/>
      <c r="L933" s="1015"/>
      <c r="M933" s="934" t="s">
        <v>1262</v>
      </c>
    </row>
    <row r="934" spans="1:13" s="1016" customFormat="1" ht="25.2" hidden="1" customHeight="1">
      <c r="A934" s="1086">
        <f t="shared" si="40"/>
        <v>0</v>
      </c>
      <c r="B934" s="1226" t="s">
        <v>142</v>
      </c>
      <c r="C934" s="2841"/>
      <c r="D934" s="1023"/>
      <c r="E934" s="1012">
        <f>VLOOKUP($B934,DG!A:D,DG!$B$2,)</f>
        <v>0</v>
      </c>
      <c r="F934" s="1013" t="str">
        <f>VLOOKUP($B934,DG!A:D,DG!$C$2,)</f>
        <v>Kẹp ép WR cỡ dây 150mm2</v>
      </c>
      <c r="G934" s="1012" t="str">
        <f>VLOOKUP($B934,DG!A:D,DG!$D$2,)</f>
        <v>cái</v>
      </c>
      <c r="H934" s="1713"/>
      <c r="I934" s="1192">
        <f t="shared" si="39"/>
        <v>0</v>
      </c>
      <c r="J934" s="1041"/>
      <c r="K934" s="1041"/>
      <c r="L934" s="1015"/>
      <c r="M934" s="934" t="s">
        <v>1262</v>
      </c>
    </row>
    <row r="935" spans="1:13" s="1016" customFormat="1" ht="25.2" hidden="1" customHeight="1">
      <c r="A935" s="1086">
        <f t="shared" si="40"/>
        <v>0</v>
      </c>
      <c r="B935" s="1087" t="s">
        <v>672</v>
      </c>
      <c r="C935" s="2842"/>
      <c r="D935" s="1023"/>
      <c r="E935" s="1012">
        <f>VLOOKUP($B935,DG!A:D,DG!$B$2,)</f>
        <v>0</v>
      </c>
      <c r="F935" s="1013" t="str">
        <f>VLOOKUP($B935,DG!A:D,DG!$C$2,)</f>
        <v>Băng keo cách điện</v>
      </c>
      <c r="G935" s="1012" t="str">
        <f>VLOOKUP($B935,DG!A:D,DG!$D$2,)</f>
        <v>cuộn</v>
      </c>
      <c r="H935" s="1713"/>
      <c r="I935" s="1192">
        <f t="shared" si="39"/>
        <v>0</v>
      </c>
      <c r="J935" s="1041"/>
      <c r="K935" s="1041"/>
      <c r="L935" s="1015"/>
      <c r="M935" s="934" t="s">
        <v>1262</v>
      </c>
    </row>
    <row r="936" spans="1:13" s="1016" customFormat="1" ht="25.2" hidden="1" customHeight="1">
      <c r="A936" s="1086">
        <f t="shared" si="40"/>
        <v>0</v>
      </c>
      <c r="B936" s="1231" t="s">
        <v>1863</v>
      </c>
      <c r="C936" s="2844"/>
      <c r="D936" s="1043"/>
      <c r="E936" s="1012" t="str">
        <f>VLOOKUP($B936,DG!A:D,DG!$B$2,)</f>
        <v>07,2407</v>
      </c>
      <c r="F936" s="1013" t="str">
        <f>VLOOKUP($B936,DG!A:D,DG!$C$2,)</f>
        <v>Lắp ống nhựa PVC D114</v>
      </c>
      <c r="G936" s="1012" t="str">
        <f>VLOOKUP($B936,DG!A:D,DG!$D$2,)</f>
        <v>mét</v>
      </c>
      <c r="H936" s="1100"/>
      <c r="I936" s="1192">
        <f t="shared" si="39"/>
        <v>0</v>
      </c>
      <c r="J936" s="1041"/>
      <c r="K936" s="1041"/>
      <c r="L936" s="1015"/>
      <c r="M936" s="934" t="s">
        <v>1262</v>
      </c>
    </row>
    <row r="937" spans="1:13" s="1016" customFormat="1" ht="25.2" hidden="1" customHeight="1">
      <c r="A937" s="1086">
        <f t="shared" si="40"/>
        <v>0</v>
      </c>
      <c r="B937" s="1087" t="s">
        <v>2006</v>
      </c>
      <c r="C937" s="2842"/>
      <c r="D937" s="1043"/>
      <c r="E937" s="1012" t="str">
        <f>VLOOKUP($B937,DG!A:D,DG!$B$2,)</f>
        <v>04.4202</v>
      </c>
      <c r="F937" s="1013" t="str">
        <f>VLOOKUP($B937,DG!A:D,DG!$C$2,)</f>
        <v>Lắp cáp đồng xuống thiết bị D ≤ 150mm2</v>
      </c>
      <c r="G937" s="1012" t="str">
        <f>VLOOKUP($B937,DG!A:D,DG!$D$2,)</f>
        <v>m</v>
      </c>
      <c r="H937" s="1100"/>
      <c r="I937" s="1192">
        <f t="shared" si="39"/>
        <v>0</v>
      </c>
      <c r="J937" s="1041"/>
      <c r="K937" s="1041"/>
      <c r="L937" s="1015"/>
      <c r="M937" s="934" t="s">
        <v>1262</v>
      </c>
    </row>
    <row r="938" spans="1:13" s="1016" customFormat="1" ht="25.2" hidden="1" customHeight="1">
      <c r="A938" s="1086">
        <f t="shared" si="40"/>
        <v>0</v>
      </c>
      <c r="B938" s="1226"/>
      <c r="C938" s="2841"/>
      <c r="D938" s="1082"/>
      <c r="E938" s="1071"/>
      <c r="F938" s="1038"/>
      <c r="G938" s="1072"/>
      <c r="H938" s="1733"/>
      <c r="I938" s="1733"/>
      <c r="J938" s="1733"/>
      <c r="K938" s="1733"/>
      <c r="L938" s="1733"/>
      <c r="M938" s="934"/>
    </row>
    <row r="939" spans="1:13" s="1016" customFormat="1" ht="25.2" hidden="1" customHeight="1">
      <c r="A939" s="1086">
        <f t="shared" si="40"/>
        <v>0</v>
      </c>
      <c r="B939" s="1226"/>
      <c r="C939" s="2841"/>
      <c r="D939" s="1189"/>
      <c r="E939" s="1189"/>
      <c r="F939" s="1190"/>
      <c r="G939" s="1191"/>
      <c r="H939" s="1734"/>
      <c r="I939" s="1192">
        <f t="shared" si="38"/>
        <v>0</v>
      </c>
      <c r="J939" s="1190"/>
      <c r="K939" s="1190"/>
      <c r="L939" s="1075"/>
      <c r="M939" s="934"/>
    </row>
    <row r="940" spans="1:13" s="1016" customFormat="1" ht="25.2" hidden="1" customHeight="1">
      <c r="A940" s="1086">
        <f t="shared" si="40"/>
        <v>0</v>
      </c>
      <c r="B940" s="1221"/>
      <c r="C940" s="2845"/>
      <c r="D940" s="1033"/>
      <c r="E940" s="934"/>
      <c r="F940" s="1034"/>
      <c r="G940" s="934"/>
      <c r="H940" s="1735"/>
      <c r="I940" s="1192">
        <f t="shared" si="38"/>
        <v>0</v>
      </c>
      <c r="L940" s="934"/>
      <c r="M940" s="934"/>
    </row>
    <row r="941" spans="1:13" s="1016" customFormat="1" ht="25.2" hidden="1" customHeight="1">
      <c r="A941" s="1086">
        <f t="shared" si="40"/>
        <v>0</v>
      </c>
      <c r="B941" s="1250"/>
      <c r="C941" s="2854"/>
      <c r="D941" s="1263" t="str">
        <f>"BAÛNG TOÅNG HÔÏP VAÄT LIEÄU, NHAÂN COÂNG, MAÙY THI COÂNG : "&amp;L10&amp;" TRAÏM 3P_160KVA ÑO ÑEÁM HAÏ THEÁ"</f>
        <v>BAÛNG TOÅNG HÔÏP VAÄT LIEÄU, NHAÂN COÂNG, MAÙY THI COÂNG :  TRAÏM 3P_160KVA ÑO ÑEÁM HAÏ THEÁ</v>
      </c>
      <c r="E941" s="938"/>
      <c r="F941" s="938"/>
      <c r="G941" s="938"/>
      <c r="H941" s="1736"/>
      <c r="I941" s="1192">
        <f t="shared" si="38"/>
        <v>0</v>
      </c>
      <c r="J941" s="1035"/>
      <c r="K941" s="1035"/>
      <c r="L941" s="934"/>
      <c r="M941" s="934"/>
    </row>
    <row r="942" spans="1:13" s="1016" customFormat="1" ht="25.2" hidden="1" customHeight="1">
      <c r="A942" s="1086">
        <f t="shared" si="40"/>
        <v>0</v>
      </c>
      <c r="B942" s="1226"/>
      <c r="C942" s="2841"/>
      <c r="D942" s="1036"/>
      <c r="E942" s="1037"/>
      <c r="F942" s="1038" t="s">
        <v>3672</v>
      </c>
      <c r="G942" s="1039"/>
      <c r="H942" s="1754"/>
      <c r="I942" s="1192">
        <f t="shared" si="38"/>
        <v>0</v>
      </c>
      <c r="J942" s="1039"/>
      <c r="K942" s="1039"/>
      <c r="L942" s="1040"/>
      <c r="M942" s="934">
        <v>160</v>
      </c>
    </row>
    <row r="943" spans="1:13" s="1016" customFormat="1" ht="25.2" hidden="1" customHeight="1">
      <c r="A943" s="1086">
        <f t="shared" si="40"/>
        <v>0</v>
      </c>
      <c r="B943" s="1227" t="s">
        <v>1378</v>
      </c>
      <c r="C943" s="2840"/>
      <c r="D943" s="1023">
        <f>IF(H943&gt;0,1,0)</f>
        <v>0</v>
      </c>
      <c r="E943" s="1012" t="str">
        <f>VLOOKUP($B943,DG!A:D,DG!$B$2,)</f>
        <v>01.1144</v>
      </c>
      <c r="F943" s="1013" t="str">
        <f>VLOOKUP($B943,DG!A:D,DG!$C$2,)</f>
        <v>Máy biến áp 22/0,4kV  160kVA</v>
      </c>
      <c r="G943" s="1012" t="str">
        <f>VLOOKUP($B943,DG!A:D,DG!$D$2,)</f>
        <v>máy</v>
      </c>
      <c r="H943" s="1737">
        <f>L10</f>
        <v>0</v>
      </c>
      <c r="I943" s="1192">
        <f t="shared" si="38"/>
        <v>0</v>
      </c>
      <c r="J943" s="1041"/>
      <c r="K943" s="1041"/>
      <c r="L943" s="1042"/>
      <c r="M943" s="934">
        <v>160</v>
      </c>
    </row>
    <row r="944" spans="1:13" s="1016" customFormat="1" ht="25.2" hidden="1" customHeight="1">
      <c r="A944" s="1086">
        <f t="shared" si="40"/>
        <v>0</v>
      </c>
      <c r="B944" s="1227" t="s">
        <v>1652</v>
      </c>
      <c r="C944" s="2840"/>
      <c r="D944" s="1023">
        <f>IF(H944&gt;0,D943+1,D943)</f>
        <v>0</v>
      </c>
      <c r="E944" s="1012" t="str">
        <f>VLOOKUP($B944,DG!A:D,DG!$B$2,)</f>
        <v>02.3155</v>
      </c>
      <c r="F944" s="1013" t="str">
        <f>VLOOKUP($B944,DG!A:D,DG!$C$2,)</f>
        <v>FCO 24kV - 100A</v>
      </c>
      <c r="G944" s="1012" t="str">
        <f>VLOOKUP($B944,DG!A:D,DG!$D$2,)</f>
        <v>cái</v>
      </c>
      <c r="H944" s="1713">
        <f>$H$943*3</f>
        <v>0</v>
      </c>
      <c r="I944" s="1192">
        <f t="shared" si="38"/>
        <v>0</v>
      </c>
      <c r="J944" s="1014"/>
      <c r="K944" s="1014"/>
      <c r="L944" s="1043"/>
      <c r="M944" s="934">
        <v>160</v>
      </c>
    </row>
    <row r="945" spans="1:13" s="1016" customFormat="1" ht="25.2" hidden="1" customHeight="1">
      <c r="A945" s="1086">
        <f t="shared" si="40"/>
        <v>0</v>
      </c>
      <c r="B945" s="1227" t="str">
        <f>IF(14=15,"chi10","chi6k")</f>
        <v>chi6k</v>
      </c>
      <c r="C945" s="2840"/>
      <c r="D945" s="1023">
        <f t="shared" ref="D945:D950" si="41">IF(H945&gt;0,D944+1,D944)</f>
        <v>0</v>
      </c>
      <c r="E945" s="1012">
        <f>VLOOKUP($B945,DG!A:D,DG!$B$2,)</f>
        <v>0</v>
      </c>
      <c r="F945" s="1013" t="str">
        <f>VLOOKUP($B945,DG!A:D,DG!$C$2,)</f>
        <v>Dây chảy 6K</v>
      </c>
      <c r="G945" s="1012" t="str">
        <f>VLOOKUP($B945,DG!A:D,DG!$D$2,)</f>
        <v>Sợi</v>
      </c>
      <c r="H945" s="1713">
        <f>H944</f>
        <v>0</v>
      </c>
      <c r="I945" s="1192">
        <f t="shared" si="38"/>
        <v>0</v>
      </c>
      <c r="J945" s="1014"/>
      <c r="K945" s="1014"/>
      <c r="L945" s="1043"/>
      <c r="M945" s="934">
        <v>160</v>
      </c>
    </row>
    <row r="946" spans="1:13" s="1016" customFormat="1" ht="25.2" hidden="1" customHeight="1">
      <c r="A946" s="1086">
        <f t="shared" si="40"/>
        <v>0</v>
      </c>
      <c r="B946" s="1226" t="s">
        <v>1373</v>
      </c>
      <c r="C946" s="2841"/>
      <c r="D946" s="1023">
        <f t="shared" si="41"/>
        <v>0</v>
      </c>
      <c r="E946" s="1012" t="str">
        <f>VLOOKUP($B946,DG!A:D,DG!$B$2,)</f>
        <v>02.5114</v>
      </c>
      <c r="F946" s="1013" t="str">
        <f>VLOOKUP($B946,DG!A:D,DG!$C$2,)</f>
        <v>Chống sét van LA-18KV-10KA</v>
      </c>
      <c r="G946" s="1012" t="str">
        <f>VLOOKUP($B946,DG!A:D,DG!$D$2,)</f>
        <v>cái</v>
      </c>
      <c r="H946" s="1713">
        <f>H944</f>
        <v>0</v>
      </c>
      <c r="I946" s="1192">
        <f t="shared" si="38"/>
        <v>0</v>
      </c>
      <c r="J946" s="1014"/>
      <c r="K946" s="1014"/>
      <c r="L946" s="1043"/>
      <c r="M946" s="934">
        <v>160</v>
      </c>
    </row>
    <row r="947" spans="1:13" s="1016" customFormat="1" ht="25.2" hidden="1" customHeight="1">
      <c r="A947" s="1086">
        <f t="shared" si="40"/>
        <v>0</v>
      </c>
      <c r="B947" s="1227" t="s">
        <v>710</v>
      </c>
      <c r="C947" s="2840"/>
      <c r="D947" s="1023">
        <f t="shared" si="41"/>
        <v>0</v>
      </c>
      <c r="E947" s="1012" t="str">
        <f>VLOOKUP($B947,DG!A:D,DG!$B$2,)</f>
        <v>02.8401</v>
      </c>
      <c r="F947" s="1013" t="str">
        <f>VLOOKUP($B947,DG!A:D,DG!$C$2,)</f>
        <v xml:space="preserve">MCCB 3 cực 600V -250A - 36KA </v>
      </c>
      <c r="G947" s="1012" t="str">
        <f>VLOOKUP($B947,DG!A:D,DG!$D$2,)</f>
        <v>cái</v>
      </c>
      <c r="H947" s="1713">
        <f>$H$943</f>
        <v>0</v>
      </c>
      <c r="I947" s="1192">
        <f t="shared" si="38"/>
        <v>0</v>
      </c>
      <c r="J947" s="1014"/>
      <c r="K947" s="1014"/>
      <c r="L947" s="1043"/>
      <c r="M947" s="934">
        <v>160</v>
      </c>
    </row>
    <row r="948" spans="1:13" s="1016" customFormat="1" ht="25.2" hidden="1" customHeight="1">
      <c r="A948" s="1086">
        <f t="shared" si="40"/>
        <v>0</v>
      </c>
      <c r="B948" s="1227" t="s">
        <v>685</v>
      </c>
      <c r="C948" s="2840"/>
      <c r="D948" s="1023">
        <f t="shared" si="41"/>
        <v>0</v>
      </c>
      <c r="E948" s="1012" t="str">
        <f>VLOOKUP($B948,DG!A:D,DG!$B$2,)</f>
        <v>02.8534</v>
      </c>
      <c r="F948" s="1013" t="str">
        <f>VLOOKUP($B948,DG!A:D,DG!$C$2,)</f>
        <v>Tủ tụ bù hạ thế 80kVAr</v>
      </c>
      <c r="G948" s="1012" t="str">
        <f>VLOOKUP($B948,DG!A:D,DG!$D$2,)</f>
        <v>tủ</v>
      </c>
      <c r="H948" s="1713">
        <f>$H$943</f>
        <v>0</v>
      </c>
      <c r="I948" s="1192">
        <f t="shared" si="38"/>
        <v>0</v>
      </c>
      <c r="J948" s="1014"/>
      <c r="K948" s="1014"/>
      <c r="L948" s="1043"/>
      <c r="M948" s="934">
        <v>160</v>
      </c>
    </row>
    <row r="949" spans="1:13" s="1016" customFormat="1" ht="25.2" hidden="1" customHeight="1">
      <c r="A949" s="1086">
        <f t="shared" si="40"/>
        <v>0</v>
      </c>
      <c r="B949" s="1087" t="s">
        <v>1668</v>
      </c>
      <c r="C949" s="2842"/>
      <c r="D949" s="1023">
        <f t="shared" si="41"/>
        <v>1</v>
      </c>
      <c r="E949" s="1012">
        <f>VLOOKUP($B949,DG!A:D,DG!$B$2,)</f>
        <v>0</v>
      </c>
      <c r="F949" s="1095" t="str">
        <f>VLOOKUP($B949,DG!A:D,DG!$C$2,)</f>
        <v>Biến dòng 600V - 250/5A</v>
      </c>
      <c r="G949" s="1012" t="str">
        <f>VLOOKUP($B949,DG!A:D,DG!$D$2,)</f>
        <v>cái</v>
      </c>
      <c r="H949" s="1738">
        <v>3</v>
      </c>
      <c r="I949" s="1192">
        <f t="shared" si="38"/>
        <v>0</v>
      </c>
      <c r="J949" s="1014"/>
      <c r="K949" s="1014"/>
      <c r="L949" s="1044" t="s">
        <v>2601</v>
      </c>
      <c r="M949" s="934">
        <v>160</v>
      </c>
    </row>
    <row r="950" spans="1:13" s="1016" customFormat="1" ht="25.2" hidden="1" customHeight="1">
      <c r="A950" s="1086">
        <f t="shared" si="40"/>
        <v>0</v>
      </c>
      <c r="B950" s="1252" t="s">
        <v>1460</v>
      </c>
      <c r="C950" s="2856"/>
      <c r="D950" s="1023">
        <f t="shared" si="41"/>
        <v>1</v>
      </c>
      <c r="E950" s="1012" t="str">
        <f>VLOOKUP($B950,DG!A:D,DG!$B$2,)</f>
        <v>05.5104</v>
      </c>
      <c r="F950" s="1095" t="str">
        <f>VLOOKUP($B950,DG!A:D,DG!$C$2,)</f>
        <v>Điện kế 3 pha 4 dây 220/380V-5A</v>
      </c>
      <c r="G950" s="1012" t="str">
        <f>VLOOKUP($B950,DG!A:D,DG!$D$2,)</f>
        <v>cái</v>
      </c>
      <c r="H950" s="1738">
        <f>$H$943</f>
        <v>0</v>
      </c>
      <c r="I950" s="1192">
        <f t="shared" si="38"/>
        <v>0</v>
      </c>
      <c r="J950" s="1014"/>
      <c r="K950" s="1014"/>
      <c r="L950" s="1045" t="s">
        <v>2601</v>
      </c>
      <c r="M950" s="934">
        <v>160</v>
      </c>
    </row>
    <row r="951" spans="1:13" s="1016" customFormat="1" ht="25.2" hidden="1" customHeight="1">
      <c r="A951" s="1086">
        <f t="shared" si="40"/>
        <v>0</v>
      </c>
      <c r="B951" s="1226"/>
      <c r="C951" s="2841"/>
      <c r="D951" s="1046"/>
      <c r="E951" s="1047"/>
      <c r="F951" s="1009"/>
      <c r="G951" s="1046"/>
      <c r="H951" s="1718"/>
      <c r="I951" s="1192">
        <f t="shared" si="38"/>
        <v>0</v>
      </c>
      <c r="J951" s="1009"/>
      <c r="K951" s="1046"/>
      <c r="L951" s="1040"/>
      <c r="M951" s="934">
        <v>160</v>
      </c>
    </row>
    <row r="952" spans="1:13" s="1016" customFormat="1" ht="25.2" hidden="1" customHeight="1">
      <c r="A952" s="1086">
        <f t="shared" si="40"/>
        <v>0</v>
      </c>
      <c r="B952" s="1226"/>
      <c r="C952" s="2841"/>
      <c r="D952" s="1048"/>
      <c r="E952" s="1049"/>
      <c r="F952" s="1306" t="s">
        <v>3673</v>
      </c>
      <c r="G952" s="1038"/>
      <c r="H952" s="1730"/>
      <c r="I952" s="1730">
        <f t="shared" si="38"/>
        <v>0</v>
      </c>
      <c r="J952" s="1038"/>
      <c r="K952" s="1038"/>
      <c r="L952" s="1040"/>
      <c r="M952" s="934">
        <v>160</v>
      </c>
    </row>
    <row r="953" spans="1:13" s="1016" customFormat="1" ht="25.2" hidden="1" customHeight="1">
      <c r="A953" s="1086">
        <f t="shared" si="40"/>
        <v>0</v>
      </c>
      <c r="B953" s="1253"/>
      <c r="C953" s="2699"/>
      <c r="D953" s="1050">
        <f>IF(H953&gt;0,1,0)</f>
        <v>0</v>
      </c>
      <c r="E953" s="1051"/>
      <c r="F953" s="1052" t="s">
        <v>3711</v>
      </c>
      <c r="G953" s="1053" t="s">
        <v>2277</v>
      </c>
      <c r="H953" s="1739">
        <f>H943*2*0</f>
        <v>0</v>
      </c>
      <c r="I953" s="1192">
        <f t="shared" si="38"/>
        <v>0</v>
      </c>
      <c r="J953" s="1054"/>
      <c r="K953" s="1054"/>
      <c r="L953" s="1043"/>
      <c r="M953" s="934">
        <v>160</v>
      </c>
    </row>
    <row r="954" spans="1:13" s="1016" customFormat="1" ht="25.2" hidden="1" customHeight="1">
      <c r="A954" s="1086">
        <f t="shared" si="40"/>
        <v>0</v>
      </c>
      <c r="B954" s="1087" t="s">
        <v>115</v>
      </c>
      <c r="C954" s="2842"/>
      <c r="D954" s="1055"/>
      <c r="E954" s="1012"/>
      <c r="F954" s="1056" t="str">
        <f>VLOOKUP($B954,DG!A:D,DG!$C$2,)</f>
        <v>Trụ BTLT 12m F540 dự ứng lực</v>
      </c>
      <c r="G954" s="1012" t="str">
        <f>VLOOKUP($B954,DG!A:D,DG!$D$2,)</f>
        <v>trụ</v>
      </c>
      <c r="H954" s="1740">
        <f>H953</f>
        <v>0</v>
      </c>
      <c r="I954" s="1192">
        <f t="shared" si="38"/>
        <v>0</v>
      </c>
      <c r="J954" s="1041"/>
      <c r="K954" s="1011"/>
      <c r="L954" s="1043"/>
      <c r="M954" s="934">
        <v>160</v>
      </c>
    </row>
    <row r="955" spans="1:13" s="1016" customFormat="1" ht="25.2" hidden="1" customHeight="1">
      <c r="A955" s="1086">
        <f t="shared" si="40"/>
        <v>0</v>
      </c>
      <c r="B955" s="1087" t="s">
        <v>1814</v>
      </c>
      <c r="C955" s="2842"/>
      <c r="D955" s="1055"/>
      <c r="E955" s="1012"/>
      <c r="F955" s="1056" t="str">
        <f>VLOOKUP($B955,DG!A:D,DG!$C$2,)</f>
        <v>Vật liệu dựng trụ</v>
      </c>
      <c r="G955" s="1012" t="str">
        <f>VLOOKUP($B955,DG!A:D,DG!$D$2,)</f>
        <v>trụ</v>
      </c>
      <c r="H955" s="1740">
        <f>H954</f>
        <v>0</v>
      </c>
      <c r="I955" s="1192">
        <f t="shared" si="38"/>
        <v>0</v>
      </c>
      <c r="J955" s="1011"/>
      <c r="K955" s="1011"/>
      <c r="L955" s="1043"/>
      <c r="M955" s="934">
        <v>160</v>
      </c>
    </row>
    <row r="956" spans="1:13" s="1016" customFormat="1" ht="25.2" hidden="1" customHeight="1">
      <c r="A956" s="1086">
        <f t="shared" si="40"/>
        <v>0</v>
      </c>
      <c r="B956" s="1087" t="s">
        <v>643</v>
      </c>
      <c r="C956" s="2842"/>
      <c r="D956" s="1055"/>
      <c r="E956" s="1012" t="str">
        <f>VLOOKUP($B956,DG!A:D,DG!$B$2,)</f>
        <v>04.9203</v>
      </c>
      <c r="F956" s="1056" t="str">
        <f>VLOOKUP($B956,DG!A:D,DG!$C$2,)</f>
        <v>Dựng trụ BTLT 12m trong TBA bằng thủ công + cơ giới</v>
      </c>
      <c r="G956" s="1012" t="str">
        <f>VLOOKUP($B956,DG!A:D,DG!$D$2,)</f>
        <v>trụ</v>
      </c>
      <c r="H956" s="1740">
        <f>H954</f>
        <v>0</v>
      </c>
      <c r="I956" s="1192">
        <f t="shared" si="38"/>
        <v>0</v>
      </c>
      <c r="J956" s="1041"/>
      <c r="K956" s="1041"/>
      <c r="L956" s="1043"/>
      <c r="M956" s="934">
        <v>160</v>
      </c>
    </row>
    <row r="957" spans="1:13" s="1016" customFormat="1" ht="25.2" hidden="1" customHeight="1">
      <c r="A957" s="1086">
        <f t="shared" si="40"/>
        <v>0</v>
      </c>
      <c r="B957" s="1253"/>
      <c r="C957" s="2699"/>
      <c r="D957" s="1050">
        <f>IF(H957&gt;0,1,0)</f>
        <v>0</v>
      </c>
      <c r="E957" s="1051"/>
      <c r="F957" s="1052" t="s">
        <v>3712</v>
      </c>
      <c r="G957" s="1053" t="s">
        <v>2277</v>
      </c>
      <c r="H957" s="1739">
        <f>H943*2*0</f>
        <v>0</v>
      </c>
      <c r="I957" s="1192">
        <f t="shared" si="38"/>
        <v>0</v>
      </c>
      <c r="J957" s="1054"/>
      <c r="K957" s="1054"/>
      <c r="L957" s="1015"/>
      <c r="M957" s="934">
        <v>160</v>
      </c>
    </row>
    <row r="958" spans="1:13" s="1016" customFormat="1" ht="25.2" hidden="1" customHeight="1">
      <c r="A958" s="1086">
        <f t="shared" si="40"/>
        <v>0</v>
      </c>
      <c r="B958" s="1087" t="s">
        <v>114</v>
      </c>
      <c r="C958" s="2842"/>
      <c r="D958" s="1055"/>
      <c r="E958" s="1012"/>
      <c r="F958" s="1056" t="str">
        <f>VLOOKUP($B958,DG!A:D,DG!$C$2,)</f>
        <v>Trụ BTLT 10,5m F350 dự ứng lực</v>
      </c>
      <c r="G958" s="1012" t="str">
        <f>VLOOKUP($B958,DG!A:D,DG!$D$2,)</f>
        <v>trụ</v>
      </c>
      <c r="H958" s="1740">
        <f>H957</f>
        <v>0</v>
      </c>
      <c r="I958" s="1192">
        <f t="shared" si="38"/>
        <v>0</v>
      </c>
      <c r="J958" s="1041"/>
      <c r="K958" s="1011"/>
      <c r="L958" s="1015"/>
      <c r="M958" s="934">
        <v>160</v>
      </c>
    </row>
    <row r="959" spans="1:13" s="1016" customFormat="1" ht="25.2" hidden="1" customHeight="1">
      <c r="A959" s="1086">
        <f t="shared" si="40"/>
        <v>0</v>
      </c>
      <c r="B959" s="1087" t="s">
        <v>1814</v>
      </c>
      <c r="C959" s="2842"/>
      <c r="D959" s="1055"/>
      <c r="E959" s="1012"/>
      <c r="F959" s="1056" t="str">
        <f>VLOOKUP($B959,DG!A:D,DG!$C$2,)</f>
        <v>Vật liệu dựng trụ</v>
      </c>
      <c r="G959" s="1012" t="str">
        <f>VLOOKUP($B959,DG!A:D,DG!$D$2,)</f>
        <v>trụ</v>
      </c>
      <c r="H959" s="1740">
        <f>H958</f>
        <v>0</v>
      </c>
      <c r="I959" s="1192">
        <f t="shared" si="38"/>
        <v>0</v>
      </c>
      <c r="J959" s="1011"/>
      <c r="K959" s="1011"/>
      <c r="L959" s="1015"/>
      <c r="M959" s="934">
        <v>160</v>
      </c>
    </row>
    <row r="960" spans="1:13" s="1016" customFormat="1" ht="25.2" hidden="1" customHeight="1">
      <c r="A960" s="1086">
        <f t="shared" si="40"/>
        <v>0</v>
      </c>
      <c r="B960" s="1087" t="s">
        <v>644</v>
      </c>
      <c r="C960" s="2842"/>
      <c r="D960" s="1055"/>
      <c r="E960" s="1012" t="str">
        <f>VLOOKUP($B960,DG!A:D,DG!$B$2,)</f>
        <v>04.9203</v>
      </c>
      <c r="F960" s="1056" t="str">
        <f>VLOOKUP($B960,DG!A:D,DG!$C$2,)</f>
        <v>Dựng trụ BTLT 10,5m trong TBA bằng thủ công + cơ giới</v>
      </c>
      <c r="G960" s="1012" t="str">
        <f>VLOOKUP($B960,DG!A:D,DG!$D$2,)</f>
        <v>trụ</v>
      </c>
      <c r="H960" s="1740">
        <f>H958</f>
        <v>0</v>
      </c>
      <c r="I960" s="1192">
        <f t="shared" si="38"/>
        <v>0</v>
      </c>
      <c r="J960" s="1041"/>
      <c r="K960" s="1041"/>
      <c r="L960" s="1015"/>
      <c r="M960" s="934">
        <v>160</v>
      </c>
    </row>
    <row r="961" spans="1:13" s="1016" customFormat="1" ht="25.2" hidden="1" customHeight="1">
      <c r="A961" s="1086">
        <f t="shared" si="40"/>
        <v>0</v>
      </c>
      <c r="B961" s="1254"/>
      <c r="C961" s="2857"/>
      <c r="D961" s="1017">
        <f>IF(H961&gt;0,D953+1,D953)</f>
        <v>0</v>
      </c>
      <c r="E961" s="1051"/>
      <c r="F961" s="1052" t="s">
        <v>2352</v>
      </c>
      <c r="G961" s="1053" t="s">
        <v>2327</v>
      </c>
      <c r="H961" s="1739">
        <f>H953</f>
        <v>0</v>
      </c>
      <c r="I961" s="1192">
        <f t="shared" si="38"/>
        <v>0</v>
      </c>
      <c r="J961" s="1011"/>
      <c r="K961" s="1011"/>
      <c r="L961" s="1043"/>
      <c r="M961" s="934">
        <v>160</v>
      </c>
    </row>
    <row r="962" spans="1:13" s="1016" customFormat="1" ht="25.2" hidden="1" customHeight="1">
      <c r="A962" s="1086">
        <f t="shared" si="40"/>
        <v>0</v>
      </c>
      <c r="B962" s="1233" t="s">
        <v>636</v>
      </c>
      <c r="C962" s="2843"/>
      <c r="D962" s="1055"/>
      <c r="E962" s="1012" t="str">
        <f>VLOOKUP($B962,DG!A:D,DG!$B$2,)</f>
        <v>04.4001</v>
      </c>
      <c r="F962" s="1057" t="str">
        <f>VLOOKUP($B962,DG!A:D,DG!$C$2,)</f>
        <v>Đà cản BTCT 1,2m</v>
      </c>
      <c r="G962" s="1024" t="str">
        <f>VLOOKUP($B962,DG!A:D,DG!$D$2,)</f>
        <v>cái</v>
      </c>
      <c r="H962" s="1740">
        <f>H961</f>
        <v>0</v>
      </c>
      <c r="I962" s="1192">
        <f t="shared" si="38"/>
        <v>0</v>
      </c>
      <c r="J962" s="1041"/>
      <c r="K962" s="1011"/>
      <c r="L962" s="1043"/>
      <c r="M962" s="934">
        <v>160</v>
      </c>
    </row>
    <row r="963" spans="1:13" s="1016" customFormat="1" ht="25.2" hidden="1" customHeight="1">
      <c r="A963" s="1086">
        <f t="shared" si="40"/>
        <v>0</v>
      </c>
      <c r="B963" s="1233" t="s">
        <v>566</v>
      </c>
      <c r="C963" s="2843"/>
      <c r="D963" s="1055"/>
      <c r="E963" s="1024"/>
      <c r="F963" s="1057" t="str">
        <f>VLOOKUP($B963,DG!A:D,DG!$C$2,)</f>
        <v>Boulon 22x650+ 2 long đền vuông D24-50x50x3/Zn</v>
      </c>
      <c r="G963" s="1024" t="str">
        <f>VLOOKUP($B963,DG!A:D,DG!$D$2,)</f>
        <v>bộ</v>
      </c>
      <c r="H963" s="1740">
        <f>H962</f>
        <v>0</v>
      </c>
      <c r="I963" s="1192">
        <f t="shared" si="38"/>
        <v>0</v>
      </c>
      <c r="J963" s="1057"/>
      <c r="K963" s="1011"/>
      <c r="L963" s="1043"/>
      <c r="M963" s="934">
        <v>160</v>
      </c>
    </row>
    <row r="964" spans="1:13" s="1016" customFormat="1" ht="25.2" hidden="1" customHeight="1">
      <c r="A964" s="1086">
        <f t="shared" si="40"/>
        <v>0</v>
      </c>
      <c r="B964" s="1233" t="str">
        <f>IF(chitiet!G5=1,"MDD1",IF(chitiet!G5=2,"MDD2",IF(chitiet!G5=3,"MDD3",IF(chitiet!G5=4,"MDD4"))))</f>
        <v>MDD3</v>
      </c>
      <c r="C964" s="2843"/>
      <c r="D964" s="1055"/>
      <c r="E964" s="1024" t="str">
        <f>VLOOKUP($B964,DG!A:D,DG!$B$2,)</f>
        <v>03.1013</v>
      </c>
      <c r="F964" s="1057" t="str">
        <f>VLOOKUP($B964,DG!A:D,DG!$C$2,)</f>
        <v>Đào hố móng đất cấp 3 sâu &gt;1m</v>
      </c>
      <c r="G964" s="1024" t="str">
        <f>VLOOKUP($B964,DG!A:D,DG!$D$2,)</f>
        <v>m3</v>
      </c>
      <c r="H964" s="1741">
        <f>1.45*H962</f>
        <v>0</v>
      </c>
      <c r="I964" s="1192">
        <f t="shared" si="38"/>
        <v>0</v>
      </c>
      <c r="J964" s="1058"/>
      <c r="K964" s="1011"/>
      <c r="L964" s="1043"/>
      <c r="M964" s="934">
        <v>160</v>
      </c>
    </row>
    <row r="965" spans="1:13" s="1016" customFormat="1" ht="25.2" hidden="1" customHeight="1">
      <c r="A965" s="1086">
        <f t="shared" si="40"/>
        <v>0</v>
      </c>
      <c r="B965" s="1233" t="str">
        <f>IF(chitiet!G5=1,"MDAP1",IF(chitiet!G5=2,"MDAP2",IF(chitiet!G5=3,"MDAP3",IF(chitiet!G5=4,"MDAP4"))))</f>
        <v>MDAP3</v>
      </c>
      <c r="C965" s="2843"/>
      <c r="D965" s="1055"/>
      <c r="E965" s="1024" t="str">
        <f>VLOOKUP($B965,DG!A:D,DG!$B$2,)</f>
        <v>03.4113</v>
      </c>
      <c r="F965" s="1057" t="str">
        <f>VLOOKUP($B965,DG!A:D,DG!$C$2,)</f>
        <v>Đắp đất hố móng, độ chặt k=0,95</v>
      </c>
      <c r="G965" s="1024" t="str">
        <f>VLOOKUP($B965,DG!A:D,DG!$D$2,)</f>
        <v>m3</v>
      </c>
      <c r="H965" s="1741">
        <f>1.37*H961</f>
        <v>0</v>
      </c>
      <c r="I965" s="1192">
        <f t="shared" si="38"/>
        <v>0</v>
      </c>
      <c r="J965" s="1058"/>
      <c r="K965" s="1011"/>
      <c r="L965" s="1043"/>
      <c r="M965" s="934">
        <v>160</v>
      </c>
    </row>
    <row r="966" spans="1:13" s="1016" customFormat="1" ht="25.2" hidden="1" customHeight="1">
      <c r="A966" s="1086">
        <f t="shared" si="40"/>
        <v>0</v>
      </c>
      <c r="B966" s="1254"/>
      <c r="C966" s="2857"/>
      <c r="D966" s="1017">
        <f>IF(H966&gt;0,D958+1,D958)</f>
        <v>0</v>
      </c>
      <c r="E966" s="1051"/>
      <c r="F966" s="1052" t="s">
        <v>3713</v>
      </c>
      <c r="G966" s="1053" t="s">
        <v>2327</v>
      </c>
      <c r="H966" s="1739">
        <f>H957*0</f>
        <v>0</v>
      </c>
      <c r="I966" s="1192">
        <f t="shared" si="38"/>
        <v>0</v>
      </c>
      <c r="J966" s="1011"/>
      <c r="K966" s="1011"/>
      <c r="L966" s="1015"/>
      <c r="M966" s="934">
        <v>160</v>
      </c>
    </row>
    <row r="967" spans="1:13" s="1016" customFormat="1" ht="25.2" hidden="1" customHeight="1">
      <c r="A967" s="1086">
        <f t="shared" si="40"/>
        <v>0</v>
      </c>
      <c r="B967" s="1233" t="s">
        <v>636</v>
      </c>
      <c r="C967" s="2843"/>
      <c r="D967" s="1055"/>
      <c r="E967" s="1012" t="str">
        <f>VLOOKUP($B967,DG!A:D,DG!$B$2,)</f>
        <v>04.4001</v>
      </c>
      <c r="F967" s="1057" t="str">
        <f>VLOOKUP($B967,DG!A:D,DG!$C$2,)</f>
        <v>Đà cản BTCT 1,2m</v>
      </c>
      <c r="G967" s="1024" t="str">
        <f>VLOOKUP($B967,DG!A:D,DG!$D$2,)</f>
        <v>cái</v>
      </c>
      <c r="H967" s="1740">
        <f>H966</f>
        <v>0</v>
      </c>
      <c r="I967" s="1192">
        <f t="shared" si="38"/>
        <v>0</v>
      </c>
      <c r="J967" s="1041"/>
      <c r="K967" s="1011"/>
      <c r="L967" s="1015"/>
      <c r="M967" s="934">
        <v>160</v>
      </c>
    </row>
    <row r="968" spans="1:13" s="1016" customFormat="1" ht="25.2" hidden="1" customHeight="1">
      <c r="A968" s="1086">
        <f t="shared" si="40"/>
        <v>0</v>
      </c>
      <c r="B968" s="1233" t="s">
        <v>566</v>
      </c>
      <c r="C968" s="2843"/>
      <c r="D968" s="1055"/>
      <c r="E968" s="1024"/>
      <c r="F968" s="1057" t="str">
        <f>VLOOKUP($B968,DG!A:D,DG!$C$2,)</f>
        <v>Boulon 22x650+ 2 long đền vuông D24-50x50x3/Zn</v>
      </c>
      <c r="G968" s="1024" t="str">
        <f>VLOOKUP($B968,DG!A:D,DG!$D$2,)</f>
        <v>bộ</v>
      </c>
      <c r="H968" s="1740">
        <f>H967</f>
        <v>0</v>
      </c>
      <c r="I968" s="1192">
        <f t="shared" si="38"/>
        <v>0</v>
      </c>
      <c r="J968" s="1057"/>
      <c r="K968" s="1011"/>
      <c r="L968" s="1015"/>
      <c r="M968" s="934">
        <v>160</v>
      </c>
    </row>
    <row r="969" spans="1:13" s="1016" customFormat="1" ht="25.2" hidden="1" customHeight="1">
      <c r="A969" s="1086">
        <f t="shared" si="40"/>
        <v>0</v>
      </c>
      <c r="B969" s="1233" t="str">
        <f>IF(chitiet!G5=1,"MDD1",IF(chitiet!G5=2,"MDD2",IF(chitiet!G5=3,"MDD3",IF(chitiet!G5=4,"MDD4"))))</f>
        <v>MDD3</v>
      </c>
      <c r="C969" s="2843"/>
      <c r="D969" s="1055"/>
      <c r="E969" s="1024" t="str">
        <f>VLOOKUP($B969,DG!A:D,DG!$B$2,)</f>
        <v>03.1013</v>
      </c>
      <c r="F969" s="1057" t="str">
        <f>VLOOKUP($B969,DG!A:D,DG!$C$2,)</f>
        <v>Đào hố móng đất cấp 3 sâu &gt;1m</v>
      </c>
      <c r="G969" s="1024" t="str">
        <f>VLOOKUP($B969,DG!A:D,DG!$D$2,)</f>
        <v>m3</v>
      </c>
      <c r="H969" s="1741">
        <f>1.48*H967</f>
        <v>0</v>
      </c>
      <c r="I969" s="1192">
        <f t="shared" si="38"/>
        <v>0</v>
      </c>
      <c r="J969" s="1058"/>
      <c r="K969" s="1011"/>
      <c r="L969" s="1015"/>
      <c r="M969" s="934">
        <v>160</v>
      </c>
    </row>
    <row r="970" spans="1:13" s="1016" customFormat="1" ht="25.2" hidden="1" customHeight="1">
      <c r="A970" s="1086">
        <f t="shared" si="40"/>
        <v>0</v>
      </c>
      <c r="B970" s="1233" t="str">
        <f>IF(chitiet!G5=1,"MDAP1",IF(chitiet!G5=2,"MDAP2",IF(chitiet!G5=3,"MDAP3",IF(chitiet!G5=4,"MDAP4"))))</f>
        <v>MDAP3</v>
      </c>
      <c r="C970" s="2843"/>
      <c r="D970" s="1055"/>
      <c r="E970" s="1024" t="str">
        <f>VLOOKUP($B970,DG!A:D,DG!$B$2,)</f>
        <v>03.4113</v>
      </c>
      <c r="F970" s="1057" t="str">
        <f>VLOOKUP($B970,DG!A:D,DG!$C$2,)</f>
        <v>Đắp đất hố móng, độ chặt k=0,95</v>
      </c>
      <c r="G970" s="1024" t="str">
        <f>VLOOKUP($B970,DG!A:D,DG!$D$2,)</f>
        <v>m3</v>
      </c>
      <c r="H970" s="1741">
        <f>1.39*H966</f>
        <v>0</v>
      </c>
      <c r="I970" s="1192">
        <f t="shared" si="38"/>
        <v>0</v>
      </c>
      <c r="J970" s="1058"/>
      <c r="K970" s="1011"/>
      <c r="L970" s="1015"/>
      <c r="M970" s="934">
        <v>160</v>
      </c>
    </row>
    <row r="971" spans="1:13" s="1016" customFormat="1" ht="25.2" hidden="1" customHeight="1">
      <c r="A971" s="1086">
        <f t="shared" si="40"/>
        <v>0</v>
      </c>
      <c r="B971" s="1226"/>
      <c r="C971" s="2841"/>
      <c r="D971" s="1017">
        <f>IF(H971&gt;0,D961+1,D961)</f>
        <v>0</v>
      </c>
      <c r="E971" s="1059"/>
      <c r="F971" s="1052" t="s">
        <v>4825</v>
      </c>
      <c r="G971" s="1050" t="s">
        <v>2385</v>
      </c>
      <c r="H971" s="1742"/>
      <c r="I971" s="1192">
        <f t="shared" si="38"/>
        <v>0</v>
      </c>
      <c r="J971" s="1060"/>
      <c r="K971" s="1060"/>
      <c r="L971" s="1015"/>
      <c r="M971" s="934">
        <v>160</v>
      </c>
    </row>
    <row r="972" spans="1:13" s="1016" customFormat="1" ht="25.2" hidden="1" customHeight="1">
      <c r="A972" s="1086">
        <f t="shared" si="40"/>
        <v>0</v>
      </c>
      <c r="B972" s="1226"/>
      <c r="C972" s="2841"/>
      <c r="D972" s="1011"/>
      <c r="E972" s="1061"/>
      <c r="F972" s="1267" t="s">
        <v>2279</v>
      </c>
      <c r="G972" s="1023"/>
      <c r="H972" s="1713"/>
      <c r="I972" s="1192">
        <f t="shared" si="38"/>
        <v>0</v>
      </c>
      <c r="J972" s="1062"/>
      <c r="K972" s="1062"/>
      <c r="L972" s="1015"/>
      <c r="M972" s="934">
        <v>160</v>
      </c>
    </row>
    <row r="973" spans="1:13" s="1016" customFormat="1" ht="25.2" hidden="1" customHeight="1">
      <c r="A973" s="1086">
        <f t="shared" si="40"/>
        <v>0</v>
      </c>
      <c r="B973" s="1087" t="s">
        <v>1136</v>
      </c>
      <c r="C973" s="2842"/>
      <c r="D973" s="1011"/>
      <c r="E973" s="1024" t="str">
        <f>VLOOKUP($B973,DG!A:D,DG!$B$2,)</f>
        <v>05.6105</v>
      </c>
      <c r="F973" s="1013" t="str">
        <f>VLOOKUP($B973,DG!A:D,DG!$C$2,)&amp;": 2 cái"</f>
        <v>Đà U160x68x5x2800 đỡ MBA: 2 cái</v>
      </c>
      <c r="G973" s="1012" t="str">
        <f>VLOOKUP($B973,DG!A:D,DG!$D$2,)</f>
        <v>cái</v>
      </c>
      <c r="H973" s="1713">
        <f>52.049*$H$971*2</f>
        <v>0</v>
      </c>
      <c r="I973" s="1192">
        <f t="shared" ref="I973:I1059" si="42">IF(M973=$M$23,H973+J973-K973,0)</f>
        <v>0</v>
      </c>
      <c r="J973" s="1041"/>
      <c r="K973" s="1041"/>
      <c r="L973" s="1015"/>
      <c r="M973" s="934">
        <v>160</v>
      </c>
    </row>
    <row r="974" spans="1:13" s="1016" customFormat="1" ht="25.2" hidden="1" customHeight="1">
      <c r="A974" s="1086">
        <f t="shared" si="40"/>
        <v>0</v>
      </c>
      <c r="B974" s="1087" t="s">
        <v>1137</v>
      </c>
      <c r="C974" s="2842"/>
      <c r="D974" s="1011"/>
      <c r="E974" s="1024" t="str">
        <f>VLOOKUP($B974,DG!A:D,DG!$B$2,)</f>
        <v>05.6101</v>
      </c>
      <c r="F974" s="1013" t="str">
        <f>VLOOKUP($B974,DG!A:D,DG!$C$2,)&amp;": 4 cái"</f>
        <v>Đà U100x46x4.5x400 : 4 cái</v>
      </c>
      <c r="G974" s="1012" t="str">
        <f>VLOOKUP($B974,DG!A:D,DG!$D$2,)</f>
        <v>cái</v>
      </c>
      <c r="H974" s="1713">
        <f>$H$971*2.713*4</f>
        <v>0</v>
      </c>
      <c r="I974" s="1192">
        <f t="shared" si="42"/>
        <v>0</v>
      </c>
      <c r="J974" s="1041"/>
      <c r="K974" s="1041"/>
      <c r="L974" s="1015"/>
      <c r="M974" s="934">
        <v>160</v>
      </c>
    </row>
    <row r="975" spans="1:13" s="1016" customFormat="1" ht="25.2" hidden="1" customHeight="1">
      <c r="A975" s="1086">
        <f t="shared" si="40"/>
        <v>0</v>
      </c>
      <c r="B975" s="1087" t="s">
        <v>1138</v>
      </c>
      <c r="C975" s="2842"/>
      <c r="D975" s="1011"/>
      <c r="E975" s="1024" t="str">
        <f>VLOOKUP($B975,DG!A:D,DG!$B$2,)</f>
        <v>05.6101</v>
      </c>
      <c r="F975" s="1013" t="str">
        <f>VLOOKUP($B975,DG!A:D,DG!$C$2,)&amp;": 2 cái"</f>
        <v>Đà U100x46x5x800 : 2 cái</v>
      </c>
      <c r="G975" s="1012" t="str">
        <f>VLOOKUP($B975,DG!A:D,DG!$D$2,)</f>
        <v>cái</v>
      </c>
      <c r="H975" s="1713">
        <f>$H$971*5.426*2</f>
        <v>0</v>
      </c>
      <c r="I975" s="1192">
        <f t="shared" si="42"/>
        <v>0</v>
      </c>
      <c r="J975" s="1041"/>
      <c r="K975" s="1041"/>
      <c r="L975" s="1015"/>
      <c r="M975" s="934">
        <v>160</v>
      </c>
    </row>
    <row r="976" spans="1:13" s="1016" customFormat="1" ht="25.2" hidden="1" customHeight="1">
      <c r="A976" s="1086">
        <f t="shared" si="40"/>
        <v>0</v>
      </c>
      <c r="B976" s="1226" t="s">
        <v>1781</v>
      </c>
      <c r="C976" s="2841"/>
      <c r="D976" s="1011"/>
      <c r="E976" s="1024">
        <f>VLOOKUP($B976,DG!A:D,DG!$B$2,)</f>
        <v>0</v>
      </c>
      <c r="F976" s="1013" t="str">
        <f>VLOOKUP($B976,DG!A:D,DG!$C$2,)</f>
        <v>Boulon 16x400VRS+ 4 long đền vuông D18-50x50x3/Zn</v>
      </c>
      <c r="G976" s="1012" t="str">
        <f>VLOOKUP($B976,DG!A:D,DG!$D$2,)</f>
        <v>bộ</v>
      </c>
      <c r="H976" s="1713">
        <f>$H$971*10</f>
        <v>0</v>
      </c>
      <c r="I976" s="1192">
        <f t="shared" si="42"/>
        <v>0</v>
      </c>
      <c r="J976" s="1041"/>
      <c r="K976" s="1041"/>
      <c r="L976" s="1015"/>
      <c r="M976" s="934">
        <v>160</v>
      </c>
    </row>
    <row r="977" spans="1:13" s="1016" customFormat="1" ht="25.2" hidden="1" customHeight="1">
      <c r="A977" s="1086">
        <f t="shared" si="40"/>
        <v>0</v>
      </c>
      <c r="B977" s="1226" t="s">
        <v>1083</v>
      </c>
      <c r="C977" s="2841"/>
      <c r="D977" s="1011"/>
      <c r="E977" s="1024">
        <f>VLOOKUP($B977,DG!A:D,DG!$B$2,)</f>
        <v>0</v>
      </c>
      <c r="F977" s="1013" t="str">
        <f>VLOOKUP($B977,DG!A:D,DG!$C$2,)</f>
        <v>Boulon 16x400+ 2 long đền vuông D18-50x50x3/Zn</v>
      </c>
      <c r="G977" s="1012" t="str">
        <f>VLOOKUP($B977,DG!A:D,DG!$D$2,)</f>
        <v>bộ</v>
      </c>
      <c r="H977" s="1713">
        <f>$H$971*2</f>
        <v>0</v>
      </c>
      <c r="I977" s="1192">
        <f t="shared" si="42"/>
        <v>0</v>
      </c>
      <c r="J977" s="1041"/>
      <c r="K977" s="1041"/>
      <c r="L977" s="1015"/>
      <c r="M977" s="934">
        <v>160</v>
      </c>
    </row>
    <row r="978" spans="1:13" s="1016" customFormat="1" ht="25.2" hidden="1" customHeight="1">
      <c r="A978" s="1086">
        <f t="shared" si="40"/>
        <v>0</v>
      </c>
      <c r="B978" s="1226" t="s">
        <v>1079</v>
      </c>
      <c r="C978" s="2841"/>
      <c r="D978" s="1011"/>
      <c r="E978" s="1024">
        <f>VLOOKUP($B978,DG!A:D,DG!$B$2,)</f>
        <v>0</v>
      </c>
      <c r="F978" s="1013" t="str">
        <f>VLOOKUP($B978,DG!A:D,DG!$C$2,)</f>
        <v>Boulon 16x350+ 2 long đền vuông D18-50x50x3/Zn</v>
      </c>
      <c r="G978" s="1012" t="str">
        <f>VLOOKUP($B978,DG!A:D,DG!$D$2,)</f>
        <v>bộ</v>
      </c>
      <c r="H978" s="1713">
        <f>$H$971*12</f>
        <v>0</v>
      </c>
      <c r="I978" s="1192">
        <f t="shared" si="42"/>
        <v>0</v>
      </c>
      <c r="J978" s="1041"/>
      <c r="K978" s="1041"/>
      <c r="L978" s="1015"/>
      <c r="M978" s="934">
        <v>160</v>
      </c>
    </row>
    <row r="979" spans="1:13" s="1016" customFormat="1" ht="25.2" hidden="1" customHeight="1">
      <c r="A979" s="1086">
        <f t="shared" si="40"/>
        <v>0</v>
      </c>
      <c r="B979" s="1226"/>
      <c r="C979" s="2841"/>
      <c r="D979" s="1017">
        <f>IF(H979&gt;0,D969+1,D969)</f>
        <v>1</v>
      </c>
      <c r="E979" s="1059"/>
      <c r="F979" s="1052" t="s">
        <v>4826</v>
      </c>
      <c r="G979" s="1050" t="s">
        <v>2385</v>
      </c>
      <c r="H979" s="1742">
        <v>1</v>
      </c>
      <c r="I979" s="1192">
        <f t="shared" si="42"/>
        <v>0</v>
      </c>
      <c r="J979" s="1060"/>
      <c r="K979" s="1060"/>
      <c r="L979" s="1015"/>
      <c r="M979" s="934">
        <v>160</v>
      </c>
    </row>
    <row r="980" spans="1:13" s="1016" customFormat="1" ht="25.2" hidden="1" customHeight="1">
      <c r="A980" s="1086">
        <f t="shared" si="40"/>
        <v>0</v>
      </c>
      <c r="B980" s="1226"/>
      <c r="C980" s="2841"/>
      <c r="D980" s="1011"/>
      <c r="E980" s="1061"/>
      <c r="F980" s="1267" t="s">
        <v>2279</v>
      </c>
      <c r="G980" s="1023"/>
      <c r="H980" s="1713"/>
      <c r="I980" s="1192">
        <f t="shared" si="42"/>
        <v>0</v>
      </c>
      <c r="J980" s="1062"/>
      <c r="K980" s="1062"/>
      <c r="L980" s="1015"/>
      <c r="M980" s="934">
        <v>160</v>
      </c>
    </row>
    <row r="981" spans="1:13" s="1016" customFormat="1" ht="25.2" hidden="1" customHeight="1">
      <c r="A981" s="1086">
        <f t="shared" si="40"/>
        <v>0</v>
      </c>
      <c r="B981" s="1087" t="s">
        <v>4829</v>
      </c>
      <c r="C981" s="2842"/>
      <c r="D981" s="1011"/>
      <c r="E981" s="1024">
        <f>VLOOKUP($B981,DG!A:D,DG!$B$2,)</f>
        <v>0</v>
      </c>
      <c r="F981" s="1013" t="str">
        <f>VLOOKUP($B981,DG!A:D,DG!$C$2,)</f>
        <v>Đà U100x46x4.5x500</v>
      </c>
      <c r="G981" s="1012" t="str">
        <f>VLOOKUP($B981,DG!A:D,DG!$D$2,)</f>
        <v>cái</v>
      </c>
      <c r="H981" s="1713">
        <v>2</v>
      </c>
      <c r="I981" s="1192">
        <f t="shared" ref="I981:I994" si="43">IF(M981=$M$23,H981+J981-K981,0)</f>
        <v>0</v>
      </c>
      <c r="J981" s="1041"/>
      <c r="K981" s="1041"/>
      <c r="L981" s="1015"/>
      <c r="M981" s="934">
        <v>160</v>
      </c>
    </row>
    <row r="982" spans="1:13" s="1016" customFormat="1" ht="25.2" hidden="1" customHeight="1">
      <c r="A982" s="1086">
        <f t="shared" si="40"/>
        <v>0</v>
      </c>
      <c r="B982" s="1087" t="s">
        <v>4830</v>
      </c>
      <c r="C982" s="2842"/>
      <c r="D982" s="1011"/>
      <c r="E982" s="1024">
        <f>VLOOKUP($B982,DG!A:D,DG!$B$2,)</f>
        <v>0</v>
      </c>
      <c r="F982" s="1013" t="str">
        <f>VLOOKUP($B982,DG!A:D,DG!$C$2,)</f>
        <v>Đà U100x46x4.5x700</v>
      </c>
      <c r="G982" s="1012" t="str">
        <f>VLOOKUP($B982,DG!A:D,DG!$D$2,)</f>
        <v>cái</v>
      </c>
      <c r="H982" s="1713">
        <v>3</v>
      </c>
      <c r="I982" s="1192">
        <f t="shared" si="43"/>
        <v>0</v>
      </c>
      <c r="J982" s="1041"/>
      <c r="K982" s="1041"/>
      <c r="L982" s="1015"/>
      <c r="M982" s="934">
        <v>160</v>
      </c>
    </row>
    <row r="983" spans="1:13" s="1016" customFormat="1" ht="25.2" hidden="1" customHeight="1">
      <c r="A983" s="1086">
        <f t="shared" si="40"/>
        <v>0</v>
      </c>
      <c r="B983" s="1087" t="s">
        <v>4831</v>
      </c>
      <c r="C983" s="2842"/>
      <c r="D983" s="1011"/>
      <c r="E983" s="1024">
        <f>VLOOKUP($B983,DG!A:D,DG!$B$2,)</f>
        <v>0</v>
      </c>
      <c r="F983" s="1013" t="str">
        <f>VLOOKUP($B983,DG!A:D,DG!$C$2,)</f>
        <v>Đà U100x68x5x740</v>
      </c>
      <c r="G983" s="1012" t="str">
        <f>VLOOKUP($B983,DG!A:D,DG!$D$2,)</f>
        <v>cái</v>
      </c>
      <c r="H983" s="1713">
        <v>1</v>
      </c>
      <c r="I983" s="1192">
        <f>IF(M983=$M$23,H983+J983-K983,0)</f>
        <v>0</v>
      </c>
      <c r="J983" s="1041"/>
      <c r="K983" s="1041"/>
      <c r="L983" s="1015"/>
      <c r="M983" s="934">
        <v>160</v>
      </c>
    </row>
    <row r="984" spans="1:13" s="1016" customFormat="1" ht="25.2" hidden="1" customHeight="1">
      <c r="A984" s="1086">
        <f t="shared" si="40"/>
        <v>0</v>
      </c>
      <c r="B984" s="1087" t="s">
        <v>4832</v>
      </c>
      <c r="C984" s="2842"/>
      <c r="D984" s="1011"/>
      <c r="E984" s="1024">
        <f>VLOOKUP($B984,DG!A:D,DG!$B$2,)</f>
        <v>0</v>
      </c>
      <c r="F984" s="1013" t="str">
        <f>VLOOKUP($B984,DG!A:D,DG!$C$2,)</f>
        <v>Đà U100x68x5x1100</v>
      </c>
      <c r="G984" s="1012" t="str">
        <f>VLOOKUP($B984,DG!A:D,DG!$D$2,)</f>
        <v>cái</v>
      </c>
      <c r="H984" s="1713">
        <v>2</v>
      </c>
      <c r="I984" s="1192">
        <f>IF(M984=$M$23,H984+J984-K984,0)</f>
        <v>0</v>
      </c>
      <c r="J984" s="1041"/>
      <c r="K984" s="1041"/>
      <c r="L984" s="1015"/>
      <c r="M984" s="934">
        <v>160</v>
      </c>
    </row>
    <row r="985" spans="1:13" s="1016" customFormat="1" ht="25.2" hidden="1" customHeight="1">
      <c r="A985" s="1086">
        <f t="shared" si="40"/>
        <v>0</v>
      </c>
      <c r="B985" s="1087" t="s">
        <v>4833</v>
      </c>
      <c r="C985" s="2842"/>
      <c r="D985" s="1011"/>
      <c r="E985" s="1024">
        <f>VLOOKUP($B985,DG!A:D,DG!$B$2,)</f>
        <v>0</v>
      </c>
      <c r="F985" s="1013" t="str">
        <f>VLOOKUP($B985,DG!A:D,DG!$C$2,)</f>
        <v>Đà U100x68x5x1449</v>
      </c>
      <c r="G985" s="1012" t="str">
        <f>VLOOKUP($B985,DG!A:D,DG!$D$2,)</f>
        <v>cái</v>
      </c>
      <c r="H985" s="1713">
        <v>1</v>
      </c>
      <c r="I985" s="1192">
        <f>IF(M985=$M$23,H985+J985-K985,0)</f>
        <v>0</v>
      </c>
      <c r="J985" s="1041"/>
      <c r="K985" s="1041"/>
      <c r="L985" s="1015"/>
      <c r="M985" s="934">
        <v>160</v>
      </c>
    </row>
    <row r="986" spans="1:13" s="1016" customFormat="1" ht="25.2" hidden="1" customHeight="1">
      <c r="A986" s="1086">
        <f t="shared" ref="A986:A1049" si="44">IF(AND(M986=$M$23,I986&gt;0),1,0)</f>
        <v>0</v>
      </c>
      <c r="B986" s="1087" t="s">
        <v>4834</v>
      </c>
      <c r="C986" s="2842"/>
      <c r="D986" s="1011"/>
      <c r="E986" s="1024">
        <f>VLOOKUP($B986,DG!A:D,DG!$B$2,)</f>
        <v>0</v>
      </c>
      <c r="F986" s="1013" t="str">
        <f>VLOOKUP($B986,DG!A:D,DG!$C$2,)</f>
        <v>Đà U100x68x5x1700</v>
      </c>
      <c r="G986" s="1012" t="str">
        <f>VLOOKUP($B986,DG!A:D,DG!$D$2,)</f>
        <v>cái</v>
      </c>
      <c r="H986" s="1713">
        <v>2</v>
      </c>
      <c r="I986" s="1192">
        <f>IF(M986=$M$23,H986+J986-K986,0)</f>
        <v>0</v>
      </c>
      <c r="J986" s="1041"/>
      <c r="K986" s="1041"/>
      <c r="L986" s="1015"/>
      <c r="M986" s="934">
        <v>160</v>
      </c>
    </row>
    <row r="987" spans="1:13" s="1016" customFormat="1" ht="25.2" hidden="1" customHeight="1">
      <c r="A987" s="1086">
        <f t="shared" si="44"/>
        <v>0</v>
      </c>
      <c r="B987" s="1087" t="s">
        <v>4835</v>
      </c>
      <c r="C987" s="2842"/>
      <c r="D987" s="1011"/>
      <c r="E987" s="1024">
        <f>VLOOKUP($B987,DG!A:D,DG!$B$2,)</f>
        <v>0</v>
      </c>
      <c r="F987" s="1013" t="str">
        <f>VLOOKUP($B987,DG!A:D,DG!$C$2,)</f>
        <v>Đà U100x68x5x2100</v>
      </c>
      <c r="G987" s="1012" t="str">
        <f>VLOOKUP($B987,DG!A:D,DG!$D$2,)</f>
        <v>cái</v>
      </c>
      <c r="H987" s="1713">
        <v>2</v>
      </c>
      <c r="I987" s="1192">
        <f t="shared" si="43"/>
        <v>0</v>
      </c>
      <c r="J987" s="1041"/>
      <c r="K987" s="1041"/>
      <c r="L987" s="1015"/>
      <c r="M987" s="934">
        <v>160</v>
      </c>
    </row>
    <row r="988" spans="1:13" s="1016" customFormat="1" ht="25.2" hidden="1" customHeight="1">
      <c r="A988" s="1086">
        <f t="shared" si="44"/>
        <v>0</v>
      </c>
      <c r="B988" s="1226" t="s">
        <v>1786</v>
      </c>
      <c r="C988" s="2841"/>
      <c r="D988" s="1011"/>
      <c r="E988" s="1024">
        <f>VLOOKUP($B988,DG!A:D,DG!$B$2,)</f>
        <v>0</v>
      </c>
      <c r="F988" s="1013" t="str">
        <f>VLOOKUP($B988,DG!A:D,DG!$C$2,)</f>
        <v>Boulon 16x50+ 2 long đền vuông D18-50x50x3/Zn</v>
      </c>
      <c r="G988" s="1012" t="str">
        <f>VLOOKUP($B988,DG!A:D,DG!$D$2,)</f>
        <v>bộ</v>
      </c>
      <c r="H988" s="1713">
        <v>24</v>
      </c>
      <c r="I988" s="1192">
        <f>IF(M988=$M$23,H988+J988-K988,0)</f>
        <v>0</v>
      </c>
      <c r="J988" s="1041"/>
      <c r="K988" s="1041"/>
      <c r="L988" s="1015"/>
      <c r="M988" s="934">
        <v>160</v>
      </c>
    </row>
    <row r="989" spans="1:13" s="1016" customFormat="1" ht="25.2" hidden="1" customHeight="1">
      <c r="A989" s="1086">
        <f t="shared" si="44"/>
        <v>0</v>
      </c>
      <c r="B989" s="1226" t="s">
        <v>137</v>
      </c>
      <c r="C989" s="2841"/>
      <c r="D989" s="1011"/>
      <c r="E989" s="1024">
        <f>VLOOKUP($B989,DG!A:D,DG!$B$2,)</f>
        <v>0</v>
      </c>
      <c r="F989" s="1013" t="str">
        <f>VLOOKUP($B989,DG!A:D,DG!$C$2,)</f>
        <v>Boulon 16x200+ 2 long đền vuông D18-50x50x3/Zn</v>
      </c>
      <c r="G989" s="1012" t="str">
        <f>VLOOKUP($B989,DG!A:D,DG!$D$2,)</f>
        <v>bộ</v>
      </c>
      <c r="H989" s="1713">
        <v>4</v>
      </c>
      <c r="I989" s="1192">
        <f t="shared" si="43"/>
        <v>0</v>
      </c>
      <c r="J989" s="1041"/>
      <c r="K989" s="1041"/>
      <c r="L989" s="1015"/>
      <c r="M989" s="934">
        <v>160</v>
      </c>
    </row>
    <row r="990" spans="1:13" s="1016" customFormat="1" ht="25.2" hidden="1" customHeight="1">
      <c r="A990" s="1086">
        <f t="shared" si="44"/>
        <v>0</v>
      </c>
      <c r="B990" s="1226" t="s">
        <v>4837</v>
      </c>
      <c r="C990" s="2841"/>
      <c r="D990" s="1011"/>
      <c r="E990" s="1024">
        <f>VLOOKUP($B990,DG!A:D,DG!$B$2,)</f>
        <v>0</v>
      </c>
      <c r="F990" s="1013" t="str">
        <f>VLOOKUP($B990,DG!A:D,DG!$C$2,)</f>
        <v>Boulon 16x350VRS+ 4 long đền vuông D18-50x50x3/Zn</v>
      </c>
      <c r="G990" s="1012" t="str">
        <f>VLOOKUP($B990,DG!A:D,DG!$D$2,)</f>
        <v>bộ</v>
      </c>
      <c r="H990" s="1713">
        <v>4</v>
      </c>
      <c r="I990" s="1192">
        <f t="shared" si="43"/>
        <v>0</v>
      </c>
      <c r="J990" s="1041"/>
      <c r="K990" s="1041"/>
      <c r="L990" s="1015"/>
      <c r="M990" s="934">
        <v>160</v>
      </c>
    </row>
    <row r="991" spans="1:13" s="1016" customFormat="1" ht="25.2" hidden="1" customHeight="1">
      <c r="A991" s="1086">
        <f t="shared" si="44"/>
        <v>0</v>
      </c>
      <c r="B991" s="1226" t="s">
        <v>4836</v>
      </c>
      <c r="C991" s="2841"/>
      <c r="D991" s="1011"/>
      <c r="E991" s="1024">
        <f>VLOOKUP($B991,DG!A:D,DG!$B$2,)</f>
        <v>0</v>
      </c>
      <c r="F991" s="1013" t="str">
        <f>VLOOKUP($B991,DG!A:D,DG!$C$2,)</f>
        <v>Boulon 16x750VRS+ 4 long đền vuông D18-50x50x3/Zn</v>
      </c>
      <c r="G991" s="1012" t="str">
        <f>VLOOKUP($B991,DG!A:D,DG!$D$2,)</f>
        <v>bộ</v>
      </c>
      <c r="H991" s="1713">
        <v>6</v>
      </c>
      <c r="I991" s="1192">
        <f>IF(M991=$M$23,H991+J991-K991,0)</f>
        <v>0</v>
      </c>
      <c r="J991" s="1041"/>
      <c r="K991" s="1041"/>
      <c r="L991" s="1015"/>
      <c r="M991" s="934">
        <v>160</v>
      </c>
    </row>
    <row r="992" spans="1:13" s="1016" customFormat="1" ht="25.2" hidden="1" customHeight="1">
      <c r="A992" s="1086">
        <f t="shared" si="44"/>
        <v>0</v>
      </c>
      <c r="B992" s="1226" t="s">
        <v>4838</v>
      </c>
      <c r="C992" s="2841"/>
      <c r="D992" s="1011"/>
      <c r="E992" s="1024">
        <f>VLOOKUP($B992,DG!A:D,DG!$B$2,)</f>
        <v>0</v>
      </c>
      <c r="F992" s="1013" t="str">
        <f>VLOOKUP($B992,DG!A:D,DG!$C$2,)</f>
        <v>Boulon 16x800VRS+ 4 long đền vuông D18-50x50x3/Zn</v>
      </c>
      <c r="G992" s="1012" t="str">
        <f>VLOOKUP($B992,DG!A:D,DG!$D$2,)</f>
        <v>bộ</v>
      </c>
      <c r="H992" s="1713">
        <v>4</v>
      </c>
      <c r="I992" s="1192">
        <f t="shared" si="43"/>
        <v>0</v>
      </c>
      <c r="J992" s="1041"/>
      <c r="K992" s="1041"/>
      <c r="L992" s="1015"/>
      <c r="M992" s="934">
        <v>160</v>
      </c>
    </row>
    <row r="993" spans="1:13" s="1016" customFormat="1" ht="25.2" hidden="1" customHeight="1">
      <c r="A993" s="1086">
        <f t="shared" si="44"/>
        <v>0</v>
      </c>
      <c r="B993" s="1226" t="s">
        <v>2242</v>
      </c>
      <c r="C993" s="2841"/>
      <c r="D993" s="1011"/>
      <c r="E993" s="1024" t="str">
        <f>VLOOKUP($B993,DG!A:D,DG!$B$2,)</f>
        <v>05.6044</v>
      </c>
      <c r="F993" s="1013" t="s">
        <v>4841</v>
      </c>
      <c r="G993" s="1024" t="s">
        <v>2442</v>
      </c>
      <c r="H993" s="1713">
        <v>0.24</v>
      </c>
      <c r="I993" s="1192">
        <f t="shared" si="43"/>
        <v>0</v>
      </c>
      <c r="J993" s="1041"/>
      <c r="K993" s="1041"/>
      <c r="L993" s="1015"/>
      <c r="M993" s="934">
        <v>160</v>
      </c>
    </row>
    <row r="994" spans="1:13" s="1016" customFormat="1" ht="25.2" hidden="1" customHeight="1">
      <c r="A994" s="1086">
        <f t="shared" si="44"/>
        <v>0</v>
      </c>
      <c r="B994" s="1226" t="s">
        <v>2242</v>
      </c>
      <c r="C994" s="2841"/>
      <c r="D994" s="1011"/>
      <c r="E994" s="1024" t="str">
        <f>VLOOKUP($B994,DG!A:D,DG!$B$2,)</f>
        <v>05.6044</v>
      </c>
      <c r="F994" s="1013" t="str">
        <f>VLOOKUP($B994,DG!A:D,DG!$C$2,)</f>
        <v>Lắp xà cột Pi loại ≤140kg/xà</v>
      </c>
      <c r="G994" s="1024" t="str">
        <f>VLOOKUP($B994,DG!A:D,DG!$D$2,)</f>
        <v>bộ</v>
      </c>
      <c r="H994" s="1713">
        <v>1</v>
      </c>
      <c r="I994" s="1192">
        <f t="shared" si="43"/>
        <v>0</v>
      </c>
      <c r="J994" s="1041"/>
      <c r="K994" s="1041"/>
      <c r="L994" s="1015"/>
      <c r="M994" s="934">
        <v>160</v>
      </c>
    </row>
    <row r="995" spans="1:13" s="1016" customFormat="1" ht="25.2" hidden="1" customHeight="1">
      <c r="A995" s="1086">
        <f t="shared" si="44"/>
        <v>0</v>
      </c>
      <c r="B995" s="1226"/>
      <c r="C995" s="2841"/>
      <c r="D995" s="1017">
        <f>IF(H995&gt;0,D971+1,D971)</f>
        <v>0</v>
      </c>
      <c r="E995" s="1018"/>
      <c r="F995" s="1063" t="s">
        <v>3715</v>
      </c>
      <c r="G995" s="1017" t="s">
        <v>2385</v>
      </c>
      <c r="H995" s="1722">
        <f>$H$971*2*0</f>
        <v>0</v>
      </c>
      <c r="I995" s="1192">
        <f t="shared" si="42"/>
        <v>0</v>
      </c>
      <c r="J995" s="1064"/>
      <c r="K995" s="1064"/>
      <c r="L995" s="1015"/>
      <c r="M995" s="934">
        <v>160</v>
      </c>
    </row>
    <row r="996" spans="1:13" s="1016" customFormat="1" ht="25.2" hidden="1" customHeight="1">
      <c r="A996" s="1086">
        <f t="shared" si="44"/>
        <v>0</v>
      </c>
      <c r="B996" s="1226"/>
      <c r="C996" s="2841"/>
      <c r="D996" s="1011"/>
      <c r="E996" s="1024"/>
      <c r="F996" s="1267" t="s">
        <v>2279</v>
      </c>
      <c r="G996" s="1023"/>
      <c r="H996" s="1713"/>
      <c r="I996" s="1192">
        <f t="shared" si="42"/>
        <v>0</v>
      </c>
      <c r="J996" s="1064"/>
      <c r="K996" s="1064"/>
      <c r="L996" s="1015"/>
      <c r="M996" s="934">
        <v>160</v>
      </c>
    </row>
    <row r="997" spans="1:13" s="1016" customFormat="1" ht="25.2" hidden="1" customHeight="1">
      <c r="A997" s="1086">
        <f t="shared" si="44"/>
        <v>0</v>
      </c>
      <c r="B997" s="1233" t="s">
        <v>2022</v>
      </c>
      <c r="C997" s="2843"/>
      <c r="D997" s="1011"/>
      <c r="E997" s="1024">
        <f>VLOOKUP($B997,DG!A:D,DG!$B$2,)</f>
        <v>0</v>
      </c>
      <c r="F997" s="1013" t="str">
        <f>VLOOKUP($B997,DG!A:D,DG!$C$2,)</f>
        <v>Sắt góc L75 x75 x8</v>
      </c>
      <c r="G997" s="1024" t="str">
        <f>VLOOKUP($B997,DG!A:D,DG!$D$2,)</f>
        <v>kg</v>
      </c>
      <c r="H997" s="1713">
        <f>H995*9.02*(2.6+3*0.07)*2</f>
        <v>0</v>
      </c>
      <c r="I997" s="1192">
        <f t="shared" si="42"/>
        <v>0</v>
      </c>
      <c r="J997" s="1041"/>
      <c r="K997" s="1041"/>
      <c r="L997" s="1015"/>
      <c r="M997" s="934">
        <v>160</v>
      </c>
    </row>
    <row r="998" spans="1:13" s="1016" customFormat="1" ht="25.2" hidden="1" customHeight="1">
      <c r="A998" s="1086">
        <f t="shared" si="44"/>
        <v>0</v>
      </c>
      <c r="B998" s="1226" t="s">
        <v>1784</v>
      </c>
      <c r="C998" s="2841"/>
      <c r="D998" s="1011"/>
      <c r="E998" s="1024">
        <f>VLOOKUP($B998,DG!A:D,DG!$B$2,)</f>
        <v>0</v>
      </c>
      <c r="F998" s="1013" t="str">
        <f>VLOOKUP($B998,DG!A:D,DG!$C$2,)</f>
        <v>Boulon 16x300VRS+ 4 long đền vuông D18-50x50x3/Zn</v>
      </c>
      <c r="G998" s="1024" t="str">
        <f>VLOOKUP($B998,DG!A:D,DG!$D$2,)</f>
        <v>bộ</v>
      </c>
      <c r="H998" s="1713">
        <f>H995*2</f>
        <v>0</v>
      </c>
      <c r="I998" s="1192">
        <f t="shared" si="42"/>
        <v>0</v>
      </c>
      <c r="J998" s="1041"/>
      <c r="K998" s="1041"/>
      <c r="L998" s="1015"/>
      <c r="M998" s="934">
        <v>160</v>
      </c>
    </row>
    <row r="999" spans="1:13" s="1016" customFormat="1" ht="25.2" hidden="1" customHeight="1">
      <c r="A999" s="1086">
        <f t="shared" si="44"/>
        <v>0</v>
      </c>
      <c r="B999" s="1226" t="s">
        <v>1610</v>
      </c>
      <c r="C999" s="2841"/>
      <c r="D999" s="1011"/>
      <c r="E999" s="1024">
        <f>VLOOKUP($B999,DG!A:D,DG!$B$2,)</f>
        <v>0</v>
      </c>
      <c r="F999" s="1013" t="str">
        <f>VLOOKUP($B999,DG!A:D,DG!$C$2,)</f>
        <v>Boulon 16x300+ 2 long đền vuông D18-50x50x3/Zn</v>
      </c>
      <c r="G999" s="1024" t="str">
        <f>VLOOKUP($B999,DG!A:D,DG!$D$2,)</f>
        <v>bộ</v>
      </c>
      <c r="H999" s="1713">
        <f>H995*2</f>
        <v>0</v>
      </c>
      <c r="I999" s="1192">
        <f t="shared" si="42"/>
        <v>0</v>
      </c>
      <c r="J999" s="1041"/>
      <c r="K999" s="1041"/>
      <c r="L999" s="1015"/>
      <c r="M999" s="934">
        <v>160</v>
      </c>
    </row>
    <row r="1000" spans="1:13" s="1016" customFormat="1" ht="25.2" hidden="1" customHeight="1">
      <c r="A1000" s="1086">
        <f t="shared" si="44"/>
        <v>0</v>
      </c>
      <c r="B1000" s="1226" t="s">
        <v>1609</v>
      </c>
      <c r="C1000" s="2841"/>
      <c r="D1000" s="1011"/>
      <c r="E1000" s="1024">
        <f>VLOOKUP($B1000,DG!A:D,DG!$B$2,)</f>
        <v>0</v>
      </c>
      <c r="F1000" s="1013" t="str">
        <f>VLOOKUP($B1000,DG!A:D,DG!$C$2,)</f>
        <v>Boulon 16x250+ 2 long đền vuông D18-50x50x3/Zn</v>
      </c>
      <c r="G1000" s="1024" t="str">
        <f>VLOOKUP($B1000,DG!A:D,DG!$D$2,)</f>
        <v>bộ</v>
      </c>
      <c r="H1000" s="1713">
        <f>H999</f>
        <v>0</v>
      </c>
      <c r="I1000" s="1192">
        <f t="shared" si="42"/>
        <v>0</v>
      </c>
      <c r="J1000" s="1041"/>
      <c r="K1000" s="1041"/>
      <c r="L1000" s="1015"/>
      <c r="M1000" s="934">
        <v>160</v>
      </c>
    </row>
    <row r="1001" spans="1:13" s="1016" customFormat="1" ht="25.2" hidden="1" customHeight="1">
      <c r="A1001" s="1086">
        <f t="shared" si="44"/>
        <v>0</v>
      </c>
      <c r="B1001" s="1226" t="s">
        <v>2242</v>
      </c>
      <c r="C1001" s="2841"/>
      <c r="D1001" s="1011"/>
      <c r="E1001" s="1024" t="str">
        <f>VLOOKUP($B1001,DG!A:D,DG!$B$2,)</f>
        <v>05.6044</v>
      </c>
      <c r="F1001" s="1013" t="str">
        <f>VLOOKUP($B1001,DG!A:D,DG!$C$2,)</f>
        <v>Lắp xà cột Pi loại ≤140kg/xà</v>
      </c>
      <c r="G1001" s="1024" t="str">
        <f>VLOOKUP($B1001,DG!A:D,DG!$D$2,)</f>
        <v>bộ</v>
      </c>
      <c r="H1001" s="1713">
        <f>H995</f>
        <v>0</v>
      </c>
      <c r="I1001" s="1192">
        <f t="shared" si="42"/>
        <v>0</v>
      </c>
      <c r="J1001" s="1041"/>
      <c r="K1001" s="1041"/>
      <c r="L1001" s="1015"/>
      <c r="M1001" s="934">
        <v>160</v>
      </c>
    </row>
    <row r="1002" spans="1:13" s="1016" customFormat="1" ht="25.2" hidden="1" customHeight="1">
      <c r="A1002" s="1086">
        <f t="shared" si="44"/>
        <v>0</v>
      </c>
      <c r="B1002" s="1226"/>
      <c r="C1002" s="2841"/>
      <c r="D1002" s="1017">
        <f>IF(H1002&gt;0,D995+1,D995)</f>
        <v>0</v>
      </c>
      <c r="E1002" s="1018"/>
      <c r="F1002" s="1063" t="s">
        <v>4452</v>
      </c>
      <c r="G1002" s="1017" t="s">
        <v>2385</v>
      </c>
      <c r="H1002" s="1722">
        <f>$H$971*2</f>
        <v>0</v>
      </c>
      <c r="I1002" s="1192">
        <f t="shared" si="42"/>
        <v>0</v>
      </c>
      <c r="J1002" s="1064"/>
      <c r="K1002" s="1064"/>
      <c r="L1002" s="1015"/>
      <c r="M1002" s="934">
        <v>160</v>
      </c>
    </row>
    <row r="1003" spans="1:13" s="1016" customFormat="1" ht="25.2" hidden="1" customHeight="1">
      <c r="A1003" s="1086">
        <f t="shared" si="44"/>
        <v>0</v>
      </c>
      <c r="B1003" s="1226"/>
      <c r="C1003" s="2841"/>
      <c r="D1003" s="1011"/>
      <c r="E1003" s="1021"/>
      <c r="F1003" s="1267" t="s">
        <v>2279</v>
      </c>
      <c r="G1003" s="1023"/>
      <c r="H1003" s="1713"/>
      <c r="I1003" s="1192">
        <f t="shared" si="42"/>
        <v>0</v>
      </c>
      <c r="J1003" s="1064"/>
      <c r="K1003" s="1064"/>
      <c r="L1003" s="1015"/>
      <c r="M1003" s="934">
        <v>160</v>
      </c>
    </row>
    <row r="1004" spans="1:13" s="1016" customFormat="1" ht="25.2" hidden="1" customHeight="1">
      <c r="A1004" s="1086">
        <f t="shared" si="44"/>
        <v>0</v>
      </c>
      <c r="B1004" s="1233" t="s">
        <v>2022</v>
      </c>
      <c r="C1004" s="2843"/>
      <c r="D1004" s="1011"/>
      <c r="E1004" s="1024">
        <f>VLOOKUP($B1004,DG!A:D,DG!$B$2,)</f>
        <v>0</v>
      </c>
      <c r="F1004" s="1013" t="str">
        <f>VLOOKUP($B1004,DG!A:D,DG!$C$2,)</f>
        <v>Sắt góc L75 x75 x8</v>
      </c>
      <c r="G1004" s="1024" t="str">
        <f>VLOOKUP($B1004,DG!A:D,DG!$D$2,)</f>
        <v>kg</v>
      </c>
      <c r="H1004" s="1713">
        <f>$H$1002*9.42*(2.6+3*0.07)</f>
        <v>0</v>
      </c>
      <c r="I1004" s="1192">
        <f t="shared" si="42"/>
        <v>0</v>
      </c>
      <c r="J1004" s="1041"/>
      <c r="K1004" s="1041"/>
      <c r="L1004" s="1015"/>
      <c r="M1004" s="934">
        <v>160</v>
      </c>
    </row>
    <row r="1005" spans="1:13" s="1016" customFormat="1" ht="25.2" hidden="1" customHeight="1">
      <c r="A1005" s="1086">
        <f t="shared" si="44"/>
        <v>0</v>
      </c>
      <c r="B1005" s="1226" t="s">
        <v>1609</v>
      </c>
      <c r="C1005" s="2841"/>
      <c r="D1005" s="1011"/>
      <c r="E1005" s="1024">
        <f>VLOOKUP($B1005,DG!A:D,DG!$B$2,)</f>
        <v>0</v>
      </c>
      <c r="F1005" s="1013" t="str">
        <f>VLOOKUP($B1005,DG!A:D,DG!$C$2,)</f>
        <v>Boulon 16x250+ 2 long đền vuông D18-50x50x3/Zn</v>
      </c>
      <c r="G1005" s="1024" t="str">
        <f>VLOOKUP($B1005,DG!A:D,DG!$D$2,)</f>
        <v>bộ</v>
      </c>
      <c r="H1005" s="1713">
        <f>IF($H$1002=0,0,2)</f>
        <v>0</v>
      </c>
      <c r="I1005" s="1192">
        <f t="shared" si="42"/>
        <v>0</v>
      </c>
      <c r="J1005" s="1041"/>
      <c r="K1005" s="1041"/>
      <c r="L1005" s="1015"/>
      <c r="M1005" s="934">
        <v>160</v>
      </c>
    </row>
    <row r="1006" spans="1:13" s="1016" customFormat="1" ht="25.2" hidden="1" customHeight="1">
      <c r="A1006" s="1086">
        <f t="shared" si="44"/>
        <v>0</v>
      </c>
      <c r="B1006" s="1226" t="s">
        <v>1610</v>
      </c>
      <c r="C1006" s="2841"/>
      <c r="D1006" s="1011"/>
      <c r="E1006" s="1024">
        <f>VLOOKUP($B1006,DG!A:D,DG!$B$2,)</f>
        <v>0</v>
      </c>
      <c r="F1006" s="1013" t="str">
        <f>VLOOKUP($B1006,DG!A:D,DG!$C$2,)</f>
        <v>Boulon 16x300+ 2 long đền vuông D18-50x50x3/Zn</v>
      </c>
      <c r="G1006" s="1024" t="str">
        <f>VLOOKUP($B1006,DG!A:D,DG!$D$2,)</f>
        <v>bộ</v>
      </c>
      <c r="H1006" s="1713">
        <f>IF($H$1002=0,0,2)</f>
        <v>0</v>
      </c>
      <c r="I1006" s="1192">
        <f t="shared" si="42"/>
        <v>0</v>
      </c>
      <c r="J1006" s="1041"/>
      <c r="K1006" s="1041"/>
      <c r="L1006" s="1015"/>
      <c r="M1006" s="934">
        <v>160</v>
      </c>
    </row>
    <row r="1007" spans="1:13" s="1016" customFormat="1" ht="25.2" hidden="1" customHeight="1">
      <c r="A1007" s="1086">
        <f t="shared" si="44"/>
        <v>0</v>
      </c>
      <c r="B1007" s="1226" t="s">
        <v>30</v>
      </c>
      <c r="C1007" s="2841"/>
      <c r="D1007" s="1011"/>
      <c r="E1007" s="1024">
        <f>VLOOKUP($B1007,DG!A:D,DG!$B$2,)</f>
        <v>0</v>
      </c>
      <c r="F1007" s="1013" t="str">
        <f>VLOOKUP($B1007,DG!A:D,DG!$C$2,)</f>
        <v>Bass LI bắt FCO</v>
      </c>
      <c r="G1007" s="1024" t="str">
        <f>VLOOKUP($B1007,DG!A:D,DG!$D$2,)</f>
        <v>Bộ</v>
      </c>
      <c r="H1007" s="1713"/>
      <c r="I1007" s="1192">
        <f t="shared" si="42"/>
        <v>0</v>
      </c>
      <c r="J1007" s="1041"/>
      <c r="K1007" s="1041"/>
      <c r="L1007" s="1015"/>
      <c r="M1007" s="934">
        <v>160</v>
      </c>
    </row>
    <row r="1008" spans="1:13" s="1016" customFormat="1" ht="25.2" hidden="1" customHeight="1">
      <c r="A1008" s="1086">
        <f t="shared" si="44"/>
        <v>0</v>
      </c>
      <c r="B1008" s="1226" t="s">
        <v>2242</v>
      </c>
      <c r="C1008" s="2841"/>
      <c r="D1008" s="1011"/>
      <c r="E1008" s="1024" t="str">
        <f>VLOOKUP($B1008,DG!A:D,DG!$B$2,)</f>
        <v>05.6044</v>
      </c>
      <c r="F1008" s="1095" t="str">
        <f>VLOOKUP($B1008,DG!A:D,DG!$C$2,)</f>
        <v>Lắp xà cột Pi loại ≤140kg/xà</v>
      </c>
      <c r="G1008" s="1024" t="str">
        <f>VLOOKUP($B1008,DG!A:D,DG!$D$2,)</f>
        <v>bộ</v>
      </c>
      <c r="H1008" s="1713">
        <f>$H$1002/2</f>
        <v>0</v>
      </c>
      <c r="I1008" s="1192">
        <f t="shared" si="42"/>
        <v>0</v>
      </c>
      <c r="J1008" s="1041"/>
      <c r="K1008" s="1041"/>
      <c r="L1008" s="1015"/>
      <c r="M1008" s="934">
        <v>160</v>
      </c>
    </row>
    <row r="1009" spans="1:13" s="1016" customFormat="1" ht="25.2" hidden="1" customHeight="1">
      <c r="A1009" s="1086">
        <f t="shared" si="44"/>
        <v>0</v>
      </c>
      <c r="B1009" s="1226"/>
      <c r="C1009" s="2841"/>
      <c r="D1009" s="1017">
        <f>IF(H1009&gt;0,D1002+1,D1002)</f>
        <v>0</v>
      </c>
      <c r="E1009" s="1018"/>
      <c r="F1009" s="1063" t="s">
        <v>4459</v>
      </c>
      <c r="G1009" s="1017" t="s">
        <v>2385</v>
      </c>
      <c r="H1009" s="1722">
        <f>$H$971*1</f>
        <v>0</v>
      </c>
      <c r="I1009" s="1192">
        <f t="shared" ref="I1009:I1014" si="45">IF(M1009=$M$23,H1009+J1009-K1009,0)</f>
        <v>0</v>
      </c>
      <c r="J1009" s="1064"/>
      <c r="K1009" s="1064"/>
      <c r="L1009" s="1015"/>
      <c r="M1009" s="934">
        <v>160</v>
      </c>
    </row>
    <row r="1010" spans="1:13" s="1016" customFormat="1" ht="25.2" hidden="1" customHeight="1">
      <c r="A1010" s="1086">
        <f t="shared" si="44"/>
        <v>0</v>
      </c>
      <c r="B1010" s="1226"/>
      <c r="C1010" s="2841"/>
      <c r="D1010" s="1011"/>
      <c r="E1010" s="1021"/>
      <c r="F1010" s="1267" t="s">
        <v>2279</v>
      </c>
      <c r="G1010" s="1023"/>
      <c r="H1010" s="1713"/>
      <c r="I1010" s="1192">
        <f t="shared" si="45"/>
        <v>0</v>
      </c>
      <c r="J1010" s="1064"/>
      <c r="K1010" s="1064"/>
      <c r="L1010" s="1015"/>
      <c r="M1010" s="934">
        <v>160</v>
      </c>
    </row>
    <row r="1011" spans="1:13" s="1016" customFormat="1" ht="25.2" hidden="1" customHeight="1">
      <c r="A1011" s="1086">
        <f t="shared" si="44"/>
        <v>0</v>
      </c>
      <c r="B1011" s="1233" t="s">
        <v>4453</v>
      </c>
      <c r="C1011" s="2843"/>
      <c r="D1011" s="1011"/>
      <c r="E1011" s="1024">
        <f>VLOOKUP($B1011,DG!A:D,DG!$B$2,)</f>
        <v>0</v>
      </c>
      <c r="F1011" s="1013" t="str">
        <f>VLOOKUP($B1011,DG!A:D,DG!$C$2,)</f>
        <v>Xà composite 110x800x5 dài 2,6m</v>
      </c>
      <c r="G1011" s="1024" t="str">
        <f>VLOOKUP($B1011,DG!A:D,DG!$D$2,)</f>
        <v>cái</v>
      </c>
      <c r="H1011" s="1713">
        <f>H1009</f>
        <v>0</v>
      </c>
      <c r="I1011" s="1192">
        <f t="shared" si="45"/>
        <v>0</v>
      </c>
      <c r="J1011" s="1041"/>
      <c r="K1011" s="1041"/>
      <c r="L1011" s="1015"/>
      <c r="M1011" s="934">
        <v>160</v>
      </c>
    </row>
    <row r="1012" spans="1:13" s="1016" customFormat="1" ht="25.2" hidden="1" customHeight="1">
      <c r="A1012" s="1086">
        <f t="shared" si="44"/>
        <v>0</v>
      </c>
      <c r="B1012" s="1226" t="s">
        <v>1079</v>
      </c>
      <c r="C1012" s="2841"/>
      <c r="D1012" s="1011"/>
      <c r="E1012" s="1024">
        <f>VLOOKUP($B1012,DG!A:D,DG!$B$2,)</f>
        <v>0</v>
      </c>
      <c r="F1012" s="1013" t="str">
        <f>VLOOKUP($B1012,DG!A:D,DG!$C$2,)</f>
        <v>Boulon 16x350+ 2 long đền vuông D18-50x50x3/Zn</v>
      </c>
      <c r="G1012" s="1024" t="str">
        <f>VLOOKUP($B1012,DG!A:D,DG!$D$2,)</f>
        <v>bộ</v>
      </c>
      <c r="H1012" s="1713">
        <f>IF($H$1002=0,0,2)</f>
        <v>0</v>
      </c>
      <c r="I1012" s="1192">
        <f t="shared" si="45"/>
        <v>0</v>
      </c>
      <c r="J1012" s="1041"/>
      <c r="K1012" s="1041"/>
      <c r="L1012" s="1015"/>
      <c r="M1012" s="934">
        <v>160</v>
      </c>
    </row>
    <row r="1013" spans="1:13" s="1016" customFormat="1" ht="25.2" hidden="1" customHeight="1">
      <c r="A1013" s="1086">
        <f t="shared" si="44"/>
        <v>0</v>
      </c>
      <c r="B1013" s="1226" t="s">
        <v>30</v>
      </c>
      <c r="C1013" s="2841"/>
      <c r="D1013" s="1011"/>
      <c r="E1013" s="1024">
        <f>VLOOKUP($B1013,DG!A:D,DG!$B$2,)</f>
        <v>0</v>
      </c>
      <c r="F1013" s="1013" t="str">
        <f>VLOOKUP($B1013,DG!A:D,DG!$C$2,)</f>
        <v>Bass LI bắt FCO</v>
      </c>
      <c r="G1013" s="1024" t="str">
        <f>VLOOKUP($B1013,DG!A:D,DG!$D$2,)</f>
        <v>Bộ</v>
      </c>
      <c r="H1013" s="1713"/>
      <c r="I1013" s="1192">
        <f t="shared" si="45"/>
        <v>0</v>
      </c>
      <c r="J1013" s="1041"/>
      <c r="K1013" s="1041"/>
      <c r="L1013" s="1015"/>
      <c r="M1013" s="934">
        <v>160</v>
      </c>
    </row>
    <row r="1014" spans="1:13" s="1016" customFormat="1" ht="25.2" hidden="1" customHeight="1">
      <c r="A1014" s="1086">
        <f t="shared" si="44"/>
        <v>0</v>
      </c>
      <c r="B1014" s="1226" t="s">
        <v>1995</v>
      </c>
      <c r="C1014" s="2841"/>
      <c r="D1014" s="1011"/>
      <c r="E1014" s="1024" t="str">
        <f>VLOOKUP($B1014,DG!A:D,DG!$B$2,)</f>
        <v>05.6401</v>
      </c>
      <c r="F1014" s="1095" t="str">
        <f>VLOOKUP($B1014,DG!A:D,DG!$C$2,)</f>
        <v>Lắp xà đỡ ≤ 25kg</v>
      </c>
      <c r="G1014" s="1024" t="str">
        <f>VLOOKUP($B1014,DG!A:D,DG!$D$2,)</f>
        <v>bộ</v>
      </c>
      <c r="H1014" s="1713">
        <f>$H$1002/2</f>
        <v>0</v>
      </c>
      <c r="I1014" s="1192">
        <f t="shared" si="45"/>
        <v>0</v>
      </c>
      <c r="J1014" s="1041"/>
      <c r="K1014" s="1041"/>
      <c r="L1014" s="1015"/>
      <c r="M1014" s="934">
        <v>160</v>
      </c>
    </row>
    <row r="1015" spans="1:13" s="1016" customFormat="1" ht="25.2" hidden="1" customHeight="1">
      <c r="A1015" s="1086">
        <f t="shared" si="44"/>
        <v>0</v>
      </c>
      <c r="B1015" s="1226"/>
      <c r="C1015" s="2841"/>
      <c r="D1015" s="1017">
        <f>IF(H1015&gt;0,D1009+1,D1002)</f>
        <v>0</v>
      </c>
      <c r="E1015" s="1018"/>
      <c r="F1015" s="1063" t="s">
        <v>3717</v>
      </c>
      <c r="G1015" s="1017" t="s">
        <v>2385</v>
      </c>
      <c r="H1015" s="1722">
        <f>$H$971*2</f>
        <v>0</v>
      </c>
      <c r="I1015" s="1192">
        <f t="shared" si="42"/>
        <v>0</v>
      </c>
      <c r="J1015" s="1064"/>
      <c r="K1015" s="1064"/>
      <c r="L1015" s="1015"/>
      <c r="M1015" s="934">
        <v>160</v>
      </c>
    </row>
    <row r="1016" spans="1:13" s="1016" customFormat="1" ht="25.2" hidden="1" customHeight="1">
      <c r="A1016" s="1086">
        <f t="shared" si="44"/>
        <v>0</v>
      </c>
      <c r="B1016" s="1226"/>
      <c r="C1016" s="2841"/>
      <c r="D1016" s="1011"/>
      <c r="E1016" s="1021"/>
      <c r="F1016" s="1267" t="s">
        <v>2279</v>
      </c>
      <c r="G1016" s="1023"/>
      <c r="H1016" s="1713"/>
      <c r="I1016" s="1192">
        <f t="shared" si="42"/>
        <v>0</v>
      </c>
      <c r="J1016" s="1064"/>
      <c r="K1016" s="1064"/>
      <c r="L1016" s="1015"/>
      <c r="M1016" s="934">
        <v>160</v>
      </c>
    </row>
    <row r="1017" spans="1:13" s="1016" customFormat="1" ht="25.2" hidden="1" customHeight="1">
      <c r="A1017" s="1086">
        <f t="shared" si="44"/>
        <v>0</v>
      </c>
      <c r="B1017" s="1226" t="s">
        <v>2022</v>
      </c>
      <c r="C1017" s="2841"/>
      <c r="D1017" s="1011"/>
      <c r="E1017" s="1024">
        <f>VLOOKUP($B1017,DG!A:D,DG!$B$2,)</f>
        <v>0</v>
      </c>
      <c r="F1017" s="1013" t="str">
        <f>VLOOKUP($B1017,DG!A:D,DG!$C$2,)</f>
        <v>Sắt góc L75 x75 x8</v>
      </c>
      <c r="G1017" s="1024" t="str">
        <f>VLOOKUP($B1017,DG!A:D,DG!$D$2,)</f>
        <v>kg</v>
      </c>
      <c r="H1017" s="1713">
        <f>$H$1015*9.42*2.6</f>
        <v>0</v>
      </c>
      <c r="I1017" s="1192">
        <f t="shared" si="42"/>
        <v>0</v>
      </c>
      <c r="J1017" s="1041"/>
      <c r="K1017" s="1041"/>
      <c r="L1017" s="1015"/>
      <c r="M1017" s="934">
        <v>160</v>
      </c>
    </row>
    <row r="1018" spans="1:13" s="1016" customFormat="1" ht="25.2" hidden="1" customHeight="1">
      <c r="A1018" s="1086">
        <f t="shared" si="44"/>
        <v>0</v>
      </c>
      <c r="B1018" s="1226" t="s">
        <v>1083</v>
      </c>
      <c r="C1018" s="2841"/>
      <c r="D1018" s="1011"/>
      <c r="E1018" s="1024">
        <f>VLOOKUP($B1018,DG!A:D,DG!$B$2,)</f>
        <v>0</v>
      </c>
      <c r="F1018" s="1013" t="str">
        <f>VLOOKUP($B1018,DG!A:D,DG!$C$2,)</f>
        <v>Boulon 16x400+ 2 long đền vuông D18-50x50x3/Zn</v>
      </c>
      <c r="G1018" s="1024" t="str">
        <f>VLOOKUP($B1018,DG!A:D,DG!$D$2,)</f>
        <v>bộ</v>
      </c>
      <c r="H1018" s="1713">
        <f>$H$1015*2</f>
        <v>0</v>
      </c>
      <c r="I1018" s="1192">
        <f t="shared" si="42"/>
        <v>0</v>
      </c>
      <c r="J1018" s="1041"/>
      <c r="K1018" s="1041"/>
      <c r="L1018" s="1015"/>
      <c r="M1018" s="934">
        <v>160</v>
      </c>
    </row>
    <row r="1019" spans="1:13" s="1016" customFormat="1" ht="25.2" hidden="1" customHeight="1">
      <c r="A1019" s="1086">
        <f t="shared" si="44"/>
        <v>0</v>
      </c>
      <c r="B1019" s="1226" t="s">
        <v>138</v>
      </c>
      <c r="C1019" s="2841"/>
      <c r="D1019" s="1011"/>
      <c r="E1019" s="1024">
        <f>VLOOKUP($B1019,DG!A:D,DG!$B$2,)</f>
        <v>0</v>
      </c>
      <c r="F1019" s="1013" t="str">
        <f>VLOOKUP($B1019,DG!A:D,DG!$C$2,)</f>
        <v>Boulon 12x40+ 2 long đền vuông D14-50x50x3/Zn</v>
      </c>
      <c r="G1019" s="1024" t="str">
        <f>VLOOKUP($B1019,DG!A:D,DG!$D$2,)</f>
        <v>bộ</v>
      </c>
      <c r="H1019" s="1713">
        <f>$H$1015*2</f>
        <v>0</v>
      </c>
      <c r="I1019" s="1192">
        <f t="shared" si="42"/>
        <v>0</v>
      </c>
      <c r="J1019" s="1041"/>
      <c r="K1019" s="1041"/>
      <c r="L1019" s="1015"/>
      <c r="M1019" s="934">
        <v>160</v>
      </c>
    </row>
    <row r="1020" spans="1:13" s="1016" customFormat="1" ht="25.2" hidden="1" customHeight="1">
      <c r="A1020" s="1086">
        <f t="shared" si="44"/>
        <v>0</v>
      </c>
      <c r="B1020" s="1226" t="s">
        <v>2242</v>
      </c>
      <c r="C1020" s="2841"/>
      <c r="D1020" s="1011"/>
      <c r="E1020" s="1024" t="str">
        <f>VLOOKUP($B1020,DG!A:D,DG!$B$2,)</f>
        <v>05.6044</v>
      </c>
      <c r="F1020" s="1095" t="str">
        <f>VLOOKUP($B1020,DG!A:D,DG!$C$2,)</f>
        <v>Lắp xà cột Pi loại ≤140kg/xà</v>
      </c>
      <c r="G1020" s="1024" t="str">
        <f>VLOOKUP($B1020,DG!A:D,DG!$D$2,)</f>
        <v>bộ</v>
      </c>
      <c r="H1020" s="1713">
        <f>$H$1015/2</f>
        <v>0</v>
      </c>
      <c r="I1020" s="1192">
        <f t="shared" si="42"/>
        <v>0</v>
      </c>
      <c r="J1020" s="1041"/>
      <c r="K1020" s="1041"/>
      <c r="L1020" s="1015"/>
      <c r="M1020" s="934">
        <v>160</v>
      </c>
    </row>
    <row r="1021" spans="1:13" s="1016" customFormat="1" ht="25.2" hidden="1" customHeight="1">
      <c r="A1021" s="1086">
        <f t="shared" si="44"/>
        <v>0</v>
      </c>
      <c r="B1021" s="1226" t="s">
        <v>217</v>
      </c>
      <c r="C1021" s="2841"/>
      <c r="D1021" s="1011"/>
      <c r="E1021" s="1024" t="str">
        <f>VLOOKUP($B1021,DG!A:D,DG!$B$2,)</f>
        <v>02.1115</v>
      </c>
      <c r="F1021" s="1013" t="str">
        <f>VLOOKUP($B1021,DG!A:D,DG!$C$2,)</f>
        <v>Bốc dỡ xà, thép thanh</v>
      </c>
      <c r="G1021" s="1024" t="str">
        <f>VLOOKUP($B1021,DG!A:D,DG!$D$2,)</f>
        <v>tấn</v>
      </c>
      <c r="H1021" s="1713">
        <f>0.05*0</f>
        <v>0</v>
      </c>
      <c r="I1021" s="1192">
        <f t="shared" si="42"/>
        <v>0</v>
      </c>
      <c r="J1021" s="1041"/>
      <c r="K1021" s="1041"/>
      <c r="L1021" s="1015"/>
      <c r="M1021" s="934">
        <v>160</v>
      </c>
    </row>
    <row r="1022" spans="1:13" s="1016" customFormat="1" ht="25.2" hidden="1" customHeight="1">
      <c r="A1022" s="1086">
        <f t="shared" si="44"/>
        <v>0</v>
      </c>
      <c r="B1022" s="1226" t="s">
        <v>1610</v>
      </c>
      <c r="C1022" s="2841"/>
      <c r="D1022" s="1011"/>
      <c r="E1022" s="1024">
        <f>VLOOKUP($B1022,DG!A:D,DG!$B$2,)</f>
        <v>0</v>
      </c>
      <c r="F1022" s="1013" t="str">
        <f>VLOOKUP($B1022,DG!A:D,DG!$C$2,)</f>
        <v>Boulon 16x300+ 2 long đền vuông D18-50x50x3/Zn</v>
      </c>
      <c r="G1022" s="1012" t="s">
        <v>2439</v>
      </c>
      <c r="H1022" s="1713">
        <f>H1015*2*0</f>
        <v>0</v>
      </c>
      <c r="I1022" s="1192">
        <f t="shared" si="42"/>
        <v>0</v>
      </c>
      <c r="J1022" s="1041"/>
      <c r="K1022" s="1041"/>
      <c r="L1022" s="1015"/>
      <c r="M1022" s="934">
        <v>160</v>
      </c>
    </row>
    <row r="1023" spans="1:13" s="1016" customFormat="1" ht="25.2" hidden="1" customHeight="1">
      <c r="A1023" s="1086">
        <f t="shared" si="44"/>
        <v>0</v>
      </c>
      <c r="B1023" s="1226" t="s">
        <v>1609</v>
      </c>
      <c r="C1023" s="2841"/>
      <c r="D1023" s="1011"/>
      <c r="E1023" s="1024">
        <f>VLOOKUP($B1023,DG!A:D,DG!$B$2,)</f>
        <v>0</v>
      </c>
      <c r="F1023" s="1013" t="str">
        <f>VLOOKUP($B1023,DG!A:D,DG!$C$2,)</f>
        <v>Boulon 16x250+ 2 long đền vuông D18-50x50x3/Zn</v>
      </c>
      <c r="G1023" s="1012" t="s">
        <v>2439</v>
      </c>
      <c r="H1023" s="1713">
        <f>2*H1015*2*0</f>
        <v>0</v>
      </c>
      <c r="I1023" s="1192">
        <f t="shared" si="42"/>
        <v>0</v>
      </c>
      <c r="J1023" s="1041"/>
      <c r="K1023" s="1041"/>
      <c r="L1023" s="1015"/>
      <c r="M1023" s="934">
        <v>160</v>
      </c>
    </row>
    <row r="1024" spans="1:13" s="1016" customFormat="1" ht="25.2" hidden="1" customHeight="1" collapsed="1">
      <c r="A1024" s="1086">
        <f t="shared" si="44"/>
        <v>0</v>
      </c>
      <c r="B1024" s="1226"/>
      <c r="C1024" s="2841"/>
      <c r="D1024" s="1017">
        <f>IF(H1024&gt;0,D1015+1,D1015)</f>
        <v>0</v>
      </c>
      <c r="E1024" s="1018"/>
      <c r="F1024" s="1063" t="s">
        <v>3718</v>
      </c>
      <c r="G1024" s="1017" t="s">
        <v>2385</v>
      </c>
      <c r="H1024" s="1722">
        <f>H943*0</f>
        <v>0</v>
      </c>
      <c r="I1024" s="1192">
        <f t="shared" si="42"/>
        <v>0</v>
      </c>
      <c r="J1024" s="1014"/>
      <c r="K1024" s="1014"/>
      <c r="L1024" s="1043"/>
      <c r="M1024" s="934">
        <v>160</v>
      </c>
    </row>
    <row r="1025" spans="1:13" s="1016" customFormat="1" ht="25.2" hidden="1" customHeight="1">
      <c r="A1025" s="1086">
        <f t="shared" si="44"/>
        <v>0</v>
      </c>
      <c r="B1025" s="1226"/>
      <c r="C1025" s="2841"/>
      <c r="D1025" s="1011"/>
      <c r="E1025" s="1021"/>
      <c r="F1025" s="1267" t="s">
        <v>2279</v>
      </c>
      <c r="G1025" s="1023"/>
      <c r="H1025" s="1713"/>
      <c r="I1025" s="1192">
        <f t="shared" si="42"/>
        <v>0</v>
      </c>
      <c r="J1025" s="1014"/>
      <c r="K1025" s="1014"/>
      <c r="L1025" s="1043"/>
      <c r="M1025" s="934">
        <v>160</v>
      </c>
    </row>
    <row r="1026" spans="1:13" s="1016" customFormat="1" ht="25.2" hidden="1" customHeight="1">
      <c r="A1026" s="1086">
        <f t="shared" si="44"/>
        <v>0</v>
      </c>
      <c r="B1026" s="1226" t="s">
        <v>2022</v>
      </c>
      <c r="C1026" s="2841"/>
      <c r="D1026" s="1011"/>
      <c r="E1026" s="1024">
        <f>VLOOKUP($B1026,DG!A:D,DG!$B$2,)</f>
        <v>0</v>
      </c>
      <c r="F1026" s="1013" t="str">
        <f>VLOOKUP($B1026,DG!A:D,DG!$C$2,)</f>
        <v>Sắt góc L75 x75 x8</v>
      </c>
      <c r="G1026" s="1012" t="s">
        <v>2248</v>
      </c>
      <c r="H1026" s="1713">
        <f>H1024*9.02*(2.4+4*0.07)*2</f>
        <v>0</v>
      </c>
      <c r="I1026" s="1192">
        <f t="shared" si="42"/>
        <v>0</v>
      </c>
      <c r="J1026" s="1014"/>
      <c r="K1026" s="1014"/>
      <c r="L1026" s="1043"/>
      <c r="M1026" s="934">
        <v>160</v>
      </c>
    </row>
    <row r="1027" spans="1:13" s="1016" customFormat="1" ht="25.2" hidden="1" customHeight="1">
      <c r="A1027" s="1086">
        <f t="shared" si="44"/>
        <v>0</v>
      </c>
      <c r="B1027" s="1226" t="s">
        <v>1035</v>
      </c>
      <c r="C1027" s="2841"/>
      <c r="D1027" s="1011"/>
      <c r="E1027" s="1024">
        <f>VLOOKUP($B1027,DG!A:D,DG!$B$2,)</f>
        <v>0</v>
      </c>
      <c r="F1027" s="1013" t="str">
        <f>VLOOKUP($B1027,DG!A:D,DG!$C$2,)&amp;" (Thanh choáng 810)"</f>
        <v>Sắt góc L50 x50 x5 (Thanh choáng 810)</v>
      </c>
      <c r="G1027" s="1012" t="s">
        <v>2248</v>
      </c>
      <c r="H1027" s="1713">
        <f>H1024*3.77*0.81*4</f>
        <v>0</v>
      </c>
      <c r="I1027" s="1192">
        <f t="shared" si="42"/>
        <v>0</v>
      </c>
      <c r="J1027" s="1014"/>
      <c r="K1027" s="1014"/>
      <c r="L1027" s="1043"/>
      <c r="M1027" s="934">
        <v>160</v>
      </c>
    </row>
    <row r="1028" spans="1:13" s="1016" customFormat="1" ht="25.2" hidden="1" customHeight="1">
      <c r="A1028" s="1086">
        <f t="shared" si="44"/>
        <v>0</v>
      </c>
      <c r="B1028" s="1226" t="s">
        <v>1610</v>
      </c>
      <c r="C1028" s="2841"/>
      <c r="D1028" s="1011"/>
      <c r="E1028" s="1024">
        <f>VLOOKUP($B1028,DG!A:D,DG!$B$2,)</f>
        <v>0</v>
      </c>
      <c r="F1028" s="1013" t="str">
        <f>VLOOKUP($B1028,DG!A:D,DG!$C$2,)</f>
        <v>Boulon 16x300+ 2 long đền vuông D18-50x50x3/Zn</v>
      </c>
      <c r="G1028" s="1012" t="s">
        <v>2439</v>
      </c>
      <c r="H1028" s="1713">
        <f>H1024*2</f>
        <v>0</v>
      </c>
      <c r="I1028" s="1192">
        <f t="shared" si="42"/>
        <v>0</v>
      </c>
      <c r="J1028" s="1014"/>
      <c r="K1028" s="1014"/>
      <c r="L1028" s="1043"/>
      <c r="M1028" s="934">
        <v>160</v>
      </c>
    </row>
    <row r="1029" spans="1:13" s="1016" customFormat="1" ht="25.2" hidden="1" customHeight="1">
      <c r="A1029" s="1086">
        <f t="shared" si="44"/>
        <v>0</v>
      </c>
      <c r="B1029" s="1226" t="s">
        <v>1786</v>
      </c>
      <c r="C1029" s="2841"/>
      <c r="D1029" s="1011"/>
      <c r="E1029" s="1024">
        <f>VLOOKUP($B1029,DG!A:D,DG!$B$2,)</f>
        <v>0</v>
      </c>
      <c r="F1029" s="1013" t="str">
        <f>VLOOKUP($B1029,DG!A:D,DG!$C$2,)</f>
        <v>Boulon 16x50+ 2 long đền vuông D18-50x50x3/Zn</v>
      </c>
      <c r="G1029" s="1012" t="s">
        <v>2439</v>
      </c>
      <c r="H1029" s="1713">
        <f>H1024*4</f>
        <v>0</v>
      </c>
      <c r="I1029" s="1192">
        <f t="shared" si="42"/>
        <v>0</v>
      </c>
      <c r="J1029" s="1014"/>
      <c r="K1029" s="1014"/>
      <c r="L1029" s="1043"/>
      <c r="M1029" s="934">
        <v>160</v>
      </c>
    </row>
    <row r="1030" spans="1:13" s="1016" customFormat="1" ht="25.2" hidden="1" customHeight="1">
      <c r="A1030" s="1086">
        <f t="shared" si="44"/>
        <v>0</v>
      </c>
      <c r="B1030" s="1226" t="s">
        <v>1784</v>
      </c>
      <c r="C1030" s="2841"/>
      <c r="D1030" s="1011"/>
      <c r="E1030" s="1024">
        <f>VLOOKUP($B1030,DG!A:D,DG!$B$2,)</f>
        <v>0</v>
      </c>
      <c r="F1030" s="1013" t="str">
        <f>VLOOKUP($B1030,DG!A:D,DG!$C$2,)</f>
        <v>Boulon 16x300VRS+ 4 long đền vuông D18-50x50x3/Zn</v>
      </c>
      <c r="G1030" s="1012" t="s">
        <v>2439</v>
      </c>
      <c r="H1030" s="1713">
        <f>H1024*4</f>
        <v>0</v>
      </c>
      <c r="I1030" s="1192">
        <f t="shared" si="42"/>
        <v>0</v>
      </c>
      <c r="J1030" s="1014"/>
      <c r="K1030" s="1014"/>
      <c r="L1030" s="1043"/>
      <c r="M1030" s="934">
        <v>160</v>
      </c>
    </row>
    <row r="1031" spans="1:13" s="1016" customFormat="1" ht="25.2" hidden="1" customHeight="1">
      <c r="A1031" s="1086">
        <f t="shared" si="44"/>
        <v>0</v>
      </c>
      <c r="B1031" s="1226" t="s">
        <v>517</v>
      </c>
      <c r="C1031" s="2841"/>
      <c r="D1031" s="1011"/>
      <c r="E1031" s="1024" t="str">
        <f>VLOOKUP($B1031,DG!A:D,DG!$B$2,)</f>
        <v>05.6203</v>
      </c>
      <c r="F1031" s="1013" t="str">
        <f>VLOOKUP($B1031,DG!A:D,DG!$C$2,)</f>
        <v>Lắp xà néo ≤ 100kg</v>
      </c>
      <c r="G1031" s="1012" t="s">
        <v>2439</v>
      </c>
      <c r="H1031" s="1713">
        <f>H1024</f>
        <v>0</v>
      </c>
      <c r="I1031" s="1192">
        <f t="shared" si="42"/>
        <v>0</v>
      </c>
      <c r="J1031" s="1014"/>
      <c r="K1031" s="1014"/>
      <c r="L1031" s="1043"/>
      <c r="M1031" s="934">
        <v>160</v>
      </c>
    </row>
    <row r="1032" spans="1:13" s="1016" customFormat="1" ht="25.2" hidden="1" customHeight="1">
      <c r="A1032" s="1086">
        <f t="shared" si="44"/>
        <v>0</v>
      </c>
      <c r="B1032" s="1226"/>
      <c r="C1032" s="2841"/>
      <c r="D1032" s="1017">
        <f>IF(H1032&gt;0,D1024+1,D1024)</f>
        <v>0</v>
      </c>
      <c r="E1032" s="1018"/>
      <c r="F1032" s="1063" t="s">
        <v>3719</v>
      </c>
      <c r="G1032" s="1017" t="s">
        <v>2385</v>
      </c>
      <c r="H1032" s="1722">
        <f>H943*1*0</f>
        <v>0</v>
      </c>
      <c r="I1032" s="1192">
        <f t="shared" si="42"/>
        <v>0</v>
      </c>
      <c r="J1032" s="1014"/>
      <c r="K1032" s="1014"/>
      <c r="L1032" s="1043"/>
      <c r="M1032" s="934">
        <v>160</v>
      </c>
    </row>
    <row r="1033" spans="1:13" s="1016" customFormat="1" ht="25.2" hidden="1" customHeight="1">
      <c r="A1033" s="1086">
        <f t="shared" si="44"/>
        <v>0</v>
      </c>
      <c r="B1033" s="1226"/>
      <c r="C1033" s="2841"/>
      <c r="D1033" s="1011"/>
      <c r="E1033" s="1021"/>
      <c r="F1033" s="1267" t="s">
        <v>2279</v>
      </c>
      <c r="G1033" s="1023"/>
      <c r="H1033" s="1713"/>
      <c r="I1033" s="1192">
        <f t="shared" si="42"/>
        <v>0</v>
      </c>
      <c r="J1033" s="1014"/>
      <c r="K1033" s="1014"/>
      <c r="L1033" s="1043"/>
      <c r="M1033" s="934">
        <v>160</v>
      </c>
    </row>
    <row r="1034" spans="1:13" s="1016" customFormat="1" ht="25.2" hidden="1" customHeight="1">
      <c r="A1034" s="1086">
        <f t="shared" si="44"/>
        <v>0</v>
      </c>
      <c r="B1034" s="1226" t="s">
        <v>2022</v>
      </c>
      <c r="C1034" s="2841"/>
      <c r="D1034" s="1011"/>
      <c r="E1034" s="1024">
        <f>VLOOKUP($B1034,DG!A:D,DG!$B$2,)</f>
        <v>0</v>
      </c>
      <c r="F1034" s="1013" t="str">
        <f>VLOOKUP($B1034,DG!A:D,DG!$C$2,)</f>
        <v>Sắt góc L75 x75 x8</v>
      </c>
      <c r="G1034" s="1012" t="s">
        <v>2248</v>
      </c>
      <c r="H1034" s="1713">
        <f>H1032*9.02*(2.4+4*0.07)</f>
        <v>0</v>
      </c>
      <c r="I1034" s="1192">
        <f t="shared" si="42"/>
        <v>0</v>
      </c>
      <c r="J1034" s="1014"/>
      <c r="K1034" s="1014"/>
      <c r="L1034" s="1043"/>
      <c r="M1034" s="934">
        <v>160</v>
      </c>
    </row>
    <row r="1035" spans="1:13" s="1016" customFormat="1" ht="25.2" hidden="1" customHeight="1">
      <c r="A1035" s="1086">
        <f t="shared" si="44"/>
        <v>0</v>
      </c>
      <c r="B1035" s="1226" t="s">
        <v>1035</v>
      </c>
      <c r="C1035" s="2841"/>
      <c r="D1035" s="1011"/>
      <c r="E1035" s="1024">
        <f>VLOOKUP($B1035,DG!A:D,DG!$B$2,)</f>
        <v>0</v>
      </c>
      <c r="F1035" s="1013" t="str">
        <f>VLOOKUP($B1035,DG!A:D,DG!$C$2,)&amp;" (Thanh choáng 810)"</f>
        <v>Sắt góc L50 x50 x5 (Thanh choáng 810)</v>
      </c>
      <c r="G1035" s="1012" t="s">
        <v>2248</v>
      </c>
      <c r="H1035" s="1713">
        <f>H1032*3.77*0.81*2</f>
        <v>0</v>
      </c>
      <c r="I1035" s="1192">
        <f t="shared" si="42"/>
        <v>0</v>
      </c>
      <c r="J1035" s="1014"/>
      <c r="K1035" s="1014"/>
      <c r="L1035" s="1043"/>
      <c r="M1035" s="934">
        <v>160</v>
      </c>
    </row>
    <row r="1036" spans="1:13" s="1016" customFormat="1" ht="25.2" hidden="1" customHeight="1">
      <c r="A1036" s="1086">
        <f t="shared" si="44"/>
        <v>0</v>
      </c>
      <c r="B1036" s="1226" t="s">
        <v>1079</v>
      </c>
      <c r="C1036" s="2841"/>
      <c r="D1036" s="1011"/>
      <c r="E1036" s="1024">
        <f>VLOOKUP($B1036,DG!A:D,DG!$B$2,)</f>
        <v>0</v>
      </c>
      <c r="F1036" s="1013" t="str">
        <f>VLOOKUP($B1036,DG!A:D,DG!$C$2,)</f>
        <v>Boulon 16x350+ 2 long đền vuông D18-50x50x3/Zn</v>
      </c>
      <c r="G1036" s="1012" t="s">
        <v>2439</v>
      </c>
      <c r="H1036" s="1713">
        <f>H1032*2</f>
        <v>0</v>
      </c>
      <c r="I1036" s="1192">
        <f t="shared" si="42"/>
        <v>0</v>
      </c>
      <c r="J1036" s="1014"/>
      <c r="K1036" s="1014"/>
      <c r="L1036" s="1043"/>
      <c r="M1036" s="934">
        <v>160</v>
      </c>
    </row>
    <row r="1037" spans="1:13" s="1016" customFormat="1" ht="25.2" hidden="1" customHeight="1">
      <c r="A1037" s="1086">
        <f t="shared" si="44"/>
        <v>0</v>
      </c>
      <c r="B1037" s="1226" t="s">
        <v>1786</v>
      </c>
      <c r="C1037" s="2841"/>
      <c r="D1037" s="1011"/>
      <c r="E1037" s="1024">
        <f>VLOOKUP($B1037,DG!A:D,DG!$B$2,)</f>
        <v>0</v>
      </c>
      <c r="F1037" s="1013" t="str">
        <f>VLOOKUP($B1037,DG!A:D,DG!$C$2,)</f>
        <v>Boulon 16x50+ 2 long đền vuông D18-50x50x3/Zn</v>
      </c>
      <c r="G1037" s="1012" t="s">
        <v>2439</v>
      </c>
      <c r="H1037" s="1713">
        <f>H1032*2</f>
        <v>0</v>
      </c>
      <c r="I1037" s="1192">
        <f t="shared" si="42"/>
        <v>0</v>
      </c>
      <c r="J1037" s="1014"/>
      <c r="K1037" s="1014"/>
      <c r="L1037" s="1043"/>
      <c r="M1037" s="934">
        <v>160</v>
      </c>
    </row>
    <row r="1038" spans="1:13" s="1016" customFormat="1" ht="25.2" hidden="1" customHeight="1">
      <c r="A1038" s="1086">
        <f t="shared" si="44"/>
        <v>0</v>
      </c>
      <c r="B1038" s="1226" t="s">
        <v>1735</v>
      </c>
      <c r="C1038" s="2841"/>
      <c r="D1038" s="1011"/>
      <c r="E1038" s="1024">
        <f>VLOOKUP($B1038,DG!A:D,DG!$B$2,)</f>
        <v>0</v>
      </c>
      <c r="F1038" s="1013" t="str">
        <f>VLOOKUP($B1038,DG!A:D,DG!$C$2,)</f>
        <v>Bass LI bắt FCO</v>
      </c>
      <c r="G1038" s="1012" t="s">
        <v>2439</v>
      </c>
      <c r="H1038" s="1713">
        <f>IF(H1032&gt;0,3,)</f>
        <v>0</v>
      </c>
      <c r="I1038" s="1192">
        <f t="shared" si="42"/>
        <v>0</v>
      </c>
      <c r="J1038" s="1014"/>
      <c r="K1038" s="1014"/>
      <c r="L1038" s="1043"/>
      <c r="M1038" s="934">
        <v>160</v>
      </c>
    </row>
    <row r="1039" spans="1:13" s="1016" customFormat="1" ht="25.2" hidden="1" customHeight="1">
      <c r="A1039" s="1086">
        <f t="shared" si="44"/>
        <v>0</v>
      </c>
      <c r="B1039" s="1226" t="s">
        <v>988</v>
      </c>
      <c r="C1039" s="2841"/>
      <c r="D1039" s="1011"/>
      <c r="E1039" s="1024" t="str">
        <f>VLOOKUP($B1039,DG!A:D,DG!$B$2,)</f>
        <v>06.3231</v>
      </c>
      <c r="F1039" s="1013" t="str">
        <f>VLOOKUP($B1039,DG!A:D,DG!$C$2,)</f>
        <v xml:space="preserve">Cổ dê chống lắc 8x80x800 </v>
      </c>
      <c r="G1039" s="1012" t="s">
        <v>2439</v>
      </c>
      <c r="H1039" s="1713">
        <f>H1032*0</f>
        <v>0</v>
      </c>
      <c r="I1039" s="1192">
        <f t="shared" si="42"/>
        <v>0</v>
      </c>
      <c r="J1039" s="1014"/>
      <c r="K1039" s="1014"/>
      <c r="L1039" s="1043"/>
      <c r="M1039" s="934">
        <v>160</v>
      </c>
    </row>
    <row r="1040" spans="1:13" s="1016" customFormat="1" ht="25.2" hidden="1" customHeight="1">
      <c r="A1040" s="1086">
        <f t="shared" si="44"/>
        <v>0</v>
      </c>
      <c r="B1040" s="1226" t="s">
        <v>1440</v>
      </c>
      <c r="C1040" s="2841"/>
      <c r="D1040" s="1011"/>
      <c r="E1040" s="1024" t="str">
        <f>VLOOKUP($B1040,DG!A:D,DG!$B$2,)</f>
        <v>05.6102</v>
      </c>
      <c r="F1040" s="1013" t="str">
        <f>VLOOKUP($B1040,DG!A:D,DG!$C$2,)</f>
        <v>Lắp xà đỡ ≤ 50kg</v>
      </c>
      <c r="G1040" s="1012" t="s">
        <v>2439</v>
      </c>
      <c r="H1040" s="1713">
        <f>H1032</f>
        <v>0</v>
      </c>
      <c r="I1040" s="1192">
        <f t="shared" si="42"/>
        <v>0</v>
      </c>
      <c r="J1040" s="1014"/>
      <c r="K1040" s="1014"/>
      <c r="L1040" s="1043"/>
      <c r="M1040" s="934">
        <v>160</v>
      </c>
    </row>
    <row r="1041" spans="1:13" s="1016" customFormat="1" ht="25.2" hidden="1" customHeight="1">
      <c r="A1041" s="1086">
        <f t="shared" si="44"/>
        <v>0</v>
      </c>
      <c r="B1041" s="1226"/>
      <c r="C1041" s="2841"/>
      <c r="D1041" s="1017">
        <f>IF(H1041&gt;0,D1032+1,D1032)</f>
        <v>0</v>
      </c>
      <c r="E1041" s="1018"/>
      <c r="F1041" s="1063" t="s">
        <v>3720</v>
      </c>
      <c r="G1041" s="1017" t="s">
        <v>2385</v>
      </c>
      <c r="H1041" s="1722">
        <f>H943</f>
        <v>0</v>
      </c>
      <c r="I1041" s="1192">
        <f t="shared" si="42"/>
        <v>0</v>
      </c>
      <c r="J1041" s="1014"/>
      <c r="K1041" s="1014"/>
      <c r="L1041" s="1043"/>
      <c r="M1041" s="934">
        <v>160</v>
      </c>
    </row>
    <row r="1042" spans="1:13" s="1016" customFormat="1" ht="25.2" hidden="1" customHeight="1">
      <c r="A1042" s="1086">
        <f t="shared" si="44"/>
        <v>0</v>
      </c>
      <c r="B1042" s="1255"/>
      <c r="C1042" s="2841"/>
      <c r="D1042" s="1011"/>
      <c r="E1042" s="1021"/>
      <c r="F1042" s="1267" t="s">
        <v>2279</v>
      </c>
      <c r="G1042" s="1023"/>
      <c r="H1042" s="1713"/>
      <c r="I1042" s="1192">
        <f t="shared" si="42"/>
        <v>0</v>
      </c>
      <c r="J1042" s="1014"/>
      <c r="K1042" s="1014"/>
      <c r="L1042" s="1043"/>
      <c r="M1042" s="934">
        <v>160</v>
      </c>
    </row>
    <row r="1043" spans="1:13" s="1016" customFormat="1" ht="25.2" hidden="1" customHeight="1">
      <c r="A1043" s="1086">
        <f t="shared" si="44"/>
        <v>0</v>
      </c>
      <c r="B1043" s="1226" t="s">
        <v>1033</v>
      </c>
      <c r="C1043" s="2841"/>
      <c r="D1043" s="1011"/>
      <c r="E1043" s="1012">
        <f>VLOOKUP($B1043,DG!A:D,DG!$B$2,)</f>
        <v>0</v>
      </c>
      <c r="F1043" s="1013" t="str">
        <f>VLOOKUP($B1043,DG!A:D,DG!$C$2,)</f>
        <v>Cáp đồng trần M25mm2</v>
      </c>
      <c r="G1043" s="1024" t="str">
        <f>VLOOKUP($B1043,DG!A:D,DG!$D$2,)</f>
        <v>kg</v>
      </c>
      <c r="H1043" s="1713">
        <v>12</v>
      </c>
      <c r="I1043" s="1192">
        <f t="shared" si="42"/>
        <v>0</v>
      </c>
      <c r="J1043" s="1014"/>
      <c r="K1043" s="1014"/>
      <c r="L1043" s="1043"/>
      <c r="M1043" s="934">
        <v>160</v>
      </c>
    </row>
    <row r="1044" spans="1:13" s="1016" customFormat="1" ht="25.2" hidden="1" customHeight="1">
      <c r="A1044" s="1086">
        <f t="shared" si="44"/>
        <v>0</v>
      </c>
      <c r="B1044" s="1226" t="s">
        <v>1033</v>
      </c>
      <c r="C1044" s="2841"/>
      <c r="D1044" s="1011"/>
      <c r="E1044" s="1012">
        <f>VLOOKUP($B1044,DG!A:D,DG!$B$2,)</f>
        <v>0</v>
      </c>
      <c r="F1044" s="1013" t="str">
        <f>VLOOKUP($B1044,DG!A:D,DG!$C$2,)&amp;": 17m nối lên vỏ các thiết bị"</f>
        <v>Cáp đồng trần M25mm2: 17m nối lên vỏ các thiết bị</v>
      </c>
      <c r="G1044" s="1012" t="str">
        <f>VLOOKUP($B1044,DG!A:D,DG!$D$2,)</f>
        <v>kg</v>
      </c>
      <c r="H1044" s="1713">
        <f>17*0.224*H1041*0</f>
        <v>0</v>
      </c>
      <c r="I1044" s="1192">
        <f t="shared" si="42"/>
        <v>0</v>
      </c>
      <c r="J1044" s="1014"/>
      <c r="K1044" s="1014"/>
      <c r="L1044" s="1043"/>
      <c r="M1044" s="934">
        <v>160</v>
      </c>
    </row>
    <row r="1045" spans="1:13" s="1016" customFormat="1" ht="25.2" hidden="1" customHeight="1">
      <c r="A1045" s="1086">
        <f t="shared" si="44"/>
        <v>0</v>
      </c>
      <c r="B1045" s="1087" t="s">
        <v>1508</v>
      </c>
      <c r="C1045" s="2842"/>
      <c r="D1045" s="1011"/>
      <c r="E1045" s="1012">
        <f>VLOOKUP($B1045,DG!A:D,DG!$B$2,)</f>
        <v>0</v>
      </c>
      <c r="F1045" s="1013" t="str">
        <f>VLOOKUP($B1045,DG!A:D,DG!$C$2,)</f>
        <v>Cọc tiếp đất Þ 16- 2,4m + kẹp cọc mạ đồng</v>
      </c>
      <c r="G1045" s="1024" t="str">
        <f>VLOOKUP($B1045,DG!A:D,DG!$D$2,)</f>
        <v>bộ</v>
      </c>
      <c r="H1045" s="1713">
        <f>I2*$H$1041</f>
        <v>0</v>
      </c>
      <c r="I1045" s="1192">
        <f t="shared" si="42"/>
        <v>0</v>
      </c>
      <c r="J1045" s="1014"/>
      <c r="K1045" s="1014"/>
      <c r="L1045" s="1043"/>
      <c r="M1045" s="934">
        <v>160</v>
      </c>
    </row>
    <row r="1046" spans="1:13" s="1016" customFormat="1" ht="25.2" hidden="1" customHeight="1">
      <c r="A1046" s="1086">
        <f t="shared" si="44"/>
        <v>0</v>
      </c>
      <c r="B1046" s="1087" t="s">
        <v>1526</v>
      </c>
      <c r="C1046" s="2842"/>
      <c r="D1046" s="1011"/>
      <c r="E1046" s="1012">
        <f>VLOOKUP($B1046,DG!A:D,DG!$B$2,)</f>
        <v>0</v>
      </c>
      <c r="F1046" s="1013" t="str">
        <f>VLOOKUP($B1046,DG!A:D,DG!$C$2,)</f>
        <v>Cáp đồng bọc CV25</v>
      </c>
      <c r="G1046" s="1012" t="str">
        <f>VLOOKUP($B1046,DG!A:D,DG!$D$2,)</f>
        <v>mét</v>
      </c>
      <c r="H1046" s="1713">
        <v>2</v>
      </c>
      <c r="I1046" s="1192">
        <f>IF(M1046=$M$23,H1046+J1046-K1046,0)</f>
        <v>0</v>
      </c>
      <c r="J1046" s="1014"/>
      <c r="K1046" s="1014"/>
      <c r="L1046" s="1015"/>
      <c r="M1046" s="934">
        <v>160</v>
      </c>
    </row>
    <row r="1047" spans="1:13" s="1016" customFormat="1" ht="25.2" hidden="1" customHeight="1">
      <c r="A1047" s="1086">
        <f t="shared" si="44"/>
        <v>0</v>
      </c>
      <c r="B1047" s="1087" t="s">
        <v>1490</v>
      </c>
      <c r="C1047" s="2842"/>
      <c r="D1047" s="1011"/>
      <c r="E1047" s="1012" t="str">
        <f>VLOOKUP($B1047,DG!A:D,DG!$B$2,)</f>
        <v>07.2403</v>
      </c>
      <c r="F1047" s="1013" t="str">
        <f>VLOOKUP($B1047,DG!A:D,DG!$C$2,)</f>
        <v xml:space="preserve">Ống PVC D21x1,6mm </v>
      </c>
      <c r="G1047" s="1012" t="str">
        <f>VLOOKUP($B1047,DG!A:D,DG!$D$2,)</f>
        <v>m</v>
      </c>
      <c r="H1047" s="1713">
        <v>2</v>
      </c>
      <c r="I1047" s="1192">
        <f t="shared" si="42"/>
        <v>0</v>
      </c>
      <c r="J1047" s="1014"/>
      <c r="K1047" s="1014"/>
      <c r="L1047" s="1015"/>
      <c r="M1047" s="934">
        <v>160</v>
      </c>
    </row>
    <row r="1048" spans="1:13" s="1016" customFormat="1" ht="25.2" hidden="1" customHeight="1">
      <c r="A1048" s="1086">
        <f t="shared" si="44"/>
        <v>0</v>
      </c>
      <c r="B1048" s="1231" t="s">
        <v>1579</v>
      </c>
      <c r="C1048" s="2844"/>
      <c r="D1048" s="1011"/>
      <c r="E1048" s="1012">
        <f>VLOOKUP($B1048,DG!A:D,DG!$B$2,)</f>
        <v>0</v>
      </c>
      <c r="F1048" s="1013" t="str">
        <f>VLOOKUP($B1048,DG!A:D,DG!$C$2,)&amp; " bắt dây trung tính "</f>
        <v xml:space="preserve">Kẹp ép WR cỡ dây 50mm2 bắt dây trung tính </v>
      </c>
      <c r="G1048" s="1024" t="str">
        <f>VLOOKUP($B1048,DG!A:D,DG!$D$2,)</f>
        <v>cái</v>
      </c>
      <c r="H1048" s="1713">
        <f>2*$H$1041</f>
        <v>0</v>
      </c>
      <c r="I1048" s="1192">
        <f t="shared" si="42"/>
        <v>0</v>
      </c>
      <c r="J1048" s="1014"/>
      <c r="K1048" s="1014"/>
      <c r="L1048" s="1043"/>
      <c r="M1048" s="934">
        <v>160</v>
      </c>
    </row>
    <row r="1049" spans="1:13" s="1016" customFormat="1" ht="25.2" hidden="1" customHeight="1">
      <c r="A1049" s="1086">
        <f t="shared" si="44"/>
        <v>0</v>
      </c>
      <c r="B1049" s="1231" t="s">
        <v>1395</v>
      </c>
      <c r="C1049" s="2844"/>
      <c r="D1049" s="1065"/>
      <c r="E1049" s="1012">
        <f>VLOOKUP($B1049,DG!A:D,DG!$B$2,)</f>
        <v>0</v>
      </c>
      <c r="F1049" s="1013" t="str">
        <f>VLOOKUP($B1049,DG!A:D,DG!$C$2,)&amp;": bắt lưới tiếp địa"</f>
        <v>Kẹp ép cỡ dây 25mm2: bắt lưới tiếp địa</v>
      </c>
      <c r="G1049" s="1024" t="str">
        <f>VLOOKUP($B1049,DG!A:D,DG!$D$2,)</f>
        <v>cái</v>
      </c>
      <c r="H1049" s="1713">
        <f>$H$1041*4</f>
        <v>0</v>
      </c>
      <c r="I1049" s="1192">
        <f t="shared" si="42"/>
        <v>0</v>
      </c>
      <c r="J1049" s="1014"/>
      <c r="K1049" s="1014"/>
      <c r="L1049" s="1043"/>
      <c r="M1049" s="934">
        <v>160</v>
      </c>
    </row>
    <row r="1050" spans="1:13" s="1016" customFormat="1" ht="25.2" hidden="1" customHeight="1">
      <c r="A1050" s="1086">
        <f t="shared" ref="A1050:A1113" si="46">IF(AND(M1050=$M$23,I1050&gt;0),1,0)</f>
        <v>0</v>
      </c>
      <c r="B1050" s="1087" t="s">
        <v>138</v>
      </c>
      <c r="C1050" s="2842"/>
      <c r="D1050" s="1011"/>
      <c r="E1050" s="1012">
        <f>VLOOKUP($B1050,DG!A:D,DG!$B$2,)</f>
        <v>0</v>
      </c>
      <c r="F1050" s="1013" t="str">
        <f>VLOOKUP($B1050,DG!A:D,DG!$C$2,)</f>
        <v>Boulon 12x40+ 2 long đền vuông D14-50x50x3/Zn</v>
      </c>
      <c r="G1050" s="1024" t="str">
        <f>VLOOKUP($B1050,DG!A:D,DG!$D$2,)</f>
        <v>bộ</v>
      </c>
      <c r="H1050" s="1713">
        <f>$H$1041*0</f>
        <v>0</v>
      </c>
      <c r="I1050" s="1192">
        <f t="shared" si="42"/>
        <v>0</v>
      </c>
      <c r="J1050" s="1014"/>
      <c r="K1050" s="1014"/>
      <c r="L1050" s="1043"/>
      <c r="M1050" s="934">
        <v>160</v>
      </c>
    </row>
    <row r="1051" spans="1:13" s="1016" customFormat="1" ht="25.2" hidden="1" customHeight="1">
      <c r="A1051" s="1086">
        <f t="shared" si="46"/>
        <v>0</v>
      </c>
      <c r="B1051" s="1087" t="s">
        <v>104</v>
      </c>
      <c r="C1051" s="2842"/>
      <c r="D1051" s="1011"/>
      <c r="E1051" s="1012" t="str">
        <f>VLOOKUP($B1051,DG!A:D,DG!$B$2,)</f>
        <v>03.4001</v>
      </c>
      <c r="F1051" s="1013" t="str">
        <f>VLOOKUP($B1051,DG!A:D,DG!$C$2,)</f>
        <v>Đầu cosse ép Cu 25mm2</v>
      </c>
      <c r="G1051" s="1024" t="str">
        <f>VLOOKUP($B1051,DG!A:D,DG!$D$2,)</f>
        <v>cái</v>
      </c>
      <c r="H1051" s="1713">
        <f>H1050*2</f>
        <v>0</v>
      </c>
      <c r="I1051" s="1192">
        <f t="shared" si="42"/>
        <v>0</v>
      </c>
      <c r="J1051" s="1014"/>
      <c r="K1051" s="1014"/>
      <c r="L1051" s="1043"/>
      <c r="M1051" s="934">
        <v>160</v>
      </c>
    </row>
    <row r="1052" spans="1:13" s="1016" customFormat="1" ht="25.2" hidden="1" customHeight="1">
      <c r="A1052" s="1086">
        <f t="shared" si="46"/>
        <v>0</v>
      </c>
      <c r="B1052" s="1087" t="s">
        <v>525</v>
      </c>
      <c r="C1052" s="2842"/>
      <c r="D1052" s="1011"/>
      <c r="E1052" s="1012" t="str">
        <f>VLOOKUP($B1052,DG!A:D,DG!$B$2,)</f>
        <v>06.3231</v>
      </c>
      <c r="F1052" s="1013" t="str">
        <f>VLOOKUP($B1052,DG!A:D,DG!$C$2,)&amp;": CD-250"</f>
        <v>Cổ dê kẹp ống PVC  21: CD-250</v>
      </c>
      <c r="G1052" s="1012" t="str">
        <f>VLOOKUP($B1052,DG!A:D,DG!$D$2,)</f>
        <v>bộ</v>
      </c>
      <c r="H1052" s="1713">
        <f>$H$1041*0.415*0</f>
        <v>0</v>
      </c>
      <c r="I1052" s="1192">
        <f t="shared" si="42"/>
        <v>0</v>
      </c>
      <c r="J1052" s="1014"/>
      <c r="K1052" s="1014"/>
      <c r="L1052" s="1015"/>
      <c r="M1052" s="934">
        <v>160</v>
      </c>
    </row>
    <row r="1053" spans="1:13" s="1016" customFormat="1" ht="25.2" hidden="1" customHeight="1">
      <c r="A1053" s="1086">
        <f t="shared" si="46"/>
        <v>0</v>
      </c>
      <c r="B1053" s="1087" t="s">
        <v>525</v>
      </c>
      <c r="C1053" s="2842"/>
      <c r="D1053" s="1011"/>
      <c r="E1053" s="1012" t="str">
        <f>VLOOKUP($B1053,DG!A:D,DG!$B$2,)</f>
        <v>06.3231</v>
      </c>
      <c r="F1053" s="1013" t="str">
        <f>VLOOKUP($B1053,DG!A:D,DG!$C$2,)&amp;": CD-280"</f>
        <v>Cổ dê kẹp ống PVC  21: CD-280</v>
      </c>
      <c r="G1053" s="1012" t="str">
        <f>VLOOKUP($B1053,DG!A:D,DG!$D$2,)</f>
        <v>bộ</v>
      </c>
      <c r="H1053" s="1713">
        <f>$H$1041*0.452*0</f>
        <v>0</v>
      </c>
      <c r="I1053" s="1192">
        <f t="shared" si="42"/>
        <v>0</v>
      </c>
      <c r="J1053" s="1014"/>
      <c r="K1053" s="1014"/>
      <c r="L1053" s="1015"/>
      <c r="M1053" s="934">
        <v>160</v>
      </c>
    </row>
    <row r="1054" spans="1:13" s="1016" customFormat="1" ht="25.2" hidden="1" customHeight="1">
      <c r="A1054" s="1086">
        <f t="shared" si="46"/>
        <v>0</v>
      </c>
      <c r="B1054" s="1087" t="s">
        <v>525</v>
      </c>
      <c r="C1054" s="2842"/>
      <c r="D1054" s="1011"/>
      <c r="E1054" s="1012" t="str">
        <f>VLOOKUP($B1054,DG!A:D,DG!$B$2,)</f>
        <v>06.3231</v>
      </c>
      <c r="F1054" s="1013" t="str">
        <f>VLOOKUP($B1054,DG!A:D,DG!$C$2,)&amp;": CD-320"</f>
        <v>Cổ dê kẹp ống PVC  21: CD-320</v>
      </c>
      <c r="G1054" s="1012" t="str">
        <f>VLOOKUP($B1054,DG!A:D,DG!$D$2,)</f>
        <v>bộ</v>
      </c>
      <c r="H1054" s="1713">
        <f>$H$1041*0.501*0</f>
        <v>0</v>
      </c>
      <c r="I1054" s="1192">
        <f t="shared" si="42"/>
        <v>0</v>
      </c>
      <c r="J1054" s="1014"/>
      <c r="K1054" s="1014"/>
      <c r="L1054" s="1015"/>
      <c r="M1054" s="934">
        <v>160</v>
      </c>
    </row>
    <row r="1055" spans="1:13" s="1016" customFormat="1" ht="25.2" hidden="1" customHeight="1">
      <c r="A1055" s="1086">
        <f t="shared" si="46"/>
        <v>0</v>
      </c>
      <c r="B1055" s="1087" t="s">
        <v>1131</v>
      </c>
      <c r="C1055" s="2842"/>
      <c r="D1055" s="1011"/>
      <c r="E1055" s="1012" t="str">
        <f>VLOOKUP($B1055,DG!A:D,DG!$B$2,)</f>
        <v>06.2110</v>
      </c>
      <c r="F1055" s="1095" t="str">
        <f>VLOOKUP($B1055,DG!A:D,DG!$C$2,)&amp;": CD-320"</f>
        <v>Lắp cổ dê: CD-320</v>
      </c>
      <c r="G1055" s="1012" t="str">
        <f>VLOOKUP($B1055,DG!A:D,DG!$D$2,)</f>
        <v>bộ</v>
      </c>
      <c r="H1055" s="1713">
        <f>$H$1041*0</f>
        <v>0</v>
      </c>
      <c r="I1055" s="1192">
        <f t="shared" si="42"/>
        <v>0</v>
      </c>
      <c r="J1055" s="1014"/>
      <c r="K1055" s="1014"/>
      <c r="L1055" s="1015"/>
      <c r="M1055" s="934">
        <v>160</v>
      </c>
    </row>
    <row r="1056" spans="1:13" s="1016" customFormat="1" ht="25.2" hidden="1" customHeight="1">
      <c r="A1056" s="1086">
        <f t="shared" si="46"/>
        <v>0</v>
      </c>
      <c r="B1056" s="1087" t="s">
        <v>138</v>
      </c>
      <c r="C1056" s="2842"/>
      <c r="D1056" s="1011"/>
      <c r="E1056" s="1012">
        <f>VLOOKUP($B1056,DG!A:D,DG!$B$2,)</f>
        <v>0</v>
      </c>
      <c r="F1056" s="1013" t="str">
        <f>VLOOKUP($B1056,DG!A:D,DG!$C$2,)</f>
        <v>Boulon 12x40+ 2 long đền vuông D14-50x50x3/Zn</v>
      </c>
      <c r="G1056" s="1012" t="str">
        <f>VLOOKUP($B1056,DG!A:D,DG!$D$2,)</f>
        <v>bộ</v>
      </c>
      <c r="H1056" s="1713">
        <f>$H$1041*6*0</f>
        <v>0</v>
      </c>
      <c r="I1056" s="1192">
        <f t="shared" si="42"/>
        <v>0</v>
      </c>
      <c r="J1056" s="1014"/>
      <c r="K1056" s="1014"/>
      <c r="L1056" s="1015"/>
      <c r="M1056" s="934">
        <v>160</v>
      </c>
    </row>
    <row r="1057" spans="1:16" s="1016" customFormat="1" ht="25.2" hidden="1" customHeight="1">
      <c r="A1057" s="1086">
        <f t="shared" si="46"/>
        <v>0</v>
      </c>
      <c r="B1057" s="1087" t="s">
        <v>1585</v>
      </c>
      <c r="C1057" s="2842"/>
      <c r="D1057" s="1011"/>
      <c r="E1057" s="1012">
        <f>VLOOKUP($B1057,DG!A:D,DG!$B$2,)</f>
        <v>0</v>
      </c>
      <c r="F1057" s="1013" t="str">
        <f>VLOOKUP($B1057,DG!A:D,DG!$C$2,)</f>
        <v>Giếng tiếp địa khoan đất</v>
      </c>
      <c r="G1057" s="1012" t="str">
        <f>VLOOKUP($B1057,DG!A:D,DG!$D$2,)</f>
        <v>Cái</v>
      </c>
      <c r="H1057" s="1713">
        <f>M3*H1041</f>
        <v>0</v>
      </c>
      <c r="I1057" s="1192">
        <f t="shared" si="42"/>
        <v>0</v>
      </c>
      <c r="J1057" s="1014"/>
      <c r="K1057" s="1014"/>
      <c r="L1057" s="1043"/>
      <c r="M1057" s="934">
        <v>160</v>
      </c>
    </row>
    <row r="1058" spans="1:16" s="1016" customFormat="1" ht="25.2" hidden="1" customHeight="1">
      <c r="A1058" s="1086">
        <f t="shared" si="46"/>
        <v>0</v>
      </c>
      <c r="B1058" s="1087" t="str">
        <f>"DTD"&amp;chitiet!G5</f>
        <v>DTD3</v>
      </c>
      <c r="C1058" s="2842"/>
      <c r="D1058" s="1023"/>
      <c r="E1058" s="1012" t="str">
        <f>VLOOKUP($B1058,DG!A:D,DG!$B$2,)</f>
        <v>03.3123</v>
      </c>
      <c r="F1058" s="1095" t="str">
        <f>VLOOKUP($B1058,DG!A:D,DG!$C$2,)</f>
        <v>Đào rãnh tiếp địa đất cấp 3</v>
      </c>
      <c r="G1058" s="1024" t="str">
        <f>VLOOKUP($B1058,DG!A:D,DG!$D$2,)</f>
        <v>m3</v>
      </c>
      <c r="H1058" s="1866">
        <v>1.44</v>
      </c>
      <c r="I1058" s="1756">
        <f t="shared" si="42"/>
        <v>0</v>
      </c>
      <c r="J1058" s="1014"/>
      <c r="K1058" s="1014"/>
      <c r="L1058" s="1043"/>
      <c r="M1058" s="934">
        <v>160</v>
      </c>
    </row>
    <row r="1059" spans="1:16" s="1016" customFormat="1" ht="25.2" hidden="1" customHeight="1">
      <c r="A1059" s="1086">
        <f t="shared" si="46"/>
        <v>0</v>
      </c>
      <c r="B1059" s="1087" t="str">
        <f>"DATD"&amp;chitiet!G5</f>
        <v>DATD3</v>
      </c>
      <c r="C1059" s="2842"/>
      <c r="D1059" s="1023"/>
      <c r="E1059" s="1012" t="str">
        <f>VLOOKUP($B1059,DG!A:D,DG!$B$2,)</f>
        <v>03.4123</v>
      </c>
      <c r="F1059" s="1095" t="str">
        <f>VLOOKUP($B1059,DG!A:D,DG!$C$2,)</f>
        <v>Đắp đất rãnh tiếp độ chặt k=0,85</v>
      </c>
      <c r="G1059" s="1024" t="str">
        <f>VLOOKUP($B1059,DG!A:D,DG!$D$2,)</f>
        <v>m3</v>
      </c>
      <c r="H1059" s="2019">
        <f>H1058</f>
        <v>1.44</v>
      </c>
      <c r="I1059" s="1756">
        <f t="shared" si="42"/>
        <v>0</v>
      </c>
      <c r="J1059" s="1014"/>
      <c r="K1059" s="1014"/>
      <c r="L1059" s="1043"/>
      <c r="M1059" s="934">
        <v>160</v>
      </c>
    </row>
    <row r="1060" spans="1:16" s="1016" customFormat="1" ht="25.2" hidden="1" customHeight="1">
      <c r="A1060" s="1086">
        <f t="shared" si="46"/>
        <v>0</v>
      </c>
      <c r="B1060" s="1087" t="s">
        <v>902</v>
      </c>
      <c r="C1060" s="2842"/>
      <c r="D1060" s="1023"/>
      <c r="E1060" s="1012" t="str">
        <f>VLOOKUP($B1060,DG!A:D,DG!$B$2,)</f>
        <v>04.7001</v>
      </c>
      <c r="F1060" s="1095" t="str">
        <f>VLOOKUP($B1060,DG!A:D,DG!$C$2,)</f>
        <v>Đóng cọc tiếp địa trong TBA</v>
      </c>
      <c r="G1060" s="1024" t="str">
        <f>VLOOKUP($B1060,DG!A:D,DG!$D$2,)</f>
        <v>cọc</v>
      </c>
      <c r="H1060" s="1100">
        <f>I2*L10</f>
        <v>0</v>
      </c>
      <c r="I1060" s="1192">
        <f t="shared" ref="I1060:I1127" si="47">IF(M1060=$M$23,H1060+J1060-K1060,0)</f>
        <v>0</v>
      </c>
      <c r="J1060" s="1014"/>
      <c r="K1060" s="1014"/>
      <c r="L1060" s="1043"/>
      <c r="M1060" s="934">
        <v>160</v>
      </c>
    </row>
    <row r="1061" spans="1:16" s="1016" customFormat="1" ht="25.2" hidden="1" customHeight="1">
      <c r="A1061" s="1086">
        <f t="shared" si="46"/>
        <v>0</v>
      </c>
      <c r="B1061" s="1087" t="s">
        <v>1437</v>
      </c>
      <c r="C1061" s="2842"/>
      <c r="D1061" s="1011"/>
      <c r="E1061" s="1012" t="str">
        <f>VLOOKUP($B1061,DG!A:D,DG!$B$2,)</f>
        <v>04.7002</v>
      </c>
      <c r="F1061" s="1095" t="str">
        <f>VLOOKUP($B1061,DG!A:D,DG!$C$2,)</f>
        <v>Kéo dây tiếp địa trong TBA</v>
      </c>
      <c r="G1061" s="1024" t="str">
        <f>VLOOKUP($B1061,DG!A:D,DG!$D$2,)</f>
        <v>kg</v>
      </c>
      <c r="H1061" s="1713">
        <v>54</v>
      </c>
      <c r="I1061" s="1192">
        <f t="shared" si="47"/>
        <v>0</v>
      </c>
      <c r="J1061" s="1014"/>
      <c r="K1061" s="1014"/>
      <c r="L1061" s="1043"/>
      <c r="M1061" s="934">
        <v>160</v>
      </c>
    </row>
    <row r="1062" spans="1:16" s="1016" customFormat="1" ht="25.2" hidden="1" customHeight="1">
      <c r="A1062" s="1086">
        <f t="shared" si="46"/>
        <v>0</v>
      </c>
      <c r="B1062" s="1226"/>
      <c r="C1062" s="2841"/>
      <c r="D1062" s="1017">
        <f>IF(H1062&gt;0,D1041+1,D1041)</f>
        <v>0</v>
      </c>
      <c r="E1062" s="1018"/>
      <c r="F1062" s="1019" t="s">
        <v>3721</v>
      </c>
      <c r="G1062" s="1017" t="s">
        <v>2385</v>
      </c>
      <c r="H1062" s="1722"/>
      <c r="I1062" s="1192">
        <f t="shared" si="47"/>
        <v>0</v>
      </c>
      <c r="J1062" s="1014"/>
      <c r="K1062" s="1014"/>
      <c r="L1062" s="1015"/>
      <c r="M1062" s="934">
        <v>160</v>
      </c>
    </row>
    <row r="1063" spans="1:16" s="1016" customFormat="1" ht="25.2" hidden="1" customHeight="1">
      <c r="A1063" s="1086">
        <f t="shared" si="46"/>
        <v>0</v>
      </c>
      <c r="B1063" s="1226"/>
      <c r="C1063" s="2841"/>
      <c r="D1063" s="1011"/>
      <c r="E1063" s="1021"/>
      <c r="F1063" s="1267" t="s">
        <v>2279</v>
      </c>
      <c r="G1063" s="1023"/>
      <c r="H1063" s="1713"/>
      <c r="I1063" s="1192">
        <f t="shared" si="47"/>
        <v>0</v>
      </c>
      <c r="J1063" s="1014"/>
      <c r="K1063" s="1014"/>
      <c r="L1063" s="1015"/>
      <c r="M1063" s="934">
        <v>160</v>
      </c>
    </row>
    <row r="1064" spans="1:16" s="1016" customFormat="1" ht="25.2" hidden="1" customHeight="1">
      <c r="A1064" s="1086">
        <f t="shared" si="46"/>
        <v>0</v>
      </c>
      <c r="B1064" s="1226" t="s">
        <v>653</v>
      </c>
      <c r="C1064" s="2841"/>
      <c r="D1064" s="1023"/>
      <c r="E1064" s="1024">
        <f>VLOOKUP($B1064,DG!A:D,DG!$B$2,)</f>
        <v>0</v>
      </c>
      <c r="F1064" s="1025" t="str">
        <f>VLOOKUP($B1064,DG!A:D,DG!$C$2,)</f>
        <v>Ximăng (PC40)</v>
      </c>
      <c r="G1064" s="1024" t="str">
        <f>VLOOKUP($B1064,DG!A:D,DG!$D$2,)</f>
        <v>kg</v>
      </c>
      <c r="H1064" s="1713">
        <f>H1062*M1067</f>
        <v>0</v>
      </c>
      <c r="I1064" s="1192">
        <f t="shared" si="47"/>
        <v>0</v>
      </c>
      <c r="J1064" s="1014"/>
      <c r="K1064" s="1014"/>
      <c r="L1064" s="1015"/>
      <c r="M1064" s="934">
        <v>160</v>
      </c>
    </row>
    <row r="1065" spans="1:16" s="1016" customFormat="1" ht="25.2" hidden="1" customHeight="1">
      <c r="A1065" s="1086">
        <f t="shared" si="46"/>
        <v>0</v>
      </c>
      <c r="B1065" s="1226" t="s">
        <v>4414</v>
      </c>
      <c r="C1065" s="2841"/>
      <c r="D1065" s="1011"/>
      <c r="E1065" s="1024">
        <f>VLOOKUP($B1065,DG!A:D,DG!$B$2,)</f>
        <v>0</v>
      </c>
      <c r="F1065" s="1025" t="str">
        <f>VLOOKUP($B1065,DG!A:D,DG!$C$2,)</f>
        <v>Cát vàng</v>
      </c>
      <c r="G1065" s="1024" t="str">
        <f>VLOOKUP($B1065,DG!A:D,DG!$D$2,)</f>
        <v>m3</v>
      </c>
      <c r="H1065" s="1713">
        <f>H1062*N1067</f>
        <v>0</v>
      </c>
      <c r="I1065" s="1192">
        <f t="shared" si="47"/>
        <v>0</v>
      </c>
      <c r="J1065" s="1014"/>
      <c r="K1065" s="1014"/>
      <c r="L1065" s="1015"/>
      <c r="M1065" s="934">
        <v>160</v>
      </c>
    </row>
    <row r="1066" spans="1:16" s="1016" customFormat="1" ht="25.2" hidden="1" customHeight="1">
      <c r="A1066" s="1086">
        <f t="shared" si="46"/>
        <v>0</v>
      </c>
      <c r="B1066" s="1226" t="s">
        <v>216</v>
      </c>
      <c r="C1066" s="2841"/>
      <c r="D1066" s="1011"/>
      <c r="E1066" s="1024">
        <f>VLOOKUP($B1066,DG!A:D,DG!$B$2,)</f>
        <v>0</v>
      </c>
      <c r="F1066" s="1025" t="str">
        <f>VLOOKUP($B1066,DG!A:D,DG!$C$2,)</f>
        <v>Đá 1x2</v>
      </c>
      <c r="G1066" s="1024" t="str">
        <f>VLOOKUP($B1066,DG!A:D,DG!$D$2,)</f>
        <v>m3</v>
      </c>
      <c r="H1066" s="1713">
        <f>H1062*O1067</f>
        <v>0</v>
      </c>
      <c r="I1066" s="1192">
        <f t="shared" si="47"/>
        <v>0</v>
      </c>
      <c r="J1066" s="1014"/>
      <c r="K1066" s="1014"/>
      <c r="L1066" s="1015"/>
      <c r="M1066" s="934">
        <v>160</v>
      </c>
    </row>
    <row r="1067" spans="1:16" s="1016" customFormat="1" ht="25.2" hidden="1" customHeight="1">
      <c r="A1067" s="1086">
        <f t="shared" si="46"/>
        <v>0</v>
      </c>
      <c r="B1067" s="1226" t="s">
        <v>654</v>
      </c>
      <c r="C1067" s="2841"/>
      <c r="D1067" s="1023"/>
      <c r="E1067" s="1024" t="str">
        <f>VLOOKUP($B1067,DG!A:D,DG!$B$2,)</f>
        <v>04.1203c</v>
      </c>
      <c r="F1067" s="1025" t="str">
        <f>VLOOKUP($B1067,DG!A:D,DG!$C$2,)</f>
        <v>Đổ bê tông móng trụ &lt;=250cm-M200 đá 1x2</v>
      </c>
      <c r="G1067" s="1024" t="str">
        <f>VLOOKUP($B1067,DG!A:D,DG!$D$2,)</f>
        <v>m3</v>
      </c>
      <c r="H1067" s="1713">
        <f>H1062*(0.4*3*1-2*3.14*0.15^2*0.4)*1.025</f>
        <v>0</v>
      </c>
      <c r="I1067" s="1192">
        <f t="shared" si="47"/>
        <v>0</v>
      </c>
      <c r="J1067" s="1014"/>
      <c r="K1067" s="1014"/>
      <c r="L1067" s="1015"/>
      <c r="M1067" s="934">
        <v>160</v>
      </c>
      <c r="N1067" s="1026">
        <f>1.025*0.45</f>
        <v>0.46124999999999999</v>
      </c>
      <c r="O1067" s="1026">
        <f>1.025*0.866</f>
        <v>0.88764999999999994</v>
      </c>
      <c r="P1067" s="1170"/>
    </row>
    <row r="1068" spans="1:16" s="1016" customFormat="1" ht="25.2" hidden="1" customHeight="1">
      <c r="A1068" s="1086">
        <f t="shared" si="46"/>
        <v>0</v>
      </c>
      <c r="B1068" s="1226"/>
      <c r="C1068" s="2841"/>
      <c r="D1068" s="1017">
        <f>IF(H1068&gt;0,D1062+1,D1062)</f>
        <v>0</v>
      </c>
      <c r="E1068" s="1018"/>
      <c r="F1068" s="1019" t="s">
        <v>3722</v>
      </c>
      <c r="G1068" s="1017" t="s">
        <v>2385</v>
      </c>
      <c r="H1068" s="1722"/>
      <c r="I1068" s="1192">
        <f t="shared" si="47"/>
        <v>0</v>
      </c>
      <c r="J1068" s="1014"/>
      <c r="K1068" s="1014"/>
      <c r="L1068" s="1015"/>
      <c r="M1068" s="934">
        <v>160</v>
      </c>
    </row>
    <row r="1069" spans="1:16" s="1016" customFormat="1" ht="25.2" hidden="1" customHeight="1">
      <c r="A1069" s="1086">
        <f t="shared" si="46"/>
        <v>0</v>
      </c>
      <c r="B1069" s="1226"/>
      <c r="C1069" s="2841"/>
      <c r="D1069" s="1011"/>
      <c r="E1069" s="1021"/>
      <c r="F1069" s="1267" t="s">
        <v>2279</v>
      </c>
      <c r="G1069" s="1023"/>
      <c r="H1069" s="1713"/>
      <c r="I1069" s="1192">
        <f t="shared" si="47"/>
        <v>0</v>
      </c>
      <c r="J1069" s="1014"/>
      <c r="K1069" s="1014"/>
      <c r="L1069" s="1015"/>
      <c r="M1069" s="934">
        <v>160</v>
      </c>
    </row>
    <row r="1070" spans="1:16" s="1016" customFormat="1" ht="25.2" hidden="1" customHeight="1">
      <c r="A1070" s="1086">
        <f t="shared" si="46"/>
        <v>0</v>
      </c>
      <c r="B1070" s="1226" t="s">
        <v>653</v>
      </c>
      <c r="C1070" s="2841"/>
      <c r="D1070" s="1023"/>
      <c r="E1070" s="1024">
        <f>VLOOKUP($B1070,DG!A:D,DG!$B$2,)</f>
        <v>0</v>
      </c>
      <c r="F1070" s="1025" t="str">
        <f>VLOOKUP($B1070,DG!A:D,DG!$C$2,)</f>
        <v>Ximăng (PC40)</v>
      </c>
      <c r="G1070" s="1024" t="str">
        <f>VLOOKUP($B1070,DG!A:D,DG!$D$2,)</f>
        <v>kg</v>
      </c>
      <c r="H1070" s="1713">
        <f>H1073*M1073</f>
        <v>0</v>
      </c>
      <c r="I1070" s="1192">
        <f t="shared" si="47"/>
        <v>0</v>
      </c>
      <c r="J1070" s="1014"/>
      <c r="K1070" s="1014"/>
      <c r="L1070" s="1015"/>
      <c r="M1070" s="934">
        <v>160</v>
      </c>
    </row>
    <row r="1071" spans="1:16" s="1016" customFormat="1" ht="25.2" hidden="1" customHeight="1">
      <c r="A1071" s="1086">
        <f t="shared" si="46"/>
        <v>0</v>
      </c>
      <c r="B1071" s="1226" t="s">
        <v>4414</v>
      </c>
      <c r="C1071" s="2841"/>
      <c r="D1071" s="1011"/>
      <c r="E1071" s="1024">
        <f>VLOOKUP($B1071,DG!A:D,DG!$B$2,)</f>
        <v>0</v>
      </c>
      <c r="F1071" s="1025" t="str">
        <f>VLOOKUP($B1071,DG!A:D,DG!$C$2,)</f>
        <v>Cát vàng</v>
      </c>
      <c r="G1071" s="1024" t="str">
        <f>VLOOKUP($B1071,DG!A:D,DG!$D$2,)</f>
        <v>m3</v>
      </c>
      <c r="H1071" s="1723">
        <f>H1073*N1073</f>
        <v>0</v>
      </c>
      <c r="I1071" s="1192">
        <f t="shared" si="47"/>
        <v>0</v>
      </c>
      <c r="J1071" s="1014"/>
      <c r="K1071" s="1014"/>
      <c r="L1071" s="1015"/>
      <c r="M1071" s="934">
        <v>160</v>
      </c>
    </row>
    <row r="1072" spans="1:16" s="1016" customFormat="1" ht="25.2" hidden="1" customHeight="1">
      <c r="A1072" s="1086">
        <f t="shared" si="46"/>
        <v>0</v>
      </c>
      <c r="B1072" s="1226" t="s">
        <v>216</v>
      </c>
      <c r="C1072" s="2841"/>
      <c r="D1072" s="1011"/>
      <c r="E1072" s="1024">
        <f>VLOOKUP($B1072,DG!A:D,DG!$B$2,)</f>
        <v>0</v>
      </c>
      <c r="F1072" s="1025" t="str">
        <f>VLOOKUP($B1072,DG!A:D,DG!$C$2,)</f>
        <v>Đá 1x2</v>
      </c>
      <c r="G1072" s="1024" t="str">
        <f>VLOOKUP($B1072,DG!A:D,DG!$D$2,)</f>
        <v>m3</v>
      </c>
      <c r="H1072" s="1723">
        <f>H1073*O1073</f>
        <v>0</v>
      </c>
      <c r="I1072" s="1192">
        <f t="shared" si="47"/>
        <v>0</v>
      </c>
      <c r="J1072" s="1014"/>
      <c r="K1072" s="1014"/>
      <c r="L1072" s="1015"/>
      <c r="M1072" s="934">
        <v>160</v>
      </c>
    </row>
    <row r="1073" spans="1:16" s="1016" customFormat="1" ht="25.2" hidden="1" customHeight="1">
      <c r="A1073" s="1086">
        <f t="shared" si="46"/>
        <v>0</v>
      </c>
      <c r="B1073" s="1226" t="s">
        <v>654</v>
      </c>
      <c r="C1073" s="2841"/>
      <c r="D1073" s="1023"/>
      <c r="E1073" s="1024" t="str">
        <f>VLOOKUP($B1073,DG!A:D,DG!$B$2,)</f>
        <v>04.1203c</v>
      </c>
      <c r="F1073" s="1025" t="str">
        <f>VLOOKUP($B1073,DG!A:D,DG!$C$2,)</f>
        <v>Đổ bê tông móng trụ &lt;=250cm-M200 đá 1x2</v>
      </c>
      <c r="G1073" s="1024" t="str">
        <f>VLOOKUP($B1073,DG!A:D,DG!$D$2,)</f>
        <v>m3</v>
      </c>
      <c r="H1073" s="1713">
        <f>H1068*0.2*0.2*(0.2+0.2+0.8+0.8+2*4)</f>
        <v>0</v>
      </c>
      <c r="I1073" s="1192">
        <f t="shared" si="47"/>
        <v>0</v>
      </c>
      <c r="J1073" s="1014"/>
      <c r="K1073" s="1014"/>
      <c r="L1073" s="1015"/>
      <c r="M1073" s="934">
        <v>160</v>
      </c>
      <c r="N1073" s="1026">
        <f>1.025*0.45</f>
        <v>0.46124999999999999</v>
      </c>
      <c r="O1073" s="1026">
        <f>1.025*0.866</f>
        <v>0.88764999999999994</v>
      </c>
      <c r="P1073" s="1170"/>
    </row>
    <row r="1074" spans="1:16" s="1016" customFormat="1" ht="25.2" hidden="1" customHeight="1">
      <c r="A1074" s="1086">
        <f t="shared" si="46"/>
        <v>0</v>
      </c>
      <c r="B1074" s="1226"/>
      <c r="C1074" s="2841"/>
      <c r="D1074" s="1017">
        <f>IF(H1074&gt;0,D1068+1,D1068)</f>
        <v>0</v>
      </c>
      <c r="E1074" s="1018"/>
      <c r="F1074" s="1019" t="s">
        <v>3723</v>
      </c>
      <c r="G1074" s="1017" t="s">
        <v>2385</v>
      </c>
      <c r="H1074" s="1722">
        <f>H943</f>
        <v>0</v>
      </c>
      <c r="I1074" s="1192">
        <f t="shared" si="47"/>
        <v>0</v>
      </c>
      <c r="J1074" s="1014"/>
      <c r="K1074" s="1014"/>
      <c r="L1074" s="1043"/>
      <c r="M1074" s="934">
        <v>160</v>
      </c>
    </row>
    <row r="1075" spans="1:16" s="1016" customFormat="1" ht="25.2" hidden="1" customHeight="1">
      <c r="A1075" s="1086">
        <f t="shared" si="46"/>
        <v>0</v>
      </c>
      <c r="B1075" s="1226"/>
      <c r="C1075" s="2841"/>
      <c r="D1075" s="1011"/>
      <c r="E1075" s="1021"/>
      <c r="F1075" s="1267" t="s">
        <v>2279</v>
      </c>
      <c r="G1075" s="1023"/>
      <c r="H1075" s="1713"/>
      <c r="I1075" s="1192">
        <f t="shared" si="47"/>
        <v>0</v>
      </c>
      <c r="J1075" s="1014"/>
      <c r="K1075" s="1014"/>
      <c r="L1075" s="1043"/>
      <c r="M1075" s="934">
        <v>160</v>
      </c>
    </row>
    <row r="1076" spans="1:16" s="1016" customFormat="1" ht="25.2" hidden="1" customHeight="1">
      <c r="A1076" s="1086">
        <f t="shared" si="46"/>
        <v>0</v>
      </c>
      <c r="B1076" s="1256" t="s">
        <v>2048</v>
      </c>
      <c r="C1076" s="2858"/>
      <c r="D1076" s="1023"/>
      <c r="E1076" s="1024" t="str">
        <f>VLOOKUP($B1076,DG!A:D,DG!$B$2,)</f>
        <v>05.1002</v>
      </c>
      <c r="F1076" s="1025" t="str">
        <f>VLOOKUP($B1076,DG!A:D,DG!$C$2,)</f>
        <v>Vỏ tủ trạm giàn 2 ngăn + khóa tủ</v>
      </c>
      <c r="G1076" s="1024" t="str">
        <f>VLOOKUP($B1076,DG!A:D,DG!$D$2,)</f>
        <v>cái</v>
      </c>
      <c r="H1076" s="1713">
        <f>$H$1074</f>
        <v>0</v>
      </c>
      <c r="I1076" s="1192">
        <f t="shared" si="47"/>
        <v>0</v>
      </c>
      <c r="J1076" s="1014"/>
      <c r="K1076" s="1014"/>
      <c r="L1076" s="1043"/>
      <c r="M1076" s="934">
        <v>160</v>
      </c>
    </row>
    <row r="1077" spans="1:16" s="1016" customFormat="1" ht="25.2" hidden="1" customHeight="1">
      <c r="A1077" s="1086">
        <f t="shared" si="46"/>
        <v>0</v>
      </c>
      <c r="B1077" s="1256" t="s">
        <v>4843</v>
      </c>
      <c r="C1077" s="2858"/>
      <c r="D1077" s="1023"/>
      <c r="E1077" s="1024" t="str">
        <f>VLOOKUP($B1077,DG!A:D,DG!$B$2,)</f>
        <v>06.3231</v>
      </c>
      <c r="F1077" s="1025" t="str">
        <f>VLOOKUP($B1077,DG!A:D,DG!$C$2,)</f>
        <v>Cổ dê bắt tủ trạm trụ ghép D320/60x6</v>
      </c>
      <c r="G1077" s="1024" t="str">
        <f>VLOOKUP($B1077,DG!A:D,DG!$D$2,)</f>
        <v>bộ</v>
      </c>
      <c r="H1077" s="1713">
        <v>2</v>
      </c>
      <c r="I1077" s="1192">
        <f>IF(M1077=$M$23,H1077+J1077-K1077,0)</f>
        <v>0</v>
      </c>
      <c r="J1077" s="1014"/>
      <c r="K1077" s="1014"/>
      <c r="L1077" s="1043"/>
      <c r="M1077" s="934">
        <v>160</v>
      </c>
    </row>
    <row r="1078" spans="1:16" s="1016" customFormat="1" ht="25.2" hidden="1" customHeight="1">
      <c r="A1078" s="1086">
        <f t="shared" si="46"/>
        <v>0</v>
      </c>
      <c r="B1078" s="1256" t="s">
        <v>138</v>
      </c>
      <c r="C1078" s="2858"/>
      <c r="D1078" s="1023"/>
      <c r="E1078" s="1024">
        <f>VLOOKUP($B1078,DG!A:D,DG!$B$2,)</f>
        <v>0</v>
      </c>
      <c r="F1078" s="1025" t="str">
        <f>VLOOKUP($B1078,DG!A:D,DG!$C$2,)</f>
        <v>Boulon 12x40+ 2 long đền vuông D14-50x50x3/Zn</v>
      </c>
      <c r="G1078" s="1024" t="str">
        <f>VLOOKUP($B1078,DG!A:D,DG!$D$2,)</f>
        <v>bộ</v>
      </c>
      <c r="H1078" s="1713"/>
      <c r="I1078" s="1192">
        <f t="shared" si="47"/>
        <v>0</v>
      </c>
      <c r="J1078" s="1014"/>
      <c r="K1078" s="1014"/>
      <c r="L1078" s="1043"/>
      <c r="M1078" s="934">
        <v>160</v>
      </c>
    </row>
    <row r="1079" spans="1:16" s="1016" customFormat="1" ht="25.2" hidden="1" customHeight="1">
      <c r="A1079" s="1086">
        <f t="shared" si="46"/>
        <v>0</v>
      </c>
      <c r="B1079" s="1226" t="s">
        <v>1535</v>
      </c>
      <c r="C1079" s="2841"/>
      <c r="D1079" s="1011"/>
      <c r="E1079" s="1024">
        <f>VLOOKUP($B1079,DG!A:D,DG!$B$2,)</f>
        <v>0</v>
      </c>
      <c r="F1079" s="1025" t="str">
        <f>VLOOKUP($B1079,DG!A:D,DG!$C$2,)</f>
        <v>Giá nới + Thanh cái tủ CB</v>
      </c>
      <c r="G1079" s="1024" t="str">
        <f>VLOOKUP($B1079,DG!A:D,DG!$D$2,)</f>
        <v>bộ</v>
      </c>
      <c r="H1079" s="1723">
        <f>H1074*0</f>
        <v>0</v>
      </c>
      <c r="I1079" s="1192">
        <f t="shared" si="47"/>
        <v>0</v>
      </c>
      <c r="J1079" s="1014"/>
      <c r="K1079" s="1014"/>
      <c r="L1079" s="1043"/>
      <c r="M1079" s="934">
        <v>160</v>
      </c>
    </row>
    <row r="1080" spans="1:16" s="1016" customFormat="1" ht="25.2" hidden="1" customHeight="1">
      <c r="A1080" s="1086">
        <f t="shared" si="46"/>
        <v>0</v>
      </c>
      <c r="B1080" s="1226" t="s">
        <v>880</v>
      </c>
      <c r="C1080" s="2841"/>
      <c r="D1080" s="1011"/>
      <c r="E1080" s="1024">
        <f>VLOOKUP($B1080,DG!A:D,DG!$B$2,)</f>
        <v>0</v>
      </c>
      <c r="F1080" s="1025" t="str">
        <f>VLOOKUP($B1080,DG!A:D,DG!$C$2,)</f>
        <v xml:space="preserve">Bakelit 550x450 dầy 10mm </v>
      </c>
      <c r="G1080" s="1024" t="str">
        <f>VLOOKUP($B1080,DG!A:D,DG!$D$2,)</f>
        <v>cái</v>
      </c>
      <c r="H1080" s="1713">
        <f>H1074*3</f>
        <v>0</v>
      </c>
      <c r="I1080" s="1192">
        <f t="shared" si="47"/>
        <v>0</v>
      </c>
      <c r="J1080" s="1014"/>
      <c r="K1080" s="1014"/>
      <c r="L1080" s="1043"/>
      <c r="M1080" s="934">
        <v>160</v>
      </c>
    </row>
    <row r="1081" spans="1:16" s="1016" customFormat="1" ht="25.2" hidden="1" customHeight="1">
      <c r="A1081" s="1086">
        <f t="shared" si="46"/>
        <v>0</v>
      </c>
      <c r="B1081" s="1226" t="s">
        <v>289</v>
      </c>
      <c r="C1081" s="2841"/>
      <c r="D1081" s="1023"/>
      <c r="E1081" s="1024" t="str">
        <f>VLOOKUP($B1081,DG!A:D,DG!$B$2,)</f>
        <v>06.3191</v>
      </c>
      <c r="F1081" s="1025" t="str">
        <f>VLOOKUP($B1081,DG!A:D,DG!$C$2,)</f>
        <v>Bảng tên trạm, bảng báo nguy hiểm + đinh vít</v>
      </c>
      <c r="G1081" s="1024" t="str">
        <f>VLOOKUP($B1081,DG!A:D,DG!$D$2,)</f>
        <v>bộ</v>
      </c>
      <c r="H1081" s="1713">
        <f>H1074</f>
        <v>0</v>
      </c>
      <c r="I1081" s="1192">
        <f t="shared" si="47"/>
        <v>0</v>
      </c>
      <c r="J1081" s="1014"/>
      <c r="K1081" s="1014"/>
      <c r="L1081" s="1043"/>
      <c r="M1081" s="934">
        <v>160</v>
      </c>
    </row>
    <row r="1082" spans="1:16" s="1016" customFormat="1" ht="25.2" hidden="1" customHeight="1">
      <c r="A1082" s="1086">
        <f t="shared" si="46"/>
        <v>0</v>
      </c>
      <c r="B1082" s="1226"/>
      <c r="C1082" s="2841"/>
      <c r="D1082" s="1017">
        <f>IF(H1082&gt;0,D1074+1,D1074)</f>
        <v>0</v>
      </c>
      <c r="E1082" s="1018"/>
      <c r="F1082" s="1019" t="s">
        <v>3724</v>
      </c>
      <c r="G1082" s="1017" t="s">
        <v>2532</v>
      </c>
      <c r="H1082" s="1722">
        <f>H943*0</f>
        <v>0</v>
      </c>
      <c r="I1082" s="1192">
        <f t="shared" si="47"/>
        <v>0</v>
      </c>
      <c r="J1082" s="1014"/>
      <c r="K1082" s="1014"/>
      <c r="L1082" s="1015"/>
      <c r="M1082" s="934">
        <v>160</v>
      </c>
    </row>
    <row r="1083" spans="1:16" s="1016" customFormat="1" ht="25.2" hidden="1" customHeight="1">
      <c r="A1083" s="1086">
        <f t="shared" si="46"/>
        <v>0</v>
      </c>
      <c r="B1083" s="1226"/>
      <c r="C1083" s="2841"/>
      <c r="D1083" s="1011"/>
      <c r="E1083" s="1021"/>
      <c r="F1083" s="1267" t="s">
        <v>2279</v>
      </c>
      <c r="G1083" s="1023"/>
      <c r="H1083" s="1713"/>
      <c r="I1083" s="1192">
        <f t="shared" si="47"/>
        <v>0</v>
      </c>
      <c r="J1083" s="1014"/>
      <c r="K1083" s="1014"/>
      <c r="L1083" s="1015"/>
      <c r="M1083" s="934">
        <v>160</v>
      </c>
    </row>
    <row r="1084" spans="1:16" s="1016" customFormat="1" ht="25.2" hidden="1" customHeight="1">
      <c r="A1084" s="1086">
        <f t="shared" si="46"/>
        <v>0</v>
      </c>
      <c r="B1084" s="1228" t="s">
        <v>752</v>
      </c>
      <c r="C1084" s="2840"/>
      <c r="D1084" s="1023"/>
      <c r="E1084" s="1024">
        <f>VLOOKUP($B1084,DG!A:D,DG!$B$2,)</f>
        <v>0</v>
      </c>
      <c r="F1084" s="1041" t="str">
        <f>VLOOKUP($B1084,DG!A:D,DG!$C$2,)&amp;": 0,315m3/m"</f>
        <v>Cát vàng: 0,315m3/m</v>
      </c>
      <c r="G1084" s="1024" t="str">
        <f>VLOOKUP($B1084,DG!A:D,DG!$D$2,)</f>
        <v>m3</v>
      </c>
      <c r="H1084" s="1713">
        <f>H1082*0.315</f>
        <v>0</v>
      </c>
      <c r="I1084" s="1192">
        <f t="shared" si="47"/>
        <v>0</v>
      </c>
      <c r="J1084" s="1014"/>
      <c r="K1084" s="1014"/>
      <c r="L1084" s="1015"/>
      <c r="M1084" s="934">
        <v>160</v>
      </c>
    </row>
    <row r="1085" spans="1:16" s="1016" customFormat="1" ht="25.2" hidden="1" customHeight="1">
      <c r="A1085" s="1086">
        <f t="shared" si="46"/>
        <v>0</v>
      </c>
      <c r="B1085" s="1228" t="s">
        <v>520</v>
      </c>
      <c r="C1085" s="2840"/>
      <c r="D1085" s="1023"/>
      <c r="E1085" s="1024">
        <f>VLOOKUP($B1085,DG!A:D,DG!$B$2,)</f>
        <v>0</v>
      </c>
      <c r="F1085" s="1041" t="str">
        <f>VLOOKUP($B1085,DG!A:D,DG!$C$2,)&amp;": 0,092m3/m"</f>
        <v>Đá 2x4: 0,092m3/m</v>
      </c>
      <c r="G1085" s="1024" t="str">
        <f>VLOOKUP($B1085,DG!A:D,DG!$D$2,)</f>
        <v>m3</v>
      </c>
      <c r="H1085" s="1713">
        <f>0.092*H1082</f>
        <v>0</v>
      </c>
      <c r="I1085" s="1192">
        <f t="shared" si="47"/>
        <v>0</v>
      </c>
      <c r="J1085" s="1014"/>
      <c r="K1085" s="1014"/>
      <c r="L1085" s="1015"/>
      <c r="M1085" s="934">
        <v>160</v>
      </c>
    </row>
    <row r="1086" spans="1:16" s="1016" customFormat="1" ht="25.2" hidden="1" customHeight="1">
      <c r="A1086" s="1086">
        <f t="shared" si="46"/>
        <v>0</v>
      </c>
      <c r="B1086" s="1228" t="s">
        <v>1675</v>
      </c>
      <c r="C1086" s="2840"/>
      <c r="D1086" s="1023"/>
      <c r="E1086" s="1024">
        <f>VLOOKUP($B1086,DG!A:D,DG!$B$2,)</f>
        <v>0</v>
      </c>
      <c r="F1086" s="1041" t="str">
        <f>VLOOKUP($B1086,DG!A:D,DG!$C$2,)&amp;": 3,3vieân/m"</f>
        <v>Gạch tàu: 3,3vieân/m</v>
      </c>
      <c r="G1086" s="1024" t="str">
        <f>VLOOKUP($B1086,DG!A:D,DG!$D$2,)</f>
        <v>viên</v>
      </c>
      <c r="H1086" s="1713">
        <f>3.3*H1082</f>
        <v>0</v>
      </c>
      <c r="I1086" s="1192">
        <f t="shared" si="47"/>
        <v>0</v>
      </c>
      <c r="J1086" s="1014"/>
      <c r="K1086" s="1014"/>
      <c r="L1086" s="1015"/>
      <c r="M1086" s="934">
        <v>160</v>
      </c>
    </row>
    <row r="1087" spans="1:16" s="1016" customFormat="1" ht="25.2" hidden="1" customHeight="1">
      <c r="A1087" s="1086">
        <f t="shared" si="46"/>
        <v>0</v>
      </c>
      <c r="B1087" s="1228" t="s">
        <v>1676</v>
      </c>
      <c r="C1087" s="2840"/>
      <c r="D1087" s="1023"/>
      <c r="E1087" s="1024">
        <f>VLOOKUP($B1087,DG!A:D,DG!$B$2,)</f>
        <v>0</v>
      </c>
      <c r="F1087" s="1041" t="str">
        <f>VLOOKUP($B1087,DG!A:D,DG!$C$2,)&amp;": 0,4m2/m"</f>
        <v>Tấm nilông màu cảnh báo: 0,4m2/m</v>
      </c>
      <c r="G1087" s="1024" t="str">
        <f>VLOOKUP($B1087,DG!A:D,DG!$D$2,)</f>
        <v>m2</v>
      </c>
      <c r="H1087" s="1713">
        <f>0.4*H1082</f>
        <v>0</v>
      </c>
      <c r="I1087" s="1192">
        <f t="shared" si="47"/>
        <v>0</v>
      </c>
      <c r="J1087" s="1014"/>
      <c r="K1087" s="1014"/>
      <c r="L1087" s="1015"/>
      <c r="M1087" s="934">
        <v>160</v>
      </c>
    </row>
    <row r="1088" spans="1:16" s="1016" customFormat="1" ht="25.2" hidden="1" customHeight="1">
      <c r="A1088" s="1086">
        <f t="shared" si="46"/>
        <v>0</v>
      </c>
      <c r="B1088" s="1228" t="s">
        <v>1518</v>
      </c>
      <c r="C1088" s="2840"/>
      <c r="D1088" s="1011"/>
      <c r="E1088" s="1024">
        <f>VLOOKUP($B1088,DG!A:D,DG!$B$2,)</f>
        <v>0</v>
      </c>
      <c r="F1088" s="1041" t="str">
        <f>VLOOKUP($B1088,DG!A:D,DG!$C$2,)</f>
        <v>Ống PVC D140x6,7mm</v>
      </c>
      <c r="G1088" s="1024" t="str">
        <f>VLOOKUP($B1088,DG!A:D,DG!$D$2,)</f>
        <v>m</v>
      </c>
      <c r="H1088" s="1713">
        <f>1*H1082</f>
        <v>0</v>
      </c>
      <c r="I1088" s="1192">
        <f t="shared" si="47"/>
        <v>0</v>
      </c>
      <c r="J1088" s="1014"/>
      <c r="K1088" s="1014"/>
      <c r="L1088" s="1015"/>
      <c r="M1088" s="934">
        <v>160</v>
      </c>
    </row>
    <row r="1089" spans="1:14" s="1016" customFormat="1" ht="25.2" hidden="1" customHeight="1">
      <c r="A1089" s="1086">
        <f t="shared" si="46"/>
        <v>0</v>
      </c>
      <c r="B1089" s="1228" t="s">
        <v>1678</v>
      </c>
      <c r="C1089" s="2840"/>
      <c r="D1089" s="1023"/>
      <c r="E1089" s="1024" t="str">
        <f>VLOOKUP($B1089,DG!A:D,DG!$B$2,)</f>
        <v>03.7000</v>
      </c>
      <c r="F1089" s="1041" t="str">
        <f>VLOOKUP($B1089,DG!A:D,DG!$C$2,)&amp;" + ñaép ñaù"</f>
        <v>Đắp cát  + ñaép ñaù</v>
      </c>
      <c r="G1089" s="1024" t="str">
        <f>VLOOKUP($B1089,DG!A:D,DG!$D$2,)</f>
        <v>m3</v>
      </c>
      <c r="H1089" s="1713">
        <f>H1084+H1085</f>
        <v>0</v>
      </c>
      <c r="I1089" s="1192">
        <f t="shared" si="47"/>
        <v>0</v>
      </c>
      <c r="J1089" s="1014"/>
      <c r="K1089" s="1014"/>
      <c r="L1089" s="1015"/>
      <c r="M1089" s="934">
        <v>160</v>
      </c>
    </row>
    <row r="1090" spans="1:14" s="1016" customFormat="1" ht="25.2" hidden="1" customHeight="1">
      <c r="A1090" s="1086">
        <f t="shared" si="46"/>
        <v>0</v>
      </c>
      <c r="B1090" s="1228" t="s">
        <v>144</v>
      </c>
      <c r="C1090" s="2840"/>
      <c r="D1090" s="1023"/>
      <c r="E1090" s="1024" t="str">
        <f>VLOOKUP($B1090,DG!A:D,DG!$B$2,)</f>
        <v>03.3103</v>
      </c>
      <c r="F1090" s="1041" t="str">
        <f>VLOOKUP($B1090,DG!A:D,DG!$C$2,)&amp;" : 0,48m3/m"</f>
        <v>Đào mương cáp ngầm đất cấp 3 : 0,48m3/m</v>
      </c>
      <c r="G1090" s="1024" t="str">
        <f>VLOOKUP($B1090,DG!A:D,DG!$D$2,)</f>
        <v>m3</v>
      </c>
      <c r="H1090" s="1713">
        <f>H1082*0.48</f>
        <v>0</v>
      </c>
      <c r="I1090" s="1192">
        <f t="shared" si="47"/>
        <v>0</v>
      </c>
      <c r="J1090" s="1014"/>
      <c r="K1090" s="1014"/>
      <c r="L1090" s="1015"/>
      <c r="M1090" s="934">
        <v>160</v>
      </c>
    </row>
    <row r="1091" spans="1:14" s="1016" customFormat="1" ht="25.2" hidden="1" customHeight="1">
      <c r="A1091" s="1086">
        <f t="shared" si="46"/>
        <v>0</v>
      </c>
      <c r="B1091" s="1228" t="s">
        <v>529</v>
      </c>
      <c r="C1091" s="2840"/>
      <c r="D1091" s="1023"/>
      <c r="E1091" s="1024" t="str">
        <f>VLOOKUP($B1091,DG!A:D,DG!$B$2,)</f>
        <v>03.3203</v>
      </c>
      <c r="F1091" s="1041" t="str">
        <f>VLOOKUP($B1091,DG!A:D,DG!$C$2,)&amp;" : 0,073m3/m"</f>
        <v>Đắp đất mương cáp ngầm, đất cấp 3 : 0,073m3/m</v>
      </c>
      <c r="G1091" s="1024" t="str">
        <f>VLOOKUP($B1091,DG!A:D,DG!$D$2,)</f>
        <v>m3</v>
      </c>
      <c r="H1091" s="1713">
        <f>H1082*0.073</f>
        <v>0</v>
      </c>
      <c r="I1091" s="1192">
        <f t="shared" si="47"/>
        <v>0</v>
      </c>
      <c r="J1091" s="1014"/>
      <c r="K1091" s="1014"/>
      <c r="L1091" s="1015"/>
      <c r="M1091" s="934">
        <v>160</v>
      </c>
      <c r="N1091" s="1066">
        <v>0.47499999999999998</v>
      </c>
    </row>
    <row r="1092" spans="1:14" s="1016" customFormat="1" ht="25.2" hidden="1" customHeight="1">
      <c r="A1092" s="1086">
        <f t="shared" si="46"/>
        <v>0</v>
      </c>
      <c r="B1092" s="1226"/>
      <c r="C1092" s="2841"/>
      <c r="D1092" s="1017">
        <f>IF(H1092&gt;0,D1082+1,D1082)</f>
        <v>0</v>
      </c>
      <c r="E1092" s="1018"/>
      <c r="F1092" s="1019" t="s">
        <v>3725</v>
      </c>
      <c r="G1092" s="1017" t="s">
        <v>2385</v>
      </c>
      <c r="H1092" s="1722">
        <f>H1101</f>
        <v>0</v>
      </c>
      <c r="I1092" s="1192">
        <f t="shared" si="47"/>
        <v>0</v>
      </c>
      <c r="J1092" s="1014"/>
      <c r="K1092" s="1014"/>
      <c r="L1092" s="1015"/>
      <c r="M1092" s="934">
        <v>160</v>
      </c>
      <c r="N1092" s="1066">
        <v>0.88100000000000001</v>
      </c>
    </row>
    <row r="1093" spans="1:14" s="1016" customFormat="1" ht="25.2" hidden="1" customHeight="1">
      <c r="A1093" s="1086">
        <f t="shared" si="46"/>
        <v>0</v>
      </c>
      <c r="B1093" s="1226"/>
      <c r="C1093" s="2841"/>
      <c r="D1093" s="1011"/>
      <c r="E1093" s="1021"/>
      <c r="F1093" s="1267" t="s">
        <v>2279</v>
      </c>
      <c r="G1093" s="1023"/>
      <c r="H1093" s="1713"/>
      <c r="I1093" s="1192">
        <f t="shared" si="47"/>
        <v>0</v>
      </c>
      <c r="J1093" s="1014"/>
      <c r="K1093" s="1014"/>
      <c r="L1093" s="1015"/>
      <c r="M1093" s="934">
        <v>160</v>
      </c>
    </row>
    <row r="1094" spans="1:14" s="1016" customFormat="1" ht="25.2" hidden="1" customHeight="1">
      <c r="A1094" s="1086">
        <f t="shared" si="46"/>
        <v>0</v>
      </c>
      <c r="B1094" s="1226" t="s">
        <v>623</v>
      </c>
      <c r="C1094" s="2841"/>
      <c r="D1094" s="1023"/>
      <c r="E1094" s="1024" t="str">
        <f>VLOOKUP($B1094,DG!A:D,DG!$B$2,)</f>
        <v>07.2204</v>
      </c>
      <c r="F1094" s="1025" t="str">
        <f>VLOOKUP($B1094,DG!A:D,DG!$C$2,)</f>
        <v>ÔÁng sắt tráng kẽm D140</v>
      </c>
      <c r="G1094" s="1024" t="str">
        <f>VLOOKUP($B1094,DG!A:D,DG!$D$2,)</f>
        <v>mét</v>
      </c>
      <c r="H1094" s="1713">
        <f>H1092*5*0</f>
        <v>0</v>
      </c>
      <c r="I1094" s="1192">
        <f t="shared" si="47"/>
        <v>0</v>
      </c>
      <c r="J1094" s="1014"/>
      <c r="K1094" s="1014"/>
      <c r="L1094" s="1015"/>
      <c r="M1094" s="934">
        <v>160</v>
      </c>
    </row>
    <row r="1095" spans="1:14" s="1016" customFormat="1" ht="25.2" hidden="1" customHeight="1">
      <c r="A1095" s="1086">
        <f t="shared" si="46"/>
        <v>0</v>
      </c>
      <c r="B1095" s="1228" t="s">
        <v>473</v>
      </c>
      <c r="C1095" s="2840"/>
      <c r="D1095" s="1011"/>
      <c r="E1095" s="1024">
        <f>VLOOKUP($B1095,DG!A:D,DG!$B$2,)</f>
        <v>0</v>
      </c>
      <c r="F1095" s="1025" t="str">
        <f>VLOOKUP($B1095,DG!A:D,DG!$C$2,)</f>
        <v>Co sừng 90 độ PVC 140</v>
      </c>
      <c r="G1095" s="1024" t="str">
        <f>VLOOKUP($B1095,DG!A:D,DG!$D$2,)</f>
        <v>cái</v>
      </c>
      <c r="H1095" s="1713">
        <f>H1092*0</f>
        <v>0</v>
      </c>
      <c r="I1095" s="1192">
        <f t="shared" si="47"/>
        <v>0</v>
      </c>
      <c r="J1095" s="1014"/>
      <c r="K1095" s="1014"/>
      <c r="L1095" s="1015"/>
      <c r="M1095" s="934">
        <v>160</v>
      </c>
    </row>
    <row r="1096" spans="1:14" s="1016" customFormat="1" ht="25.2" hidden="1" customHeight="1">
      <c r="A1096" s="1086">
        <f t="shared" si="46"/>
        <v>0</v>
      </c>
      <c r="B1096" s="1226" t="s">
        <v>120</v>
      </c>
      <c r="C1096" s="2841"/>
      <c r="D1096" s="1023"/>
      <c r="E1096" s="1024" t="str">
        <f>VLOOKUP($B1096,DG!A:D,DG!$B$2,)</f>
        <v>06.3231</v>
      </c>
      <c r="F1096" s="1025" t="str">
        <f>VLOOKUP($B1096,DG!A:D,DG!$C$2,)</f>
        <v>Cổ dê giữ ống STK D140 vào tường+Boulon+long đền+tắc ke sắt</v>
      </c>
      <c r="G1096" s="1024" t="str">
        <f>VLOOKUP($B1096,DG!A:D,DG!$D$2,)</f>
        <v>bộ</v>
      </c>
      <c r="H1096" s="1713">
        <f>H1092*2*0</f>
        <v>0</v>
      </c>
      <c r="I1096" s="1192">
        <f t="shared" si="47"/>
        <v>0</v>
      </c>
      <c r="J1096" s="1014"/>
      <c r="K1096" s="1014"/>
      <c r="L1096" s="1015"/>
      <c r="M1096" s="934">
        <v>160</v>
      </c>
    </row>
    <row r="1097" spans="1:14" s="1016" customFormat="1" ht="25.2" hidden="1" customHeight="1">
      <c r="A1097" s="1086">
        <f t="shared" si="46"/>
        <v>0</v>
      </c>
      <c r="B1097" s="1087" t="s">
        <v>1409</v>
      </c>
      <c r="C1097" s="2842"/>
      <c r="D1097" s="1023"/>
      <c r="E1097" s="1024">
        <f>VLOOKUP($B1097,DG!A:D,DG!$B$2,)</f>
        <v>0</v>
      </c>
      <c r="F1097" s="1025" t="str">
        <f>VLOOKUP($B1097,DG!A:D,DG!$C$2,)</f>
        <v>Giá đỡ cáp ngầm (V63x6)</v>
      </c>
      <c r="G1097" s="1024" t="str">
        <f>VLOOKUP($B1097,DG!A:D,DG!$D$2,)</f>
        <v>bộ</v>
      </c>
      <c r="H1097" s="1713">
        <f>H1092*0</f>
        <v>0</v>
      </c>
      <c r="I1097" s="1192">
        <f t="shared" si="47"/>
        <v>0</v>
      </c>
      <c r="J1097" s="1014"/>
      <c r="K1097" s="1014"/>
      <c r="L1097" s="1015"/>
      <c r="M1097" s="934">
        <v>160</v>
      </c>
    </row>
    <row r="1098" spans="1:14" s="1016" customFormat="1" ht="25.2" hidden="1" customHeight="1">
      <c r="A1098" s="1086">
        <f t="shared" si="46"/>
        <v>0</v>
      </c>
      <c r="B1098" s="1087" t="s">
        <v>2138</v>
      </c>
      <c r="C1098" s="2842"/>
      <c r="D1098" s="1023"/>
      <c r="E1098" s="1024">
        <f>VLOOKUP($B1098,DG!A:D,DG!$B$2,)</f>
        <v>0</v>
      </c>
      <c r="F1098" s="1025" t="str">
        <f>VLOOKUP($B1098,DG!A:D,DG!$C$2,)</f>
        <v>Giá đỡ cáp trung hạ thế</v>
      </c>
      <c r="G1098" s="1024" t="str">
        <f>VLOOKUP($B1098,DG!A:D,DG!$D$2,)</f>
        <v>bộ</v>
      </c>
      <c r="H1098" s="1713">
        <f>H1092</f>
        <v>0</v>
      </c>
      <c r="I1098" s="1192">
        <f t="shared" si="47"/>
        <v>0</v>
      </c>
      <c r="J1098" s="1014"/>
      <c r="K1098" s="1014"/>
      <c r="L1098" s="1015"/>
      <c r="M1098" s="934">
        <v>160</v>
      </c>
    </row>
    <row r="1099" spans="1:14" s="1016" customFormat="1" ht="25.2" hidden="1" customHeight="1">
      <c r="A1099" s="1086">
        <f t="shared" si="46"/>
        <v>0</v>
      </c>
      <c r="B1099" s="1226" t="s">
        <v>1410</v>
      </c>
      <c r="C1099" s="2841"/>
      <c r="D1099" s="1011"/>
      <c r="E1099" s="1024" t="str">
        <f>VLOOKUP($B1099,DG!A:D,DG!$B$2,)</f>
        <v>05.6101</v>
      </c>
      <c r="F1099" s="1025" t="str">
        <f>VLOOKUP($B1099,DG!A:D,DG!$C$2,)</f>
        <v>Lắp Giá đỡ cáp</v>
      </c>
      <c r="G1099" s="1024" t="str">
        <f>VLOOKUP($B1099,DG!A:D,DG!$D$2,)</f>
        <v>bộ</v>
      </c>
      <c r="H1099" s="1713">
        <f>H1097+H1098</f>
        <v>0</v>
      </c>
      <c r="I1099" s="1192">
        <f t="shared" si="47"/>
        <v>0</v>
      </c>
      <c r="J1099" s="1014"/>
      <c r="K1099" s="1014"/>
      <c r="L1099" s="1015"/>
      <c r="M1099" s="934">
        <v>160</v>
      </c>
    </row>
    <row r="1100" spans="1:14" s="1016" customFormat="1" ht="25.2" hidden="1" customHeight="1">
      <c r="A1100" s="1086">
        <f t="shared" si="46"/>
        <v>0</v>
      </c>
      <c r="B1100" s="1226" t="s">
        <v>289</v>
      </c>
      <c r="C1100" s="2841"/>
      <c r="D1100" s="1023"/>
      <c r="E1100" s="1024" t="str">
        <f>VLOOKUP($B1100,DG!A:D,DG!$B$2,)</f>
        <v>06.3191</v>
      </c>
      <c r="F1100" s="1025" t="str">
        <f>VLOOKUP($B1100,DG!A:D,DG!$C$2,)</f>
        <v>Bảng tên trạm, bảng báo nguy hiểm + đinh vít</v>
      </c>
      <c r="G1100" s="1024" t="str">
        <f>VLOOKUP($B1100,DG!A:D,DG!$D$2,)</f>
        <v>bộ</v>
      </c>
      <c r="H1100" s="1713">
        <f>H1092*0</f>
        <v>0</v>
      </c>
      <c r="I1100" s="1192">
        <f t="shared" si="47"/>
        <v>0</v>
      </c>
      <c r="J1100" s="1014"/>
      <c r="K1100" s="1014"/>
      <c r="L1100" s="1015"/>
      <c r="M1100" s="934">
        <v>160</v>
      </c>
    </row>
    <row r="1101" spans="1:14" s="1016" customFormat="1" ht="25.2" hidden="1" customHeight="1">
      <c r="A1101" s="1086">
        <f t="shared" si="46"/>
        <v>0</v>
      </c>
      <c r="B1101" s="1226"/>
      <c r="C1101" s="2841"/>
      <c r="D1101" s="1017">
        <f>IF(H1101&gt;0,D1092+1,D1092)</f>
        <v>0</v>
      </c>
      <c r="E1101" s="1018"/>
      <c r="F1101" s="1027" t="s">
        <v>3726</v>
      </c>
      <c r="G1101" s="1017" t="s">
        <v>2385</v>
      </c>
      <c r="H1101" s="1722">
        <v>0</v>
      </c>
      <c r="I1101" s="1192">
        <f t="shared" si="47"/>
        <v>0</v>
      </c>
      <c r="J1101" s="1014"/>
      <c r="K1101" s="1014"/>
      <c r="L1101" s="1015"/>
      <c r="M1101" s="934">
        <v>160</v>
      </c>
    </row>
    <row r="1102" spans="1:14" s="1016" customFormat="1" ht="25.2" hidden="1" customHeight="1">
      <c r="A1102" s="1086">
        <f t="shared" si="46"/>
        <v>0</v>
      </c>
      <c r="B1102" s="1226"/>
      <c r="C1102" s="2841"/>
      <c r="D1102" s="1011"/>
      <c r="E1102" s="1021"/>
      <c r="F1102" s="1268" t="s">
        <v>2279</v>
      </c>
      <c r="G1102" s="1011"/>
      <c r="H1102" s="1723"/>
      <c r="I1102" s="1192">
        <f t="shared" si="47"/>
        <v>0</v>
      </c>
      <c r="J1102" s="1014"/>
      <c r="K1102" s="1014"/>
      <c r="L1102" s="1015"/>
      <c r="M1102" s="934">
        <v>160</v>
      </c>
    </row>
    <row r="1103" spans="1:14" s="1016" customFormat="1" ht="25.2" hidden="1" customHeight="1">
      <c r="A1103" s="1086">
        <f t="shared" si="46"/>
        <v>0</v>
      </c>
      <c r="B1103" s="1087" t="s">
        <v>470</v>
      </c>
      <c r="C1103" s="2842"/>
      <c r="D1103" s="1023"/>
      <c r="E1103" s="1012">
        <f>VLOOKUP($B1103,DG!A:D,DG!$B$2,)</f>
        <v>0</v>
      </c>
      <c r="F1103" s="1013" t="str">
        <f>VLOOKUP($B1103,DG!A:D,DG!$C$2,)&amp;": trong möông vaø leân MBA"</f>
        <v>Cáp 24kV C/XLPE/DSTA/PVC3x50: trong möông vaø leân MBA</v>
      </c>
      <c r="G1103" s="1012" t="str">
        <f>VLOOKUP($B1103,DG!A:D,DG!$D$2,)</f>
        <v>mét</v>
      </c>
      <c r="H1103" s="1713">
        <f>H1082+H1101*8</f>
        <v>0</v>
      </c>
      <c r="I1103" s="1192">
        <f t="shared" si="47"/>
        <v>0</v>
      </c>
      <c r="J1103" s="1014"/>
      <c r="K1103" s="1014"/>
      <c r="L1103" s="1015"/>
      <c r="M1103" s="934">
        <v>160</v>
      </c>
    </row>
    <row r="1104" spans="1:14" s="1016" customFormat="1" ht="25.2" hidden="1" customHeight="1">
      <c r="A1104" s="1086">
        <f t="shared" si="46"/>
        <v>0</v>
      </c>
      <c r="B1104" s="1087" t="s">
        <v>271</v>
      </c>
      <c r="C1104" s="2842"/>
      <c r="D1104" s="1023"/>
      <c r="E1104" s="1012">
        <f>VLOOKUP($B1104,DG!A:D,DG!$B$2,)</f>
        <v>0</v>
      </c>
      <c r="F1104" s="1013" t="str">
        <f>VLOOKUP($B1104,DG!A:D,DG!$C$2,)&amp;": trung tính"</f>
        <v>Cáp 24KV C/XLPE/PVC 50mm2: trung tính</v>
      </c>
      <c r="G1104" s="1012" t="str">
        <f>VLOOKUP($B1104,DG!A:D,DG!$D$2,)</f>
        <v>mét</v>
      </c>
      <c r="H1104" s="1713">
        <f>H1103</f>
        <v>0</v>
      </c>
      <c r="I1104" s="1192">
        <f t="shared" si="47"/>
        <v>0</v>
      </c>
      <c r="J1104" s="1014"/>
      <c r="K1104" s="1014"/>
      <c r="L1104" s="1015"/>
      <c r="M1104" s="934">
        <v>160</v>
      </c>
    </row>
    <row r="1105" spans="1:13" s="1016" customFormat="1" ht="25.2" hidden="1" customHeight="1">
      <c r="A1105" s="1086">
        <f t="shared" si="46"/>
        <v>0</v>
      </c>
      <c r="B1105" s="1087" t="s">
        <v>271</v>
      </c>
      <c r="C1105" s="2842"/>
      <c r="D1105" s="1023"/>
      <c r="E1105" s="1012">
        <f>VLOOKUP($B1105,DG!A:D,DG!$B$2,)</f>
        <v>0</v>
      </c>
      <c r="F1105" s="1013" t="str">
        <f>VLOOKUP($B1105,DG!A:D,DG!$C$2,)&amp;": 0,5m/pha töø FCO xuoáng MBA"</f>
        <v>Cáp 24KV C/XLPE/PVC 50mm2: 0,5m/pha töø FCO xuoáng MBA</v>
      </c>
      <c r="G1105" s="1012" t="str">
        <f>VLOOKUP($B1105,DG!A:D,DG!$D$2,)</f>
        <v>mét</v>
      </c>
      <c r="H1105" s="1713">
        <f>H1101*0.5*3*0</f>
        <v>0</v>
      </c>
      <c r="I1105" s="1192">
        <f t="shared" si="47"/>
        <v>0</v>
      </c>
      <c r="J1105" s="1014"/>
      <c r="K1105" s="1014"/>
      <c r="L1105" s="1015"/>
      <c r="M1105" s="934">
        <v>160</v>
      </c>
    </row>
    <row r="1106" spans="1:13" s="1016" customFormat="1" ht="25.2" hidden="1" customHeight="1">
      <c r="A1106" s="1086">
        <f t="shared" si="46"/>
        <v>0</v>
      </c>
      <c r="B1106" s="1087" t="s">
        <v>1352</v>
      </c>
      <c r="C1106" s="2842"/>
      <c r="D1106" s="1023"/>
      <c r="E1106" s="1012">
        <f>VLOOKUP($B1106,DG!A:D,DG!$B$2,)</f>
        <v>0</v>
      </c>
      <c r="F1106" s="1013" t="str">
        <f>VLOOKUP($B1106,DG!A:D,DG!$C$2,)</f>
        <v>Đầu cáp ngầm 24KV 3x50mm2 outdoor</v>
      </c>
      <c r="G1106" s="1012" t="str">
        <f>VLOOKUP($B1106,DG!A:D,DG!$D$2,)</f>
        <v>cái</v>
      </c>
      <c r="H1106" s="1713">
        <f>H1101</f>
        <v>0</v>
      </c>
      <c r="I1106" s="1192">
        <f t="shared" si="47"/>
        <v>0</v>
      </c>
      <c r="J1106" s="1014"/>
      <c r="K1106" s="1014"/>
      <c r="L1106" s="1015"/>
      <c r="M1106" s="934">
        <v>160</v>
      </c>
    </row>
    <row r="1107" spans="1:13" s="1016" customFormat="1" ht="25.2" hidden="1" customHeight="1">
      <c r="A1107" s="1086">
        <f t="shared" si="46"/>
        <v>0</v>
      </c>
      <c r="B1107" s="1087" t="s">
        <v>470</v>
      </c>
      <c r="C1107" s="2842"/>
      <c r="D1107" s="1023"/>
      <c r="E1107" s="1012">
        <f>VLOOKUP($B1107,DG!A:D,DG!$B$2,)</f>
        <v>0</v>
      </c>
      <c r="F1107" s="1013" t="str">
        <f>VLOOKUP($B1107,DG!A:D,DG!$C$2,)&amp;": töø tuû LBS ñeán MBA"</f>
        <v>Cáp 24kV C/XLPE/DSTA/PVC3x50: töø tuû LBS ñeán MBA</v>
      </c>
      <c r="G1107" s="1012" t="str">
        <f>VLOOKUP($B1107,DG!A:D,DG!$D$2,)</f>
        <v>mét</v>
      </c>
      <c r="H1107" s="1713">
        <f>(1.2+2.4)*H1101*0</f>
        <v>0</v>
      </c>
      <c r="I1107" s="1192">
        <f t="shared" si="47"/>
        <v>0</v>
      </c>
      <c r="J1107" s="1014"/>
      <c r="K1107" s="1014"/>
      <c r="L1107" s="1015"/>
      <c r="M1107" s="934">
        <v>160</v>
      </c>
    </row>
    <row r="1108" spans="1:13" s="1016" customFormat="1" ht="25.2" hidden="1" customHeight="1">
      <c r="A1108" s="1086">
        <f t="shared" si="46"/>
        <v>0</v>
      </c>
      <c r="B1108" s="1087" t="s">
        <v>271</v>
      </c>
      <c r="C1108" s="2842"/>
      <c r="D1108" s="1023"/>
      <c r="E1108" s="1012">
        <f>VLOOKUP($B1108,DG!A:D,DG!$B$2,)</f>
        <v>0</v>
      </c>
      <c r="F1108" s="1013" t="str">
        <f>VLOOKUP($B1108,DG!A:D,DG!$C$2,)&amp;": töø tuû LBS ñeán MBA"</f>
        <v>Cáp 24KV C/XLPE/PVC 50mm2: töø tuû LBS ñeán MBA</v>
      </c>
      <c r="G1108" s="1012" t="str">
        <f>VLOOKUP($B1108,DG!A:D,DG!$D$2,)</f>
        <v>mét</v>
      </c>
      <c r="H1108" s="1713">
        <f>H1101*1.2*0</f>
        <v>0</v>
      </c>
      <c r="I1108" s="1192">
        <f t="shared" si="47"/>
        <v>0</v>
      </c>
      <c r="J1108" s="1014"/>
      <c r="K1108" s="1014"/>
      <c r="L1108" s="1015"/>
      <c r="M1108" s="934">
        <v>160</v>
      </c>
    </row>
    <row r="1109" spans="1:13" s="1016" customFormat="1" ht="25.2" hidden="1" customHeight="1">
      <c r="A1109" s="1086">
        <f t="shared" si="46"/>
        <v>0</v>
      </c>
      <c r="B1109" s="1087" t="s">
        <v>1353</v>
      </c>
      <c r="C1109" s="2842"/>
      <c r="D1109" s="1023"/>
      <c r="E1109" s="1012">
        <f>VLOOKUP($B1109,DG!A:D,DG!$B$2,)</f>
        <v>0</v>
      </c>
      <c r="F1109" s="1013" t="str">
        <f>VLOOKUP($B1109,DG!A:D,DG!$C$2,)</f>
        <v>Đầu cáp ngầm 24KV 3x50mm2 indoor</v>
      </c>
      <c r="G1109" s="1012" t="str">
        <f>VLOOKUP($B1109,DG!A:D,DG!$D$2,)</f>
        <v>cái</v>
      </c>
      <c r="H1109" s="1713">
        <f>H1101</f>
        <v>0</v>
      </c>
      <c r="I1109" s="1192">
        <f t="shared" si="47"/>
        <v>0</v>
      </c>
      <c r="J1109" s="1014"/>
      <c r="K1109" s="1014"/>
      <c r="L1109" s="1015"/>
      <c r="M1109" s="934">
        <v>160</v>
      </c>
    </row>
    <row r="1110" spans="1:13" s="1016" customFormat="1" ht="25.2" hidden="1" customHeight="1">
      <c r="A1110" s="1086">
        <f t="shared" si="46"/>
        <v>0</v>
      </c>
      <c r="B1110" s="1087" t="s">
        <v>1674</v>
      </c>
      <c r="C1110" s="2842"/>
      <c r="D1110" s="1023"/>
      <c r="E1110" s="1012" t="str">
        <f>VLOOKUP($B1110,DG!A:D,DG!$B$2,)</f>
        <v>07.4312</v>
      </c>
      <c r="F1110" s="1013" t="str">
        <f>VLOOKUP($B1110,DG!A:D,DG!$C$2,)</f>
        <v>Lắp đầu cáp trung thế 3x50mm2, 70mm2</v>
      </c>
      <c r="G1110" s="1012" t="str">
        <f>VLOOKUP($B1110,DG!A:D,DG!$D$2,)</f>
        <v>cái</v>
      </c>
      <c r="H1110" s="1713">
        <f>H1106+H1109</f>
        <v>0</v>
      </c>
      <c r="I1110" s="1192">
        <f t="shared" si="47"/>
        <v>0</v>
      </c>
      <c r="J1110" s="1014"/>
      <c r="K1110" s="1014"/>
      <c r="L1110" s="1015"/>
      <c r="M1110" s="934">
        <v>160</v>
      </c>
    </row>
    <row r="1111" spans="1:13" s="1016" customFormat="1" ht="25.2" hidden="1" customHeight="1">
      <c r="A1111" s="1086">
        <f t="shared" si="46"/>
        <v>0</v>
      </c>
      <c r="B1111" s="1087" t="s">
        <v>1204</v>
      </c>
      <c r="C1111" s="2842"/>
      <c r="D1111" s="1023"/>
      <c r="E1111" s="1012" t="str">
        <f>VLOOKUP($B1111,DG!A:D,DG!$B$2,)</f>
        <v>03.1405</v>
      </c>
      <c r="F1111" s="1013" t="str">
        <f>VLOOKUP($B1111,DG!A:D,DG!$C$2,)</f>
        <v>Lắp cáp trong ống bảo vệ trong TBA loại &lt;=6kg</v>
      </c>
      <c r="G1111" s="1012" t="str">
        <f>VLOOKUP($B1111,DG!A:D,DG!$D$2,)</f>
        <v>mét</v>
      </c>
      <c r="H1111" s="1713">
        <f>H1103+H1107</f>
        <v>0</v>
      </c>
      <c r="I1111" s="1192">
        <f t="shared" si="47"/>
        <v>0</v>
      </c>
      <c r="J1111" s="1014"/>
      <c r="K1111" s="1014"/>
      <c r="L1111" s="1015"/>
      <c r="M1111" s="934">
        <v>160</v>
      </c>
    </row>
    <row r="1112" spans="1:13" s="1016" customFormat="1" ht="25.2" hidden="1" customHeight="1">
      <c r="A1112" s="1086">
        <f t="shared" si="46"/>
        <v>0</v>
      </c>
      <c r="B1112" s="1087" t="s">
        <v>1201</v>
      </c>
      <c r="C1112" s="2842"/>
      <c r="D1112" s="1023"/>
      <c r="E1112" s="1012" t="str">
        <f>VLOOKUP($B1112,DG!A:D,DG!$B$2,)</f>
        <v>03.1402</v>
      </c>
      <c r="F1112" s="1013" t="str">
        <f>VLOOKUP($B1112,DG!A:D,DG!$C$2,)</f>
        <v>Lắp cáp trong ống bảo vệ trong TBA loại &lt;=2kg</v>
      </c>
      <c r="G1112" s="1012" t="str">
        <f>VLOOKUP($B1112,DG!A:D,DG!$D$2,)</f>
        <v>mét</v>
      </c>
      <c r="H1112" s="1713">
        <f>H1104+H1108</f>
        <v>0</v>
      </c>
      <c r="I1112" s="1192">
        <f t="shared" si="47"/>
        <v>0</v>
      </c>
      <c r="J1112" s="1014"/>
      <c r="K1112" s="1014"/>
      <c r="L1112" s="1015"/>
      <c r="M1112" s="934">
        <v>160</v>
      </c>
    </row>
    <row r="1113" spans="1:13" s="1016" customFormat="1" ht="25.2" hidden="1" customHeight="1">
      <c r="A1113" s="1086">
        <f t="shared" si="46"/>
        <v>0</v>
      </c>
      <c r="B1113" s="1087" t="s">
        <v>1525</v>
      </c>
      <c r="C1113" s="2842"/>
      <c r="D1113" s="1023"/>
      <c r="E1113" s="1012" t="str">
        <f>VLOOKUP($B1113,DG!A:D,DG!$B$2,)</f>
        <v>04.4201</v>
      </c>
      <c r="F1113" s="1013" t="str">
        <f>VLOOKUP($B1113,DG!A:D,DG!$C$2,)</f>
        <v>Lắp cáp đồng xuống thiết bị D ≤ 95mm2</v>
      </c>
      <c r="G1113" s="1012" t="str">
        <f>VLOOKUP($B1113,DG!A:D,DG!$D$2,)</f>
        <v>m</v>
      </c>
      <c r="H1113" s="1713">
        <f>H1105</f>
        <v>0</v>
      </c>
      <c r="I1113" s="1192">
        <f t="shared" si="47"/>
        <v>0</v>
      </c>
      <c r="J1113" s="1014"/>
      <c r="K1113" s="1014"/>
      <c r="L1113" s="1015"/>
      <c r="M1113" s="934">
        <v>160</v>
      </c>
    </row>
    <row r="1114" spans="1:13" s="1016" customFormat="1" ht="25.2" hidden="1" customHeight="1">
      <c r="A1114" s="1086">
        <f t="shared" ref="A1114:A1177" si="48">IF(AND(M1114=$M$23,I1114&gt;0),1,0)</f>
        <v>0</v>
      </c>
      <c r="B1114" s="1087" t="s">
        <v>1349</v>
      </c>
      <c r="C1114" s="2842"/>
      <c r="D1114" s="1023"/>
      <c r="E1114" s="1012">
        <f>VLOOKUP($B1114,DG!A:D,DG!$B$2,)</f>
        <v>0</v>
      </c>
      <c r="F1114" s="1013" t="str">
        <f>VLOOKUP($B1114,DG!A:D,DG!$C$2,)</f>
        <v>Dây rút cáp</v>
      </c>
      <c r="G1114" s="1012" t="str">
        <f>VLOOKUP($B1114,DG!A:D,DG!$D$2,)</f>
        <v>bọc</v>
      </c>
      <c r="H1114" s="1713">
        <f>H1101*2</f>
        <v>0</v>
      </c>
      <c r="I1114" s="1192">
        <f t="shared" si="47"/>
        <v>0</v>
      </c>
      <c r="J1114" s="1014"/>
      <c r="K1114" s="1014"/>
      <c r="L1114" s="1015"/>
      <c r="M1114" s="934">
        <v>160</v>
      </c>
    </row>
    <row r="1115" spans="1:13" s="1016" customFormat="1" ht="25.2" hidden="1" customHeight="1">
      <c r="A1115" s="1086">
        <f t="shared" si="48"/>
        <v>0</v>
      </c>
      <c r="B1115" s="1226"/>
      <c r="C1115" s="2841"/>
      <c r="D1115" s="1017">
        <f>IF(H1115&gt;0,D1101+1,D1101)</f>
        <v>0</v>
      </c>
      <c r="E1115" s="1018"/>
      <c r="F1115" s="1027" t="s">
        <v>3727</v>
      </c>
      <c r="G1115" s="1017" t="s">
        <v>2385</v>
      </c>
      <c r="H1115" s="1722">
        <f>H943</f>
        <v>0</v>
      </c>
      <c r="I1115" s="1192">
        <f t="shared" si="47"/>
        <v>0</v>
      </c>
      <c r="J1115" s="1014"/>
      <c r="K1115" s="1014"/>
      <c r="L1115" s="1043"/>
      <c r="M1115" s="934">
        <v>160</v>
      </c>
    </row>
    <row r="1116" spans="1:13" s="1016" customFormat="1" ht="25.2" hidden="1" customHeight="1">
      <c r="A1116" s="1086">
        <f t="shared" si="48"/>
        <v>0</v>
      </c>
      <c r="B1116" s="1226"/>
      <c r="C1116" s="2841"/>
      <c r="D1116" s="1011"/>
      <c r="E1116" s="1021"/>
      <c r="F1116" s="1268" t="s">
        <v>2279</v>
      </c>
      <c r="G1116" s="1011"/>
      <c r="H1116" s="1723"/>
      <c r="I1116" s="1192">
        <f t="shared" si="47"/>
        <v>0</v>
      </c>
      <c r="J1116" s="1014"/>
      <c r="K1116" s="1014"/>
      <c r="L1116" s="1043"/>
      <c r="M1116" s="934">
        <v>160</v>
      </c>
    </row>
    <row r="1117" spans="1:13" s="1016" customFormat="1" ht="25.2" hidden="1" customHeight="1">
      <c r="A1117" s="1086">
        <f t="shared" si="48"/>
        <v>0</v>
      </c>
      <c r="B1117" s="1087" t="s">
        <v>697</v>
      </c>
      <c r="C1117" s="2842"/>
      <c r="D1117" s="1023"/>
      <c r="E1117" s="1012">
        <f>VLOOKUP($B1117,DG!A:D,DG!$B$2,)</f>
        <v>0</v>
      </c>
      <c r="F1117" s="1013" t="str">
        <f>VLOOKUP($B1117,DG!A:D,DG!$C$2,)&amp;": 9m/1pha"</f>
        <v>Cáp 24KV C/XLPE/PVC 25mm2: 9m/1pha</v>
      </c>
      <c r="G1117" s="1012" t="str">
        <f>VLOOKUP($B1117,DG!A:D,DG!$D$2,)</f>
        <v>mét</v>
      </c>
      <c r="H1117" s="1713">
        <f>H1115*(8)*3</f>
        <v>0</v>
      </c>
      <c r="I1117" s="1192">
        <f t="shared" si="47"/>
        <v>0</v>
      </c>
      <c r="J1117" s="1014"/>
      <c r="K1117" s="1014"/>
      <c r="L1117" s="1043"/>
      <c r="M1117" s="934">
        <v>160</v>
      </c>
    </row>
    <row r="1118" spans="1:13" s="1016" customFormat="1" ht="25.2" hidden="1" customHeight="1">
      <c r="A1118" s="1086">
        <f t="shared" si="48"/>
        <v>0</v>
      </c>
      <c r="B1118" s="1087" t="s">
        <v>697</v>
      </c>
      <c r="C1118" s="2842"/>
      <c r="D1118" s="1023"/>
      <c r="E1118" s="1012">
        <f>VLOOKUP($B1118,DG!A:D,DG!$B$2,)</f>
        <v>0</v>
      </c>
      <c r="F1118" s="1013" t="str">
        <f>VLOOKUP($B1118,DG!A:D,DG!$C$2,)&amp;": 1m/1pha ñaáu noái  LA"</f>
        <v>Cáp 24KV C/XLPE/PVC 25mm2: 1m/1pha ñaáu noái  LA</v>
      </c>
      <c r="G1118" s="1012" t="str">
        <f>VLOOKUP($B1118,DG!A:D,DG!$D$2,)</f>
        <v>mét</v>
      </c>
      <c r="H1118" s="1713">
        <f>H1115*3*1*0</f>
        <v>0</v>
      </c>
      <c r="I1118" s="1192">
        <f t="shared" si="47"/>
        <v>0</v>
      </c>
      <c r="J1118" s="1014"/>
      <c r="K1118" s="1014"/>
      <c r="L1118" s="1043"/>
      <c r="M1118" s="934">
        <v>160</v>
      </c>
    </row>
    <row r="1119" spans="1:13" s="1016" customFormat="1" ht="25.2" hidden="1" customHeight="1">
      <c r="A1119" s="1086">
        <f t="shared" si="48"/>
        <v>0</v>
      </c>
      <c r="B1119" s="1087" t="s">
        <v>1115</v>
      </c>
      <c r="C1119" s="2842"/>
      <c r="D1119" s="1023"/>
      <c r="E1119" s="1012">
        <f>VLOOKUP($B1119,DG!A:D,DG!$B$2,)</f>
        <v>0</v>
      </c>
      <c r="F1119" s="1013" t="str">
        <f>VLOOKUP($B1119,DG!A:D,DG!$C$2,)</f>
        <v>Kẹp ép cỡ dây 25mm2</v>
      </c>
      <c r="G1119" s="1012" t="str">
        <f>VLOOKUP($B1119,DG!A:D,DG!$D$2,)</f>
        <v>cái</v>
      </c>
      <c r="H1119" s="1713">
        <f>$H$1115*3*2*0</f>
        <v>0</v>
      </c>
      <c r="I1119" s="1192">
        <f t="shared" si="47"/>
        <v>0</v>
      </c>
      <c r="J1119" s="1014"/>
      <c r="K1119" s="1014"/>
      <c r="L1119" s="1015"/>
      <c r="M1119" s="934">
        <v>160</v>
      </c>
    </row>
    <row r="1120" spans="1:13" s="1016" customFormat="1" ht="25.2" hidden="1" customHeight="1">
      <c r="A1120" s="1086">
        <f t="shared" si="48"/>
        <v>0</v>
      </c>
      <c r="B1120" s="1087" t="s">
        <v>550</v>
      </c>
      <c r="C1120" s="2842"/>
      <c r="D1120" s="1023"/>
      <c r="E1120" s="1012">
        <f>VLOOKUP($B1120,DG!A:D,DG!$B$2,)</f>
        <v>0</v>
      </c>
      <c r="F1120" s="1013" t="str">
        <f>VLOOKUP($B1120,DG!A:D,DG!$C$2,)&amp;" + LA"</f>
        <v>Bass LI bắt FCO + LA</v>
      </c>
      <c r="G1120" s="1012" t="str">
        <f>VLOOKUP($B1120,DG!A:D,DG!$D$2,)</f>
        <v>Bộ</v>
      </c>
      <c r="H1120" s="1713">
        <f>$H$1115*3*2*0</f>
        <v>0</v>
      </c>
      <c r="I1120" s="1192">
        <f t="shared" si="47"/>
        <v>0</v>
      </c>
      <c r="J1120" s="1014"/>
      <c r="K1120" s="1014"/>
      <c r="L1120" s="1015"/>
      <c r="M1120" s="934">
        <v>160</v>
      </c>
    </row>
    <row r="1121" spans="1:13" s="1016" customFormat="1" ht="25.2" hidden="1" customHeight="1">
      <c r="A1121" s="1086">
        <f t="shared" si="48"/>
        <v>0</v>
      </c>
      <c r="B1121" s="1087" t="s">
        <v>1479</v>
      </c>
      <c r="C1121" s="2842"/>
      <c r="D1121" s="1023"/>
      <c r="E1121" s="1012" t="str">
        <f>VLOOKUP($B1121,DG!A:D,DG!$B$2,)</f>
        <v>04.3007</v>
      </c>
      <c r="F1121" s="1013" t="str">
        <f>VLOOKUP($B1121,DG!A:D,DG!$C$2,)</f>
        <v>Kẹp quai 2/0</v>
      </c>
      <c r="G1121" s="1012" t="str">
        <f>VLOOKUP($B1121,DG!A:D,DG!$D$2,)</f>
        <v>cái</v>
      </c>
      <c r="H1121" s="1713">
        <f>$H$1115*3</f>
        <v>0</v>
      </c>
      <c r="I1121" s="1192">
        <f t="shared" si="47"/>
        <v>0</v>
      </c>
      <c r="J1121" s="1014"/>
      <c r="K1121" s="1014"/>
      <c r="L1121" s="1043"/>
      <c r="M1121" s="934">
        <v>160</v>
      </c>
    </row>
    <row r="1122" spans="1:13" s="1016" customFormat="1" ht="25.2" hidden="1" customHeight="1">
      <c r="A1122" s="1086">
        <f t="shared" si="48"/>
        <v>0</v>
      </c>
      <c r="B1122" s="1087" t="s">
        <v>1477</v>
      </c>
      <c r="C1122" s="2842"/>
      <c r="D1122" s="1023"/>
      <c r="E1122" s="1012" t="str">
        <f>VLOOKUP($B1122,DG!A:D,DG!$B$2,)</f>
        <v>04.3007</v>
      </c>
      <c r="F1122" s="1013" t="str">
        <f>VLOOKUP($B1122,DG!A:D,DG!$C$2,)&amp;": "</f>
        <v xml:space="preserve">Kẹp hotline 2/0: </v>
      </c>
      <c r="G1122" s="1012" t="str">
        <f>VLOOKUP($B1122,DG!A:D,DG!$D$2,)</f>
        <v>cái</v>
      </c>
      <c r="H1122" s="1713">
        <f>H1121</f>
        <v>0</v>
      </c>
      <c r="I1122" s="1192">
        <f t="shared" si="47"/>
        <v>0</v>
      </c>
      <c r="J1122" s="1014"/>
      <c r="K1122" s="1014"/>
      <c r="L1122" s="1043"/>
      <c r="M1122" s="934">
        <v>160</v>
      </c>
    </row>
    <row r="1123" spans="1:13" s="1016" customFormat="1" ht="25.2" hidden="1" customHeight="1">
      <c r="A1123" s="1086">
        <f t="shared" si="48"/>
        <v>0</v>
      </c>
      <c r="B1123" s="1226" t="s">
        <v>4348</v>
      </c>
      <c r="C1123" s="2841"/>
      <c r="D1123" s="1023"/>
      <c r="E1123" s="1012">
        <f>VLOOKUP($B1123,DG!A:D,DG!$B$2,)</f>
        <v>0</v>
      </c>
      <c r="F1123" s="1013" t="str">
        <f>VLOOKUP($B1123,DG!A:D,DG!$C$2,)</f>
        <v>Chụp cách điện đầu cực MBA</v>
      </c>
      <c r="G1123" s="1012" t="str">
        <f>VLOOKUP($B1123,DG!A:D,DG!$D$2,)</f>
        <v>cái</v>
      </c>
      <c r="H1123" s="1713">
        <v>3</v>
      </c>
      <c r="I1123" s="1192">
        <f t="shared" si="47"/>
        <v>0</v>
      </c>
      <c r="J1123" s="1014"/>
      <c r="K1123" s="1014"/>
      <c r="L1123" s="1015"/>
      <c r="M1123" s="934">
        <v>160</v>
      </c>
    </row>
    <row r="1124" spans="1:13" s="1016" customFormat="1" ht="25.2" hidden="1" customHeight="1">
      <c r="A1124" s="1086">
        <f t="shared" si="48"/>
        <v>0</v>
      </c>
      <c r="B1124" s="1226" t="s">
        <v>4342</v>
      </c>
      <c r="C1124" s="2841"/>
      <c r="D1124" s="1023"/>
      <c r="E1124" s="1012">
        <f>VLOOKUP($B1124,DG!A:D,DG!$B$2,)</f>
        <v>0</v>
      </c>
      <c r="F1124" s="1013" t="str">
        <f>VLOOKUP($B1124,DG!A:D,DG!$C$2,)</f>
        <v>Chụp cách điện đầu cực FCO (trên + dưới)</v>
      </c>
      <c r="G1124" s="1012" t="str">
        <f>VLOOKUP($B1124,DG!A:D,DG!$D$2,)</f>
        <v>bộ</v>
      </c>
      <c r="H1124" s="1713">
        <v>3</v>
      </c>
      <c r="I1124" s="1192">
        <f t="shared" si="47"/>
        <v>0</v>
      </c>
      <c r="J1124" s="1014"/>
      <c r="K1124" s="1014"/>
      <c r="L1124" s="1015"/>
      <c r="M1124" s="934">
        <v>160</v>
      </c>
    </row>
    <row r="1125" spans="1:13" s="1016" customFormat="1" ht="25.2" hidden="1" customHeight="1">
      <c r="A1125" s="1086">
        <f t="shared" si="48"/>
        <v>0</v>
      </c>
      <c r="B1125" s="1226" t="s">
        <v>4350</v>
      </c>
      <c r="C1125" s="2841"/>
      <c r="D1125" s="1023"/>
      <c r="E1125" s="1012">
        <f>VLOOKUP($B1125,DG!A:D,DG!$B$2,)</f>
        <v>0</v>
      </c>
      <c r="F1125" s="1013" t="str">
        <f>VLOOKUP($B1125,DG!A:D,DG!$C$2,)</f>
        <v>Chụp cách điện đầu cực LA</v>
      </c>
      <c r="G1125" s="1012" t="str">
        <f>VLOOKUP($B1125,DG!A:D,DG!$D$2,)</f>
        <v>cái</v>
      </c>
      <c r="H1125" s="1713">
        <v>3</v>
      </c>
      <c r="I1125" s="1192">
        <f t="shared" si="47"/>
        <v>0</v>
      </c>
      <c r="J1125" s="1014"/>
      <c r="K1125" s="1014"/>
      <c r="L1125" s="1015"/>
      <c r="M1125" s="934">
        <v>160</v>
      </c>
    </row>
    <row r="1126" spans="1:13" s="1016" customFormat="1" ht="25.2" hidden="1" customHeight="1">
      <c r="A1126" s="1086">
        <f t="shared" si="48"/>
        <v>0</v>
      </c>
      <c r="B1126" s="1087" t="s">
        <v>696</v>
      </c>
      <c r="C1126" s="2842"/>
      <c r="D1126" s="1043"/>
      <c r="E1126" s="1012">
        <f>VLOOKUP($B1126,DG!A:D,DG!$B$2,)</f>
        <v>0</v>
      </c>
      <c r="F1126" s="1013" t="str">
        <f>VLOOKUP($B1126,DG!A:D,DG!$C$2,)</f>
        <v xml:space="preserve">Sứ đứng 24KV </v>
      </c>
      <c r="G1126" s="1012" t="str">
        <f>VLOOKUP($B1126,DG!A:D,DG!$D$2,)</f>
        <v>cái</v>
      </c>
      <c r="H1126" s="1713">
        <v>3</v>
      </c>
      <c r="I1126" s="1192">
        <f t="shared" si="47"/>
        <v>0</v>
      </c>
      <c r="J1126" s="1014"/>
      <c r="K1126" s="1014"/>
      <c r="L1126" s="1043"/>
      <c r="M1126" s="934">
        <v>160</v>
      </c>
    </row>
    <row r="1127" spans="1:13" s="1016" customFormat="1" ht="25.2" hidden="1" customHeight="1">
      <c r="A1127" s="1086">
        <f t="shared" si="48"/>
        <v>0</v>
      </c>
      <c r="B1127" s="1087" t="s">
        <v>1265</v>
      </c>
      <c r="C1127" s="2842"/>
      <c r="D1127" s="1023"/>
      <c r="E1127" s="1012">
        <f>VLOOKUP($B1127,DG!A:D,DG!$B$2,)</f>
        <v>0</v>
      </c>
      <c r="F1127" s="1013" t="str">
        <f>VLOOKUP($B1127,DG!A:D,DG!$C$2,)</f>
        <v>Chân sứ đứng D20</v>
      </c>
      <c r="G1127" s="1012" t="str">
        <f>VLOOKUP($B1127,DG!A:D,DG!$D$2,)</f>
        <v>cái</v>
      </c>
      <c r="H1127" s="2020">
        <f>H1126</f>
        <v>3</v>
      </c>
      <c r="I1127" s="1192">
        <f t="shared" si="47"/>
        <v>0</v>
      </c>
      <c r="J1127" s="1014"/>
      <c r="K1127" s="1014"/>
      <c r="L1127" s="1043"/>
      <c r="M1127" s="934">
        <v>160</v>
      </c>
    </row>
    <row r="1128" spans="1:13" s="1016" customFormat="1" ht="25.2" hidden="1" customHeight="1">
      <c r="A1128" s="1086">
        <f t="shared" si="48"/>
        <v>0</v>
      </c>
      <c r="B1128" s="1087" t="s">
        <v>439</v>
      </c>
      <c r="C1128" s="2842"/>
      <c r="D1128" s="1023"/>
      <c r="E1128" s="1012">
        <f>VLOOKUP($B1128,DG!A:D,DG!$B$2,)</f>
        <v>0</v>
      </c>
      <c r="F1128" s="1013" t="str">
        <f>VLOOKUP($B1128,DG!A:D,DG!$C$2,)</f>
        <v>Sứ treo polymer</v>
      </c>
      <c r="G1128" s="1012" t="str">
        <f>VLOOKUP($B1128,DG!A:D,DG!$D$2,)</f>
        <v>chuỗi</v>
      </c>
      <c r="H1128" s="1713">
        <f>H1115*6*0</f>
        <v>0</v>
      </c>
      <c r="I1128" s="1192">
        <f t="shared" ref="I1128:I1195" si="49">IF(M1128=$M$23,H1128+J1128-K1128,0)</f>
        <v>0</v>
      </c>
      <c r="J1128" s="1014"/>
      <c r="K1128" s="1014"/>
      <c r="L1128" s="1043"/>
      <c r="M1128" s="934">
        <v>160</v>
      </c>
    </row>
    <row r="1129" spans="1:13" s="1016" customFormat="1" ht="25.2" hidden="1" customHeight="1">
      <c r="A1129" s="1086">
        <f t="shared" si="48"/>
        <v>0</v>
      </c>
      <c r="B1129" s="1087" t="s">
        <v>1565</v>
      </c>
      <c r="C1129" s="2842"/>
      <c r="D1129" s="1023"/>
      <c r="E1129" s="1012" t="str">
        <f>VLOOKUP($B1129,DG!A:D,DG!$B$2,)</f>
        <v>06.1115</v>
      </c>
      <c r="F1129" s="1095" t="str">
        <f>VLOOKUP($B1129,DG!A:D,DG!$C$2,)</f>
        <v>Lắp sứ đứng 24KV</v>
      </c>
      <c r="G1129" s="1012" t="str">
        <f>VLOOKUP($B1129,DG!A:D,DG!$D$2,)</f>
        <v>bộ</v>
      </c>
      <c r="H1129" s="2020">
        <f>H1127</f>
        <v>3</v>
      </c>
      <c r="I1129" s="1192">
        <f t="shared" si="49"/>
        <v>0</v>
      </c>
      <c r="J1129" s="1014"/>
      <c r="K1129" s="1014"/>
      <c r="L1129" s="1043"/>
      <c r="M1129" s="934">
        <v>160</v>
      </c>
    </row>
    <row r="1130" spans="1:13" s="1016" customFormat="1" ht="25.2" hidden="1" customHeight="1">
      <c r="A1130" s="1086">
        <f t="shared" si="48"/>
        <v>0</v>
      </c>
      <c r="B1130" s="1087" t="s">
        <v>235</v>
      </c>
      <c r="C1130" s="2842"/>
      <c r="D1130" s="1023"/>
      <c r="E1130" s="1012" t="str">
        <f>VLOOKUP($B1130,DG!A:D,DG!$B$2,)</f>
        <v>06.1115</v>
      </c>
      <c r="F1130" s="1013" t="str">
        <f>VLOOKUP($B1130,DG!A:D,DG!$C$2,)</f>
        <v>Tháo sứ đứng 24KV</v>
      </c>
      <c r="G1130" s="1012" t="str">
        <f>VLOOKUP($B1130,DG!A:D,DG!$D$2,)</f>
        <v>bộ</v>
      </c>
      <c r="H1130" s="1713"/>
      <c r="I1130" s="1192">
        <f t="shared" si="49"/>
        <v>0</v>
      </c>
      <c r="J1130" s="1014"/>
      <c r="K1130" s="1014"/>
      <c r="L1130" s="1043"/>
      <c r="M1130" s="934">
        <v>160</v>
      </c>
    </row>
    <row r="1131" spans="1:13" s="1016" customFormat="1" ht="25.2" hidden="1" customHeight="1">
      <c r="A1131" s="1086">
        <f t="shared" si="48"/>
        <v>0</v>
      </c>
      <c r="B1131" s="1087" t="s">
        <v>1507</v>
      </c>
      <c r="C1131" s="2842"/>
      <c r="D1131" s="1023"/>
      <c r="E1131" s="1012" t="str">
        <f>VLOOKUP($B1131,DG!A:D,DG!$B$2,)</f>
        <v>06.2201</v>
      </c>
      <c r="F1131" s="1013" t="str">
        <f>VLOOKUP($B1131,DG!A:D,DG!$C$2,)</f>
        <v>Lắp chuỗi sứ néo Polymer</v>
      </c>
      <c r="G1131" s="1012" t="str">
        <f>VLOOKUP($B1131,DG!A:D,DG!$D$2,)</f>
        <v>chuỗi</v>
      </c>
      <c r="H1131" s="1713">
        <f>H1128</f>
        <v>0</v>
      </c>
      <c r="I1131" s="1192">
        <f t="shared" si="49"/>
        <v>0</v>
      </c>
      <c r="J1131" s="1014"/>
      <c r="K1131" s="1014"/>
      <c r="L1131" s="1043"/>
      <c r="M1131" s="934">
        <v>160</v>
      </c>
    </row>
    <row r="1132" spans="1:13" s="1016" customFormat="1" ht="25.2" hidden="1" customHeight="1">
      <c r="A1132" s="1086">
        <f t="shared" si="48"/>
        <v>0</v>
      </c>
      <c r="B1132" s="1087" t="s">
        <v>1525</v>
      </c>
      <c r="C1132" s="2842"/>
      <c r="D1132" s="1023"/>
      <c r="E1132" s="1012" t="str">
        <f>VLOOKUP($B1132,DG!A:D,DG!$B$2,)</f>
        <v>04.4201</v>
      </c>
      <c r="F1132" s="1095" t="str">
        <f>VLOOKUP($B1132,DG!A:D,DG!$C$2,)</f>
        <v>Lắp cáp đồng xuống thiết bị D ≤ 95mm2</v>
      </c>
      <c r="G1132" s="1012" t="str">
        <f>VLOOKUP($B1132,DG!A:D,DG!$D$2,)</f>
        <v>m</v>
      </c>
      <c r="H1132" s="2020">
        <f>H1117+H1118</f>
        <v>0</v>
      </c>
      <c r="I1132" s="1192">
        <f t="shared" si="49"/>
        <v>0</v>
      </c>
      <c r="J1132" s="1014"/>
      <c r="K1132" s="1014"/>
      <c r="L1132" s="1043"/>
      <c r="M1132" s="934">
        <v>160</v>
      </c>
    </row>
    <row r="1133" spans="1:13" s="1016" customFormat="1" ht="25.2" hidden="1" customHeight="1">
      <c r="A1133" s="1086">
        <f t="shared" si="48"/>
        <v>0</v>
      </c>
      <c r="B1133" s="1226"/>
      <c r="C1133" s="2841"/>
      <c r="D1133" s="1017">
        <f>IF(H1133&gt;0,D1115+1,D1115)</f>
        <v>0</v>
      </c>
      <c r="E1133" s="1018"/>
      <c r="F1133" s="1027" t="s">
        <v>3708</v>
      </c>
      <c r="G1133" s="1017" t="s">
        <v>2385</v>
      </c>
      <c r="H1133" s="1722"/>
      <c r="I1133" s="1192">
        <f t="shared" si="49"/>
        <v>0</v>
      </c>
      <c r="J1133" s="1014"/>
      <c r="K1133" s="1014"/>
      <c r="L1133" s="1015"/>
      <c r="M1133" s="934">
        <v>160</v>
      </c>
    </row>
    <row r="1134" spans="1:13" s="1016" customFormat="1" ht="25.2" hidden="1" customHeight="1">
      <c r="A1134" s="1086">
        <f t="shared" si="48"/>
        <v>0</v>
      </c>
      <c r="B1134" s="1226"/>
      <c r="C1134" s="2841"/>
      <c r="D1134" s="1011"/>
      <c r="E1134" s="1021"/>
      <c r="F1134" s="1268" t="s">
        <v>2279</v>
      </c>
      <c r="G1134" s="1011"/>
      <c r="H1134" s="1723"/>
      <c r="I1134" s="1192">
        <f t="shared" si="49"/>
        <v>0</v>
      </c>
      <c r="J1134" s="1014"/>
      <c r="K1134" s="1014"/>
      <c r="L1134" s="1015"/>
      <c r="M1134" s="934">
        <v>160</v>
      </c>
    </row>
    <row r="1135" spans="1:13" s="1016" customFormat="1" ht="25.2" hidden="1" customHeight="1">
      <c r="A1135" s="1086">
        <f t="shared" si="48"/>
        <v>0</v>
      </c>
      <c r="B1135" s="1226" t="s">
        <v>2141</v>
      </c>
      <c r="C1135" s="2841"/>
      <c r="D1135" s="1023"/>
      <c r="E1135" s="1012" t="str">
        <f>VLOOKUP($B1135,DG!A:D,DG!$B$2,)</f>
        <v>07.2403</v>
      </c>
      <c r="F1135" s="1013" t="str">
        <f>VLOOKUP($B1135,DG!A:D,DG!$C$2,)</f>
        <v>Ống PVC D42x2,1mm</v>
      </c>
      <c r="G1135" s="1012" t="str">
        <f>VLOOKUP($B1135,DG!A:D,DG!$D$2,)</f>
        <v>m</v>
      </c>
      <c r="H1135" s="1713">
        <f>H1133*2</f>
        <v>0</v>
      </c>
      <c r="I1135" s="1192">
        <f t="shared" si="49"/>
        <v>0</v>
      </c>
      <c r="J1135" s="1014"/>
      <c r="K1135" s="1014"/>
      <c r="L1135" s="1015"/>
      <c r="M1135" s="934">
        <v>160</v>
      </c>
    </row>
    <row r="1136" spans="1:13" s="1016" customFormat="1" ht="25.2" hidden="1" customHeight="1">
      <c r="A1136" s="1086">
        <f t="shared" si="48"/>
        <v>0</v>
      </c>
      <c r="B1136" s="1226" t="s">
        <v>1050</v>
      </c>
      <c r="C1136" s="2841"/>
      <c r="D1136" s="1023"/>
      <c r="E1136" s="1012">
        <f>VLOOKUP($B1136,DG!A:D,DG!$B$2,)</f>
        <v>0</v>
      </c>
      <c r="F1136" s="1013" t="str">
        <f>VLOOKUP($B1136,DG!A:D,DG!$C$2,)</f>
        <v>Co chữ T ống PVC 42</v>
      </c>
      <c r="G1136" s="1012" t="str">
        <f>VLOOKUP($B1136,DG!A:D,DG!$D$2,)</f>
        <v>cái</v>
      </c>
      <c r="H1136" s="1713">
        <f>H1133</f>
        <v>0</v>
      </c>
      <c r="I1136" s="1192">
        <f t="shared" si="49"/>
        <v>0</v>
      </c>
      <c r="J1136" s="1014"/>
      <c r="K1136" s="1014"/>
      <c r="L1136" s="1015"/>
      <c r="M1136" s="934">
        <v>160</v>
      </c>
    </row>
    <row r="1137" spans="1:13" s="1016" customFormat="1" ht="25.2" hidden="1" customHeight="1">
      <c r="A1137" s="1086">
        <f t="shared" si="48"/>
        <v>0</v>
      </c>
      <c r="B1137" s="1226" t="s">
        <v>2120</v>
      </c>
      <c r="C1137" s="2841"/>
      <c r="D1137" s="1023"/>
      <c r="E1137" s="1012">
        <f>VLOOKUP($B1137,DG!A:D,DG!$B$2,)</f>
        <v>0</v>
      </c>
      <c r="F1137" s="1013" t="str">
        <f>VLOOKUP($B1137,DG!A:D,DG!$C$2,)</f>
        <v>Khâu ven răng trong D42</v>
      </c>
      <c r="G1137" s="1012" t="str">
        <f>VLOOKUP($B1137,DG!A:D,DG!$D$2,)</f>
        <v>cái</v>
      </c>
      <c r="H1137" s="1713">
        <f>H1133*2</f>
        <v>0</v>
      </c>
      <c r="I1137" s="1192">
        <f t="shared" si="49"/>
        <v>0</v>
      </c>
      <c r="J1137" s="1014"/>
      <c r="K1137" s="1014"/>
      <c r="L1137" s="1015"/>
      <c r="M1137" s="934">
        <v>160</v>
      </c>
    </row>
    <row r="1138" spans="1:13" s="1016" customFormat="1" ht="25.2" hidden="1" customHeight="1">
      <c r="A1138" s="1086">
        <f t="shared" si="48"/>
        <v>0</v>
      </c>
      <c r="B1138" s="1226" t="s">
        <v>959</v>
      </c>
      <c r="C1138" s="2841"/>
      <c r="D1138" s="1023"/>
      <c r="E1138" s="1012">
        <f>VLOOKUP($B1138,DG!A:D,DG!$B$2,)</f>
        <v>0</v>
      </c>
      <c r="F1138" s="1013" t="str">
        <f>VLOOKUP($B1138,DG!A:D,DG!$C$2,)</f>
        <v>Khâu ven răng ngoài D42</v>
      </c>
      <c r="G1138" s="1012" t="str">
        <f>VLOOKUP($B1138,DG!A:D,DG!$D$2,)</f>
        <v>cái</v>
      </c>
      <c r="H1138" s="1713">
        <f>H1137</f>
        <v>0</v>
      </c>
      <c r="I1138" s="1192">
        <f t="shared" si="49"/>
        <v>0</v>
      </c>
      <c r="J1138" s="1014"/>
      <c r="K1138" s="1014"/>
      <c r="L1138" s="1015"/>
      <c r="M1138" s="934">
        <v>160</v>
      </c>
    </row>
    <row r="1139" spans="1:13" s="1016" customFormat="1" ht="25.2" hidden="1" customHeight="1">
      <c r="A1139" s="1086">
        <f t="shared" si="48"/>
        <v>0</v>
      </c>
      <c r="B1139" s="1087"/>
      <c r="C1139" s="2842"/>
      <c r="D1139" s="1017">
        <f>IF(H1139&gt;0,D1133+1,D1133)</f>
        <v>0</v>
      </c>
      <c r="E1139" s="1018"/>
      <c r="F1139" s="1027" t="s">
        <v>3728</v>
      </c>
      <c r="G1139" s="1017" t="s">
        <v>2385</v>
      </c>
      <c r="H1139" s="1743">
        <f>$H$943</f>
        <v>0</v>
      </c>
      <c r="I1139" s="1192">
        <f t="shared" si="49"/>
        <v>0</v>
      </c>
      <c r="J1139" s="1014"/>
      <c r="K1139" s="1014"/>
      <c r="L1139" s="1043"/>
      <c r="M1139" s="934">
        <v>160</v>
      </c>
    </row>
    <row r="1140" spans="1:13" s="1016" customFormat="1" ht="25.2" hidden="1" customHeight="1">
      <c r="A1140" s="1086">
        <f t="shared" si="48"/>
        <v>0</v>
      </c>
      <c r="B1140" s="1087"/>
      <c r="C1140" s="2842"/>
      <c r="D1140" s="1011"/>
      <c r="E1140" s="1021"/>
      <c r="F1140" s="1268" t="s">
        <v>2279</v>
      </c>
      <c r="G1140" s="1011"/>
      <c r="H1140" s="1713"/>
      <c r="I1140" s="1192">
        <f t="shared" si="49"/>
        <v>0</v>
      </c>
      <c r="J1140" s="1014"/>
      <c r="K1140" s="1014"/>
      <c r="L1140" s="1043"/>
      <c r="M1140" s="934">
        <v>160</v>
      </c>
    </row>
    <row r="1141" spans="1:13" s="1016" customFormat="1" ht="25.2" hidden="1" customHeight="1">
      <c r="A1141" s="1086">
        <f t="shared" si="48"/>
        <v>0</v>
      </c>
      <c r="B1141" s="1226" t="s">
        <v>32</v>
      </c>
      <c r="C1141" s="2841"/>
      <c r="D1141" s="1023"/>
      <c r="E1141" s="1012">
        <f>VLOOKUP($B1141,DG!A:D,DG!$B$2,)</f>
        <v>0</v>
      </c>
      <c r="F1141" s="1013" t="str">
        <f>VLOOKUP($B1141,DG!A:D,DG!$C$2,)&amp;":  "&amp;M2&amp;" x 8m/pha "</f>
        <v xml:space="preserve">Cáp đồng bọc CV120:  1 x 8m/pha </v>
      </c>
      <c r="G1141" s="1012" t="str">
        <f>VLOOKUP($B1141,DG!A:D,DG!$D$2,)</f>
        <v>mét</v>
      </c>
      <c r="H1141" s="1713">
        <v>25.5</v>
      </c>
      <c r="I1141" s="1192">
        <f t="shared" si="49"/>
        <v>0</v>
      </c>
      <c r="J1141" s="1014"/>
      <c r="K1141" s="1014"/>
      <c r="L1141" s="1043"/>
      <c r="M1141" s="934">
        <v>160</v>
      </c>
    </row>
    <row r="1142" spans="1:13" s="1016" customFormat="1" ht="25.2" hidden="1" customHeight="1">
      <c r="A1142" s="1086">
        <f t="shared" si="48"/>
        <v>0</v>
      </c>
      <c r="B1142" s="1226" t="s">
        <v>274</v>
      </c>
      <c r="C1142" s="2841"/>
      <c r="D1142" s="1023"/>
      <c r="E1142" s="1012">
        <f>VLOOKUP($B1142,DG!A:D,DG!$B$2,)</f>
        <v>0</v>
      </c>
      <c r="F1142" s="1013" t="str">
        <f>VLOOKUP($B1142,DG!A:D,DG!$C$2,)&amp;":  "&amp;M2&amp;" x 8m/trung tính "</f>
        <v xml:space="preserve">Cáp đồng bọc CV95:  1 x 8m/trung tính </v>
      </c>
      <c r="G1142" s="1012" t="str">
        <f>VLOOKUP($B1142,DG!A:D,DG!$D$2,)</f>
        <v>mét</v>
      </c>
      <c r="H1142" s="1713">
        <v>8.5</v>
      </c>
      <c r="I1142" s="1192">
        <f t="shared" si="49"/>
        <v>0</v>
      </c>
      <c r="J1142" s="1014"/>
      <c r="K1142" s="1014"/>
      <c r="L1142" s="1043"/>
      <c r="M1142" s="934">
        <v>160</v>
      </c>
    </row>
    <row r="1143" spans="1:13" s="1016" customFormat="1" ht="25.2" hidden="1" customHeight="1">
      <c r="A1143" s="1086">
        <f t="shared" si="48"/>
        <v>0</v>
      </c>
      <c r="B1143" s="1226" t="s">
        <v>1305</v>
      </c>
      <c r="C1143" s="2841"/>
      <c r="D1143" s="1023"/>
      <c r="E1143" s="1012" t="str">
        <f>VLOOKUP($B1143,DG!A:D,DG!$B$2,)</f>
        <v>03.4005</v>
      </c>
      <c r="F1143" s="1013" t="str">
        <f>VLOOKUP($B1143,DG!A:D,DG!$C$2,)&amp;": "</f>
        <v xml:space="preserve">Đầu cosse ép Cu 120mm2: </v>
      </c>
      <c r="G1143" s="1012" t="str">
        <f>VLOOKUP($B1143,DG!A:D,DG!$D$2,)</f>
        <v>cái</v>
      </c>
      <c r="H1143" s="1713">
        <v>3</v>
      </c>
      <c r="I1143" s="1192">
        <f t="shared" si="49"/>
        <v>0</v>
      </c>
      <c r="J1143" s="1014"/>
      <c r="K1143" s="1014"/>
      <c r="L1143" s="1043"/>
      <c r="M1143" s="934">
        <v>160</v>
      </c>
    </row>
    <row r="1144" spans="1:13" s="1016" customFormat="1" ht="25.2" hidden="1" customHeight="1">
      <c r="A1144" s="1086">
        <f t="shared" si="48"/>
        <v>0</v>
      </c>
      <c r="B1144" s="1226" t="s">
        <v>1304</v>
      </c>
      <c r="C1144" s="2841"/>
      <c r="D1144" s="1023"/>
      <c r="E1144" s="1012" t="str">
        <f>VLOOKUP($B1144,DG!A:D,DG!$B$2,)</f>
        <v>03.4004</v>
      </c>
      <c r="F1144" s="1013" t="str">
        <f>VLOOKUP($B1144,DG!A:D,DG!$C$2,)&amp;": "</f>
        <v xml:space="preserve">Đầu cosse ép Cu 95mm2: </v>
      </c>
      <c r="G1144" s="1012" t="str">
        <f>VLOOKUP($B1144,DG!A:D,DG!$D$2,)</f>
        <v>cái</v>
      </c>
      <c r="H1144" s="1713">
        <v>3</v>
      </c>
      <c r="I1144" s="1192">
        <f t="shared" si="49"/>
        <v>0</v>
      </c>
      <c r="J1144" s="1014"/>
      <c r="K1144" s="1014"/>
      <c r="L1144" s="1043"/>
      <c r="M1144" s="934">
        <v>160</v>
      </c>
    </row>
    <row r="1145" spans="1:13" s="1016" customFormat="1" ht="25.2" hidden="1" customHeight="1">
      <c r="A1145" s="1086">
        <f t="shared" si="48"/>
        <v>0</v>
      </c>
      <c r="B1145" s="1226" t="s">
        <v>93</v>
      </c>
      <c r="C1145" s="2841"/>
      <c r="D1145" s="1023"/>
      <c r="E1145" s="1012">
        <f>VLOOKUP($B1145,DG!A:D,DG!$B$2,)</f>
        <v>0</v>
      </c>
      <c r="F1145" s="1013" t="str">
        <f>VLOOKUP($B1145,DG!A:D,DG!$C$2,)&amp;": "</f>
        <v xml:space="preserve">Chụp đầu cosse  120mm2: </v>
      </c>
      <c r="G1145" s="1012" t="str">
        <f>VLOOKUP($B1145,DG!A:D,DG!$D$2,)</f>
        <v>cái</v>
      </c>
      <c r="H1145" s="1713">
        <f>H1143</f>
        <v>3</v>
      </c>
      <c r="I1145" s="1192">
        <f t="shared" si="49"/>
        <v>0</v>
      </c>
      <c r="J1145" s="1014"/>
      <c r="K1145" s="1014"/>
      <c r="L1145" s="1043"/>
      <c r="M1145" s="934">
        <v>160</v>
      </c>
    </row>
    <row r="1146" spans="1:13" s="1016" customFormat="1" ht="25.2" hidden="1" customHeight="1">
      <c r="A1146" s="1086">
        <f t="shared" si="48"/>
        <v>0</v>
      </c>
      <c r="B1146" s="1226" t="s">
        <v>4460</v>
      </c>
      <c r="C1146" s="2841"/>
      <c r="D1146" s="1023"/>
      <c r="E1146" s="1012">
        <f>VLOOKUP($B1146,DG!A:D,DG!$B$2,)</f>
        <v>0</v>
      </c>
      <c r="F1146" s="1013" t="str">
        <f>VLOOKUP($B1146,DG!A:D,DG!$C$2,)&amp;": "</f>
        <v xml:space="preserve">Chụp đầu cosse  95mm2: </v>
      </c>
      <c r="G1146" s="1012" t="str">
        <f>VLOOKUP($B1146,DG!A:D,DG!$D$2,)</f>
        <v>cái</v>
      </c>
      <c r="H1146" s="1713">
        <f>H1144</f>
        <v>3</v>
      </c>
      <c r="I1146" s="1192">
        <f t="shared" si="49"/>
        <v>0</v>
      </c>
      <c r="J1146" s="1014"/>
      <c r="K1146" s="1014"/>
      <c r="L1146" s="1043"/>
      <c r="M1146" s="934">
        <v>160</v>
      </c>
    </row>
    <row r="1147" spans="1:13" s="1016" customFormat="1" ht="25.2" hidden="1" customHeight="1">
      <c r="A1147" s="1086">
        <f t="shared" si="48"/>
        <v>0</v>
      </c>
      <c r="B1147" s="1226" t="s">
        <v>1042</v>
      </c>
      <c r="C1147" s="2841"/>
      <c r="D1147" s="1023"/>
      <c r="E1147" s="1012">
        <f>VLOOKUP($B1147,DG!A:D,DG!$B$2,)</f>
        <v>0</v>
      </c>
      <c r="F1147" s="1013" t="str">
        <f>VLOOKUP($B1147,DG!A:D,DG!$C$2,)</f>
        <v xml:space="preserve">Ống PVC D114x4,9mm </v>
      </c>
      <c r="G1147" s="1012" t="str">
        <f>VLOOKUP($B1147,DG!A:D,DG!$D$2,)</f>
        <v>m</v>
      </c>
      <c r="H1147" s="1713">
        <v>6</v>
      </c>
      <c r="I1147" s="1192">
        <f>IF(M1147=$M$23,H1147+J1147-K1147,0)</f>
        <v>0</v>
      </c>
      <c r="J1147" s="1014"/>
      <c r="K1147" s="1014"/>
      <c r="L1147" s="1043"/>
      <c r="M1147" s="934">
        <v>160</v>
      </c>
    </row>
    <row r="1148" spans="1:13" s="1016" customFormat="1" ht="25.2" hidden="1" customHeight="1">
      <c r="A1148" s="1086">
        <f t="shared" si="48"/>
        <v>0</v>
      </c>
      <c r="B1148" s="1226" t="s">
        <v>4599</v>
      </c>
      <c r="C1148" s="2841"/>
      <c r="D1148" s="1023"/>
      <c r="E1148" s="1012">
        <f>VLOOKUP($B1148,DG!A:D,DG!$B$2,)</f>
        <v>0</v>
      </c>
      <c r="F1148" s="1013" t="str">
        <f>VLOOKUP($B1148,DG!A:D,DG!$C$2,)</f>
        <v>Co sừng 90 độ PVC 114</v>
      </c>
      <c r="G1148" s="1012" t="str">
        <f>VLOOKUP($B1148,DG!A:D,DG!$D$2,)</f>
        <v>cái</v>
      </c>
      <c r="H1148" s="1713">
        <v>1</v>
      </c>
      <c r="I1148" s="1192">
        <f>IF(M1148=$M$23,H1148+J1148-K1148,0)</f>
        <v>0</v>
      </c>
      <c r="J1148" s="1014"/>
      <c r="K1148" s="1014"/>
      <c r="L1148" s="1043"/>
      <c r="M1148" s="934">
        <v>160</v>
      </c>
    </row>
    <row r="1149" spans="1:13" s="1016" customFormat="1" ht="25.2" hidden="1" customHeight="1">
      <c r="A1149" s="1086">
        <f t="shared" si="48"/>
        <v>0</v>
      </c>
      <c r="B1149" s="1226" t="s">
        <v>4844</v>
      </c>
      <c r="C1149" s="2841"/>
      <c r="D1149" s="1023"/>
      <c r="E1149" s="1012">
        <f>VLOOKUP($B1149,DG!A:D,DG!$B$2,)</f>
        <v>0</v>
      </c>
      <c r="F1149" s="1013" t="str">
        <f>VLOOKUP($B1149,DG!A:D,DG!$C$2,)</f>
        <v>Co 135 độ PVC 114</v>
      </c>
      <c r="G1149" s="1012" t="str">
        <f>VLOOKUP($B1149,DG!A:D,DG!$D$2,)</f>
        <v>cái</v>
      </c>
      <c r="H1149" s="1713">
        <v>1</v>
      </c>
      <c r="I1149" s="1192">
        <f t="shared" si="49"/>
        <v>0</v>
      </c>
      <c r="J1149" s="1014"/>
      <c r="K1149" s="1014"/>
      <c r="L1149" s="1043"/>
      <c r="M1149" s="934">
        <v>160</v>
      </c>
    </row>
    <row r="1150" spans="1:13" s="1016" customFormat="1" ht="25.2" hidden="1" customHeight="1">
      <c r="A1150" s="1086">
        <f t="shared" si="48"/>
        <v>0</v>
      </c>
      <c r="B1150" s="1087" t="s">
        <v>731</v>
      </c>
      <c r="C1150" s="2842"/>
      <c r="D1150" s="1023"/>
      <c r="E1150" s="1012" t="str">
        <f>VLOOKUP($B1150,DG!A:D,DG!$B$2,)</f>
        <v>06.3231</v>
      </c>
      <c r="F1150" s="1013" t="str">
        <f>VLOOKUP($B1150,DG!A:D,DG!$C$2,)&amp;": CD-250"</f>
        <v>Cổ dê kẹp ống PVC Ø 114: CD-250</v>
      </c>
      <c r="G1150" s="1012" t="str">
        <f>VLOOKUP($B1150,DG!A:D,DG!$D$2,)</f>
        <v>bộ</v>
      </c>
      <c r="H1150" s="1713">
        <f>$H$1139*1</f>
        <v>0</v>
      </c>
      <c r="I1150" s="1192">
        <f t="shared" si="49"/>
        <v>0</v>
      </c>
      <c r="J1150" s="1014"/>
      <c r="K1150" s="1014"/>
      <c r="L1150" s="1043"/>
      <c r="M1150" s="934">
        <v>160</v>
      </c>
    </row>
    <row r="1151" spans="1:13" s="1016" customFormat="1" ht="25.2" hidden="1" customHeight="1">
      <c r="A1151" s="1086">
        <f t="shared" si="48"/>
        <v>0</v>
      </c>
      <c r="B1151" s="1087" t="s">
        <v>731</v>
      </c>
      <c r="C1151" s="2842"/>
      <c r="D1151" s="1023"/>
      <c r="E1151" s="1012" t="str">
        <f>VLOOKUP($B1151,DG!A:D,DG!$B$2,)</f>
        <v>06.3231</v>
      </c>
      <c r="F1151" s="1013" t="str">
        <f>VLOOKUP($B1151,DG!A:D,DG!$C$2,)&amp;": CD-280"</f>
        <v>Cổ dê kẹp ống PVC Ø 114: CD-280</v>
      </c>
      <c r="G1151" s="1012" t="str">
        <f>VLOOKUP($B1151,DG!A:D,DG!$D$2,)</f>
        <v>bộ</v>
      </c>
      <c r="H1151" s="1713">
        <f>$H$1139*1</f>
        <v>0</v>
      </c>
      <c r="I1151" s="1192">
        <f t="shared" si="49"/>
        <v>0</v>
      </c>
      <c r="J1151" s="1014"/>
      <c r="K1151" s="1014"/>
      <c r="L1151" s="1043"/>
      <c r="M1151" s="934">
        <v>160</v>
      </c>
    </row>
    <row r="1152" spans="1:13" s="1016" customFormat="1" ht="25.2" hidden="1" customHeight="1">
      <c r="A1152" s="1086">
        <f t="shared" si="48"/>
        <v>0</v>
      </c>
      <c r="B1152" s="1087" t="s">
        <v>1131</v>
      </c>
      <c r="C1152" s="2842"/>
      <c r="D1152" s="1023"/>
      <c r="E1152" s="1012" t="str">
        <f>VLOOKUP($B1152,DG!A:D,DG!$B$2,)</f>
        <v>06.2110</v>
      </c>
      <c r="F1152" s="1095" t="str">
        <f>VLOOKUP($B1152,DG!A:D,DG!$C$2,)&amp;": CD-280"</f>
        <v>Lắp cổ dê: CD-280</v>
      </c>
      <c r="G1152" s="1012" t="str">
        <f>VLOOKUP($B1152,DG!A:D,DG!$D$2,)</f>
        <v>bộ</v>
      </c>
      <c r="H1152" s="1713">
        <f>H1150+H1151</f>
        <v>0</v>
      </c>
      <c r="I1152" s="1192">
        <f t="shared" si="49"/>
        <v>0</v>
      </c>
      <c r="J1152" s="1014"/>
      <c r="K1152" s="1014"/>
      <c r="L1152" s="1043"/>
      <c r="M1152" s="934">
        <v>160</v>
      </c>
    </row>
    <row r="1153" spans="1:13" s="1016" customFormat="1" ht="25.2" hidden="1" customHeight="1">
      <c r="A1153" s="1086">
        <f t="shared" si="48"/>
        <v>0</v>
      </c>
      <c r="B1153" s="1246" t="s">
        <v>138</v>
      </c>
      <c r="C1153" s="2848"/>
      <c r="D1153" s="1023"/>
      <c r="E1153" s="1012">
        <f>VLOOKUP($B1153,DG!A:D,DG!$B$2,)</f>
        <v>0</v>
      </c>
      <c r="F1153" s="1013" t="str">
        <f>VLOOKUP($B1153,DG!A:D,DG!$C$2,)</f>
        <v>Boulon 12x40+ 2 long đền vuông D14-50x50x3/Zn</v>
      </c>
      <c r="G1153" s="1012" t="str">
        <f>VLOOKUP($B1153,DG!A:D,DG!$D$2,)</f>
        <v>bộ</v>
      </c>
      <c r="H1153" s="1713">
        <f>$H$1139*6*0</f>
        <v>0</v>
      </c>
      <c r="I1153" s="1192">
        <f t="shared" si="49"/>
        <v>0</v>
      </c>
      <c r="J1153" s="1014"/>
      <c r="K1153" s="1014"/>
      <c r="L1153" s="1043"/>
      <c r="M1153" s="934">
        <v>160</v>
      </c>
    </row>
    <row r="1154" spans="1:13" s="1016" customFormat="1" ht="25.2" hidden="1" customHeight="1">
      <c r="A1154" s="1086">
        <f t="shared" si="48"/>
        <v>0</v>
      </c>
      <c r="B1154" s="1226" t="s">
        <v>2167</v>
      </c>
      <c r="C1154" s="2841"/>
      <c r="D1154" s="1023"/>
      <c r="E1154" s="1012">
        <f>VLOOKUP($B1154,DG!A:D,DG!$B$2,)</f>
        <v>0</v>
      </c>
      <c r="F1154" s="1013" t="str">
        <f>VLOOKUP($B1154,DG!A:D,DG!$C$2,)</f>
        <v>Khâu ven răng trong D114</v>
      </c>
      <c r="G1154" s="1012" t="str">
        <f>VLOOKUP($B1154,DG!A:D,DG!$D$2,)</f>
        <v>cái</v>
      </c>
      <c r="H1154" s="1713"/>
      <c r="I1154" s="1192">
        <f t="shared" si="49"/>
        <v>0</v>
      </c>
      <c r="J1154" s="1014"/>
      <c r="K1154" s="1014"/>
      <c r="L1154" s="1043"/>
      <c r="M1154" s="934">
        <v>160</v>
      </c>
    </row>
    <row r="1155" spans="1:13" s="1016" customFormat="1" ht="25.2" hidden="1" customHeight="1">
      <c r="A1155" s="1086">
        <f t="shared" si="48"/>
        <v>0</v>
      </c>
      <c r="B1155" s="1226" t="s">
        <v>2168</v>
      </c>
      <c r="C1155" s="2841"/>
      <c r="D1155" s="1023"/>
      <c r="E1155" s="1012">
        <f>VLOOKUP($B1155,DG!A:D,DG!$B$2,)</f>
        <v>0</v>
      </c>
      <c r="F1155" s="1013" t="str">
        <f>VLOOKUP($B1155,DG!A:D,DG!$C$2,)&amp;": "</f>
        <v xml:space="preserve">Khâu ven răng ngoài D114: </v>
      </c>
      <c r="G1155" s="1012" t="str">
        <f>VLOOKUP($B1155,DG!A:D,DG!$D$2,)</f>
        <v>cái</v>
      </c>
      <c r="H1155" s="1713">
        <f>H1154</f>
        <v>0</v>
      </c>
      <c r="I1155" s="1192">
        <f t="shared" si="49"/>
        <v>0</v>
      </c>
      <c r="J1155" s="1014"/>
      <c r="K1155" s="1014"/>
      <c r="L1155" s="1043"/>
      <c r="M1155" s="934">
        <v>160</v>
      </c>
    </row>
    <row r="1156" spans="1:13" s="1016" customFormat="1" ht="25.2" hidden="1" customHeight="1">
      <c r="A1156" s="1086">
        <f t="shared" si="48"/>
        <v>0</v>
      </c>
      <c r="B1156" s="1226" t="s">
        <v>2074</v>
      </c>
      <c r="C1156" s="2841"/>
      <c r="D1156" s="1023"/>
      <c r="E1156" s="1012">
        <f>VLOOKUP($B1156,DG!A:D,DG!$B$2,)</f>
        <v>0</v>
      </c>
      <c r="F1156" s="1013" t="str">
        <f>VLOOKUP($B1156,DG!A:D,DG!$C$2,)&amp;": "</f>
        <v xml:space="preserve">Keo dán ống PVC (100gr): </v>
      </c>
      <c r="G1156" s="1012" t="str">
        <f>VLOOKUP($B1156,DG!A:D,DG!$D$2,)</f>
        <v>tuýp</v>
      </c>
      <c r="H1156" s="1713">
        <f>IF(H1149&gt;0,H1139*M2,)</f>
        <v>0</v>
      </c>
      <c r="I1156" s="1192">
        <f t="shared" si="49"/>
        <v>0</v>
      </c>
      <c r="J1156" s="1014"/>
      <c r="K1156" s="1014"/>
      <c r="L1156" s="1043"/>
      <c r="M1156" s="934">
        <v>160</v>
      </c>
    </row>
    <row r="1157" spans="1:13" s="1016" customFormat="1" ht="25.2" hidden="1" customHeight="1">
      <c r="A1157" s="1086">
        <f t="shared" si="48"/>
        <v>0</v>
      </c>
      <c r="B1157" s="1087" t="s">
        <v>6</v>
      </c>
      <c r="C1157" s="2842"/>
      <c r="D1157" s="1023"/>
      <c r="E1157" s="1012"/>
      <c r="F1157" s="1013" t="str">
        <f>VLOOKUP($B1157,DG!A:D,DG!$C$2,)</f>
        <v>Keo silicon bít miệng ống</v>
      </c>
      <c r="G1157" s="1012" t="str">
        <f>VLOOKUP($B1157,DG!A:D,DG!$D$2,)</f>
        <v>ống</v>
      </c>
      <c r="H1157" s="1713">
        <f>H1139*M2</f>
        <v>0</v>
      </c>
      <c r="I1157" s="1192">
        <f t="shared" si="49"/>
        <v>0</v>
      </c>
      <c r="J1157" s="1014"/>
      <c r="K1157" s="1014"/>
      <c r="L1157" s="1015"/>
      <c r="M1157" s="934">
        <v>160</v>
      </c>
    </row>
    <row r="1158" spans="1:13" s="1016" customFormat="1" ht="25.2" hidden="1" customHeight="1">
      <c r="A1158" s="1086">
        <f t="shared" si="48"/>
        <v>0</v>
      </c>
      <c r="B1158" s="1226" t="s">
        <v>2276</v>
      </c>
      <c r="C1158" s="2841"/>
      <c r="D1158" s="1023"/>
      <c r="E1158" s="1012" t="str">
        <f>VLOOKUP($B1158,DG!A:D,DG!$B$2,)</f>
        <v>03.1401</v>
      </c>
      <c r="F1158" s="1013" t="str">
        <f>VLOOKUP($B1158,DG!A:D,DG!$C$2,)</f>
        <v xml:space="preserve">Cáp CVV 4x4mm2  </v>
      </c>
      <c r="G1158" s="1012" t="str">
        <f>VLOOKUP($B1158,DG!A:D,DG!$D$2,)</f>
        <v>mét</v>
      </c>
      <c r="H1158" s="1713">
        <v>2</v>
      </c>
      <c r="I1158" s="1192">
        <f t="shared" si="49"/>
        <v>0</v>
      </c>
      <c r="J1158" s="1014"/>
      <c r="K1158" s="1014"/>
      <c r="L1158" s="1015"/>
      <c r="M1158" s="934">
        <v>160</v>
      </c>
    </row>
    <row r="1159" spans="1:13" s="1016" customFormat="1" ht="25.2" hidden="1" customHeight="1">
      <c r="A1159" s="1086">
        <f t="shared" si="48"/>
        <v>0</v>
      </c>
      <c r="B1159" s="1226" t="s">
        <v>1348</v>
      </c>
      <c r="C1159" s="2841"/>
      <c r="D1159" s="1023"/>
      <c r="E1159" s="1012">
        <f>VLOOKUP($B1159,DG!A:D,DG!$B$2,)</f>
        <v>0</v>
      </c>
      <c r="F1159" s="1013" t="str">
        <f>VLOOKUP($B1159,DG!A:D,DG!$C$2,)</f>
        <v>Dây rút cáp</v>
      </c>
      <c r="G1159" s="1012" t="str">
        <f>VLOOKUP($B1159,DG!A:D,DG!$D$2,)</f>
        <v>bọc</v>
      </c>
      <c r="H1159" s="1713"/>
      <c r="I1159" s="1192">
        <f>IF(M1159=$M$23,H1159+J1159-K1159,0)</f>
        <v>0</v>
      </c>
      <c r="J1159" s="1014"/>
      <c r="K1159" s="1014"/>
      <c r="L1159" s="1015"/>
      <c r="M1159" s="934">
        <v>160</v>
      </c>
    </row>
    <row r="1160" spans="1:13" s="1016" customFormat="1" ht="25.2" hidden="1" customHeight="1">
      <c r="A1160" s="1086">
        <f t="shared" si="48"/>
        <v>0</v>
      </c>
      <c r="B1160" s="1226" t="s">
        <v>4348</v>
      </c>
      <c r="C1160" s="2841"/>
      <c r="D1160" s="1023"/>
      <c r="E1160" s="1012">
        <f>VLOOKUP($B1160,DG!A:D,DG!$B$2,)</f>
        <v>0</v>
      </c>
      <c r="F1160" s="1013" t="str">
        <f>VLOOKUP($B1160,DG!A:D,DG!$C$2,)</f>
        <v>Chụp cách điện đầu cực MBA</v>
      </c>
      <c r="G1160" s="1012" t="str">
        <f>VLOOKUP($B1160,DG!A:D,DG!$D$2,)</f>
        <v>cái</v>
      </c>
      <c r="H1160" s="1713"/>
      <c r="I1160" s="1192">
        <f>IF(M1160=$M$23,H1160+J1160-K1160,0)</f>
        <v>0</v>
      </c>
      <c r="J1160" s="1014"/>
      <c r="K1160" s="1014"/>
      <c r="L1160" s="1015"/>
      <c r="M1160" s="934">
        <v>160</v>
      </c>
    </row>
    <row r="1161" spans="1:13" s="1016" customFormat="1" ht="25.2" hidden="1" customHeight="1">
      <c r="A1161" s="1086">
        <f t="shared" si="48"/>
        <v>0</v>
      </c>
      <c r="B1161" s="1226" t="s">
        <v>4342</v>
      </c>
      <c r="C1161" s="2841"/>
      <c r="D1161" s="1023"/>
      <c r="E1161" s="1012">
        <f>VLOOKUP($B1161,DG!A:D,DG!$B$2,)</f>
        <v>0</v>
      </c>
      <c r="F1161" s="1013" t="str">
        <f>VLOOKUP($B1161,DG!A:D,DG!$C$2,)</f>
        <v>Chụp cách điện đầu cực FCO (trên + dưới)</v>
      </c>
      <c r="G1161" s="1012" t="str">
        <f>VLOOKUP($B1161,DG!A:D,DG!$D$2,)</f>
        <v>bộ</v>
      </c>
      <c r="H1161" s="1713"/>
      <c r="I1161" s="1192">
        <f>IF(M1161=$M$23,H1161+J1161-K1161,0)</f>
        <v>0</v>
      </c>
      <c r="J1161" s="1014"/>
      <c r="K1161" s="1014"/>
      <c r="L1161" s="1015"/>
      <c r="M1161" s="934">
        <v>160</v>
      </c>
    </row>
    <row r="1162" spans="1:13" s="1016" customFormat="1" ht="25.2" hidden="1" customHeight="1">
      <c r="A1162" s="1086">
        <f t="shared" si="48"/>
        <v>0</v>
      </c>
      <c r="B1162" s="1226" t="s">
        <v>4350</v>
      </c>
      <c r="C1162" s="2841"/>
      <c r="D1162" s="1023"/>
      <c r="E1162" s="1012">
        <f>VLOOKUP($B1162,DG!A:D,DG!$B$2,)</f>
        <v>0</v>
      </c>
      <c r="F1162" s="1013" t="str">
        <f>VLOOKUP($B1162,DG!A:D,DG!$C$2,)</f>
        <v>Chụp cách điện đầu cực LA</v>
      </c>
      <c r="G1162" s="1012" t="str">
        <f>VLOOKUP($B1162,DG!A:D,DG!$D$2,)</f>
        <v>cái</v>
      </c>
      <c r="H1162" s="1713"/>
      <c r="I1162" s="1192">
        <f t="shared" si="49"/>
        <v>0</v>
      </c>
      <c r="J1162" s="1014"/>
      <c r="K1162" s="1014"/>
      <c r="L1162" s="1015"/>
      <c r="M1162" s="934">
        <v>160</v>
      </c>
    </row>
    <row r="1163" spans="1:13" s="1016" customFormat="1" ht="25.2" hidden="1" customHeight="1">
      <c r="A1163" s="1086">
        <f t="shared" si="48"/>
        <v>0</v>
      </c>
      <c r="B1163" s="1087" t="s">
        <v>672</v>
      </c>
      <c r="C1163" s="2842"/>
      <c r="D1163" s="1023"/>
      <c r="E1163" s="1012">
        <f>VLOOKUP($B1163,DG!A:D,DG!$B$2,)</f>
        <v>0</v>
      </c>
      <c r="F1163" s="1013" t="str">
        <f>VLOOKUP($B1163,DG!A:D,DG!$C$2,)&amp;":"</f>
        <v>Băng keo cách điện:</v>
      </c>
      <c r="G1163" s="1012" t="str">
        <f>VLOOKUP($B1163,DG!A:D,DG!$D$2,)</f>
        <v>cuộn</v>
      </c>
      <c r="H1163" s="1713">
        <f>H1139*M2*2</f>
        <v>0</v>
      </c>
      <c r="I1163" s="1192">
        <f t="shared" si="49"/>
        <v>0</v>
      </c>
      <c r="J1163" s="1014"/>
      <c r="K1163" s="1014"/>
      <c r="L1163" s="1043"/>
      <c r="M1163" s="934">
        <v>160</v>
      </c>
    </row>
    <row r="1164" spans="1:13" s="1016" customFormat="1" ht="25.2" hidden="1" customHeight="1">
      <c r="A1164" s="1086">
        <f t="shared" si="48"/>
        <v>0</v>
      </c>
      <c r="B1164" s="1087" t="s">
        <v>1410</v>
      </c>
      <c r="C1164" s="2842"/>
      <c r="D1164" s="1023"/>
      <c r="E1164" s="1012" t="str">
        <f>VLOOKUP($B1164,DG!A:D,DG!$B$2,)</f>
        <v>05.6101</v>
      </c>
      <c r="F1164" s="1013" t="str">
        <f>VLOOKUP($B1164,DG!A:D,DG!$C$2,)&amp;":"</f>
        <v>Lắp Giá đỡ cáp:</v>
      </c>
      <c r="G1164" s="1012" t="str">
        <f>VLOOKUP($B1164,DG!A:D,DG!$D$2,)</f>
        <v>bộ</v>
      </c>
      <c r="H1164" s="1713"/>
      <c r="I1164" s="1192">
        <f t="shared" si="49"/>
        <v>0</v>
      </c>
      <c r="J1164" s="1014"/>
      <c r="K1164" s="1014"/>
      <c r="L1164" s="1043"/>
      <c r="M1164" s="934">
        <v>160</v>
      </c>
    </row>
    <row r="1165" spans="1:13" s="1016" customFormat="1" ht="25.2" hidden="1" customHeight="1">
      <c r="A1165" s="1086">
        <f t="shared" si="48"/>
        <v>0</v>
      </c>
      <c r="B1165" s="1087" t="s">
        <v>247</v>
      </c>
      <c r="C1165" s="2842"/>
      <c r="D1165" s="1023"/>
      <c r="E1165" s="1012" t="str">
        <f>VLOOKUP($B1165,DG!A:D,DG!$B$2,)</f>
        <v>04.4203</v>
      </c>
      <c r="F1165" s="1013" t="str">
        <f>VLOOKUP($B1165,DG!A:D,DG!$C$2,)&amp;":"</f>
        <v>Lắp cáp đồng xuống thiết bị D &gt; 150mm2:</v>
      </c>
      <c r="G1165" s="1012" t="str">
        <f>VLOOKUP($B1165,DG!A:D,DG!$D$2,)</f>
        <v>m</v>
      </c>
      <c r="H1165" s="1713"/>
      <c r="I1165" s="1192">
        <f t="shared" si="49"/>
        <v>0</v>
      </c>
      <c r="J1165" s="1014"/>
      <c r="K1165" s="1014"/>
      <c r="L1165" s="1043"/>
      <c r="M1165" s="934">
        <v>160</v>
      </c>
    </row>
    <row r="1166" spans="1:13" s="1016" customFormat="1" ht="25.2" hidden="1" customHeight="1">
      <c r="A1166" s="1086">
        <f t="shared" si="48"/>
        <v>0</v>
      </c>
      <c r="B1166" s="1087" t="s">
        <v>2006</v>
      </c>
      <c r="C1166" s="2842"/>
      <c r="D1166" s="1023"/>
      <c r="E1166" s="1012" t="str">
        <f>VLOOKUP($B1166,DG!A:D,DG!$B$2,)</f>
        <v>04.4202</v>
      </c>
      <c r="F1166" s="1095" t="str">
        <f>VLOOKUP($B1166,DG!A:D,DG!$C$2,)&amp;":"</f>
        <v>Lắp cáp đồng xuống thiết bị D ≤ 150mm2:</v>
      </c>
      <c r="G1166" s="1012" t="str">
        <f>VLOOKUP($B1166,DG!A:D,DG!$D$2,)</f>
        <v>m</v>
      </c>
      <c r="H1166" s="1713">
        <f>H1141+H1142</f>
        <v>34</v>
      </c>
      <c r="I1166" s="1192">
        <f t="shared" si="49"/>
        <v>0</v>
      </c>
      <c r="J1166" s="1014"/>
      <c r="K1166" s="1014"/>
      <c r="L1166" s="1015"/>
      <c r="M1166" s="934">
        <v>160</v>
      </c>
    </row>
    <row r="1167" spans="1:13" s="1016" customFormat="1" ht="25.2" hidden="1" customHeight="1">
      <c r="A1167" s="1086">
        <f t="shared" si="48"/>
        <v>0</v>
      </c>
      <c r="B1167" s="1087" t="s">
        <v>242</v>
      </c>
      <c r="C1167" s="2842"/>
      <c r="D1167" s="1023"/>
      <c r="E1167" s="1012">
        <f>VLOOKUP($B1167,DG!A:D,DG!$B$2,)</f>
        <v>0</v>
      </c>
      <c r="F1167" s="1013" t="str">
        <f>VLOOKUP($B1167,DG!A:D,DG!$C$2,)&amp;":"</f>
        <v>Bộ móng tủ bù 0,2x0,2x0,4x4móng:</v>
      </c>
      <c r="G1167" s="1012" t="str">
        <f>VLOOKUP($B1167,DG!A:D,DG!$D$2,)</f>
        <v>trọn bộ</v>
      </c>
      <c r="H1167" s="1713">
        <f>H1139*1*0</f>
        <v>0</v>
      </c>
      <c r="I1167" s="1192">
        <f t="shared" si="49"/>
        <v>0</v>
      </c>
      <c r="J1167" s="1014"/>
      <c r="K1167" s="1014"/>
      <c r="L1167" s="1015"/>
      <c r="M1167" s="934">
        <v>160</v>
      </c>
    </row>
    <row r="1168" spans="1:13" s="1016" customFormat="1" ht="25.2" hidden="1" customHeight="1">
      <c r="A1168" s="1086">
        <f t="shared" si="48"/>
        <v>0</v>
      </c>
      <c r="B1168" s="1087"/>
      <c r="C1168" s="2842"/>
      <c r="D1168" s="1017">
        <f>IF(H1168&gt;0,D1139+1,D1139)</f>
        <v>0</v>
      </c>
      <c r="E1168" s="1018"/>
      <c r="F1168" s="1027" t="s">
        <v>3729</v>
      </c>
      <c r="G1168" s="1017" t="s">
        <v>2385</v>
      </c>
      <c r="H1168" s="1743"/>
      <c r="I1168" s="1192">
        <f t="shared" si="49"/>
        <v>0</v>
      </c>
      <c r="J1168" s="1014"/>
      <c r="K1168" s="1014"/>
      <c r="L1168" s="1043"/>
      <c r="M1168" s="934">
        <v>160</v>
      </c>
    </row>
    <row r="1169" spans="1:13" s="1067" customFormat="1" ht="25.2" hidden="1" customHeight="1">
      <c r="A1169" s="1086">
        <f t="shared" si="48"/>
        <v>0</v>
      </c>
      <c r="B1169" s="1257"/>
      <c r="C1169" s="2859"/>
      <c r="D1169" s="1011"/>
      <c r="E1169" s="1021"/>
      <c r="F1169" s="1268" t="s">
        <v>2279</v>
      </c>
      <c r="G1169" s="1011"/>
      <c r="H1169" s="1723"/>
      <c r="I1169" s="1192">
        <f t="shared" si="49"/>
        <v>0</v>
      </c>
      <c r="J1169" s="1014"/>
      <c r="K1169" s="1014"/>
      <c r="L1169" s="1043"/>
      <c r="M1169" s="934">
        <v>160</v>
      </c>
    </row>
    <row r="1170" spans="1:13" s="1016" customFormat="1" ht="25.2" hidden="1" customHeight="1">
      <c r="A1170" s="1086">
        <f t="shared" si="48"/>
        <v>0</v>
      </c>
      <c r="B1170" s="1226" t="s">
        <v>1822</v>
      </c>
      <c r="C1170" s="2841"/>
      <c r="D1170" s="1043"/>
      <c r="E1170" s="1012" t="str">
        <f>VLOOKUP($B1170,DG!A:D,DG!$B$2,)</f>
        <v>03.1401</v>
      </c>
      <c r="F1170" s="1041" t="str">
        <f>VLOOKUP($B1170,DG!A:D,DG!$C$2,)</f>
        <v xml:space="preserve">Cáp CVV 4x2,5mm2  </v>
      </c>
      <c r="G1170" s="1068" t="str">
        <f>VLOOKUP($B1170,DG!A:D,DG!$D$2,)</f>
        <v>mét</v>
      </c>
      <c r="H1170" s="1713">
        <f>H1168*26</f>
        <v>0</v>
      </c>
      <c r="I1170" s="1192">
        <f t="shared" si="49"/>
        <v>0</v>
      </c>
      <c r="J1170" s="1064"/>
      <c r="K1170" s="1064"/>
      <c r="L1170" s="1043"/>
      <c r="M1170" s="934">
        <v>160</v>
      </c>
    </row>
    <row r="1171" spans="1:13" s="1016" customFormat="1" ht="25.2" hidden="1" customHeight="1">
      <c r="A1171" s="1086">
        <f t="shared" si="48"/>
        <v>0</v>
      </c>
      <c r="B1171" s="1226" t="s">
        <v>246</v>
      </c>
      <c r="C1171" s="2841"/>
      <c r="D1171" s="1043"/>
      <c r="E1171" s="1012" t="str">
        <f>VLOOKUP($B1171,DG!A:D,DG!$B$2,)</f>
        <v>05.6101</v>
      </c>
      <c r="F1171" s="1041" t="str">
        <f>VLOOKUP($B1171,DG!A:D,DG!$C$2,)</f>
        <v>Xà kẹp TU, TI U50x32x4 350</v>
      </c>
      <c r="G1171" s="1068" t="str">
        <f>VLOOKUP($B1171,DG!A:D,DG!$D$2,)</f>
        <v>Bộ</v>
      </c>
      <c r="H1171" s="1713">
        <f>H1168*24</f>
        <v>0</v>
      </c>
      <c r="I1171" s="1192">
        <f t="shared" si="49"/>
        <v>0</v>
      </c>
      <c r="J1171" s="1064"/>
      <c r="K1171" s="1064"/>
      <c r="L1171" s="1043"/>
      <c r="M1171" s="934">
        <v>160</v>
      </c>
    </row>
    <row r="1172" spans="1:13" s="1016" customFormat="1" ht="25.2" hidden="1" customHeight="1">
      <c r="A1172" s="1086">
        <f t="shared" si="48"/>
        <v>0</v>
      </c>
      <c r="B1172" s="1226" t="s">
        <v>1865</v>
      </c>
      <c r="C1172" s="2841"/>
      <c r="D1172" s="1023"/>
      <c r="E1172" s="1012" t="str">
        <f>VLOOKUP($B1172,DG!A:D,DG!$B$2,)</f>
        <v>03.4001</v>
      </c>
      <c r="F1172" s="1041" t="str">
        <f>VLOOKUP($B1172,DG!A:D,DG!$C$2,)</f>
        <v xml:space="preserve">Đầu cosse ép Cu 2,5mm2 + bao PVC </v>
      </c>
      <c r="G1172" s="1068" t="str">
        <f>VLOOKUP($B1172,DG!A:D,DG!$D$2,)</f>
        <v>cái</v>
      </c>
      <c r="H1172" s="1713">
        <f>H1168*16</f>
        <v>0</v>
      </c>
      <c r="I1172" s="1192">
        <f t="shared" si="49"/>
        <v>0</v>
      </c>
      <c r="J1172" s="1064"/>
      <c r="K1172" s="1064"/>
      <c r="L1172" s="1043"/>
      <c r="M1172" s="934">
        <v>160</v>
      </c>
    </row>
    <row r="1173" spans="1:13" s="1016" customFormat="1" ht="25.2" hidden="1" customHeight="1">
      <c r="A1173" s="1086">
        <f t="shared" si="48"/>
        <v>0</v>
      </c>
      <c r="B1173" s="1226" t="s">
        <v>1510</v>
      </c>
      <c r="C1173" s="2841"/>
      <c r="D1173" s="1023"/>
      <c r="E1173" s="1012">
        <f>VLOOKUP($B1173,DG!A:D,DG!$B$2,)</f>
        <v>0</v>
      </c>
      <c r="F1173" s="1041" t="str">
        <f>VLOOKUP($B1173,DG!A:D,DG!$C$2,)</f>
        <v>Dây điện đôi 16/10</v>
      </c>
      <c r="G1173" s="1068" t="str">
        <f>VLOOKUP($B1173,DG!A:D,DG!$D$2,)</f>
        <v>mét</v>
      </c>
      <c r="H1173" s="1713">
        <f>2*H1168</f>
        <v>0</v>
      </c>
      <c r="I1173" s="1192">
        <f t="shared" si="49"/>
        <v>0</v>
      </c>
      <c r="J1173" s="1064"/>
      <c r="K1173" s="1064"/>
      <c r="L1173" s="1043"/>
      <c r="M1173" s="934">
        <v>160</v>
      </c>
    </row>
    <row r="1174" spans="1:13" s="1016" customFormat="1" ht="25.2" hidden="1" customHeight="1">
      <c r="A1174" s="1086">
        <f t="shared" si="48"/>
        <v>0</v>
      </c>
      <c r="B1174" s="1226" t="s">
        <v>1114</v>
      </c>
      <c r="C1174" s="2841"/>
      <c r="D1174" s="1023"/>
      <c r="E1174" s="1012">
        <f>VLOOKUP($B1174,DG!A:D,DG!$B$2,)</f>
        <v>0</v>
      </c>
      <c r="F1174" s="1041" t="str">
        <f>VLOOKUP($B1174,DG!A:D,DG!$C$2,)&amp;" (ñaáu TU )"</f>
        <v>Kẹp ép cỡ dây 25mm2 (ñaáu TU )</v>
      </c>
      <c r="G1174" s="1068" t="str">
        <f>VLOOKUP($B1174,DG!A:D,DG!$D$2,)</f>
        <v>cái</v>
      </c>
      <c r="H1174" s="1713">
        <f>+H1168*3</f>
        <v>0</v>
      </c>
      <c r="I1174" s="1192">
        <f t="shared" si="49"/>
        <v>0</v>
      </c>
      <c r="J1174" s="1064"/>
      <c r="K1174" s="1064"/>
      <c r="L1174" s="1043"/>
      <c r="M1174" s="934">
        <v>160</v>
      </c>
    </row>
    <row r="1175" spans="1:13" s="1016" customFormat="1" ht="25.2" hidden="1" customHeight="1">
      <c r="A1175" s="1086">
        <f t="shared" si="48"/>
        <v>0</v>
      </c>
      <c r="B1175" s="1226" t="s">
        <v>2141</v>
      </c>
      <c r="C1175" s="2841"/>
      <c r="D1175" s="1023"/>
      <c r="E1175" s="1012" t="str">
        <f>VLOOKUP($B1175,DG!A:D,DG!$B$2,)</f>
        <v>07.2403</v>
      </c>
      <c r="F1175" s="1041" t="str">
        <f>VLOOKUP($B1175,DG!A:D,DG!$C$2,)</f>
        <v>Ống PVC D42x2,1mm</v>
      </c>
      <c r="G1175" s="1068" t="str">
        <f>VLOOKUP($B1175,DG!A:D,DG!$D$2,)</f>
        <v>m</v>
      </c>
      <c r="H1175" s="1713">
        <f>H1168*16</f>
        <v>0</v>
      </c>
      <c r="I1175" s="1192">
        <f t="shared" si="49"/>
        <v>0</v>
      </c>
      <c r="J1175" s="1064"/>
      <c r="K1175" s="1064"/>
      <c r="L1175" s="1043"/>
      <c r="M1175" s="934">
        <v>160</v>
      </c>
    </row>
    <row r="1176" spans="1:13" s="1016" customFormat="1" ht="25.2" hidden="1" customHeight="1">
      <c r="A1176" s="1086">
        <f t="shared" si="48"/>
        <v>0</v>
      </c>
      <c r="B1176" s="1087" t="s">
        <v>204</v>
      </c>
      <c r="C1176" s="2842"/>
      <c r="D1176" s="1023"/>
      <c r="E1176" s="1012" t="str">
        <f>VLOOKUP($B1176,DG!A:D,DG!$B$2,)</f>
        <v>06.3231</v>
      </c>
      <c r="F1176" s="1041" t="str">
        <f>VLOOKUP($B1176,DG!A:D,DG!$C$2,)</f>
        <v>Cổ dê giữ ống PVC D42</v>
      </c>
      <c r="G1176" s="1068" t="str">
        <f>VLOOKUP($B1176,DG!A:D,DG!$D$2,)</f>
        <v>bộ</v>
      </c>
      <c r="H1176" s="1713">
        <f>H1168*4</f>
        <v>0</v>
      </c>
      <c r="I1176" s="1192">
        <f t="shared" si="49"/>
        <v>0</v>
      </c>
      <c r="J1176" s="1064"/>
      <c r="K1176" s="1064"/>
      <c r="L1176" s="1043"/>
      <c r="M1176" s="934">
        <v>160</v>
      </c>
    </row>
    <row r="1177" spans="1:13" s="1016" customFormat="1" ht="25.2" hidden="1" customHeight="1">
      <c r="A1177" s="1086">
        <f t="shared" si="48"/>
        <v>0</v>
      </c>
      <c r="B1177" s="1226" t="s">
        <v>1616</v>
      </c>
      <c r="C1177" s="2841"/>
      <c r="D1177" s="1023"/>
      <c r="E1177" s="1012">
        <f>VLOOKUP($B1177,DG!A:D,DG!$B$2,)</f>
        <v>0</v>
      </c>
      <c r="F1177" s="1041" t="str">
        <f>VLOOKUP($B1177,DG!A:D,DG!$C$2,)</f>
        <v>Co 90 độ PVC 42</v>
      </c>
      <c r="G1177" s="1068" t="str">
        <f>VLOOKUP($B1177,DG!A:D,DG!$D$2,)</f>
        <v>cái</v>
      </c>
      <c r="H1177" s="1713">
        <f>H1168*5</f>
        <v>0</v>
      </c>
      <c r="I1177" s="1192">
        <f t="shared" si="49"/>
        <v>0</v>
      </c>
      <c r="J1177" s="1064"/>
      <c r="K1177" s="1064"/>
      <c r="L1177" s="1043"/>
      <c r="M1177" s="934">
        <v>160</v>
      </c>
    </row>
    <row r="1178" spans="1:13" s="1016" customFormat="1" ht="25.2" hidden="1" customHeight="1">
      <c r="A1178" s="1086">
        <f t="shared" ref="A1178:A1241" si="50">IF(AND(M1178=$M$23,I1178&gt;0),1,0)</f>
        <v>0</v>
      </c>
      <c r="B1178" s="1226" t="s">
        <v>1050</v>
      </c>
      <c r="C1178" s="2841"/>
      <c r="D1178" s="1023"/>
      <c r="E1178" s="1012">
        <f>VLOOKUP($B1178,DG!A:D,DG!$B$2,)</f>
        <v>0</v>
      </c>
      <c r="F1178" s="1041" t="str">
        <f>VLOOKUP($B1178,DG!A:D,DG!$C$2,)</f>
        <v>Co chữ T ống PVC 42</v>
      </c>
      <c r="G1178" s="1068" t="str">
        <f>VLOOKUP($B1178,DG!A:D,DG!$D$2,)</f>
        <v>cái</v>
      </c>
      <c r="H1178" s="1713">
        <f>H1168*5</f>
        <v>0</v>
      </c>
      <c r="I1178" s="1192">
        <f t="shared" si="49"/>
        <v>0</v>
      </c>
      <c r="J1178" s="1064"/>
      <c r="K1178" s="1064"/>
      <c r="L1178" s="1043"/>
      <c r="M1178" s="934">
        <v>160</v>
      </c>
    </row>
    <row r="1179" spans="1:13" s="1016" customFormat="1" ht="25.2" hidden="1" customHeight="1">
      <c r="A1179" s="1086">
        <f t="shared" si="50"/>
        <v>0</v>
      </c>
      <c r="B1179" s="1226" t="s">
        <v>1913</v>
      </c>
      <c r="C1179" s="2841"/>
      <c r="D1179" s="1023"/>
      <c r="E1179" s="1012">
        <f>VLOOKUP($B1179,DG!A:D,DG!$B$2,)</f>
        <v>0</v>
      </c>
      <c r="F1179" s="1041" t="str">
        <f>VLOOKUP($B1179,DG!A:D,DG!$C$2,)</f>
        <v>Nối thẳng ống PVC 42</v>
      </c>
      <c r="G1179" s="1068" t="str">
        <f>VLOOKUP($B1179,DG!A:D,DG!$D$2,)</f>
        <v>cái</v>
      </c>
      <c r="H1179" s="1713">
        <f>H1168</f>
        <v>0</v>
      </c>
      <c r="I1179" s="1192">
        <f t="shared" si="49"/>
        <v>0</v>
      </c>
      <c r="J1179" s="1064"/>
      <c r="K1179" s="1064"/>
      <c r="L1179" s="1043"/>
      <c r="M1179" s="934">
        <v>160</v>
      </c>
    </row>
    <row r="1180" spans="1:13" s="1016" customFormat="1" ht="25.2" hidden="1" customHeight="1">
      <c r="A1180" s="1086">
        <f t="shared" si="50"/>
        <v>0</v>
      </c>
      <c r="B1180" s="1226" t="s">
        <v>697</v>
      </c>
      <c r="C1180" s="2841"/>
      <c r="D1180" s="1023"/>
      <c r="E1180" s="1012">
        <f>VLOOKUP($B1180,DG!A:D,DG!$B$2,)</f>
        <v>0</v>
      </c>
      <c r="F1180" s="1041" t="str">
        <f>VLOOKUP($B1180,DG!A:D,DG!$C$2,)&amp;" ñaáu TU"</f>
        <v>Cáp 24KV C/XLPE/PVC 25mm2 ñaáu TU</v>
      </c>
      <c r="G1180" s="1068" t="str">
        <f>VLOOKUP($B1180,DG!A:D,DG!$D$2,)</f>
        <v>mét</v>
      </c>
      <c r="H1180" s="1713">
        <f>H1168*2.5*3*0</f>
        <v>0</v>
      </c>
      <c r="I1180" s="1192">
        <f t="shared" si="49"/>
        <v>0</v>
      </c>
      <c r="J1180" s="1064"/>
      <c r="K1180" s="1064"/>
      <c r="L1180" s="1043"/>
      <c r="M1180" s="934">
        <v>160</v>
      </c>
    </row>
    <row r="1181" spans="1:13" s="1016" customFormat="1" ht="25.2" hidden="1" customHeight="1">
      <c r="A1181" s="1086">
        <f t="shared" si="50"/>
        <v>0</v>
      </c>
      <c r="B1181" s="1226" t="s">
        <v>726</v>
      </c>
      <c r="C1181" s="2841"/>
      <c r="D1181" s="1023"/>
      <c r="E1181" s="1012">
        <f>VLOOKUP($B1181,DG!A:D,DG!$B$2,)</f>
        <v>0</v>
      </c>
      <c r="F1181" s="1041" t="str">
        <f>VLOOKUP($B1181,DG!A:D,DG!$C$2,)</f>
        <v>Keo dán ống PVC (500gr)</v>
      </c>
      <c r="G1181" s="1068" t="str">
        <f>VLOOKUP($B1181,DG!A:D,DG!$D$2,)</f>
        <v>lon</v>
      </c>
      <c r="H1181" s="1713">
        <f>H1168</f>
        <v>0</v>
      </c>
      <c r="I1181" s="1192">
        <f t="shared" si="49"/>
        <v>0</v>
      </c>
      <c r="J1181" s="1064"/>
      <c r="K1181" s="1064"/>
      <c r="L1181" s="1043"/>
      <c r="M1181" s="934">
        <v>160</v>
      </c>
    </row>
    <row r="1182" spans="1:13" s="1016" customFormat="1" ht="25.2" hidden="1" customHeight="1">
      <c r="A1182" s="1086">
        <f t="shared" si="50"/>
        <v>0</v>
      </c>
      <c r="B1182" s="1087" t="s">
        <v>672</v>
      </c>
      <c r="C1182" s="2842"/>
      <c r="D1182" s="1023"/>
      <c r="E1182" s="1012">
        <f>VLOOKUP($B1182,DG!A:D,DG!$B$2,)</f>
        <v>0</v>
      </c>
      <c r="F1182" s="1041" t="str">
        <f>VLOOKUP($B1182,DG!A:D,DG!$C$2,)</f>
        <v>Băng keo cách điện</v>
      </c>
      <c r="G1182" s="1068" t="str">
        <f>VLOOKUP($B1182,DG!A:D,DG!$D$2,)</f>
        <v>cuộn</v>
      </c>
      <c r="H1182" s="1713">
        <f>H1168</f>
        <v>0</v>
      </c>
      <c r="I1182" s="1192">
        <f t="shared" si="49"/>
        <v>0</v>
      </c>
      <c r="J1182" s="1014"/>
      <c r="K1182" s="1014"/>
      <c r="L1182" s="1043"/>
      <c r="M1182" s="934">
        <v>160</v>
      </c>
    </row>
    <row r="1183" spans="1:13" s="1016" customFormat="1" ht="25.2" hidden="1" customHeight="1">
      <c r="A1183" s="1086">
        <f t="shared" si="50"/>
        <v>0</v>
      </c>
      <c r="B1183" s="1226" t="s">
        <v>2120</v>
      </c>
      <c r="C1183" s="2841"/>
      <c r="D1183" s="1023"/>
      <c r="E1183" s="1012">
        <f>VLOOKUP($B1183,DG!A:D,DG!$B$2,)</f>
        <v>0</v>
      </c>
      <c r="F1183" s="1041" t="str">
        <f>VLOOKUP($B1183,DG!A:D,DG!$C$2,)</f>
        <v>Khâu ven răng trong D42</v>
      </c>
      <c r="G1183" s="1068" t="str">
        <f>VLOOKUP($B1183,DG!A:D,DG!$D$2,)</f>
        <v>cái</v>
      </c>
      <c r="H1183" s="1713">
        <f>H1168</f>
        <v>0</v>
      </c>
      <c r="I1183" s="1192">
        <f t="shared" si="49"/>
        <v>0</v>
      </c>
      <c r="J1183" s="1014"/>
      <c r="K1183" s="1014"/>
      <c r="L1183" s="1043"/>
      <c r="M1183" s="934">
        <v>160</v>
      </c>
    </row>
    <row r="1184" spans="1:13" s="1016" customFormat="1" ht="25.2" hidden="1" customHeight="1">
      <c r="A1184" s="1086">
        <f t="shared" si="50"/>
        <v>0</v>
      </c>
      <c r="B1184" s="1087" t="s">
        <v>959</v>
      </c>
      <c r="C1184" s="2842"/>
      <c r="D1184" s="1023"/>
      <c r="E1184" s="1012">
        <f>VLOOKUP($B1184,DG!A:D,DG!$B$2,)</f>
        <v>0</v>
      </c>
      <c r="F1184" s="1041" t="str">
        <f>VLOOKUP($B1184,DG!A:D,DG!$C$2,)</f>
        <v>Khâu ven răng ngoài D42</v>
      </c>
      <c r="G1184" s="1068" t="str">
        <f>VLOOKUP($B1184,DG!A:D,DG!$D$2,)</f>
        <v>cái</v>
      </c>
      <c r="H1184" s="1713">
        <f>H1168</f>
        <v>0</v>
      </c>
      <c r="I1184" s="1192">
        <f t="shared" si="49"/>
        <v>0</v>
      </c>
      <c r="J1184" s="1014"/>
      <c r="K1184" s="1014"/>
      <c r="L1184" s="1043"/>
      <c r="M1184" s="934">
        <v>160</v>
      </c>
    </row>
    <row r="1185" spans="1:13" s="1016" customFormat="1" ht="25.2" hidden="1" customHeight="1">
      <c r="A1185" s="1086">
        <f t="shared" si="50"/>
        <v>0</v>
      </c>
      <c r="B1185" s="1087" t="s">
        <v>319</v>
      </c>
      <c r="C1185" s="2842"/>
      <c r="D1185" s="1023"/>
      <c r="E1185" s="1012" t="str">
        <f>VLOOKUP($B1185,DG!A:D,DG!$B$2,)</f>
        <v>06.3231</v>
      </c>
      <c r="F1185" s="1041" t="str">
        <f>VLOOKUP($B1185,DG!A:D,DG!$C$2,)</f>
        <v>Cổ dê CDĐKĐT( bắt thùng điện kế)</v>
      </c>
      <c r="G1185" s="1068" t="str">
        <f>VLOOKUP($B1185,DG!A:D,DG!$D$2,)</f>
        <v>bộ</v>
      </c>
      <c r="H1185" s="1744">
        <f>H1168*2*0</f>
        <v>0</v>
      </c>
      <c r="I1185" s="1192">
        <f t="shared" si="49"/>
        <v>0</v>
      </c>
      <c r="J1185" s="1014"/>
      <c r="K1185" s="1014"/>
      <c r="L1185" s="1015"/>
      <c r="M1185" s="934">
        <v>160</v>
      </c>
    </row>
    <row r="1186" spans="1:13" s="1016" customFormat="1" ht="25.2" hidden="1" customHeight="1">
      <c r="A1186" s="1086">
        <f t="shared" si="50"/>
        <v>0</v>
      </c>
      <c r="B1186" s="1087" t="s">
        <v>1915</v>
      </c>
      <c r="C1186" s="2842"/>
      <c r="D1186" s="1023"/>
      <c r="E1186" s="1012" t="str">
        <f>VLOOKUP($B1186,DG!A:D,DG!$B$2,)</f>
        <v>05.1101</v>
      </c>
      <c r="F1186" s="1041" t="str">
        <f>VLOOKUP($B1186,DG!A:D,DG!$C$2,)</f>
        <v>Thùng điện kế 450x300x200mm đo đếm trung thế</v>
      </c>
      <c r="G1186" s="1068" t="str">
        <f>VLOOKUP($B1186,DG!A:D,DG!$D$2,)</f>
        <v>cái</v>
      </c>
      <c r="H1186" s="1713">
        <f>H1168*0</f>
        <v>0</v>
      </c>
      <c r="I1186" s="1192">
        <f t="shared" si="49"/>
        <v>0</v>
      </c>
      <c r="J1186" s="1014"/>
      <c r="K1186" s="1014"/>
      <c r="L1186" s="1043"/>
      <c r="M1186" s="934">
        <v>160</v>
      </c>
    </row>
    <row r="1187" spans="1:13" s="1016" customFormat="1" ht="25.2" hidden="1" customHeight="1">
      <c r="A1187" s="1086">
        <f t="shared" si="50"/>
        <v>0</v>
      </c>
      <c r="B1187" s="1087" t="s">
        <v>6</v>
      </c>
      <c r="C1187" s="2842"/>
      <c r="D1187" s="1023"/>
      <c r="E1187" s="1012">
        <f>VLOOKUP($B1187,DG!A:D,DG!$B$2,)</f>
        <v>0</v>
      </c>
      <c r="F1187" s="1041" t="str">
        <f>VLOOKUP($B1187,DG!A:D,DG!$C$2,)</f>
        <v>Keo silicon bít miệng ống</v>
      </c>
      <c r="G1187" s="1068" t="str">
        <f>VLOOKUP($B1187,DG!A:D,DG!$D$2,)</f>
        <v>ống</v>
      </c>
      <c r="H1187" s="1713">
        <f>H1168</f>
        <v>0</v>
      </c>
      <c r="I1187" s="1192">
        <f t="shared" si="49"/>
        <v>0</v>
      </c>
      <c r="J1187" s="1014"/>
      <c r="K1187" s="1014"/>
      <c r="L1187" s="1043"/>
      <c r="M1187" s="934">
        <v>160</v>
      </c>
    </row>
    <row r="1188" spans="1:13" s="1016" customFormat="1" ht="25.2" hidden="1" customHeight="1">
      <c r="A1188" s="1086">
        <f t="shared" si="50"/>
        <v>0</v>
      </c>
      <c r="B1188" s="1087" t="s">
        <v>2139</v>
      </c>
      <c r="C1188" s="2842"/>
      <c r="D1188" s="1023"/>
      <c r="E1188" s="1012">
        <f>VLOOKUP($B1188,DG!A:D,DG!$B$2,)</f>
        <v>0</v>
      </c>
      <c r="F1188" s="1041" t="str">
        <f>VLOOKUP($B1188,DG!A:D,DG!$C$2,)</f>
        <v>Dây đồng trần mềm dẹt</v>
      </c>
      <c r="G1188" s="1068" t="str">
        <f>VLOOKUP($B1188,DG!A:D,DG!$D$2,)</f>
        <v>mét</v>
      </c>
      <c r="H1188" s="1713">
        <f>H1168*4</f>
        <v>0</v>
      </c>
      <c r="I1188" s="1192">
        <f t="shared" si="49"/>
        <v>0</v>
      </c>
      <c r="J1188" s="1014"/>
      <c r="K1188" s="1014"/>
      <c r="L1188" s="1043"/>
      <c r="M1188" s="934">
        <v>160</v>
      </c>
    </row>
    <row r="1189" spans="1:13" s="1016" customFormat="1" ht="25.2" hidden="1" customHeight="1">
      <c r="A1189" s="1086">
        <f t="shared" si="50"/>
        <v>0</v>
      </c>
      <c r="B1189" s="1087" t="s">
        <v>1219</v>
      </c>
      <c r="C1189" s="2842"/>
      <c r="D1189" s="1023"/>
      <c r="E1189" s="1012" t="str">
        <f>VLOOKUP($B1189,DG!A:D,DG!$B$2,)</f>
        <v>06.3191</v>
      </c>
      <c r="F1189" s="1041" t="str">
        <f>VLOOKUP($B1189,DG!A:D,DG!$C$2,)</f>
        <v>Bảng tên trạm, bảng báo nguy hiểm + đinh vít</v>
      </c>
      <c r="G1189" s="1068" t="str">
        <f>VLOOKUP($B1189,DG!A:D,DG!$D$2,)</f>
        <v>bộ</v>
      </c>
      <c r="H1189" s="1713">
        <f>H1168</f>
        <v>0</v>
      </c>
      <c r="I1189" s="1192">
        <f t="shared" si="49"/>
        <v>0</v>
      </c>
      <c r="J1189" s="1014"/>
      <c r="K1189" s="1014"/>
      <c r="L1189" s="1043"/>
      <c r="M1189" s="934">
        <v>160</v>
      </c>
    </row>
    <row r="1190" spans="1:13" s="1016" customFormat="1" ht="25.2" hidden="1" customHeight="1">
      <c r="A1190" s="1086">
        <f t="shared" si="50"/>
        <v>0</v>
      </c>
      <c r="B1190" s="1087" t="s">
        <v>1350</v>
      </c>
      <c r="C1190" s="2842"/>
      <c r="D1190" s="1023"/>
      <c r="E1190" s="1012">
        <f>VLOOKUP($B1190,DG!A:D,DG!$B$2,)</f>
        <v>0</v>
      </c>
      <c r="F1190" s="1041" t="str">
        <f>VLOOKUP($B1190,DG!A:D,DG!$C$2,)&amp;" baét thuøng ÑKÑT"</f>
        <v>Boulon 12x60+ 2 long đền vuông D14-50x50x3/Zn baét thuøng ÑKÑT</v>
      </c>
      <c r="G1190" s="1068" t="str">
        <f>VLOOKUP($B1190,DG!A:D,DG!$D$2,)</f>
        <v>bộ</v>
      </c>
      <c r="H1190" s="1713">
        <f>4*H1168*0</f>
        <v>0</v>
      </c>
      <c r="I1190" s="1192">
        <f t="shared" si="49"/>
        <v>0</v>
      </c>
      <c r="J1190" s="1014"/>
      <c r="K1190" s="1014"/>
      <c r="L1190" s="1043"/>
      <c r="M1190" s="934">
        <v>160</v>
      </c>
    </row>
    <row r="1191" spans="1:13" s="1016" customFormat="1" ht="25.2" hidden="1" customHeight="1">
      <c r="A1191" s="1086">
        <f t="shared" si="50"/>
        <v>0</v>
      </c>
      <c r="B1191" s="1087"/>
      <c r="C1191" s="2842"/>
      <c r="D1191" s="1048"/>
      <c r="E1191" s="1049"/>
      <c r="F1191" s="1038" t="s">
        <v>3730</v>
      </c>
      <c r="G1191" s="1038"/>
      <c r="H1191" s="1730"/>
      <c r="I1191" s="1192">
        <f t="shared" si="49"/>
        <v>0</v>
      </c>
      <c r="J1191" s="1038"/>
      <c r="K1191" s="1038"/>
      <c r="L1191" s="1069"/>
      <c r="M1191" s="934">
        <v>160</v>
      </c>
    </row>
    <row r="1192" spans="1:13" s="1016" customFormat="1" ht="25.2" hidden="1" customHeight="1">
      <c r="A1192" s="1086">
        <f t="shared" si="50"/>
        <v>0</v>
      </c>
      <c r="B1192" s="1087" t="s">
        <v>966</v>
      </c>
      <c r="C1192" s="2842"/>
      <c r="D1192" s="1023"/>
      <c r="E1192" s="1012" t="str">
        <f>VLOOKUP($B1192,DG!A:D,DG!$B$2,)</f>
        <v>02.5114</v>
      </c>
      <c r="F1192" s="1041" t="s">
        <v>3731</v>
      </c>
      <c r="G1192" s="1068" t="str">
        <f>VLOOKUP($B1192,DG!A:D,DG!$D$2,)</f>
        <v>cái</v>
      </c>
      <c r="H1192" s="1713"/>
      <c r="I1192" s="1192">
        <f t="shared" si="49"/>
        <v>0</v>
      </c>
      <c r="J1192" s="1014"/>
      <c r="K1192" s="1014"/>
      <c r="L1192" s="1043" t="s">
        <v>3732</v>
      </c>
      <c r="M1192" s="934">
        <v>160</v>
      </c>
    </row>
    <row r="1193" spans="1:13" s="1016" customFormat="1" ht="25.2" hidden="1" customHeight="1">
      <c r="A1193" s="1086">
        <f t="shared" si="50"/>
        <v>0</v>
      </c>
      <c r="B1193" s="1087" t="s">
        <v>1906</v>
      </c>
      <c r="C1193" s="2842"/>
      <c r="D1193" s="1023"/>
      <c r="E1193" s="1012" t="str">
        <f>VLOOKUP($B1193,DG!A:D,DG!$B$2,)</f>
        <v>05.6011</v>
      </c>
      <c r="F1193" s="1041" t="s">
        <v>2461</v>
      </c>
      <c r="G1193" s="1068" t="str">
        <f>VLOOKUP($B1193,DG!A:D,DG!$D$2,)</f>
        <v>bộ</v>
      </c>
      <c r="H1193" s="1713"/>
      <c r="I1193" s="1192">
        <f t="shared" si="49"/>
        <v>0</v>
      </c>
      <c r="J1193" s="1014"/>
      <c r="K1193" s="1014"/>
      <c r="L1193" s="1015"/>
      <c r="M1193" s="934">
        <v>160</v>
      </c>
    </row>
    <row r="1194" spans="1:13" s="1016" customFormat="1" ht="25.2" hidden="1" customHeight="1">
      <c r="A1194" s="1086">
        <f t="shared" si="50"/>
        <v>0</v>
      </c>
      <c r="B1194" s="1087"/>
      <c r="C1194" s="2842"/>
      <c r="D1194" s="1070"/>
      <c r="E1194" s="1071"/>
      <c r="F1194" s="1038"/>
      <c r="G1194" s="1072"/>
      <c r="H1194" s="1733"/>
      <c r="I1194" s="1733">
        <f t="shared" si="49"/>
        <v>0</v>
      </c>
      <c r="J1194" s="1073"/>
      <c r="K1194" s="1074"/>
      <c r="L1194" s="1040"/>
      <c r="M1194" s="934">
        <v>160</v>
      </c>
    </row>
    <row r="1195" spans="1:13" s="1016" customFormat="1" ht="25.2" hidden="1" customHeight="1">
      <c r="A1195" s="1086">
        <f t="shared" si="50"/>
        <v>0</v>
      </c>
      <c r="B1195" s="1087"/>
      <c r="C1195" s="2842"/>
      <c r="D1195" s="1075"/>
      <c r="F1195" s="1076"/>
      <c r="H1195" s="1735"/>
      <c r="I1195" s="1192">
        <f t="shared" si="49"/>
        <v>0</v>
      </c>
      <c r="M1195" s="934"/>
    </row>
    <row r="1196" spans="1:13" s="1016" customFormat="1" ht="25.2" hidden="1" customHeight="1">
      <c r="A1196" s="1086">
        <f t="shared" si="50"/>
        <v>0</v>
      </c>
      <c r="B1196" s="1250"/>
      <c r="C1196" s="2854"/>
      <c r="D1196" s="939" t="e">
        <f>"BAÛNG TOÅNG HÔÏP VAÄT LIEÄU, NHAÂN COÂNG, MAÙY THI COÂNG : "&amp;#REF!&amp;" TRAÏM 3P_250KVA"</f>
        <v>#REF!</v>
      </c>
      <c r="E1196" s="939"/>
      <c r="F1196" s="939"/>
      <c r="G1196" s="939"/>
      <c r="H1196" s="1727"/>
      <c r="I1196" s="1192">
        <f t="shared" ref="I1196:I1259" si="51">IF(M1196=$M$23,H1196+J1196-K1196,0)</f>
        <v>0</v>
      </c>
      <c r="J1196" s="1077"/>
      <c r="K1196" s="1077"/>
      <c r="L1196" s="1078"/>
      <c r="M1196" s="934"/>
    </row>
    <row r="1197" spans="1:13" s="1016" customFormat="1" ht="25.2" hidden="1" customHeight="1">
      <c r="A1197" s="1086">
        <f t="shared" si="50"/>
        <v>0</v>
      </c>
      <c r="B1197" s="1226"/>
      <c r="C1197" s="2841"/>
      <c r="D1197" s="1036"/>
      <c r="E1197" s="1037"/>
      <c r="F1197" s="1038" t="s">
        <v>3672</v>
      </c>
      <c r="G1197" s="1039"/>
      <c r="H1197" s="1754"/>
      <c r="I1197" s="1192">
        <f t="shared" si="51"/>
        <v>0</v>
      </c>
      <c r="J1197" s="1039"/>
      <c r="K1197" s="1039"/>
      <c r="L1197" s="1040"/>
      <c r="M1197" s="934">
        <v>250</v>
      </c>
    </row>
    <row r="1198" spans="1:13" s="1016" customFormat="1" ht="25.2" hidden="1" customHeight="1">
      <c r="A1198" s="1086">
        <f t="shared" si="50"/>
        <v>0</v>
      </c>
      <c r="B1198" s="1227" t="s">
        <v>4498</v>
      </c>
      <c r="C1198" s="2840"/>
      <c r="D1198" s="1023">
        <f>IF(H1198&gt;0,1,0)</f>
        <v>0</v>
      </c>
      <c r="E1198" s="1012" t="str">
        <f>VLOOKUP($B1198,DG!A:D,DG!$B$2,)</f>
        <v>01.1415</v>
      </c>
      <c r="F1198" s="1013" t="str">
        <f>VLOOKUP($B1198,DG!A:D,DG!$C$2,)</f>
        <v>Máy biến áp 22/0,4kV- 250kVA</v>
      </c>
      <c r="G1198" s="1012" t="str">
        <f>VLOOKUP($B1198,DG!A:D,DG!$D$2,)</f>
        <v>máy</v>
      </c>
      <c r="H1198" s="1737">
        <f>L11</f>
        <v>0</v>
      </c>
      <c r="I1198" s="1192">
        <f t="shared" si="51"/>
        <v>0</v>
      </c>
      <c r="J1198" s="1041"/>
      <c r="K1198" s="1041"/>
      <c r="L1198" s="1042"/>
      <c r="M1198" s="934">
        <v>250</v>
      </c>
    </row>
    <row r="1199" spans="1:13" s="1016" customFormat="1" ht="25.2" hidden="1" customHeight="1">
      <c r="A1199" s="1086">
        <f t="shared" si="50"/>
        <v>0</v>
      </c>
      <c r="B1199" s="1227" t="s">
        <v>1652</v>
      </c>
      <c r="C1199" s="2840"/>
      <c r="D1199" s="1023">
        <f>IF(H1199&gt;0,D1198+1,D1198)</f>
        <v>0</v>
      </c>
      <c r="E1199" s="1012" t="str">
        <f>VLOOKUP($B1199,DG!A:D,DG!$B$2,)</f>
        <v>02.3155</v>
      </c>
      <c r="F1199" s="1013" t="str">
        <f>VLOOKUP($B1199,DG!A:D,DG!$C$2,)</f>
        <v>FCO 24kV - 100A</v>
      </c>
      <c r="G1199" s="1012" t="str">
        <f>VLOOKUP($B1199,DG!A:D,DG!$D$2,)</f>
        <v>cái</v>
      </c>
      <c r="H1199" s="1713"/>
      <c r="I1199" s="1192">
        <f t="shared" si="51"/>
        <v>0</v>
      </c>
      <c r="J1199" s="1014"/>
      <c r="K1199" s="1014"/>
      <c r="L1199" s="1043"/>
      <c r="M1199" s="934">
        <v>250</v>
      </c>
    </row>
    <row r="1200" spans="1:13" s="1016" customFormat="1" ht="25.2" hidden="1" customHeight="1">
      <c r="A1200" s="1086">
        <f t="shared" si="50"/>
        <v>0</v>
      </c>
      <c r="B1200" s="1227" t="s">
        <v>4499</v>
      </c>
      <c r="C1200" s="2840"/>
      <c r="D1200" s="1023">
        <f t="shared" ref="D1200:D1205" si="52">IF(H1200&gt;0,D1199+1,D1199)</f>
        <v>0</v>
      </c>
      <c r="E1200" s="1012">
        <f>VLOOKUP($B1200,DG!A:D,DG!$B$2,)</f>
        <v>0</v>
      </c>
      <c r="F1200" s="1013" t="str">
        <f>VLOOKUP($B1200,DG!A:D,DG!$C$2,)</f>
        <v>Dây chảy 10K</v>
      </c>
      <c r="G1200" s="1012" t="str">
        <f>VLOOKUP($B1200,DG!A:D,DG!$D$2,)</f>
        <v>Sợi</v>
      </c>
      <c r="H1200" s="1713">
        <f>H1199</f>
        <v>0</v>
      </c>
      <c r="I1200" s="1192">
        <f t="shared" si="51"/>
        <v>0</v>
      </c>
      <c r="J1200" s="1014"/>
      <c r="K1200" s="1014"/>
      <c r="L1200" s="1043"/>
      <c r="M1200" s="934">
        <v>250</v>
      </c>
    </row>
    <row r="1201" spans="1:13" s="1016" customFormat="1" ht="25.2" hidden="1" customHeight="1">
      <c r="A1201" s="1086">
        <f t="shared" si="50"/>
        <v>0</v>
      </c>
      <c r="B1201" s="1226" t="s">
        <v>1373</v>
      </c>
      <c r="C1201" s="2841"/>
      <c r="D1201" s="1023">
        <f t="shared" si="52"/>
        <v>0</v>
      </c>
      <c r="E1201" s="1012" t="str">
        <f>VLOOKUP($B1201,DG!A:D,DG!$B$2,)</f>
        <v>02.5114</v>
      </c>
      <c r="F1201" s="1013" t="str">
        <f>VLOOKUP($B1201,DG!A:D,DG!$C$2,)</f>
        <v>Chống sét van LA-18KV-10KA</v>
      </c>
      <c r="G1201" s="1012" t="str">
        <f>VLOOKUP($B1201,DG!A:D,DG!$D$2,)</f>
        <v>cái</v>
      </c>
      <c r="H1201" s="1713">
        <f>H1198*3</f>
        <v>0</v>
      </c>
      <c r="I1201" s="1192">
        <f t="shared" si="51"/>
        <v>0</v>
      </c>
      <c r="J1201" s="1014"/>
      <c r="K1201" s="1014"/>
      <c r="L1201" s="1043"/>
      <c r="M1201" s="934">
        <v>250</v>
      </c>
    </row>
    <row r="1202" spans="1:13" s="1016" customFormat="1" ht="25.2" hidden="1" customHeight="1">
      <c r="A1202" s="1086">
        <f t="shared" si="50"/>
        <v>0</v>
      </c>
      <c r="B1202" s="1227" t="s">
        <v>953</v>
      </c>
      <c r="C1202" s="2840"/>
      <c r="D1202" s="1023">
        <f t="shared" si="52"/>
        <v>0</v>
      </c>
      <c r="E1202" s="1012" t="str">
        <f>VLOOKUP($B1202,DG!A:D,DG!$B$2,)</f>
        <v>02.8402</v>
      </c>
      <c r="F1202" s="1013" t="str">
        <f>VLOOKUP($B1202,DG!A:D,DG!$C$2,)</f>
        <v>MCCB 3 cực 690V - 400A - 50KA</v>
      </c>
      <c r="G1202" s="1012" t="str">
        <f>VLOOKUP($B1202,DG!A:D,DG!$D$2,)</f>
        <v>cái</v>
      </c>
      <c r="H1202" s="1713">
        <f>H1198</f>
        <v>0</v>
      </c>
      <c r="I1202" s="1192">
        <f t="shared" si="51"/>
        <v>0</v>
      </c>
      <c r="J1202" s="1014"/>
      <c r="K1202" s="1014"/>
      <c r="L1202" s="1043"/>
      <c r="M1202" s="934">
        <v>250</v>
      </c>
    </row>
    <row r="1203" spans="1:13" s="1016" customFormat="1" ht="25.2" hidden="1" customHeight="1">
      <c r="A1203" s="1086">
        <f t="shared" si="50"/>
        <v>0</v>
      </c>
      <c r="B1203" s="1227" t="s">
        <v>4600</v>
      </c>
      <c r="C1203" s="2840"/>
      <c r="D1203" s="1023">
        <f t="shared" si="52"/>
        <v>0</v>
      </c>
      <c r="E1203" s="1012" t="str">
        <f>VLOOKUP($B1203,DG!A:D,DG!$B$2,)</f>
        <v>02.8534</v>
      </c>
      <c r="F1203" s="1013" t="str">
        <f>VLOOKUP($B1203,DG!A:D,DG!$C$2,)</f>
        <v>Tủ tụ bù hạ thế 90kVAr</v>
      </c>
      <c r="G1203" s="1012" t="str">
        <f>VLOOKUP($B1203,DG!A:D,DG!$D$2,)</f>
        <v>tủ</v>
      </c>
      <c r="H1203" s="1713">
        <f>H1198</f>
        <v>0</v>
      </c>
      <c r="I1203" s="1192">
        <f t="shared" si="51"/>
        <v>0</v>
      </c>
      <c r="J1203" s="1014"/>
      <c r="K1203" s="1014"/>
      <c r="L1203" s="1043" t="s">
        <v>4559</v>
      </c>
      <c r="M1203" s="934">
        <v>250</v>
      </c>
    </row>
    <row r="1204" spans="1:13" s="1016" customFormat="1" ht="25.2" hidden="1" customHeight="1">
      <c r="A1204" s="1086">
        <f t="shared" si="50"/>
        <v>0</v>
      </c>
      <c r="B1204" s="1087" t="s">
        <v>897</v>
      </c>
      <c r="C1204" s="2842"/>
      <c r="D1204" s="1023">
        <f t="shared" si="52"/>
        <v>0</v>
      </c>
      <c r="E1204" s="1012">
        <f>VLOOKUP($B1204,DG!A:D,DG!$B$2,)</f>
        <v>0</v>
      </c>
      <c r="F1204" s="1013" t="str">
        <f>VLOOKUP($B1204,DG!A:D,DG!$C$2,)</f>
        <v>Biến dòng 600V - 400/5A</v>
      </c>
      <c r="G1204" s="1012" t="str">
        <f>VLOOKUP($B1204,DG!A:D,DG!$D$2,)</f>
        <v>cái</v>
      </c>
      <c r="H1204" s="1738">
        <f>3*H1198</f>
        <v>0</v>
      </c>
      <c r="I1204" s="1192">
        <f t="shared" si="51"/>
        <v>0</v>
      </c>
      <c r="J1204" s="1014"/>
      <c r="K1204" s="1014"/>
      <c r="L1204" s="1044" t="s">
        <v>2601</v>
      </c>
      <c r="M1204" s="934">
        <v>250</v>
      </c>
    </row>
    <row r="1205" spans="1:13" s="1016" customFormat="1" ht="25.2" hidden="1" customHeight="1">
      <c r="A1205" s="1086">
        <f t="shared" si="50"/>
        <v>0</v>
      </c>
      <c r="B1205" s="1252" t="s">
        <v>1460</v>
      </c>
      <c r="C1205" s="2856"/>
      <c r="D1205" s="1023">
        <f t="shared" si="52"/>
        <v>1</v>
      </c>
      <c r="E1205" s="1012" t="str">
        <f>VLOOKUP($B1205,DG!A:D,DG!$B$2,)</f>
        <v>05.5104</v>
      </c>
      <c r="F1205" s="1013" t="str">
        <f>VLOOKUP($B1205,DG!A:D,DG!$C$2,)</f>
        <v>Điện kế 3 pha 4 dây 220/380V-5A</v>
      </c>
      <c r="G1205" s="1012" t="str">
        <f>VLOOKUP($B1205,DG!A:D,DG!$D$2,)</f>
        <v>cái</v>
      </c>
      <c r="H1205" s="1738">
        <v>3</v>
      </c>
      <c r="I1205" s="1192">
        <f t="shared" si="51"/>
        <v>0</v>
      </c>
      <c r="J1205" s="1014"/>
      <c r="K1205" s="1014">
        <v>2</v>
      </c>
      <c r="L1205" s="1045" t="s">
        <v>2601</v>
      </c>
      <c r="M1205" s="934">
        <v>250</v>
      </c>
    </row>
    <row r="1206" spans="1:13" s="1016" customFormat="1" ht="25.2" hidden="1" customHeight="1">
      <c r="A1206" s="1086">
        <f t="shared" si="50"/>
        <v>0</v>
      </c>
      <c r="B1206" s="1226"/>
      <c r="C1206" s="2841"/>
      <c r="D1206" s="1046"/>
      <c r="E1206" s="1047"/>
      <c r="F1206" s="1009"/>
      <c r="G1206" s="1046"/>
      <c r="H1206" s="1718"/>
      <c r="I1206" s="1718">
        <f t="shared" si="51"/>
        <v>0</v>
      </c>
      <c r="J1206" s="1009"/>
      <c r="K1206" s="1046"/>
      <c r="L1206" s="1040"/>
      <c r="M1206" s="934">
        <v>250</v>
      </c>
    </row>
    <row r="1207" spans="1:13" s="1016" customFormat="1" ht="25.2" hidden="1" customHeight="1">
      <c r="A1207" s="1086">
        <f t="shared" si="50"/>
        <v>0</v>
      </c>
      <c r="B1207" s="1226"/>
      <c r="C1207" s="2841"/>
      <c r="D1207" s="1048"/>
      <c r="E1207" s="1049"/>
      <c r="F1207" s="1038" t="s">
        <v>3673</v>
      </c>
      <c r="G1207" s="1038"/>
      <c r="H1207" s="1730"/>
      <c r="I1207" s="1718">
        <f t="shared" si="51"/>
        <v>0</v>
      </c>
      <c r="J1207" s="1038"/>
      <c r="K1207" s="1038"/>
      <c r="L1207" s="1040"/>
      <c r="M1207" s="934">
        <v>250</v>
      </c>
    </row>
    <row r="1208" spans="1:13" s="1016" customFormat="1" ht="25.2" hidden="1" customHeight="1">
      <c r="A1208" s="1086">
        <f t="shared" si="50"/>
        <v>0</v>
      </c>
      <c r="B1208" s="1253"/>
      <c r="C1208" s="2699"/>
      <c r="D1208" s="1050">
        <f>IF(H1208&gt;0,1,0)</f>
        <v>0</v>
      </c>
      <c r="E1208" s="1051"/>
      <c r="F1208" s="1052" t="s">
        <v>3733</v>
      </c>
      <c r="G1208" s="1053" t="s">
        <v>2277</v>
      </c>
      <c r="H1208" s="1739"/>
      <c r="I1208" s="1192">
        <f t="shared" si="51"/>
        <v>0</v>
      </c>
      <c r="J1208" s="1054"/>
      <c r="K1208" s="1054"/>
      <c r="L1208" s="1043"/>
      <c r="M1208" s="934">
        <v>250</v>
      </c>
    </row>
    <row r="1209" spans="1:13" s="1016" customFormat="1" ht="25.2" hidden="1" customHeight="1">
      <c r="A1209" s="1086">
        <f t="shared" si="50"/>
        <v>0</v>
      </c>
      <c r="B1209" s="1087" t="s">
        <v>115</v>
      </c>
      <c r="C1209" s="2842"/>
      <c r="D1209" s="1055"/>
      <c r="E1209" s="1012"/>
      <c r="F1209" s="1056" t="str">
        <f>VLOOKUP($B1209,DG!A:D,DG!$C$2,)</f>
        <v>Trụ BTLT 12m F540 dự ứng lực</v>
      </c>
      <c r="G1209" s="1012" t="str">
        <f>VLOOKUP($B1209,DG!A:D,DG!$D$2,)</f>
        <v>trụ</v>
      </c>
      <c r="H1209" s="1740">
        <f>H1208</f>
        <v>0</v>
      </c>
      <c r="I1209" s="1192">
        <f t="shared" si="51"/>
        <v>0</v>
      </c>
      <c r="J1209" s="1041"/>
      <c r="K1209" s="1011"/>
      <c r="L1209" s="1043"/>
      <c r="M1209" s="934">
        <v>250</v>
      </c>
    </row>
    <row r="1210" spans="1:13" s="1016" customFormat="1" ht="25.2" hidden="1" customHeight="1">
      <c r="A1210" s="1086">
        <f t="shared" si="50"/>
        <v>0</v>
      </c>
      <c r="B1210" s="1087" t="s">
        <v>1814</v>
      </c>
      <c r="C1210" s="2842"/>
      <c r="D1210" s="1055"/>
      <c r="E1210" s="1012"/>
      <c r="F1210" s="1056" t="str">
        <f>VLOOKUP($B1210,DG!A:D,DG!$C$2,)</f>
        <v>Vật liệu dựng trụ</v>
      </c>
      <c r="G1210" s="1012" t="str">
        <f>VLOOKUP($B1210,DG!A:D,DG!$D$2,)</f>
        <v>trụ</v>
      </c>
      <c r="H1210" s="1740">
        <f>H1209</f>
        <v>0</v>
      </c>
      <c r="I1210" s="1192">
        <f t="shared" si="51"/>
        <v>0</v>
      </c>
      <c r="J1210" s="1011"/>
      <c r="K1210" s="1011"/>
      <c r="L1210" s="1043"/>
      <c r="M1210" s="934">
        <v>250</v>
      </c>
    </row>
    <row r="1211" spans="1:13" s="1016" customFormat="1" ht="25.2" hidden="1" customHeight="1">
      <c r="A1211" s="1086">
        <f t="shared" si="50"/>
        <v>0</v>
      </c>
      <c r="B1211" s="1087" t="s">
        <v>643</v>
      </c>
      <c r="C1211" s="2842"/>
      <c r="D1211" s="1055"/>
      <c r="E1211" s="1012" t="str">
        <f>VLOOKUP($B1211,DG!A:D,DG!$B$2,)</f>
        <v>04.9203</v>
      </c>
      <c r="F1211" s="1056" t="str">
        <f>VLOOKUP($B1211,DG!A:D,DG!$C$2,)</f>
        <v>Dựng trụ BTLT 12m trong TBA bằng thủ công + cơ giới</v>
      </c>
      <c r="G1211" s="1012" t="str">
        <f>VLOOKUP($B1211,DG!A:D,DG!$D$2,)</f>
        <v>trụ</v>
      </c>
      <c r="H1211" s="1740">
        <f>H1209</f>
        <v>0</v>
      </c>
      <c r="I1211" s="1192">
        <f t="shared" si="51"/>
        <v>0</v>
      </c>
      <c r="J1211" s="1041"/>
      <c r="K1211" s="1041"/>
      <c r="L1211" s="1043"/>
      <c r="M1211" s="934">
        <v>250</v>
      </c>
    </row>
    <row r="1212" spans="1:13" s="1016" customFormat="1" ht="25.2" hidden="1" customHeight="1">
      <c r="A1212" s="1086">
        <f t="shared" si="50"/>
        <v>0</v>
      </c>
      <c r="B1212" s="1253"/>
      <c r="C1212" s="2699"/>
      <c r="D1212" s="1050">
        <f>IF(H1212&gt;0,1,0)</f>
        <v>0</v>
      </c>
      <c r="E1212" s="1051"/>
      <c r="F1212" s="1052" t="s">
        <v>3734</v>
      </c>
      <c r="G1212" s="1053" t="s">
        <v>2277</v>
      </c>
      <c r="H1212" s="1739">
        <f>H1198*2*0</f>
        <v>0</v>
      </c>
      <c r="I1212" s="1192">
        <f t="shared" si="51"/>
        <v>0</v>
      </c>
      <c r="J1212" s="1054"/>
      <c r="K1212" s="1054"/>
      <c r="L1212" s="1015"/>
      <c r="M1212" s="934">
        <v>250</v>
      </c>
    </row>
    <row r="1213" spans="1:13" s="1016" customFormat="1" ht="25.2" hidden="1" customHeight="1">
      <c r="A1213" s="1086">
        <f t="shared" si="50"/>
        <v>0</v>
      </c>
      <c r="B1213" s="1087" t="s">
        <v>114</v>
      </c>
      <c r="C1213" s="2842"/>
      <c r="D1213" s="1055"/>
      <c r="E1213" s="1012"/>
      <c r="F1213" s="1056" t="str">
        <f>VLOOKUP($B1213,DG!A:D,DG!$C$2,)</f>
        <v>Trụ BTLT 10,5m F350 dự ứng lực</v>
      </c>
      <c r="G1213" s="1012" t="str">
        <f>VLOOKUP($B1213,DG!A:D,DG!$D$2,)</f>
        <v>trụ</v>
      </c>
      <c r="H1213" s="1740">
        <f>H1212</f>
        <v>0</v>
      </c>
      <c r="I1213" s="1192">
        <f t="shared" si="51"/>
        <v>0</v>
      </c>
      <c r="J1213" s="1041"/>
      <c r="K1213" s="1011"/>
      <c r="L1213" s="1015"/>
      <c r="M1213" s="934">
        <v>250</v>
      </c>
    </row>
    <row r="1214" spans="1:13" s="1016" customFormat="1" ht="25.2" hidden="1" customHeight="1">
      <c r="A1214" s="1086">
        <f t="shared" si="50"/>
        <v>0</v>
      </c>
      <c r="B1214" s="1087" t="s">
        <v>1814</v>
      </c>
      <c r="C1214" s="2842"/>
      <c r="D1214" s="1055"/>
      <c r="E1214" s="1012"/>
      <c r="F1214" s="1056" t="str">
        <f>VLOOKUP($B1214,DG!A:D,DG!$C$2,)</f>
        <v>Vật liệu dựng trụ</v>
      </c>
      <c r="G1214" s="1012" t="str">
        <f>VLOOKUP($B1214,DG!A:D,DG!$D$2,)</f>
        <v>trụ</v>
      </c>
      <c r="H1214" s="1740">
        <f>H1213</f>
        <v>0</v>
      </c>
      <c r="I1214" s="1192">
        <f t="shared" si="51"/>
        <v>0</v>
      </c>
      <c r="J1214" s="1011"/>
      <c r="K1214" s="1011"/>
      <c r="L1214" s="1015"/>
      <c r="M1214" s="934">
        <v>250</v>
      </c>
    </row>
    <row r="1215" spans="1:13" s="1016" customFormat="1" ht="25.2" hidden="1" customHeight="1">
      <c r="A1215" s="1086">
        <f t="shared" si="50"/>
        <v>0</v>
      </c>
      <c r="B1215" s="1087" t="s">
        <v>644</v>
      </c>
      <c r="C1215" s="2842"/>
      <c r="D1215" s="1055"/>
      <c r="E1215" s="1012" t="str">
        <f>VLOOKUP($B1215,DG!A:D,DG!$B$2,)</f>
        <v>04.9203</v>
      </c>
      <c r="F1215" s="1056" t="str">
        <f>VLOOKUP($B1215,DG!A:D,DG!$C$2,)</f>
        <v>Dựng trụ BTLT 10,5m trong TBA bằng thủ công + cơ giới</v>
      </c>
      <c r="G1215" s="1012" t="str">
        <f>VLOOKUP($B1215,DG!A:D,DG!$D$2,)</f>
        <v>trụ</v>
      </c>
      <c r="H1215" s="1740">
        <f>H1213</f>
        <v>0</v>
      </c>
      <c r="I1215" s="1192">
        <f t="shared" si="51"/>
        <v>0</v>
      </c>
      <c r="J1215" s="1041"/>
      <c r="K1215" s="1041"/>
      <c r="L1215" s="1015"/>
      <c r="M1215" s="934">
        <v>250</v>
      </c>
    </row>
    <row r="1216" spans="1:13" s="1016" customFormat="1" ht="25.2" hidden="1" customHeight="1">
      <c r="A1216" s="1086">
        <f t="shared" si="50"/>
        <v>0</v>
      </c>
      <c r="B1216" s="1254"/>
      <c r="C1216" s="2857"/>
      <c r="D1216" s="1017">
        <f>IF(H1216&gt;0,D1208+1,D1208)</f>
        <v>0</v>
      </c>
      <c r="E1216" s="1051"/>
      <c r="F1216" s="1052" t="s">
        <v>2352</v>
      </c>
      <c r="G1216" s="1053" t="s">
        <v>2327</v>
      </c>
      <c r="H1216" s="1739"/>
      <c r="I1216" s="1192">
        <f t="shared" si="51"/>
        <v>0</v>
      </c>
      <c r="J1216" s="1011"/>
      <c r="K1216" s="1011"/>
      <c r="L1216" s="1043"/>
      <c r="M1216" s="934">
        <v>250</v>
      </c>
    </row>
    <row r="1217" spans="1:13" s="1016" customFormat="1" ht="25.2" hidden="1" customHeight="1">
      <c r="A1217" s="1086">
        <f t="shared" si="50"/>
        <v>0</v>
      </c>
      <c r="B1217" s="1233" t="s">
        <v>636</v>
      </c>
      <c r="C1217" s="2843"/>
      <c r="D1217" s="1055"/>
      <c r="E1217" s="1012" t="str">
        <f>VLOOKUP($B1217,DG!A:D,DG!$B$2,)</f>
        <v>04.4001</v>
      </c>
      <c r="F1217" s="1057" t="str">
        <f>VLOOKUP($B1217,DG!A:D,DG!$C$2,)</f>
        <v>Đà cản BTCT 1,2m</v>
      </c>
      <c r="G1217" s="1024" t="str">
        <f>VLOOKUP($B1217,DG!A:D,DG!$D$2,)</f>
        <v>cái</v>
      </c>
      <c r="H1217" s="1740">
        <f>H1216</f>
        <v>0</v>
      </c>
      <c r="I1217" s="1192">
        <f t="shared" si="51"/>
        <v>0</v>
      </c>
      <c r="J1217" s="1041"/>
      <c r="K1217" s="1011"/>
      <c r="L1217" s="1043"/>
      <c r="M1217" s="934">
        <v>250</v>
      </c>
    </row>
    <row r="1218" spans="1:13" s="1016" customFormat="1" ht="25.2" hidden="1" customHeight="1">
      <c r="A1218" s="1086">
        <f t="shared" si="50"/>
        <v>0</v>
      </c>
      <c r="B1218" s="1233" t="s">
        <v>566</v>
      </c>
      <c r="C1218" s="2843"/>
      <c r="D1218" s="1055"/>
      <c r="E1218" s="1024"/>
      <c r="F1218" s="1057" t="str">
        <f>VLOOKUP($B1218,DG!A:D,DG!$C$2,)</f>
        <v>Boulon 22x650+ 2 long đền vuông D24-50x50x3/Zn</v>
      </c>
      <c r="G1218" s="1024" t="str">
        <f>VLOOKUP($B1218,DG!A:D,DG!$D$2,)</f>
        <v>bộ</v>
      </c>
      <c r="H1218" s="1740">
        <f>H1217</f>
        <v>0</v>
      </c>
      <c r="I1218" s="1192">
        <f t="shared" si="51"/>
        <v>0</v>
      </c>
      <c r="J1218" s="1057"/>
      <c r="K1218" s="1011"/>
      <c r="L1218" s="1043"/>
      <c r="M1218" s="934">
        <v>250</v>
      </c>
    </row>
    <row r="1219" spans="1:13" s="1016" customFormat="1" ht="25.2" hidden="1" customHeight="1">
      <c r="A1219" s="1086">
        <f t="shared" si="50"/>
        <v>0</v>
      </c>
      <c r="B1219" s="1233" t="str">
        <f>IF(chitiet!G5=1,"MDD1",IF(chitiet!G5=2,"MDD2",IF(chitiet!G5=3,"MDD3",IF(chitiet!G5=4,"MDD4"))))</f>
        <v>MDD3</v>
      </c>
      <c r="C1219" s="2843"/>
      <c r="D1219" s="1055"/>
      <c r="E1219" s="1024" t="str">
        <f>VLOOKUP($B1219,DG!A:D,DG!$B$2,)</f>
        <v>03.1013</v>
      </c>
      <c r="F1219" s="1057" t="str">
        <f>VLOOKUP($B1219,DG!A:D,DG!$C$2,)</f>
        <v>Đào hố móng đất cấp 3 sâu &gt;1m</v>
      </c>
      <c r="G1219" s="1024" t="str">
        <f>VLOOKUP($B1219,DG!A:D,DG!$D$2,)</f>
        <v>m3</v>
      </c>
      <c r="H1219" s="1741">
        <f>0.87*H1217</f>
        <v>0</v>
      </c>
      <c r="I1219" s="1192">
        <f t="shared" si="51"/>
        <v>0</v>
      </c>
      <c r="J1219" s="1058"/>
      <c r="K1219" s="1011"/>
      <c r="L1219" s="1043"/>
      <c r="M1219" s="934">
        <v>250</v>
      </c>
    </row>
    <row r="1220" spans="1:13" s="1016" customFormat="1" ht="25.2" hidden="1" customHeight="1">
      <c r="A1220" s="1086">
        <f t="shared" si="50"/>
        <v>0</v>
      </c>
      <c r="B1220" s="1233" t="str">
        <f>IF(chitiet!G5=1,"MDAP1",IF(chitiet!G5=2,"MDAP2",IF(chitiet!G5=3,"MDAP3",IF(chitiet!G5=4,"MDAP4"))))</f>
        <v>MDAP3</v>
      </c>
      <c r="C1220" s="2843"/>
      <c r="D1220" s="1055"/>
      <c r="E1220" s="1024" t="str">
        <f>VLOOKUP($B1220,DG!A:D,DG!$B$2,)</f>
        <v>03.4113</v>
      </c>
      <c r="F1220" s="1057" t="str">
        <f>VLOOKUP($B1220,DG!A:D,DG!$C$2,)</f>
        <v>Đắp đất hố móng, độ chặt k=0,95</v>
      </c>
      <c r="G1220" s="1024" t="str">
        <f>VLOOKUP($B1220,DG!A:D,DG!$D$2,)</f>
        <v>m3</v>
      </c>
      <c r="H1220" s="1741">
        <f>0.79*H1216</f>
        <v>0</v>
      </c>
      <c r="I1220" s="1192">
        <f t="shared" si="51"/>
        <v>0</v>
      </c>
      <c r="J1220" s="1058"/>
      <c r="K1220" s="1011"/>
      <c r="L1220" s="1043"/>
      <c r="M1220" s="934">
        <v>250</v>
      </c>
    </row>
    <row r="1221" spans="1:13" s="1016" customFormat="1" ht="25.2" hidden="1" customHeight="1">
      <c r="A1221" s="1086">
        <f t="shared" si="50"/>
        <v>0</v>
      </c>
      <c r="B1221" s="1254"/>
      <c r="C1221" s="2857"/>
      <c r="D1221" s="1017">
        <f>IF(H1221&gt;0,D1213+1,D1213)</f>
        <v>0</v>
      </c>
      <c r="E1221" s="1051"/>
      <c r="F1221" s="1052" t="s">
        <v>3713</v>
      </c>
      <c r="G1221" s="1053" t="s">
        <v>2327</v>
      </c>
      <c r="H1221" s="1739">
        <f>H1212</f>
        <v>0</v>
      </c>
      <c r="I1221" s="1192">
        <f t="shared" si="51"/>
        <v>0</v>
      </c>
      <c r="J1221" s="1011"/>
      <c r="K1221" s="1011"/>
      <c r="L1221" s="1015"/>
      <c r="M1221" s="934">
        <v>250</v>
      </c>
    </row>
    <row r="1222" spans="1:13" s="1016" customFormat="1" ht="25.2" hidden="1" customHeight="1">
      <c r="A1222" s="1086">
        <f t="shared" si="50"/>
        <v>0</v>
      </c>
      <c r="B1222" s="1233" t="s">
        <v>636</v>
      </c>
      <c r="C1222" s="2843"/>
      <c r="D1222" s="1055"/>
      <c r="E1222" s="1012" t="str">
        <f>VLOOKUP($B1222,DG!A:D,DG!$B$2,)</f>
        <v>04.4001</v>
      </c>
      <c r="F1222" s="1057" t="str">
        <f>VLOOKUP($B1222,DG!A:D,DG!$C$2,)</f>
        <v>Đà cản BTCT 1,2m</v>
      </c>
      <c r="G1222" s="1024" t="str">
        <f>VLOOKUP($B1222,DG!A:D,DG!$D$2,)</f>
        <v>cái</v>
      </c>
      <c r="H1222" s="1740">
        <f>H1221</f>
        <v>0</v>
      </c>
      <c r="I1222" s="1192">
        <f t="shared" si="51"/>
        <v>0</v>
      </c>
      <c r="J1222" s="1041"/>
      <c r="K1222" s="1011"/>
      <c r="L1222" s="1015"/>
      <c r="M1222" s="934">
        <v>250</v>
      </c>
    </row>
    <row r="1223" spans="1:13" s="1016" customFormat="1" ht="25.2" hidden="1" customHeight="1">
      <c r="A1223" s="1086">
        <f t="shared" si="50"/>
        <v>0</v>
      </c>
      <c r="B1223" s="1233" t="s">
        <v>566</v>
      </c>
      <c r="C1223" s="2843"/>
      <c r="D1223" s="1055"/>
      <c r="E1223" s="1024"/>
      <c r="F1223" s="1057" t="str">
        <f>VLOOKUP($B1223,DG!A:D,DG!$C$2,)</f>
        <v>Boulon 22x650+ 2 long đền vuông D24-50x50x3/Zn</v>
      </c>
      <c r="G1223" s="1024" t="str">
        <f>VLOOKUP($B1223,DG!A:D,DG!$D$2,)</f>
        <v>bộ</v>
      </c>
      <c r="H1223" s="1740">
        <f>H1222</f>
        <v>0</v>
      </c>
      <c r="I1223" s="1192">
        <f t="shared" si="51"/>
        <v>0</v>
      </c>
      <c r="J1223" s="1057"/>
      <c r="K1223" s="1011"/>
      <c r="L1223" s="1015"/>
      <c r="M1223" s="934">
        <v>250</v>
      </c>
    </row>
    <row r="1224" spans="1:13" s="1016" customFormat="1" ht="25.2" hidden="1" customHeight="1">
      <c r="A1224" s="1086">
        <f t="shared" si="50"/>
        <v>0</v>
      </c>
      <c r="B1224" s="1233" t="str">
        <f>IF(chitiet!G5=1,"MDD1",IF(chitiet!G5=2,"MDD2",IF(chitiet!G5=3,"MDD3",IF(chitiet!G5=4,"MDD4"))))</f>
        <v>MDD3</v>
      </c>
      <c r="C1224" s="2843"/>
      <c r="D1224" s="1055"/>
      <c r="E1224" s="1024" t="str">
        <f>VLOOKUP($B1224,DG!A:D,DG!$B$2,)</f>
        <v>03.1013</v>
      </c>
      <c r="F1224" s="1057" t="str">
        <f>VLOOKUP($B1224,DG!A:D,DG!$C$2,)</f>
        <v>Đào hố móng đất cấp 3 sâu &gt;1m</v>
      </c>
      <c r="G1224" s="1024" t="str">
        <f>VLOOKUP($B1224,DG!A:D,DG!$D$2,)</f>
        <v>m3</v>
      </c>
      <c r="H1224" s="1741">
        <f>0.78*H1222</f>
        <v>0</v>
      </c>
      <c r="I1224" s="1192">
        <f t="shared" si="51"/>
        <v>0</v>
      </c>
      <c r="J1224" s="1058"/>
      <c r="K1224" s="1011"/>
      <c r="L1224" s="1015"/>
      <c r="M1224" s="934">
        <v>250</v>
      </c>
    </row>
    <row r="1225" spans="1:13" s="1016" customFormat="1" ht="25.2" hidden="1" customHeight="1">
      <c r="A1225" s="1086">
        <f t="shared" si="50"/>
        <v>0</v>
      </c>
      <c r="B1225" s="1233" t="str">
        <f>IF(chitiet!G5=1,"MDAP1",IF(chitiet!G5=2,"MDAP2",IF(chitiet!G5=3,"MDAP3",IF(chitiet!G5=4,"MDAP4"))))</f>
        <v>MDAP3</v>
      </c>
      <c r="C1225" s="2843"/>
      <c r="D1225" s="1055"/>
      <c r="E1225" s="1024" t="str">
        <f>VLOOKUP($B1225,DG!A:D,DG!$B$2,)</f>
        <v>03.4113</v>
      </c>
      <c r="F1225" s="1057" t="str">
        <f>VLOOKUP($B1225,DG!A:D,DG!$C$2,)</f>
        <v>Đắp đất hố móng, độ chặt k=0,95</v>
      </c>
      <c r="G1225" s="1024" t="str">
        <f>VLOOKUP($B1225,DG!A:D,DG!$D$2,)</f>
        <v>m3</v>
      </c>
      <c r="H1225" s="1741">
        <f>0.74*H1221</f>
        <v>0</v>
      </c>
      <c r="I1225" s="1192">
        <f t="shared" si="51"/>
        <v>0</v>
      </c>
      <c r="J1225" s="1058"/>
      <c r="K1225" s="1011"/>
      <c r="L1225" s="1015"/>
      <c r="M1225" s="934">
        <v>250</v>
      </c>
    </row>
    <row r="1226" spans="1:13" s="1016" customFormat="1" ht="25.2" hidden="1" customHeight="1">
      <c r="A1226" s="1086">
        <f t="shared" si="50"/>
        <v>0</v>
      </c>
      <c r="B1226" s="1226"/>
      <c r="C1226" s="2841"/>
      <c r="D1226" s="1017">
        <f>IF(H1226&gt;0,D1216+1,D1216)</f>
        <v>0</v>
      </c>
      <c r="E1226" s="1059"/>
      <c r="F1226" s="1052" t="s">
        <v>3714</v>
      </c>
      <c r="G1226" s="1050" t="s">
        <v>2385</v>
      </c>
      <c r="H1226" s="1742">
        <f>H1198*1</f>
        <v>0</v>
      </c>
      <c r="I1226" s="1192">
        <f t="shared" si="51"/>
        <v>0</v>
      </c>
      <c r="J1226" s="1060"/>
      <c r="K1226" s="1060"/>
      <c r="L1226" s="1015"/>
      <c r="M1226" s="934">
        <v>250</v>
      </c>
    </row>
    <row r="1227" spans="1:13" s="1016" customFormat="1" ht="25.2" hidden="1" customHeight="1">
      <c r="A1227" s="1086">
        <f t="shared" si="50"/>
        <v>0</v>
      </c>
      <c r="B1227" s="1226"/>
      <c r="C1227" s="2841"/>
      <c r="D1227" s="1011"/>
      <c r="E1227" s="1061"/>
      <c r="F1227" s="1267" t="s">
        <v>2279</v>
      </c>
      <c r="G1227" s="1023"/>
      <c r="H1227" s="1713"/>
      <c r="I1227" s="1192">
        <f t="shared" si="51"/>
        <v>0</v>
      </c>
      <c r="J1227" s="1062"/>
      <c r="K1227" s="1062"/>
      <c r="L1227" s="1015"/>
      <c r="M1227" s="934">
        <v>250</v>
      </c>
    </row>
    <row r="1228" spans="1:13" s="1016" customFormat="1" ht="25.2" hidden="1" customHeight="1">
      <c r="A1228" s="1086">
        <f t="shared" si="50"/>
        <v>0</v>
      </c>
      <c r="B1228" s="1087" t="s">
        <v>1136</v>
      </c>
      <c r="C1228" s="2842"/>
      <c r="D1228" s="1011"/>
      <c r="E1228" s="1024"/>
      <c r="F1228" s="1013" t="str">
        <f>VLOOKUP($B1228,DG!A:D,DG!$C$2,)&amp;": 2 cái"</f>
        <v>Đà U160x68x5x2800 đỡ MBA: 2 cái</v>
      </c>
      <c r="G1228" s="1012" t="str">
        <f>VLOOKUP($B1228,DG!A:D,DG!$D$2,)</f>
        <v>cái</v>
      </c>
      <c r="H1228" s="1755">
        <f>52.049*H1226*2</f>
        <v>0</v>
      </c>
      <c r="I1228" s="1756">
        <f t="shared" si="51"/>
        <v>0</v>
      </c>
      <c r="J1228" s="1041"/>
      <c r="K1228" s="1041"/>
      <c r="L1228" s="1015"/>
      <c r="M1228" s="934">
        <v>250</v>
      </c>
    </row>
    <row r="1229" spans="1:13" s="1016" customFormat="1" ht="25.2" hidden="1" customHeight="1">
      <c r="A1229" s="1086">
        <f t="shared" si="50"/>
        <v>0</v>
      </c>
      <c r="B1229" s="1087" t="s">
        <v>1137</v>
      </c>
      <c r="C1229" s="2842"/>
      <c r="D1229" s="1011"/>
      <c r="E1229" s="1024"/>
      <c r="F1229" s="1013" t="str">
        <f>VLOOKUP($B1229,DG!A:D,DG!$C$2,)&amp;": 4 cái"</f>
        <v>Đà U100x46x4.5x400 : 4 cái</v>
      </c>
      <c r="G1229" s="1012" t="str">
        <f>VLOOKUP($B1229,DG!A:D,DG!$D$2,)</f>
        <v>cái</v>
      </c>
      <c r="H1229" s="1755">
        <f>H1226*2.713*4</f>
        <v>0</v>
      </c>
      <c r="I1229" s="1756">
        <f t="shared" si="51"/>
        <v>0</v>
      </c>
      <c r="J1229" s="1041"/>
      <c r="K1229" s="1041"/>
      <c r="L1229" s="1015"/>
      <c r="M1229" s="934">
        <v>250</v>
      </c>
    </row>
    <row r="1230" spans="1:13" s="1016" customFormat="1" ht="25.2" hidden="1" customHeight="1">
      <c r="A1230" s="1086">
        <f t="shared" si="50"/>
        <v>0</v>
      </c>
      <c r="B1230" s="1087" t="s">
        <v>1138</v>
      </c>
      <c r="C1230" s="2842"/>
      <c r="D1230" s="1011"/>
      <c r="E1230" s="1024"/>
      <c r="F1230" s="1013" t="str">
        <f>VLOOKUP($B1230,DG!A:D,DG!$C$2,)&amp;": 2 cái"</f>
        <v>Đà U100x46x5x800 : 2 cái</v>
      </c>
      <c r="G1230" s="1012" t="str">
        <f>VLOOKUP($B1230,DG!A:D,DG!$D$2,)</f>
        <v>cái</v>
      </c>
      <c r="H1230" s="1755">
        <f>H1226*5.426*2</f>
        <v>0</v>
      </c>
      <c r="I1230" s="1756">
        <f t="shared" si="51"/>
        <v>0</v>
      </c>
      <c r="J1230" s="1041"/>
      <c r="K1230" s="1041"/>
      <c r="L1230" s="1015"/>
      <c r="M1230" s="934">
        <v>250</v>
      </c>
    </row>
    <row r="1231" spans="1:13" s="1016" customFormat="1" ht="25.2" hidden="1" customHeight="1">
      <c r="A1231" s="1086">
        <f t="shared" si="50"/>
        <v>0</v>
      </c>
      <c r="B1231" s="1226" t="s">
        <v>1781</v>
      </c>
      <c r="C1231" s="2841"/>
      <c r="D1231" s="1011"/>
      <c r="E1231" s="1024">
        <f>VLOOKUP($B1231,DG!A:D,DG!$B$2,)</f>
        <v>0</v>
      </c>
      <c r="F1231" s="1013" t="str">
        <f>VLOOKUP($B1231,DG!A:D,DG!$C$2,)</f>
        <v>Boulon 16x400VRS+ 4 long đền vuông D18-50x50x3/Zn</v>
      </c>
      <c r="G1231" s="1012" t="str">
        <f>VLOOKUP($B1231,DG!A:D,DG!$D$2,)</f>
        <v>bộ</v>
      </c>
      <c r="H1231" s="1713">
        <f>H1226*10</f>
        <v>0</v>
      </c>
      <c r="I1231" s="1192">
        <f t="shared" si="51"/>
        <v>0</v>
      </c>
      <c r="J1231" s="1041"/>
      <c r="K1231" s="1041"/>
      <c r="L1231" s="1015"/>
      <c r="M1231" s="934">
        <v>250</v>
      </c>
    </row>
    <row r="1232" spans="1:13" s="1016" customFormat="1" ht="25.2" hidden="1" customHeight="1">
      <c r="A1232" s="1086">
        <f t="shared" si="50"/>
        <v>0</v>
      </c>
      <c r="B1232" s="1226" t="s">
        <v>1083</v>
      </c>
      <c r="C1232" s="2841"/>
      <c r="D1232" s="1011"/>
      <c r="E1232" s="1024">
        <f>VLOOKUP($B1232,DG!A:D,DG!$B$2,)</f>
        <v>0</v>
      </c>
      <c r="F1232" s="1013" t="str">
        <f>VLOOKUP($B1232,DG!A:D,DG!$C$2,)</f>
        <v>Boulon 16x400+ 2 long đền vuông D18-50x50x3/Zn</v>
      </c>
      <c r="G1232" s="1012" t="str">
        <f>VLOOKUP($B1232,DG!A:D,DG!$D$2,)</f>
        <v>bộ</v>
      </c>
      <c r="H1232" s="1713">
        <f>H1226*2</f>
        <v>0</v>
      </c>
      <c r="I1232" s="1192">
        <f t="shared" si="51"/>
        <v>0</v>
      </c>
      <c r="J1232" s="1041"/>
      <c r="K1232" s="1041"/>
      <c r="L1232" s="1015"/>
      <c r="M1232" s="934">
        <v>250</v>
      </c>
    </row>
    <row r="1233" spans="1:13" s="1016" customFormat="1" ht="25.2" hidden="1" customHeight="1">
      <c r="A1233" s="1086">
        <f t="shared" si="50"/>
        <v>0</v>
      </c>
      <c r="B1233" s="1226" t="s">
        <v>1079</v>
      </c>
      <c r="C1233" s="2841"/>
      <c r="D1233" s="1011"/>
      <c r="E1233" s="1024">
        <f>VLOOKUP($B1233,DG!A:D,DG!$B$2,)</f>
        <v>0</v>
      </c>
      <c r="F1233" s="1013" t="str">
        <f>VLOOKUP($B1233,DG!A:D,DG!$C$2,)</f>
        <v>Boulon 16x350+ 2 long đền vuông D18-50x50x3/Zn</v>
      </c>
      <c r="G1233" s="1012" t="str">
        <f>VLOOKUP($B1233,DG!A:D,DG!$D$2,)</f>
        <v>bộ</v>
      </c>
      <c r="H1233" s="1713">
        <f>H1226*12</f>
        <v>0</v>
      </c>
      <c r="I1233" s="1192">
        <f t="shared" si="51"/>
        <v>0</v>
      </c>
      <c r="J1233" s="1041"/>
      <c r="K1233" s="1041"/>
      <c r="L1233" s="1015"/>
      <c r="M1233" s="934">
        <v>250</v>
      </c>
    </row>
    <row r="1234" spans="1:13" s="1016" customFormat="1" ht="25.2" hidden="1" customHeight="1">
      <c r="A1234" s="1086">
        <f t="shared" si="50"/>
        <v>0</v>
      </c>
      <c r="B1234" s="1226" t="s">
        <v>2242</v>
      </c>
      <c r="C1234" s="2841"/>
      <c r="D1234" s="1011"/>
      <c r="E1234" s="1024" t="str">
        <f>VLOOKUP($B1234,DG!A:D,DG!$B$2,)</f>
        <v>05.6044</v>
      </c>
      <c r="F1234" s="1013" t="str">
        <f>VLOOKUP($B1234,DG!A:D,DG!$C$2,)</f>
        <v>Lắp xà cột Pi loại ≤140kg/xà</v>
      </c>
      <c r="G1234" s="1012" t="str">
        <f>VLOOKUP($B1234,DG!A:D,DG!$D$2,)</f>
        <v>bộ</v>
      </c>
      <c r="H1234" s="1713">
        <f>H1226</f>
        <v>0</v>
      </c>
      <c r="I1234" s="1192">
        <f t="shared" si="51"/>
        <v>0</v>
      </c>
      <c r="J1234" s="1041"/>
      <c r="K1234" s="1041"/>
      <c r="L1234" s="1015"/>
      <c r="M1234" s="934">
        <v>250</v>
      </c>
    </row>
    <row r="1235" spans="1:13" s="1016" customFormat="1" ht="25.2" hidden="1" customHeight="1">
      <c r="A1235" s="1086">
        <f t="shared" si="50"/>
        <v>0</v>
      </c>
      <c r="B1235" s="1258"/>
      <c r="C1235" s="2860"/>
      <c r="D1235" s="1017">
        <f>IF(H1235&gt;0,D1226+1,D1226)</f>
        <v>0</v>
      </c>
      <c r="E1235" s="1018"/>
      <c r="F1235" s="1063" t="s">
        <v>3715</v>
      </c>
      <c r="G1235" s="1017" t="s">
        <v>2385</v>
      </c>
      <c r="H1235" s="1722">
        <f>H1208*0</f>
        <v>0</v>
      </c>
      <c r="I1235" s="1192">
        <f t="shared" si="51"/>
        <v>0</v>
      </c>
      <c r="J1235" s="1064"/>
      <c r="K1235" s="1064"/>
      <c r="L1235" s="1015"/>
      <c r="M1235" s="934">
        <v>250</v>
      </c>
    </row>
    <row r="1236" spans="1:13" s="1016" customFormat="1" ht="25.2" hidden="1" customHeight="1">
      <c r="A1236" s="1086">
        <f t="shared" si="50"/>
        <v>0</v>
      </c>
      <c r="B1236" s="1226"/>
      <c r="C1236" s="2841"/>
      <c r="D1236" s="1011"/>
      <c r="E1236" s="1024"/>
      <c r="F1236" s="1267" t="s">
        <v>2279</v>
      </c>
      <c r="G1236" s="1023"/>
      <c r="H1236" s="1713"/>
      <c r="I1236" s="1192">
        <f t="shared" si="51"/>
        <v>0</v>
      </c>
      <c r="J1236" s="1064"/>
      <c r="K1236" s="1064"/>
      <c r="L1236" s="1015"/>
      <c r="M1236" s="934">
        <v>250</v>
      </c>
    </row>
    <row r="1237" spans="1:13" s="1016" customFormat="1" ht="25.2" hidden="1" customHeight="1">
      <c r="A1237" s="1086">
        <f t="shared" si="50"/>
        <v>0</v>
      </c>
      <c r="B1237" s="1233" t="s">
        <v>2022</v>
      </c>
      <c r="C1237" s="2843"/>
      <c r="D1237" s="1011"/>
      <c r="E1237" s="1024">
        <f>VLOOKUP($B1237,DG!A:D,DG!$B$2,)</f>
        <v>0</v>
      </c>
      <c r="F1237" s="1013" t="str">
        <f>VLOOKUP($B1237,DG!A:D,DG!$C$2,)</f>
        <v>Sắt góc L75 x75 x8</v>
      </c>
      <c r="G1237" s="1024" t="str">
        <f>VLOOKUP($B1237,DG!A:D,DG!$D$2,)</f>
        <v>kg</v>
      </c>
      <c r="H1237" s="1713">
        <f>H1235*9.02*(2.6+3*0.07)*2</f>
        <v>0</v>
      </c>
      <c r="I1237" s="1192">
        <f t="shared" si="51"/>
        <v>0</v>
      </c>
      <c r="J1237" s="1041"/>
      <c r="K1237" s="1041"/>
      <c r="L1237" s="1015"/>
      <c r="M1237" s="934">
        <v>250</v>
      </c>
    </row>
    <row r="1238" spans="1:13" s="1016" customFormat="1" ht="25.2" hidden="1" customHeight="1">
      <c r="A1238" s="1086">
        <f t="shared" si="50"/>
        <v>0</v>
      </c>
      <c r="B1238" s="1226" t="s">
        <v>1784</v>
      </c>
      <c r="C1238" s="2841"/>
      <c r="D1238" s="1011"/>
      <c r="E1238" s="1024">
        <f>VLOOKUP($B1238,DG!A:D,DG!$B$2,)</f>
        <v>0</v>
      </c>
      <c r="F1238" s="1013" t="str">
        <f>VLOOKUP($B1238,DG!A:D,DG!$C$2,)</f>
        <v>Boulon 16x300VRS+ 4 long đền vuông D18-50x50x3/Zn</v>
      </c>
      <c r="G1238" s="1024" t="str">
        <f>VLOOKUP($B1238,DG!A:D,DG!$D$2,)</f>
        <v>bộ</v>
      </c>
      <c r="H1238" s="1713">
        <f>H1235*2</f>
        <v>0</v>
      </c>
      <c r="I1238" s="1192">
        <f t="shared" si="51"/>
        <v>0</v>
      </c>
      <c r="J1238" s="1041"/>
      <c r="K1238" s="1041"/>
      <c r="L1238" s="1015"/>
      <c r="M1238" s="934">
        <v>250</v>
      </c>
    </row>
    <row r="1239" spans="1:13" s="1016" customFormat="1" ht="25.2" hidden="1" customHeight="1">
      <c r="A1239" s="1086">
        <f t="shared" si="50"/>
        <v>0</v>
      </c>
      <c r="B1239" s="1226" t="s">
        <v>1610</v>
      </c>
      <c r="C1239" s="2841"/>
      <c r="D1239" s="1011"/>
      <c r="E1239" s="1024">
        <f>VLOOKUP($B1239,DG!A:D,DG!$B$2,)</f>
        <v>0</v>
      </c>
      <c r="F1239" s="1013" t="str">
        <f>VLOOKUP($B1239,DG!A:D,DG!$C$2,)</f>
        <v>Boulon 16x300+ 2 long đền vuông D18-50x50x3/Zn</v>
      </c>
      <c r="G1239" s="1024" t="str">
        <f>VLOOKUP($B1239,DG!A:D,DG!$D$2,)</f>
        <v>bộ</v>
      </c>
      <c r="H1239" s="1713">
        <f>H1235*2</f>
        <v>0</v>
      </c>
      <c r="I1239" s="1192">
        <f t="shared" si="51"/>
        <v>0</v>
      </c>
      <c r="J1239" s="1041"/>
      <c r="K1239" s="1041"/>
      <c r="L1239" s="1015"/>
      <c r="M1239" s="934">
        <v>250</v>
      </c>
    </row>
    <row r="1240" spans="1:13" s="1016" customFormat="1" ht="25.2" hidden="1" customHeight="1">
      <c r="A1240" s="1086">
        <f t="shared" si="50"/>
        <v>0</v>
      </c>
      <c r="B1240" s="1226" t="s">
        <v>1609</v>
      </c>
      <c r="C1240" s="2841"/>
      <c r="D1240" s="1011"/>
      <c r="E1240" s="1024">
        <f>VLOOKUP($B1240,DG!A:D,DG!$B$2,)</f>
        <v>0</v>
      </c>
      <c r="F1240" s="1013" t="str">
        <f>VLOOKUP($B1240,DG!A:D,DG!$C$2,)</f>
        <v>Boulon 16x250+ 2 long đền vuông D18-50x50x3/Zn</v>
      </c>
      <c r="G1240" s="1024" t="str">
        <f>VLOOKUP($B1240,DG!A:D,DG!$D$2,)</f>
        <v>bộ</v>
      </c>
      <c r="H1240" s="1713">
        <f>H1239</f>
        <v>0</v>
      </c>
      <c r="I1240" s="1192">
        <f t="shared" si="51"/>
        <v>0</v>
      </c>
      <c r="J1240" s="1041"/>
      <c r="K1240" s="1041"/>
      <c r="L1240" s="1015"/>
      <c r="M1240" s="934">
        <v>250</v>
      </c>
    </row>
    <row r="1241" spans="1:13" s="1016" customFormat="1" ht="25.2" hidden="1" customHeight="1">
      <c r="A1241" s="1086">
        <f t="shared" si="50"/>
        <v>0</v>
      </c>
      <c r="B1241" s="1226" t="s">
        <v>2242</v>
      </c>
      <c r="C1241" s="2841"/>
      <c r="D1241" s="1011"/>
      <c r="E1241" s="1024" t="str">
        <f>VLOOKUP($B1241,DG!A:D,DG!$B$2,)</f>
        <v>05.6044</v>
      </c>
      <c r="F1241" s="1013" t="str">
        <f>VLOOKUP($B1241,DG!A:D,DG!$C$2,)</f>
        <v>Lắp xà cột Pi loại ≤140kg/xà</v>
      </c>
      <c r="G1241" s="1024" t="str">
        <f>VLOOKUP($B1241,DG!A:D,DG!$D$2,)</f>
        <v>bộ</v>
      </c>
      <c r="H1241" s="1713">
        <f>H1235</f>
        <v>0</v>
      </c>
      <c r="I1241" s="1192">
        <f t="shared" si="51"/>
        <v>0</v>
      </c>
      <c r="J1241" s="1041"/>
      <c r="K1241" s="1041"/>
      <c r="L1241" s="1015"/>
      <c r="M1241" s="934">
        <v>250</v>
      </c>
    </row>
    <row r="1242" spans="1:13" s="1016" customFormat="1" ht="25.2" hidden="1" customHeight="1">
      <c r="A1242" s="1086">
        <f t="shared" ref="A1242:A1305" si="53">IF(AND(M1242=$M$23,I1242&gt;0),1,0)</f>
        <v>0</v>
      </c>
      <c r="B1242" s="1258" t="s">
        <v>2293</v>
      </c>
      <c r="C1242" s="2860"/>
      <c r="D1242" s="1017">
        <f>IF(H1242&gt;0,D1235+1,D1235)</f>
        <v>0</v>
      </c>
      <c r="E1242" s="1018"/>
      <c r="F1242" s="982" t="s">
        <v>2432</v>
      </c>
      <c r="G1242" s="1017" t="s">
        <v>2385</v>
      </c>
      <c r="H1242" s="1722"/>
      <c r="I1242" s="1192">
        <f t="shared" si="51"/>
        <v>0</v>
      </c>
      <c r="J1242" s="1064"/>
      <c r="K1242" s="1064"/>
      <c r="L1242" s="1015"/>
      <c r="M1242" s="934">
        <v>250</v>
      </c>
    </row>
    <row r="1243" spans="1:13" s="1016" customFormat="1" ht="25.2" hidden="1" customHeight="1">
      <c r="A1243" s="1086">
        <f t="shared" si="53"/>
        <v>0</v>
      </c>
      <c r="B1243" s="1226"/>
      <c r="C1243" s="2841"/>
      <c r="D1243" s="1011"/>
      <c r="E1243" s="1024"/>
      <c r="F1243" s="1267" t="s">
        <v>2279</v>
      </c>
      <c r="G1243" s="1023"/>
      <c r="H1243" s="1713"/>
      <c r="I1243" s="1192">
        <f t="shared" si="51"/>
        <v>0</v>
      </c>
      <c r="J1243" s="1064"/>
      <c r="K1243" s="1064"/>
      <c r="L1243" s="1015"/>
      <c r="M1243" s="934">
        <v>250</v>
      </c>
    </row>
    <row r="1244" spans="1:13" s="1016" customFormat="1" ht="25.2" hidden="1" customHeight="1">
      <c r="A1244" s="1086">
        <f t="shared" si="53"/>
        <v>0</v>
      </c>
      <c r="B1244" s="1087" t="s">
        <v>109</v>
      </c>
      <c r="C1244" s="2842"/>
      <c r="D1244" s="1011"/>
      <c r="E1244" s="1024">
        <f>VLOOKUP($B1244,DG!A:D,DG!$B$2,)</f>
        <v>0</v>
      </c>
      <c r="F1244" s="1013" t="str">
        <f>VLOOKUP($B1244,DG!A:D,DG!$C$2,)</f>
        <v>Sắt góc L75 x75 x8</v>
      </c>
      <c r="G1244" s="1024" t="str">
        <f>VLOOKUP($B1244,DG!A:D,DG!$D$2,)</f>
        <v>kg</v>
      </c>
      <c r="H1244" s="1713">
        <f>9.42*(2+3*0.07)*H1242</f>
        <v>0</v>
      </c>
      <c r="I1244" s="1192">
        <f t="shared" si="51"/>
        <v>0</v>
      </c>
      <c r="J1244" s="1041"/>
      <c r="K1244" s="1041"/>
      <c r="L1244" s="1015"/>
      <c r="M1244" s="934">
        <v>250</v>
      </c>
    </row>
    <row r="1245" spans="1:13" s="1016" customFormat="1" ht="25.2" hidden="1" customHeight="1">
      <c r="A1245" s="1086">
        <f t="shared" si="53"/>
        <v>0</v>
      </c>
      <c r="B1245" s="1087" t="s">
        <v>457</v>
      </c>
      <c r="C1245" s="2842"/>
      <c r="D1245" s="1011"/>
      <c r="E1245" s="1024">
        <f>VLOOKUP($B1245,DG!A:D,DG!$B$2,)</f>
        <v>0</v>
      </c>
      <c r="F1245" s="1013" t="str">
        <f>VLOOKUP($B1245,DG!A:D,DG!$C$2,)</f>
        <v>Sắt góc L50 x50 x5</v>
      </c>
      <c r="G1245" s="1024" t="str">
        <f>VLOOKUP($B1245,DG!A:D,DG!$D$2,)</f>
        <v>kg</v>
      </c>
      <c r="H1245" s="1713">
        <f>3.77*1.15*H1242</f>
        <v>0</v>
      </c>
      <c r="I1245" s="1192">
        <f t="shared" si="51"/>
        <v>0</v>
      </c>
      <c r="J1245" s="1041"/>
      <c r="K1245" s="1041"/>
      <c r="L1245" s="1015"/>
      <c r="M1245" s="934">
        <v>250</v>
      </c>
    </row>
    <row r="1246" spans="1:13" s="1016" customFormat="1" ht="25.2" hidden="1" customHeight="1">
      <c r="A1246" s="1086">
        <f t="shared" si="53"/>
        <v>0</v>
      </c>
      <c r="B1246" s="1087" t="s">
        <v>1609</v>
      </c>
      <c r="C1246" s="2842"/>
      <c r="D1246" s="1011"/>
      <c r="E1246" s="1024">
        <f>VLOOKUP($B1246,DG!A:D,DG!$B$2,)</f>
        <v>0</v>
      </c>
      <c r="F1246" s="1013" t="str">
        <f>VLOOKUP($B1246,DG!A:D,DG!$C$2,)</f>
        <v>Boulon 16x250+ 2 long đền vuông D18-50x50x3/Zn</v>
      </c>
      <c r="G1246" s="1024" t="str">
        <f>VLOOKUP($B1246,DG!A:D,DG!$D$2,)</f>
        <v>bộ</v>
      </c>
      <c r="H1246" s="1713">
        <f>2*H1242</f>
        <v>0</v>
      </c>
      <c r="I1246" s="1192">
        <f t="shared" si="51"/>
        <v>0</v>
      </c>
      <c r="J1246" s="1041"/>
      <c r="K1246" s="1041"/>
      <c r="L1246" s="1015"/>
      <c r="M1246" s="934">
        <v>250</v>
      </c>
    </row>
    <row r="1247" spans="1:13" s="1016" customFormat="1" ht="25.2" hidden="1" customHeight="1">
      <c r="A1247" s="1086">
        <f t="shared" si="53"/>
        <v>0</v>
      </c>
      <c r="B1247" s="1087" t="s">
        <v>1786</v>
      </c>
      <c r="C1247" s="2842"/>
      <c r="D1247" s="1011"/>
      <c r="E1247" s="1024">
        <f>VLOOKUP($B1247,DG!A:D,DG!$B$2,)</f>
        <v>0</v>
      </c>
      <c r="F1247" s="1013" t="str">
        <f>VLOOKUP($B1247,DG!A:D,DG!$C$2,)</f>
        <v>Boulon 16x50+ 2 long đền vuông D18-50x50x3/Zn</v>
      </c>
      <c r="G1247" s="1024" t="str">
        <f>VLOOKUP($B1247,DG!A:D,DG!$D$2,)</f>
        <v>bộ</v>
      </c>
      <c r="H1247" s="1713">
        <f>1*H1242</f>
        <v>0</v>
      </c>
      <c r="I1247" s="1192">
        <f t="shared" si="51"/>
        <v>0</v>
      </c>
      <c r="J1247" s="1041"/>
      <c r="K1247" s="1041"/>
      <c r="L1247" s="1015"/>
      <c r="M1247" s="934">
        <v>250</v>
      </c>
    </row>
    <row r="1248" spans="1:13" s="1016" customFormat="1" ht="25.2" hidden="1" customHeight="1">
      <c r="A1248" s="1086">
        <f t="shared" si="53"/>
        <v>0</v>
      </c>
      <c r="B1248" s="1233" t="s">
        <v>517</v>
      </c>
      <c r="C1248" s="2843"/>
      <c r="D1248" s="1011"/>
      <c r="E1248" s="1024" t="str">
        <f>VLOOKUP($B1248,DG!A:D,DG!$B$2,)</f>
        <v>05.6203</v>
      </c>
      <c r="F1248" s="1013" t="str">
        <f>VLOOKUP($B1248,DG!A:D,DG!$C$2,)</f>
        <v>Lắp xà néo ≤ 100kg</v>
      </c>
      <c r="G1248" s="1024" t="str">
        <f>VLOOKUP($B1248,DG!A:D,DG!$D$2,)</f>
        <v>bộ</v>
      </c>
      <c r="H1248" s="1713">
        <f>1*H1242</f>
        <v>0</v>
      </c>
      <c r="I1248" s="1192">
        <f t="shared" si="51"/>
        <v>0</v>
      </c>
      <c r="J1248" s="1041"/>
      <c r="K1248" s="1041"/>
      <c r="L1248" s="1015"/>
      <c r="M1248" s="934">
        <v>250</v>
      </c>
    </row>
    <row r="1249" spans="1:13" s="1016" customFormat="1" ht="25.2" hidden="1" customHeight="1">
      <c r="A1249" s="1086">
        <f t="shared" si="53"/>
        <v>0</v>
      </c>
      <c r="B1249" s="1226"/>
      <c r="C1249" s="2841"/>
      <c r="D1249" s="1017">
        <f>IF(H1249&gt;0,D1242+1,D1242)</f>
        <v>1</v>
      </c>
      <c r="E1249" s="1018"/>
      <c r="F1249" s="1063" t="s">
        <v>3735</v>
      </c>
      <c r="G1249" s="1017" t="s">
        <v>2385</v>
      </c>
      <c r="H1249" s="1722">
        <v>3</v>
      </c>
      <c r="I1249" s="1192">
        <f t="shared" si="51"/>
        <v>0</v>
      </c>
      <c r="J1249" s="1064"/>
      <c r="K1249" s="1064"/>
      <c r="L1249" s="1015"/>
      <c r="M1249" s="934">
        <v>250</v>
      </c>
    </row>
    <row r="1250" spans="1:13" s="1016" customFormat="1" ht="25.2" hidden="1" customHeight="1">
      <c r="A1250" s="1086">
        <f t="shared" si="53"/>
        <v>0</v>
      </c>
      <c r="B1250" s="1226"/>
      <c r="C1250" s="2841"/>
      <c r="D1250" s="1011"/>
      <c r="E1250" s="1021"/>
      <c r="F1250" s="1267" t="s">
        <v>2279</v>
      </c>
      <c r="G1250" s="1023"/>
      <c r="H1250" s="1713"/>
      <c r="I1250" s="1192">
        <f t="shared" si="51"/>
        <v>0</v>
      </c>
      <c r="J1250" s="1064"/>
      <c r="K1250" s="1064"/>
      <c r="L1250" s="1015"/>
      <c r="M1250" s="934">
        <v>250</v>
      </c>
    </row>
    <row r="1251" spans="1:13" s="1016" customFormat="1" ht="25.2" hidden="1" customHeight="1">
      <c r="A1251" s="1086">
        <f t="shared" si="53"/>
        <v>0</v>
      </c>
      <c r="B1251" s="1244" t="s">
        <v>4328</v>
      </c>
      <c r="C1251" s="2846"/>
      <c r="D1251" s="1011"/>
      <c r="E1251" s="1024">
        <f>VLOOKUP($B1251,DG!A:D,DG!$B$2,)</f>
        <v>0</v>
      </c>
      <c r="F1251" s="1013" t="str">
        <f>VLOOKUP($B1251,DG!A:D,DG!$C$2,)</f>
        <v>Xà composite 110x800x5 dài 2,4m</v>
      </c>
      <c r="G1251" s="1024" t="str">
        <f>VLOOKUP($B1251,DG!A:D,DG!$D$2,)</f>
        <v>cái</v>
      </c>
      <c r="H1251" s="1713">
        <v>1</v>
      </c>
      <c r="I1251" s="1192">
        <f t="shared" si="51"/>
        <v>0</v>
      </c>
      <c r="J1251" s="1041"/>
      <c r="K1251" s="1041"/>
      <c r="L1251" s="1015"/>
      <c r="M1251" s="934">
        <v>250</v>
      </c>
    </row>
    <row r="1252" spans="1:13" s="1016" customFormat="1" ht="25.2" hidden="1" customHeight="1">
      <c r="A1252" s="1086">
        <f t="shared" si="53"/>
        <v>0</v>
      </c>
      <c r="B1252" s="1226" t="s">
        <v>1609</v>
      </c>
      <c r="C1252" s="2841"/>
      <c r="D1252" s="1011"/>
      <c r="E1252" s="1024">
        <f>VLOOKUP($B1252,DG!A:D,DG!$B$2,)</f>
        <v>0</v>
      </c>
      <c r="F1252" s="1013" t="str">
        <f>VLOOKUP($B1252,DG!A:D,DG!$C$2,)</f>
        <v>Boulon 16x250+ 2 long đền vuông D18-50x50x3/Zn</v>
      </c>
      <c r="G1252" s="1024" t="str">
        <f>VLOOKUP($B1252,DG!A:D,DG!$D$2,)</f>
        <v>bộ</v>
      </c>
      <c r="H1252" s="1713"/>
      <c r="I1252" s="1192">
        <f t="shared" si="51"/>
        <v>0</v>
      </c>
      <c r="J1252" s="1041"/>
      <c r="K1252" s="1041"/>
      <c r="L1252" s="1015"/>
      <c r="M1252" s="934">
        <v>250</v>
      </c>
    </row>
    <row r="1253" spans="1:13" s="1016" customFormat="1" ht="25.2" hidden="1" customHeight="1">
      <c r="A1253" s="1086">
        <f t="shared" si="53"/>
        <v>0</v>
      </c>
      <c r="B1253" s="1226" t="s">
        <v>1610</v>
      </c>
      <c r="C1253" s="2841"/>
      <c r="D1253" s="1011"/>
      <c r="E1253" s="1024">
        <f>VLOOKUP($B1253,DG!A:D,DG!$B$2,)</f>
        <v>0</v>
      </c>
      <c r="F1253" s="1013" t="str">
        <f>VLOOKUP($B1253,DG!A:D,DG!$C$2,)</f>
        <v>Boulon 16x300+ 2 long đền vuông D18-50x50x3/Zn</v>
      </c>
      <c r="G1253" s="1024" t="str">
        <f>VLOOKUP($B1253,DG!A:D,DG!$D$2,)</f>
        <v>bộ</v>
      </c>
      <c r="H1253" s="1713">
        <f>2*0</f>
        <v>0</v>
      </c>
      <c r="I1253" s="1192">
        <f t="shared" si="51"/>
        <v>0</v>
      </c>
      <c r="J1253" s="1041"/>
      <c r="K1253" s="1041"/>
      <c r="L1253" s="1015"/>
      <c r="M1253" s="934">
        <v>250</v>
      </c>
    </row>
    <row r="1254" spans="1:13" s="1016" customFormat="1" ht="25.2" hidden="1" customHeight="1">
      <c r="A1254" s="1086">
        <f t="shared" si="53"/>
        <v>0</v>
      </c>
      <c r="B1254" s="1226" t="s">
        <v>30</v>
      </c>
      <c r="C1254" s="2841"/>
      <c r="D1254" s="1011"/>
      <c r="E1254" s="1024">
        <f>VLOOKUP($B1254,DG!A:D,DG!$B$2,)</f>
        <v>0</v>
      </c>
      <c r="F1254" s="1013" t="str">
        <f>VLOOKUP($B1254,DG!A:D,DG!$C$2,)</f>
        <v>Bass LI bắt FCO</v>
      </c>
      <c r="G1254" s="1024" t="str">
        <f>VLOOKUP($B1254,DG!A:D,DG!$D$2,)</f>
        <v>Bộ</v>
      </c>
      <c r="H1254" s="1713">
        <f>H1249</f>
        <v>3</v>
      </c>
      <c r="I1254" s="1192">
        <f t="shared" si="51"/>
        <v>0</v>
      </c>
      <c r="J1254" s="1041"/>
      <c r="K1254" s="1041"/>
      <c r="L1254" s="1015"/>
      <c r="M1254" s="934">
        <v>250</v>
      </c>
    </row>
    <row r="1255" spans="1:13" s="1016" customFormat="1" ht="25.2" hidden="1" customHeight="1">
      <c r="A1255" s="1086">
        <f t="shared" si="53"/>
        <v>0</v>
      </c>
      <c r="B1255" s="1226" t="s">
        <v>2242</v>
      </c>
      <c r="C1255" s="2841"/>
      <c r="D1255" s="1011"/>
      <c r="E1255" s="1024" t="str">
        <f>VLOOKUP($B1255,DG!A:D,DG!$B$2,)</f>
        <v>05.6044</v>
      </c>
      <c r="F1255" s="1013" t="str">
        <f>VLOOKUP($B1255,DG!A:D,DG!$C$2,)</f>
        <v>Lắp xà cột Pi loại ≤140kg/xà</v>
      </c>
      <c r="G1255" s="1024" t="str">
        <f>VLOOKUP($B1255,DG!A:D,DG!$D$2,)</f>
        <v>bộ</v>
      </c>
      <c r="H1255" s="1713">
        <f>H1249*3</f>
        <v>9</v>
      </c>
      <c r="I1255" s="1192">
        <f t="shared" si="51"/>
        <v>0</v>
      </c>
      <c r="J1255" s="1041"/>
      <c r="K1255" s="1041"/>
      <c r="L1255" s="1015"/>
      <c r="M1255" s="934">
        <v>250</v>
      </c>
    </row>
    <row r="1256" spans="1:13" s="1016" customFormat="1" ht="25.2" hidden="1" customHeight="1">
      <c r="A1256" s="1086">
        <f t="shared" si="53"/>
        <v>0</v>
      </c>
      <c r="B1256" s="1087" t="s">
        <v>1786</v>
      </c>
      <c r="C1256" s="2842"/>
      <c r="D1256" s="1011"/>
      <c r="E1256" s="1024">
        <f>VLOOKUP($B1256,DG!A:D,DG!$B$2,)</f>
        <v>0</v>
      </c>
      <c r="F1256" s="1013" t="str">
        <f>VLOOKUP($B1256,DG!A:D,DG!$C$2,)</f>
        <v>Boulon 16x50+ 2 long đền vuông D18-50x50x3/Zn</v>
      </c>
      <c r="G1256" s="1024" t="str">
        <f>VLOOKUP($B1256,DG!A:D,DG!$D$2,)</f>
        <v>bộ</v>
      </c>
      <c r="H1256" s="1713">
        <f>4*H1249</f>
        <v>12</v>
      </c>
      <c r="I1256" s="1192">
        <f t="shared" si="51"/>
        <v>0</v>
      </c>
      <c r="J1256" s="1041"/>
      <c r="K1256" s="1041"/>
      <c r="L1256" s="1015"/>
      <c r="M1256" s="934">
        <v>250</v>
      </c>
    </row>
    <row r="1257" spans="1:13" s="1016" customFormat="1" ht="25.2" hidden="1" customHeight="1">
      <c r="A1257" s="1086">
        <f t="shared" si="53"/>
        <v>0</v>
      </c>
      <c r="B1257" s="1233" t="s">
        <v>1440</v>
      </c>
      <c r="C1257" s="2843"/>
      <c r="D1257" s="1011"/>
      <c r="E1257" s="1024" t="str">
        <f>VLOOKUP($B1257,DG!A:D,DG!$B$2,)</f>
        <v>05.6102</v>
      </c>
      <c r="F1257" s="1013" t="str">
        <f>VLOOKUP($B1257,DG!A:D,DG!$C$2,)</f>
        <v>Lắp xà đỡ ≤ 50kg</v>
      </c>
      <c r="G1257" s="1024" t="str">
        <f>VLOOKUP($B1257,DG!A:D,DG!$D$2,)</f>
        <v>bộ</v>
      </c>
      <c r="H1257" s="1713">
        <f>1*H1249</f>
        <v>3</v>
      </c>
      <c r="I1257" s="1192">
        <f t="shared" si="51"/>
        <v>0</v>
      </c>
      <c r="J1257" s="1041"/>
      <c r="K1257" s="1041"/>
      <c r="L1257" s="1015"/>
      <c r="M1257" s="934">
        <v>250</v>
      </c>
    </row>
    <row r="1258" spans="1:13" s="1016" customFormat="1" ht="25.2" hidden="1" customHeight="1">
      <c r="A1258" s="1086">
        <f t="shared" si="53"/>
        <v>0</v>
      </c>
      <c r="B1258" s="1226"/>
      <c r="C1258" s="2841"/>
      <c r="D1258" s="1017">
        <f>IF(H1258&gt;0,D1249+1,D1249)</f>
        <v>2</v>
      </c>
      <c r="E1258" s="1018"/>
      <c r="F1258" s="1063" t="s">
        <v>4557</v>
      </c>
      <c r="G1258" s="1017" t="s">
        <v>2385</v>
      </c>
      <c r="H1258" s="1722">
        <v>1</v>
      </c>
      <c r="I1258" s="1192">
        <f t="shared" si="51"/>
        <v>0</v>
      </c>
      <c r="J1258" s="1064"/>
      <c r="K1258" s="1064"/>
      <c r="L1258" s="1015"/>
      <c r="M1258" s="934">
        <v>250</v>
      </c>
    </row>
    <row r="1259" spans="1:13" s="1016" customFormat="1" ht="25.2" hidden="1" customHeight="1">
      <c r="A1259" s="1086">
        <f t="shared" si="53"/>
        <v>0</v>
      </c>
      <c r="B1259" s="1226"/>
      <c r="C1259" s="2841"/>
      <c r="D1259" s="1011"/>
      <c r="E1259" s="1021"/>
      <c r="F1259" s="1267" t="s">
        <v>2279</v>
      </c>
      <c r="G1259" s="1023"/>
      <c r="H1259" s="1713"/>
      <c r="I1259" s="1192">
        <f t="shared" si="51"/>
        <v>0</v>
      </c>
      <c r="J1259" s="1064"/>
      <c r="K1259" s="1064"/>
      <c r="L1259" s="1015"/>
      <c r="M1259" s="934">
        <v>250</v>
      </c>
    </row>
    <row r="1260" spans="1:13" s="1016" customFormat="1" ht="25.2" hidden="1" customHeight="1">
      <c r="A1260" s="1086">
        <f t="shared" si="53"/>
        <v>0</v>
      </c>
      <c r="B1260" s="1233" t="s">
        <v>2022</v>
      </c>
      <c r="C1260" s="2843"/>
      <c r="D1260" s="1011"/>
      <c r="E1260" s="1024">
        <f>VLOOKUP($B1260,DG!A:D,DG!$B$2,)</f>
        <v>0</v>
      </c>
      <c r="F1260" s="1013" t="str">
        <f>VLOOKUP($B1260,DG!A:D,DG!$C$2,)</f>
        <v>Sắt góc L75 x75 x8</v>
      </c>
      <c r="G1260" s="1024" t="str">
        <f>VLOOKUP($B1260,DG!A:D,DG!$D$2,)</f>
        <v>kg</v>
      </c>
      <c r="H1260" s="1798">
        <v>1</v>
      </c>
      <c r="I1260" s="1799">
        <f t="shared" ref="I1260:I1323" si="54">IF(M1260=$M$23,H1260+J1260-K1260,0)</f>
        <v>0</v>
      </c>
      <c r="J1260" s="1041"/>
      <c r="K1260" s="1041"/>
      <c r="L1260" s="1015"/>
      <c r="M1260" s="934">
        <v>250</v>
      </c>
    </row>
    <row r="1261" spans="1:13" s="1016" customFormat="1" ht="25.2" hidden="1" customHeight="1">
      <c r="A1261" s="1086">
        <f t="shared" si="53"/>
        <v>0</v>
      </c>
      <c r="B1261" s="1226" t="s">
        <v>1609</v>
      </c>
      <c r="C1261" s="2841"/>
      <c r="D1261" s="1011"/>
      <c r="E1261" s="1024">
        <f>VLOOKUP($B1261,DG!A:D,DG!$B$2,)</f>
        <v>0</v>
      </c>
      <c r="F1261" s="1013" t="str">
        <f>VLOOKUP($B1261,DG!A:D,DG!$C$2,)</f>
        <v>Boulon 16x250+ 2 long đền vuông D18-50x50x3/Zn</v>
      </c>
      <c r="G1261" s="1024" t="str">
        <f>VLOOKUP($B1261,DG!A:D,DG!$D$2,)</f>
        <v>bộ</v>
      </c>
      <c r="H1261" s="1713">
        <f>H1258</f>
        <v>1</v>
      </c>
      <c r="I1261" s="1192">
        <f t="shared" si="54"/>
        <v>0</v>
      </c>
      <c r="J1261" s="1041"/>
      <c r="K1261" s="1041"/>
      <c r="L1261" s="1015"/>
      <c r="M1261" s="934">
        <v>250</v>
      </c>
    </row>
    <row r="1262" spans="1:13" s="1016" customFormat="1" ht="25.2" hidden="1" customHeight="1">
      <c r="A1262" s="1086">
        <f t="shared" si="53"/>
        <v>0</v>
      </c>
      <c r="B1262" s="1226" t="s">
        <v>1610</v>
      </c>
      <c r="C1262" s="2841"/>
      <c r="D1262" s="1011"/>
      <c r="E1262" s="1024">
        <f>VLOOKUP($B1262,DG!A:D,DG!$B$2,)</f>
        <v>0</v>
      </c>
      <c r="F1262" s="1013" t="str">
        <f>VLOOKUP($B1262,DG!A:D,DG!$C$2,)</f>
        <v>Boulon 16x300+ 2 long đền vuông D18-50x50x3/Zn</v>
      </c>
      <c r="G1262" s="1024" t="str">
        <f>VLOOKUP($B1262,DG!A:D,DG!$D$2,)</f>
        <v>bộ</v>
      </c>
      <c r="H1262" s="1713">
        <f>H1258</f>
        <v>1</v>
      </c>
      <c r="I1262" s="1192">
        <f t="shared" si="54"/>
        <v>0</v>
      </c>
      <c r="J1262" s="1041"/>
      <c r="K1262" s="1041"/>
      <c r="L1262" s="1015"/>
      <c r="M1262" s="934">
        <v>250</v>
      </c>
    </row>
    <row r="1263" spans="1:13" s="1016" customFormat="1" ht="25.2" hidden="1" customHeight="1">
      <c r="A1263" s="1086">
        <f t="shared" si="53"/>
        <v>0</v>
      </c>
      <c r="B1263" s="1226" t="s">
        <v>1735</v>
      </c>
      <c r="C1263" s="2841"/>
      <c r="D1263" s="1011"/>
      <c r="E1263" s="1024">
        <f>VLOOKUP($B1263,DG!A:D,DG!$B$2,)</f>
        <v>0</v>
      </c>
      <c r="F1263" s="1013" t="str">
        <f>VLOOKUP($B1263,DG!A:D,DG!$C$2,)</f>
        <v>Bass LI bắt FCO</v>
      </c>
      <c r="G1263" s="1024" t="str">
        <f>VLOOKUP($B1263,DG!A:D,DG!$D$2,)</f>
        <v>Bộ</v>
      </c>
      <c r="H1263" s="1713">
        <v>3</v>
      </c>
      <c r="I1263" s="1192">
        <f t="shared" si="54"/>
        <v>0</v>
      </c>
      <c r="J1263" s="1041"/>
      <c r="K1263" s="1041"/>
      <c r="L1263" s="1015"/>
      <c r="M1263" s="934">
        <v>250</v>
      </c>
    </row>
    <row r="1264" spans="1:13" s="1016" customFormat="1" ht="25.2" hidden="1" customHeight="1">
      <c r="A1264" s="1086">
        <f t="shared" si="53"/>
        <v>0</v>
      </c>
      <c r="B1264" s="1226" t="s">
        <v>2242</v>
      </c>
      <c r="C1264" s="2841"/>
      <c r="D1264" s="1011"/>
      <c r="E1264" s="1024" t="str">
        <f>VLOOKUP($B1264,DG!A:D,DG!$B$2,)</f>
        <v>05.6044</v>
      </c>
      <c r="F1264" s="1013" t="str">
        <f>VLOOKUP($B1264,DG!A:D,DG!$C$2,)</f>
        <v>Lắp xà cột Pi loại ≤140kg/xà</v>
      </c>
      <c r="G1264" s="1024" t="str">
        <f>VLOOKUP($B1264,DG!A:D,DG!$D$2,)</f>
        <v>bộ</v>
      </c>
      <c r="H1264" s="1713">
        <v>1</v>
      </c>
      <c r="I1264" s="1192">
        <f t="shared" si="54"/>
        <v>0</v>
      </c>
      <c r="J1264" s="1041"/>
      <c r="K1264" s="1041"/>
      <c r="L1264" s="1015"/>
      <c r="M1264" s="934">
        <v>250</v>
      </c>
    </row>
    <row r="1265" spans="1:13" s="1016" customFormat="1" ht="25.2" hidden="1" customHeight="1">
      <c r="A1265" s="1086">
        <f t="shared" si="53"/>
        <v>0</v>
      </c>
      <c r="B1265" s="1226"/>
      <c r="C1265" s="2841"/>
      <c r="D1265" s="1017">
        <f>IF(H1265&gt;0,D1258+1,D1258)</f>
        <v>3</v>
      </c>
      <c r="E1265" s="1018"/>
      <c r="F1265" s="1063" t="s">
        <v>3717</v>
      </c>
      <c r="G1265" s="1017" t="s">
        <v>2385</v>
      </c>
      <c r="H1265" s="1722">
        <v>2</v>
      </c>
      <c r="I1265" s="1192">
        <f t="shared" si="54"/>
        <v>0</v>
      </c>
      <c r="J1265" s="1064"/>
      <c r="K1265" s="1064"/>
      <c r="L1265" s="1015"/>
      <c r="M1265" s="934">
        <v>250</v>
      </c>
    </row>
    <row r="1266" spans="1:13" s="1016" customFormat="1" ht="25.2" hidden="1" customHeight="1">
      <c r="A1266" s="1086">
        <f t="shared" si="53"/>
        <v>0</v>
      </c>
      <c r="B1266" s="1226"/>
      <c r="C1266" s="2841"/>
      <c r="D1266" s="1011"/>
      <c r="E1266" s="1021"/>
      <c r="F1266" s="1267" t="s">
        <v>2279</v>
      </c>
      <c r="G1266" s="1023"/>
      <c r="H1266" s="1713"/>
      <c r="I1266" s="1192">
        <f t="shared" si="54"/>
        <v>0</v>
      </c>
      <c r="J1266" s="1064"/>
      <c r="K1266" s="1064"/>
      <c r="L1266" s="1015"/>
      <c r="M1266" s="934">
        <v>250</v>
      </c>
    </row>
    <row r="1267" spans="1:13" s="1016" customFormat="1" ht="25.2" hidden="1" customHeight="1">
      <c r="A1267" s="1086">
        <f t="shared" si="53"/>
        <v>0</v>
      </c>
      <c r="B1267" s="1226" t="s">
        <v>2022</v>
      </c>
      <c r="C1267" s="2841">
        <f>93.81/2</f>
        <v>46.905000000000001</v>
      </c>
      <c r="D1267" s="1011"/>
      <c r="E1267" s="1024">
        <f>VLOOKUP($B1267,DG!A:D,DG!$B$2,)</f>
        <v>0</v>
      </c>
      <c r="F1267" s="1013" t="str">
        <f>VLOOKUP($B1267,DG!A:D,DG!$C$2,)</f>
        <v>Sắt góc L75 x75 x8</v>
      </c>
      <c r="G1267" s="1024" t="str">
        <f>VLOOKUP($B1267,DG!A:D,DG!$D$2,)</f>
        <v>kg</v>
      </c>
      <c r="H1267" s="1798"/>
      <c r="I1267" s="1799">
        <f>H1267</f>
        <v>0</v>
      </c>
      <c r="J1267" s="1041"/>
      <c r="K1267" s="1041"/>
      <c r="L1267" s="1015"/>
      <c r="M1267" s="934">
        <v>250</v>
      </c>
    </row>
    <row r="1268" spans="1:13" s="1016" customFormat="1" ht="25.2" hidden="1" customHeight="1">
      <c r="A1268" s="1086">
        <f t="shared" si="53"/>
        <v>0</v>
      </c>
      <c r="B1268" s="1226" t="s">
        <v>1083</v>
      </c>
      <c r="C1268" s="2841"/>
      <c r="D1268" s="1011"/>
      <c r="E1268" s="1024">
        <f>VLOOKUP($B1268,DG!A:D,DG!$B$2,)</f>
        <v>0</v>
      </c>
      <c r="F1268" s="1013" t="str">
        <f>VLOOKUP($B1268,DG!A:D,DG!$C$2,)</f>
        <v>Boulon 16x400+ 2 long đền vuông D18-50x50x3/Zn</v>
      </c>
      <c r="G1268" s="1024" t="str">
        <f>VLOOKUP($B1268,DG!A:D,DG!$D$2,)</f>
        <v>bộ</v>
      </c>
      <c r="H1268" s="1713">
        <f>H1265*2</f>
        <v>4</v>
      </c>
      <c r="I1268" s="1192">
        <f t="shared" si="54"/>
        <v>0</v>
      </c>
      <c r="J1268" s="1041"/>
      <c r="K1268" s="1041"/>
      <c r="L1268" s="1015"/>
      <c r="M1268" s="934">
        <v>250</v>
      </c>
    </row>
    <row r="1269" spans="1:13" s="1016" customFormat="1" ht="25.2" hidden="1" customHeight="1">
      <c r="A1269" s="1086">
        <f t="shared" si="53"/>
        <v>0</v>
      </c>
      <c r="B1269" s="1226" t="s">
        <v>138</v>
      </c>
      <c r="C1269" s="2841"/>
      <c r="D1269" s="1011"/>
      <c r="E1269" s="1024">
        <f>VLOOKUP($B1269,DG!A:D,DG!$B$2,)</f>
        <v>0</v>
      </c>
      <c r="F1269" s="1013" t="str">
        <f>VLOOKUP($B1269,DG!A:D,DG!$C$2,)</f>
        <v>Boulon 12x40+ 2 long đền vuông D14-50x50x3/Zn</v>
      </c>
      <c r="G1269" s="1024" t="str">
        <f>VLOOKUP($B1269,DG!A:D,DG!$D$2,)</f>
        <v>bộ</v>
      </c>
      <c r="H1269" s="1713">
        <f>H1265*2</f>
        <v>4</v>
      </c>
      <c r="I1269" s="1192">
        <f t="shared" si="54"/>
        <v>0</v>
      </c>
      <c r="J1269" s="1041"/>
      <c r="K1269" s="1041"/>
      <c r="L1269" s="1015"/>
      <c r="M1269" s="934">
        <v>250</v>
      </c>
    </row>
    <row r="1270" spans="1:13" s="1016" customFormat="1" ht="25.2" hidden="1" customHeight="1">
      <c r="A1270" s="1086">
        <f t="shared" si="53"/>
        <v>0</v>
      </c>
      <c r="B1270" s="1226" t="s">
        <v>2242</v>
      </c>
      <c r="C1270" s="2841"/>
      <c r="D1270" s="1011"/>
      <c r="E1270" s="1024" t="str">
        <f>VLOOKUP($B1270,DG!A:D,DG!$B$2,)</f>
        <v>05.6044</v>
      </c>
      <c r="F1270" s="1013" t="str">
        <f>VLOOKUP($B1270,DG!A:D,DG!$C$2,)</f>
        <v>Lắp xà cột Pi loại ≤140kg/xà</v>
      </c>
      <c r="G1270" s="1024" t="str">
        <f>VLOOKUP($B1270,DG!A:D,DG!$D$2,)</f>
        <v>bộ</v>
      </c>
      <c r="H1270" s="1713">
        <f>H1265/2</f>
        <v>1</v>
      </c>
      <c r="I1270" s="1192">
        <f t="shared" si="54"/>
        <v>0</v>
      </c>
      <c r="J1270" s="1041"/>
      <c r="K1270" s="1041"/>
      <c r="L1270" s="1015"/>
      <c r="M1270" s="934">
        <v>250</v>
      </c>
    </row>
    <row r="1271" spans="1:13" s="1016" customFormat="1" ht="25.2" hidden="1" customHeight="1">
      <c r="A1271" s="1086">
        <f t="shared" si="53"/>
        <v>0</v>
      </c>
      <c r="B1271" s="1226" t="s">
        <v>217</v>
      </c>
      <c r="C1271" s="2841"/>
      <c r="D1271" s="1011"/>
      <c r="E1271" s="1024" t="str">
        <f>VLOOKUP($B1271,DG!A:D,DG!$B$2,)</f>
        <v>02.1115</v>
      </c>
      <c r="F1271" s="1013" t="str">
        <f>VLOOKUP($B1271,DG!A:D,DG!$C$2,)</f>
        <v>Bốc dỡ xà, thép thanh</v>
      </c>
      <c r="G1271" s="1024" t="str">
        <f>VLOOKUP($B1271,DG!A:D,DG!$D$2,)</f>
        <v>tấn</v>
      </c>
      <c r="H1271" s="1713">
        <f>0.05*0</f>
        <v>0</v>
      </c>
      <c r="I1271" s="1192">
        <f t="shared" si="54"/>
        <v>0</v>
      </c>
      <c r="J1271" s="1041"/>
      <c r="K1271" s="1041"/>
      <c r="L1271" s="1015"/>
      <c r="M1271" s="934">
        <v>250</v>
      </c>
    </row>
    <row r="1272" spans="1:13" s="1016" customFormat="1" ht="25.2" hidden="1" customHeight="1">
      <c r="A1272" s="1086">
        <f t="shared" si="53"/>
        <v>0</v>
      </c>
      <c r="B1272" s="1226" t="s">
        <v>1610</v>
      </c>
      <c r="C1272" s="2841"/>
      <c r="D1272" s="1011"/>
      <c r="E1272" s="1024">
        <f>VLOOKUP($B1272,DG!A:D,DG!$B$2,)</f>
        <v>0</v>
      </c>
      <c r="F1272" s="1013" t="str">
        <f>VLOOKUP($B1272,DG!A:D,DG!$C$2,)</f>
        <v>Boulon 16x300+ 2 long đền vuông D18-50x50x3/Zn</v>
      </c>
      <c r="G1272" s="1012" t="s">
        <v>2439</v>
      </c>
      <c r="H1272" s="1713">
        <f>H1265*2*0</f>
        <v>0</v>
      </c>
      <c r="I1272" s="1192">
        <f t="shared" si="54"/>
        <v>0</v>
      </c>
      <c r="J1272" s="1041"/>
      <c r="K1272" s="1041"/>
      <c r="L1272" s="1015"/>
      <c r="M1272" s="934">
        <v>250</v>
      </c>
    </row>
    <row r="1273" spans="1:13" s="1016" customFormat="1" ht="25.2" hidden="1" customHeight="1">
      <c r="A1273" s="1086">
        <f t="shared" si="53"/>
        <v>0</v>
      </c>
      <c r="B1273" s="1226" t="s">
        <v>1609</v>
      </c>
      <c r="C1273" s="2841"/>
      <c r="D1273" s="1011"/>
      <c r="E1273" s="1024">
        <f>VLOOKUP($B1273,DG!A:D,DG!$B$2,)</f>
        <v>0</v>
      </c>
      <c r="F1273" s="1013" t="str">
        <f>VLOOKUP($B1273,DG!A:D,DG!$C$2,)</f>
        <v>Boulon 16x250+ 2 long đền vuông D18-50x50x3/Zn</v>
      </c>
      <c r="G1273" s="1012" t="s">
        <v>2439</v>
      </c>
      <c r="H1273" s="1713">
        <f>2*H1265*2*0</f>
        <v>0</v>
      </c>
      <c r="I1273" s="1192">
        <f t="shared" si="54"/>
        <v>0</v>
      </c>
      <c r="J1273" s="1041"/>
      <c r="K1273" s="1041"/>
      <c r="L1273" s="1015"/>
      <c r="M1273" s="934">
        <v>250</v>
      </c>
    </row>
    <row r="1274" spans="1:13" s="1016" customFormat="1" ht="25.2" hidden="1" customHeight="1" collapsed="1">
      <c r="A1274" s="1086">
        <f t="shared" si="53"/>
        <v>0</v>
      </c>
      <c r="B1274" s="1226"/>
      <c r="C1274" s="2841"/>
      <c r="D1274" s="1017">
        <f>IF(H1274&gt;0,D1265+1,D1265)</f>
        <v>3</v>
      </c>
      <c r="E1274" s="1018"/>
      <c r="F1274" s="1063" t="s">
        <v>3718</v>
      </c>
      <c r="G1274" s="1017" t="s">
        <v>2385</v>
      </c>
      <c r="H1274" s="1722">
        <f>H1198*0</f>
        <v>0</v>
      </c>
      <c r="I1274" s="1192">
        <f t="shared" si="54"/>
        <v>0</v>
      </c>
      <c r="J1274" s="1014"/>
      <c r="K1274" s="1014"/>
      <c r="L1274" s="1043"/>
      <c r="M1274" s="934">
        <v>250</v>
      </c>
    </row>
    <row r="1275" spans="1:13" s="1016" customFormat="1" ht="25.2" hidden="1" customHeight="1">
      <c r="A1275" s="1086">
        <f t="shared" si="53"/>
        <v>0</v>
      </c>
      <c r="B1275" s="1226"/>
      <c r="C1275" s="2841"/>
      <c r="D1275" s="1011"/>
      <c r="E1275" s="1021"/>
      <c r="F1275" s="1267" t="s">
        <v>2279</v>
      </c>
      <c r="G1275" s="1023"/>
      <c r="H1275" s="1713"/>
      <c r="I1275" s="1192">
        <f t="shared" si="54"/>
        <v>0</v>
      </c>
      <c r="J1275" s="1014"/>
      <c r="K1275" s="1014"/>
      <c r="L1275" s="1043"/>
      <c r="M1275" s="934">
        <v>250</v>
      </c>
    </row>
    <row r="1276" spans="1:13" s="1016" customFormat="1" ht="25.2" hidden="1" customHeight="1">
      <c r="A1276" s="1086">
        <f t="shared" si="53"/>
        <v>0</v>
      </c>
      <c r="B1276" s="1226" t="s">
        <v>2022</v>
      </c>
      <c r="C1276" s="2841"/>
      <c r="D1276" s="1011"/>
      <c r="E1276" s="1024">
        <f>VLOOKUP($B1276,DG!A:D,DG!$B$2,)</f>
        <v>0</v>
      </c>
      <c r="F1276" s="1013" t="str">
        <f>VLOOKUP($B1276,DG!A:D,DG!$C$2,)</f>
        <v>Sắt góc L75 x75 x8</v>
      </c>
      <c r="G1276" s="1012" t="s">
        <v>2248</v>
      </c>
      <c r="H1276" s="1713">
        <f>H1274*9.02*(2.4+4*0.07)*2</f>
        <v>0</v>
      </c>
      <c r="I1276" s="1192">
        <f t="shared" si="54"/>
        <v>0</v>
      </c>
      <c r="J1276" s="1014"/>
      <c r="K1276" s="1014"/>
      <c r="L1276" s="1043"/>
      <c r="M1276" s="934">
        <v>250</v>
      </c>
    </row>
    <row r="1277" spans="1:13" s="1016" customFormat="1" ht="25.2" hidden="1" customHeight="1">
      <c r="A1277" s="1086">
        <f t="shared" si="53"/>
        <v>0</v>
      </c>
      <c r="B1277" s="1226" t="s">
        <v>1035</v>
      </c>
      <c r="C1277" s="2841"/>
      <c r="D1277" s="1011"/>
      <c r="E1277" s="1024">
        <f>VLOOKUP($B1277,DG!A:D,DG!$B$2,)</f>
        <v>0</v>
      </c>
      <c r="F1277" s="1013" t="str">
        <f>VLOOKUP($B1277,DG!A:D,DG!$C$2,)&amp;" (Thanh choáng 810)"</f>
        <v>Sắt góc L50 x50 x5 (Thanh choáng 810)</v>
      </c>
      <c r="G1277" s="1012" t="s">
        <v>2248</v>
      </c>
      <c r="H1277" s="1713">
        <f>H1274*3.77*0.81*4</f>
        <v>0</v>
      </c>
      <c r="I1277" s="1192">
        <f t="shared" si="54"/>
        <v>0</v>
      </c>
      <c r="J1277" s="1014"/>
      <c r="K1277" s="1014"/>
      <c r="L1277" s="1043"/>
      <c r="M1277" s="934">
        <v>250</v>
      </c>
    </row>
    <row r="1278" spans="1:13" s="1016" customFormat="1" ht="25.2" hidden="1" customHeight="1">
      <c r="A1278" s="1086">
        <f t="shared" si="53"/>
        <v>0</v>
      </c>
      <c r="B1278" s="1226" t="s">
        <v>1610</v>
      </c>
      <c r="C1278" s="2841"/>
      <c r="D1278" s="1011"/>
      <c r="E1278" s="1024">
        <f>VLOOKUP($B1278,DG!A:D,DG!$B$2,)</f>
        <v>0</v>
      </c>
      <c r="F1278" s="1013" t="str">
        <f>VLOOKUP($B1278,DG!A:D,DG!$C$2,)</f>
        <v>Boulon 16x300+ 2 long đền vuông D18-50x50x3/Zn</v>
      </c>
      <c r="G1278" s="1012" t="s">
        <v>2439</v>
      </c>
      <c r="H1278" s="1713">
        <f>H1274*2</f>
        <v>0</v>
      </c>
      <c r="I1278" s="1192">
        <f t="shared" si="54"/>
        <v>0</v>
      </c>
      <c r="J1278" s="1014"/>
      <c r="K1278" s="1014"/>
      <c r="L1278" s="1043"/>
      <c r="M1278" s="934">
        <v>250</v>
      </c>
    </row>
    <row r="1279" spans="1:13" s="1016" customFormat="1" ht="25.2" hidden="1" customHeight="1">
      <c r="A1279" s="1086">
        <f t="shared" si="53"/>
        <v>0</v>
      </c>
      <c r="B1279" s="1226" t="s">
        <v>1786</v>
      </c>
      <c r="C1279" s="2841"/>
      <c r="D1279" s="1011"/>
      <c r="E1279" s="1024">
        <f>VLOOKUP($B1279,DG!A:D,DG!$B$2,)</f>
        <v>0</v>
      </c>
      <c r="F1279" s="1013" t="str">
        <f>VLOOKUP($B1279,DG!A:D,DG!$C$2,)</f>
        <v>Boulon 16x50+ 2 long đền vuông D18-50x50x3/Zn</v>
      </c>
      <c r="G1279" s="1012" t="s">
        <v>2439</v>
      </c>
      <c r="H1279" s="1713">
        <f>H1274*4</f>
        <v>0</v>
      </c>
      <c r="I1279" s="1192">
        <f t="shared" si="54"/>
        <v>0</v>
      </c>
      <c r="J1279" s="1014"/>
      <c r="K1279" s="1014"/>
      <c r="L1279" s="1043"/>
      <c r="M1279" s="934">
        <v>250</v>
      </c>
    </row>
    <row r="1280" spans="1:13" s="1016" customFormat="1" ht="25.2" hidden="1" customHeight="1">
      <c r="A1280" s="1086">
        <f t="shared" si="53"/>
        <v>0</v>
      </c>
      <c r="B1280" s="1226" t="s">
        <v>1784</v>
      </c>
      <c r="C1280" s="2841"/>
      <c r="D1280" s="1011"/>
      <c r="E1280" s="1024">
        <f>VLOOKUP($B1280,DG!A:D,DG!$B$2,)</f>
        <v>0</v>
      </c>
      <c r="F1280" s="1013" t="str">
        <f>VLOOKUP($B1280,DG!A:D,DG!$C$2,)</f>
        <v>Boulon 16x300VRS+ 4 long đền vuông D18-50x50x3/Zn</v>
      </c>
      <c r="G1280" s="1012" t="s">
        <v>2439</v>
      </c>
      <c r="H1280" s="1713">
        <f>H1274*4</f>
        <v>0</v>
      </c>
      <c r="I1280" s="1192">
        <f t="shared" si="54"/>
        <v>0</v>
      </c>
      <c r="J1280" s="1014"/>
      <c r="K1280" s="1014"/>
      <c r="L1280" s="1043"/>
      <c r="M1280" s="934">
        <v>250</v>
      </c>
    </row>
    <row r="1281" spans="1:13" s="1016" customFormat="1" ht="25.2" hidden="1" customHeight="1">
      <c r="A1281" s="1086">
        <f t="shared" si="53"/>
        <v>0</v>
      </c>
      <c r="B1281" s="1226" t="s">
        <v>517</v>
      </c>
      <c r="C1281" s="2841"/>
      <c r="D1281" s="1011"/>
      <c r="E1281" s="1024" t="str">
        <f>VLOOKUP($B1281,DG!A:D,DG!$B$2,)</f>
        <v>05.6203</v>
      </c>
      <c r="F1281" s="1013" t="str">
        <f>VLOOKUP($B1281,DG!A:D,DG!$C$2,)</f>
        <v>Lắp xà néo ≤ 100kg</v>
      </c>
      <c r="G1281" s="1012" t="s">
        <v>2439</v>
      </c>
      <c r="H1281" s="1713">
        <f>H1274</f>
        <v>0</v>
      </c>
      <c r="I1281" s="1192">
        <f t="shared" si="54"/>
        <v>0</v>
      </c>
      <c r="J1281" s="1014"/>
      <c r="K1281" s="1014"/>
      <c r="L1281" s="1043"/>
      <c r="M1281" s="934">
        <v>250</v>
      </c>
    </row>
    <row r="1282" spans="1:13" s="1016" customFormat="1" ht="25.2" hidden="1" customHeight="1">
      <c r="A1282" s="1086">
        <f t="shared" si="53"/>
        <v>0</v>
      </c>
      <c r="B1282" s="1226"/>
      <c r="C1282" s="2841"/>
      <c r="D1282" s="1017">
        <f>IF(H1282&gt;0,D1274+1,D1274)</f>
        <v>3</v>
      </c>
      <c r="E1282" s="1018"/>
      <c r="F1282" s="1063" t="s">
        <v>3719</v>
      </c>
      <c r="G1282" s="1017" t="s">
        <v>2385</v>
      </c>
      <c r="H1282" s="1722">
        <f>H1198*1*0</f>
        <v>0</v>
      </c>
      <c r="I1282" s="1192">
        <f t="shared" si="54"/>
        <v>0</v>
      </c>
      <c r="J1282" s="1014"/>
      <c r="K1282" s="1014"/>
      <c r="L1282" s="1043"/>
      <c r="M1282" s="934">
        <v>250</v>
      </c>
    </row>
    <row r="1283" spans="1:13" s="1016" customFormat="1" ht="25.2" hidden="1" customHeight="1">
      <c r="A1283" s="1086">
        <f t="shared" si="53"/>
        <v>0</v>
      </c>
      <c r="B1283" s="1226"/>
      <c r="C1283" s="2841"/>
      <c r="D1283" s="1011"/>
      <c r="E1283" s="1021"/>
      <c r="F1283" s="1267" t="s">
        <v>2279</v>
      </c>
      <c r="G1283" s="1023"/>
      <c r="H1283" s="1713"/>
      <c r="I1283" s="1192">
        <f t="shared" si="54"/>
        <v>0</v>
      </c>
      <c r="J1283" s="1014"/>
      <c r="K1283" s="1014"/>
      <c r="L1283" s="1043"/>
      <c r="M1283" s="934">
        <v>250</v>
      </c>
    </row>
    <row r="1284" spans="1:13" s="1016" customFormat="1" ht="25.2" hidden="1" customHeight="1">
      <c r="A1284" s="1086">
        <f t="shared" si="53"/>
        <v>0</v>
      </c>
      <c r="B1284" s="1226" t="s">
        <v>2022</v>
      </c>
      <c r="C1284" s="2841"/>
      <c r="D1284" s="1011"/>
      <c r="E1284" s="1024">
        <f>VLOOKUP($B1284,DG!A:D,DG!$B$2,)</f>
        <v>0</v>
      </c>
      <c r="F1284" s="1013" t="str">
        <f>VLOOKUP($B1284,DG!A:D,DG!$C$2,)</f>
        <v>Sắt góc L75 x75 x8</v>
      </c>
      <c r="G1284" s="1012" t="s">
        <v>2248</v>
      </c>
      <c r="H1284" s="1713">
        <f>H1282*9.02*(2.4+4*0.07)</f>
        <v>0</v>
      </c>
      <c r="I1284" s="1192">
        <f t="shared" si="54"/>
        <v>0</v>
      </c>
      <c r="J1284" s="1014"/>
      <c r="K1284" s="1014"/>
      <c r="L1284" s="1043"/>
      <c r="M1284" s="934">
        <v>250</v>
      </c>
    </row>
    <row r="1285" spans="1:13" s="1016" customFormat="1" ht="25.2" hidden="1" customHeight="1">
      <c r="A1285" s="1086">
        <f t="shared" si="53"/>
        <v>0</v>
      </c>
      <c r="B1285" s="1226" t="s">
        <v>1035</v>
      </c>
      <c r="C1285" s="2841"/>
      <c r="D1285" s="1011"/>
      <c r="E1285" s="1024">
        <f>VLOOKUP($B1285,DG!A:D,DG!$B$2,)</f>
        <v>0</v>
      </c>
      <c r="F1285" s="1013" t="str">
        <f>VLOOKUP($B1285,DG!A:D,DG!$C$2,)&amp;" (Thanh choáng 810)"</f>
        <v>Sắt góc L50 x50 x5 (Thanh choáng 810)</v>
      </c>
      <c r="G1285" s="1012" t="s">
        <v>2248</v>
      </c>
      <c r="H1285" s="1713">
        <f>H1282*3.77*0.81*2</f>
        <v>0</v>
      </c>
      <c r="I1285" s="1192">
        <f t="shared" si="54"/>
        <v>0</v>
      </c>
      <c r="J1285" s="1014"/>
      <c r="K1285" s="1014"/>
      <c r="L1285" s="1043"/>
      <c r="M1285" s="934">
        <v>250</v>
      </c>
    </row>
    <row r="1286" spans="1:13" s="1016" customFormat="1" ht="25.2" hidden="1" customHeight="1">
      <c r="A1286" s="1086">
        <f t="shared" si="53"/>
        <v>0</v>
      </c>
      <c r="B1286" s="1226" t="s">
        <v>1079</v>
      </c>
      <c r="C1286" s="2841"/>
      <c r="D1286" s="1011"/>
      <c r="E1286" s="1024">
        <f>VLOOKUP($B1286,DG!A:D,DG!$B$2,)</f>
        <v>0</v>
      </c>
      <c r="F1286" s="1013" t="str">
        <f>VLOOKUP($B1286,DG!A:D,DG!$C$2,)</f>
        <v>Boulon 16x350+ 2 long đền vuông D18-50x50x3/Zn</v>
      </c>
      <c r="G1286" s="1012" t="s">
        <v>2439</v>
      </c>
      <c r="H1286" s="1713">
        <f>H1282*2</f>
        <v>0</v>
      </c>
      <c r="I1286" s="1192">
        <f t="shared" si="54"/>
        <v>0</v>
      </c>
      <c r="J1286" s="1014"/>
      <c r="K1286" s="1014"/>
      <c r="L1286" s="1043"/>
      <c r="M1286" s="934">
        <v>250</v>
      </c>
    </row>
    <row r="1287" spans="1:13" s="1016" customFormat="1" ht="25.2" hidden="1" customHeight="1">
      <c r="A1287" s="1086">
        <f t="shared" si="53"/>
        <v>0</v>
      </c>
      <c r="B1287" s="1226" t="s">
        <v>1786</v>
      </c>
      <c r="C1287" s="2841"/>
      <c r="D1287" s="1011"/>
      <c r="E1287" s="1024">
        <f>VLOOKUP($B1287,DG!A:D,DG!$B$2,)</f>
        <v>0</v>
      </c>
      <c r="F1287" s="1013" t="str">
        <f>VLOOKUP($B1287,DG!A:D,DG!$C$2,)</f>
        <v>Boulon 16x50+ 2 long đền vuông D18-50x50x3/Zn</v>
      </c>
      <c r="G1287" s="1012" t="s">
        <v>2439</v>
      </c>
      <c r="H1287" s="1713">
        <f>H1282*2</f>
        <v>0</v>
      </c>
      <c r="I1287" s="1192">
        <f t="shared" si="54"/>
        <v>0</v>
      </c>
      <c r="J1287" s="1014"/>
      <c r="K1287" s="1014"/>
      <c r="L1287" s="1043"/>
      <c r="M1287" s="934">
        <v>250</v>
      </c>
    </row>
    <row r="1288" spans="1:13" s="1016" customFormat="1" ht="25.2" hidden="1" customHeight="1">
      <c r="A1288" s="1086">
        <f t="shared" si="53"/>
        <v>0</v>
      </c>
      <c r="B1288" s="1226" t="s">
        <v>1735</v>
      </c>
      <c r="C1288" s="2841"/>
      <c r="D1288" s="1011"/>
      <c r="E1288" s="1024">
        <f>VLOOKUP($B1288,DG!A:D,DG!$B$2,)</f>
        <v>0</v>
      </c>
      <c r="F1288" s="1013" t="str">
        <f>VLOOKUP($B1288,DG!A:D,DG!$C$2,)</f>
        <v>Bass LI bắt FCO</v>
      </c>
      <c r="G1288" s="1012" t="s">
        <v>2439</v>
      </c>
      <c r="H1288" s="1713">
        <f>IF(H1282&gt;0,3,)</f>
        <v>0</v>
      </c>
      <c r="I1288" s="1192">
        <f t="shared" si="54"/>
        <v>0</v>
      </c>
      <c r="J1288" s="1014"/>
      <c r="K1288" s="1014"/>
      <c r="L1288" s="1043"/>
      <c r="M1288" s="934">
        <v>250</v>
      </c>
    </row>
    <row r="1289" spans="1:13" s="1016" customFormat="1" ht="25.2" hidden="1" customHeight="1">
      <c r="A1289" s="1086">
        <f t="shared" si="53"/>
        <v>0</v>
      </c>
      <c r="B1289" s="1226" t="s">
        <v>988</v>
      </c>
      <c r="C1289" s="2841"/>
      <c r="D1289" s="1011"/>
      <c r="E1289" s="1024" t="str">
        <f>VLOOKUP($B1289,DG!A:D,DG!$B$2,)</f>
        <v>06.3231</v>
      </c>
      <c r="F1289" s="1013" t="str">
        <f>VLOOKUP($B1289,DG!A:D,DG!$C$2,)</f>
        <v xml:space="preserve">Cổ dê chống lắc 8x80x800 </v>
      </c>
      <c r="G1289" s="1012" t="s">
        <v>2439</v>
      </c>
      <c r="H1289" s="1713">
        <f>H1282*0</f>
        <v>0</v>
      </c>
      <c r="I1289" s="1192">
        <f t="shared" si="54"/>
        <v>0</v>
      </c>
      <c r="J1289" s="1014"/>
      <c r="K1289" s="1014"/>
      <c r="L1289" s="1043"/>
      <c r="M1289" s="934">
        <v>250</v>
      </c>
    </row>
    <row r="1290" spans="1:13" s="1016" customFormat="1" ht="25.2" hidden="1" customHeight="1">
      <c r="A1290" s="1086">
        <f t="shared" si="53"/>
        <v>0</v>
      </c>
      <c r="B1290" s="1226" t="s">
        <v>1440</v>
      </c>
      <c r="C1290" s="2841"/>
      <c r="D1290" s="1011"/>
      <c r="E1290" s="1024" t="str">
        <f>VLOOKUP($B1290,DG!A:D,DG!$B$2,)</f>
        <v>05.6102</v>
      </c>
      <c r="F1290" s="1013" t="str">
        <f>VLOOKUP($B1290,DG!A:D,DG!$C$2,)</f>
        <v>Lắp xà đỡ ≤ 50kg</v>
      </c>
      <c r="G1290" s="1012" t="s">
        <v>2439</v>
      </c>
      <c r="H1290" s="1713">
        <f>H1282</f>
        <v>0</v>
      </c>
      <c r="I1290" s="1192">
        <f t="shared" si="54"/>
        <v>0</v>
      </c>
      <c r="J1290" s="1014"/>
      <c r="K1290" s="1014"/>
      <c r="L1290" s="1043"/>
      <c r="M1290" s="934">
        <v>250</v>
      </c>
    </row>
    <row r="1291" spans="1:13" s="1016" customFormat="1" ht="25.2" hidden="1" customHeight="1">
      <c r="A1291" s="1086">
        <f t="shared" si="53"/>
        <v>0</v>
      </c>
      <c r="B1291" s="1226"/>
      <c r="C1291" s="2841"/>
      <c r="D1291" s="1017">
        <f>IF(H1291&gt;0,D1282+1,D1282)</f>
        <v>3</v>
      </c>
      <c r="E1291" s="1018"/>
      <c r="F1291" s="1063" t="s">
        <v>3720</v>
      </c>
      <c r="G1291" s="1017" t="s">
        <v>2385</v>
      </c>
      <c r="H1291" s="1722">
        <f>H1198</f>
        <v>0</v>
      </c>
      <c r="I1291" s="1192">
        <f t="shared" si="54"/>
        <v>0</v>
      </c>
      <c r="J1291" s="1014"/>
      <c r="K1291" s="1014"/>
      <c r="L1291" s="1043"/>
      <c r="M1291" s="934">
        <v>250</v>
      </c>
    </row>
    <row r="1292" spans="1:13" s="1016" customFormat="1" ht="25.2" hidden="1" customHeight="1">
      <c r="A1292" s="1086">
        <f t="shared" si="53"/>
        <v>0</v>
      </c>
      <c r="B1292" s="1255"/>
      <c r="C1292" s="2841"/>
      <c r="D1292" s="1011"/>
      <c r="E1292" s="1021"/>
      <c r="F1292" s="1267" t="s">
        <v>2279</v>
      </c>
      <c r="G1292" s="1023"/>
      <c r="H1292" s="1713"/>
      <c r="I1292" s="1192">
        <f t="shared" si="54"/>
        <v>0</v>
      </c>
      <c r="J1292" s="1014"/>
      <c r="K1292" s="1014"/>
      <c r="L1292" s="1043"/>
      <c r="M1292" s="934">
        <v>250</v>
      </c>
    </row>
    <row r="1293" spans="1:13" s="1016" customFormat="1" ht="25.2" hidden="1" customHeight="1">
      <c r="A1293" s="1086">
        <f t="shared" si="53"/>
        <v>0</v>
      </c>
      <c r="B1293" s="1226" t="s">
        <v>1033</v>
      </c>
      <c r="C1293" s="2841"/>
      <c r="D1293" s="1011"/>
      <c r="E1293" s="1012">
        <f>VLOOKUP($B1293,DG!A:D,DG!$B$2,)</f>
        <v>0</v>
      </c>
      <c r="F1293" s="1013" t="str">
        <f>VLOOKUP($B1293,DG!A:D,DG!$C$2,)</f>
        <v>Cáp đồng trần M25mm2</v>
      </c>
      <c r="G1293" s="1024" t="str">
        <f>VLOOKUP($B1293,DG!A:D,DG!$D$2,)</f>
        <v>kg</v>
      </c>
      <c r="H1293" s="1100">
        <v>11.9</v>
      </c>
      <c r="I1293" s="1192">
        <f t="shared" si="54"/>
        <v>0</v>
      </c>
      <c r="J1293" s="1014"/>
      <c r="K1293" s="1014"/>
      <c r="L1293" s="1043"/>
      <c r="M1293" s="934">
        <v>250</v>
      </c>
    </row>
    <row r="1294" spans="1:13" s="1016" customFormat="1" ht="25.2" hidden="1" customHeight="1">
      <c r="A1294" s="1086">
        <f t="shared" si="53"/>
        <v>0</v>
      </c>
      <c r="B1294" s="1087" t="s">
        <v>1508</v>
      </c>
      <c r="C1294" s="2842"/>
      <c r="D1294" s="1011"/>
      <c r="E1294" s="1012">
        <f>VLOOKUP($B1294,DG!A:D,DG!$B$2,)</f>
        <v>0</v>
      </c>
      <c r="F1294" s="1013" t="str">
        <f>VLOOKUP($B1294,DG!A:D,DG!$C$2,)</f>
        <v>Cọc tiếp đất Þ 16- 2,4m + kẹp cọc mạ đồng</v>
      </c>
      <c r="G1294" s="1024" t="str">
        <f>VLOOKUP($B1294,DG!A:D,DG!$D$2,)</f>
        <v>bộ</v>
      </c>
      <c r="H1294" s="1100">
        <f>10*H1291</f>
        <v>0</v>
      </c>
      <c r="I1294" s="1192">
        <f t="shared" si="54"/>
        <v>0</v>
      </c>
      <c r="J1294" s="1014"/>
      <c r="K1294" s="1014"/>
      <c r="L1294" s="1043"/>
      <c r="M1294" s="934">
        <v>250</v>
      </c>
    </row>
    <row r="1295" spans="1:13" s="1016" customFormat="1" ht="25.2" hidden="1" customHeight="1">
      <c r="A1295" s="1086">
        <f t="shared" si="53"/>
        <v>0</v>
      </c>
      <c r="B1295" s="1244" t="s">
        <v>2008</v>
      </c>
      <c r="C1295" s="2846"/>
      <c r="D1295" s="1011"/>
      <c r="E1295" s="1012">
        <f>VLOOKUP($B1295,DG!A:D,DG!$B$2,)</f>
        <v>0</v>
      </c>
      <c r="F1295" s="1013" t="str">
        <f>VLOOKUP($B1295,DG!A:D,DG!$C$2,)</f>
        <v>Sắt Ø10</v>
      </c>
      <c r="G1295" s="1012" t="str">
        <f>VLOOKUP($B1295,DG!A:D,DG!$D$2,)</f>
        <v>kg</v>
      </c>
      <c r="H1295" s="1100"/>
      <c r="I1295" s="1192">
        <f t="shared" si="54"/>
        <v>0</v>
      </c>
      <c r="J1295" s="1014"/>
      <c r="K1295" s="1014"/>
      <c r="L1295" s="1015"/>
      <c r="M1295" s="934">
        <v>250</v>
      </c>
    </row>
    <row r="1296" spans="1:13" s="1016" customFormat="1" ht="25.2" hidden="1" customHeight="1">
      <c r="A1296" s="1086">
        <f t="shared" si="53"/>
        <v>0</v>
      </c>
      <c r="B1296" s="1231" t="s">
        <v>905</v>
      </c>
      <c r="C1296" s="2844"/>
      <c r="D1296" s="1011"/>
      <c r="E1296" s="1012">
        <f>VLOOKUP($B1296,DG!A:D,DG!$B$2,)</f>
        <v>0</v>
      </c>
      <c r="F1296" s="1013" t="str">
        <f>VLOOKUP($B1296,DG!A:D,DG!$C$2,)&amp;": bắt lưới TĐ"</f>
        <v>Kẹp ép WR cỡ dây 50mm2: bắt lưới TĐ</v>
      </c>
      <c r="G1296" s="1024" t="str">
        <f>VLOOKUP($B1296,DG!A:D,DG!$D$2,)</f>
        <v>cái</v>
      </c>
      <c r="H1296" s="1100">
        <v>2</v>
      </c>
      <c r="I1296" s="1192">
        <f t="shared" si="54"/>
        <v>0</v>
      </c>
      <c r="J1296" s="1014"/>
      <c r="K1296" s="1014"/>
      <c r="L1296" s="1043"/>
      <c r="M1296" s="934">
        <v>250</v>
      </c>
    </row>
    <row r="1297" spans="1:16" s="1016" customFormat="1" ht="25.2" hidden="1" customHeight="1">
      <c r="A1297" s="1086">
        <f t="shared" si="53"/>
        <v>0</v>
      </c>
      <c r="B1297" s="1231" t="s">
        <v>816</v>
      </c>
      <c r="C1297" s="2844"/>
      <c r="D1297" s="1065"/>
      <c r="E1297" s="1012" t="str">
        <f>VLOOKUP($B1297,DG!A:D,DG!$B$2,)</f>
        <v>04.3107</v>
      </c>
      <c r="F1297" s="1013" t="str">
        <f>VLOOKUP($B1297,DG!A:D,DG!$C$2,)</f>
        <v>Ốc siết cáp cỡ 25mm2</v>
      </c>
      <c r="G1297" s="1024" t="str">
        <f>VLOOKUP($B1297,DG!A:D,DG!$D$2,)</f>
        <v>cái</v>
      </c>
      <c r="H1297" s="1100">
        <v>4</v>
      </c>
      <c r="I1297" s="1192">
        <f t="shared" si="54"/>
        <v>0</v>
      </c>
      <c r="J1297" s="1014"/>
      <c r="K1297" s="1014"/>
      <c r="L1297" s="1043"/>
      <c r="M1297" s="934">
        <v>250</v>
      </c>
    </row>
    <row r="1298" spans="1:16" s="1016" customFormat="1" ht="25.2" hidden="1" customHeight="1">
      <c r="A1298" s="1086">
        <f t="shared" si="53"/>
        <v>0</v>
      </c>
      <c r="B1298" s="1231" t="s">
        <v>1303</v>
      </c>
      <c r="C1298" s="2844"/>
      <c r="D1298" s="1011"/>
      <c r="E1298" s="1012" t="str">
        <f>VLOOKUP($B1298,DG!A:D,DG!$B$2,)</f>
        <v>03.4003</v>
      </c>
      <c r="F1298" s="1013" t="str">
        <f>VLOOKUP($B1298,DG!A:D,DG!$C$2,)</f>
        <v>Đầu cosse ép Cu 70mm2</v>
      </c>
      <c r="G1298" s="1024" t="str">
        <f>VLOOKUP($B1298,DG!A:D,DG!$D$2,)</f>
        <v>cái</v>
      </c>
      <c r="H1298" s="1100"/>
      <c r="I1298" s="1192">
        <f t="shared" si="54"/>
        <v>0</v>
      </c>
      <c r="J1298" s="1014"/>
      <c r="K1298" s="1014"/>
      <c r="L1298" s="1043"/>
      <c r="M1298" s="934">
        <v>250</v>
      </c>
    </row>
    <row r="1299" spans="1:16" s="1016" customFormat="1" ht="25.2" hidden="1" customHeight="1">
      <c r="A1299" s="1086">
        <f t="shared" si="53"/>
        <v>0</v>
      </c>
      <c r="B1299" s="1231" t="s">
        <v>1302</v>
      </c>
      <c r="C1299" s="2844"/>
      <c r="D1299" s="1011"/>
      <c r="E1299" s="1012" t="str">
        <f>VLOOKUP($B1299,DG!A:D,DG!$B$2,)</f>
        <v>03.4002</v>
      </c>
      <c r="F1299" s="1013" t="str">
        <f>VLOOKUP($B1299,DG!A:D,DG!$C$2,)</f>
        <v>Đầu cosse ép Cu 50mm2</v>
      </c>
      <c r="G1299" s="1024" t="str">
        <f>VLOOKUP($B1299,DG!A:D,DG!$D$2,)</f>
        <v>cái</v>
      </c>
      <c r="H1299" s="1100"/>
      <c r="I1299" s="1192">
        <f t="shared" si="54"/>
        <v>0</v>
      </c>
      <c r="J1299" s="1014"/>
      <c r="K1299" s="1014"/>
      <c r="L1299" s="1043"/>
      <c r="M1299" s="934">
        <v>250</v>
      </c>
    </row>
    <row r="1300" spans="1:16" s="1016" customFormat="1" ht="25.2" hidden="1" customHeight="1">
      <c r="A1300" s="1086">
        <f t="shared" si="53"/>
        <v>0</v>
      </c>
      <c r="B1300" s="1087" t="s">
        <v>1592</v>
      </c>
      <c r="C1300" s="2842"/>
      <c r="D1300" s="1011"/>
      <c r="E1300" s="1012" t="str">
        <f>VLOOKUP($B1300,DG!A:D,DG!$B$2,)</f>
        <v>06.3231</v>
      </c>
      <c r="F1300" s="1013" t="str">
        <f>VLOOKUP($B1300,DG!A:D,DG!$C$2,)&amp;": CD-250"</f>
        <v>Cổ dê kẹp ống PVC  21: CD-250</v>
      </c>
      <c r="G1300" s="1012" t="str">
        <f>VLOOKUP($B1300,DG!A:D,DG!$D$2,)</f>
        <v>bộ</v>
      </c>
      <c r="H1300" s="1100"/>
      <c r="I1300" s="1192">
        <f t="shared" si="54"/>
        <v>0</v>
      </c>
      <c r="J1300" s="1014"/>
      <c r="K1300" s="1014"/>
      <c r="L1300" s="1015"/>
      <c r="M1300" s="934">
        <v>250</v>
      </c>
    </row>
    <row r="1301" spans="1:16" s="1016" customFormat="1" ht="25.2" hidden="1" customHeight="1">
      <c r="A1301" s="1086">
        <f t="shared" si="53"/>
        <v>0</v>
      </c>
      <c r="B1301" s="1087" t="s">
        <v>1350</v>
      </c>
      <c r="C1301" s="2842"/>
      <c r="D1301" s="1011"/>
      <c r="E1301" s="1012">
        <f>VLOOKUP($B1301,DG!A:D,DG!$B$2,)</f>
        <v>0</v>
      </c>
      <c r="F1301" s="1013" t="s">
        <v>821</v>
      </c>
      <c r="G1301" s="1012" t="str">
        <f>VLOOKUP($B1301,DG!A:D,DG!$D$2,)</f>
        <v>bộ</v>
      </c>
      <c r="H1301" s="1713"/>
      <c r="I1301" s="1192">
        <f t="shared" si="54"/>
        <v>0</v>
      </c>
      <c r="J1301" s="1014"/>
      <c r="K1301" s="1014"/>
      <c r="L1301" s="1015"/>
      <c r="M1301" s="934">
        <v>250</v>
      </c>
    </row>
    <row r="1302" spans="1:16" s="1016" customFormat="1" ht="25.2" hidden="1" customHeight="1">
      <c r="A1302" s="1086">
        <f t="shared" si="53"/>
        <v>0</v>
      </c>
      <c r="B1302" s="1231" t="s">
        <v>2183</v>
      </c>
      <c r="C1302" s="2844"/>
      <c r="D1302" s="1011"/>
      <c r="E1302" s="1012" t="str">
        <f>VLOOKUP($B1302,DG!A:D,DG!$B$2,)</f>
        <v>04.7002</v>
      </c>
      <c r="F1302" s="1013" t="str">
        <f>VLOOKUP($B1302,DG!A:D,DG!$C$2,)</f>
        <v>Kéo dây tiếp địa trong TBA</v>
      </c>
      <c r="G1302" s="1012" t="str">
        <f>VLOOKUP($B1302,DG!A:D,DG!$D$2,)</f>
        <v>kg</v>
      </c>
      <c r="H1302" s="1100">
        <v>45</v>
      </c>
      <c r="I1302" s="1192">
        <f t="shared" si="54"/>
        <v>0</v>
      </c>
      <c r="J1302" s="1014"/>
      <c r="K1302" s="1014"/>
      <c r="L1302" s="1015"/>
      <c r="M1302" s="934">
        <v>250</v>
      </c>
    </row>
    <row r="1303" spans="1:16" s="1016" customFormat="1" ht="25.2" hidden="1" customHeight="1">
      <c r="A1303" s="1086">
        <f t="shared" si="53"/>
        <v>0</v>
      </c>
      <c r="B1303" s="1087" t="s">
        <v>902</v>
      </c>
      <c r="C1303" s="2842"/>
      <c r="D1303" s="1011"/>
      <c r="E1303" s="1012" t="str">
        <f>VLOOKUP($B1303,DG!A:D,DG!$B$2,)</f>
        <v>04.7001</v>
      </c>
      <c r="F1303" s="1013" t="str">
        <f>VLOOKUP($B1303,DG!A:D,DG!$C$2,)</f>
        <v>Đóng cọc tiếp địa trong TBA</v>
      </c>
      <c r="G1303" s="1012" t="str">
        <f>VLOOKUP($B1303,DG!A:D,DG!$D$2,)</f>
        <v>cọc</v>
      </c>
      <c r="H1303" s="1100">
        <f>H1294</f>
        <v>0</v>
      </c>
      <c r="I1303" s="1192">
        <f t="shared" si="54"/>
        <v>0</v>
      </c>
      <c r="J1303" s="1014"/>
      <c r="K1303" s="1014"/>
      <c r="L1303" s="1015"/>
      <c r="M1303" s="934">
        <v>250</v>
      </c>
    </row>
    <row r="1304" spans="1:16" s="1016" customFormat="1" ht="25.2" hidden="1" customHeight="1">
      <c r="A1304" s="1086">
        <f t="shared" si="53"/>
        <v>0</v>
      </c>
      <c r="B1304" s="1231" t="str">
        <f>"dtd"&amp;chitiet!G5</f>
        <v>dtd3</v>
      </c>
      <c r="C1304" s="2844"/>
      <c r="D1304" s="1011"/>
      <c r="E1304" s="1012" t="str">
        <f>VLOOKUP($B1304,DG!A:D,DG!$B$2,)</f>
        <v>03.3123</v>
      </c>
      <c r="F1304" s="1013" t="str">
        <f>VLOOKUP($B1304,DG!A:D,DG!$C$2,)</f>
        <v>Đào rãnh tiếp địa đất cấp 3</v>
      </c>
      <c r="G1304" s="1012" t="str">
        <f>VLOOKUP($B1304,DG!A:D,DG!$D$2,)</f>
        <v>m3</v>
      </c>
      <c r="H1304" s="1100">
        <v>3.5</v>
      </c>
      <c r="I1304" s="1192">
        <f t="shared" si="54"/>
        <v>0</v>
      </c>
      <c r="J1304" s="1014"/>
      <c r="K1304" s="1014"/>
      <c r="L1304" s="1015"/>
      <c r="M1304" s="934">
        <v>250</v>
      </c>
    </row>
    <row r="1305" spans="1:16" s="1016" customFormat="1" ht="25.2" hidden="1" customHeight="1">
      <c r="A1305" s="1086">
        <f t="shared" si="53"/>
        <v>0</v>
      </c>
      <c r="B1305" s="1087" t="str">
        <f>"datd"&amp;chitiet!G5</f>
        <v>datd3</v>
      </c>
      <c r="C1305" s="2842"/>
      <c r="D1305" s="1011"/>
      <c r="E1305" s="1012" t="str">
        <f>VLOOKUP($B1305,DG!A:D,DG!$B$2,)</f>
        <v>03.4123</v>
      </c>
      <c r="F1305" s="1013" t="str">
        <f>VLOOKUP($B1305,DG!A:D,DG!$C$2,)</f>
        <v>Đắp đất rãnh tiếp độ chặt k=0,85</v>
      </c>
      <c r="G1305" s="1012" t="str">
        <f>VLOOKUP($B1305,DG!A:D,DG!$D$2,)</f>
        <v>m3</v>
      </c>
      <c r="H1305" s="1100">
        <f>H1304</f>
        <v>3.5</v>
      </c>
      <c r="I1305" s="1192">
        <f t="shared" si="54"/>
        <v>0</v>
      </c>
      <c r="J1305" s="1014"/>
      <c r="K1305" s="1014"/>
      <c r="L1305" s="1015"/>
      <c r="M1305" s="934">
        <v>250</v>
      </c>
    </row>
    <row r="1306" spans="1:16" s="1016" customFormat="1" ht="25.2" hidden="1" customHeight="1">
      <c r="A1306" s="1086">
        <f t="shared" ref="A1306:A1369" si="55">IF(AND(M1306=$M$23,I1306&gt;0),1,0)</f>
        <v>0</v>
      </c>
      <c r="B1306" s="1226"/>
      <c r="C1306" s="2841"/>
      <c r="D1306" s="1017">
        <f>IF(H1306&gt;0,D1291+1,D1291)</f>
        <v>3</v>
      </c>
      <c r="E1306" s="1018"/>
      <c r="F1306" s="1019" t="s">
        <v>3721</v>
      </c>
      <c r="G1306" s="1017" t="s">
        <v>2385</v>
      </c>
      <c r="H1306" s="1722"/>
      <c r="I1306" s="1192">
        <f t="shared" si="54"/>
        <v>0</v>
      </c>
      <c r="J1306" s="1014"/>
      <c r="K1306" s="1014"/>
      <c r="L1306" s="1015"/>
      <c r="M1306" s="934">
        <v>250</v>
      </c>
    </row>
    <row r="1307" spans="1:16" s="1016" customFormat="1" ht="25.2" hidden="1" customHeight="1">
      <c r="A1307" s="1086">
        <f t="shared" si="55"/>
        <v>0</v>
      </c>
      <c r="B1307" s="1226"/>
      <c r="C1307" s="2841"/>
      <c r="D1307" s="1011"/>
      <c r="E1307" s="1021"/>
      <c r="F1307" s="1267" t="s">
        <v>2279</v>
      </c>
      <c r="G1307" s="1023"/>
      <c r="H1307" s="1713"/>
      <c r="I1307" s="1192">
        <f t="shared" si="54"/>
        <v>0</v>
      </c>
      <c r="J1307" s="1014"/>
      <c r="K1307" s="1014"/>
      <c r="L1307" s="1015"/>
      <c r="M1307" s="934">
        <v>250</v>
      </c>
    </row>
    <row r="1308" spans="1:16" s="1016" customFormat="1" ht="25.2" hidden="1" customHeight="1">
      <c r="A1308" s="1086">
        <f t="shared" si="55"/>
        <v>0</v>
      </c>
      <c r="B1308" s="1226" t="s">
        <v>653</v>
      </c>
      <c r="C1308" s="2841"/>
      <c r="D1308" s="1023"/>
      <c r="E1308" s="1024">
        <f>VLOOKUP($B1308,DG!A:D,DG!$B$2,)</f>
        <v>0</v>
      </c>
      <c r="F1308" s="1025" t="str">
        <f>VLOOKUP($B1308,DG!A:D,DG!$C$2,)</f>
        <v>Ximăng (PC40)</v>
      </c>
      <c r="G1308" s="1024" t="str">
        <f>VLOOKUP($B1308,DG!A:D,DG!$D$2,)</f>
        <v>kg</v>
      </c>
      <c r="H1308" s="1713">
        <f>H1306*M1311</f>
        <v>0</v>
      </c>
      <c r="I1308" s="1192">
        <f t="shared" si="54"/>
        <v>0</v>
      </c>
      <c r="J1308" s="1014"/>
      <c r="K1308" s="1014"/>
      <c r="L1308" s="1015"/>
      <c r="M1308" s="934">
        <v>250</v>
      </c>
    </row>
    <row r="1309" spans="1:16" s="1016" customFormat="1" ht="25.2" hidden="1" customHeight="1">
      <c r="A1309" s="1086">
        <f t="shared" si="55"/>
        <v>0</v>
      </c>
      <c r="B1309" s="1226" t="s">
        <v>4408</v>
      </c>
      <c r="C1309" s="2841"/>
      <c r="D1309" s="1011"/>
      <c r="E1309" s="1024">
        <f>VLOOKUP($B1309,DG!A:D,DG!$B$2,)</f>
        <v>0</v>
      </c>
      <c r="F1309" s="1025" t="str">
        <f>VLOOKUP($B1309,DG!A:D,DG!$C$2,)</f>
        <v>Cát vàng</v>
      </c>
      <c r="G1309" s="1024" t="str">
        <f>VLOOKUP($B1309,DG!A:D,DG!$D$2,)</f>
        <v>m3</v>
      </c>
      <c r="H1309" s="1713">
        <f>H1306*N1311</f>
        <v>0</v>
      </c>
      <c r="I1309" s="1192">
        <f t="shared" si="54"/>
        <v>0</v>
      </c>
      <c r="J1309" s="1014"/>
      <c r="K1309" s="1014"/>
      <c r="L1309" s="1015"/>
      <c r="M1309" s="934">
        <v>250</v>
      </c>
    </row>
    <row r="1310" spans="1:16" s="1016" customFormat="1" ht="25.2" hidden="1" customHeight="1">
      <c r="A1310" s="1086">
        <f t="shared" si="55"/>
        <v>0</v>
      </c>
      <c r="B1310" s="1226" t="s">
        <v>216</v>
      </c>
      <c r="C1310" s="2841"/>
      <c r="D1310" s="1011"/>
      <c r="E1310" s="1024">
        <f>VLOOKUP($B1310,DG!A:D,DG!$B$2,)</f>
        <v>0</v>
      </c>
      <c r="F1310" s="1025" t="str">
        <f>VLOOKUP($B1310,DG!A:D,DG!$C$2,)</f>
        <v>Đá 1x2</v>
      </c>
      <c r="G1310" s="1024" t="str">
        <f>VLOOKUP($B1310,DG!A:D,DG!$D$2,)</f>
        <v>m3</v>
      </c>
      <c r="H1310" s="1713">
        <f>H1306*O1311</f>
        <v>0</v>
      </c>
      <c r="I1310" s="1192">
        <f t="shared" si="54"/>
        <v>0</v>
      </c>
      <c r="J1310" s="1014"/>
      <c r="K1310" s="1014"/>
      <c r="L1310" s="1015"/>
      <c r="M1310" s="934">
        <v>250</v>
      </c>
    </row>
    <row r="1311" spans="1:16" s="1016" customFormat="1" ht="25.2" hidden="1" customHeight="1">
      <c r="A1311" s="1086">
        <f t="shared" si="55"/>
        <v>0</v>
      </c>
      <c r="B1311" s="1226" t="s">
        <v>654</v>
      </c>
      <c r="C1311" s="2841"/>
      <c r="D1311" s="1023"/>
      <c r="E1311" s="1024" t="str">
        <f>VLOOKUP($B1311,DG!A:D,DG!$B$2,)</f>
        <v>04.1203c</v>
      </c>
      <c r="F1311" s="1025" t="str">
        <f>VLOOKUP($B1311,DG!A:D,DG!$C$2,)</f>
        <v>Đổ bê tông móng trụ &lt;=250cm-M200 đá 1x2</v>
      </c>
      <c r="G1311" s="1024" t="str">
        <f>VLOOKUP($B1311,DG!A:D,DG!$D$2,)</f>
        <v>m3</v>
      </c>
      <c r="H1311" s="1713">
        <f>H1306*(0.4*3*1-2*3.14*0.15^2*0.4)*1.025</f>
        <v>0</v>
      </c>
      <c r="I1311" s="1192">
        <f t="shared" si="54"/>
        <v>0</v>
      </c>
      <c r="J1311" s="1014"/>
      <c r="K1311" s="1014"/>
      <c r="L1311" s="1015"/>
      <c r="M1311" s="934">
        <v>250</v>
      </c>
      <c r="N1311" s="1026">
        <f>1.025*0.45</f>
        <v>0.46124999999999999</v>
      </c>
      <c r="O1311" s="1026">
        <f>1.025*0.866</f>
        <v>0.88764999999999994</v>
      </c>
      <c r="P1311" s="1170"/>
    </row>
    <row r="1312" spans="1:16" s="1016" customFormat="1" ht="25.2" hidden="1" customHeight="1">
      <c r="A1312" s="1086">
        <f t="shared" si="55"/>
        <v>0</v>
      </c>
      <c r="B1312" s="1226"/>
      <c r="C1312" s="2841"/>
      <c r="D1312" s="1017">
        <f>IF(H1312&gt;0,D1306+1,D1306)</f>
        <v>3</v>
      </c>
      <c r="E1312" s="1018"/>
      <c r="F1312" s="1019" t="s">
        <v>3722</v>
      </c>
      <c r="G1312" s="1017" t="s">
        <v>2385</v>
      </c>
      <c r="H1312" s="1722"/>
      <c r="I1312" s="1192">
        <f t="shared" si="54"/>
        <v>0</v>
      </c>
      <c r="J1312" s="1014"/>
      <c r="K1312" s="1014"/>
      <c r="L1312" s="1015"/>
      <c r="M1312" s="934">
        <v>250</v>
      </c>
    </row>
    <row r="1313" spans="1:16" s="1016" customFormat="1" ht="25.2" hidden="1" customHeight="1">
      <c r="A1313" s="1086">
        <f t="shared" si="55"/>
        <v>0</v>
      </c>
      <c r="B1313" s="1226"/>
      <c r="C1313" s="2841"/>
      <c r="D1313" s="1011"/>
      <c r="E1313" s="1021"/>
      <c r="F1313" s="1267" t="s">
        <v>2279</v>
      </c>
      <c r="G1313" s="1023"/>
      <c r="H1313" s="1713"/>
      <c r="I1313" s="1192">
        <f t="shared" si="54"/>
        <v>0</v>
      </c>
      <c r="J1313" s="1014"/>
      <c r="K1313" s="1014"/>
      <c r="L1313" s="1015"/>
      <c r="M1313" s="934">
        <v>250</v>
      </c>
    </row>
    <row r="1314" spans="1:16" s="1016" customFormat="1" ht="25.2" hidden="1" customHeight="1">
      <c r="A1314" s="1086">
        <f t="shared" si="55"/>
        <v>0</v>
      </c>
      <c r="B1314" s="1226" t="s">
        <v>653</v>
      </c>
      <c r="C1314" s="2841"/>
      <c r="D1314" s="1023"/>
      <c r="E1314" s="1024">
        <f>VLOOKUP($B1314,DG!A:D,DG!$B$2,)</f>
        <v>0</v>
      </c>
      <c r="F1314" s="1025" t="str">
        <f>VLOOKUP($B1314,DG!A:D,DG!$C$2,)</f>
        <v>Ximăng (PC40)</v>
      </c>
      <c r="G1314" s="1024" t="str">
        <f>VLOOKUP($B1314,DG!A:D,DG!$D$2,)</f>
        <v>kg</v>
      </c>
      <c r="H1314" s="1713">
        <f>H1317*M1317</f>
        <v>0</v>
      </c>
      <c r="I1314" s="1192">
        <f t="shared" si="54"/>
        <v>0</v>
      </c>
      <c r="J1314" s="1014"/>
      <c r="K1314" s="1014"/>
      <c r="L1314" s="1015"/>
      <c r="M1314" s="934">
        <v>250</v>
      </c>
    </row>
    <row r="1315" spans="1:16" s="1016" customFormat="1" ht="25.2" hidden="1" customHeight="1">
      <c r="A1315" s="1086">
        <f t="shared" si="55"/>
        <v>0</v>
      </c>
      <c r="B1315" s="1226" t="s">
        <v>4408</v>
      </c>
      <c r="C1315" s="2841"/>
      <c r="D1315" s="1011"/>
      <c r="E1315" s="1024">
        <f>VLOOKUP($B1315,DG!A:D,DG!$B$2,)</f>
        <v>0</v>
      </c>
      <c r="F1315" s="1025" t="str">
        <f>VLOOKUP($B1315,DG!A:D,DG!$C$2,)</f>
        <v>Cát vàng</v>
      </c>
      <c r="G1315" s="1024" t="str">
        <f>VLOOKUP($B1315,DG!A:D,DG!$D$2,)</f>
        <v>m3</v>
      </c>
      <c r="H1315" s="1723">
        <f>H1317*N1317</f>
        <v>0</v>
      </c>
      <c r="I1315" s="1192">
        <f t="shared" si="54"/>
        <v>0</v>
      </c>
      <c r="J1315" s="1014"/>
      <c r="K1315" s="1014"/>
      <c r="L1315" s="1015"/>
      <c r="M1315" s="934">
        <v>250</v>
      </c>
    </row>
    <row r="1316" spans="1:16" s="1016" customFormat="1" ht="25.2" hidden="1" customHeight="1">
      <c r="A1316" s="1086">
        <f t="shared" si="55"/>
        <v>0</v>
      </c>
      <c r="B1316" s="1226" t="s">
        <v>216</v>
      </c>
      <c r="C1316" s="2841"/>
      <c r="D1316" s="1011"/>
      <c r="E1316" s="1024">
        <f>VLOOKUP($B1316,DG!A:D,DG!$B$2,)</f>
        <v>0</v>
      </c>
      <c r="F1316" s="1025" t="str">
        <f>VLOOKUP($B1316,DG!A:D,DG!$C$2,)</f>
        <v>Đá 1x2</v>
      </c>
      <c r="G1316" s="1024" t="str">
        <f>VLOOKUP($B1316,DG!A:D,DG!$D$2,)</f>
        <v>m3</v>
      </c>
      <c r="H1316" s="1723">
        <f>H1317*O1317</f>
        <v>0</v>
      </c>
      <c r="I1316" s="1192">
        <f t="shared" si="54"/>
        <v>0</v>
      </c>
      <c r="J1316" s="1014"/>
      <c r="K1316" s="1014"/>
      <c r="L1316" s="1015"/>
      <c r="M1316" s="934">
        <v>250</v>
      </c>
    </row>
    <row r="1317" spans="1:16" s="1016" customFormat="1" ht="25.2" hidden="1" customHeight="1">
      <c r="A1317" s="1086">
        <f t="shared" si="55"/>
        <v>0</v>
      </c>
      <c r="B1317" s="1226" t="s">
        <v>654</v>
      </c>
      <c r="C1317" s="2841"/>
      <c r="D1317" s="1023"/>
      <c r="E1317" s="1024" t="str">
        <f>VLOOKUP($B1317,DG!A:D,DG!$B$2,)</f>
        <v>04.1203c</v>
      </c>
      <c r="F1317" s="1025" t="str">
        <f>VLOOKUP($B1317,DG!A:D,DG!$C$2,)</f>
        <v>Đổ bê tông móng trụ &lt;=250cm-M200 đá 1x2</v>
      </c>
      <c r="G1317" s="1024" t="str">
        <f>VLOOKUP($B1317,DG!A:D,DG!$D$2,)</f>
        <v>m3</v>
      </c>
      <c r="H1317" s="1713">
        <f>H1312*0.2*0.2*(0.2+0.2+0.8+0.8+2*4)</f>
        <v>0</v>
      </c>
      <c r="I1317" s="1192">
        <f t="shared" si="54"/>
        <v>0</v>
      </c>
      <c r="J1317" s="1014"/>
      <c r="K1317" s="1014"/>
      <c r="L1317" s="1015"/>
      <c r="M1317" s="934">
        <v>250</v>
      </c>
      <c r="N1317" s="1026">
        <f>1.025*0.45</f>
        <v>0.46124999999999999</v>
      </c>
      <c r="O1317" s="1026">
        <f>1.025*0.866</f>
        <v>0.88764999999999994</v>
      </c>
      <c r="P1317" s="1170"/>
    </row>
    <row r="1318" spans="1:16" s="1016" customFormat="1" ht="25.2" hidden="1" customHeight="1">
      <c r="A1318" s="1086">
        <f t="shared" si="55"/>
        <v>0</v>
      </c>
      <c r="B1318" s="1226"/>
      <c r="C1318" s="2841"/>
      <c r="D1318" s="1017">
        <f>IF(H1318&gt;0,D1312+1,D1312)</f>
        <v>4</v>
      </c>
      <c r="E1318" s="1018"/>
      <c r="F1318" s="1019" t="s">
        <v>3739</v>
      </c>
      <c r="G1318" s="1017" t="s">
        <v>2385</v>
      </c>
      <c r="H1318" s="1722">
        <v>1</v>
      </c>
      <c r="I1318" s="1192">
        <f t="shared" si="54"/>
        <v>0</v>
      </c>
      <c r="J1318" s="1014"/>
      <c r="K1318" s="1014"/>
      <c r="L1318" s="1043"/>
      <c r="M1318" s="934">
        <v>250</v>
      </c>
    </row>
    <row r="1319" spans="1:16" s="1016" customFormat="1" ht="25.2" hidden="1" customHeight="1">
      <c r="A1319" s="1086">
        <f t="shared" si="55"/>
        <v>0</v>
      </c>
      <c r="B1319" s="1226"/>
      <c r="C1319" s="2841"/>
      <c r="D1319" s="1011"/>
      <c r="E1319" s="1021"/>
      <c r="F1319" s="1267" t="s">
        <v>2279</v>
      </c>
      <c r="G1319" s="1023"/>
      <c r="H1319" s="1713"/>
      <c r="I1319" s="1192">
        <f t="shared" si="54"/>
        <v>0</v>
      </c>
      <c r="J1319" s="1014"/>
      <c r="K1319" s="1014"/>
      <c r="L1319" s="1043"/>
      <c r="M1319" s="934">
        <v>250</v>
      </c>
    </row>
    <row r="1320" spans="1:16" s="1016" customFormat="1" ht="25.2" hidden="1" customHeight="1">
      <c r="A1320" s="1086">
        <f t="shared" si="55"/>
        <v>0</v>
      </c>
      <c r="B1320" s="2751" t="s">
        <v>1504</v>
      </c>
      <c r="C1320" s="2861"/>
      <c r="D1320" s="1023"/>
      <c r="E1320" s="1024" t="str">
        <f>VLOOKUP($B1320,DG!A:D,DG!$B$2,)</f>
        <v>05.1002</v>
      </c>
      <c r="F1320" s="1025" t="str">
        <f>VLOOKUP($B1320,DG!A:D,DG!$C$2,)</f>
        <v>Vỏ tủ trạm giàn 2 ngăn + khóa tủ</v>
      </c>
      <c r="G1320" s="1024" t="str">
        <f>VLOOKUP($B1320,DG!A:D,DG!$D$2,)</f>
        <v>cái</v>
      </c>
      <c r="H1320" s="1713">
        <f>H1318</f>
        <v>1</v>
      </c>
      <c r="I1320" s="1192">
        <f t="shared" si="54"/>
        <v>0</v>
      </c>
      <c r="J1320" s="1014"/>
      <c r="K1320" s="1014"/>
      <c r="L1320" s="1043"/>
      <c r="M1320" s="934">
        <v>250</v>
      </c>
    </row>
    <row r="1321" spans="1:16" s="1016" customFormat="1" ht="25.2" hidden="1" customHeight="1">
      <c r="A1321" s="1086">
        <f t="shared" si="55"/>
        <v>0</v>
      </c>
      <c r="B1321" s="2752" t="s">
        <v>1786</v>
      </c>
      <c r="C1321" s="2862"/>
      <c r="D1321" s="1023"/>
      <c r="E1321" s="1024">
        <f>VLOOKUP($B1321,DG!A:D,DG!$B$2,)</f>
        <v>0</v>
      </c>
      <c r="F1321" s="1025" t="str">
        <f>VLOOKUP($B1321,DG!A:D,DG!$C$2,)</f>
        <v>Boulon 16x50+ 2 long đền vuông D18-50x50x3/Zn</v>
      </c>
      <c r="G1321" s="1024" t="str">
        <f>VLOOKUP($B1321,DG!A:D,DG!$D$2,)</f>
        <v>bộ</v>
      </c>
      <c r="H1321" s="1713"/>
      <c r="I1321" s="1192">
        <f t="shared" si="54"/>
        <v>0</v>
      </c>
      <c r="J1321" s="1014"/>
      <c r="K1321" s="1014"/>
      <c r="L1321" s="1043"/>
      <c r="M1321" s="934">
        <v>250</v>
      </c>
    </row>
    <row r="1322" spans="1:16" s="1016" customFormat="1" ht="25.2" hidden="1" customHeight="1">
      <c r="A1322" s="1086">
        <f t="shared" si="55"/>
        <v>0</v>
      </c>
      <c r="B1322" s="1226" t="s">
        <v>880</v>
      </c>
      <c r="C1322" s="2841"/>
      <c r="D1322" s="1011"/>
      <c r="E1322" s="1024">
        <f>VLOOKUP($B1322,DG!A:D,DG!$B$2,)</f>
        <v>0</v>
      </c>
      <c r="F1322" s="1025" t="str">
        <f>VLOOKUP($B1322,DG!A:D,DG!$C$2,)</f>
        <v xml:space="preserve">Bakelit 550x450 dầy 10mm </v>
      </c>
      <c r="G1322" s="1024" t="str">
        <f>VLOOKUP($B1322,DG!A:D,DG!$D$2,)</f>
        <v>cái</v>
      </c>
      <c r="H1322" s="1713">
        <v>3</v>
      </c>
      <c r="I1322" s="1192">
        <f t="shared" si="54"/>
        <v>0</v>
      </c>
      <c r="J1322" s="1014"/>
      <c r="K1322" s="1014"/>
      <c r="L1322" s="1043"/>
      <c r="M1322" s="934">
        <v>250</v>
      </c>
    </row>
    <row r="1323" spans="1:16" s="1016" customFormat="1" ht="25.2" hidden="1" customHeight="1">
      <c r="A1323" s="1086">
        <f t="shared" si="55"/>
        <v>0</v>
      </c>
      <c r="B1323" s="1226" t="s">
        <v>289</v>
      </c>
      <c r="C1323" s="2841"/>
      <c r="D1323" s="1023"/>
      <c r="E1323" s="1024" t="str">
        <f>VLOOKUP($B1323,DG!A:D,DG!$B$2,)</f>
        <v>06.3191</v>
      </c>
      <c r="F1323" s="1025" t="str">
        <f>VLOOKUP($B1323,DG!A:D,DG!$C$2,)</f>
        <v>Bảng tên trạm, bảng báo nguy hiểm + đinh vít</v>
      </c>
      <c r="G1323" s="1024" t="str">
        <f>VLOOKUP($B1323,DG!A:D,DG!$D$2,)</f>
        <v>bộ</v>
      </c>
      <c r="H1323" s="1713">
        <v>1</v>
      </c>
      <c r="I1323" s="1192">
        <f t="shared" si="54"/>
        <v>0</v>
      </c>
      <c r="J1323" s="1014"/>
      <c r="K1323" s="1014"/>
      <c r="L1323" s="1043"/>
      <c r="M1323" s="934">
        <v>250</v>
      </c>
    </row>
    <row r="1324" spans="1:16" s="1016" customFormat="1" ht="25.2" hidden="1" customHeight="1">
      <c r="A1324" s="1086">
        <f t="shared" si="55"/>
        <v>0</v>
      </c>
      <c r="B1324" s="1226"/>
      <c r="C1324" s="2841"/>
      <c r="D1324" s="1017">
        <f>IF(H1324&gt;0,D1318+1,D1318)</f>
        <v>4</v>
      </c>
      <c r="E1324" s="1018"/>
      <c r="F1324" s="1019" t="s">
        <v>3724</v>
      </c>
      <c r="G1324" s="1017" t="s">
        <v>2532</v>
      </c>
      <c r="H1324" s="1722">
        <f>H1198*0</f>
        <v>0</v>
      </c>
      <c r="I1324" s="1192">
        <f t="shared" ref="I1324:I1389" si="56">IF(M1324=$M$23,H1324+J1324-K1324,0)</f>
        <v>0</v>
      </c>
      <c r="J1324" s="1014"/>
      <c r="K1324" s="1014"/>
      <c r="L1324" s="1015"/>
      <c r="M1324" s="934">
        <v>250</v>
      </c>
    </row>
    <row r="1325" spans="1:16" s="1016" customFormat="1" ht="25.2" hidden="1" customHeight="1">
      <c r="A1325" s="1086">
        <f t="shared" si="55"/>
        <v>0</v>
      </c>
      <c r="B1325" s="1226"/>
      <c r="C1325" s="2841"/>
      <c r="D1325" s="1011"/>
      <c r="E1325" s="1021"/>
      <c r="F1325" s="1267" t="s">
        <v>2279</v>
      </c>
      <c r="G1325" s="1023"/>
      <c r="H1325" s="1713"/>
      <c r="I1325" s="1192">
        <f t="shared" si="56"/>
        <v>0</v>
      </c>
      <c r="J1325" s="1014"/>
      <c r="K1325" s="1014"/>
      <c r="L1325" s="1015"/>
      <c r="M1325" s="934">
        <v>250</v>
      </c>
    </row>
    <row r="1326" spans="1:16" s="1016" customFormat="1" ht="25.2" hidden="1" customHeight="1">
      <c r="A1326" s="1086">
        <f t="shared" si="55"/>
        <v>0</v>
      </c>
      <c r="B1326" s="1226" t="s">
        <v>4408</v>
      </c>
      <c r="C1326" s="2841"/>
      <c r="D1326" s="1023"/>
      <c r="E1326" s="1024">
        <f>VLOOKUP($B1326,DG!A:D,DG!$B$2,)</f>
        <v>0</v>
      </c>
      <c r="F1326" s="1041" t="str">
        <f>VLOOKUP($B1326,DG!A:D,DG!$C$2,)&amp;": 0,315m3/m"</f>
        <v>Cát vàng: 0,315m3/m</v>
      </c>
      <c r="G1326" s="1024" t="str">
        <f>VLOOKUP($B1326,DG!A:D,DG!$D$2,)</f>
        <v>m3</v>
      </c>
      <c r="H1326" s="1713">
        <f>H1324*0.315</f>
        <v>0</v>
      </c>
      <c r="I1326" s="1192">
        <f t="shared" si="56"/>
        <v>0</v>
      </c>
      <c r="J1326" s="1014"/>
      <c r="K1326" s="1014"/>
      <c r="L1326" s="1015"/>
      <c r="M1326" s="934">
        <v>250</v>
      </c>
    </row>
    <row r="1327" spans="1:16" s="1016" customFormat="1" ht="25.2" hidden="1" customHeight="1">
      <c r="A1327" s="1086">
        <f t="shared" si="55"/>
        <v>0</v>
      </c>
      <c r="B1327" s="1228" t="s">
        <v>520</v>
      </c>
      <c r="C1327" s="2840"/>
      <c r="D1327" s="1023"/>
      <c r="E1327" s="1024">
        <f>VLOOKUP($B1327,DG!A:D,DG!$B$2,)</f>
        <v>0</v>
      </c>
      <c r="F1327" s="1041" t="str">
        <f>VLOOKUP($B1327,DG!A:D,DG!$C$2,)&amp;": 0,092m3/m"</f>
        <v>Đá 2x4: 0,092m3/m</v>
      </c>
      <c r="G1327" s="1024" t="str">
        <f>VLOOKUP($B1327,DG!A:D,DG!$D$2,)</f>
        <v>m3</v>
      </c>
      <c r="H1327" s="1713">
        <f>0.092*H1324</f>
        <v>0</v>
      </c>
      <c r="I1327" s="1192">
        <f t="shared" si="56"/>
        <v>0</v>
      </c>
      <c r="J1327" s="1014"/>
      <c r="K1327" s="1014"/>
      <c r="L1327" s="1015"/>
      <c r="M1327" s="934">
        <v>250</v>
      </c>
    </row>
    <row r="1328" spans="1:16" s="1016" customFormat="1" ht="25.2" hidden="1" customHeight="1">
      <c r="A1328" s="1086">
        <f t="shared" si="55"/>
        <v>0</v>
      </c>
      <c r="B1328" s="1228" t="s">
        <v>1675</v>
      </c>
      <c r="C1328" s="2840"/>
      <c r="D1328" s="1023"/>
      <c r="E1328" s="1024">
        <f>VLOOKUP($B1328,DG!A:D,DG!$B$2,)</f>
        <v>0</v>
      </c>
      <c r="F1328" s="1041" t="str">
        <f>VLOOKUP($B1328,DG!A:D,DG!$C$2,)&amp;": 3,3vieân/m"</f>
        <v>Gạch tàu: 3,3vieân/m</v>
      </c>
      <c r="G1328" s="1024" t="str">
        <f>VLOOKUP($B1328,DG!A:D,DG!$D$2,)</f>
        <v>viên</v>
      </c>
      <c r="H1328" s="1713">
        <f>3.3*H1324</f>
        <v>0</v>
      </c>
      <c r="I1328" s="1192">
        <f t="shared" si="56"/>
        <v>0</v>
      </c>
      <c r="J1328" s="1014"/>
      <c r="K1328" s="1014"/>
      <c r="L1328" s="1015"/>
      <c r="M1328" s="934">
        <v>250</v>
      </c>
    </row>
    <row r="1329" spans="1:14" s="1016" customFormat="1" ht="25.2" hidden="1" customHeight="1">
      <c r="A1329" s="1086">
        <f t="shared" si="55"/>
        <v>0</v>
      </c>
      <c r="B1329" s="1228" t="s">
        <v>1676</v>
      </c>
      <c r="C1329" s="2840"/>
      <c r="D1329" s="1023"/>
      <c r="E1329" s="1024">
        <f>VLOOKUP($B1329,DG!A:D,DG!$B$2,)</f>
        <v>0</v>
      </c>
      <c r="F1329" s="1041" t="str">
        <f>VLOOKUP($B1329,DG!A:D,DG!$C$2,)&amp;": 0,4m2/m"</f>
        <v>Tấm nilông màu cảnh báo: 0,4m2/m</v>
      </c>
      <c r="G1329" s="1024" t="str">
        <f>VLOOKUP($B1329,DG!A:D,DG!$D$2,)</f>
        <v>m2</v>
      </c>
      <c r="H1329" s="1713">
        <f>0.4*H1324</f>
        <v>0</v>
      </c>
      <c r="I1329" s="1192">
        <f t="shared" si="56"/>
        <v>0</v>
      </c>
      <c r="J1329" s="1014"/>
      <c r="K1329" s="1014"/>
      <c r="L1329" s="1015"/>
      <c r="M1329" s="934">
        <v>250</v>
      </c>
    </row>
    <row r="1330" spans="1:14" s="1016" customFormat="1" ht="25.2" hidden="1" customHeight="1">
      <c r="A1330" s="1086">
        <f t="shared" si="55"/>
        <v>0</v>
      </c>
      <c r="B1330" s="1228" t="s">
        <v>1518</v>
      </c>
      <c r="C1330" s="2840"/>
      <c r="D1330" s="1011"/>
      <c r="E1330" s="1024">
        <f>VLOOKUP($B1330,DG!A:D,DG!$B$2,)</f>
        <v>0</v>
      </c>
      <c r="F1330" s="1041" t="str">
        <f>VLOOKUP($B1330,DG!A:D,DG!$C$2,)</f>
        <v>Ống PVC D140x6,7mm</v>
      </c>
      <c r="G1330" s="1024" t="str">
        <f>VLOOKUP($B1330,DG!A:D,DG!$D$2,)</f>
        <v>m</v>
      </c>
      <c r="H1330" s="1713">
        <f>1*H1324</f>
        <v>0</v>
      </c>
      <c r="I1330" s="1192">
        <f t="shared" si="56"/>
        <v>0</v>
      </c>
      <c r="J1330" s="1014"/>
      <c r="K1330" s="1014"/>
      <c r="L1330" s="1015"/>
      <c r="M1330" s="934">
        <v>250</v>
      </c>
    </row>
    <row r="1331" spans="1:14" s="1016" customFormat="1" ht="25.2" hidden="1" customHeight="1">
      <c r="A1331" s="1086">
        <f t="shared" si="55"/>
        <v>0</v>
      </c>
      <c r="B1331" s="1228" t="s">
        <v>1678</v>
      </c>
      <c r="C1331" s="2840"/>
      <c r="D1331" s="1023"/>
      <c r="E1331" s="1024" t="str">
        <f>VLOOKUP($B1331,DG!A:D,DG!$B$2,)</f>
        <v>03.7000</v>
      </c>
      <c r="F1331" s="1041" t="str">
        <f>VLOOKUP($B1331,DG!A:D,DG!$C$2,)&amp;" + ñaép ñaù"</f>
        <v>Đắp cát  + ñaép ñaù</v>
      </c>
      <c r="G1331" s="1024" t="str">
        <f>VLOOKUP($B1331,DG!A:D,DG!$D$2,)</f>
        <v>m3</v>
      </c>
      <c r="H1331" s="1713">
        <f>H1326+H1327</f>
        <v>0</v>
      </c>
      <c r="I1331" s="1192">
        <f t="shared" si="56"/>
        <v>0</v>
      </c>
      <c r="J1331" s="1014"/>
      <c r="K1331" s="1014"/>
      <c r="L1331" s="1015"/>
      <c r="M1331" s="934">
        <v>250</v>
      </c>
    </row>
    <row r="1332" spans="1:14" s="1016" customFormat="1" ht="25.2" hidden="1" customHeight="1">
      <c r="A1332" s="1086">
        <f t="shared" si="55"/>
        <v>0</v>
      </c>
      <c r="B1332" s="1228" t="s">
        <v>144</v>
      </c>
      <c r="C1332" s="2840"/>
      <c r="D1332" s="1023"/>
      <c r="E1332" s="1024" t="str">
        <f>VLOOKUP($B1332,DG!A:D,DG!$B$2,)</f>
        <v>03.3103</v>
      </c>
      <c r="F1332" s="1041" t="str">
        <f>VLOOKUP($B1332,DG!A:D,DG!$C$2,)&amp;" : 0,48m3/m"</f>
        <v>Đào mương cáp ngầm đất cấp 3 : 0,48m3/m</v>
      </c>
      <c r="G1332" s="1024" t="str">
        <f>VLOOKUP($B1332,DG!A:D,DG!$D$2,)</f>
        <v>m3</v>
      </c>
      <c r="H1332" s="1713">
        <f>H1324*0.48</f>
        <v>0</v>
      </c>
      <c r="I1332" s="1192">
        <f t="shared" si="56"/>
        <v>0</v>
      </c>
      <c r="J1332" s="1014"/>
      <c r="K1332" s="1014"/>
      <c r="L1332" s="1015"/>
      <c r="M1332" s="934">
        <v>250</v>
      </c>
    </row>
    <row r="1333" spans="1:14" s="1016" customFormat="1" ht="25.2" hidden="1" customHeight="1">
      <c r="A1333" s="1086">
        <f t="shared" si="55"/>
        <v>0</v>
      </c>
      <c r="B1333" s="1228" t="s">
        <v>529</v>
      </c>
      <c r="C1333" s="2840"/>
      <c r="D1333" s="1023"/>
      <c r="E1333" s="1024" t="str">
        <f>VLOOKUP($B1333,DG!A:D,DG!$B$2,)</f>
        <v>03.3203</v>
      </c>
      <c r="F1333" s="1041" t="str">
        <f>VLOOKUP($B1333,DG!A:D,DG!$C$2,)&amp;" : 0,073m3/m"</f>
        <v>Đắp đất mương cáp ngầm, đất cấp 3 : 0,073m3/m</v>
      </c>
      <c r="G1333" s="1024" t="str">
        <f>VLOOKUP($B1333,DG!A:D,DG!$D$2,)</f>
        <v>m3</v>
      </c>
      <c r="H1333" s="1713">
        <f>H1324*0.073</f>
        <v>0</v>
      </c>
      <c r="I1333" s="1192">
        <f t="shared" si="56"/>
        <v>0</v>
      </c>
      <c r="J1333" s="1014"/>
      <c r="K1333" s="1014"/>
      <c r="L1333" s="1015"/>
      <c r="M1333" s="934">
        <v>250</v>
      </c>
      <c r="N1333" s="1066">
        <v>0.47499999999999998</v>
      </c>
    </row>
    <row r="1334" spans="1:14" s="1016" customFormat="1" ht="25.2" hidden="1" customHeight="1">
      <c r="A1334" s="1086">
        <f t="shared" si="55"/>
        <v>0</v>
      </c>
      <c r="B1334" s="1226"/>
      <c r="C1334" s="2841"/>
      <c r="D1334" s="1017">
        <f>IF(H1334&gt;0,D1324+1,D1324)</f>
        <v>4</v>
      </c>
      <c r="E1334" s="1018"/>
      <c r="F1334" s="1019" t="s">
        <v>3725</v>
      </c>
      <c r="G1334" s="1017" t="s">
        <v>2385</v>
      </c>
      <c r="H1334" s="1722">
        <f>H1343</f>
        <v>0</v>
      </c>
      <c r="I1334" s="1192">
        <f t="shared" si="56"/>
        <v>0</v>
      </c>
      <c r="J1334" s="1014"/>
      <c r="K1334" s="1014"/>
      <c r="L1334" s="1015"/>
      <c r="M1334" s="934">
        <v>250</v>
      </c>
      <c r="N1334" s="1066">
        <v>0.88100000000000001</v>
      </c>
    </row>
    <row r="1335" spans="1:14" s="1016" customFormat="1" ht="25.2" hidden="1" customHeight="1">
      <c r="A1335" s="1086">
        <f t="shared" si="55"/>
        <v>0</v>
      </c>
      <c r="B1335" s="1226"/>
      <c r="C1335" s="2841"/>
      <c r="D1335" s="1011"/>
      <c r="E1335" s="1021"/>
      <c r="F1335" s="1267" t="s">
        <v>2279</v>
      </c>
      <c r="G1335" s="1023"/>
      <c r="H1335" s="1713"/>
      <c r="I1335" s="1192">
        <f t="shared" si="56"/>
        <v>0</v>
      </c>
      <c r="J1335" s="1014"/>
      <c r="K1335" s="1014"/>
      <c r="L1335" s="1015"/>
      <c r="M1335" s="934">
        <v>250</v>
      </c>
    </row>
    <row r="1336" spans="1:14" s="1016" customFormat="1" ht="25.2" hidden="1" customHeight="1">
      <c r="A1336" s="1086">
        <f t="shared" si="55"/>
        <v>0</v>
      </c>
      <c r="B1336" s="1226" t="s">
        <v>623</v>
      </c>
      <c r="C1336" s="2841"/>
      <c r="D1336" s="1023"/>
      <c r="E1336" s="1024" t="str">
        <f>VLOOKUP($B1336,DG!A:D,DG!$B$2,)</f>
        <v>07.2204</v>
      </c>
      <c r="F1336" s="1025" t="str">
        <f>VLOOKUP($B1336,DG!A:D,DG!$C$2,)</f>
        <v>ÔÁng sắt tráng kẽm D140</v>
      </c>
      <c r="G1336" s="1024" t="str">
        <f>VLOOKUP($B1336,DG!A:D,DG!$D$2,)</f>
        <v>mét</v>
      </c>
      <c r="H1336" s="1713">
        <f>H1334*5*0</f>
        <v>0</v>
      </c>
      <c r="I1336" s="1192">
        <f t="shared" si="56"/>
        <v>0</v>
      </c>
      <c r="J1336" s="1014"/>
      <c r="K1336" s="1014"/>
      <c r="L1336" s="1015"/>
      <c r="M1336" s="934">
        <v>250</v>
      </c>
    </row>
    <row r="1337" spans="1:14" s="1016" customFormat="1" ht="25.2" hidden="1" customHeight="1">
      <c r="A1337" s="1086">
        <f t="shared" si="55"/>
        <v>0</v>
      </c>
      <c r="B1337" s="1228" t="s">
        <v>473</v>
      </c>
      <c r="C1337" s="2840"/>
      <c r="D1337" s="1011"/>
      <c r="E1337" s="1024">
        <f>VLOOKUP($B1337,DG!A:D,DG!$B$2,)</f>
        <v>0</v>
      </c>
      <c r="F1337" s="1025" t="str">
        <f>VLOOKUP($B1337,DG!A:D,DG!$C$2,)</f>
        <v>Co sừng 90 độ PVC 140</v>
      </c>
      <c r="G1337" s="1024" t="str">
        <f>VLOOKUP($B1337,DG!A:D,DG!$D$2,)</f>
        <v>cái</v>
      </c>
      <c r="H1337" s="1713">
        <f>H1334*0</f>
        <v>0</v>
      </c>
      <c r="I1337" s="1192">
        <f t="shared" si="56"/>
        <v>0</v>
      </c>
      <c r="J1337" s="1014"/>
      <c r="K1337" s="1014"/>
      <c r="L1337" s="1015"/>
      <c r="M1337" s="934">
        <v>250</v>
      </c>
    </row>
    <row r="1338" spans="1:14" s="1016" customFormat="1" ht="25.2" hidden="1" customHeight="1">
      <c r="A1338" s="1086">
        <f t="shared" si="55"/>
        <v>0</v>
      </c>
      <c r="B1338" s="1226" t="s">
        <v>120</v>
      </c>
      <c r="C1338" s="2841"/>
      <c r="D1338" s="1023"/>
      <c r="E1338" s="1024" t="str">
        <f>VLOOKUP($B1338,DG!A:D,DG!$B$2,)</f>
        <v>06.3231</v>
      </c>
      <c r="F1338" s="1025" t="str">
        <f>VLOOKUP($B1338,DG!A:D,DG!$C$2,)</f>
        <v>Cổ dê giữ ống STK D140 vào tường+Boulon+long đền+tắc ke sắt</v>
      </c>
      <c r="G1338" s="1024" t="str">
        <f>VLOOKUP($B1338,DG!A:D,DG!$D$2,)</f>
        <v>bộ</v>
      </c>
      <c r="H1338" s="1713">
        <f>H1334*2*0</f>
        <v>0</v>
      </c>
      <c r="I1338" s="1192">
        <f t="shared" si="56"/>
        <v>0</v>
      </c>
      <c r="J1338" s="1014"/>
      <c r="K1338" s="1014"/>
      <c r="L1338" s="1015"/>
      <c r="M1338" s="934">
        <v>250</v>
      </c>
    </row>
    <row r="1339" spans="1:14" s="1016" customFormat="1" ht="25.2" hidden="1" customHeight="1">
      <c r="A1339" s="1086">
        <f t="shared" si="55"/>
        <v>0</v>
      </c>
      <c r="B1339" s="1087" t="s">
        <v>1409</v>
      </c>
      <c r="C1339" s="2842"/>
      <c r="D1339" s="1023"/>
      <c r="E1339" s="1024">
        <f>VLOOKUP($B1339,DG!A:D,DG!$B$2,)</f>
        <v>0</v>
      </c>
      <c r="F1339" s="1025" t="str">
        <f>VLOOKUP($B1339,DG!A:D,DG!$C$2,)</f>
        <v>Giá đỡ cáp ngầm (V63x6)</v>
      </c>
      <c r="G1339" s="1024" t="str">
        <f>VLOOKUP($B1339,DG!A:D,DG!$D$2,)</f>
        <v>bộ</v>
      </c>
      <c r="H1339" s="1713">
        <f>H1334*0</f>
        <v>0</v>
      </c>
      <c r="I1339" s="1192">
        <f t="shared" si="56"/>
        <v>0</v>
      </c>
      <c r="J1339" s="1014"/>
      <c r="K1339" s="1014"/>
      <c r="L1339" s="1015"/>
      <c r="M1339" s="934">
        <v>250</v>
      </c>
    </row>
    <row r="1340" spans="1:14" s="1016" customFormat="1" ht="25.2" hidden="1" customHeight="1">
      <c r="A1340" s="1086">
        <f t="shared" si="55"/>
        <v>0</v>
      </c>
      <c r="B1340" s="1087" t="s">
        <v>2138</v>
      </c>
      <c r="C1340" s="2842"/>
      <c r="D1340" s="1023"/>
      <c r="E1340" s="1024">
        <f>VLOOKUP($B1340,DG!A:D,DG!$B$2,)</f>
        <v>0</v>
      </c>
      <c r="F1340" s="1025" t="str">
        <f>VLOOKUP($B1340,DG!A:D,DG!$C$2,)</f>
        <v>Giá đỡ cáp trung hạ thế</v>
      </c>
      <c r="G1340" s="1024" t="str">
        <f>VLOOKUP($B1340,DG!A:D,DG!$D$2,)</f>
        <v>bộ</v>
      </c>
      <c r="H1340" s="1713">
        <f>H1334</f>
        <v>0</v>
      </c>
      <c r="I1340" s="1192">
        <f t="shared" si="56"/>
        <v>0</v>
      </c>
      <c r="J1340" s="1014"/>
      <c r="K1340" s="1014"/>
      <c r="L1340" s="1015"/>
      <c r="M1340" s="934">
        <v>250</v>
      </c>
    </row>
    <row r="1341" spans="1:14" s="1016" customFormat="1" ht="25.2" hidden="1" customHeight="1">
      <c r="A1341" s="1086">
        <f t="shared" si="55"/>
        <v>0</v>
      </c>
      <c r="B1341" s="1226" t="s">
        <v>1410</v>
      </c>
      <c r="C1341" s="2841"/>
      <c r="D1341" s="1011"/>
      <c r="E1341" s="1024" t="str">
        <f>VLOOKUP($B1341,DG!A:D,DG!$B$2,)</f>
        <v>05.6101</v>
      </c>
      <c r="F1341" s="1025" t="str">
        <f>VLOOKUP($B1341,DG!A:D,DG!$C$2,)</f>
        <v>Lắp Giá đỡ cáp</v>
      </c>
      <c r="G1341" s="1024" t="str">
        <f>VLOOKUP($B1341,DG!A:D,DG!$D$2,)</f>
        <v>bộ</v>
      </c>
      <c r="H1341" s="1713">
        <f>H1339+H1340</f>
        <v>0</v>
      </c>
      <c r="I1341" s="1192">
        <f t="shared" si="56"/>
        <v>0</v>
      </c>
      <c r="J1341" s="1014"/>
      <c r="K1341" s="1014"/>
      <c r="L1341" s="1015"/>
      <c r="M1341" s="934">
        <v>250</v>
      </c>
    </row>
    <row r="1342" spans="1:14" s="1016" customFormat="1" ht="25.2" hidden="1" customHeight="1">
      <c r="A1342" s="1086">
        <f t="shared" si="55"/>
        <v>0</v>
      </c>
      <c r="B1342" s="1226" t="s">
        <v>289</v>
      </c>
      <c r="C1342" s="2841"/>
      <c r="D1342" s="1023"/>
      <c r="E1342" s="1024" t="str">
        <f>VLOOKUP($B1342,DG!A:D,DG!$B$2,)</f>
        <v>06.3191</v>
      </c>
      <c r="F1342" s="1025" t="str">
        <f>VLOOKUP($B1342,DG!A:D,DG!$C$2,)</f>
        <v>Bảng tên trạm, bảng báo nguy hiểm + đinh vít</v>
      </c>
      <c r="G1342" s="1024" t="str">
        <f>VLOOKUP($B1342,DG!A:D,DG!$D$2,)</f>
        <v>bộ</v>
      </c>
      <c r="H1342" s="1713">
        <f>H1334*0</f>
        <v>0</v>
      </c>
      <c r="I1342" s="1192">
        <f t="shared" si="56"/>
        <v>0</v>
      </c>
      <c r="J1342" s="1014"/>
      <c r="K1342" s="1014"/>
      <c r="L1342" s="1015"/>
      <c r="M1342" s="934">
        <v>250</v>
      </c>
    </row>
    <row r="1343" spans="1:14" s="1016" customFormat="1" ht="25.2" hidden="1" customHeight="1">
      <c r="A1343" s="1086">
        <f t="shared" si="55"/>
        <v>0</v>
      </c>
      <c r="B1343" s="1226"/>
      <c r="C1343" s="2841"/>
      <c r="D1343" s="1017">
        <f>IF(H1343&gt;0,D1334+1,D1334)</f>
        <v>4</v>
      </c>
      <c r="E1343" s="1018"/>
      <c r="F1343" s="1027" t="s">
        <v>3726</v>
      </c>
      <c r="G1343" s="1017" t="s">
        <v>2385</v>
      </c>
      <c r="H1343" s="1722">
        <f>H1198*0</f>
        <v>0</v>
      </c>
      <c r="I1343" s="1192">
        <f t="shared" si="56"/>
        <v>0</v>
      </c>
      <c r="J1343" s="1014"/>
      <c r="K1343" s="1014"/>
      <c r="L1343" s="1015"/>
      <c r="M1343" s="934">
        <v>250</v>
      </c>
    </row>
    <row r="1344" spans="1:14" s="1016" customFormat="1" ht="25.2" hidden="1" customHeight="1">
      <c r="A1344" s="1086">
        <f t="shared" si="55"/>
        <v>0</v>
      </c>
      <c r="B1344" s="1226"/>
      <c r="C1344" s="2841"/>
      <c r="D1344" s="1011"/>
      <c r="E1344" s="1021"/>
      <c r="F1344" s="1268" t="s">
        <v>2279</v>
      </c>
      <c r="G1344" s="1011"/>
      <c r="H1344" s="1723"/>
      <c r="I1344" s="1192">
        <f t="shared" si="56"/>
        <v>0</v>
      </c>
      <c r="J1344" s="1014"/>
      <c r="K1344" s="1014"/>
      <c r="L1344" s="1015"/>
      <c r="M1344" s="934">
        <v>250</v>
      </c>
    </row>
    <row r="1345" spans="1:13" s="1016" customFormat="1" ht="25.2" hidden="1" customHeight="1">
      <c r="A1345" s="1086">
        <f t="shared" si="55"/>
        <v>0</v>
      </c>
      <c r="B1345" s="1087" t="s">
        <v>470</v>
      </c>
      <c r="C1345" s="2842"/>
      <c r="D1345" s="1023"/>
      <c r="E1345" s="1012">
        <f>VLOOKUP($B1345,DG!A:D,DG!$B$2,)</f>
        <v>0</v>
      </c>
      <c r="F1345" s="1013" t="str">
        <f>VLOOKUP($B1345,DG!A:D,DG!$C$2,)&amp;": trong möông vaø leân MBA"</f>
        <v>Cáp 24kV C/XLPE/DSTA/PVC3x50: trong möông vaø leân MBA</v>
      </c>
      <c r="G1345" s="1012" t="str">
        <f>VLOOKUP($B1345,DG!A:D,DG!$D$2,)</f>
        <v>mét</v>
      </c>
      <c r="H1345" s="1713">
        <f>H1324+H1343*8</f>
        <v>0</v>
      </c>
      <c r="I1345" s="1192">
        <f t="shared" si="56"/>
        <v>0</v>
      </c>
      <c r="J1345" s="1014"/>
      <c r="K1345" s="1014"/>
      <c r="L1345" s="1015"/>
      <c r="M1345" s="934">
        <v>250</v>
      </c>
    </row>
    <row r="1346" spans="1:13" s="1016" customFormat="1" ht="25.2" hidden="1" customHeight="1">
      <c r="A1346" s="1086">
        <f t="shared" si="55"/>
        <v>0</v>
      </c>
      <c r="B1346" s="1087" t="s">
        <v>271</v>
      </c>
      <c r="C1346" s="2842"/>
      <c r="D1346" s="1023"/>
      <c r="E1346" s="1012">
        <f>VLOOKUP($B1346,DG!A:D,DG!$B$2,)</f>
        <v>0</v>
      </c>
      <c r="F1346" s="1013" t="str">
        <f>VLOOKUP($B1346,DG!A:D,DG!$C$2,)&amp;": trung tính"</f>
        <v>Cáp 24KV C/XLPE/PVC 50mm2: trung tính</v>
      </c>
      <c r="G1346" s="1012" t="str">
        <f>VLOOKUP($B1346,DG!A:D,DG!$D$2,)</f>
        <v>mét</v>
      </c>
      <c r="H1346" s="1713">
        <f>H1345</f>
        <v>0</v>
      </c>
      <c r="I1346" s="1192">
        <f t="shared" si="56"/>
        <v>0</v>
      </c>
      <c r="J1346" s="1014"/>
      <c r="K1346" s="1014"/>
      <c r="L1346" s="1015"/>
      <c r="M1346" s="934">
        <v>250</v>
      </c>
    </row>
    <row r="1347" spans="1:13" s="1016" customFormat="1" ht="25.2" hidden="1" customHeight="1">
      <c r="A1347" s="1086">
        <f t="shared" si="55"/>
        <v>0</v>
      </c>
      <c r="B1347" s="1087" t="s">
        <v>271</v>
      </c>
      <c r="C1347" s="2842"/>
      <c r="D1347" s="1023"/>
      <c r="E1347" s="1012">
        <f>VLOOKUP($B1347,DG!A:D,DG!$B$2,)</f>
        <v>0</v>
      </c>
      <c r="F1347" s="1013" t="str">
        <f>VLOOKUP($B1347,DG!A:D,DG!$C$2,)&amp;": 0,5m/pha töø FCO xuoáng MBA"</f>
        <v>Cáp 24KV C/XLPE/PVC 50mm2: 0,5m/pha töø FCO xuoáng MBA</v>
      </c>
      <c r="G1347" s="1012" t="str">
        <f>VLOOKUP($B1347,DG!A:D,DG!$D$2,)</f>
        <v>mét</v>
      </c>
      <c r="H1347" s="1713">
        <f>H1343*0.5*3*0</f>
        <v>0</v>
      </c>
      <c r="I1347" s="1192">
        <f t="shared" si="56"/>
        <v>0</v>
      </c>
      <c r="J1347" s="1014"/>
      <c r="K1347" s="1014"/>
      <c r="L1347" s="1015"/>
      <c r="M1347" s="934">
        <v>250</v>
      </c>
    </row>
    <row r="1348" spans="1:13" s="1016" customFormat="1" ht="25.2" hidden="1" customHeight="1">
      <c r="A1348" s="1086">
        <f t="shared" si="55"/>
        <v>0</v>
      </c>
      <c r="B1348" s="1087" t="s">
        <v>1352</v>
      </c>
      <c r="C1348" s="2842"/>
      <c r="D1348" s="1023"/>
      <c r="E1348" s="1012">
        <f>VLOOKUP($B1348,DG!A:D,DG!$B$2,)</f>
        <v>0</v>
      </c>
      <c r="F1348" s="1013" t="str">
        <f>VLOOKUP($B1348,DG!A:D,DG!$C$2,)</f>
        <v>Đầu cáp ngầm 24KV 3x50mm2 outdoor</v>
      </c>
      <c r="G1348" s="1012" t="str">
        <f>VLOOKUP($B1348,DG!A:D,DG!$D$2,)</f>
        <v>cái</v>
      </c>
      <c r="H1348" s="1713">
        <f>H1343</f>
        <v>0</v>
      </c>
      <c r="I1348" s="1192">
        <f t="shared" si="56"/>
        <v>0</v>
      </c>
      <c r="J1348" s="1014"/>
      <c r="K1348" s="1014"/>
      <c r="L1348" s="1015"/>
      <c r="M1348" s="934">
        <v>250</v>
      </c>
    </row>
    <row r="1349" spans="1:13" s="1016" customFormat="1" ht="25.2" hidden="1" customHeight="1">
      <c r="A1349" s="1086">
        <f t="shared" si="55"/>
        <v>0</v>
      </c>
      <c r="B1349" s="1087" t="s">
        <v>470</v>
      </c>
      <c r="C1349" s="2842"/>
      <c r="D1349" s="1023"/>
      <c r="E1349" s="1012">
        <f>VLOOKUP($B1349,DG!A:D,DG!$B$2,)</f>
        <v>0</v>
      </c>
      <c r="F1349" s="1013" t="str">
        <f>VLOOKUP($B1349,DG!A:D,DG!$C$2,)&amp;": töø tuû LBS ñeán MBA"</f>
        <v>Cáp 24kV C/XLPE/DSTA/PVC3x50: töø tuû LBS ñeán MBA</v>
      </c>
      <c r="G1349" s="1012" t="str">
        <f>VLOOKUP($B1349,DG!A:D,DG!$D$2,)</f>
        <v>mét</v>
      </c>
      <c r="H1349" s="1713">
        <f>(1.2+2.4)*H1343*0</f>
        <v>0</v>
      </c>
      <c r="I1349" s="1192">
        <f t="shared" si="56"/>
        <v>0</v>
      </c>
      <c r="J1349" s="1014"/>
      <c r="K1349" s="1014"/>
      <c r="L1349" s="1015"/>
      <c r="M1349" s="934">
        <v>250</v>
      </c>
    </row>
    <row r="1350" spans="1:13" s="1016" customFormat="1" ht="25.2" hidden="1" customHeight="1">
      <c r="A1350" s="1086">
        <f t="shared" si="55"/>
        <v>0</v>
      </c>
      <c r="B1350" s="1087" t="s">
        <v>271</v>
      </c>
      <c r="C1350" s="2842"/>
      <c r="D1350" s="1023"/>
      <c r="E1350" s="1012">
        <f>VLOOKUP($B1350,DG!A:D,DG!$B$2,)</f>
        <v>0</v>
      </c>
      <c r="F1350" s="1013" t="str">
        <f>VLOOKUP($B1350,DG!A:D,DG!$C$2,)&amp;": töø tuû LBS ñeán MBA"</f>
        <v>Cáp 24KV C/XLPE/PVC 50mm2: töø tuû LBS ñeán MBA</v>
      </c>
      <c r="G1350" s="1012" t="str">
        <f>VLOOKUP($B1350,DG!A:D,DG!$D$2,)</f>
        <v>mét</v>
      </c>
      <c r="H1350" s="1713">
        <f>H1343*1.2*0</f>
        <v>0</v>
      </c>
      <c r="I1350" s="1192">
        <f t="shared" si="56"/>
        <v>0</v>
      </c>
      <c r="J1350" s="1014"/>
      <c r="K1350" s="1014"/>
      <c r="L1350" s="1015"/>
      <c r="M1350" s="934">
        <v>250</v>
      </c>
    </row>
    <row r="1351" spans="1:13" s="1016" customFormat="1" ht="25.2" hidden="1" customHeight="1">
      <c r="A1351" s="1086">
        <f t="shared" si="55"/>
        <v>0</v>
      </c>
      <c r="B1351" s="1087" t="s">
        <v>1353</v>
      </c>
      <c r="C1351" s="2842"/>
      <c r="D1351" s="1023"/>
      <c r="E1351" s="1012">
        <f>VLOOKUP($B1351,DG!A:D,DG!$B$2,)</f>
        <v>0</v>
      </c>
      <c r="F1351" s="1013" t="str">
        <f>VLOOKUP($B1351,DG!A:D,DG!$C$2,)</f>
        <v>Đầu cáp ngầm 24KV 3x50mm2 indoor</v>
      </c>
      <c r="G1351" s="1012" t="str">
        <f>VLOOKUP($B1351,DG!A:D,DG!$D$2,)</f>
        <v>cái</v>
      </c>
      <c r="H1351" s="1713">
        <f>H1343</f>
        <v>0</v>
      </c>
      <c r="I1351" s="1192">
        <f t="shared" si="56"/>
        <v>0</v>
      </c>
      <c r="J1351" s="1014"/>
      <c r="K1351" s="1014"/>
      <c r="L1351" s="1015"/>
      <c r="M1351" s="934">
        <v>250</v>
      </c>
    </row>
    <row r="1352" spans="1:13" s="1016" customFormat="1" ht="25.2" hidden="1" customHeight="1">
      <c r="A1352" s="1086">
        <f t="shared" si="55"/>
        <v>0</v>
      </c>
      <c r="B1352" s="1087" t="s">
        <v>1674</v>
      </c>
      <c r="C1352" s="2842"/>
      <c r="D1352" s="1023"/>
      <c r="E1352" s="1012" t="str">
        <f>VLOOKUP($B1352,DG!A:D,DG!$B$2,)</f>
        <v>07.4312</v>
      </c>
      <c r="F1352" s="1013" t="str">
        <f>VLOOKUP($B1352,DG!A:D,DG!$C$2,)</f>
        <v>Lắp đầu cáp trung thế 3x50mm2, 70mm2</v>
      </c>
      <c r="G1352" s="1012" t="str">
        <f>VLOOKUP($B1352,DG!A:D,DG!$D$2,)</f>
        <v>cái</v>
      </c>
      <c r="H1352" s="1713">
        <f>H1348+H1351</f>
        <v>0</v>
      </c>
      <c r="I1352" s="1192">
        <f t="shared" si="56"/>
        <v>0</v>
      </c>
      <c r="J1352" s="1014"/>
      <c r="K1352" s="1014"/>
      <c r="L1352" s="1015"/>
      <c r="M1352" s="934">
        <v>250</v>
      </c>
    </row>
    <row r="1353" spans="1:13" s="1016" customFormat="1" ht="25.2" hidden="1" customHeight="1">
      <c r="A1353" s="1086">
        <f t="shared" si="55"/>
        <v>0</v>
      </c>
      <c r="B1353" s="1087" t="s">
        <v>1204</v>
      </c>
      <c r="C1353" s="2842"/>
      <c r="D1353" s="1023"/>
      <c r="E1353" s="1012" t="str">
        <f>VLOOKUP($B1353,DG!A:D,DG!$B$2,)</f>
        <v>03.1405</v>
      </c>
      <c r="F1353" s="1013" t="str">
        <f>VLOOKUP($B1353,DG!A:D,DG!$C$2,)</f>
        <v>Lắp cáp trong ống bảo vệ trong TBA loại &lt;=6kg</v>
      </c>
      <c r="G1353" s="1012" t="str">
        <f>VLOOKUP($B1353,DG!A:D,DG!$D$2,)</f>
        <v>mét</v>
      </c>
      <c r="H1353" s="1713">
        <f>H1345+H1349</f>
        <v>0</v>
      </c>
      <c r="I1353" s="1192">
        <f t="shared" si="56"/>
        <v>0</v>
      </c>
      <c r="J1353" s="1014"/>
      <c r="K1353" s="1014"/>
      <c r="L1353" s="1015"/>
      <c r="M1353" s="934">
        <v>250</v>
      </c>
    </row>
    <row r="1354" spans="1:13" s="1016" customFormat="1" ht="25.2" hidden="1" customHeight="1">
      <c r="A1354" s="1086">
        <f t="shared" si="55"/>
        <v>0</v>
      </c>
      <c r="B1354" s="1087" t="s">
        <v>1201</v>
      </c>
      <c r="C1354" s="2842"/>
      <c r="D1354" s="1023"/>
      <c r="E1354" s="1012" t="str">
        <f>VLOOKUP($B1354,DG!A:D,DG!$B$2,)</f>
        <v>03.1402</v>
      </c>
      <c r="F1354" s="1013" t="str">
        <f>VLOOKUP($B1354,DG!A:D,DG!$C$2,)</f>
        <v>Lắp cáp trong ống bảo vệ trong TBA loại &lt;=2kg</v>
      </c>
      <c r="G1354" s="1012" t="str">
        <f>VLOOKUP($B1354,DG!A:D,DG!$D$2,)</f>
        <v>mét</v>
      </c>
      <c r="H1354" s="1713">
        <f>H1346+H1350</f>
        <v>0</v>
      </c>
      <c r="I1354" s="1192">
        <f t="shared" si="56"/>
        <v>0</v>
      </c>
      <c r="J1354" s="1014"/>
      <c r="K1354" s="1014"/>
      <c r="L1354" s="1015"/>
      <c r="M1354" s="934">
        <v>250</v>
      </c>
    </row>
    <row r="1355" spans="1:13" s="1016" customFormat="1" ht="25.2" hidden="1" customHeight="1">
      <c r="A1355" s="1086">
        <f t="shared" si="55"/>
        <v>0</v>
      </c>
      <c r="B1355" s="1087" t="s">
        <v>1525</v>
      </c>
      <c r="C1355" s="2842"/>
      <c r="D1355" s="1023"/>
      <c r="E1355" s="1012" t="str">
        <f>VLOOKUP($B1355,DG!A:D,DG!$B$2,)</f>
        <v>04.4201</v>
      </c>
      <c r="F1355" s="1013" t="str">
        <f>VLOOKUP($B1355,DG!A:D,DG!$C$2,)</f>
        <v>Lắp cáp đồng xuống thiết bị D ≤ 95mm2</v>
      </c>
      <c r="G1355" s="1012" t="str">
        <f>VLOOKUP($B1355,DG!A:D,DG!$D$2,)</f>
        <v>m</v>
      </c>
      <c r="H1355" s="1713">
        <f>H1347</f>
        <v>0</v>
      </c>
      <c r="I1355" s="1192">
        <f t="shared" si="56"/>
        <v>0</v>
      </c>
      <c r="J1355" s="1014"/>
      <c r="K1355" s="1014"/>
      <c r="L1355" s="1015"/>
      <c r="M1355" s="934">
        <v>250</v>
      </c>
    </row>
    <row r="1356" spans="1:13" s="1016" customFormat="1" ht="25.2" hidden="1" customHeight="1">
      <c r="A1356" s="1086">
        <f t="shared" si="55"/>
        <v>0</v>
      </c>
      <c r="B1356" s="1087" t="s">
        <v>1349</v>
      </c>
      <c r="C1356" s="2842"/>
      <c r="D1356" s="1023"/>
      <c r="E1356" s="1012">
        <f>VLOOKUP($B1356,DG!A:D,DG!$B$2,)</f>
        <v>0</v>
      </c>
      <c r="F1356" s="1013" t="str">
        <f>VLOOKUP($B1356,DG!A:D,DG!$C$2,)</f>
        <v>Dây rút cáp</v>
      </c>
      <c r="G1356" s="1012" t="str">
        <f>VLOOKUP($B1356,DG!A:D,DG!$D$2,)</f>
        <v>bọc</v>
      </c>
      <c r="H1356" s="1713">
        <f>H1343*2</f>
        <v>0</v>
      </c>
      <c r="I1356" s="1192">
        <f t="shared" si="56"/>
        <v>0</v>
      </c>
      <c r="J1356" s="1014"/>
      <c r="K1356" s="1014"/>
      <c r="L1356" s="1015"/>
      <c r="M1356" s="934">
        <v>250</v>
      </c>
    </row>
    <row r="1357" spans="1:13" s="1016" customFormat="1" ht="25.2" hidden="1" customHeight="1">
      <c r="A1357" s="1086">
        <f t="shared" si="55"/>
        <v>0</v>
      </c>
      <c r="B1357" s="1226"/>
      <c r="C1357" s="2841"/>
      <c r="D1357" s="1017">
        <f>IF(H1357&gt;0,D1343+1,D1343)</f>
        <v>4</v>
      </c>
      <c r="E1357" s="1018"/>
      <c r="F1357" s="1027" t="s">
        <v>3736</v>
      </c>
      <c r="G1357" s="1017" t="s">
        <v>2385</v>
      </c>
      <c r="H1357" s="1722">
        <f>H1198</f>
        <v>0</v>
      </c>
      <c r="I1357" s="1192">
        <f t="shared" si="56"/>
        <v>0</v>
      </c>
      <c r="J1357" s="1014"/>
      <c r="K1357" s="1014"/>
      <c r="L1357" s="1043"/>
      <c r="M1357" s="934">
        <v>250</v>
      </c>
    </row>
    <row r="1358" spans="1:13" s="1016" customFormat="1" ht="25.2" hidden="1" customHeight="1">
      <c r="A1358" s="1086">
        <f t="shared" si="55"/>
        <v>0</v>
      </c>
      <c r="B1358" s="1226"/>
      <c r="C1358" s="2841"/>
      <c r="D1358" s="1011"/>
      <c r="E1358" s="1021"/>
      <c r="F1358" s="1268" t="s">
        <v>2279</v>
      </c>
      <c r="G1358" s="1011"/>
      <c r="H1358" s="1723"/>
      <c r="I1358" s="1192">
        <f t="shared" si="56"/>
        <v>0</v>
      </c>
      <c r="J1358" s="1014"/>
      <c r="K1358" s="1014"/>
      <c r="L1358" s="1043"/>
      <c r="M1358" s="934">
        <v>250</v>
      </c>
    </row>
    <row r="1359" spans="1:13" s="1016" customFormat="1" ht="25.2" hidden="1" customHeight="1">
      <c r="A1359" s="1086">
        <f t="shared" si="55"/>
        <v>0</v>
      </c>
      <c r="B1359" s="1087" t="s">
        <v>697</v>
      </c>
      <c r="C1359" s="2842">
        <v>7</v>
      </c>
      <c r="D1359" s="1023"/>
      <c r="E1359" s="1012">
        <f>VLOOKUP($B1359,DG!A:D,DG!$B$2,)</f>
        <v>0</v>
      </c>
      <c r="F1359" s="1013" t="str">
        <f>VLOOKUP($B1359,DG!A:D,DG!$C$2,)</f>
        <v>Cáp 24KV C/XLPE/PVC 25mm2</v>
      </c>
      <c r="G1359" s="1012" t="str">
        <f>VLOOKUP($B1359,DG!A:D,DG!$D$2,)</f>
        <v>mét</v>
      </c>
      <c r="H1359" s="1713">
        <v>21</v>
      </c>
      <c r="I1359" s="1192">
        <f t="shared" si="56"/>
        <v>0</v>
      </c>
      <c r="J1359" s="1014"/>
      <c r="K1359" s="1014"/>
      <c r="L1359" s="1043"/>
      <c r="M1359" s="934">
        <v>250</v>
      </c>
    </row>
    <row r="1360" spans="1:13" s="1016" customFormat="1" ht="25.2" hidden="1" customHeight="1">
      <c r="A1360" s="1086">
        <f t="shared" si="55"/>
        <v>0</v>
      </c>
      <c r="B1360" s="1087" t="s">
        <v>1840</v>
      </c>
      <c r="C1360" s="2842"/>
      <c r="D1360" s="1023"/>
      <c r="E1360" s="1012">
        <f>VLOOKUP($B1360,DG!A:D,DG!$B$2,)</f>
        <v>0</v>
      </c>
      <c r="F1360" s="1013" t="str">
        <f>VLOOKUP($B1360,DG!A:D,DG!$C$2,)</f>
        <v>Bass LL bắt FCO, LA</v>
      </c>
      <c r="G1360" s="1012" t="str">
        <f>VLOOKUP($B1360,DG!A:D,DG!$D$2,)</f>
        <v>bộ</v>
      </c>
      <c r="H1360" s="1744"/>
      <c r="I1360" s="1192">
        <f t="shared" si="56"/>
        <v>0</v>
      </c>
      <c r="J1360" s="1014"/>
      <c r="K1360" s="1014"/>
      <c r="L1360" s="1015"/>
      <c r="M1360" s="934">
        <v>250</v>
      </c>
    </row>
    <row r="1361" spans="1:13" s="1016" customFormat="1" ht="25.2" hidden="1" customHeight="1">
      <c r="A1361" s="1086">
        <f t="shared" si="55"/>
        <v>0</v>
      </c>
      <c r="B1361" s="1087" t="s">
        <v>1479</v>
      </c>
      <c r="C1361" s="2842"/>
      <c r="D1361" s="1023"/>
      <c r="E1361" s="1012" t="str">
        <f>VLOOKUP($B1361,DG!A:D,DG!$B$2,)</f>
        <v>04.3007</v>
      </c>
      <c r="F1361" s="1013" t="str">
        <f>VLOOKUP($B1361,DG!A:D,DG!$C$2,)</f>
        <v>Kẹp quai 2/0</v>
      </c>
      <c r="G1361" s="1012" t="str">
        <f>VLOOKUP($B1361,DG!A:D,DG!$D$2,)</f>
        <v>cái</v>
      </c>
      <c r="H1361" s="1744">
        <f>H1357*3</f>
        <v>0</v>
      </c>
      <c r="I1361" s="1192">
        <f t="shared" si="56"/>
        <v>0</v>
      </c>
      <c r="J1361" s="1014"/>
      <c r="K1361" s="1014"/>
      <c r="L1361" s="1043"/>
      <c r="M1361" s="934">
        <v>250</v>
      </c>
    </row>
    <row r="1362" spans="1:13" s="1016" customFormat="1" ht="25.2" hidden="1" customHeight="1">
      <c r="A1362" s="1086">
        <f t="shared" si="55"/>
        <v>0</v>
      </c>
      <c r="B1362" s="1087" t="s">
        <v>1477</v>
      </c>
      <c r="C1362" s="2842"/>
      <c r="D1362" s="1023"/>
      <c r="E1362" s="1012" t="str">
        <f>VLOOKUP($B1362,DG!A:D,DG!$B$2,)</f>
        <v>04.3007</v>
      </c>
      <c r="F1362" s="1013" t="str">
        <f>VLOOKUP($B1362,DG!A:D,DG!$C$2,)&amp;": "</f>
        <v xml:space="preserve">Kẹp hotline 2/0: </v>
      </c>
      <c r="G1362" s="1012" t="str">
        <f>VLOOKUP($B1362,DG!A:D,DG!$D$2,)</f>
        <v>cái</v>
      </c>
      <c r="H1362" s="1713">
        <f>H1361</f>
        <v>0</v>
      </c>
      <c r="I1362" s="1192">
        <f t="shared" si="56"/>
        <v>0</v>
      </c>
      <c r="J1362" s="1014"/>
      <c r="K1362" s="1014"/>
      <c r="L1362" s="1043"/>
      <c r="M1362" s="934">
        <v>250</v>
      </c>
    </row>
    <row r="1363" spans="1:13" s="1016" customFormat="1" ht="25.2" hidden="1" customHeight="1">
      <c r="A1363" s="1086">
        <f t="shared" si="55"/>
        <v>0</v>
      </c>
      <c r="B1363" s="2753" t="s">
        <v>4537</v>
      </c>
      <c r="C1363" s="2863"/>
      <c r="D1363" s="1043"/>
      <c r="E1363" s="1012">
        <f>VLOOKUP($B1363,DG!A:D,DG!$B$2,)</f>
        <v>0</v>
      </c>
      <c r="F1363" s="1013" t="str">
        <f>VLOOKUP($B1363,DG!A:D,DG!$C$2,)</f>
        <v>Chụp cách điện kẹp quai</v>
      </c>
      <c r="G1363" s="1012" t="str">
        <f>VLOOKUP($B1363,DG!A:D,DG!$D$2,)</f>
        <v>cái</v>
      </c>
      <c r="H1363" s="1713">
        <v>3</v>
      </c>
      <c r="I1363" s="1192">
        <f t="shared" si="56"/>
        <v>0</v>
      </c>
      <c r="J1363" s="1014"/>
      <c r="K1363" s="1014"/>
      <c r="L1363" s="1043"/>
      <c r="M1363" s="934">
        <v>250</v>
      </c>
    </row>
    <row r="1364" spans="1:13" s="1016" customFormat="1" ht="25.2" hidden="1" customHeight="1">
      <c r="A1364" s="1086">
        <f t="shared" si="55"/>
        <v>0</v>
      </c>
      <c r="B1364" s="2753" t="s">
        <v>4348</v>
      </c>
      <c r="C1364" s="2863"/>
      <c r="D1364" s="1023"/>
      <c r="E1364" s="1012">
        <f>VLOOKUP($B1364,DG!A:D,DG!$B$2,)</f>
        <v>0</v>
      </c>
      <c r="F1364" s="1013" t="str">
        <f>VLOOKUP($B1364,DG!A:D,DG!$C$2,)</f>
        <v>Chụp cách điện đầu cực MBA</v>
      </c>
      <c r="G1364" s="1012" t="str">
        <f>VLOOKUP($B1364,DG!A:D,DG!$D$2,)</f>
        <v>cái</v>
      </c>
      <c r="H1364" s="1713">
        <v>3</v>
      </c>
      <c r="I1364" s="1192">
        <f>IF(M1364=$M$23,H1364+J1364-K1364,0)</f>
        <v>0</v>
      </c>
      <c r="J1364" s="1014"/>
      <c r="K1364" s="1014"/>
      <c r="L1364" s="1043"/>
      <c r="M1364" s="934">
        <v>250</v>
      </c>
    </row>
    <row r="1365" spans="1:13" s="1016" customFormat="1" ht="25.2" hidden="1" customHeight="1">
      <c r="A1365" s="1086">
        <f t="shared" si="55"/>
        <v>0</v>
      </c>
      <c r="B1365" s="2753" t="s">
        <v>4350</v>
      </c>
      <c r="C1365" s="2863"/>
      <c r="D1365" s="1023"/>
      <c r="E1365" s="1012">
        <f>VLOOKUP($B1365,DG!A:D,DG!$B$2,)</f>
        <v>0</v>
      </c>
      <c r="F1365" s="1013" t="str">
        <f>VLOOKUP($B1365,DG!A:D,DG!$C$2,)</f>
        <v>Chụp cách điện đầu cực LA</v>
      </c>
      <c r="G1365" s="1012" t="str">
        <f>VLOOKUP($B1365,DG!A:D,DG!$D$2,)</f>
        <v>cái</v>
      </c>
      <c r="H1365" s="1713">
        <v>3</v>
      </c>
      <c r="I1365" s="1192">
        <f>IF(M1365=$M$23,H1365+J1365-K1365,0)</f>
        <v>0</v>
      </c>
      <c r="J1365" s="1014"/>
      <c r="K1365" s="1014"/>
      <c r="L1365" s="1043"/>
      <c r="M1365" s="934">
        <v>250</v>
      </c>
    </row>
    <row r="1366" spans="1:13" s="1016" customFormat="1" ht="25.2" hidden="1" customHeight="1">
      <c r="A1366" s="1086">
        <f t="shared" si="55"/>
        <v>0</v>
      </c>
      <c r="B1366" s="1087" t="s">
        <v>4560</v>
      </c>
      <c r="C1366" s="2842"/>
      <c r="D1366" s="1023"/>
      <c r="E1366" s="1012">
        <f>VLOOKUP($B1366,DG!A:D,DG!$B$2,)</f>
        <v>0</v>
      </c>
      <c r="F1366" s="1013" t="str">
        <f>VLOOKUP($B1366,DG!A:D,DG!$C$2,)</f>
        <v xml:space="preserve">Sứ đứng 24KV </v>
      </c>
      <c r="G1366" s="1012" t="str">
        <f>VLOOKUP($B1366,DG!A:D,DG!$D$2,)</f>
        <v>cái</v>
      </c>
      <c r="H1366" s="1713">
        <v>6</v>
      </c>
      <c r="I1366" s="1192">
        <f t="shared" si="56"/>
        <v>0</v>
      </c>
      <c r="J1366" s="1014"/>
      <c r="K1366" s="1014"/>
      <c r="L1366" s="1043"/>
      <c r="M1366" s="934">
        <v>250</v>
      </c>
    </row>
    <row r="1367" spans="1:13" s="1016" customFormat="1" ht="25.2" hidden="1" customHeight="1">
      <c r="A1367" s="1086">
        <f t="shared" si="55"/>
        <v>0</v>
      </c>
      <c r="B1367" s="2753" t="s">
        <v>4561</v>
      </c>
      <c r="C1367" s="2863"/>
      <c r="D1367" s="1023"/>
      <c r="E1367" s="1012">
        <f>VLOOKUP($B1367,DG!A:D,DG!$B$2,)</f>
        <v>0</v>
      </c>
      <c r="F1367" s="1013" t="str">
        <f>VLOOKUP($B1367,DG!A:D,DG!$C$2,)</f>
        <v>Chân sứ đứng D20</v>
      </c>
      <c r="G1367" s="1012" t="str">
        <f>VLOOKUP($B1367,DG!A:D,DG!$D$2,)</f>
        <v>cái</v>
      </c>
      <c r="H1367" s="1713">
        <f>H1366</f>
        <v>6</v>
      </c>
      <c r="I1367" s="1192">
        <f t="shared" si="56"/>
        <v>0</v>
      </c>
      <c r="J1367" s="1014"/>
      <c r="K1367" s="1014"/>
      <c r="L1367" s="1043"/>
      <c r="M1367" s="934">
        <v>250</v>
      </c>
    </row>
    <row r="1368" spans="1:13" s="1016" customFormat="1" ht="25.2" hidden="1" customHeight="1">
      <c r="A1368" s="1086">
        <f t="shared" si="55"/>
        <v>0</v>
      </c>
      <c r="B1368" s="1087" t="s">
        <v>1565</v>
      </c>
      <c r="C1368" s="2842"/>
      <c r="D1368" s="1023"/>
      <c r="E1368" s="1012" t="str">
        <f>VLOOKUP($B1368,DG!A:D,DG!$B$2,)</f>
        <v>06.1115</v>
      </c>
      <c r="F1368" s="1013" t="str">
        <f>VLOOKUP($B1368,DG!A:D,DG!$C$2,)</f>
        <v>Lắp sứ đứng 24KV</v>
      </c>
      <c r="G1368" s="1012" t="str">
        <f>VLOOKUP($B1368,DG!A:D,DG!$D$2,)</f>
        <v>bộ</v>
      </c>
      <c r="H1368" s="1744">
        <f>H1366</f>
        <v>6</v>
      </c>
      <c r="I1368" s="1192">
        <f t="shared" si="56"/>
        <v>0</v>
      </c>
      <c r="J1368" s="1014"/>
      <c r="K1368" s="1014"/>
      <c r="L1368" s="1043"/>
      <c r="M1368" s="934">
        <v>250</v>
      </c>
    </row>
    <row r="1369" spans="1:13" s="1016" customFormat="1" ht="25.2" hidden="1" customHeight="1">
      <c r="A1369" s="1086">
        <f t="shared" si="55"/>
        <v>0</v>
      </c>
      <c r="B1369" s="1087" t="s">
        <v>1909</v>
      </c>
      <c r="C1369" s="2842"/>
      <c r="D1369" s="1023"/>
      <c r="E1369" s="1012">
        <f>VLOOKUP($B1369,DG!A:D,DG!$B$2,)</f>
        <v>0</v>
      </c>
      <c r="F1369" s="1013" t="str">
        <f>VLOOKUP($B1369,DG!A:D,DG!$C$2,)</f>
        <v>Uclevis + sứ ống chỉ</v>
      </c>
      <c r="G1369" s="1012" t="str">
        <f>VLOOKUP($B1369,DG!A:D,DG!$D$2,)</f>
        <v>bộ</v>
      </c>
      <c r="H1369" s="1744"/>
      <c r="I1369" s="1192">
        <f t="shared" si="56"/>
        <v>0</v>
      </c>
      <c r="J1369" s="1014"/>
      <c r="K1369" s="1014"/>
      <c r="L1369" s="1043"/>
      <c r="M1369" s="934">
        <v>250</v>
      </c>
    </row>
    <row r="1370" spans="1:13" s="1016" customFormat="1" ht="25.2" hidden="1" customHeight="1">
      <c r="A1370" s="1086">
        <f t="shared" ref="A1370:A1433" si="57">IF(AND(M1370=$M$23,I1370&gt;0),1,0)</f>
        <v>0</v>
      </c>
      <c r="B1370" s="1087" t="s">
        <v>1610</v>
      </c>
      <c r="C1370" s="2842"/>
      <c r="D1370" s="1023"/>
      <c r="E1370" s="1012">
        <f>VLOOKUP($B1370,DG!A:D,DG!$B$2,)</f>
        <v>0</v>
      </c>
      <c r="F1370" s="1013" t="str">
        <f>VLOOKUP($B1370,DG!A:D,DG!$C$2,)</f>
        <v>Boulon 16x300+ 2 long đền vuông D18-50x50x3/Zn</v>
      </c>
      <c r="G1370" s="1012" t="str">
        <f>VLOOKUP($B1370,DG!A:D,DG!$D$2,)</f>
        <v>bộ</v>
      </c>
      <c r="H1370" s="1744">
        <f>H1369</f>
        <v>0</v>
      </c>
      <c r="I1370" s="1192">
        <f t="shared" si="56"/>
        <v>0</v>
      </c>
      <c r="J1370" s="1014"/>
      <c r="K1370" s="1014"/>
      <c r="L1370" s="1043"/>
      <c r="M1370" s="934">
        <v>250</v>
      </c>
    </row>
    <row r="1371" spans="1:13" s="1016" customFormat="1" ht="25.2" hidden="1" customHeight="1">
      <c r="A1371" s="1086">
        <f t="shared" si="57"/>
        <v>0</v>
      </c>
      <c r="B1371" s="1087" t="s">
        <v>1506</v>
      </c>
      <c r="C1371" s="2842"/>
      <c r="D1371" s="1023"/>
      <c r="E1371" s="1012">
        <f>VLOOKUP($B1371,DG!A:D,DG!$B$2,)</f>
        <v>0</v>
      </c>
      <c r="F1371" s="1013" t="str">
        <f>VLOOKUP($B1371,DG!A:D,DG!$C$2,)</f>
        <v>Sứ treo polymer</v>
      </c>
      <c r="G1371" s="1012" t="str">
        <f>VLOOKUP($B1371,DG!A:D,DG!$D$2,)</f>
        <v>chuỗi</v>
      </c>
      <c r="H1371" s="1744">
        <f>H1357*0</f>
        <v>0</v>
      </c>
      <c r="I1371" s="1192">
        <f t="shared" si="56"/>
        <v>0</v>
      </c>
      <c r="J1371" s="1014"/>
      <c r="K1371" s="1014"/>
      <c r="L1371" s="1043"/>
      <c r="M1371" s="934">
        <v>250</v>
      </c>
    </row>
    <row r="1372" spans="1:13" s="1016" customFormat="1" ht="25.2" hidden="1" customHeight="1">
      <c r="A1372" s="1086">
        <f t="shared" si="57"/>
        <v>0</v>
      </c>
      <c r="B1372" s="1087" t="s">
        <v>1486</v>
      </c>
      <c r="C1372" s="2842"/>
      <c r="D1372" s="1023"/>
      <c r="E1372" s="1012">
        <f>VLOOKUP($B1372,DG!A:D,DG!$B$2,)</f>
        <v>0</v>
      </c>
      <c r="F1372" s="1013" t="str">
        <f>VLOOKUP($B1372,DG!A:D,DG!$C$2,)</f>
        <v xml:space="preserve">Móc treo chữ U </v>
      </c>
      <c r="G1372" s="1012" t="str">
        <f>VLOOKUP($B1372,DG!A:D,DG!$D$2,)</f>
        <v>cái</v>
      </c>
      <c r="H1372" s="1744">
        <f>H1371*0</f>
        <v>0</v>
      </c>
      <c r="I1372" s="1192">
        <f t="shared" si="56"/>
        <v>0</v>
      </c>
      <c r="J1372" s="1014"/>
      <c r="K1372" s="1014"/>
      <c r="L1372" s="1043"/>
      <c r="M1372" s="934">
        <v>250</v>
      </c>
    </row>
    <row r="1373" spans="1:13" s="1016" customFormat="1" ht="25.2" hidden="1" customHeight="1">
      <c r="A1373" s="1086">
        <f t="shared" si="57"/>
        <v>0</v>
      </c>
      <c r="B1373" s="1087" t="s">
        <v>1742</v>
      </c>
      <c r="C1373" s="2842"/>
      <c r="D1373" s="1023"/>
      <c r="E1373" s="1012">
        <f>VLOOKUP($B1373,DG!A:D,DG!$B$2,)</f>
        <v>0</v>
      </c>
      <c r="F1373" s="1013" t="str">
        <f>VLOOKUP($B1373,DG!A:D,DG!$C$2,)</f>
        <v>Khóa néo dây cỡ dây 185</v>
      </c>
      <c r="G1373" s="1012" t="str">
        <f>VLOOKUP($B1373,DG!A:D,DG!$D$2,)</f>
        <v>cái</v>
      </c>
      <c r="H1373" s="1744">
        <f>H1371*0</f>
        <v>0</v>
      </c>
      <c r="I1373" s="1192">
        <f t="shared" si="56"/>
        <v>0</v>
      </c>
      <c r="J1373" s="1014"/>
      <c r="K1373" s="1014"/>
      <c r="L1373" s="1043"/>
      <c r="M1373" s="934">
        <v>250</v>
      </c>
    </row>
    <row r="1374" spans="1:13" s="1016" customFormat="1" ht="25.2" hidden="1" customHeight="1">
      <c r="A1374" s="1086">
        <f t="shared" si="57"/>
        <v>0</v>
      </c>
      <c r="B1374" s="1087" t="s">
        <v>479</v>
      </c>
      <c r="C1374" s="2842"/>
      <c r="D1374" s="1023"/>
      <c r="E1374" s="1012">
        <f>VLOOKUP($B1374,DG!A:D,DG!$B$2,)</f>
        <v>0</v>
      </c>
      <c r="F1374" s="1013" t="str">
        <f>VLOOKUP($B1374,DG!A:D,DG!$C$2,)</f>
        <v>Khóa néo dây cỡ dây 35</v>
      </c>
      <c r="G1374" s="1012" t="str">
        <f>VLOOKUP($B1374,DG!A:D,DG!$D$2,)</f>
        <v>cái</v>
      </c>
      <c r="H1374" s="1744">
        <f>H1357*2*0</f>
        <v>0</v>
      </c>
      <c r="I1374" s="1192">
        <f t="shared" si="56"/>
        <v>0</v>
      </c>
      <c r="J1374" s="1014"/>
      <c r="K1374" s="1014"/>
      <c r="L1374" s="1043"/>
      <c r="M1374" s="934">
        <v>250</v>
      </c>
    </row>
    <row r="1375" spans="1:13" s="1016" customFormat="1" ht="25.2" hidden="1" customHeight="1">
      <c r="A1375" s="1086">
        <f t="shared" si="57"/>
        <v>0</v>
      </c>
      <c r="B1375" s="1259" t="s">
        <v>778</v>
      </c>
      <c r="C1375" s="2864"/>
      <c r="D1375" s="1023"/>
      <c r="E1375" s="1012">
        <f>VLOOKUP($B1375,DG!A:D,DG!$B$2,)</f>
        <v>0</v>
      </c>
      <c r="F1375" s="1013" t="str">
        <f>VLOOKUP($B1375,DG!A:D,DG!$C$2,)</f>
        <v>Kẹp 2 rãnh cỡ dây 185mm2</v>
      </c>
      <c r="G1375" s="1012" t="str">
        <f>VLOOKUP($B1375,DG!A:D,DG!$D$2,)</f>
        <v>cái</v>
      </c>
      <c r="H1375" s="1744">
        <f>H1357*6*0</f>
        <v>0</v>
      </c>
      <c r="I1375" s="1192">
        <f t="shared" si="56"/>
        <v>0</v>
      </c>
      <c r="J1375" s="1014"/>
      <c r="K1375" s="1014"/>
      <c r="L1375" s="1043"/>
      <c r="M1375" s="934">
        <v>250</v>
      </c>
    </row>
    <row r="1376" spans="1:13" s="1016" customFormat="1" ht="25.2" hidden="1" customHeight="1">
      <c r="A1376" s="1086">
        <f t="shared" si="57"/>
        <v>0</v>
      </c>
      <c r="B1376" s="1087" t="s">
        <v>1061</v>
      </c>
      <c r="C1376" s="2842"/>
      <c r="D1376" s="1023"/>
      <c r="E1376" s="1012">
        <f>VLOOKUP($B1376,DG!A:D,DG!$B$2,)</f>
        <v>0</v>
      </c>
      <c r="F1376" s="1013" t="str">
        <f>VLOOKUP($B1376,DG!A:D,DG!$C$2,)</f>
        <v>Boulon mắt 16x250+ 2 long đền vuông D18-50x50x3/Zn</v>
      </c>
      <c r="G1376" s="1012" t="str">
        <f>VLOOKUP($B1376,DG!A:D,DG!$D$2,)</f>
        <v>bộ</v>
      </c>
      <c r="H1376" s="1744">
        <f>H1357*3*0</f>
        <v>0</v>
      </c>
      <c r="I1376" s="1192">
        <f t="shared" si="56"/>
        <v>0</v>
      </c>
      <c r="J1376" s="1014"/>
      <c r="K1376" s="1014"/>
      <c r="L1376" s="1043"/>
      <c r="M1376" s="934">
        <v>250</v>
      </c>
    </row>
    <row r="1377" spans="1:13" s="1016" customFormat="1" ht="25.2" hidden="1" customHeight="1">
      <c r="A1377" s="1086">
        <f t="shared" si="57"/>
        <v>0</v>
      </c>
      <c r="B1377" s="1087" t="s">
        <v>417</v>
      </c>
      <c r="C1377" s="2842"/>
      <c r="D1377" s="1023"/>
      <c r="E1377" s="1012">
        <f>VLOOKUP($B1377,DG!A:D,DG!$B$2,)</f>
        <v>0</v>
      </c>
      <c r="F1377" s="1013" t="str">
        <f>VLOOKUP($B1377,DG!A:D,DG!$C$2,)</f>
        <v>Boulon mắt 16x300+ 2 long đền vuông D18-50x50x3/Zn</v>
      </c>
      <c r="G1377" s="1012" t="str">
        <f>VLOOKUP($B1377,DG!A:D,DG!$D$2,)</f>
        <v>bộ</v>
      </c>
      <c r="H1377" s="1744">
        <f>H1374*3*0</f>
        <v>0</v>
      </c>
      <c r="I1377" s="1192">
        <f t="shared" si="56"/>
        <v>0</v>
      </c>
      <c r="J1377" s="1014"/>
      <c r="K1377" s="1014"/>
      <c r="L1377" s="1043"/>
      <c r="M1377" s="934">
        <v>250</v>
      </c>
    </row>
    <row r="1378" spans="1:13" s="1016" customFormat="1" ht="25.2" hidden="1" customHeight="1">
      <c r="A1378" s="1086">
        <f t="shared" si="57"/>
        <v>0</v>
      </c>
      <c r="B1378" s="1087" t="s">
        <v>1580</v>
      </c>
      <c r="C1378" s="2842"/>
      <c r="D1378" s="1023"/>
      <c r="E1378" s="1012">
        <f>VLOOKUP($B1378,DG!A:D,DG!$B$2,)</f>
        <v>0</v>
      </c>
      <c r="F1378" s="1013" t="str">
        <f>VLOOKUP($B1378,DG!A:D,DG!$C$2,)</f>
        <v>Kẹp ép WR cỡ dây 70mm2</v>
      </c>
      <c r="G1378" s="1012" t="str">
        <f>VLOOKUP($B1378,DG!A:D,DG!$D$2,)</f>
        <v>cái</v>
      </c>
      <c r="H1378" s="1744">
        <f>H1374*0</f>
        <v>0</v>
      </c>
      <c r="I1378" s="1192">
        <f t="shared" si="56"/>
        <v>0</v>
      </c>
      <c r="J1378" s="1014"/>
      <c r="K1378" s="1014"/>
      <c r="L1378" s="1043"/>
      <c r="M1378" s="934">
        <v>250</v>
      </c>
    </row>
    <row r="1379" spans="1:13" s="1016" customFormat="1" ht="25.2" hidden="1" customHeight="1">
      <c r="A1379" s="1086">
        <f t="shared" si="57"/>
        <v>0</v>
      </c>
      <c r="B1379" s="1087" t="s">
        <v>1507</v>
      </c>
      <c r="C1379" s="2842"/>
      <c r="D1379" s="1023"/>
      <c r="E1379" s="1012" t="str">
        <f>VLOOKUP($B1379,DG!A:D,DG!$B$2,)</f>
        <v>06.2201</v>
      </c>
      <c r="F1379" s="1013" t="str">
        <f>VLOOKUP($B1379,DG!A:D,DG!$C$2,)</f>
        <v>Lắp chuỗi sứ néo Polymer</v>
      </c>
      <c r="G1379" s="1012" t="str">
        <f>VLOOKUP($B1379,DG!A:D,DG!$D$2,)</f>
        <v>chuỗi</v>
      </c>
      <c r="H1379" s="1713">
        <f>H1371*0</f>
        <v>0</v>
      </c>
      <c r="I1379" s="1192">
        <f t="shared" si="56"/>
        <v>0</v>
      </c>
      <c r="J1379" s="1014"/>
      <c r="K1379" s="1014"/>
      <c r="L1379" s="1043"/>
      <c r="M1379" s="934">
        <v>250</v>
      </c>
    </row>
    <row r="1380" spans="1:13" s="1016" customFormat="1" ht="25.2" hidden="1" customHeight="1">
      <c r="A1380" s="1086">
        <f t="shared" si="57"/>
        <v>0</v>
      </c>
      <c r="B1380" s="1087" t="s">
        <v>1525</v>
      </c>
      <c r="C1380" s="2842"/>
      <c r="D1380" s="1023"/>
      <c r="E1380" s="1012" t="str">
        <f>VLOOKUP($B1380,DG!A:D,DG!$B$2,)</f>
        <v>04.4201</v>
      </c>
      <c r="F1380" s="1013" t="str">
        <f>VLOOKUP($B1380,DG!A:D,DG!$C$2,)</f>
        <v>Lắp cáp đồng xuống thiết bị D ≤ 95mm2</v>
      </c>
      <c r="G1380" s="1012" t="str">
        <f>VLOOKUP($B1380,DG!A:D,DG!$D$2,)</f>
        <v>m</v>
      </c>
      <c r="H1380" s="1713">
        <f>H1359</f>
        <v>21</v>
      </c>
      <c r="I1380" s="1192">
        <f t="shared" si="56"/>
        <v>0</v>
      </c>
      <c r="J1380" s="1014"/>
      <c r="K1380" s="1014"/>
      <c r="L1380" s="1043"/>
      <c r="M1380" s="934">
        <v>250</v>
      </c>
    </row>
    <row r="1381" spans="1:13" s="1016" customFormat="1" ht="25.2" hidden="1" customHeight="1">
      <c r="A1381" s="1086">
        <f t="shared" si="57"/>
        <v>0</v>
      </c>
      <c r="B1381" s="1226"/>
      <c r="C1381" s="2841"/>
      <c r="D1381" s="1017">
        <f>IF(H1381&gt;0,D1357+1,D1357)</f>
        <v>4</v>
      </c>
      <c r="E1381" s="1018"/>
      <c r="F1381" s="1027" t="s">
        <v>3708</v>
      </c>
      <c r="G1381" s="1017" t="s">
        <v>2385</v>
      </c>
      <c r="H1381" s="1722"/>
      <c r="I1381" s="1192">
        <f t="shared" si="56"/>
        <v>0</v>
      </c>
      <c r="J1381" s="1014"/>
      <c r="K1381" s="1014"/>
      <c r="L1381" s="1015"/>
      <c r="M1381" s="934">
        <v>250</v>
      </c>
    </row>
    <row r="1382" spans="1:13" s="1016" customFormat="1" ht="25.2" hidden="1" customHeight="1">
      <c r="A1382" s="1086">
        <f t="shared" si="57"/>
        <v>0</v>
      </c>
      <c r="B1382" s="1226"/>
      <c r="C1382" s="2841"/>
      <c r="D1382" s="1011"/>
      <c r="E1382" s="1021"/>
      <c r="F1382" s="1268" t="s">
        <v>2279</v>
      </c>
      <c r="G1382" s="1011"/>
      <c r="H1382" s="1723"/>
      <c r="I1382" s="1192">
        <f t="shared" si="56"/>
        <v>0</v>
      </c>
      <c r="J1382" s="1014"/>
      <c r="K1382" s="1014"/>
      <c r="L1382" s="1015"/>
      <c r="M1382" s="934">
        <v>250</v>
      </c>
    </row>
    <row r="1383" spans="1:13" s="1016" customFormat="1" ht="25.2" hidden="1" customHeight="1">
      <c r="A1383" s="1086">
        <f t="shared" si="57"/>
        <v>0</v>
      </c>
      <c r="B1383" s="1226" t="s">
        <v>1489</v>
      </c>
      <c r="C1383" s="2841"/>
      <c r="D1383" s="1023"/>
      <c r="E1383" s="1012" t="str">
        <f>VLOOKUP($B1383,DG!A:D,DG!$B$2,)</f>
        <v>04.8003</v>
      </c>
      <c r="F1383" s="1013" t="str">
        <f>VLOOKUP($B1383,DG!A:D,DG!$C$2,)</f>
        <v xml:space="preserve">Ống PVC D90x3,8mm </v>
      </c>
      <c r="G1383" s="1012" t="str">
        <f>VLOOKUP($B1383,DG!A:D,DG!$D$2,)</f>
        <v>m</v>
      </c>
      <c r="H1383" s="1713">
        <f>H1381*2</f>
        <v>0</v>
      </c>
      <c r="I1383" s="1192">
        <f t="shared" si="56"/>
        <v>0</v>
      </c>
      <c r="J1383" s="1014"/>
      <c r="K1383" s="1014"/>
      <c r="L1383" s="1015"/>
      <c r="M1383" s="934">
        <v>250</v>
      </c>
    </row>
    <row r="1384" spans="1:13" s="1016" customFormat="1" ht="25.2" hidden="1" customHeight="1">
      <c r="A1384" s="1086">
        <f t="shared" si="57"/>
        <v>0</v>
      </c>
      <c r="B1384" s="1226" t="s">
        <v>86</v>
      </c>
      <c r="C1384" s="2841"/>
      <c r="D1384" s="1023"/>
      <c r="E1384" s="1012">
        <f>VLOOKUP($B1384,DG!A:D,DG!$B$2,)</f>
        <v>0</v>
      </c>
      <c r="F1384" s="1013" t="str">
        <f>VLOOKUP($B1384,DG!A:D,DG!$C$2,)</f>
        <v>Co  90 độ PVC 90</v>
      </c>
      <c r="G1384" s="1012" t="str">
        <f>VLOOKUP($B1384,DG!A:D,DG!$D$2,)</f>
        <v>cái</v>
      </c>
      <c r="H1384" s="1713">
        <f>H1381*2</f>
        <v>0</v>
      </c>
      <c r="I1384" s="1192">
        <f t="shared" si="56"/>
        <v>0</v>
      </c>
      <c r="J1384" s="1014"/>
      <c r="K1384" s="1014"/>
      <c r="L1384" s="1015"/>
      <c r="M1384" s="934">
        <v>250</v>
      </c>
    </row>
    <row r="1385" spans="1:13" s="1016" customFormat="1" ht="25.2" hidden="1" customHeight="1">
      <c r="A1385" s="1086">
        <f t="shared" si="57"/>
        <v>0</v>
      </c>
      <c r="B1385" s="1246" t="s">
        <v>276</v>
      </c>
      <c r="C1385" s="2848"/>
      <c r="D1385" s="1023"/>
      <c r="E1385" s="1012" t="str">
        <f>VLOOKUP($B1385,DG!A:D,DG!$B$2,)</f>
        <v>06.3231</v>
      </c>
      <c r="F1385" s="1013" t="str">
        <f>VLOOKUP($B1385,DG!A:D,DG!$C$2,)&amp;": 1 bộ"</f>
        <v>Cổ dê kẹp ống PVC Ø 90: 1 bộ</v>
      </c>
      <c r="G1385" s="1012" t="str">
        <f>VLOOKUP($B1385,DG!A:D,DG!$D$2,)</f>
        <v>bộ</v>
      </c>
      <c r="H1385" s="1713">
        <f>H1381*1.21*0</f>
        <v>0</v>
      </c>
      <c r="I1385" s="1192">
        <f t="shared" si="56"/>
        <v>0</v>
      </c>
      <c r="J1385" s="1014"/>
      <c r="K1385" s="1014"/>
      <c r="L1385" s="1015"/>
      <c r="M1385" s="934">
        <v>250</v>
      </c>
    </row>
    <row r="1386" spans="1:13" s="1016" customFormat="1" ht="25.2" hidden="1" customHeight="1">
      <c r="A1386" s="1086">
        <f t="shared" si="57"/>
        <v>0</v>
      </c>
      <c r="B1386" s="1246" t="s">
        <v>86</v>
      </c>
      <c r="C1386" s="2848"/>
      <c r="D1386" s="1023"/>
      <c r="E1386" s="1012">
        <f>VLOOKUP($B1386,DG!A:D,DG!$B$2,)</f>
        <v>0</v>
      </c>
      <c r="F1386" s="1013" t="str">
        <f>VLOOKUP($B1386,DG!A:D,DG!$C$2,)</f>
        <v>Co  90 độ PVC 90</v>
      </c>
      <c r="G1386" s="1012" t="str">
        <f>VLOOKUP($B1386,DG!A:D,DG!$D$2,)</f>
        <v>cái</v>
      </c>
      <c r="H1386" s="1713">
        <f>H1381*3*0</f>
        <v>0</v>
      </c>
      <c r="I1386" s="1192">
        <f t="shared" si="56"/>
        <v>0</v>
      </c>
      <c r="J1386" s="1014"/>
      <c r="K1386" s="1014"/>
      <c r="L1386" s="1015"/>
      <c r="M1386" s="934">
        <v>250</v>
      </c>
    </row>
    <row r="1387" spans="1:13" s="1016" customFormat="1" ht="25.2" hidden="1" customHeight="1">
      <c r="A1387" s="1086">
        <f t="shared" si="57"/>
        <v>0</v>
      </c>
      <c r="B1387" s="1246" t="s">
        <v>138</v>
      </c>
      <c r="C1387" s="2848"/>
      <c r="D1387" s="1023"/>
      <c r="E1387" s="1012">
        <f>VLOOKUP($B1387,DG!A:D,DG!$B$2,)</f>
        <v>0</v>
      </c>
      <c r="F1387" s="1013" t="str">
        <f>VLOOKUP($B1387,DG!A:D,DG!$C$2,)</f>
        <v>Boulon 12x40+ 2 long đền vuông D14-50x50x3/Zn</v>
      </c>
      <c r="G1387" s="1012" t="str">
        <f>VLOOKUP($B1387,DG!A:D,DG!$D$2,)</f>
        <v>bộ</v>
      </c>
      <c r="H1387" s="1713">
        <f>H1381*2*0</f>
        <v>0</v>
      </c>
      <c r="I1387" s="1192">
        <f t="shared" si="56"/>
        <v>0</v>
      </c>
      <c r="J1387" s="1014"/>
      <c r="K1387" s="1014"/>
      <c r="L1387" s="1015"/>
      <c r="M1387" s="934">
        <v>250</v>
      </c>
    </row>
    <row r="1388" spans="1:13" s="1016" customFormat="1" ht="25.2" hidden="1" customHeight="1">
      <c r="A1388" s="1086">
        <f t="shared" si="57"/>
        <v>0</v>
      </c>
      <c r="B1388" s="1246" t="s">
        <v>1985</v>
      </c>
      <c r="C1388" s="2848"/>
      <c r="D1388" s="1023"/>
      <c r="E1388" s="1012">
        <f>VLOOKUP($B1388,DG!A:D,DG!$B$2,)</f>
        <v>0</v>
      </c>
      <c r="F1388" s="1013" t="str">
        <f>VLOOKUP($B1388,DG!A:D,DG!$C$2,)</f>
        <v>Boulon 12x60+ 2 long đền vuông D14-50x50x3/Zn</v>
      </c>
      <c r="G1388" s="1012" t="str">
        <f>VLOOKUP($B1388,DG!A:D,DG!$D$2,)</f>
        <v>bộ</v>
      </c>
      <c r="H1388" s="1713">
        <f>H1387</f>
        <v>0</v>
      </c>
      <c r="I1388" s="1192">
        <f t="shared" si="56"/>
        <v>0</v>
      </c>
      <c r="J1388" s="1014"/>
      <c r="K1388" s="1014"/>
      <c r="L1388" s="1015"/>
      <c r="M1388" s="934">
        <v>250</v>
      </c>
    </row>
    <row r="1389" spans="1:13" s="1016" customFormat="1" ht="25.2" hidden="1" customHeight="1">
      <c r="A1389" s="1086">
        <f t="shared" si="57"/>
        <v>0</v>
      </c>
      <c r="B1389" s="1226" t="s">
        <v>931</v>
      </c>
      <c r="C1389" s="2841"/>
      <c r="D1389" s="1023"/>
      <c r="E1389" s="1012">
        <f>VLOOKUP($B1389,DG!A:D,DG!$B$2,)</f>
        <v>0</v>
      </c>
      <c r="F1389" s="1013" t="str">
        <f>VLOOKUP($B1389,DG!A:D,DG!$C$2,)</f>
        <v>Khâu ven răng trong D90</v>
      </c>
      <c r="G1389" s="1012" t="str">
        <f>VLOOKUP($B1389,DG!A:D,DG!$D$2,)</f>
        <v>cái</v>
      </c>
      <c r="H1389" s="1713">
        <f>H1381*2*0</f>
        <v>0</v>
      </c>
      <c r="I1389" s="1192">
        <f t="shared" si="56"/>
        <v>0</v>
      </c>
      <c r="J1389" s="1014"/>
      <c r="K1389" s="1014"/>
      <c r="L1389" s="1015"/>
      <c r="M1389" s="934">
        <v>250</v>
      </c>
    </row>
    <row r="1390" spans="1:13" s="1016" customFormat="1" ht="25.2" hidden="1" customHeight="1">
      <c r="A1390" s="1086">
        <f t="shared" si="57"/>
        <v>0</v>
      </c>
      <c r="B1390" s="1226" t="s">
        <v>930</v>
      </c>
      <c r="C1390" s="2841"/>
      <c r="D1390" s="1023"/>
      <c r="E1390" s="1012">
        <f>VLOOKUP($B1390,DG!A:D,DG!$B$2,)</f>
        <v>0</v>
      </c>
      <c r="F1390" s="1013" t="str">
        <f>VLOOKUP($B1390,DG!A:D,DG!$C$2,)</f>
        <v>Khâu ven răng ngoài D90</v>
      </c>
      <c r="G1390" s="1012" t="str">
        <f>VLOOKUP($B1390,DG!A:D,DG!$D$2,)</f>
        <v>cái</v>
      </c>
      <c r="H1390" s="1713">
        <f>H1389</f>
        <v>0</v>
      </c>
      <c r="I1390" s="1192">
        <f t="shared" ref="I1390:I1453" si="58">IF(M1390=$M$23,H1390+J1390-K1390,0)</f>
        <v>0</v>
      </c>
      <c r="J1390" s="1014"/>
      <c r="K1390" s="1014"/>
      <c r="L1390" s="1015"/>
      <c r="M1390" s="934">
        <v>250</v>
      </c>
    </row>
    <row r="1391" spans="1:13" s="1016" customFormat="1" ht="25.2" hidden="1" customHeight="1">
      <c r="A1391" s="1086">
        <f t="shared" si="57"/>
        <v>0</v>
      </c>
      <c r="B1391" s="1087"/>
      <c r="C1391" s="2842"/>
      <c r="D1391" s="1017">
        <f>IF(H1391&gt;0,D1381+1,D1381)</f>
        <v>5</v>
      </c>
      <c r="E1391" s="1018"/>
      <c r="F1391" s="1027" t="s">
        <v>3728</v>
      </c>
      <c r="G1391" s="1017" t="s">
        <v>2385</v>
      </c>
      <c r="H1391" s="1743">
        <f>H1318</f>
        <v>1</v>
      </c>
      <c r="I1391" s="1192">
        <f t="shared" si="58"/>
        <v>0</v>
      </c>
      <c r="J1391" s="1014"/>
      <c r="K1391" s="1014"/>
      <c r="L1391" s="1043"/>
      <c r="M1391" s="934">
        <v>250</v>
      </c>
    </row>
    <row r="1392" spans="1:13" s="1016" customFormat="1" ht="25.2" hidden="1" customHeight="1">
      <c r="A1392" s="1086">
        <f t="shared" si="57"/>
        <v>0</v>
      </c>
      <c r="B1392" s="1087"/>
      <c r="C1392" s="2842"/>
      <c r="D1392" s="1011"/>
      <c r="E1392" s="1021"/>
      <c r="F1392" s="1268" t="s">
        <v>2279</v>
      </c>
      <c r="G1392" s="1011"/>
      <c r="H1392" s="1713"/>
      <c r="I1392" s="1192">
        <f t="shared" si="58"/>
        <v>0</v>
      </c>
      <c r="J1392" s="1014"/>
      <c r="K1392" s="1014"/>
      <c r="L1392" s="1043"/>
      <c r="M1392" s="934">
        <v>250</v>
      </c>
    </row>
    <row r="1393" spans="1:13" s="1016" customFormat="1" ht="25.2" hidden="1" customHeight="1">
      <c r="A1393" s="1086">
        <f t="shared" si="57"/>
        <v>0</v>
      </c>
      <c r="B1393" s="1256" t="s">
        <v>1013</v>
      </c>
      <c r="C1393" s="2858">
        <v>25.5</v>
      </c>
      <c r="D1393" s="1023"/>
      <c r="E1393" s="1012">
        <f>VLOOKUP($B1393,DG!A:D,DG!$B$2,)</f>
        <v>0</v>
      </c>
      <c r="F1393" s="1013" t="str">
        <f>VLOOKUP($B1393,DG!A:D,DG!$C$2,)</f>
        <v>Cáp đồng bọc CV185</v>
      </c>
      <c r="G1393" s="1012" t="str">
        <f>VLOOKUP($B1393,DG!A:D,DG!$D$2,)</f>
        <v>mét</v>
      </c>
      <c r="H1393" s="1713">
        <f>$H$1391*C1393</f>
        <v>25.5</v>
      </c>
      <c r="I1393" s="1192">
        <f t="shared" si="58"/>
        <v>0</v>
      </c>
      <c r="J1393" s="1014"/>
      <c r="K1393" s="1014"/>
      <c r="L1393" s="1043"/>
      <c r="M1393" s="934">
        <v>250</v>
      </c>
    </row>
    <row r="1394" spans="1:13" s="1016" customFormat="1" ht="25.2" hidden="1" customHeight="1">
      <c r="A1394" s="1086">
        <f t="shared" si="57"/>
        <v>0</v>
      </c>
      <c r="B1394" s="1256" t="s">
        <v>274</v>
      </c>
      <c r="C1394" s="2858">
        <v>8.5</v>
      </c>
      <c r="D1394" s="1023"/>
      <c r="E1394" s="1012">
        <f>VLOOKUP($B1394,DG!A:D,DG!$B$2,)</f>
        <v>0</v>
      </c>
      <c r="F1394" s="1013" t="str">
        <f>VLOOKUP($B1394,DG!A:D,DG!$C$2,)</f>
        <v>Cáp đồng bọc CV95</v>
      </c>
      <c r="G1394" s="1012" t="str">
        <f>VLOOKUP($B1394,DG!A:D,DG!$D$2,)</f>
        <v>mét</v>
      </c>
      <c r="H1394" s="1713">
        <f t="shared" ref="H1394:H1414" si="59">$H$1391*C1394</f>
        <v>8.5</v>
      </c>
      <c r="I1394" s="1192">
        <f t="shared" si="58"/>
        <v>0</v>
      </c>
      <c r="J1394" s="1014"/>
      <c r="K1394" s="1014"/>
      <c r="L1394" s="1043"/>
      <c r="M1394" s="934">
        <v>250</v>
      </c>
    </row>
    <row r="1395" spans="1:13" s="1016" customFormat="1" ht="25.2" hidden="1" customHeight="1">
      <c r="A1395" s="1086">
        <f t="shared" si="57"/>
        <v>0</v>
      </c>
      <c r="B1395" s="1226" t="s">
        <v>151</v>
      </c>
      <c r="C1395" s="2841">
        <v>6</v>
      </c>
      <c r="D1395" s="1023"/>
      <c r="E1395" s="1012" t="str">
        <f>VLOOKUP($B1395,DG!A:D,DG!$B$2,)</f>
        <v>03.4007</v>
      </c>
      <c r="F1395" s="1013" t="str">
        <f>VLOOKUP($B1395,DG!A:D,DG!$C$2,)</f>
        <v>Đầu cosse ép Cu 185mm2</v>
      </c>
      <c r="G1395" s="1012" t="str">
        <f>VLOOKUP($B1395,DG!A:D,DG!$D$2,)</f>
        <v>cái</v>
      </c>
      <c r="H1395" s="1713">
        <f t="shared" si="59"/>
        <v>6</v>
      </c>
      <c r="I1395" s="1192">
        <f t="shared" si="58"/>
        <v>0</v>
      </c>
      <c r="J1395" s="1014"/>
      <c r="K1395" s="1014"/>
      <c r="L1395" s="1043"/>
      <c r="M1395" s="934">
        <v>250</v>
      </c>
    </row>
    <row r="1396" spans="1:13" s="1016" customFormat="1" ht="25.2" hidden="1" customHeight="1">
      <c r="A1396" s="1086">
        <f t="shared" si="57"/>
        <v>0</v>
      </c>
      <c r="B1396" s="1226" t="s">
        <v>1304</v>
      </c>
      <c r="C1396" s="2841">
        <v>2</v>
      </c>
      <c r="D1396" s="1023"/>
      <c r="E1396" s="1012" t="str">
        <f>VLOOKUP($B1396,DG!A:D,DG!$B$2,)</f>
        <v>03.4004</v>
      </c>
      <c r="F1396" s="1013" t="str">
        <f>VLOOKUP($B1396,DG!A:D,DG!$C$2,)</f>
        <v>Đầu cosse ép Cu 95mm2</v>
      </c>
      <c r="G1396" s="1012" t="str">
        <f>VLOOKUP($B1396,DG!A:D,DG!$D$2,)</f>
        <v>cái</v>
      </c>
      <c r="H1396" s="1713">
        <f t="shared" si="59"/>
        <v>2</v>
      </c>
      <c r="I1396" s="1192">
        <f t="shared" si="58"/>
        <v>0</v>
      </c>
      <c r="J1396" s="1014"/>
      <c r="K1396" s="1014"/>
      <c r="L1396" s="1043"/>
      <c r="M1396" s="934">
        <v>250</v>
      </c>
    </row>
    <row r="1397" spans="1:13" s="1016" customFormat="1" ht="25.2" hidden="1" customHeight="1">
      <c r="A1397" s="1086">
        <f t="shared" si="57"/>
        <v>0</v>
      </c>
      <c r="B1397" s="1226" t="s">
        <v>150</v>
      </c>
      <c r="C1397" s="2841">
        <v>6</v>
      </c>
      <c r="D1397" s="1023"/>
      <c r="E1397" s="1012">
        <f>VLOOKUP($B1397,DG!A:D,DG!$B$2,)</f>
        <v>0</v>
      </c>
      <c r="F1397" s="1013" t="str">
        <f>VLOOKUP($B1397,DG!A:D,DG!$C$2,)</f>
        <v>Chụp đầu cosse  185mm2</v>
      </c>
      <c r="G1397" s="1012" t="str">
        <f>VLOOKUP($B1397,DG!A:D,DG!$D$2,)</f>
        <v>cái</v>
      </c>
      <c r="H1397" s="1713">
        <f t="shared" si="59"/>
        <v>6</v>
      </c>
      <c r="I1397" s="1192">
        <f t="shared" si="58"/>
        <v>0</v>
      </c>
      <c r="J1397" s="1014"/>
      <c r="K1397" s="1014"/>
      <c r="L1397" s="1043"/>
      <c r="M1397" s="934">
        <v>250</v>
      </c>
    </row>
    <row r="1398" spans="1:13" s="1016" customFormat="1" ht="25.2" hidden="1" customHeight="1">
      <c r="A1398" s="1086">
        <f t="shared" si="57"/>
        <v>0</v>
      </c>
      <c r="B1398" s="1226" t="s">
        <v>94</v>
      </c>
      <c r="C1398" s="2841">
        <v>2</v>
      </c>
      <c r="D1398" s="1023"/>
      <c r="E1398" s="1012">
        <f>VLOOKUP($B1398,DG!A:D,DG!$B$2,)</f>
        <v>0</v>
      </c>
      <c r="F1398" s="1013" t="str">
        <f>VLOOKUP($B1398,DG!A:D,DG!$C$2,)</f>
        <v>Chụp đầu cosse  95mm2</v>
      </c>
      <c r="G1398" s="1012" t="str">
        <f>VLOOKUP($B1398,DG!A:D,DG!$D$2,)</f>
        <v>cái</v>
      </c>
      <c r="H1398" s="1713">
        <f t="shared" si="59"/>
        <v>2</v>
      </c>
      <c r="I1398" s="1192">
        <f t="shared" si="58"/>
        <v>0</v>
      </c>
      <c r="J1398" s="1014"/>
      <c r="K1398" s="1014"/>
      <c r="L1398" s="1043"/>
      <c r="M1398" s="934">
        <v>250</v>
      </c>
    </row>
    <row r="1399" spans="1:13" s="1016" customFormat="1" ht="25.2" hidden="1" customHeight="1">
      <c r="A1399" s="1086">
        <f t="shared" si="57"/>
        <v>0</v>
      </c>
      <c r="B1399" s="1226" t="s">
        <v>1042</v>
      </c>
      <c r="C1399" s="2841">
        <v>6</v>
      </c>
      <c r="D1399" s="1023"/>
      <c r="E1399" s="1012">
        <f>VLOOKUP($B1399,DG!A:D,DG!$B$2,)</f>
        <v>0</v>
      </c>
      <c r="F1399" s="1013" t="str">
        <f>VLOOKUP($B1399,DG!A:D,DG!$C$2,)</f>
        <v xml:space="preserve">Ống PVC D114x4,9mm </v>
      </c>
      <c r="G1399" s="1012" t="str">
        <f>VLOOKUP($B1399,DG!A:D,DG!$D$2,)</f>
        <v>m</v>
      </c>
      <c r="H1399" s="1713">
        <f t="shared" si="59"/>
        <v>6</v>
      </c>
      <c r="I1399" s="1192">
        <f t="shared" si="58"/>
        <v>0</v>
      </c>
      <c r="J1399" s="1014"/>
      <c r="K1399" s="1014"/>
      <c r="L1399" s="1043"/>
      <c r="M1399" s="934">
        <v>250</v>
      </c>
    </row>
    <row r="1400" spans="1:13" s="1016" customFormat="1" ht="25.2" hidden="1" customHeight="1">
      <c r="A1400" s="1086">
        <f t="shared" si="57"/>
        <v>0</v>
      </c>
      <c r="B1400" s="1246" t="s">
        <v>86</v>
      </c>
      <c r="C1400" s="2848">
        <v>1</v>
      </c>
      <c r="D1400" s="1023"/>
      <c r="E1400" s="1012">
        <f>VLOOKUP($B1400,DG!A:D,DG!$B$2,)</f>
        <v>0</v>
      </c>
      <c r="F1400" s="1013" t="str">
        <f>VLOOKUP($B1400,DG!A:D,DG!$C$2,)</f>
        <v>Co  90 độ PVC 90</v>
      </c>
      <c r="G1400" s="1012" t="str">
        <f>VLOOKUP($B1400,DG!A:D,DG!$D$2,)</f>
        <v>cái</v>
      </c>
      <c r="H1400" s="1713">
        <f t="shared" si="59"/>
        <v>1</v>
      </c>
      <c r="I1400" s="1192">
        <f t="shared" si="58"/>
        <v>0</v>
      </c>
      <c r="J1400" s="1014"/>
      <c r="K1400" s="1014"/>
      <c r="L1400" s="1043"/>
      <c r="M1400" s="934">
        <v>250</v>
      </c>
    </row>
    <row r="1401" spans="1:13" s="1016" customFormat="1" ht="25.2" hidden="1" customHeight="1">
      <c r="A1401" s="1086">
        <f t="shared" si="57"/>
        <v>0</v>
      </c>
      <c r="B1401" s="2754" t="s">
        <v>1215</v>
      </c>
      <c r="C1401" s="2865">
        <v>1</v>
      </c>
      <c r="D1401" s="1023"/>
      <c r="E1401" s="1012">
        <f>VLOOKUP($B1401,DG!A:D,DG!$B$2,)</f>
        <v>0</v>
      </c>
      <c r="F1401" s="1013" t="str">
        <f>VLOOKUP($B1401,DG!A:D,DG!$C$2,)</f>
        <v>Co 135 độ PVC 90</v>
      </c>
      <c r="G1401" s="1012" t="str">
        <f>VLOOKUP($B1401,DG!A:D,DG!$D$2,)</f>
        <v>cái</v>
      </c>
      <c r="H1401" s="1713">
        <f t="shared" si="59"/>
        <v>1</v>
      </c>
      <c r="I1401" s="1192">
        <f t="shared" si="58"/>
        <v>0</v>
      </c>
      <c r="J1401" s="1014"/>
      <c r="K1401" s="1014"/>
      <c r="L1401" s="1043"/>
      <c r="M1401" s="934">
        <v>250</v>
      </c>
    </row>
    <row r="1402" spans="1:13" s="1016" customFormat="1" ht="25.2" hidden="1" customHeight="1">
      <c r="A1402" s="1086">
        <f t="shared" si="57"/>
        <v>0</v>
      </c>
      <c r="B1402" s="1087" t="s">
        <v>1489</v>
      </c>
      <c r="C1402" s="2842">
        <v>12</v>
      </c>
      <c r="D1402" s="1023"/>
      <c r="E1402" s="1012" t="str">
        <f>VLOOKUP($B1402,DG!A:D,DG!$B$2,)</f>
        <v>04.8003</v>
      </c>
      <c r="F1402" s="1013" t="str">
        <f>VLOOKUP($B1402,DG!A:D,DG!$C$2,)</f>
        <v xml:space="preserve">Ống PVC D90x3,8mm </v>
      </c>
      <c r="G1402" s="1012" t="str">
        <f>VLOOKUP($B1402,DG!A:D,DG!$D$2,)</f>
        <v>m</v>
      </c>
      <c r="H1402" s="1713">
        <f t="shared" si="59"/>
        <v>12</v>
      </c>
      <c r="I1402" s="1192">
        <f t="shared" si="58"/>
        <v>0</v>
      </c>
      <c r="J1402" s="1014"/>
      <c r="K1402" s="1014"/>
      <c r="L1402" s="1043"/>
      <c r="M1402" s="934">
        <v>250</v>
      </c>
    </row>
    <row r="1403" spans="1:13" s="1016" customFormat="1" ht="25.2" hidden="1" customHeight="1">
      <c r="A1403" s="1086">
        <f t="shared" si="57"/>
        <v>0</v>
      </c>
      <c r="B1403" s="1246" t="s">
        <v>276</v>
      </c>
      <c r="C1403" s="2848">
        <v>3</v>
      </c>
      <c r="D1403" s="1023"/>
      <c r="E1403" s="1012" t="str">
        <f>VLOOKUP($B1403,DG!A:D,DG!$B$2,)</f>
        <v>06.3231</v>
      </c>
      <c r="F1403" s="1013" t="str">
        <f>VLOOKUP($B1403,DG!A:D,DG!$C$2,)</f>
        <v>Cổ dê kẹp ống PVC Ø 90</v>
      </c>
      <c r="G1403" s="1012" t="str">
        <f>VLOOKUP($B1403,DG!A:D,DG!$D$2,)</f>
        <v>bộ</v>
      </c>
      <c r="H1403" s="1713">
        <f t="shared" si="59"/>
        <v>3</v>
      </c>
      <c r="I1403" s="1192">
        <f t="shared" si="58"/>
        <v>0</v>
      </c>
      <c r="J1403" s="1014"/>
      <c r="K1403" s="1014"/>
      <c r="L1403" s="1043"/>
      <c r="M1403" s="934">
        <v>250</v>
      </c>
    </row>
    <row r="1404" spans="1:13" s="1016" customFormat="1" ht="25.2" hidden="1" customHeight="1">
      <c r="A1404" s="1086">
        <f t="shared" si="57"/>
        <v>0</v>
      </c>
      <c r="B1404" s="1087" t="s">
        <v>1131</v>
      </c>
      <c r="C1404" s="2842">
        <v>3</v>
      </c>
      <c r="D1404" s="1023"/>
      <c r="E1404" s="1012" t="str">
        <f>VLOOKUP($B1404,DG!A:D,DG!$B$2,)</f>
        <v>06.2110</v>
      </c>
      <c r="F1404" s="1013" t="str">
        <f>VLOOKUP($B1404,DG!A:D,DG!$C$2,)</f>
        <v>Lắp cổ dê</v>
      </c>
      <c r="G1404" s="1012" t="str">
        <f>VLOOKUP($B1404,DG!A:D,DG!$D$2,)</f>
        <v>bộ</v>
      </c>
      <c r="H1404" s="1713">
        <f t="shared" si="59"/>
        <v>3</v>
      </c>
      <c r="I1404" s="1192">
        <f t="shared" si="58"/>
        <v>0</v>
      </c>
      <c r="J1404" s="1014"/>
      <c r="K1404" s="1014"/>
      <c r="L1404" s="1043"/>
      <c r="M1404" s="934">
        <v>250</v>
      </c>
    </row>
    <row r="1405" spans="1:13" s="1016" customFormat="1" ht="25.2" hidden="1" customHeight="1">
      <c r="A1405" s="1086">
        <f t="shared" si="57"/>
        <v>0</v>
      </c>
      <c r="B1405" s="1246" t="s">
        <v>4599</v>
      </c>
      <c r="C1405" s="2848">
        <v>1</v>
      </c>
      <c r="D1405" s="1023"/>
      <c r="E1405" s="1012">
        <f>VLOOKUP($B1405,DG!A:D,DG!$B$2,)</f>
        <v>0</v>
      </c>
      <c r="F1405" s="1013" t="str">
        <f>VLOOKUP($B1405,DG!A:D,DG!$C$2,)</f>
        <v>Co sừng 90 độ PVC 114</v>
      </c>
      <c r="G1405" s="1012" t="str">
        <f>VLOOKUP($B1405,DG!A:D,DG!$D$2,)</f>
        <v>cái</v>
      </c>
      <c r="H1405" s="1713">
        <f t="shared" si="59"/>
        <v>1</v>
      </c>
      <c r="I1405" s="1192">
        <f t="shared" si="58"/>
        <v>0</v>
      </c>
      <c r="J1405" s="1014"/>
      <c r="K1405" s="1014"/>
      <c r="L1405" s="1043"/>
      <c r="M1405" s="934">
        <v>250</v>
      </c>
    </row>
    <row r="1406" spans="1:13" s="1016" customFormat="1" ht="25.2" hidden="1" customHeight="1">
      <c r="A1406" s="1086">
        <f t="shared" si="57"/>
        <v>0</v>
      </c>
      <c r="B1406" s="1226" t="s">
        <v>2167</v>
      </c>
      <c r="C1406" s="2841"/>
      <c r="D1406" s="1023"/>
      <c r="E1406" s="1012">
        <f>VLOOKUP($B1406,DG!A:D,DG!$B$2,)</f>
        <v>0</v>
      </c>
      <c r="F1406" s="1013" t="str">
        <f>VLOOKUP($B1406,DG!A:D,DG!$C$2,)</f>
        <v>Khâu ven răng trong D114</v>
      </c>
      <c r="G1406" s="1012" t="str">
        <f>VLOOKUP($B1406,DG!A:D,DG!$D$2,)</f>
        <v>cái</v>
      </c>
      <c r="H1406" s="1713">
        <f t="shared" si="59"/>
        <v>0</v>
      </c>
      <c r="I1406" s="1192">
        <f t="shared" si="58"/>
        <v>0</v>
      </c>
      <c r="J1406" s="1014"/>
      <c r="K1406" s="1014"/>
      <c r="L1406" s="1043"/>
      <c r="M1406" s="934">
        <v>250</v>
      </c>
    </row>
    <row r="1407" spans="1:13" s="1016" customFormat="1" ht="25.2" hidden="1" customHeight="1">
      <c r="A1407" s="1086">
        <f t="shared" si="57"/>
        <v>0</v>
      </c>
      <c r="B1407" s="1226" t="s">
        <v>2168</v>
      </c>
      <c r="C1407" s="2841"/>
      <c r="D1407" s="1023"/>
      <c r="E1407" s="1012">
        <f>VLOOKUP($B1407,DG!A:D,DG!$B$2,)</f>
        <v>0</v>
      </c>
      <c r="F1407" s="1013" t="str">
        <f>VLOOKUP($B1407,DG!A:D,DG!$C$2,)&amp;": "</f>
        <v xml:space="preserve">Khâu ven răng ngoài D114: </v>
      </c>
      <c r="G1407" s="1012" t="str">
        <f>VLOOKUP($B1407,DG!A:D,DG!$D$2,)</f>
        <v>cái</v>
      </c>
      <c r="H1407" s="1713">
        <f t="shared" si="59"/>
        <v>0</v>
      </c>
      <c r="I1407" s="1192">
        <f t="shared" si="58"/>
        <v>0</v>
      </c>
      <c r="J1407" s="1014"/>
      <c r="K1407" s="1014"/>
      <c r="L1407" s="1043"/>
      <c r="M1407" s="934">
        <v>250</v>
      </c>
    </row>
    <row r="1408" spans="1:13" s="1016" customFormat="1" ht="25.2" hidden="1" customHeight="1">
      <c r="A1408" s="1086">
        <f t="shared" si="57"/>
        <v>0</v>
      </c>
      <c r="B1408" s="1226" t="s">
        <v>2074</v>
      </c>
      <c r="C1408" s="2841">
        <v>1</v>
      </c>
      <c r="D1408" s="1023"/>
      <c r="E1408" s="1012">
        <f>VLOOKUP($B1408,DG!A:D,DG!$B$2,)</f>
        <v>0</v>
      </c>
      <c r="F1408" s="1013" t="str">
        <f>VLOOKUP($B1408,DG!A:D,DG!$C$2,)&amp;": "</f>
        <v xml:space="preserve">Keo dán ống PVC (100gr): </v>
      </c>
      <c r="G1408" s="1012" t="str">
        <f>VLOOKUP($B1408,DG!A:D,DG!$D$2,)</f>
        <v>tuýp</v>
      </c>
      <c r="H1408" s="1713">
        <f t="shared" si="59"/>
        <v>1</v>
      </c>
      <c r="I1408" s="1192">
        <f t="shared" si="58"/>
        <v>0</v>
      </c>
      <c r="J1408" s="1014"/>
      <c r="K1408" s="1014"/>
      <c r="L1408" s="1043"/>
      <c r="M1408" s="934">
        <v>250</v>
      </c>
    </row>
    <row r="1409" spans="1:13" s="1016" customFormat="1" ht="25.2" hidden="1" customHeight="1">
      <c r="A1409" s="1086">
        <f t="shared" si="57"/>
        <v>0</v>
      </c>
      <c r="B1409" s="1087" t="s">
        <v>6</v>
      </c>
      <c r="C1409" s="2842">
        <v>1</v>
      </c>
      <c r="D1409" s="1023"/>
      <c r="E1409" s="1012"/>
      <c r="F1409" s="1013" t="str">
        <f>VLOOKUP($B1409,DG!A:D,DG!$C$2,)&amp;":"</f>
        <v>Keo silicon bít miệng ống:</v>
      </c>
      <c r="G1409" s="1012" t="str">
        <f>VLOOKUP($B1409,DG!A:D,DG!$D$2,)</f>
        <v>ống</v>
      </c>
      <c r="H1409" s="1713">
        <f t="shared" si="59"/>
        <v>1</v>
      </c>
      <c r="I1409" s="1192">
        <f t="shared" si="58"/>
        <v>0</v>
      </c>
      <c r="J1409" s="1014"/>
      <c r="K1409" s="1014"/>
      <c r="L1409" s="1015"/>
      <c r="M1409" s="934">
        <v>250</v>
      </c>
    </row>
    <row r="1410" spans="1:13" s="1016" customFormat="1" ht="25.2" hidden="1" customHeight="1">
      <c r="A1410" s="1086">
        <f t="shared" si="57"/>
        <v>0</v>
      </c>
      <c r="B1410" s="1226" t="s">
        <v>2276</v>
      </c>
      <c r="C1410" s="2841">
        <v>4</v>
      </c>
      <c r="D1410" s="1023"/>
      <c r="E1410" s="1012" t="str">
        <f>VLOOKUP($B1410,DG!A:D,DG!$B$2,)</f>
        <v>03.1401</v>
      </c>
      <c r="F1410" s="1013" t="str">
        <f>VLOOKUP($B1410,DG!A:D,DG!$C$2,)</f>
        <v xml:space="preserve">Cáp CVV 4x4mm2  </v>
      </c>
      <c r="G1410" s="1012" t="str">
        <f>VLOOKUP($B1410,DG!A:D,DG!$D$2,)</f>
        <v>mét</v>
      </c>
      <c r="H1410" s="1713">
        <f t="shared" si="59"/>
        <v>4</v>
      </c>
      <c r="I1410" s="1192">
        <f t="shared" si="58"/>
        <v>0</v>
      </c>
      <c r="J1410" s="1014"/>
      <c r="K1410" s="1014"/>
      <c r="L1410" s="1015"/>
      <c r="M1410" s="934">
        <v>250</v>
      </c>
    </row>
    <row r="1411" spans="1:13" s="1016" customFormat="1" ht="25.2" hidden="1" customHeight="1">
      <c r="A1411" s="1086">
        <f t="shared" si="57"/>
        <v>0</v>
      </c>
      <c r="B1411" s="1087" t="s">
        <v>672</v>
      </c>
      <c r="C1411" s="2842">
        <v>2</v>
      </c>
      <c r="D1411" s="1023"/>
      <c r="E1411" s="1012">
        <f>VLOOKUP($B1411,DG!A:D,DG!$B$2,)</f>
        <v>0</v>
      </c>
      <c r="F1411" s="1013" t="str">
        <f>VLOOKUP($B1411,DG!A:D,DG!$C$2,)&amp;":"</f>
        <v>Băng keo cách điện:</v>
      </c>
      <c r="G1411" s="1012" t="str">
        <f>VLOOKUP($B1411,DG!A:D,DG!$D$2,)</f>
        <v>cuộn</v>
      </c>
      <c r="H1411" s="1713">
        <f t="shared" si="59"/>
        <v>2</v>
      </c>
      <c r="I1411" s="1192">
        <f t="shared" si="58"/>
        <v>0</v>
      </c>
      <c r="J1411" s="1014"/>
      <c r="K1411" s="1014"/>
      <c r="L1411" s="1043"/>
      <c r="M1411" s="934">
        <v>250</v>
      </c>
    </row>
    <row r="1412" spans="1:13" s="1016" customFormat="1" ht="25.2" hidden="1" customHeight="1">
      <c r="A1412" s="1086">
        <f t="shared" si="57"/>
        <v>0</v>
      </c>
      <c r="B1412" s="1087" t="s">
        <v>247</v>
      </c>
      <c r="C1412" s="2842">
        <v>9</v>
      </c>
      <c r="D1412" s="1023"/>
      <c r="E1412" s="1012" t="str">
        <f>VLOOKUP($B1412,DG!A:D,DG!$B$2,)</f>
        <v>04.4203</v>
      </c>
      <c r="F1412" s="1013" t="str">
        <f>VLOOKUP($B1412,DG!A:D,DG!$C$2,)&amp;":"</f>
        <v>Lắp cáp đồng xuống thiết bị D &gt; 150mm2:</v>
      </c>
      <c r="G1412" s="1012" t="str">
        <f>VLOOKUP($B1412,DG!A:D,DG!$D$2,)</f>
        <v>m</v>
      </c>
      <c r="H1412" s="1713">
        <f t="shared" si="59"/>
        <v>9</v>
      </c>
      <c r="I1412" s="1192">
        <f>IF(M1412=$M$23,H1412+J1412-K1412,0)</f>
        <v>0</v>
      </c>
      <c r="J1412" s="1014"/>
      <c r="K1412" s="1014"/>
      <c r="L1412" s="1043"/>
      <c r="M1412" s="934">
        <v>250</v>
      </c>
    </row>
    <row r="1413" spans="1:13" s="1016" customFormat="1" ht="25.2" hidden="1" customHeight="1">
      <c r="A1413" s="1086">
        <f t="shared" si="57"/>
        <v>0</v>
      </c>
      <c r="B1413" s="1087" t="s">
        <v>2006</v>
      </c>
      <c r="C1413" s="2842">
        <v>10</v>
      </c>
      <c r="D1413" s="1023"/>
      <c r="E1413" s="1012" t="str">
        <f>VLOOKUP($B1413,DG!A:D,DG!$B$2,)</f>
        <v>04.4202</v>
      </c>
      <c r="F1413" s="1013" t="str">
        <f>VLOOKUP($B1413,DG!A:D,DG!$C$2,)&amp;":"</f>
        <v>Lắp cáp đồng xuống thiết bị D ≤ 150mm2:</v>
      </c>
      <c r="G1413" s="1012" t="str">
        <f>VLOOKUP($B1413,DG!A:D,DG!$D$2,)</f>
        <v>m</v>
      </c>
      <c r="H1413" s="1713">
        <f t="shared" si="59"/>
        <v>10</v>
      </c>
      <c r="I1413" s="1192">
        <f>IF(M1413=$M$23,H1413+J1413-K1413,0)</f>
        <v>0</v>
      </c>
      <c r="J1413" s="1014"/>
      <c r="K1413" s="1014"/>
      <c r="L1413" s="1043"/>
      <c r="M1413" s="934">
        <v>250</v>
      </c>
    </row>
    <row r="1414" spans="1:13" s="1016" customFormat="1" ht="25.2" hidden="1" customHeight="1">
      <c r="A1414" s="1086">
        <f t="shared" si="57"/>
        <v>0</v>
      </c>
      <c r="B1414" s="1087" t="s">
        <v>1219</v>
      </c>
      <c r="C1414" s="2842">
        <v>1</v>
      </c>
      <c r="D1414" s="1023"/>
      <c r="E1414" s="1012" t="str">
        <f>VLOOKUP($B1414,DG!A:D,DG!$B$2,)</f>
        <v>06.3191</v>
      </c>
      <c r="F1414" s="1013" t="str">
        <f>VLOOKUP($B1414,DG!A:D,DG!$C$2,)&amp;":"</f>
        <v>Bảng tên trạm, bảng báo nguy hiểm + đinh vít:</v>
      </c>
      <c r="G1414" s="1012" t="str">
        <f>VLOOKUP($B1414,DG!A:D,DG!$D$2,)</f>
        <v>bộ</v>
      </c>
      <c r="H1414" s="1713">
        <f t="shared" si="59"/>
        <v>1</v>
      </c>
      <c r="I1414" s="1192">
        <f t="shared" si="58"/>
        <v>0</v>
      </c>
      <c r="J1414" s="1014"/>
      <c r="K1414" s="1014"/>
      <c r="L1414" s="1043"/>
      <c r="M1414" s="934">
        <v>250</v>
      </c>
    </row>
    <row r="1415" spans="1:13" s="1016" customFormat="1" ht="25.2" hidden="1" customHeight="1">
      <c r="A1415" s="1086">
        <f t="shared" si="57"/>
        <v>0</v>
      </c>
      <c r="B1415" s="1087"/>
      <c r="C1415" s="2842"/>
      <c r="D1415" s="1017">
        <f>IF(H1415&gt;0,D1391+1,D1391)</f>
        <v>5</v>
      </c>
      <c r="E1415" s="1018"/>
      <c r="F1415" s="1027" t="s">
        <v>3729</v>
      </c>
      <c r="G1415" s="1017" t="s">
        <v>2385</v>
      </c>
      <c r="H1415" s="1743"/>
      <c r="I1415" s="1192">
        <f t="shared" si="58"/>
        <v>0</v>
      </c>
      <c r="J1415" s="1014"/>
      <c r="K1415" s="1014"/>
      <c r="L1415" s="1043"/>
      <c r="M1415" s="934">
        <v>250</v>
      </c>
    </row>
    <row r="1416" spans="1:13" s="1067" customFormat="1" ht="25.2" hidden="1" customHeight="1">
      <c r="A1416" s="1086">
        <f t="shared" si="57"/>
        <v>0</v>
      </c>
      <c r="B1416" s="1257"/>
      <c r="C1416" s="2859"/>
      <c r="D1416" s="1011"/>
      <c r="E1416" s="1021"/>
      <c r="F1416" s="1268" t="s">
        <v>2279</v>
      </c>
      <c r="G1416" s="1011"/>
      <c r="H1416" s="1723"/>
      <c r="I1416" s="1192">
        <f t="shared" si="58"/>
        <v>0</v>
      </c>
      <c r="J1416" s="1014"/>
      <c r="K1416" s="1014"/>
      <c r="L1416" s="1043"/>
      <c r="M1416" s="934">
        <v>250</v>
      </c>
    </row>
    <row r="1417" spans="1:13" s="1016" customFormat="1" ht="25.2" hidden="1" customHeight="1">
      <c r="A1417" s="1086">
        <f t="shared" si="57"/>
        <v>0</v>
      </c>
      <c r="B1417" s="1226" t="s">
        <v>1822</v>
      </c>
      <c r="C1417" s="2841"/>
      <c r="D1417" s="1043"/>
      <c r="E1417" s="1012" t="str">
        <f>VLOOKUP($B1417,DG!A:D,DG!$B$2,)</f>
        <v>03.1401</v>
      </c>
      <c r="F1417" s="1041" t="str">
        <f>VLOOKUP($B1417,DG!A:D,DG!$C$2,)</f>
        <v xml:space="preserve">Cáp CVV 4x2,5mm2  </v>
      </c>
      <c r="G1417" s="1068" t="str">
        <f>VLOOKUP($B1417,DG!A:D,DG!$D$2,)</f>
        <v>mét</v>
      </c>
      <c r="H1417" s="1713">
        <f>H1415*26</f>
        <v>0</v>
      </c>
      <c r="I1417" s="1192">
        <f t="shared" si="58"/>
        <v>0</v>
      </c>
      <c r="J1417" s="1064"/>
      <c r="K1417" s="1064"/>
      <c r="L1417" s="1043"/>
      <c r="M1417" s="934">
        <v>250</v>
      </c>
    </row>
    <row r="1418" spans="1:13" s="1016" customFormat="1" ht="25.2" hidden="1" customHeight="1">
      <c r="A1418" s="1086">
        <f t="shared" si="57"/>
        <v>0</v>
      </c>
      <c r="B1418" s="1226" t="s">
        <v>246</v>
      </c>
      <c r="C1418" s="2841"/>
      <c r="D1418" s="1043"/>
      <c r="E1418" s="1012" t="str">
        <f>VLOOKUP($B1418,DG!A:D,DG!$B$2,)</f>
        <v>05.6101</v>
      </c>
      <c r="F1418" s="1041" t="str">
        <f>VLOOKUP($B1418,DG!A:D,DG!$C$2,)</f>
        <v>Xà kẹp TU, TI U50x32x4 350</v>
      </c>
      <c r="G1418" s="1068" t="str">
        <f>VLOOKUP($B1418,DG!A:D,DG!$D$2,)</f>
        <v>Bộ</v>
      </c>
      <c r="H1418" s="1713">
        <f>H1415*24</f>
        <v>0</v>
      </c>
      <c r="I1418" s="1192">
        <f t="shared" si="58"/>
        <v>0</v>
      </c>
      <c r="J1418" s="1064"/>
      <c r="K1418" s="1064"/>
      <c r="L1418" s="1043"/>
      <c r="M1418" s="934">
        <v>250</v>
      </c>
    </row>
    <row r="1419" spans="1:13" s="1016" customFormat="1" ht="25.2" hidden="1" customHeight="1">
      <c r="A1419" s="1086">
        <f t="shared" si="57"/>
        <v>0</v>
      </c>
      <c r="B1419" s="1226" t="s">
        <v>1865</v>
      </c>
      <c r="C1419" s="2841"/>
      <c r="D1419" s="1023"/>
      <c r="E1419" s="1012" t="str">
        <f>VLOOKUP($B1419,DG!A:D,DG!$B$2,)</f>
        <v>03.4001</v>
      </c>
      <c r="F1419" s="1041" t="str">
        <f>VLOOKUP($B1419,DG!A:D,DG!$C$2,)</f>
        <v xml:space="preserve">Đầu cosse ép Cu 2,5mm2 + bao PVC </v>
      </c>
      <c r="G1419" s="1068" t="str">
        <f>VLOOKUP($B1419,DG!A:D,DG!$D$2,)</f>
        <v>cái</v>
      </c>
      <c r="H1419" s="1713">
        <f>H1415*16</f>
        <v>0</v>
      </c>
      <c r="I1419" s="1192">
        <f t="shared" si="58"/>
        <v>0</v>
      </c>
      <c r="J1419" s="1064"/>
      <c r="K1419" s="1064"/>
      <c r="L1419" s="1043"/>
      <c r="M1419" s="934">
        <v>250</v>
      </c>
    </row>
    <row r="1420" spans="1:13" s="1016" customFormat="1" ht="25.2" hidden="1" customHeight="1">
      <c r="A1420" s="1086">
        <f t="shared" si="57"/>
        <v>0</v>
      </c>
      <c r="B1420" s="1226" t="s">
        <v>1510</v>
      </c>
      <c r="C1420" s="2841"/>
      <c r="D1420" s="1023"/>
      <c r="E1420" s="1012">
        <f>VLOOKUP($B1420,DG!A:D,DG!$B$2,)</f>
        <v>0</v>
      </c>
      <c r="F1420" s="1041" t="str">
        <f>VLOOKUP($B1420,DG!A:D,DG!$C$2,)</f>
        <v>Dây điện đôi 16/10</v>
      </c>
      <c r="G1420" s="1068" t="str">
        <f>VLOOKUP($B1420,DG!A:D,DG!$D$2,)</f>
        <v>mét</v>
      </c>
      <c r="H1420" s="1713">
        <f>2*H1415</f>
        <v>0</v>
      </c>
      <c r="I1420" s="1192">
        <f t="shared" si="58"/>
        <v>0</v>
      </c>
      <c r="J1420" s="1064"/>
      <c r="K1420" s="1064"/>
      <c r="L1420" s="1043"/>
      <c r="M1420" s="934">
        <v>250</v>
      </c>
    </row>
    <row r="1421" spans="1:13" s="1016" customFormat="1" ht="25.2" hidden="1" customHeight="1">
      <c r="A1421" s="1086">
        <f t="shared" si="57"/>
        <v>0</v>
      </c>
      <c r="B1421" s="1226" t="s">
        <v>1114</v>
      </c>
      <c r="C1421" s="2841"/>
      <c r="D1421" s="1023"/>
      <c r="E1421" s="1012">
        <f>VLOOKUP($B1421,DG!A:D,DG!$B$2,)</f>
        <v>0</v>
      </c>
      <c r="F1421" s="1041" t="str">
        <f>VLOOKUP($B1421,DG!A:D,DG!$C$2,)&amp;" (ñaáu TU )"</f>
        <v>Kẹp ép cỡ dây 25mm2 (ñaáu TU )</v>
      </c>
      <c r="G1421" s="1068" t="str">
        <f>VLOOKUP($B1421,DG!A:D,DG!$D$2,)</f>
        <v>cái</v>
      </c>
      <c r="H1421" s="1713">
        <f>+H1415*3</f>
        <v>0</v>
      </c>
      <c r="I1421" s="1192">
        <f t="shared" si="58"/>
        <v>0</v>
      </c>
      <c r="J1421" s="1064"/>
      <c r="K1421" s="1064"/>
      <c r="L1421" s="1043"/>
      <c r="M1421" s="934">
        <v>250</v>
      </c>
    </row>
    <row r="1422" spans="1:13" s="1016" customFormat="1" ht="25.2" hidden="1" customHeight="1">
      <c r="A1422" s="1086">
        <f t="shared" si="57"/>
        <v>0</v>
      </c>
      <c r="B1422" s="1226" t="s">
        <v>2141</v>
      </c>
      <c r="C1422" s="2841"/>
      <c r="D1422" s="1023"/>
      <c r="E1422" s="1012" t="str">
        <f>VLOOKUP($B1422,DG!A:D,DG!$B$2,)</f>
        <v>07.2403</v>
      </c>
      <c r="F1422" s="1041" t="str">
        <f>VLOOKUP($B1422,DG!A:D,DG!$C$2,)</f>
        <v>Ống PVC D42x2,1mm</v>
      </c>
      <c r="G1422" s="1068" t="str">
        <f>VLOOKUP($B1422,DG!A:D,DG!$D$2,)</f>
        <v>m</v>
      </c>
      <c r="H1422" s="1713">
        <f>H1415*16</f>
        <v>0</v>
      </c>
      <c r="I1422" s="1192">
        <f t="shared" si="58"/>
        <v>0</v>
      </c>
      <c r="J1422" s="1064"/>
      <c r="K1422" s="1064"/>
      <c r="L1422" s="1043"/>
      <c r="M1422" s="934">
        <v>250</v>
      </c>
    </row>
    <row r="1423" spans="1:13" s="1016" customFormat="1" ht="25.2" hidden="1" customHeight="1">
      <c r="A1423" s="1086">
        <f t="shared" si="57"/>
        <v>0</v>
      </c>
      <c r="B1423" s="1087" t="s">
        <v>204</v>
      </c>
      <c r="C1423" s="2842"/>
      <c r="D1423" s="1023"/>
      <c r="E1423" s="1012" t="str">
        <f>VLOOKUP($B1423,DG!A:D,DG!$B$2,)</f>
        <v>06.3231</v>
      </c>
      <c r="F1423" s="1041" t="str">
        <f>VLOOKUP($B1423,DG!A:D,DG!$C$2,)</f>
        <v>Cổ dê giữ ống PVC D42</v>
      </c>
      <c r="G1423" s="1068" t="str">
        <f>VLOOKUP($B1423,DG!A:D,DG!$D$2,)</f>
        <v>bộ</v>
      </c>
      <c r="H1423" s="1713">
        <f>H1415*4</f>
        <v>0</v>
      </c>
      <c r="I1423" s="1192">
        <f t="shared" si="58"/>
        <v>0</v>
      </c>
      <c r="J1423" s="1064"/>
      <c r="K1423" s="1064"/>
      <c r="L1423" s="1043"/>
      <c r="M1423" s="934">
        <v>250</v>
      </c>
    </row>
    <row r="1424" spans="1:13" s="1016" customFormat="1" ht="25.2" hidden="1" customHeight="1">
      <c r="A1424" s="1086">
        <f t="shared" si="57"/>
        <v>0</v>
      </c>
      <c r="B1424" s="1226" t="s">
        <v>1616</v>
      </c>
      <c r="C1424" s="2841"/>
      <c r="D1424" s="1023"/>
      <c r="E1424" s="1012">
        <f>VLOOKUP($B1424,DG!A:D,DG!$B$2,)</f>
        <v>0</v>
      </c>
      <c r="F1424" s="1041" t="str">
        <f>VLOOKUP($B1424,DG!A:D,DG!$C$2,)</f>
        <v>Co 90 độ PVC 42</v>
      </c>
      <c r="G1424" s="1068" t="str">
        <f>VLOOKUP($B1424,DG!A:D,DG!$D$2,)</f>
        <v>cái</v>
      </c>
      <c r="H1424" s="1713">
        <f>H1415*5</f>
        <v>0</v>
      </c>
      <c r="I1424" s="1192">
        <f t="shared" si="58"/>
        <v>0</v>
      </c>
      <c r="J1424" s="1064"/>
      <c r="K1424" s="1064"/>
      <c r="L1424" s="1043"/>
      <c r="M1424" s="934">
        <v>250</v>
      </c>
    </row>
    <row r="1425" spans="1:13" s="1016" customFormat="1" ht="25.2" hidden="1" customHeight="1">
      <c r="A1425" s="1086">
        <f t="shared" si="57"/>
        <v>0</v>
      </c>
      <c r="B1425" s="1226" t="s">
        <v>1050</v>
      </c>
      <c r="C1425" s="2841"/>
      <c r="D1425" s="1023"/>
      <c r="E1425" s="1012">
        <f>VLOOKUP($B1425,DG!A:D,DG!$B$2,)</f>
        <v>0</v>
      </c>
      <c r="F1425" s="1041" t="str">
        <f>VLOOKUP($B1425,DG!A:D,DG!$C$2,)</f>
        <v>Co chữ T ống PVC 42</v>
      </c>
      <c r="G1425" s="1068" t="str">
        <f>VLOOKUP($B1425,DG!A:D,DG!$D$2,)</f>
        <v>cái</v>
      </c>
      <c r="H1425" s="1713">
        <f>H1415*5</f>
        <v>0</v>
      </c>
      <c r="I1425" s="1192">
        <f t="shared" si="58"/>
        <v>0</v>
      </c>
      <c r="J1425" s="1064"/>
      <c r="K1425" s="1064"/>
      <c r="L1425" s="1043"/>
      <c r="M1425" s="934">
        <v>250</v>
      </c>
    </row>
    <row r="1426" spans="1:13" s="1016" customFormat="1" ht="25.2" hidden="1" customHeight="1">
      <c r="A1426" s="1086">
        <f t="shared" si="57"/>
        <v>0</v>
      </c>
      <c r="B1426" s="1226" t="s">
        <v>1913</v>
      </c>
      <c r="C1426" s="2841"/>
      <c r="D1426" s="1023"/>
      <c r="E1426" s="1012">
        <f>VLOOKUP($B1426,DG!A:D,DG!$B$2,)</f>
        <v>0</v>
      </c>
      <c r="F1426" s="1041" t="str">
        <f>VLOOKUP($B1426,DG!A:D,DG!$C$2,)</f>
        <v>Nối thẳng ống PVC 42</v>
      </c>
      <c r="G1426" s="1068" t="str">
        <f>VLOOKUP($B1426,DG!A:D,DG!$D$2,)</f>
        <v>cái</v>
      </c>
      <c r="H1426" s="1713">
        <f>H1415</f>
        <v>0</v>
      </c>
      <c r="I1426" s="1192">
        <f t="shared" si="58"/>
        <v>0</v>
      </c>
      <c r="J1426" s="1064"/>
      <c r="K1426" s="1064"/>
      <c r="L1426" s="1043"/>
      <c r="M1426" s="934">
        <v>250</v>
      </c>
    </row>
    <row r="1427" spans="1:13" s="1016" customFormat="1" ht="25.2" hidden="1" customHeight="1">
      <c r="A1427" s="1086">
        <f t="shared" si="57"/>
        <v>0</v>
      </c>
      <c r="B1427" s="1226" t="s">
        <v>697</v>
      </c>
      <c r="C1427" s="2841"/>
      <c r="D1427" s="1023"/>
      <c r="E1427" s="1012">
        <f>VLOOKUP($B1427,DG!A:D,DG!$B$2,)</f>
        <v>0</v>
      </c>
      <c r="F1427" s="1041" t="str">
        <f>VLOOKUP($B1427,DG!A:D,DG!$C$2,)&amp;" ñaáu TU"</f>
        <v>Cáp 24KV C/XLPE/PVC 25mm2 ñaáu TU</v>
      </c>
      <c r="G1427" s="1068" t="str">
        <f>VLOOKUP($B1427,DG!A:D,DG!$D$2,)</f>
        <v>mét</v>
      </c>
      <c r="H1427" s="1713">
        <f>H1415*2.5*3*0</f>
        <v>0</v>
      </c>
      <c r="I1427" s="1192">
        <f t="shared" si="58"/>
        <v>0</v>
      </c>
      <c r="J1427" s="1064"/>
      <c r="K1427" s="1064"/>
      <c r="L1427" s="1043"/>
      <c r="M1427" s="934">
        <v>250</v>
      </c>
    </row>
    <row r="1428" spans="1:13" s="1016" customFormat="1" ht="25.2" hidden="1" customHeight="1">
      <c r="A1428" s="1086">
        <f t="shared" si="57"/>
        <v>0</v>
      </c>
      <c r="B1428" s="1226" t="s">
        <v>726</v>
      </c>
      <c r="C1428" s="2841"/>
      <c r="D1428" s="1023"/>
      <c r="E1428" s="1012">
        <f>VLOOKUP($B1428,DG!A:D,DG!$B$2,)</f>
        <v>0</v>
      </c>
      <c r="F1428" s="1041" t="str">
        <f>VLOOKUP($B1428,DG!A:D,DG!$C$2,)</f>
        <v>Keo dán ống PVC (500gr)</v>
      </c>
      <c r="G1428" s="1068" t="str">
        <f>VLOOKUP($B1428,DG!A:D,DG!$D$2,)</f>
        <v>lon</v>
      </c>
      <c r="H1428" s="1713">
        <f>H1415</f>
        <v>0</v>
      </c>
      <c r="I1428" s="1192">
        <f t="shared" si="58"/>
        <v>0</v>
      </c>
      <c r="J1428" s="1064"/>
      <c r="K1428" s="1064"/>
      <c r="L1428" s="1043"/>
      <c r="M1428" s="934">
        <v>250</v>
      </c>
    </row>
    <row r="1429" spans="1:13" s="1016" customFormat="1" ht="25.2" hidden="1" customHeight="1">
      <c r="A1429" s="1086">
        <f t="shared" si="57"/>
        <v>0</v>
      </c>
      <c r="B1429" s="1087" t="s">
        <v>672</v>
      </c>
      <c r="C1429" s="2842"/>
      <c r="D1429" s="1023"/>
      <c r="E1429" s="1012">
        <f>VLOOKUP($B1429,DG!A:D,DG!$B$2,)</f>
        <v>0</v>
      </c>
      <c r="F1429" s="1041" t="str">
        <f>VLOOKUP($B1429,DG!A:D,DG!$C$2,)</f>
        <v>Băng keo cách điện</v>
      </c>
      <c r="G1429" s="1068" t="str">
        <f>VLOOKUP($B1429,DG!A:D,DG!$D$2,)</f>
        <v>cuộn</v>
      </c>
      <c r="H1429" s="1713">
        <f>H1415</f>
        <v>0</v>
      </c>
      <c r="I1429" s="1192">
        <f t="shared" si="58"/>
        <v>0</v>
      </c>
      <c r="J1429" s="1014"/>
      <c r="K1429" s="1014"/>
      <c r="L1429" s="1043"/>
      <c r="M1429" s="934">
        <v>250</v>
      </c>
    </row>
    <row r="1430" spans="1:13" s="1016" customFormat="1" ht="25.2" hidden="1" customHeight="1">
      <c r="A1430" s="1086">
        <f t="shared" si="57"/>
        <v>0</v>
      </c>
      <c r="B1430" s="1226" t="s">
        <v>2120</v>
      </c>
      <c r="C1430" s="2841"/>
      <c r="D1430" s="1023"/>
      <c r="E1430" s="1012">
        <f>VLOOKUP($B1430,DG!A:D,DG!$B$2,)</f>
        <v>0</v>
      </c>
      <c r="F1430" s="1041" t="str">
        <f>VLOOKUP($B1430,DG!A:D,DG!$C$2,)</f>
        <v>Khâu ven răng trong D42</v>
      </c>
      <c r="G1430" s="1068" t="str">
        <f>VLOOKUP($B1430,DG!A:D,DG!$D$2,)</f>
        <v>cái</v>
      </c>
      <c r="H1430" s="1713">
        <f>H1415</f>
        <v>0</v>
      </c>
      <c r="I1430" s="1192">
        <f t="shared" si="58"/>
        <v>0</v>
      </c>
      <c r="J1430" s="1014"/>
      <c r="K1430" s="1014"/>
      <c r="L1430" s="1043"/>
      <c r="M1430" s="934">
        <v>250</v>
      </c>
    </row>
    <row r="1431" spans="1:13" s="1016" customFormat="1" ht="25.2" hidden="1" customHeight="1">
      <c r="A1431" s="1086">
        <f t="shared" si="57"/>
        <v>0</v>
      </c>
      <c r="B1431" s="1087" t="s">
        <v>959</v>
      </c>
      <c r="C1431" s="2842"/>
      <c r="D1431" s="1023"/>
      <c r="E1431" s="1012">
        <f>VLOOKUP($B1431,DG!A:D,DG!$B$2,)</f>
        <v>0</v>
      </c>
      <c r="F1431" s="1041" t="str">
        <f>VLOOKUP($B1431,DG!A:D,DG!$C$2,)</f>
        <v>Khâu ven răng ngoài D42</v>
      </c>
      <c r="G1431" s="1068" t="str">
        <f>VLOOKUP($B1431,DG!A:D,DG!$D$2,)</f>
        <v>cái</v>
      </c>
      <c r="H1431" s="1713">
        <f>H1415</f>
        <v>0</v>
      </c>
      <c r="I1431" s="1192">
        <f t="shared" si="58"/>
        <v>0</v>
      </c>
      <c r="J1431" s="1014"/>
      <c r="K1431" s="1014"/>
      <c r="L1431" s="1043"/>
      <c r="M1431" s="934">
        <v>250</v>
      </c>
    </row>
    <row r="1432" spans="1:13" s="1016" customFormat="1" ht="25.2" hidden="1" customHeight="1">
      <c r="A1432" s="1086">
        <f t="shared" si="57"/>
        <v>0</v>
      </c>
      <c r="B1432" s="1087" t="s">
        <v>319</v>
      </c>
      <c r="C1432" s="2842"/>
      <c r="D1432" s="1023"/>
      <c r="E1432" s="1012" t="str">
        <f>VLOOKUP($B1432,DG!A:D,DG!$B$2,)</f>
        <v>06.3231</v>
      </c>
      <c r="F1432" s="1041" t="str">
        <f>VLOOKUP($B1432,DG!A:D,DG!$C$2,)</f>
        <v>Cổ dê CDĐKĐT( bắt thùng điện kế)</v>
      </c>
      <c r="G1432" s="1068" t="str">
        <f>VLOOKUP($B1432,DG!A:D,DG!$D$2,)</f>
        <v>bộ</v>
      </c>
      <c r="H1432" s="1744">
        <f>H1415*2*0</f>
        <v>0</v>
      </c>
      <c r="I1432" s="1192">
        <f t="shared" si="58"/>
        <v>0</v>
      </c>
      <c r="J1432" s="1014"/>
      <c r="K1432" s="1014"/>
      <c r="L1432" s="1015"/>
      <c r="M1432" s="934">
        <v>250</v>
      </c>
    </row>
    <row r="1433" spans="1:13" s="1016" customFormat="1" ht="25.2" hidden="1" customHeight="1">
      <c r="A1433" s="1086">
        <f t="shared" si="57"/>
        <v>0</v>
      </c>
      <c r="B1433" s="1087" t="s">
        <v>1915</v>
      </c>
      <c r="C1433" s="2842"/>
      <c r="D1433" s="1023"/>
      <c r="E1433" s="1012" t="str">
        <f>VLOOKUP($B1433,DG!A:D,DG!$B$2,)</f>
        <v>05.1101</v>
      </c>
      <c r="F1433" s="1041" t="str">
        <f>VLOOKUP($B1433,DG!A:D,DG!$C$2,)</f>
        <v>Thùng điện kế 450x300x200mm đo đếm trung thế</v>
      </c>
      <c r="G1433" s="1068" t="str">
        <f>VLOOKUP($B1433,DG!A:D,DG!$D$2,)</f>
        <v>cái</v>
      </c>
      <c r="H1433" s="1713">
        <f>H1415*0</f>
        <v>0</v>
      </c>
      <c r="I1433" s="1192">
        <f t="shared" si="58"/>
        <v>0</v>
      </c>
      <c r="J1433" s="1014"/>
      <c r="K1433" s="1014"/>
      <c r="L1433" s="1043"/>
      <c r="M1433" s="934">
        <v>250</v>
      </c>
    </row>
    <row r="1434" spans="1:13" s="1016" customFormat="1" ht="25.2" hidden="1" customHeight="1">
      <c r="A1434" s="1086">
        <f t="shared" ref="A1434:A1497" si="60">IF(AND(M1434=$M$23,I1434&gt;0),1,0)</f>
        <v>0</v>
      </c>
      <c r="B1434" s="1087" t="s">
        <v>6</v>
      </c>
      <c r="C1434" s="2842"/>
      <c r="D1434" s="1023"/>
      <c r="E1434" s="1012">
        <f>VLOOKUP($B1434,DG!A:D,DG!$B$2,)</f>
        <v>0</v>
      </c>
      <c r="F1434" s="1041" t="str">
        <f>VLOOKUP($B1434,DG!A:D,DG!$C$2,)</f>
        <v>Keo silicon bít miệng ống</v>
      </c>
      <c r="G1434" s="1068" t="str">
        <f>VLOOKUP($B1434,DG!A:D,DG!$D$2,)</f>
        <v>ống</v>
      </c>
      <c r="H1434" s="1713">
        <f>H1415</f>
        <v>0</v>
      </c>
      <c r="I1434" s="1192">
        <f t="shared" si="58"/>
        <v>0</v>
      </c>
      <c r="J1434" s="1014"/>
      <c r="K1434" s="1014"/>
      <c r="L1434" s="1043"/>
      <c r="M1434" s="934">
        <v>250</v>
      </c>
    </row>
    <row r="1435" spans="1:13" s="1016" customFormat="1" ht="25.2" hidden="1" customHeight="1">
      <c r="A1435" s="1086">
        <f t="shared" si="60"/>
        <v>0</v>
      </c>
      <c r="B1435" s="1087" t="s">
        <v>2139</v>
      </c>
      <c r="C1435" s="2842"/>
      <c r="D1435" s="1023"/>
      <c r="E1435" s="1012">
        <f>VLOOKUP($B1435,DG!A:D,DG!$B$2,)</f>
        <v>0</v>
      </c>
      <c r="F1435" s="1041" t="str">
        <f>VLOOKUP($B1435,DG!A:D,DG!$C$2,)</f>
        <v>Dây đồng trần mềm dẹt</v>
      </c>
      <c r="G1435" s="1068" t="str">
        <f>VLOOKUP($B1435,DG!A:D,DG!$D$2,)</f>
        <v>mét</v>
      </c>
      <c r="H1435" s="1713">
        <f>H1415*4</f>
        <v>0</v>
      </c>
      <c r="I1435" s="1192">
        <f t="shared" si="58"/>
        <v>0</v>
      </c>
      <c r="J1435" s="1014"/>
      <c r="K1435" s="1014"/>
      <c r="L1435" s="1043"/>
      <c r="M1435" s="934">
        <v>250</v>
      </c>
    </row>
    <row r="1436" spans="1:13" s="1016" customFormat="1" ht="25.2" hidden="1" customHeight="1">
      <c r="A1436" s="1086">
        <f t="shared" si="60"/>
        <v>0</v>
      </c>
      <c r="B1436" s="1087" t="s">
        <v>1219</v>
      </c>
      <c r="C1436" s="2842"/>
      <c r="D1436" s="1023"/>
      <c r="E1436" s="1012" t="str">
        <f>VLOOKUP($B1436,DG!A:D,DG!$B$2,)</f>
        <v>06.3191</v>
      </c>
      <c r="F1436" s="1041" t="str">
        <f>VLOOKUP($B1436,DG!A:D,DG!$C$2,)</f>
        <v>Bảng tên trạm, bảng báo nguy hiểm + đinh vít</v>
      </c>
      <c r="G1436" s="1068" t="str">
        <f>VLOOKUP($B1436,DG!A:D,DG!$D$2,)</f>
        <v>bộ</v>
      </c>
      <c r="H1436" s="1713">
        <f>H1415</f>
        <v>0</v>
      </c>
      <c r="I1436" s="1192">
        <f t="shared" si="58"/>
        <v>0</v>
      </c>
      <c r="J1436" s="1014"/>
      <c r="K1436" s="1014"/>
      <c r="L1436" s="1043"/>
      <c r="M1436" s="934">
        <v>250</v>
      </c>
    </row>
    <row r="1437" spans="1:13" s="1016" customFormat="1" ht="25.2" hidden="1" customHeight="1">
      <c r="A1437" s="1086">
        <f t="shared" si="60"/>
        <v>0</v>
      </c>
      <c r="B1437" s="1087" t="s">
        <v>1350</v>
      </c>
      <c r="C1437" s="2842"/>
      <c r="D1437" s="1023"/>
      <c r="E1437" s="1012">
        <f>VLOOKUP($B1437,DG!A:D,DG!$B$2,)</f>
        <v>0</v>
      </c>
      <c r="F1437" s="1041" t="str">
        <f>VLOOKUP($B1437,DG!A:D,DG!$C$2,)&amp;" baét thuøng ÑKÑT"</f>
        <v>Boulon 12x60+ 2 long đền vuông D14-50x50x3/Zn baét thuøng ÑKÑT</v>
      </c>
      <c r="G1437" s="1068" t="str">
        <f>VLOOKUP($B1437,DG!A:D,DG!$D$2,)</f>
        <v>bộ</v>
      </c>
      <c r="H1437" s="1713">
        <f>4*H1415*0</f>
        <v>0</v>
      </c>
      <c r="I1437" s="1192">
        <f t="shared" si="58"/>
        <v>0</v>
      </c>
      <c r="J1437" s="1014"/>
      <c r="K1437" s="1014"/>
      <c r="L1437" s="1043"/>
      <c r="M1437" s="934">
        <v>250</v>
      </c>
    </row>
    <row r="1438" spans="1:13" s="1016" customFormat="1" ht="25.2" hidden="1" customHeight="1">
      <c r="A1438" s="1086">
        <f t="shared" si="60"/>
        <v>0</v>
      </c>
      <c r="B1438" s="1087"/>
      <c r="C1438" s="2842"/>
      <c r="D1438" s="1048"/>
      <c r="E1438" s="1049"/>
      <c r="F1438" s="1038" t="s">
        <v>3730</v>
      </c>
      <c r="G1438" s="1038"/>
      <c r="H1438" s="1730"/>
      <c r="I1438" s="1192">
        <f t="shared" si="58"/>
        <v>0</v>
      </c>
      <c r="J1438" s="1038"/>
      <c r="K1438" s="1038"/>
      <c r="L1438" s="1069"/>
      <c r="M1438" s="934">
        <v>250</v>
      </c>
    </row>
    <row r="1439" spans="1:13" s="1016" customFormat="1" ht="25.2" hidden="1" customHeight="1">
      <c r="A1439" s="1086">
        <f t="shared" si="60"/>
        <v>0</v>
      </c>
      <c r="B1439" s="1087" t="s">
        <v>966</v>
      </c>
      <c r="C1439" s="2842"/>
      <c r="D1439" s="1023"/>
      <c r="E1439" s="1012" t="str">
        <f>VLOOKUP($B1439,DG!A:D,DG!$B$2,)</f>
        <v>02.5114</v>
      </c>
      <c r="F1439" s="1041" t="s">
        <v>3731</v>
      </c>
      <c r="G1439" s="1068" t="str">
        <f>VLOOKUP($B1439,DG!A:D,DG!$D$2,)</f>
        <v>cái</v>
      </c>
      <c r="H1439" s="1713"/>
      <c r="I1439" s="1192">
        <f t="shared" si="58"/>
        <v>0</v>
      </c>
      <c r="J1439" s="1014"/>
      <c r="K1439" s="1014"/>
      <c r="L1439" s="1043" t="s">
        <v>3732</v>
      </c>
      <c r="M1439" s="934">
        <v>250</v>
      </c>
    </row>
    <row r="1440" spans="1:13" s="1016" customFormat="1" ht="25.2" hidden="1" customHeight="1">
      <c r="A1440" s="1086">
        <f t="shared" si="60"/>
        <v>0</v>
      </c>
      <c r="B1440" s="1087" t="s">
        <v>1906</v>
      </c>
      <c r="C1440" s="2842"/>
      <c r="D1440" s="1023"/>
      <c r="E1440" s="1012" t="str">
        <f>VLOOKUP($B1440,DG!A:D,DG!$B$2,)</f>
        <v>05.6011</v>
      </c>
      <c r="F1440" s="1041" t="s">
        <v>2461</v>
      </c>
      <c r="G1440" s="1068" t="str">
        <f>VLOOKUP($B1440,DG!A:D,DG!$D$2,)</f>
        <v>bộ</v>
      </c>
      <c r="H1440" s="1713"/>
      <c r="I1440" s="1192">
        <f t="shared" si="58"/>
        <v>0</v>
      </c>
      <c r="J1440" s="1014"/>
      <c r="K1440" s="1014"/>
      <c r="L1440" s="1015"/>
      <c r="M1440" s="934">
        <v>250</v>
      </c>
    </row>
    <row r="1441" spans="1:13" s="1016" customFormat="1" ht="25.2" hidden="1" customHeight="1">
      <c r="A1441" s="1086">
        <f t="shared" si="60"/>
        <v>0</v>
      </c>
      <c r="B1441" s="1087"/>
      <c r="C1441" s="2842"/>
      <c r="D1441" s="1070"/>
      <c r="E1441" s="1071"/>
      <c r="F1441" s="1038"/>
      <c r="G1441" s="1072"/>
      <c r="H1441" s="1733"/>
      <c r="I1441" s="1192">
        <f t="shared" si="58"/>
        <v>0</v>
      </c>
      <c r="J1441" s="1073"/>
      <c r="K1441" s="1074"/>
      <c r="L1441" s="1040"/>
      <c r="M1441" s="934"/>
    </row>
    <row r="1442" spans="1:13" s="1016" customFormat="1" ht="25.2" hidden="1" customHeight="1">
      <c r="A1442" s="1086">
        <f t="shared" si="60"/>
        <v>0</v>
      </c>
      <c r="B1442" s="1087"/>
      <c r="C1442" s="2842"/>
      <c r="D1442" s="1075"/>
      <c r="F1442" s="1076"/>
      <c r="H1442" s="1735"/>
      <c r="I1442" s="1192">
        <f t="shared" si="58"/>
        <v>0</v>
      </c>
      <c r="M1442" s="934"/>
    </row>
    <row r="1443" spans="1:13" s="1016" customFormat="1" ht="25.2" hidden="1" customHeight="1">
      <c r="A1443" s="1086">
        <f t="shared" si="60"/>
        <v>0</v>
      </c>
      <c r="B1443" s="1250"/>
      <c r="C1443" s="2854"/>
      <c r="D1443" s="939" t="e">
        <f>"BAÛNG TOÅNG HÔÏP VAÄT LIEÄU, NHAÂN COÂNG, MAÙY THI COÂNG : "&amp;#REF!&amp;" TRAÏM 3P_320KVA ÑO ÑEÁM TRUNG THEÁ"</f>
        <v>#REF!</v>
      </c>
      <c r="E1443" s="939"/>
      <c r="F1443" s="939"/>
      <c r="G1443" s="939"/>
      <c r="H1443" s="1727"/>
      <c r="I1443" s="1192">
        <f t="shared" si="58"/>
        <v>0</v>
      </c>
      <c r="J1443" s="1077"/>
      <c r="K1443" s="1077"/>
      <c r="L1443" s="1078"/>
      <c r="M1443" s="934"/>
    </row>
    <row r="1444" spans="1:13" s="1016" customFormat="1" ht="25.2" hidden="1" customHeight="1">
      <c r="A1444" s="1086">
        <f t="shared" si="60"/>
        <v>0</v>
      </c>
      <c r="B1444" s="1226"/>
      <c r="C1444" s="2841"/>
      <c r="D1444" s="1036"/>
      <c r="E1444" s="1037"/>
      <c r="F1444" s="1038" t="s">
        <v>3672</v>
      </c>
      <c r="G1444" s="1039"/>
      <c r="H1444" s="1754"/>
      <c r="I1444" s="1192">
        <f t="shared" si="58"/>
        <v>0</v>
      </c>
      <c r="J1444" s="1039"/>
      <c r="K1444" s="1039"/>
      <c r="L1444" s="1040"/>
      <c r="M1444" s="934">
        <v>320</v>
      </c>
    </row>
    <row r="1445" spans="1:13" s="1016" customFormat="1" ht="25.2" hidden="1" customHeight="1">
      <c r="A1445" s="1086">
        <f t="shared" si="60"/>
        <v>0</v>
      </c>
      <c r="B1445" s="1227" t="s">
        <v>1841</v>
      </c>
      <c r="C1445" s="2840"/>
      <c r="D1445" s="1023">
        <f>IF(H1445&gt;0,1,0)</f>
        <v>0</v>
      </c>
      <c r="E1445" s="1012" t="str">
        <f>VLOOKUP($B1445,DG!A:D,DG!$B$2,)</f>
        <v>01.1145</v>
      </c>
      <c r="F1445" s="1013" t="str">
        <f>VLOOKUP($B1445,DG!A:D,DG!$C$2,)&amp;"-MBA siêu giảm tổn thất"</f>
        <v>Máy biến áp 22/0,4kV- 320kVA-MBA siêu giảm tổn thất</v>
      </c>
      <c r="G1445" s="1012" t="str">
        <f>VLOOKUP($B1445,DG!A:D,DG!$D$2,)</f>
        <v>máy</v>
      </c>
      <c r="H1445" s="1737">
        <f>L12</f>
        <v>0</v>
      </c>
      <c r="I1445" s="1192">
        <f t="shared" si="58"/>
        <v>0</v>
      </c>
      <c r="J1445" s="1041"/>
      <c r="K1445" s="1041"/>
      <c r="L1445" s="1042"/>
      <c r="M1445" s="934">
        <v>320</v>
      </c>
    </row>
    <row r="1446" spans="1:13" s="1016" customFormat="1" ht="25.2" hidden="1" customHeight="1">
      <c r="A1446" s="1086">
        <f t="shared" si="60"/>
        <v>0</v>
      </c>
      <c r="B1446" s="1227" t="s">
        <v>1652</v>
      </c>
      <c r="C1446" s="2840"/>
      <c r="D1446" s="1023">
        <f>IF(H1446&gt;0,D1445+1,D1445)</f>
        <v>0</v>
      </c>
      <c r="E1446" s="1012" t="str">
        <f>VLOOKUP($B1446,DG!A:D,DG!$B$2,)</f>
        <v>02.3155</v>
      </c>
      <c r="F1446" s="1013" t="str">
        <f>VLOOKUP($B1446,DG!A:D,DG!$C$2,)</f>
        <v>FCO 24kV - 100A</v>
      </c>
      <c r="G1446" s="1012" t="str">
        <f>VLOOKUP($B1446,DG!A:D,DG!$D$2,)</f>
        <v>cái</v>
      </c>
      <c r="H1446" s="1713">
        <f>H1445*3</f>
        <v>0</v>
      </c>
      <c r="I1446" s="1192">
        <f t="shared" si="58"/>
        <v>0</v>
      </c>
      <c r="J1446" s="1014"/>
      <c r="K1446" s="1014"/>
      <c r="L1446" s="1043"/>
      <c r="M1446" s="934">
        <v>320</v>
      </c>
    </row>
    <row r="1447" spans="1:13" s="1016" customFormat="1" ht="25.2" hidden="1" customHeight="1">
      <c r="A1447" s="1086">
        <f t="shared" si="60"/>
        <v>0</v>
      </c>
      <c r="B1447" s="1227" t="s">
        <v>4499</v>
      </c>
      <c r="C1447" s="2840"/>
      <c r="D1447" s="1023">
        <f t="shared" ref="D1447:D1453" si="61">IF(H1447&gt;0,D1446+1,D1446)</f>
        <v>0</v>
      </c>
      <c r="E1447" s="1012">
        <f>VLOOKUP($B1447,DG!A:D,DG!$B$2,)</f>
        <v>0</v>
      </c>
      <c r="F1447" s="1013" t="str">
        <f>VLOOKUP($B1447,DG!A:D,DG!$C$2,)</f>
        <v>Dây chảy 10K</v>
      </c>
      <c r="G1447" s="1012" t="str">
        <f>VLOOKUP($B1447,DG!A:D,DG!$D$2,)</f>
        <v>Sợi</v>
      </c>
      <c r="H1447" s="1713">
        <f>H1446</f>
        <v>0</v>
      </c>
      <c r="I1447" s="1192">
        <f t="shared" si="58"/>
        <v>0</v>
      </c>
      <c r="J1447" s="1014"/>
      <c r="K1447" s="1014"/>
      <c r="L1447" s="1043"/>
      <c r="M1447" s="934">
        <v>320</v>
      </c>
    </row>
    <row r="1448" spans="1:13" s="1016" customFormat="1" ht="25.2" hidden="1" customHeight="1">
      <c r="A1448" s="1086">
        <f t="shared" si="60"/>
        <v>0</v>
      </c>
      <c r="B1448" s="1226" t="s">
        <v>1373</v>
      </c>
      <c r="C1448" s="2841"/>
      <c r="D1448" s="1023">
        <f t="shared" si="61"/>
        <v>0</v>
      </c>
      <c r="E1448" s="1012" t="str">
        <f>VLOOKUP($B1448,DG!A:D,DG!$B$2,)</f>
        <v>02.5114</v>
      </c>
      <c r="F1448" s="1013" t="str">
        <f>VLOOKUP($B1448,DG!A:D,DG!$C$2,)</f>
        <v>Chống sét van LA-18KV-10KA</v>
      </c>
      <c r="G1448" s="1012" t="str">
        <f>VLOOKUP($B1448,DG!A:D,DG!$D$2,)</f>
        <v>cái</v>
      </c>
      <c r="H1448" s="1713">
        <f>H1446</f>
        <v>0</v>
      </c>
      <c r="I1448" s="1192">
        <f t="shared" si="58"/>
        <v>0</v>
      </c>
      <c r="J1448" s="1014"/>
      <c r="K1448" s="1014"/>
      <c r="L1448" s="1043"/>
      <c r="M1448" s="934">
        <v>320</v>
      </c>
    </row>
    <row r="1449" spans="1:13" s="1016" customFormat="1" ht="25.2" hidden="1" customHeight="1">
      <c r="A1449" s="1086">
        <f t="shared" si="60"/>
        <v>0</v>
      </c>
      <c r="B1449" s="1227" t="s">
        <v>1459</v>
      </c>
      <c r="C1449" s="2840"/>
      <c r="D1449" s="1023">
        <f t="shared" si="61"/>
        <v>0</v>
      </c>
      <c r="E1449" s="1012" t="str">
        <f>VLOOKUP($B1449,DG!A:D,DG!$B$2,)</f>
        <v>02.8403</v>
      </c>
      <c r="F1449" s="1013" t="str">
        <f>VLOOKUP($B1449,DG!A:D,DG!$C$2,)</f>
        <v>MCCB 3 cực 400V -500A - 50KA</v>
      </c>
      <c r="G1449" s="1012" t="str">
        <f>VLOOKUP($B1449,DG!A:D,DG!$D$2,)</f>
        <v>cái</v>
      </c>
      <c r="H1449" s="1713">
        <f>H1445</f>
        <v>0</v>
      </c>
      <c r="I1449" s="1192">
        <f t="shared" si="58"/>
        <v>0</v>
      </c>
      <c r="J1449" s="1014"/>
      <c r="K1449" s="1014"/>
      <c r="L1449" s="1043"/>
      <c r="M1449" s="934">
        <v>320</v>
      </c>
    </row>
    <row r="1450" spans="1:13" s="1016" customFormat="1" ht="25.2" hidden="1" customHeight="1">
      <c r="A1450" s="1086">
        <f t="shared" si="60"/>
        <v>0</v>
      </c>
      <c r="B1450" s="1227" t="s">
        <v>1458</v>
      </c>
      <c r="C1450" s="2840"/>
      <c r="D1450" s="1023">
        <f t="shared" si="61"/>
        <v>1</v>
      </c>
      <c r="E1450" s="1012" t="str">
        <f>VLOOKUP($B1450,DG!A:D,DG!$B$2,)</f>
        <v>02.8534</v>
      </c>
      <c r="F1450" s="1013" t="str">
        <f>VLOOKUP($B1450,DG!A:D,DG!$C$2,)</f>
        <v>Tủ tụ bù hạ thế 135kVAr</v>
      </c>
      <c r="G1450" s="1012" t="str">
        <f>VLOOKUP($B1450,DG!A:D,DG!$D$2,)</f>
        <v>tủ</v>
      </c>
      <c r="H1450" s="1713">
        <v>1</v>
      </c>
      <c r="I1450" s="1192">
        <f t="shared" si="58"/>
        <v>0</v>
      </c>
      <c r="J1450" s="1014"/>
      <c r="K1450" s="1014"/>
      <c r="L1450" s="1043"/>
      <c r="M1450" s="934">
        <v>320</v>
      </c>
    </row>
    <row r="1451" spans="1:13" s="1016" customFormat="1" ht="25.2" hidden="1" customHeight="1">
      <c r="A1451" s="1086">
        <f t="shared" si="60"/>
        <v>0</v>
      </c>
      <c r="B1451" s="1087" t="s">
        <v>2275</v>
      </c>
      <c r="C1451" s="2842"/>
      <c r="D1451" s="1023">
        <f t="shared" si="61"/>
        <v>1</v>
      </c>
      <c r="E1451" s="1012">
        <f>VLOOKUP($B1451,DG!A:D,DG!$B$2,)</f>
        <v>0</v>
      </c>
      <c r="F1451" s="1013" t="str">
        <f>VLOOKUP($B1451,DG!A:D,DG!$C$2,)</f>
        <v>Biến dòng 600V - 500/5A</v>
      </c>
      <c r="G1451" s="1012" t="str">
        <f>VLOOKUP($B1451,DG!A:D,DG!$D$2,)</f>
        <v>cái</v>
      </c>
      <c r="H1451" s="1738">
        <f>H1445*3</f>
        <v>0</v>
      </c>
      <c r="I1451" s="1192">
        <f t="shared" si="58"/>
        <v>0</v>
      </c>
      <c r="J1451" s="1014"/>
      <c r="K1451" s="1014"/>
      <c r="L1451" s="1044" t="s">
        <v>2601</v>
      </c>
      <c r="M1451" s="934">
        <v>320</v>
      </c>
    </row>
    <row r="1452" spans="1:13" s="1016" customFormat="1" ht="25.2" hidden="1" customHeight="1">
      <c r="A1452" s="1086">
        <f t="shared" si="60"/>
        <v>0</v>
      </c>
      <c r="B1452" s="1227" t="s">
        <v>2187</v>
      </c>
      <c r="C1452" s="2840"/>
      <c r="D1452" s="1023">
        <f t="shared" si="61"/>
        <v>1</v>
      </c>
      <c r="E1452" s="1012" t="str">
        <f>VLOOKUP($B1452,DG!A:D,DG!$B$2,)</f>
        <v>02.1114</v>
      </c>
      <c r="F1452" s="1013" t="str">
        <f>VLOOKUP($B1452,DG!A:D,DG!$C$2,)</f>
        <v>Biến điện áp 22000/√3/100/√3 V</v>
      </c>
      <c r="G1452" s="1012" t="str">
        <f>VLOOKUP($B1452,DG!A:D,DG!$D$2,)</f>
        <v>cái</v>
      </c>
      <c r="H1452" s="1738"/>
      <c r="I1452" s="1192">
        <f t="shared" si="58"/>
        <v>0</v>
      </c>
      <c r="J1452" s="1014"/>
      <c r="K1452" s="1014"/>
      <c r="L1452" s="1044" t="s">
        <v>2601</v>
      </c>
      <c r="M1452" s="934">
        <v>320</v>
      </c>
    </row>
    <row r="1453" spans="1:13" s="1016" customFormat="1" ht="25.2" hidden="1" customHeight="1">
      <c r="A1453" s="1086">
        <f t="shared" si="60"/>
        <v>0</v>
      </c>
      <c r="B1453" s="1252" t="s">
        <v>1837</v>
      </c>
      <c r="C1453" s="2856"/>
      <c r="D1453" s="1023">
        <f t="shared" si="61"/>
        <v>1</v>
      </c>
      <c r="E1453" s="1012">
        <f>VLOOKUP($B1453,DG!A:D,DG!$B$2,)</f>
        <v>0</v>
      </c>
      <c r="F1453" s="1013" t="str">
        <f>VLOOKUP($B1453,DG!A:D,DG!$C$2,)</f>
        <v>Điện kế 3 pha điện tử 600V-5A</v>
      </c>
      <c r="G1453" s="1012" t="str">
        <f>VLOOKUP($B1453,DG!A:D,DG!$D$2,)</f>
        <v>cái</v>
      </c>
      <c r="H1453" s="1738">
        <f>H1445</f>
        <v>0</v>
      </c>
      <c r="I1453" s="1192">
        <f t="shared" si="58"/>
        <v>0</v>
      </c>
      <c r="J1453" s="1014"/>
      <c r="K1453" s="1014"/>
      <c r="L1453" s="1045" t="s">
        <v>2601</v>
      </c>
      <c r="M1453" s="934">
        <v>320</v>
      </c>
    </row>
    <row r="1454" spans="1:13" s="1016" customFormat="1" ht="25.2" hidden="1" customHeight="1">
      <c r="A1454" s="1086">
        <f t="shared" si="60"/>
        <v>0</v>
      </c>
      <c r="B1454" s="1226"/>
      <c r="C1454" s="2841"/>
      <c r="D1454" s="1046"/>
      <c r="E1454" s="1047"/>
      <c r="F1454" s="1009"/>
      <c r="G1454" s="1046"/>
      <c r="H1454" s="1718"/>
      <c r="I1454" s="1745">
        <f>IF(M1454=$M$23,1,0)</f>
        <v>0</v>
      </c>
      <c r="J1454" s="1009"/>
      <c r="K1454" s="1046"/>
      <c r="L1454" s="1040"/>
      <c r="M1454" s="934">
        <v>320</v>
      </c>
    </row>
    <row r="1455" spans="1:13" s="1016" customFormat="1" ht="25.2" hidden="1" customHeight="1">
      <c r="A1455" s="1086">
        <f t="shared" si="60"/>
        <v>0</v>
      </c>
      <c r="B1455" s="1226"/>
      <c r="C1455" s="2841"/>
      <c r="D1455" s="1048"/>
      <c r="E1455" s="1049"/>
      <c r="F1455" s="1038" t="s">
        <v>3673</v>
      </c>
      <c r="G1455" s="1038"/>
      <c r="H1455" s="1730"/>
      <c r="I1455" s="1745">
        <f>IF(M1455=$M$23,1,0)</f>
        <v>0</v>
      </c>
      <c r="J1455" s="1038"/>
      <c r="K1455" s="1038"/>
      <c r="L1455" s="1040"/>
      <c r="M1455" s="934">
        <v>320</v>
      </c>
    </row>
    <row r="1456" spans="1:13" s="1016" customFormat="1" ht="25.2" hidden="1" customHeight="1">
      <c r="A1456" s="1086">
        <f t="shared" si="60"/>
        <v>0</v>
      </c>
      <c r="B1456" s="1253"/>
      <c r="C1456" s="2699"/>
      <c r="D1456" s="1050">
        <f>IF(H1456&gt;0,1,0)</f>
        <v>0</v>
      </c>
      <c r="E1456" s="1051"/>
      <c r="F1456" s="1052" t="s">
        <v>3733</v>
      </c>
      <c r="G1456" s="1053" t="s">
        <v>2277</v>
      </c>
      <c r="H1456" s="1739">
        <f>H1445*2*0</f>
        <v>0</v>
      </c>
      <c r="I1456" s="1192">
        <f t="shared" ref="I1456:I1517" si="62">IF(M1456=$M$23,H1456+J1456-K1456,0)</f>
        <v>0</v>
      </c>
      <c r="J1456" s="1054"/>
      <c r="K1456" s="1054"/>
      <c r="L1456" s="1043"/>
      <c r="M1456" s="934">
        <v>320</v>
      </c>
    </row>
    <row r="1457" spans="1:13" s="1016" customFormat="1" ht="25.2" hidden="1" customHeight="1">
      <c r="A1457" s="1086">
        <f t="shared" si="60"/>
        <v>0</v>
      </c>
      <c r="B1457" s="1087" t="s">
        <v>115</v>
      </c>
      <c r="C1457" s="2842"/>
      <c r="D1457" s="1055"/>
      <c r="E1457" s="1012"/>
      <c r="F1457" s="1056" t="str">
        <f>VLOOKUP($B1457,DG!A:D,DG!$C$2,)</f>
        <v>Trụ BTLT 12m F540 dự ứng lực</v>
      </c>
      <c r="G1457" s="1012" t="str">
        <f>VLOOKUP($B1457,DG!A:D,DG!$D$2,)</f>
        <v>trụ</v>
      </c>
      <c r="H1457" s="1740">
        <f>H1456</f>
        <v>0</v>
      </c>
      <c r="I1457" s="1192">
        <f t="shared" si="62"/>
        <v>0</v>
      </c>
      <c r="J1457" s="1041"/>
      <c r="K1457" s="1011"/>
      <c r="L1457" s="1043"/>
      <c r="M1457" s="934">
        <v>320</v>
      </c>
    </row>
    <row r="1458" spans="1:13" s="1016" customFormat="1" ht="25.2" hidden="1" customHeight="1">
      <c r="A1458" s="1086">
        <f t="shared" si="60"/>
        <v>0</v>
      </c>
      <c r="B1458" s="1087" t="s">
        <v>1814</v>
      </c>
      <c r="C1458" s="2842"/>
      <c r="D1458" s="1055"/>
      <c r="E1458" s="1012"/>
      <c r="F1458" s="1056" t="str">
        <f>VLOOKUP($B1458,DG!A:D,DG!$C$2,)</f>
        <v>Vật liệu dựng trụ</v>
      </c>
      <c r="G1458" s="1012" t="str">
        <f>VLOOKUP($B1458,DG!A:D,DG!$D$2,)</f>
        <v>trụ</v>
      </c>
      <c r="H1458" s="1740">
        <f>H1457</f>
        <v>0</v>
      </c>
      <c r="I1458" s="1192">
        <f t="shared" si="62"/>
        <v>0</v>
      </c>
      <c r="J1458" s="1011"/>
      <c r="K1458" s="1011"/>
      <c r="L1458" s="1043"/>
      <c r="M1458" s="934">
        <v>320</v>
      </c>
    </row>
    <row r="1459" spans="1:13" s="1016" customFormat="1" ht="25.2" hidden="1" customHeight="1">
      <c r="A1459" s="1086">
        <f t="shared" si="60"/>
        <v>0</v>
      </c>
      <c r="B1459" s="1087" t="s">
        <v>643</v>
      </c>
      <c r="C1459" s="2842"/>
      <c r="D1459" s="1055"/>
      <c r="E1459" s="1012" t="str">
        <f>VLOOKUP($B1459,DG!A:D,DG!$B$2,)</f>
        <v>04.9203</v>
      </c>
      <c r="F1459" s="1056" t="str">
        <f>VLOOKUP($B1459,DG!A:D,DG!$C$2,)</f>
        <v>Dựng trụ BTLT 12m trong TBA bằng thủ công + cơ giới</v>
      </c>
      <c r="G1459" s="1012" t="str">
        <f>VLOOKUP($B1459,DG!A:D,DG!$D$2,)</f>
        <v>trụ</v>
      </c>
      <c r="H1459" s="1740">
        <f>H1457</f>
        <v>0</v>
      </c>
      <c r="I1459" s="1192">
        <f t="shared" si="62"/>
        <v>0</v>
      </c>
      <c r="J1459" s="1041"/>
      <c r="K1459" s="1041"/>
      <c r="L1459" s="1043"/>
      <c r="M1459" s="934">
        <v>320</v>
      </c>
    </row>
    <row r="1460" spans="1:13" s="1016" customFormat="1" ht="25.2" hidden="1" customHeight="1">
      <c r="A1460" s="1086">
        <f t="shared" si="60"/>
        <v>0</v>
      </c>
      <c r="B1460" s="1253"/>
      <c r="C1460" s="2699"/>
      <c r="D1460" s="1050">
        <f>IF(H1460&gt;0,1,0)</f>
        <v>0</v>
      </c>
      <c r="E1460" s="1051"/>
      <c r="F1460" s="1052" t="s">
        <v>3712</v>
      </c>
      <c r="G1460" s="1053" t="s">
        <v>2277</v>
      </c>
      <c r="H1460" s="1739">
        <f>H1445*2*0</f>
        <v>0</v>
      </c>
      <c r="I1460" s="1192">
        <f t="shared" si="62"/>
        <v>0</v>
      </c>
      <c r="J1460" s="1054"/>
      <c r="K1460" s="1054"/>
      <c r="L1460" s="1015"/>
      <c r="M1460" s="934">
        <v>320</v>
      </c>
    </row>
    <row r="1461" spans="1:13" s="1016" customFormat="1" ht="25.2" hidden="1" customHeight="1">
      <c r="A1461" s="1086">
        <f t="shared" si="60"/>
        <v>0</v>
      </c>
      <c r="B1461" s="1087" t="s">
        <v>114</v>
      </c>
      <c r="C1461" s="2842"/>
      <c r="D1461" s="1055"/>
      <c r="E1461" s="1012"/>
      <c r="F1461" s="1056" t="str">
        <f>VLOOKUP($B1461,DG!A:D,DG!$C$2,)</f>
        <v>Trụ BTLT 10,5m F350 dự ứng lực</v>
      </c>
      <c r="G1461" s="1012" t="str">
        <f>VLOOKUP($B1461,DG!A:D,DG!$D$2,)</f>
        <v>trụ</v>
      </c>
      <c r="H1461" s="1740">
        <f>H1460</f>
        <v>0</v>
      </c>
      <c r="I1461" s="1192">
        <f t="shared" si="62"/>
        <v>0</v>
      </c>
      <c r="J1461" s="1041"/>
      <c r="K1461" s="1011"/>
      <c r="L1461" s="1015"/>
      <c r="M1461" s="934">
        <v>320</v>
      </c>
    </row>
    <row r="1462" spans="1:13" s="1016" customFormat="1" ht="25.2" hidden="1" customHeight="1">
      <c r="A1462" s="1086">
        <f t="shared" si="60"/>
        <v>0</v>
      </c>
      <c r="B1462" s="1087" t="s">
        <v>1814</v>
      </c>
      <c r="C1462" s="2842"/>
      <c r="D1462" s="1055"/>
      <c r="E1462" s="1012"/>
      <c r="F1462" s="1056" t="str">
        <f>VLOOKUP($B1462,DG!A:D,DG!$C$2,)</f>
        <v>Vật liệu dựng trụ</v>
      </c>
      <c r="G1462" s="1012" t="str">
        <f>VLOOKUP($B1462,DG!A:D,DG!$D$2,)</f>
        <v>trụ</v>
      </c>
      <c r="H1462" s="1740">
        <f>H1461</f>
        <v>0</v>
      </c>
      <c r="I1462" s="1192">
        <f t="shared" si="62"/>
        <v>0</v>
      </c>
      <c r="J1462" s="1011"/>
      <c r="K1462" s="1011"/>
      <c r="L1462" s="1015"/>
      <c r="M1462" s="934">
        <v>320</v>
      </c>
    </row>
    <row r="1463" spans="1:13" s="1016" customFormat="1" ht="25.2" hidden="1" customHeight="1">
      <c r="A1463" s="1086">
        <f t="shared" si="60"/>
        <v>0</v>
      </c>
      <c r="B1463" s="1087" t="s">
        <v>644</v>
      </c>
      <c r="C1463" s="2842"/>
      <c r="D1463" s="1055"/>
      <c r="E1463" s="1012" t="str">
        <f>VLOOKUP($B1463,DG!A:D,DG!$B$2,)</f>
        <v>04.9203</v>
      </c>
      <c r="F1463" s="1056" t="str">
        <f>VLOOKUP($B1463,DG!A:D,DG!$C$2,)</f>
        <v>Dựng trụ BTLT 10,5m trong TBA bằng thủ công + cơ giới</v>
      </c>
      <c r="G1463" s="1012" t="str">
        <f>VLOOKUP($B1463,DG!A:D,DG!$D$2,)</f>
        <v>trụ</v>
      </c>
      <c r="H1463" s="1740">
        <f>H1461</f>
        <v>0</v>
      </c>
      <c r="I1463" s="1192">
        <f t="shared" si="62"/>
        <v>0</v>
      </c>
      <c r="J1463" s="1041"/>
      <c r="K1463" s="1041"/>
      <c r="L1463" s="1015"/>
      <c r="M1463" s="934">
        <v>320</v>
      </c>
    </row>
    <row r="1464" spans="1:13" s="1016" customFormat="1" ht="25.2" hidden="1" customHeight="1">
      <c r="A1464" s="1086">
        <f t="shared" si="60"/>
        <v>0</v>
      </c>
      <c r="B1464" s="1254"/>
      <c r="C1464" s="2857"/>
      <c r="D1464" s="1017">
        <f>IF(H1464&gt;0,D1456+1,D1456)</f>
        <v>0</v>
      </c>
      <c r="E1464" s="1051"/>
      <c r="F1464" s="1052" t="s">
        <v>2352</v>
      </c>
      <c r="G1464" s="1053" t="s">
        <v>2327</v>
      </c>
      <c r="H1464" s="1739">
        <f>H1456</f>
        <v>0</v>
      </c>
      <c r="I1464" s="1192">
        <f t="shared" si="62"/>
        <v>0</v>
      </c>
      <c r="J1464" s="1011"/>
      <c r="K1464" s="1011"/>
      <c r="L1464" s="1043"/>
      <c r="M1464" s="934">
        <v>320</v>
      </c>
    </row>
    <row r="1465" spans="1:13" s="1016" customFormat="1" ht="25.2" hidden="1" customHeight="1">
      <c r="A1465" s="1086">
        <f t="shared" si="60"/>
        <v>0</v>
      </c>
      <c r="B1465" s="1233" t="s">
        <v>636</v>
      </c>
      <c r="C1465" s="2843"/>
      <c r="D1465" s="1055"/>
      <c r="E1465" s="1012" t="str">
        <f>VLOOKUP($B1465,DG!A:D,DG!$B$2,)</f>
        <v>04.4001</v>
      </c>
      <c r="F1465" s="1057" t="str">
        <f>VLOOKUP($B1465,DG!A:D,DG!$C$2,)</f>
        <v>Đà cản BTCT 1,2m</v>
      </c>
      <c r="G1465" s="1024" t="str">
        <f>VLOOKUP($B1465,DG!A:D,DG!$D$2,)</f>
        <v>cái</v>
      </c>
      <c r="H1465" s="1740">
        <f>H1464</f>
        <v>0</v>
      </c>
      <c r="I1465" s="1192">
        <f t="shared" si="62"/>
        <v>0</v>
      </c>
      <c r="J1465" s="1041"/>
      <c r="K1465" s="1011"/>
      <c r="L1465" s="1043"/>
      <c r="M1465" s="934">
        <v>320</v>
      </c>
    </row>
    <row r="1466" spans="1:13" s="1016" customFormat="1" ht="25.2" hidden="1" customHeight="1">
      <c r="A1466" s="1086">
        <f t="shared" si="60"/>
        <v>0</v>
      </c>
      <c r="B1466" s="1233" t="s">
        <v>566</v>
      </c>
      <c r="C1466" s="2843"/>
      <c r="D1466" s="1055"/>
      <c r="E1466" s="1024"/>
      <c r="F1466" s="1057" t="str">
        <f>VLOOKUP($B1466,DG!A:D,DG!$C$2,)</f>
        <v>Boulon 22x650+ 2 long đền vuông D24-50x50x3/Zn</v>
      </c>
      <c r="G1466" s="1024" t="str">
        <f>VLOOKUP($B1466,DG!A:D,DG!$D$2,)</f>
        <v>bộ</v>
      </c>
      <c r="H1466" s="1740">
        <f>H1465</f>
        <v>0</v>
      </c>
      <c r="I1466" s="1192">
        <f t="shared" si="62"/>
        <v>0</v>
      </c>
      <c r="J1466" s="1057"/>
      <c r="K1466" s="1011"/>
      <c r="L1466" s="1043"/>
      <c r="M1466" s="934">
        <v>320</v>
      </c>
    </row>
    <row r="1467" spans="1:13" s="1016" customFormat="1" ht="25.2" hidden="1" customHeight="1">
      <c r="A1467" s="1086">
        <f t="shared" si="60"/>
        <v>0</v>
      </c>
      <c r="B1467" s="1233" t="str">
        <f>IF(chitiet!G5=1,"MDD1",IF(chitiet!G5=2,"MDD2",IF(chitiet!G5=3,"MDD3",IF(chitiet!G5=4,"MDD4"))))</f>
        <v>MDD3</v>
      </c>
      <c r="C1467" s="2843"/>
      <c r="D1467" s="1055"/>
      <c r="E1467" s="1024" t="str">
        <f>VLOOKUP($B1467,DG!A:D,DG!$B$2,)</f>
        <v>03.1013</v>
      </c>
      <c r="F1467" s="1057" t="str">
        <f>VLOOKUP($B1467,DG!A:D,DG!$C$2,)</f>
        <v>Đào hố móng đất cấp 3 sâu &gt;1m</v>
      </c>
      <c r="G1467" s="1024" t="str">
        <f>VLOOKUP($B1467,DG!A:D,DG!$D$2,)</f>
        <v>m3</v>
      </c>
      <c r="H1467" s="1741">
        <f>0.87*H1464</f>
        <v>0</v>
      </c>
      <c r="I1467" s="1192">
        <f t="shared" si="62"/>
        <v>0</v>
      </c>
      <c r="J1467" s="1058"/>
      <c r="K1467" s="1011"/>
      <c r="L1467" s="1043"/>
      <c r="M1467" s="934">
        <v>320</v>
      </c>
    </row>
    <row r="1468" spans="1:13" s="1016" customFormat="1" ht="25.2" hidden="1" customHeight="1">
      <c r="A1468" s="1086">
        <f t="shared" si="60"/>
        <v>0</v>
      </c>
      <c r="B1468" s="1233" t="str">
        <f>IF(chitiet!G5=1,"MDAP1",IF(chitiet!G5=2,"MDAP2",IF(chitiet!G5=3,"MDAP3",IF(chitiet!G5=4,"MDAP4"))))</f>
        <v>MDAP3</v>
      </c>
      <c r="C1468" s="2843"/>
      <c r="D1468" s="1055"/>
      <c r="E1468" s="1024" t="str">
        <f>VLOOKUP($B1468,DG!A:D,DG!$B$2,)</f>
        <v>03.4113</v>
      </c>
      <c r="F1468" s="1057" t="str">
        <f>VLOOKUP($B1468,DG!A:D,DG!$C$2,)</f>
        <v>Đắp đất hố móng, độ chặt k=0,95</v>
      </c>
      <c r="G1468" s="1024" t="str">
        <f>VLOOKUP($B1468,DG!A:D,DG!$D$2,)</f>
        <v>m3</v>
      </c>
      <c r="H1468" s="1741">
        <f>0.79*H1464</f>
        <v>0</v>
      </c>
      <c r="I1468" s="1192">
        <f t="shared" si="62"/>
        <v>0</v>
      </c>
      <c r="J1468" s="1058"/>
      <c r="K1468" s="1011"/>
      <c r="L1468" s="1043"/>
      <c r="M1468" s="934">
        <v>320</v>
      </c>
    </row>
    <row r="1469" spans="1:13" s="1016" customFormat="1" ht="25.2" hidden="1" customHeight="1">
      <c r="A1469" s="1086">
        <f t="shared" si="60"/>
        <v>0</v>
      </c>
      <c r="B1469" s="1254"/>
      <c r="C1469" s="2857"/>
      <c r="D1469" s="1017">
        <f>IF(H1469&gt;0,D1461+1,D1461)</f>
        <v>0</v>
      </c>
      <c r="E1469" s="1051"/>
      <c r="F1469" s="1052" t="s">
        <v>3713</v>
      </c>
      <c r="G1469" s="1053" t="s">
        <v>2327</v>
      </c>
      <c r="H1469" s="1739">
        <f>H1460*0</f>
        <v>0</v>
      </c>
      <c r="I1469" s="1192">
        <f t="shared" si="62"/>
        <v>0</v>
      </c>
      <c r="J1469" s="1011"/>
      <c r="K1469" s="1011"/>
      <c r="L1469" s="1015"/>
      <c r="M1469" s="934">
        <v>320</v>
      </c>
    </row>
    <row r="1470" spans="1:13" s="1016" customFormat="1" ht="25.2" hidden="1" customHeight="1">
      <c r="A1470" s="1086">
        <f t="shared" si="60"/>
        <v>0</v>
      </c>
      <c r="B1470" s="1233" t="s">
        <v>636</v>
      </c>
      <c r="C1470" s="2843"/>
      <c r="D1470" s="1055"/>
      <c r="E1470" s="1012" t="str">
        <f>VLOOKUP($B1470,DG!A:D,DG!$B$2,)</f>
        <v>04.4001</v>
      </c>
      <c r="F1470" s="1057" t="str">
        <f>VLOOKUP($B1470,DG!A:D,DG!$C$2,)</f>
        <v>Đà cản BTCT 1,2m</v>
      </c>
      <c r="G1470" s="1024" t="str">
        <f>VLOOKUP($B1470,DG!A:D,DG!$D$2,)</f>
        <v>cái</v>
      </c>
      <c r="H1470" s="1740">
        <f>H1469</f>
        <v>0</v>
      </c>
      <c r="I1470" s="1192">
        <f t="shared" si="62"/>
        <v>0</v>
      </c>
      <c r="J1470" s="1041"/>
      <c r="K1470" s="1011"/>
      <c r="L1470" s="1015"/>
      <c r="M1470" s="934">
        <v>320</v>
      </c>
    </row>
    <row r="1471" spans="1:13" s="1016" customFormat="1" ht="25.2" hidden="1" customHeight="1">
      <c r="A1471" s="1086">
        <f t="shared" si="60"/>
        <v>0</v>
      </c>
      <c r="B1471" s="1233" t="s">
        <v>566</v>
      </c>
      <c r="C1471" s="2843"/>
      <c r="D1471" s="1055"/>
      <c r="E1471" s="1024"/>
      <c r="F1471" s="1057" t="str">
        <f>VLOOKUP($B1471,DG!A:D,DG!$C$2,)</f>
        <v>Boulon 22x650+ 2 long đền vuông D24-50x50x3/Zn</v>
      </c>
      <c r="G1471" s="1024" t="str">
        <f>VLOOKUP($B1471,DG!A:D,DG!$D$2,)</f>
        <v>bộ</v>
      </c>
      <c r="H1471" s="1740">
        <f>H1470</f>
        <v>0</v>
      </c>
      <c r="I1471" s="1192">
        <f t="shared" si="62"/>
        <v>0</v>
      </c>
      <c r="J1471" s="1057"/>
      <c r="K1471" s="1011"/>
      <c r="L1471" s="1015"/>
      <c r="M1471" s="934">
        <v>320</v>
      </c>
    </row>
    <row r="1472" spans="1:13" s="1016" customFormat="1" ht="25.2" hidden="1" customHeight="1">
      <c r="A1472" s="1086">
        <f t="shared" si="60"/>
        <v>0</v>
      </c>
      <c r="B1472" s="1233" t="str">
        <f>IF(chitiet!G5=1,"MDD1",IF(chitiet!G5=2,"MDD2",IF(chitiet!G5=3,"MDD3",IF(chitiet!G5=4,"MDD4"))))</f>
        <v>MDD3</v>
      </c>
      <c r="C1472" s="2843"/>
      <c r="D1472" s="1055"/>
      <c r="E1472" s="1024" t="str">
        <f>VLOOKUP($B1472,DG!A:D,DG!$B$2,)</f>
        <v>03.1013</v>
      </c>
      <c r="F1472" s="1057" t="str">
        <f>VLOOKUP($B1472,DG!A:D,DG!$C$2,)</f>
        <v>Đào hố móng đất cấp 3 sâu &gt;1m</v>
      </c>
      <c r="G1472" s="1024" t="str">
        <f>VLOOKUP($B1472,DG!A:D,DG!$D$2,)</f>
        <v>m3</v>
      </c>
      <c r="H1472" s="1741">
        <f>1.48*H1470</f>
        <v>0</v>
      </c>
      <c r="I1472" s="1192">
        <f t="shared" si="62"/>
        <v>0</v>
      </c>
      <c r="J1472" s="1058"/>
      <c r="K1472" s="1011"/>
      <c r="L1472" s="1015"/>
      <c r="M1472" s="934">
        <v>320</v>
      </c>
    </row>
    <row r="1473" spans="1:13" s="1016" customFormat="1" ht="25.2" hidden="1" customHeight="1">
      <c r="A1473" s="1086">
        <f t="shared" si="60"/>
        <v>0</v>
      </c>
      <c r="B1473" s="1233" t="str">
        <f>IF(chitiet!G5=1,"MDAP1",IF(chitiet!G5=2,"MDAP2",IF(chitiet!G5=3,"MDAP3",IF(chitiet!G5=4,"MDAP4"))))</f>
        <v>MDAP3</v>
      </c>
      <c r="C1473" s="2843"/>
      <c r="D1473" s="1055"/>
      <c r="E1473" s="1024" t="str">
        <f>VLOOKUP($B1473,DG!A:D,DG!$B$2,)</f>
        <v>03.4113</v>
      </c>
      <c r="F1473" s="1057" t="str">
        <f>VLOOKUP($B1473,DG!A:D,DG!$C$2,)</f>
        <v>Đắp đất hố móng, độ chặt k=0,95</v>
      </c>
      <c r="G1473" s="1024" t="str">
        <f>VLOOKUP($B1473,DG!A:D,DG!$D$2,)</f>
        <v>m3</v>
      </c>
      <c r="H1473" s="1741">
        <f>1.39*H1469</f>
        <v>0</v>
      </c>
      <c r="I1473" s="1192">
        <f t="shared" si="62"/>
        <v>0</v>
      </c>
      <c r="J1473" s="1058"/>
      <c r="K1473" s="1011"/>
      <c r="L1473" s="1015"/>
      <c r="M1473" s="934">
        <v>320</v>
      </c>
    </row>
    <row r="1474" spans="1:13" s="1016" customFormat="1" ht="25.2" hidden="1" customHeight="1">
      <c r="A1474" s="1086">
        <f t="shared" si="60"/>
        <v>0</v>
      </c>
      <c r="B1474" s="1226"/>
      <c r="C1474" s="2841"/>
      <c r="D1474" s="1017">
        <f>IF(H1474&gt;0,D1464+1,D1464)</f>
        <v>0</v>
      </c>
      <c r="E1474" s="1059"/>
      <c r="F1474" s="1052" t="s">
        <v>3714</v>
      </c>
      <c r="G1474" s="1050" t="s">
        <v>2385</v>
      </c>
      <c r="H1474" s="1742">
        <f>H1445*1</f>
        <v>0</v>
      </c>
      <c r="I1474" s="1192">
        <f t="shared" si="62"/>
        <v>0</v>
      </c>
      <c r="J1474" s="1060"/>
      <c r="K1474" s="1060"/>
      <c r="L1474" s="1015"/>
      <c r="M1474" s="934">
        <v>320</v>
      </c>
    </row>
    <row r="1475" spans="1:13" s="1016" customFormat="1" ht="25.2" hidden="1" customHeight="1">
      <c r="A1475" s="1086">
        <f t="shared" si="60"/>
        <v>0</v>
      </c>
      <c r="B1475" s="1226"/>
      <c r="C1475" s="2841"/>
      <c r="D1475" s="1011"/>
      <c r="E1475" s="1061"/>
      <c r="F1475" s="1267" t="s">
        <v>2279</v>
      </c>
      <c r="G1475" s="1023"/>
      <c r="H1475" s="1713"/>
      <c r="I1475" s="1192">
        <f t="shared" si="62"/>
        <v>0</v>
      </c>
      <c r="J1475" s="1062"/>
      <c r="K1475" s="1062"/>
      <c r="L1475" s="1015"/>
      <c r="M1475" s="934">
        <v>320</v>
      </c>
    </row>
    <row r="1476" spans="1:13" s="1016" customFormat="1" ht="25.2" hidden="1" customHeight="1">
      <c r="A1476" s="1086">
        <f t="shared" si="60"/>
        <v>0</v>
      </c>
      <c r="B1476" s="1087" t="s">
        <v>1136</v>
      </c>
      <c r="C1476" s="2842"/>
      <c r="D1476" s="1011"/>
      <c r="E1476" s="1024" t="str">
        <f>VLOOKUP($B1476,DG!A:D,DG!$B$2,)</f>
        <v>05.6105</v>
      </c>
      <c r="F1476" s="1013" t="str">
        <f>VLOOKUP($B1476,DG!A:D,DG!$C$2,)&amp;": 2 cái"</f>
        <v>Đà U160x68x5x2800 đỡ MBA: 2 cái</v>
      </c>
      <c r="G1476" s="1012" t="str">
        <f>VLOOKUP($B1476,DG!A:D,DG!$D$2,)</f>
        <v>cái</v>
      </c>
      <c r="H1476" s="1713">
        <v>2</v>
      </c>
      <c r="I1476" s="1192">
        <f t="shared" si="62"/>
        <v>0</v>
      </c>
      <c r="J1476" s="1041"/>
      <c r="K1476" s="1041"/>
      <c r="L1476" s="1015"/>
      <c r="M1476" s="934">
        <v>320</v>
      </c>
    </row>
    <row r="1477" spans="1:13" s="1016" customFormat="1" ht="25.2" hidden="1" customHeight="1">
      <c r="A1477" s="1086">
        <f t="shared" si="60"/>
        <v>0</v>
      </c>
      <c r="B1477" s="1087" t="s">
        <v>1137</v>
      </c>
      <c r="C1477" s="2842"/>
      <c r="D1477" s="1011"/>
      <c r="E1477" s="1024" t="str">
        <f>VLOOKUP($B1477,DG!A:D,DG!$B$2,)</f>
        <v>05.6101</v>
      </c>
      <c r="F1477" s="1013" t="str">
        <f>VLOOKUP($B1477,DG!A:D,DG!$C$2,)&amp;": 4 cái"</f>
        <v>Đà U100x46x4.5x400 : 4 cái</v>
      </c>
      <c r="G1477" s="1012" t="str">
        <f>VLOOKUP($B1477,DG!A:D,DG!$D$2,)</f>
        <v>cái</v>
      </c>
      <c r="H1477" s="1713">
        <v>4</v>
      </c>
      <c r="I1477" s="1192">
        <f t="shared" si="62"/>
        <v>0</v>
      </c>
      <c r="J1477" s="1041"/>
      <c r="K1477" s="1041"/>
      <c r="L1477" s="1015"/>
      <c r="M1477" s="934">
        <v>320</v>
      </c>
    </row>
    <row r="1478" spans="1:13" s="1016" customFormat="1" ht="25.2" hidden="1" customHeight="1">
      <c r="A1478" s="1086">
        <f t="shared" si="60"/>
        <v>0</v>
      </c>
      <c r="B1478" s="1087" t="s">
        <v>1138</v>
      </c>
      <c r="C1478" s="2842"/>
      <c r="D1478" s="1011"/>
      <c r="E1478" s="1024" t="str">
        <f>VLOOKUP($B1478,DG!A:D,DG!$B$2,)</f>
        <v>05.6101</v>
      </c>
      <c r="F1478" s="1013" t="str">
        <f>VLOOKUP($B1478,DG!A:D,DG!$C$2,)&amp;": 2 cái"</f>
        <v>Đà U100x46x5x800 : 2 cái</v>
      </c>
      <c r="G1478" s="1012" t="str">
        <f>VLOOKUP($B1478,DG!A:D,DG!$D$2,)</f>
        <v>cái</v>
      </c>
      <c r="H1478" s="1713">
        <v>2</v>
      </c>
      <c r="I1478" s="1192">
        <f t="shared" si="62"/>
        <v>0</v>
      </c>
      <c r="J1478" s="1041"/>
      <c r="K1478" s="1041"/>
      <c r="L1478" s="1015"/>
      <c r="M1478" s="934">
        <v>320</v>
      </c>
    </row>
    <row r="1479" spans="1:13" s="1016" customFormat="1" ht="25.2" hidden="1" customHeight="1">
      <c r="A1479" s="1086">
        <f t="shared" si="60"/>
        <v>0</v>
      </c>
      <c r="B1479" s="1226" t="s">
        <v>1781</v>
      </c>
      <c r="C1479" s="2841"/>
      <c r="D1479" s="1011"/>
      <c r="E1479" s="1024">
        <f>VLOOKUP($B1479,DG!A:D,DG!$B$2,)</f>
        <v>0</v>
      </c>
      <c r="F1479" s="1013" t="str">
        <f>VLOOKUP($B1479,DG!A:D,DG!$C$2,)</f>
        <v>Boulon 16x400VRS+ 4 long đền vuông D18-50x50x3/Zn</v>
      </c>
      <c r="G1479" s="1012" t="str">
        <f>VLOOKUP($B1479,DG!A:D,DG!$D$2,)</f>
        <v>bộ</v>
      </c>
      <c r="H1479" s="1713">
        <f>H1474*10</f>
        <v>0</v>
      </c>
      <c r="I1479" s="1192">
        <f t="shared" si="62"/>
        <v>0</v>
      </c>
      <c r="J1479" s="1041"/>
      <c r="K1479" s="1041"/>
      <c r="L1479" s="1015"/>
      <c r="M1479" s="934">
        <v>320</v>
      </c>
    </row>
    <row r="1480" spans="1:13" s="1016" customFormat="1" ht="25.2" hidden="1" customHeight="1">
      <c r="A1480" s="1086">
        <f t="shared" si="60"/>
        <v>0</v>
      </c>
      <c r="B1480" s="1226" t="s">
        <v>1083</v>
      </c>
      <c r="C1480" s="2841"/>
      <c r="D1480" s="1011"/>
      <c r="E1480" s="1024">
        <f>VLOOKUP($B1480,DG!A:D,DG!$B$2,)</f>
        <v>0</v>
      </c>
      <c r="F1480" s="1013" t="str">
        <f>VLOOKUP($B1480,DG!A:D,DG!$C$2,)</f>
        <v>Boulon 16x400+ 2 long đền vuông D18-50x50x3/Zn</v>
      </c>
      <c r="G1480" s="1012" t="str">
        <f>VLOOKUP($B1480,DG!A:D,DG!$D$2,)</f>
        <v>bộ</v>
      </c>
      <c r="H1480" s="1713">
        <f>H1474*2</f>
        <v>0</v>
      </c>
      <c r="I1480" s="1192">
        <f t="shared" si="62"/>
        <v>0</v>
      </c>
      <c r="J1480" s="1041"/>
      <c r="K1480" s="1041"/>
      <c r="L1480" s="1015"/>
      <c r="M1480" s="934">
        <v>320</v>
      </c>
    </row>
    <row r="1481" spans="1:13" s="1016" customFormat="1" ht="25.2" hidden="1" customHeight="1">
      <c r="A1481" s="1086">
        <f t="shared" si="60"/>
        <v>0</v>
      </c>
      <c r="B1481" s="1226" t="s">
        <v>1079</v>
      </c>
      <c r="C1481" s="2841"/>
      <c r="D1481" s="1011"/>
      <c r="E1481" s="1024">
        <f>VLOOKUP($B1481,DG!A:D,DG!$B$2,)</f>
        <v>0</v>
      </c>
      <c r="F1481" s="1013" t="str">
        <f>VLOOKUP($B1481,DG!A:D,DG!$C$2,)</f>
        <v>Boulon 16x350+ 2 long đền vuông D18-50x50x3/Zn</v>
      </c>
      <c r="G1481" s="1012" t="str">
        <f>VLOOKUP($B1481,DG!A:D,DG!$D$2,)</f>
        <v>bộ</v>
      </c>
      <c r="H1481" s="1713">
        <f>H1474*12</f>
        <v>0</v>
      </c>
      <c r="I1481" s="1192">
        <f t="shared" si="62"/>
        <v>0</v>
      </c>
      <c r="J1481" s="1041"/>
      <c r="K1481" s="1041"/>
      <c r="L1481" s="1015"/>
      <c r="M1481" s="934">
        <v>320</v>
      </c>
    </row>
    <row r="1482" spans="1:13" s="1016" customFormat="1" ht="25.2" hidden="1" customHeight="1">
      <c r="A1482" s="1086">
        <f t="shared" si="60"/>
        <v>0</v>
      </c>
      <c r="B1482" s="1226" t="s">
        <v>2242</v>
      </c>
      <c r="C1482" s="2841"/>
      <c r="D1482" s="1011"/>
      <c r="E1482" s="1024" t="str">
        <f>VLOOKUP($B1482,DG!A:D,DG!$B$2,)</f>
        <v>05.6044</v>
      </c>
      <c r="F1482" s="1013" t="str">
        <f>VLOOKUP($B1482,DG!A:D,DG!$C$2,)</f>
        <v>Lắp xà cột Pi loại ≤140kg/xà</v>
      </c>
      <c r="G1482" s="1012" t="str">
        <f>VLOOKUP($B1482,DG!A:D,DG!$D$2,)</f>
        <v>bộ</v>
      </c>
      <c r="H1482" s="1713">
        <f>H1474</f>
        <v>0</v>
      </c>
      <c r="I1482" s="1192">
        <f t="shared" si="62"/>
        <v>0</v>
      </c>
      <c r="J1482" s="1041"/>
      <c r="K1482" s="1041"/>
      <c r="L1482" s="1015"/>
      <c r="M1482" s="934">
        <v>320</v>
      </c>
    </row>
    <row r="1483" spans="1:13" s="1016" customFormat="1" ht="25.2" hidden="1" customHeight="1">
      <c r="A1483" s="1086">
        <f t="shared" si="60"/>
        <v>0</v>
      </c>
      <c r="B1483" s="1226"/>
      <c r="C1483" s="2841"/>
      <c r="D1483" s="1017">
        <f>IF(H1483&gt;0,D1474+1,D1474)</f>
        <v>0</v>
      </c>
      <c r="E1483" s="1018"/>
      <c r="F1483" s="1063" t="s">
        <v>4534</v>
      </c>
      <c r="G1483" s="1017" t="s">
        <v>2385</v>
      </c>
      <c r="H1483" s="1722">
        <f>H1474*2</f>
        <v>0</v>
      </c>
      <c r="I1483" s="1192">
        <f t="shared" si="62"/>
        <v>0</v>
      </c>
      <c r="J1483" s="1064"/>
      <c r="K1483" s="1064"/>
      <c r="L1483" s="1015"/>
      <c r="M1483" s="934">
        <v>320</v>
      </c>
    </row>
    <row r="1484" spans="1:13" s="1016" customFormat="1" ht="25.2" hidden="1" customHeight="1">
      <c r="A1484" s="1086">
        <f t="shared" si="60"/>
        <v>0</v>
      </c>
      <c r="B1484" s="1226"/>
      <c r="C1484" s="2841"/>
      <c r="D1484" s="1011"/>
      <c r="E1484" s="1024"/>
      <c r="F1484" s="1267" t="s">
        <v>2279</v>
      </c>
      <c r="G1484" s="1023"/>
      <c r="H1484" s="1746">
        <f>H1483</f>
        <v>0</v>
      </c>
      <c r="I1484" s="1747">
        <f t="shared" si="62"/>
        <v>0</v>
      </c>
      <c r="J1484" s="1064"/>
      <c r="K1484" s="1064"/>
      <c r="L1484" s="1015"/>
      <c r="M1484" s="934">
        <v>320</v>
      </c>
    </row>
    <row r="1485" spans="1:13" s="1016" customFormat="1" ht="25.2" hidden="1" customHeight="1">
      <c r="A1485" s="1086">
        <f t="shared" si="60"/>
        <v>0</v>
      </c>
      <c r="B1485" s="1233" t="s">
        <v>2022</v>
      </c>
      <c r="C1485" s="2843"/>
      <c r="D1485" s="1011"/>
      <c r="E1485" s="1024">
        <f>VLOOKUP($B1485,DG!A:D,DG!$B$2,)</f>
        <v>0</v>
      </c>
      <c r="F1485" s="1013" t="str">
        <f>VLOOKUP($B1485,DG!A:D,DG!$C$2,)</f>
        <v>Sắt góc L75 x75 x8</v>
      </c>
      <c r="G1485" s="1024" t="str">
        <f>VLOOKUP($B1485,DG!A:D,DG!$D$2,)</f>
        <v>kg</v>
      </c>
      <c r="H1485" s="1713">
        <v>1</v>
      </c>
      <c r="I1485" s="1192">
        <f t="shared" si="62"/>
        <v>0</v>
      </c>
      <c r="J1485" s="1041"/>
      <c r="K1485" s="1041"/>
      <c r="L1485" s="1015"/>
      <c r="M1485" s="934">
        <v>320</v>
      </c>
    </row>
    <row r="1486" spans="1:13" s="1016" customFormat="1" ht="25.2" hidden="1" customHeight="1">
      <c r="A1486" s="1086">
        <f t="shared" si="60"/>
        <v>0</v>
      </c>
      <c r="B1486" s="1226" t="s">
        <v>1784</v>
      </c>
      <c r="C1486" s="2841"/>
      <c r="D1486" s="1011"/>
      <c r="E1486" s="1024">
        <f>VLOOKUP($B1486,DG!A:D,DG!$B$2,)</f>
        <v>0</v>
      </c>
      <c r="F1486" s="1013" t="str">
        <f>VLOOKUP($B1486,DG!A:D,DG!$C$2,)</f>
        <v>Boulon 16x300VRS+ 4 long đền vuông D18-50x50x3/Zn</v>
      </c>
      <c r="G1486" s="1024" t="str">
        <f>VLOOKUP($B1486,DG!A:D,DG!$D$2,)</f>
        <v>bộ</v>
      </c>
      <c r="H1486" s="1713"/>
      <c r="I1486" s="1192">
        <f t="shared" si="62"/>
        <v>0</v>
      </c>
      <c r="J1486" s="1041"/>
      <c r="K1486" s="1041"/>
      <c r="L1486" s="1015"/>
      <c r="M1486" s="934">
        <v>320</v>
      </c>
    </row>
    <row r="1487" spans="1:13" s="1016" customFormat="1" ht="25.2" hidden="1" customHeight="1">
      <c r="A1487" s="1086">
        <f t="shared" si="60"/>
        <v>0</v>
      </c>
      <c r="B1487" s="1226" t="s">
        <v>1610</v>
      </c>
      <c r="C1487" s="2841"/>
      <c r="D1487" s="1011"/>
      <c r="E1487" s="1024">
        <f>VLOOKUP($B1487,DG!A:D,DG!$B$2,)</f>
        <v>0</v>
      </c>
      <c r="F1487" s="1013" t="str">
        <f>VLOOKUP($B1487,DG!A:D,DG!$C$2,)</f>
        <v>Boulon 16x300+ 2 long đền vuông D18-50x50x3/Zn</v>
      </c>
      <c r="G1487" s="1024" t="str">
        <f>VLOOKUP($B1487,DG!A:D,DG!$D$2,)</f>
        <v>bộ</v>
      </c>
      <c r="H1487" s="1713">
        <v>2</v>
      </c>
      <c r="I1487" s="1192">
        <f t="shared" si="62"/>
        <v>0</v>
      </c>
      <c r="J1487" s="1041"/>
      <c r="K1487" s="1041"/>
      <c r="L1487" s="1015"/>
      <c r="M1487" s="934">
        <v>320</v>
      </c>
    </row>
    <row r="1488" spans="1:13" s="1016" customFormat="1" ht="25.2" hidden="1" customHeight="1">
      <c r="A1488" s="1086">
        <f t="shared" si="60"/>
        <v>0</v>
      </c>
      <c r="B1488" s="1226" t="s">
        <v>1609</v>
      </c>
      <c r="C1488" s="2841"/>
      <c r="D1488" s="1011"/>
      <c r="E1488" s="1024">
        <f>VLOOKUP($B1488,DG!A:D,DG!$B$2,)</f>
        <v>0</v>
      </c>
      <c r="F1488" s="1013" t="str">
        <f>VLOOKUP($B1488,DG!A:D,DG!$C$2,)</f>
        <v>Boulon 16x250+ 2 long đền vuông D18-50x50x3/Zn</v>
      </c>
      <c r="G1488" s="1024" t="str">
        <f>VLOOKUP($B1488,DG!A:D,DG!$D$2,)</f>
        <v>bộ</v>
      </c>
      <c r="H1488" s="1713"/>
      <c r="I1488" s="1192">
        <f t="shared" si="62"/>
        <v>0</v>
      </c>
      <c r="J1488" s="1041"/>
      <c r="K1488" s="1041"/>
      <c r="L1488" s="1015"/>
      <c r="M1488" s="934">
        <v>320</v>
      </c>
    </row>
    <row r="1489" spans="1:13" s="1016" customFormat="1" ht="25.2" hidden="1" customHeight="1">
      <c r="A1489" s="1086">
        <f t="shared" si="60"/>
        <v>0</v>
      </c>
      <c r="B1489" s="1226" t="s">
        <v>2242</v>
      </c>
      <c r="C1489" s="2841"/>
      <c r="D1489" s="1011"/>
      <c r="E1489" s="1024" t="str">
        <f>VLOOKUP($B1489,DG!A:D,DG!$B$2,)</f>
        <v>05.6044</v>
      </c>
      <c r="F1489" s="1013" t="str">
        <f>VLOOKUP($B1489,DG!A:D,DG!$C$2,)</f>
        <v>Lắp xà cột Pi loại ≤140kg/xà</v>
      </c>
      <c r="G1489" s="1024" t="str">
        <f>VLOOKUP($B1489,DG!A:D,DG!$D$2,)</f>
        <v>bộ</v>
      </c>
      <c r="H1489" s="1713">
        <v>1</v>
      </c>
      <c r="I1489" s="1192">
        <f t="shared" si="62"/>
        <v>0</v>
      </c>
      <c r="J1489" s="1041"/>
      <c r="K1489" s="1041"/>
      <c r="L1489" s="1015"/>
      <c r="M1489" s="934">
        <v>320</v>
      </c>
    </row>
    <row r="1490" spans="1:13" s="1016" customFormat="1" ht="25.2" hidden="1" customHeight="1">
      <c r="A1490" s="1086">
        <f t="shared" si="60"/>
        <v>0</v>
      </c>
      <c r="B1490" s="1226"/>
      <c r="C1490" s="2841"/>
      <c r="D1490" s="1017">
        <f>IF(H1490&gt;0,D1483+1,D1483)</f>
        <v>0</v>
      </c>
      <c r="E1490" s="1018"/>
      <c r="F1490" s="1063" t="s">
        <v>3735</v>
      </c>
      <c r="G1490" s="1017" t="s">
        <v>2385</v>
      </c>
      <c r="H1490" s="1722">
        <f>H1445</f>
        <v>0</v>
      </c>
      <c r="I1490" s="1192">
        <f t="shared" si="62"/>
        <v>0</v>
      </c>
      <c r="J1490" s="1064"/>
      <c r="K1490" s="1064"/>
      <c r="L1490" s="1015"/>
      <c r="M1490" s="934">
        <v>320</v>
      </c>
    </row>
    <row r="1491" spans="1:13" s="1016" customFormat="1" ht="25.2" hidden="1" customHeight="1">
      <c r="A1491" s="1086">
        <f t="shared" si="60"/>
        <v>0</v>
      </c>
      <c r="B1491" s="1226"/>
      <c r="C1491" s="2841"/>
      <c r="D1491" s="1011"/>
      <c r="E1491" s="1021"/>
      <c r="F1491" s="1267" t="s">
        <v>2279</v>
      </c>
      <c r="G1491" s="1023"/>
      <c r="H1491" s="1713"/>
      <c r="I1491" s="1192">
        <f t="shared" si="62"/>
        <v>0</v>
      </c>
      <c r="J1491" s="1064"/>
      <c r="K1491" s="1064"/>
      <c r="L1491" s="1015"/>
      <c r="M1491" s="934">
        <v>320</v>
      </c>
    </row>
    <row r="1492" spans="1:13" s="1016" customFormat="1" ht="25.2" hidden="1" customHeight="1">
      <c r="A1492" s="1086">
        <f t="shared" si="60"/>
        <v>0</v>
      </c>
      <c r="B1492" s="1244" t="s">
        <v>362</v>
      </c>
      <c r="C1492" s="2846"/>
      <c r="D1492" s="1011"/>
      <c r="E1492" s="1024">
        <f>VLOOKUP($B1492,DG!A:D,DG!$B$2,)</f>
        <v>0</v>
      </c>
      <c r="F1492" s="1013" t="str">
        <f>VLOOKUP($B1492,DG!A:D,DG!$C$2,)</f>
        <v>Xà composite 110x800x5</v>
      </c>
      <c r="G1492" s="1024" t="str">
        <f>VLOOKUP($B1492,DG!A:D,DG!$D$2,)</f>
        <v>cái</v>
      </c>
      <c r="H1492" s="1713">
        <v>1</v>
      </c>
      <c r="I1492" s="1192">
        <f t="shared" si="62"/>
        <v>0</v>
      </c>
      <c r="J1492" s="1041"/>
      <c r="K1492" s="1041"/>
      <c r="L1492" s="1015"/>
      <c r="M1492" s="934">
        <v>320</v>
      </c>
    </row>
    <row r="1493" spans="1:13" s="1016" customFormat="1" ht="25.2" hidden="1" customHeight="1">
      <c r="A1493" s="1086">
        <f t="shared" si="60"/>
        <v>0</v>
      </c>
      <c r="B1493" s="1226" t="s">
        <v>1609</v>
      </c>
      <c r="C1493" s="2841"/>
      <c r="D1493" s="1011"/>
      <c r="E1493" s="1024">
        <f>VLOOKUP($B1493,DG!A:D,DG!$B$2,)</f>
        <v>0</v>
      </c>
      <c r="F1493" s="1013" t="str">
        <f>VLOOKUP($B1493,DG!A:D,DG!$C$2,)</f>
        <v>Boulon 16x250+ 2 long đền vuông D18-50x50x3/Zn</v>
      </c>
      <c r="G1493" s="1024" t="str">
        <f>VLOOKUP($B1493,DG!A:D,DG!$D$2,)</f>
        <v>bộ</v>
      </c>
      <c r="H1493" s="1713"/>
      <c r="I1493" s="1192">
        <f t="shared" si="62"/>
        <v>0</v>
      </c>
      <c r="J1493" s="1041"/>
      <c r="K1493" s="1041"/>
      <c r="L1493" s="1015"/>
      <c r="M1493" s="934">
        <v>320</v>
      </c>
    </row>
    <row r="1494" spans="1:13" s="1016" customFormat="1" ht="25.2" hidden="1" customHeight="1">
      <c r="A1494" s="1086">
        <f t="shared" si="60"/>
        <v>0</v>
      </c>
      <c r="B1494" s="1226" t="s">
        <v>1610</v>
      </c>
      <c r="C1494" s="2841"/>
      <c r="D1494" s="1011"/>
      <c r="E1494" s="1024">
        <f>VLOOKUP($B1494,DG!A:D,DG!$B$2,)</f>
        <v>0</v>
      </c>
      <c r="F1494" s="1013" t="str">
        <f>VLOOKUP($B1494,DG!A:D,DG!$C$2,)</f>
        <v>Boulon 16x300+ 2 long đền vuông D18-50x50x3/Zn</v>
      </c>
      <c r="G1494" s="1024" t="str">
        <f>VLOOKUP($B1494,DG!A:D,DG!$D$2,)</f>
        <v>bộ</v>
      </c>
      <c r="H1494" s="1713">
        <v>2</v>
      </c>
      <c r="I1494" s="1192">
        <f t="shared" si="62"/>
        <v>0</v>
      </c>
      <c r="J1494" s="1041"/>
      <c r="K1494" s="1041"/>
      <c r="L1494" s="1015"/>
      <c r="M1494" s="934">
        <v>320</v>
      </c>
    </row>
    <row r="1495" spans="1:13" s="1016" customFormat="1" ht="25.2" hidden="1" customHeight="1">
      <c r="A1495" s="1086">
        <f t="shared" si="60"/>
        <v>0</v>
      </c>
      <c r="B1495" s="1226" t="s">
        <v>30</v>
      </c>
      <c r="C1495" s="2841"/>
      <c r="D1495" s="1011"/>
      <c r="E1495" s="1024">
        <f>VLOOKUP($B1495,DG!A:D,DG!$B$2,)</f>
        <v>0</v>
      </c>
      <c r="F1495" s="1013" t="str">
        <f>VLOOKUP($B1495,DG!A:D,DG!$C$2,)</f>
        <v>Bass LI bắt FCO</v>
      </c>
      <c r="G1495" s="1024" t="str">
        <f>VLOOKUP($B1495,DG!A:D,DG!$D$2,)</f>
        <v>Bộ</v>
      </c>
      <c r="H1495" s="1713">
        <f>H1446</f>
        <v>0</v>
      </c>
      <c r="I1495" s="1192">
        <f t="shared" si="62"/>
        <v>0</v>
      </c>
      <c r="J1495" s="1041"/>
      <c r="K1495" s="1041"/>
      <c r="L1495" s="1015"/>
      <c r="M1495" s="934">
        <v>320</v>
      </c>
    </row>
    <row r="1496" spans="1:13" s="1016" customFormat="1" ht="25.2" hidden="1" customHeight="1">
      <c r="A1496" s="1086">
        <f t="shared" si="60"/>
        <v>0</v>
      </c>
      <c r="B1496" s="1226" t="s">
        <v>2242</v>
      </c>
      <c r="C1496" s="2841"/>
      <c r="D1496" s="1011"/>
      <c r="E1496" s="1024" t="str">
        <f>VLOOKUP($B1496,DG!A:D,DG!$B$2,)</f>
        <v>05.6044</v>
      </c>
      <c r="F1496" s="1013" t="str">
        <f>VLOOKUP($B1496,DG!A:D,DG!$C$2,)</f>
        <v>Lắp xà cột Pi loại ≤140kg/xà</v>
      </c>
      <c r="G1496" s="1024" t="str">
        <f>VLOOKUP($B1496,DG!A:D,DG!$D$2,)</f>
        <v>bộ</v>
      </c>
      <c r="H1496" s="1713">
        <f>H1445</f>
        <v>0</v>
      </c>
      <c r="I1496" s="1192">
        <f t="shared" si="62"/>
        <v>0</v>
      </c>
      <c r="J1496" s="1079"/>
      <c r="K1496" s="1041"/>
      <c r="L1496" s="1015"/>
      <c r="M1496" s="934">
        <v>320</v>
      </c>
    </row>
    <row r="1497" spans="1:13" s="1016" customFormat="1" ht="25.2" hidden="1" customHeight="1">
      <c r="A1497" s="1086">
        <f t="shared" si="60"/>
        <v>0</v>
      </c>
      <c r="B1497" s="1226"/>
      <c r="C1497" s="2841"/>
      <c r="D1497" s="1017">
        <f>IF(H1497&gt;0,D1490+1,D1490)</f>
        <v>0</v>
      </c>
      <c r="E1497" s="1018"/>
      <c r="F1497" s="1063" t="s">
        <v>3717</v>
      </c>
      <c r="G1497" s="1017" t="s">
        <v>2385</v>
      </c>
      <c r="H1497" s="1722">
        <f>H1445*2</f>
        <v>0</v>
      </c>
      <c r="I1497" s="1192">
        <f t="shared" si="62"/>
        <v>0</v>
      </c>
      <c r="J1497" s="1064"/>
      <c r="K1497" s="1064"/>
      <c r="L1497" s="1015"/>
      <c r="M1497" s="934">
        <v>320</v>
      </c>
    </row>
    <row r="1498" spans="1:13" s="1016" customFormat="1" ht="25.2" hidden="1" customHeight="1">
      <c r="A1498" s="1086">
        <f t="shared" ref="A1498:A1561" si="63">IF(AND(M1498=$M$23,I1498&gt;0),1,0)</f>
        <v>0</v>
      </c>
      <c r="B1498" s="1226"/>
      <c r="C1498" s="2841"/>
      <c r="D1498" s="1011"/>
      <c r="E1498" s="1021"/>
      <c r="F1498" s="1267" t="s">
        <v>2279</v>
      </c>
      <c r="G1498" s="1023"/>
      <c r="H1498" s="1713"/>
      <c r="I1498" s="1192">
        <f t="shared" si="62"/>
        <v>0</v>
      </c>
      <c r="J1498" s="1064"/>
      <c r="K1498" s="1064"/>
      <c r="L1498" s="1015"/>
      <c r="M1498" s="934">
        <v>320</v>
      </c>
    </row>
    <row r="1499" spans="1:13" s="1016" customFormat="1" ht="25.2" hidden="1" customHeight="1">
      <c r="A1499" s="1086">
        <f t="shared" si="63"/>
        <v>0</v>
      </c>
      <c r="B1499" s="1226" t="s">
        <v>2022</v>
      </c>
      <c r="C1499" s="2841"/>
      <c r="D1499" s="1011"/>
      <c r="E1499" s="1024">
        <f>VLOOKUP($B1499,DG!A:D,DG!$B$2,)</f>
        <v>0</v>
      </c>
      <c r="F1499" s="1013" t="str">
        <f>VLOOKUP($B1499,DG!A:D,DG!$C$2,)</f>
        <v>Sắt góc L75 x75 x8</v>
      </c>
      <c r="G1499" s="1024" t="str">
        <f>VLOOKUP($B1499,DG!A:D,DG!$D$2,)</f>
        <v>kg</v>
      </c>
      <c r="H1499" s="1713">
        <v>2</v>
      </c>
      <c r="I1499" s="1192">
        <f t="shared" si="62"/>
        <v>0</v>
      </c>
      <c r="J1499" s="1041"/>
      <c r="K1499" s="1041"/>
      <c r="L1499" s="1015"/>
      <c r="M1499" s="934">
        <v>320</v>
      </c>
    </row>
    <row r="1500" spans="1:13" s="1016" customFormat="1" ht="25.2" hidden="1" customHeight="1">
      <c r="A1500" s="1086">
        <f t="shared" si="63"/>
        <v>0</v>
      </c>
      <c r="B1500" s="1226" t="s">
        <v>1083</v>
      </c>
      <c r="C1500" s="2841"/>
      <c r="D1500" s="1011"/>
      <c r="E1500" s="1024">
        <f>VLOOKUP($B1500,DG!A:D,DG!$B$2,)</f>
        <v>0</v>
      </c>
      <c r="F1500" s="1013" t="str">
        <f>VLOOKUP($B1500,DG!A:D,DG!$C$2,)</f>
        <v>Boulon 16x400+ 2 long đền vuông D18-50x50x3/Zn</v>
      </c>
      <c r="G1500" s="1024" t="str">
        <f>VLOOKUP($B1500,DG!A:D,DG!$D$2,)</f>
        <v>bộ</v>
      </c>
      <c r="H1500" s="1713">
        <f>H1497*2</f>
        <v>0</v>
      </c>
      <c r="I1500" s="1192">
        <f t="shared" si="62"/>
        <v>0</v>
      </c>
      <c r="J1500" s="1041"/>
      <c r="K1500" s="1041"/>
      <c r="L1500" s="1015"/>
      <c r="M1500" s="934">
        <v>320</v>
      </c>
    </row>
    <row r="1501" spans="1:13" s="1016" customFormat="1" ht="25.2" hidden="1" customHeight="1">
      <c r="A1501" s="1086">
        <f t="shared" si="63"/>
        <v>0</v>
      </c>
      <c r="B1501" s="1226" t="s">
        <v>138</v>
      </c>
      <c r="C1501" s="2841"/>
      <c r="D1501" s="1011"/>
      <c r="E1501" s="1024">
        <f>VLOOKUP($B1501,DG!A:D,DG!$B$2,)</f>
        <v>0</v>
      </c>
      <c r="F1501" s="1013" t="str">
        <f>VLOOKUP($B1501,DG!A:D,DG!$C$2,)</f>
        <v>Boulon 12x40+ 2 long đền vuông D14-50x50x3/Zn</v>
      </c>
      <c r="G1501" s="1024" t="str">
        <f>VLOOKUP($B1501,DG!A:D,DG!$D$2,)</f>
        <v>bộ</v>
      </c>
      <c r="H1501" s="1713">
        <f>H1497*2</f>
        <v>0</v>
      </c>
      <c r="I1501" s="1192">
        <f t="shared" si="62"/>
        <v>0</v>
      </c>
      <c r="J1501" s="1041"/>
      <c r="K1501" s="1041"/>
      <c r="L1501" s="1015"/>
      <c r="M1501" s="934">
        <v>320</v>
      </c>
    </row>
    <row r="1502" spans="1:13" s="1016" customFormat="1" ht="25.2" hidden="1" customHeight="1">
      <c r="A1502" s="1086">
        <f t="shared" si="63"/>
        <v>0</v>
      </c>
      <c r="B1502" s="1226" t="s">
        <v>2242</v>
      </c>
      <c r="C1502" s="2841"/>
      <c r="D1502" s="1011"/>
      <c r="E1502" s="1024" t="str">
        <f>VLOOKUP($B1502,DG!A:D,DG!$B$2,)</f>
        <v>05.6044</v>
      </c>
      <c r="F1502" s="1013" t="str">
        <f>VLOOKUP($B1502,DG!A:D,DG!$C$2,)</f>
        <v>Lắp xà cột Pi loại ≤140kg/xà</v>
      </c>
      <c r="G1502" s="1024" t="str">
        <f>VLOOKUP($B1502,DG!A:D,DG!$D$2,)</f>
        <v>bộ</v>
      </c>
      <c r="H1502" s="1713">
        <f>H1497/2</f>
        <v>0</v>
      </c>
      <c r="I1502" s="1192">
        <f t="shared" si="62"/>
        <v>0</v>
      </c>
      <c r="J1502" s="1079"/>
      <c r="K1502" s="1041"/>
      <c r="L1502" s="1015"/>
      <c r="M1502" s="934">
        <v>320</v>
      </c>
    </row>
    <row r="1503" spans="1:13" s="1016" customFormat="1" ht="25.2" hidden="1" customHeight="1">
      <c r="A1503" s="1086">
        <f t="shared" si="63"/>
        <v>0</v>
      </c>
      <c r="B1503" s="1226" t="s">
        <v>217</v>
      </c>
      <c r="C1503" s="2841"/>
      <c r="D1503" s="1011"/>
      <c r="E1503" s="1024" t="str">
        <f>VLOOKUP($B1503,DG!A:D,DG!$B$2,)</f>
        <v>02.1115</v>
      </c>
      <c r="F1503" s="1013" t="str">
        <f>VLOOKUP($B1503,DG!A:D,DG!$C$2,)</f>
        <v>Bốc dỡ xà, thép thanh</v>
      </c>
      <c r="G1503" s="1024" t="str">
        <f>VLOOKUP($B1503,DG!A:D,DG!$D$2,)</f>
        <v>tấn</v>
      </c>
      <c r="H1503" s="1713">
        <f>0.05*0</f>
        <v>0</v>
      </c>
      <c r="I1503" s="1192">
        <f t="shared" si="62"/>
        <v>0</v>
      </c>
      <c r="J1503" s="1041"/>
      <c r="K1503" s="1041"/>
      <c r="L1503" s="1015"/>
      <c r="M1503" s="934">
        <v>320</v>
      </c>
    </row>
    <row r="1504" spans="1:13" s="1016" customFormat="1" ht="25.2" hidden="1" customHeight="1">
      <c r="A1504" s="1086">
        <f t="shared" si="63"/>
        <v>0</v>
      </c>
      <c r="B1504" s="1226" t="s">
        <v>1610</v>
      </c>
      <c r="C1504" s="2841"/>
      <c r="D1504" s="1011"/>
      <c r="E1504" s="1024">
        <f>VLOOKUP($B1504,DG!A:D,DG!$B$2,)</f>
        <v>0</v>
      </c>
      <c r="F1504" s="1013" t="str">
        <f>VLOOKUP($B1504,DG!A:D,DG!$C$2,)</f>
        <v>Boulon 16x300+ 2 long đền vuông D18-50x50x3/Zn</v>
      </c>
      <c r="G1504" s="1012" t="s">
        <v>2439</v>
      </c>
      <c r="H1504" s="1713">
        <f>H1497*2*0</f>
        <v>0</v>
      </c>
      <c r="I1504" s="1192">
        <f t="shared" si="62"/>
        <v>0</v>
      </c>
      <c r="J1504" s="1041"/>
      <c r="K1504" s="1041"/>
      <c r="L1504" s="1015"/>
      <c r="M1504" s="934">
        <v>320</v>
      </c>
    </row>
    <row r="1505" spans="1:13" s="1016" customFormat="1" ht="25.2" hidden="1" customHeight="1">
      <c r="A1505" s="1086">
        <f t="shared" si="63"/>
        <v>0</v>
      </c>
      <c r="B1505" s="1226" t="s">
        <v>1609</v>
      </c>
      <c r="C1505" s="2841"/>
      <c r="D1505" s="1011"/>
      <c r="E1505" s="1024">
        <f>VLOOKUP($B1505,DG!A:D,DG!$B$2,)</f>
        <v>0</v>
      </c>
      <c r="F1505" s="1013" t="str">
        <f>VLOOKUP($B1505,DG!A:D,DG!$C$2,)</f>
        <v>Boulon 16x250+ 2 long đền vuông D18-50x50x3/Zn</v>
      </c>
      <c r="G1505" s="1012" t="s">
        <v>2439</v>
      </c>
      <c r="H1505" s="1713">
        <f>2*H1497*2*0</f>
        <v>0</v>
      </c>
      <c r="I1505" s="1192">
        <f t="shared" si="62"/>
        <v>0</v>
      </c>
      <c r="J1505" s="1041"/>
      <c r="K1505" s="1041"/>
      <c r="L1505" s="1015"/>
      <c r="M1505" s="934">
        <v>320</v>
      </c>
    </row>
    <row r="1506" spans="1:13" s="1016" customFormat="1" ht="25.2" hidden="1" customHeight="1" collapsed="1">
      <c r="A1506" s="1086">
        <f t="shared" si="63"/>
        <v>0</v>
      </c>
      <c r="B1506" s="1226"/>
      <c r="C1506" s="2841"/>
      <c r="D1506" s="1017">
        <f>IF(H1506&gt;0,D1497+1,D1497)</f>
        <v>0</v>
      </c>
      <c r="E1506" s="1018"/>
      <c r="F1506" s="1063" t="s">
        <v>3737</v>
      </c>
      <c r="G1506" s="1017" t="s">
        <v>2385</v>
      </c>
      <c r="H1506" s="1722">
        <f>H1445*0</f>
        <v>0</v>
      </c>
      <c r="I1506" s="1192">
        <f t="shared" si="62"/>
        <v>0</v>
      </c>
      <c r="J1506" s="1014"/>
      <c r="K1506" s="1014"/>
      <c r="L1506" s="1043"/>
      <c r="M1506" s="934">
        <v>320</v>
      </c>
    </row>
    <row r="1507" spans="1:13" s="1016" customFormat="1" ht="25.2" hidden="1" customHeight="1">
      <c r="A1507" s="1086">
        <f t="shared" si="63"/>
        <v>0</v>
      </c>
      <c r="B1507" s="1226"/>
      <c r="C1507" s="2841"/>
      <c r="D1507" s="1011"/>
      <c r="E1507" s="1021"/>
      <c r="F1507" s="1267" t="s">
        <v>2279</v>
      </c>
      <c r="G1507" s="1023"/>
      <c r="H1507" s="1713"/>
      <c r="I1507" s="1192">
        <f t="shared" si="62"/>
        <v>0</v>
      </c>
      <c r="J1507" s="1014"/>
      <c r="K1507" s="1014"/>
      <c r="L1507" s="1043"/>
      <c r="M1507" s="934">
        <v>320</v>
      </c>
    </row>
    <row r="1508" spans="1:13" s="1016" customFormat="1" ht="25.2" hidden="1" customHeight="1">
      <c r="A1508" s="1086">
        <f t="shared" si="63"/>
        <v>0</v>
      </c>
      <c r="B1508" s="1226" t="s">
        <v>2022</v>
      </c>
      <c r="C1508" s="2841"/>
      <c r="D1508" s="1011"/>
      <c r="E1508" s="1024">
        <f>VLOOKUP($B1508,DG!A:D,DG!$B$2,)</f>
        <v>0</v>
      </c>
      <c r="F1508" s="1013" t="str">
        <f>VLOOKUP($B1508,DG!A:D,DG!$C$2,)</f>
        <v>Sắt góc L75 x75 x8</v>
      </c>
      <c r="G1508" s="1012" t="s">
        <v>2248</v>
      </c>
      <c r="H1508" s="1713">
        <f>H1506*9.02*(2.4+4*0.07)*2</f>
        <v>0</v>
      </c>
      <c r="I1508" s="1192">
        <f t="shared" si="62"/>
        <v>0</v>
      </c>
      <c r="J1508" s="1014"/>
      <c r="K1508" s="1014"/>
      <c r="L1508" s="1043"/>
      <c r="M1508" s="934">
        <v>320</v>
      </c>
    </row>
    <row r="1509" spans="1:13" s="1016" customFormat="1" ht="25.2" hidden="1" customHeight="1">
      <c r="A1509" s="1086">
        <f t="shared" si="63"/>
        <v>0</v>
      </c>
      <c r="B1509" s="1226" t="s">
        <v>1035</v>
      </c>
      <c r="C1509" s="2841"/>
      <c r="D1509" s="1011"/>
      <c r="E1509" s="1024">
        <f>VLOOKUP($B1509,DG!A:D,DG!$B$2,)</f>
        <v>0</v>
      </c>
      <c r="F1509" s="1013" t="str">
        <f>VLOOKUP($B1509,DG!A:D,DG!$C$2,)&amp;" (Thanh choáng 810)"</f>
        <v>Sắt góc L50 x50 x5 (Thanh choáng 810)</v>
      </c>
      <c r="G1509" s="1012" t="s">
        <v>2248</v>
      </c>
      <c r="H1509" s="1713">
        <f>H1506*3.77*0.81*4</f>
        <v>0</v>
      </c>
      <c r="I1509" s="1192">
        <f t="shared" si="62"/>
        <v>0</v>
      </c>
      <c r="J1509" s="1014"/>
      <c r="K1509" s="1014"/>
      <c r="L1509" s="1043"/>
      <c r="M1509" s="934">
        <v>320</v>
      </c>
    </row>
    <row r="1510" spans="1:13" s="1016" customFormat="1" ht="25.2" hidden="1" customHeight="1">
      <c r="A1510" s="1086">
        <f t="shared" si="63"/>
        <v>0</v>
      </c>
      <c r="B1510" s="1226" t="s">
        <v>1610</v>
      </c>
      <c r="C1510" s="2841"/>
      <c r="D1510" s="1011"/>
      <c r="E1510" s="1024">
        <f>VLOOKUP($B1510,DG!A:D,DG!$B$2,)</f>
        <v>0</v>
      </c>
      <c r="F1510" s="1013" t="str">
        <f>VLOOKUP($B1510,DG!A:D,DG!$C$2,)</f>
        <v>Boulon 16x300+ 2 long đền vuông D18-50x50x3/Zn</v>
      </c>
      <c r="G1510" s="1012" t="s">
        <v>2439</v>
      </c>
      <c r="H1510" s="1713">
        <f>H1506*2</f>
        <v>0</v>
      </c>
      <c r="I1510" s="1192">
        <f t="shared" si="62"/>
        <v>0</v>
      </c>
      <c r="J1510" s="1014"/>
      <c r="K1510" s="1014"/>
      <c r="L1510" s="1043"/>
      <c r="M1510" s="934">
        <v>320</v>
      </c>
    </row>
    <row r="1511" spans="1:13" s="1016" customFormat="1" ht="25.2" hidden="1" customHeight="1">
      <c r="A1511" s="1086">
        <f t="shared" si="63"/>
        <v>0</v>
      </c>
      <c r="B1511" s="1226" t="s">
        <v>1786</v>
      </c>
      <c r="C1511" s="2841"/>
      <c r="D1511" s="1011"/>
      <c r="E1511" s="1024">
        <f>VLOOKUP($B1511,DG!A:D,DG!$B$2,)</f>
        <v>0</v>
      </c>
      <c r="F1511" s="1013" t="str">
        <f>VLOOKUP($B1511,DG!A:D,DG!$C$2,)</f>
        <v>Boulon 16x50+ 2 long đền vuông D18-50x50x3/Zn</v>
      </c>
      <c r="G1511" s="1012" t="s">
        <v>2439</v>
      </c>
      <c r="H1511" s="1713">
        <f>H1506*4</f>
        <v>0</v>
      </c>
      <c r="I1511" s="1192">
        <f t="shared" si="62"/>
        <v>0</v>
      </c>
      <c r="J1511" s="1014"/>
      <c r="K1511" s="1014"/>
      <c r="L1511" s="1043"/>
      <c r="M1511" s="934">
        <v>320</v>
      </c>
    </row>
    <row r="1512" spans="1:13" s="1016" customFormat="1" ht="25.2" hidden="1" customHeight="1">
      <c r="A1512" s="1086">
        <f t="shared" si="63"/>
        <v>0</v>
      </c>
      <c r="B1512" s="1226" t="s">
        <v>1784</v>
      </c>
      <c r="C1512" s="2841"/>
      <c r="D1512" s="1011"/>
      <c r="E1512" s="1024">
        <f>VLOOKUP($B1512,DG!A:D,DG!$B$2,)</f>
        <v>0</v>
      </c>
      <c r="F1512" s="1013" t="str">
        <f>VLOOKUP($B1512,DG!A:D,DG!$C$2,)</f>
        <v>Boulon 16x300VRS+ 4 long đền vuông D18-50x50x3/Zn</v>
      </c>
      <c r="G1512" s="1012" t="s">
        <v>2439</v>
      </c>
      <c r="H1512" s="1713">
        <f>H1506*4</f>
        <v>0</v>
      </c>
      <c r="I1512" s="1192">
        <f t="shared" si="62"/>
        <v>0</v>
      </c>
      <c r="J1512" s="1014"/>
      <c r="K1512" s="1014"/>
      <c r="L1512" s="1043"/>
      <c r="M1512" s="934">
        <v>320</v>
      </c>
    </row>
    <row r="1513" spans="1:13" s="1016" customFormat="1" ht="25.2" hidden="1" customHeight="1">
      <c r="A1513" s="1086">
        <f t="shared" si="63"/>
        <v>0</v>
      </c>
      <c r="B1513" s="1226" t="s">
        <v>517</v>
      </c>
      <c r="C1513" s="2841"/>
      <c r="D1513" s="1011"/>
      <c r="E1513" s="1024" t="str">
        <f>VLOOKUP($B1513,DG!A:D,DG!$B$2,)</f>
        <v>05.6203</v>
      </c>
      <c r="F1513" s="1013" t="str">
        <f>VLOOKUP($B1513,DG!A:D,DG!$C$2,)</f>
        <v>Lắp xà néo ≤ 100kg</v>
      </c>
      <c r="G1513" s="1012" t="s">
        <v>2439</v>
      </c>
      <c r="H1513" s="1713">
        <f>H1506</f>
        <v>0</v>
      </c>
      <c r="I1513" s="1192">
        <f t="shared" si="62"/>
        <v>0</v>
      </c>
      <c r="J1513" s="1014"/>
      <c r="K1513" s="1014"/>
      <c r="L1513" s="1043"/>
      <c r="M1513" s="934">
        <v>320</v>
      </c>
    </row>
    <row r="1514" spans="1:13" s="1016" customFormat="1" ht="25.2" hidden="1" customHeight="1">
      <c r="A1514" s="1086">
        <f t="shared" si="63"/>
        <v>0</v>
      </c>
      <c r="B1514" s="1226"/>
      <c r="C1514" s="2841"/>
      <c r="D1514" s="1017">
        <f>IF(H1514&gt;0,D1506+1,D1506)</f>
        <v>0</v>
      </c>
      <c r="E1514" s="1018"/>
      <c r="F1514" s="1063" t="s">
        <v>3738</v>
      </c>
      <c r="G1514" s="1017" t="s">
        <v>2385</v>
      </c>
      <c r="H1514" s="1722">
        <f>H1445*0</f>
        <v>0</v>
      </c>
      <c r="I1514" s="1192">
        <f t="shared" si="62"/>
        <v>0</v>
      </c>
      <c r="J1514" s="1014"/>
      <c r="K1514" s="1014"/>
      <c r="L1514" s="1043"/>
      <c r="M1514" s="934">
        <v>320</v>
      </c>
    </row>
    <row r="1515" spans="1:13" s="1016" customFormat="1" ht="25.2" hidden="1" customHeight="1">
      <c r="A1515" s="1086">
        <f t="shared" si="63"/>
        <v>0</v>
      </c>
      <c r="B1515" s="1226"/>
      <c r="C1515" s="2841"/>
      <c r="D1515" s="1011"/>
      <c r="E1515" s="1021"/>
      <c r="F1515" s="1267" t="s">
        <v>2279</v>
      </c>
      <c r="G1515" s="1023"/>
      <c r="H1515" s="1713"/>
      <c r="I1515" s="1192">
        <f t="shared" si="62"/>
        <v>0</v>
      </c>
      <c r="J1515" s="1014"/>
      <c r="K1515" s="1014"/>
      <c r="L1515" s="1043"/>
      <c r="M1515" s="934">
        <v>320</v>
      </c>
    </row>
    <row r="1516" spans="1:13" s="1016" customFormat="1" ht="25.2" hidden="1" customHeight="1">
      <c r="A1516" s="1086">
        <f t="shared" si="63"/>
        <v>0</v>
      </c>
      <c r="B1516" s="1226" t="s">
        <v>2022</v>
      </c>
      <c r="C1516" s="2841"/>
      <c r="D1516" s="1011"/>
      <c r="E1516" s="1024">
        <f>VLOOKUP($B1516,DG!A:D,DG!$B$2,)</f>
        <v>0</v>
      </c>
      <c r="F1516" s="1013" t="str">
        <f>VLOOKUP($B1516,DG!A:D,DG!$C$2,)</f>
        <v>Sắt góc L75 x75 x8</v>
      </c>
      <c r="G1516" s="1012" t="s">
        <v>2248</v>
      </c>
      <c r="H1516" s="1713">
        <f>H1514*9.42*(2.2+4*0.07)</f>
        <v>0</v>
      </c>
      <c r="I1516" s="1192">
        <f t="shared" si="62"/>
        <v>0</v>
      </c>
      <c r="J1516" s="1014"/>
      <c r="K1516" s="1014"/>
      <c r="L1516" s="1043"/>
      <c r="M1516" s="934">
        <v>320</v>
      </c>
    </row>
    <row r="1517" spans="1:13" s="1016" customFormat="1" ht="25.2" hidden="1" customHeight="1">
      <c r="A1517" s="1086">
        <f t="shared" si="63"/>
        <v>0</v>
      </c>
      <c r="B1517" s="1226" t="s">
        <v>1035</v>
      </c>
      <c r="C1517" s="2841"/>
      <c r="D1517" s="1011"/>
      <c r="E1517" s="1024">
        <f>VLOOKUP($B1517,DG!A:D,DG!$B$2,)</f>
        <v>0</v>
      </c>
      <c r="F1517" s="1013" t="str">
        <f>VLOOKUP($B1517,DG!A:D,DG!$C$2,)&amp;" (Thanh choáng 810)"</f>
        <v>Sắt góc L50 x50 x5 (Thanh choáng 810)</v>
      </c>
      <c r="G1517" s="1012" t="s">
        <v>2248</v>
      </c>
      <c r="H1517" s="1713">
        <f>H1514*3.77*0.81*2</f>
        <v>0</v>
      </c>
      <c r="I1517" s="1192">
        <f t="shared" si="62"/>
        <v>0</v>
      </c>
      <c r="J1517" s="1014"/>
      <c r="K1517" s="1014"/>
      <c r="L1517" s="1043"/>
      <c r="M1517" s="934">
        <v>320</v>
      </c>
    </row>
    <row r="1518" spans="1:13" s="1016" customFormat="1" ht="25.2" hidden="1" customHeight="1">
      <c r="A1518" s="1086">
        <f t="shared" si="63"/>
        <v>0</v>
      </c>
      <c r="B1518" s="1226" t="s">
        <v>1079</v>
      </c>
      <c r="C1518" s="2841"/>
      <c r="D1518" s="1011"/>
      <c r="E1518" s="1024">
        <f>VLOOKUP($B1518,DG!A:D,DG!$B$2,)</f>
        <v>0</v>
      </c>
      <c r="F1518" s="1013" t="str">
        <f>VLOOKUP($B1518,DG!A:D,DG!$C$2,)</f>
        <v>Boulon 16x350+ 2 long đền vuông D18-50x50x3/Zn</v>
      </c>
      <c r="G1518" s="1012" t="s">
        <v>2439</v>
      </c>
      <c r="H1518" s="1713">
        <f>H1514*2</f>
        <v>0</v>
      </c>
      <c r="I1518" s="1192">
        <f t="shared" ref="I1518:I1581" si="64">IF(M1518=$M$23,H1518+J1518-K1518,0)</f>
        <v>0</v>
      </c>
      <c r="J1518" s="1014"/>
      <c r="K1518" s="1014"/>
      <c r="L1518" s="1043"/>
      <c r="M1518" s="934">
        <v>320</v>
      </c>
    </row>
    <row r="1519" spans="1:13" s="1016" customFormat="1" ht="25.2" hidden="1" customHeight="1">
      <c r="A1519" s="1086">
        <f t="shared" si="63"/>
        <v>0</v>
      </c>
      <c r="B1519" s="1226" t="s">
        <v>1786</v>
      </c>
      <c r="C1519" s="2841"/>
      <c r="D1519" s="1011"/>
      <c r="E1519" s="1024">
        <f>VLOOKUP($B1519,DG!A:D,DG!$B$2,)</f>
        <v>0</v>
      </c>
      <c r="F1519" s="1013" t="str">
        <f>VLOOKUP($B1519,DG!A:D,DG!$C$2,)</f>
        <v>Boulon 16x50+ 2 long đền vuông D18-50x50x3/Zn</v>
      </c>
      <c r="G1519" s="1012" t="s">
        <v>2439</v>
      </c>
      <c r="H1519" s="1713">
        <f>H1514*2</f>
        <v>0</v>
      </c>
      <c r="I1519" s="1192">
        <f t="shared" si="64"/>
        <v>0</v>
      </c>
      <c r="J1519" s="1014"/>
      <c r="K1519" s="1014"/>
      <c r="L1519" s="1043"/>
      <c r="M1519" s="934">
        <v>320</v>
      </c>
    </row>
    <row r="1520" spans="1:13" s="1016" customFormat="1" ht="25.2" hidden="1" customHeight="1">
      <c r="A1520" s="1086">
        <f t="shared" si="63"/>
        <v>0</v>
      </c>
      <c r="B1520" s="1226" t="s">
        <v>1735</v>
      </c>
      <c r="C1520" s="2841"/>
      <c r="D1520" s="1011"/>
      <c r="E1520" s="1024">
        <f>VLOOKUP($B1520,DG!A:D,DG!$B$2,)</f>
        <v>0</v>
      </c>
      <c r="F1520" s="1013" t="str">
        <f>VLOOKUP($B1520,DG!A:D,DG!$C$2,)</f>
        <v>Bass LI bắt FCO</v>
      </c>
      <c r="G1520" s="1012" t="s">
        <v>2439</v>
      </c>
      <c r="H1520" s="1713">
        <f>IF(H1514&gt;0,3,)*0</f>
        <v>0</v>
      </c>
      <c r="I1520" s="1192">
        <f t="shared" si="64"/>
        <v>0</v>
      </c>
      <c r="J1520" s="1014"/>
      <c r="K1520" s="1014"/>
      <c r="L1520" s="1043"/>
      <c r="M1520" s="934">
        <v>320</v>
      </c>
    </row>
    <row r="1521" spans="1:13" s="1016" customFormat="1" ht="25.2" hidden="1" customHeight="1">
      <c r="A1521" s="1086">
        <f t="shared" si="63"/>
        <v>0</v>
      </c>
      <c r="B1521" s="1226" t="s">
        <v>988</v>
      </c>
      <c r="C1521" s="2841"/>
      <c r="D1521" s="1011"/>
      <c r="E1521" s="1024" t="str">
        <f>VLOOKUP($B1521,DG!A:D,DG!$B$2,)</f>
        <v>06.3231</v>
      </c>
      <c r="F1521" s="1013" t="str">
        <f>VLOOKUP($B1521,DG!A:D,DG!$C$2,)</f>
        <v xml:space="preserve">Cổ dê chống lắc 8x80x800 </v>
      </c>
      <c r="G1521" s="1012" t="s">
        <v>2439</v>
      </c>
      <c r="H1521" s="1713">
        <f>H1514*0</f>
        <v>0</v>
      </c>
      <c r="I1521" s="1192">
        <f t="shared" si="64"/>
        <v>0</v>
      </c>
      <c r="J1521" s="1014"/>
      <c r="K1521" s="1014"/>
      <c r="L1521" s="1043"/>
      <c r="M1521" s="934">
        <v>320</v>
      </c>
    </row>
    <row r="1522" spans="1:13" s="1016" customFormat="1" ht="25.2" hidden="1" customHeight="1">
      <c r="A1522" s="1086">
        <f t="shared" si="63"/>
        <v>0</v>
      </c>
      <c r="B1522" s="1226" t="s">
        <v>1440</v>
      </c>
      <c r="C1522" s="2841"/>
      <c r="D1522" s="1011"/>
      <c r="E1522" s="1024" t="str">
        <f>VLOOKUP($B1522,DG!A:D,DG!$B$2,)</f>
        <v>05.6102</v>
      </c>
      <c r="F1522" s="1013" t="str">
        <f>VLOOKUP($B1522,DG!A:D,DG!$C$2,)</f>
        <v>Lắp xà đỡ ≤ 50kg</v>
      </c>
      <c r="G1522" s="1012" t="s">
        <v>2439</v>
      </c>
      <c r="H1522" s="1713">
        <f>H1514</f>
        <v>0</v>
      </c>
      <c r="I1522" s="1192">
        <f t="shared" si="64"/>
        <v>0</v>
      </c>
      <c r="J1522" s="1014"/>
      <c r="K1522" s="1014"/>
      <c r="L1522" s="1043"/>
      <c r="M1522" s="934">
        <v>320</v>
      </c>
    </row>
    <row r="1523" spans="1:13" s="1016" customFormat="1" ht="25.2" hidden="1" customHeight="1">
      <c r="A1523" s="1086">
        <f t="shared" si="63"/>
        <v>0</v>
      </c>
      <c r="B1523" s="1226"/>
      <c r="C1523" s="2841"/>
      <c r="D1523" s="1017">
        <f>IF(H1523&gt;0,D1514+1,D1514)</f>
        <v>0</v>
      </c>
      <c r="E1523" s="1018"/>
      <c r="F1523" s="1063" t="s">
        <v>3720</v>
      </c>
      <c r="G1523" s="1017" t="s">
        <v>2385</v>
      </c>
      <c r="H1523" s="1722">
        <f>H1445</f>
        <v>0</v>
      </c>
      <c r="I1523" s="1192">
        <f t="shared" si="64"/>
        <v>0</v>
      </c>
      <c r="J1523" s="1014"/>
      <c r="K1523" s="1014"/>
      <c r="L1523" s="1043"/>
      <c r="M1523" s="934">
        <v>320</v>
      </c>
    </row>
    <row r="1524" spans="1:13" s="1016" customFormat="1" ht="25.2" hidden="1" customHeight="1">
      <c r="A1524" s="1086">
        <f t="shared" si="63"/>
        <v>0</v>
      </c>
      <c r="B1524" s="1255"/>
      <c r="C1524" s="2841"/>
      <c r="D1524" s="1011"/>
      <c r="E1524" s="1021"/>
      <c r="F1524" s="1267" t="s">
        <v>2279</v>
      </c>
      <c r="G1524" s="1023"/>
      <c r="H1524" s="1713"/>
      <c r="I1524" s="1192">
        <f t="shared" si="64"/>
        <v>0</v>
      </c>
      <c r="J1524" s="1014"/>
      <c r="K1524" s="1014"/>
      <c r="L1524" s="1043"/>
      <c r="M1524" s="934">
        <v>320</v>
      </c>
    </row>
    <row r="1525" spans="1:13" s="1016" customFormat="1" ht="25.2" hidden="1" customHeight="1">
      <c r="A1525" s="1086">
        <f t="shared" si="63"/>
        <v>0</v>
      </c>
      <c r="B1525" s="1226" t="s">
        <v>1033</v>
      </c>
      <c r="C1525" s="2841"/>
      <c r="D1525" s="1011"/>
      <c r="E1525" s="1012">
        <f>VLOOKUP($B1525,DG!A:D,DG!$B$2,)</f>
        <v>0</v>
      </c>
      <c r="F1525" s="1013" t="str">
        <f>VLOOKUP($B1525,DG!A:D,DG!$C$2,)</f>
        <v>Cáp đồng trần M25mm2</v>
      </c>
      <c r="G1525" s="1024" t="str">
        <f>VLOOKUP($B1525,DG!A:D,DG!$D$2,)</f>
        <v>kg</v>
      </c>
      <c r="H1525" s="1994">
        <f>54*0.224*H1523</f>
        <v>0</v>
      </c>
      <c r="I1525" s="1192">
        <f t="shared" si="64"/>
        <v>0</v>
      </c>
      <c r="J1525" s="1014"/>
      <c r="K1525" s="1014"/>
      <c r="L1525" s="1043"/>
      <c r="M1525" s="934">
        <v>320</v>
      </c>
    </row>
    <row r="1526" spans="1:13" s="1016" customFormat="1" ht="25.2" hidden="1" customHeight="1">
      <c r="A1526" s="1086">
        <f t="shared" si="63"/>
        <v>0</v>
      </c>
      <c r="B1526" s="1226" t="s">
        <v>1033</v>
      </c>
      <c r="C1526" s="2841"/>
      <c r="D1526" s="1011"/>
      <c r="E1526" s="1012">
        <f>VLOOKUP($B1526,DG!A:D,DG!$B$2,)</f>
        <v>0</v>
      </c>
      <c r="F1526" s="1013" t="str">
        <f>VLOOKUP($B1526,DG!A:D,DG!$C$2,)</f>
        <v>Cáp đồng trần M25mm2</v>
      </c>
      <c r="G1526" s="1012" t="str">
        <f>VLOOKUP($B1526,DG!A:D,DG!$D$2,)</f>
        <v>kg</v>
      </c>
      <c r="H1526" s="1713">
        <f>17*0.224*H1523*0</f>
        <v>0</v>
      </c>
      <c r="I1526" s="1192">
        <f t="shared" si="64"/>
        <v>0</v>
      </c>
      <c r="J1526" s="1014"/>
      <c r="K1526" s="1014"/>
      <c r="L1526" s="1043"/>
      <c r="M1526" s="934">
        <v>320</v>
      </c>
    </row>
    <row r="1527" spans="1:13" s="1016" customFormat="1" ht="25.2" hidden="1" customHeight="1">
      <c r="A1527" s="1086">
        <f t="shared" si="63"/>
        <v>0</v>
      </c>
      <c r="B1527" s="1087" t="s">
        <v>1508</v>
      </c>
      <c r="C1527" s="2842"/>
      <c r="D1527" s="1011"/>
      <c r="E1527" s="1012">
        <f>VLOOKUP($B1527,DG!A:D,DG!$B$2,)</f>
        <v>0</v>
      </c>
      <c r="F1527" s="1013" t="str">
        <f>VLOOKUP($B1527,DG!A:D,DG!$C$2,)</f>
        <v>Cọc tiếp đất Þ 16- 2,4m + kẹp cọc mạ đồng</v>
      </c>
      <c r="G1527" s="1024" t="str">
        <f>VLOOKUP($B1527,DG!A:D,DG!$D$2,)</f>
        <v>bộ</v>
      </c>
      <c r="H1527" s="1713">
        <f>I2</f>
        <v>9</v>
      </c>
      <c r="I1527" s="1192">
        <f t="shared" si="64"/>
        <v>0</v>
      </c>
      <c r="J1527" s="1014"/>
      <c r="K1527" s="1014"/>
      <c r="L1527" s="1043"/>
      <c r="M1527" s="934">
        <v>320</v>
      </c>
    </row>
    <row r="1528" spans="1:13" s="1016" customFormat="1" ht="25.2" hidden="1" customHeight="1">
      <c r="A1528" s="1086">
        <f t="shared" si="63"/>
        <v>0</v>
      </c>
      <c r="B1528" s="1087" t="s">
        <v>1490</v>
      </c>
      <c r="C1528" s="2842"/>
      <c r="D1528" s="1011"/>
      <c r="E1528" s="1012" t="str">
        <f>VLOOKUP($B1528,DG!A:D,DG!$B$2,)</f>
        <v>07.2403</v>
      </c>
      <c r="F1528" s="1013" t="str">
        <f>VLOOKUP($B1528,DG!A:D,DG!$C$2,)&amp;": 02 trụ"</f>
        <v>Ống PVC D21x1,6mm : 02 trụ</v>
      </c>
      <c r="G1528" s="1012" t="str">
        <f>VLOOKUP($B1528,DG!A:D,DG!$D$2,)</f>
        <v>m</v>
      </c>
      <c r="H1528" s="1713">
        <v>8</v>
      </c>
      <c r="I1528" s="1192">
        <f t="shared" si="64"/>
        <v>0</v>
      </c>
      <c r="J1528" s="1014"/>
      <c r="K1528" s="1014"/>
      <c r="L1528" s="1015"/>
      <c r="M1528" s="934">
        <v>320</v>
      </c>
    </row>
    <row r="1529" spans="1:13" s="1016" customFormat="1" ht="25.2" hidden="1" customHeight="1">
      <c r="A1529" s="1086">
        <f t="shared" si="63"/>
        <v>0</v>
      </c>
      <c r="B1529" s="1231" t="s">
        <v>1579</v>
      </c>
      <c r="C1529" s="2844"/>
      <c r="D1529" s="1011"/>
      <c r="E1529" s="1012">
        <f>VLOOKUP($B1529,DG!A:D,DG!$B$2,)</f>
        <v>0</v>
      </c>
      <c r="F1529" s="1013" t="str">
        <f>VLOOKUP($B1529,DG!A:D,DG!$C$2,)&amp; " bắt dây trung tính "</f>
        <v xml:space="preserve">Kẹp ép WR cỡ dây 50mm2 bắt dây trung tính </v>
      </c>
      <c r="G1529" s="1024" t="str">
        <f>VLOOKUP($B1529,DG!A:D,DG!$D$2,)</f>
        <v>cái</v>
      </c>
      <c r="H1529" s="1713">
        <f>2*H1523</f>
        <v>0</v>
      </c>
      <c r="I1529" s="1192">
        <f t="shared" si="64"/>
        <v>0</v>
      </c>
      <c r="J1529" s="1014"/>
      <c r="K1529" s="1014"/>
      <c r="L1529" s="1043"/>
      <c r="M1529" s="934">
        <v>320</v>
      </c>
    </row>
    <row r="1530" spans="1:13" s="1016" customFormat="1" ht="25.2" hidden="1" customHeight="1">
      <c r="A1530" s="1086">
        <f t="shared" si="63"/>
        <v>0</v>
      </c>
      <c r="B1530" s="1231" t="s">
        <v>1395</v>
      </c>
      <c r="C1530" s="2844"/>
      <c r="D1530" s="1065"/>
      <c r="E1530" s="1012">
        <f>VLOOKUP($B1530,DG!A:D,DG!$B$2,)</f>
        <v>0</v>
      </c>
      <c r="F1530" s="1013" t="str">
        <f>VLOOKUP($B1530,DG!A:D,DG!$C$2,)&amp;": bắt lưới tiếp địa"</f>
        <v>Kẹp ép cỡ dây 25mm2: bắt lưới tiếp địa</v>
      </c>
      <c r="G1530" s="1024" t="str">
        <f>VLOOKUP($B1530,DG!A:D,DG!$D$2,)</f>
        <v>cái</v>
      </c>
      <c r="H1530" s="1713">
        <f>H1523*12</f>
        <v>0</v>
      </c>
      <c r="I1530" s="1192">
        <f t="shared" si="64"/>
        <v>0</v>
      </c>
      <c r="J1530" s="1014"/>
      <c r="K1530" s="1014"/>
      <c r="L1530" s="1043"/>
      <c r="M1530" s="934">
        <v>320</v>
      </c>
    </row>
    <row r="1531" spans="1:13" s="1016" customFormat="1" ht="25.2" hidden="1" customHeight="1">
      <c r="A1531" s="1086">
        <f t="shared" si="63"/>
        <v>0</v>
      </c>
      <c r="B1531" s="1087" t="s">
        <v>138</v>
      </c>
      <c r="C1531" s="2842"/>
      <c r="D1531" s="1011"/>
      <c r="E1531" s="1012">
        <f>VLOOKUP($B1531,DG!A:D,DG!$B$2,)</f>
        <v>0</v>
      </c>
      <c r="F1531" s="1013" t="str">
        <f>VLOOKUP($B1531,DG!A:D,DG!$C$2,)</f>
        <v>Boulon 12x40+ 2 long đền vuông D14-50x50x3/Zn</v>
      </c>
      <c r="G1531" s="1024" t="str">
        <f>VLOOKUP($B1531,DG!A:D,DG!$D$2,)</f>
        <v>bộ</v>
      </c>
      <c r="H1531" s="1713"/>
      <c r="I1531" s="1192">
        <f t="shared" si="64"/>
        <v>0</v>
      </c>
      <c r="J1531" s="1014"/>
      <c r="K1531" s="1014"/>
      <c r="L1531" s="1043"/>
      <c r="M1531" s="934">
        <v>320</v>
      </c>
    </row>
    <row r="1532" spans="1:13" s="1016" customFormat="1" ht="25.2" hidden="1" customHeight="1">
      <c r="A1532" s="1086">
        <f t="shared" si="63"/>
        <v>0</v>
      </c>
      <c r="B1532" s="1087" t="s">
        <v>104</v>
      </c>
      <c r="C1532" s="2842"/>
      <c r="D1532" s="1011"/>
      <c r="E1532" s="1012" t="str">
        <f>VLOOKUP($B1532,DG!A:D,DG!$B$2,)</f>
        <v>03.4001</v>
      </c>
      <c r="F1532" s="1013" t="str">
        <f>VLOOKUP($B1532,DG!A:D,DG!$C$2,)</f>
        <v>Đầu cosse ép Cu 25mm2</v>
      </c>
      <c r="G1532" s="1024" t="str">
        <f>VLOOKUP($B1532,DG!A:D,DG!$D$2,)</f>
        <v>cái</v>
      </c>
      <c r="H1532" s="1713"/>
      <c r="I1532" s="1192">
        <f t="shared" si="64"/>
        <v>0</v>
      </c>
      <c r="J1532" s="1014"/>
      <c r="K1532" s="1014"/>
      <c r="L1532" s="1043"/>
      <c r="M1532" s="934">
        <v>320</v>
      </c>
    </row>
    <row r="1533" spans="1:13" s="1016" customFormat="1" ht="25.2" hidden="1" customHeight="1">
      <c r="A1533" s="1086">
        <f t="shared" si="63"/>
        <v>0</v>
      </c>
      <c r="B1533" s="1087" t="s">
        <v>525</v>
      </c>
      <c r="C1533" s="2842"/>
      <c r="D1533" s="1011"/>
      <c r="E1533" s="1012" t="str">
        <f>VLOOKUP($B1533,DG!A:D,DG!$B$2,)</f>
        <v>06.3231</v>
      </c>
      <c r="F1533" s="1013" t="str">
        <f>VLOOKUP($B1533,DG!A:D,DG!$C$2,)&amp;": 02 bộ CD-250"</f>
        <v>Cổ dê kẹp ống PVC  21: 02 bộ CD-250</v>
      </c>
      <c r="G1533" s="1012" t="str">
        <f>VLOOKUP($B1533,DG!A:D,DG!$D$2,)</f>
        <v>bộ</v>
      </c>
      <c r="H1533" s="1713"/>
      <c r="I1533" s="1192">
        <f t="shared" si="64"/>
        <v>0</v>
      </c>
      <c r="J1533" s="1014"/>
      <c r="K1533" s="1014"/>
      <c r="L1533" s="1015"/>
      <c r="M1533" s="934">
        <v>320</v>
      </c>
    </row>
    <row r="1534" spans="1:13" s="1016" customFormat="1" ht="25.2" hidden="1" customHeight="1">
      <c r="A1534" s="1086">
        <f t="shared" si="63"/>
        <v>0</v>
      </c>
      <c r="B1534" s="1087" t="s">
        <v>525</v>
      </c>
      <c r="C1534" s="2842"/>
      <c r="D1534" s="1011"/>
      <c r="E1534" s="1012" t="str">
        <f>VLOOKUP($B1534,DG!A:D,DG!$B$2,)</f>
        <v>06.3231</v>
      </c>
      <c r="F1534" s="1013" t="str">
        <f>VLOOKUP($B1534,DG!A:D,DG!$C$2,)&amp;": 02 bộ CD-280"</f>
        <v>Cổ dê kẹp ống PVC  21: 02 bộ CD-280</v>
      </c>
      <c r="G1534" s="1012" t="str">
        <f>VLOOKUP($B1534,DG!A:D,DG!$D$2,)</f>
        <v>bộ</v>
      </c>
      <c r="H1534" s="1713">
        <v>1</v>
      </c>
      <c r="I1534" s="1192">
        <f t="shared" si="64"/>
        <v>0</v>
      </c>
      <c r="J1534" s="1014"/>
      <c r="K1534" s="1014"/>
      <c r="L1534" s="1015"/>
      <c r="M1534" s="934">
        <v>320</v>
      </c>
    </row>
    <row r="1535" spans="1:13" s="1016" customFormat="1" ht="25.2" hidden="1" customHeight="1">
      <c r="A1535" s="1086">
        <f t="shared" si="63"/>
        <v>0</v>
      </c>
      <c r="B1535" s="1087" t="s">
        <v>525</v>
      </c>
      <c r="C1535" s="2842"/>
      <c r="D1535" s="1011"/>
      <c r="E1535" s="1012" t="str">
        <f>VLOOKUP($B1535,DG!A:D,DG!$B$2,)</f>
        <v>06.3231</v>
      </c>
      <c r="F1535" s="1013" t="str">
        <f>VLOOKUP($B1535,DG!A:D,DG!$C$2,)&amp;": 02 bộ CD-320"</f>
        <v>Cổ dê kẹp ống PVC  21: 02 bộ CD-320</v>
      </c>
      <c r="G1535" s="1012" t="str">
        <f>VLOOKUP($B1535,DG!A:D,DG!$D$2,)</f>
        <v>bộ</v>
      </c>
      <c r="H1535" s="1713">
        <v>1</v>
      </c>
      <c r="I1535" s="1192">
        <f t="shared" si="64"/>
        <v>0</v>
      </c>
      <c r="J1535" s="1014"/>
      <c r="K1535" s="1014"/>
      <c r="L1535" s="1015"/>
      <c r="M1535" s="934">
        <v>320</v>
      </c>
    </row>
    <row r="1536" spans="1:13" s="1016" customFormat="1" ht="25.2" hidden="1" customHeight="1">
      <c r="A1536" s="1086">
        <f t="shared" si="63"/>
        <v>0</v>
      </c>
      <c r="B1536" s="1087" t="s">
        <v>1131</v>
      </c>
      <c r="C1536" s="2842"/>
      <c r="D1536" s="1011"/>
      <c r="E1536" s="1012" t="str">
        <f>VLOOKUP($B1536,DG!A:D,DG!$B$2,)</f>
        <v>06.2110</v>
      </c>
      <c r="F1536" s="1013" t="str">
        <f>VLOOKUP($B1536,DG!A:D,DG!$C$2,)&amp;": 06 bộ"</f>
        <v>Lắp cổ dê: 06 bộ</v>
      </c>
      <c r="G1536" s="1012" t="str">
        <f>VLOOKUP($B1536,DG!A:D,DG!$D$2,)</f>
        <v>bộ</v>
      </c>
      <c r="H1536" s="1713">
        <f>H1523*2</f>
        <v>0</v>
      </c>
      <c r="I1536" s="1192">
        <f t="shared" si="64"/>
        <v>0</v>
      </c>
      <c r="J1536" s="1014"/>
      <c r="K1536" s="1014"/>
      <c r="L1536" s="1015"/>
      <c r="M1536" s="934">
        <v>320</v>
      </c>
    </row>
    <row r="1537" spans="1:16" s="1016" customFormat="1" ht="25.2" hidden="1" customHeight="1">
      <c r="A1537" s="1086">
        <f t="shared" si="63"/>
        <v>0</v>
      </c>
      <c r="B1537" s="1087" t="s">
        <v>138</v>
      </c>
      <c r="C1537" s="2842"/>
      <c r="D1537" s="1011"/>
      <c r="E1537" s="1012">
        <f>VLOOKUP($B1537,DG!A:D,DG!$B$2,)</f>
        <v>0</v>
      </c>
      <c r="F1537" s="1013" t="str">
        <f>VLOOKUP($B1537,DG!A:D,DG!$C$2,)</f>
        <v>Boulon 12x40+ 2 long đền vuông D14-50x50x3/Zn</v>
      </c>
      <c r="G1537" s="1012" t="str">
        <f>VLOOKUP($B1537,DG!A:D,DG!$D$2,)</f>
        <v>bộ</v>
      </c>
      <c r="H1537" s="1713"/>
      <c r="I1537" s="1192">
        <f t="shared" si="64"/>
        <v>0</v>
      </c>
      <c r="J1537" s="1014"/>
      <c r="K1537" s="1014"/>
      <c r="L1537" s="1015"/>
      <c r="M1537" s="934">
        <v>320</v>
      </c>
    </row>
    <row r="1538" spans="1:16" s="1016" customFormat="1" ht="25.2" hidden="1" customHeight="1">
      <c r="A1538" s="1086">
        <f t="shared" si="63"/>
        <v>0</v>
      </c>
      <c r="B1538" s="1087" t="s">
        <v>1985</v>
      </c>
      <c r="C1538" s="2842"/>
      <c r="D1538" s="1011"/>
      <c r="E1538" s="1012">
        <f>VLOOKUP($B1538,DG!A:D,DG!$B$2,)</f>
        <v>0</v>
      </c>
      <c r="F1538" s="1013" t="str">
        <f>VLOOKUP($B1538,DG!A:D,DG!$C$2,)</f>
        <v>Boulon 12x60+ 2 long đền vuông D14-50x50x3/Zn</v>
      </c>
      <c r="G1538" s="1012" t="str">
        <f>VLOOKUP($B1538,DG!A:D,DG!$D$2,)</f>
        <v>bộ</v>
      </c>
      <c r="H1538" s="1713"/>
      <c r="I1538" s="1192">
        <f t="shared" si="64"/>
        <v>0</v>
      </c>
      <c r="J1538" s="1014"/>
      <c r="K1538" s="1014"/>
      <c r="L1538" s="1015"/>
      <c r="M1538" s="934">
        <v>320</v>
      </c>
    </row>
    <row r="1539" spans="1:16" s="1016" customFormat="1" ht="25.2" hidden="1" customHeight="1">
      <c r="A1539" s="1086">
        <f t="shared" si="63"/>
        <v>0</v>
      </c>
      <c r="B1539" s="1087" t="s">
        <v>1585</v>
      </c>
      <c r="C1539" s="2842"/>
      <c r="D1539" s="1011"/>
      <c r="E1539" s="1012">
        <f>VLOOKUP($B1539,DG!A:D,DG!$B$2,)</f>
        <v>0</v>
      </c>
      <c r="F1539" s="1013" t="str">
        <f>VLOOKUP($B1539,DG!A:D,DG!$C$2,)</f>
        <v>Giếng tiếp địa khoan đất</v>
      </c>
      <c r="G1539" s="1012" t="str">
        <f>VLOOKUP($B1539,DG!A:D,DG!$D$2,)</f>
        <v>Cái</v>
      </c>
      <c r="H1539" s="1713">
        <f>M3*H1523</f>
        <v>0</v>
      </c>
      <c r="I1539" s="1192">
        <f t="shared" si="64"/>
        <v>0</v>
      </c>
      <c r="J1539" s="1014"/>
      <c r="K1539" s="1014"/>
      <c r="L1539" s="1043"/>
      <c r="M1539" s="934">
        <v>320</v>
      </c>
    </row>
    <row r="1540" spans="1:16" s="1016" customFormat="1" ht="25.2" hidden="1" customHeight="1">
      <c r="A1540" s="1086">
        <f t="shared" si="63"/>
        <v>0</v>
      </c>
      <c r="B1540" s="1087" t="str">
        <f>"DTD"&amp;chitiet!G5</f>
        <v>DTD3</v>
      </c>
      <c r="C1540" s="2842"/>
      <c r="D1540" s="1023"/>
      <c r="E1540" s="1012" t="str">
        <f>VLOOKUP($B1540,DG!A:D,DG!$B$2,)</f>
        <v>03.3123</v>
      </c>
      <c r="F1540" s="1013" t="str">
        <f>VLOOKUP($B1540,DG!A:D,DG!$C$2,)</f>
        <v>Đào rãnh tiếp địa đất cấp 3</v>
      </c>
      <c r="G1540" s="1024" t="str">
        <f>VLOOKUP($B1540,DG!A:D,DG!$D$2,)</f>
        <v>m3</v>
      </c>
      <c r="H1540" s="1100">
        <f>0.3*0.2*36*H1523</f>
        <v>0</v>
      </c>
      <c r="I1540" s="1192">
        <f t="shared" si="64"/>
        <v>0</v>
      </c>
      <c r="J1540" s="1014"/>
      <c r="K1540" s="1014"/>
      <c r="L1540" s="1043"/>
      <c r="M1540" s="934">
        <v>320</v>
      </c>
    </row>
    <row r="1541" spans="1:16" s="1016" customFormat="1" ht="25.2" hidden="1" customHeight="1">
      <c r="A1541" s="1086">
        <f t="shared" si="63"/>
        <v>0</v>
      </c>
      <c r="B1541" s="1087" t="str">
        <f>"DATD"&amp;chitiet!G5</f>
        <v>DATD3</v>
      </c>
      <c r="C1541" s="2842"/>
      <c r="D1541" s="1023"/>
      <c r="E1541" s="1012" t="str">
        <f>VLOOKUP($B1541,DG!A:D,DG!$B$2,)</f>
        <v>03.4123</v>
      </c>
      <c r="F1541" s="1013" t="str">
        <f>VLOOKUP($B1541,DG!A:D,DG!$C$2,)</f>
        <v>Đắp đất rãnh tiếp độ chặt k=0,85</v>
      </c>
      <c r="G1541" s="1024" t="str">
        <f>VLOOKUP($B1541,DG!A:D,DG!$D$2,)</f>
        <v>m3</v>
      </c>
      <c r="H1541" s="1100">
        <f>H1540</f>
        <v>0</v>
      </c>
      <c r="I1541" s="1192">
        <f t="shared" si="64"/>
        <v>0</v>
      </c>
      <c r="J1541" s="1014"/>
      <c r="K1541" s="1014"/>
      <c r="L1541" s="1043"/>
      <c r="M1541" s="934">
        <v>320</v>
      </c>
    </row>
    <row r="1542" spans="1:16" s="1016" customFormat="1" ht="25.2" hidden="1" customHeight="1">
      <c r="A1542" s="1086">
        <f t="shared" si="63"/>
        <v>0</v>
      </c>
      <c r="B1542" s="1087" t="s">
        <v>902</v>
      </c>
      <c r="C1542" s="2842"/>
      <c r="D1542" s="1023"/>
      <c r="E1542" s="1012" t="str">
        <f>VLOOKUP($B1542,DG!A:D,DG!$B$2,)</f>
        <v>04.7001</v>
      </c>
      <c r="F1542" s="1013" t="str">
        <f>VLOOKUP($B1542,DG!A:D,DG!$C$2,)</f>
        <v>Đóng cọc tiếp địa trong TBA</v>
      </c>
      <c r="G1542" s="1024" t="str">
        <f>VLOOKUP($B1542,DG!A:D,DG!$D$2,)</f>
        <v>cọc</v>
      </c>
      <c r="H1542" s="1100">
        <f>H1527</f>
        <v>9</v>
      </c>
      <c r="I1542" s="1192">
        <f t="shared" si="64"/>
        <v>0</v>
      </c>
      <c r="J1542" s="1014"/>
      <c r="K1542" s="1014"/>
      <c r="L1542" s="1043"/>
      <c r="M1542" s="934">
        <v>320</v>
      </c>
    </row>
    <row r="1543" spans="1:16" s="1016" customFormat="1" ht="25.2" hidden="1" customHeight="1">
      <c r="A1543" s="1086">
        <f t="shared" si="63"/>
        <v>0</v>
      </c>
      <c r="B1543" s="1087" t="s">
        <v>1437</v>
      </c>
      <c r="C1543" s="2842"/>
      <c r="D1543" s="1011"/>
      <c r="E1543" s="1012" t="str">
        <f>VLOOKUP($B1543,DG!A:D,DG!$B$2,)</f>
        <v>04.7002</v>
      </c>
      <c r="F1543" s="1013" t="str">
        <f>VLOOKUP($B1543,DG!A:D,DG!$C$2,)</f>
        <v>Kéo dây tiếp địa trong TBA</v>
      </c>
      <c r="G1543" s="1024" t="str">
        <f>VLOOKUP($B1543,DG!A:D,DG!$D$2,)</f>
        <v>kg</v>
      </c>
      <c r="H1543" s="1713">
        <v>45</v>
      </c>
      <c r="I1543" s="1192">
        <f t="shared" si="64"/>
        <v>0</v>
      </c>
      <c r="J1543" s="1014"/>
      <c r="K1543" s="1014"/>
      <c r="L1543" s="1043"/>
      <c r="M1543" s="934">
        <v>320</v>
      </c>
    </row>
    <row r="1544" spans="1:16" s="1016" customFormat="1" ht="25.2" hidden="1" customHeight="1">
      <c r="A1544" s="1086">
        <f t="shared" si="63"/>
        <v>0</v>
      </c>
      <c r="B1544" s="1226"/>
      <c r="C1544" s="2841"/>
      <c r="D1544" s="1017">
        <f>IF(H1544&gt;0,D1523+1,D1523)</f>
        <v>1</v>
      </c>
      <c r="E1544" s="1018"/>
      <c r="F1544" s="1019" t="s">
        <v>4797</v>
      </c>
      <c r="G1544" s="1017" t="s">
        <v>2385</v>
      </c>
      <c r="H1544" s="1722">
        <v>1</v>
      </c>
      <c r="I1544" s="1192">
        <f t="shared" si="64"/>
        <v>0</v>
      </c>
      <c r="J1544" s="1014"/>
      <c r="K1544" s="1014"/>
      <c r="L1544" s="1015"/>
      <c r="M1544" s="934">
        <v>320</v>
      </c>
    </row>
    <row r="1545" spans="1:16" s="1016" customFormat="1" ht="25.2" hidden="1" customHeight="1">
      <c r="A1545" s="1086">
        <f t="shared" si="63"/>
        <v>0</v>
      </c>
      <c r="B1545" s="1226"/>
      <c r="C1545" s="2841"/>
      <c r="D1545" s="1011"/>
      <c r="E1545" s="1021"/>
      <c r="F1545" s="1267" t="s">
        <v>2279</v>
      </c>
      <c r="G1545" s="1023"/>
      <c r="H1545" s="1713"/>
      <c r="I1545" s="1192">
        <f t="shared" si="64"/>
        <v>0</v>
      </c>
      <c r="J1545" s="1014"/>
      <c r="K1545" s="1014"/>
      <c r="L1545" s="1015"/>
      <c r="M1545" s="934">
        <v>320</v>
      </c>
    </row>
    <row r="1546" spans="1:16" s="1016" customFormat="1" ht="25.2" hidden="1" customHeight="1">
      <c r="A1546" s="1086">
        <f t="shared" si="63"/>
        <v>0</v>
      </c>
      <c r="B1546" s="1226" t="s">
        <v>653</v>
      </c>
      <c r="C1546" s="2841"/>
      <c r="D1546" s="1023"/>
      <c r="E1546" s="1024">
        <f>VLOOKUP($B1546,DG!A:D,DG!$B$2,)</f>
        <v>0</v>
      </c>
      <c r="F1546" s="1025" t="str">
        <f>VLOOKUP($B1546,DG!A:D,DG!$C$2,)</f>
        <v>Ximăng (PC40)</v>
      </c>
      <c r="G1546" s="1024" t="str">
        <f>VLOOKUP($B1546,DG!A:D,DG!$D$2,)</f>
        <v>kg</v>
      </c>
      <c r="H1546" s="1713">
        <v>370</v>
      </c>
      <c r="I1546" s="1192">
        <f t="shared" si="64"/>
        <v>0</v>
      </c>
      <c r="J1546" s="1014"/>
      <c r="K1546" s="1014"/>
      <c r="L1546" s="1015"/>
      <c r="M1546" s="934">
        <v>320</v>
      </c>
    </row>
    <row r="1547" spans="1:16" s="1016" customFormat="1" ht="25.2" hidden="1" customHeight="1">
      <c r="A1547" s="1086">
        <f t="shared" si="63"/>
        <v>0</v>
      </c>
      <c r="B1547" s="1226" t="s">
        <v>4408</v>
      </c>
      <c r="C1547" s="2841"/>
      <c r="D1547" s="1011"/>
      <c r="E1547" s="1024">
        <f>VLOOKUP($B1547,DG!A:D,DG!$B$2,)</f>
        <v>0</v>
      </c>
      <c r="F1547" s="1025" t="str">
        <f>VLOOKUP($B1547,DG!A:D,DG!$C$2,)</f>
        <v>Cát vàng</v>
      </c>
      <c r="G1547" s="1024" t="str">
        <f>VLOOKUP($B1547,DG!A:D,DG!$D$2,)</f>
        <v>m3</v>
      </c>
      <c r="H1547" s="1713">
        <v>0.46</v>
      </c>
      <c r="I1547" s="1192">
        <f t="shared" si="64"/>
        <v>0</v>
      </c>
      <c r="J1547" s="1014"/>
      <c r="K1547" s="1014"/>
      <c r="L1547" s="1015"/>
      <c r="M1547" s="934">
        <v>320</v>
      </c>
    </row>
    <row r="1548" spans="1:16" s="1016" customFormat="1" ht="25.2" hidden="1" customHeight="1">
      <c r="A1548" s="1086">
        <f t="shared" si="63"/>
        <v>0</v>
      </c>
      <c r="B1548" s="1226" t="s">
        <v>216</v>
      </c>
      <c r="C1548" s="2841"/>
      <c r="D1548" s="1011"/>
      <c r="E1548" s="1024">
        <f>VLOOKUP($B1548,DG!A:D,DG!$B$2,)</f>
        <v>0</v>
      </c>
      <c r="F1548" s="1025" t="str">
        <f>VLOOKUP($B1548,DG!A:D,DG!$C$2,)</f>
        <v>Đá 1x2</v>
      </c>
      <c r="G1548" s="1024" t="str">
        <f>VLOOKUP($B1548,DG!A:D,DG!$D$2,)</f>
        <v>m3</v>
      </c>
      <c r="H1548" s="1713">
        <v>0.89</v>
      </c>
      <c r="I1548" s="1192">
        <f t="shared" si="64"/>
        <v>0</v>
      </c>
      <c r="J1548" s="1014"/>
      <c r="K1548" s="1014"/>
      <c r="L1548" s="1015"/>
      <c r="M1548" s="934">
        <v>320</v>
      </c>
    </row>
    <row r="1549" spans="1:16" s="1016" customFormat="1" ht="25.2" hidden="1" customHeight="1">
      <c r="A1549" s="1086">
        <f t="shared" si="63"/>
        <v>0</v>
      </c>
      <c r="B1549" s="1226" t="s">
        <v>654</v>
      </c>
      <c r="C1549" s="2841"/>
      <c r="D1549" s="1023"/>
      <c r="E1549" s="1024" t="str">
        <f>VLOOKUP($B1549,DG!A:D,DG!$B$2,)</f>
        <v>04.1203c</v>
      </c>
      <c r="F1549" s="1025" t="str">
        <f>VLOOKUP($B1549,DG!A:D,DG!$C$2,)</f>
        <v>Đổ bê tông móng trụ &lt;=250cm-M200 đá 1x2</v>
      </c>
      <c r="G1549" s="1024" t="str">
        <f>VLOOKUP($B1549,DG!A:D,DG!$D$2,)</f>
        <v>m3</v>
      </c>
      <c r="H1549" s="1713">
        <v>1.17</v>
      </c>
      <c r="I1549" s="1192">
        <f t="shared" si="64"/>
        <v>0</v>
      </c>
      <c r="J1549" s="1014"/>
      <c r="K1549" s="1014"/>
      <c r="L1549" s="1015"/>
      <c r="M1549" s="934">
        <v>320</v>
      </c>
      <c r="N1549" s="1026">
        <f>1.025*0.45</f>
        <v>0.46124999999999999</v>
      </c>
      <c r="O1549" s="1026">
        <f>1.025*0.866</f>
        <v>0.88764999999999994</v>
      </c>
      <c r="P1549" s="1170"/>
    </row>
    <row r="1550" spans="1:16" s="1016" customFormat="1" ht="25.2" hidden="1" customHeight="1">
      <c r="A1550" s="1086">
        <f t="shared" si="63"/>
        <v>0</v>
      </c>
      <c r="B1550" s="1226"/>
      <c r="C1550" s="2841"/>
      <c r="D1550" s="1017">
        <f>IF(H1550&gt;0,D1544+1,D1544)</f>
        <v>1</v>
      </c>
      <c r="E1550" s="1018"/>
      <c r="F1550" s="1019" t="s">
        <v>3722</v>
      </c>
      <c r="G1550" s="1017" t="s">
        <v>2385</v>
      </c>
      <c r="H1550" s="1722"/>
      <c r="I1550" s="1192">
        <f t="shared" si="64"/>
        <v>0</v>
      </c>
      <c r="J1550" s="1014"/>
      <c r="K1550" s="1014"/>
      <c r="L1550" s="1015"/>
      <c r="M1550" s="934">
        <v>320</v>
      </c>
    </row>
    <row r="1551" spans="1:16" s="1016" customFormat="1" ht="25.2" hidden="1" customHeight="1">
      <c r="A1551" s="1086">
        <f t="shared" si="63"/>
        <v>0</v>
      </c>
      <c r="B1551" s="1226"/>
      <c r="C1551" s="2841"/>
      <c r="D1551" s="1011"/>
      <c r="E1551" s="1021"/>
      <c r="F1551" s="1267" t="s">
        <v>2279</v>
      </c>
      <c r="G1551" s="1023"/>
      <c r="H1551" s="1713"/>
      <c r="I1551" s="1192">
        <f t="shared" si="64"/>
        <v>0</v>
      </c>
      <c r="J1551" s="1014"/>
      <c r="K1551" s="1014"/>
      <c r="L1551" s="1015"/>
      <c r="M1551" s="934">
        <v>320</v>
      </c>
    </row>
    <row r="1552" spans="1:16" s="1016" customFormat="1" ht="25.2" hidden="1" customHeight="1">
      <c r="A1552" s="1086">
        <f t="shared" si="63"/>
        <v>0</v>
      </c>
      <c r="B1552" s="1226" t="s">
        <v>653</v>
      </c>
      <c r="C1552" s="2841"/>
      <c r="D1552" s="1023"/>
      <c r="E1552" s="1024">
        <f>VLOOKUP($B1552,DG!A:D,DG!$B$2,)</f>
        <v>0</v>
      </c>
      <c r="F1552" s="1025" t="str">
        <f>VLOOKUP($B1552,DG!A:D,DG!$C$2,)</f>
        <v>Ximăng (PC40)</v>
      </c>
      <c r="G1552" s="1024" t="str">
        <f>VLOOKUP($B1552,DG!A:D,DG!$D$2,)</f>
        <v>kg</v>
      </c>
      <c r="H1552" s="1713">
        <f>H1555*M1555</f>
        <v>0</v>
      </c>
      <c r="I1552" s="1192">
        <f t="shared" si="64"/>
        <v>0</v>
      </c>
      <c r="J1552" s="1014"/>
      <c r="K1552" s="1014"/>
      <c r="L1552" s="1015"/>
      <c r="M1552" s="934">
        <v>320</v>
      </c>
    </row>
    <row r="1553" spans="1:16" s="1016" customFormat="1" ht="25.2" hidden="1" customHeight="1">
      <c r="A1553" s="1086">
        <f t="shared" si="63"/>
        <v>0</v>
      </c>
      <c r="B1553" s="1226" t="s">
        <v>4408</v>
      </c>
      <c r="C1553" s="2841"/>
      <c r="D1553" s="1011"/>
      <c r="E1553" s="1024">
        <f>VLOOKUP($B1553,DG!A:D,DG!$B$2,)</f>
        <v>0</v>
      </c>
      <c r="F1553" s="1025" t="str">
        <f>VLOOKUP($B1553,DG!A:D,DG!$C$2,)</f>
        <v>Cát vàng</v>
      </c>
      <c r="G1553" s="1024" t="str">
        <f>VLOOKUP($B1553,DG!A:D,DG!$D$2,)</f>
        <v>m3</v>
      </c>
      <c r="H1553" s="1723">
        <f>H1555*N1555</f>
        <v>0</v>
      </c>
      <c r="I1553" s="1192">
        <f t="shared" si="64"/>
        <v>0</v>
      </c>
      <c r="J1553" s="1014"/>
      <c r="K1553" s="1014"/>
      <c r="L1553" s="1015"/>
      <c r="M1553" s="934">
        <v>320</v>
      </c>
    </row>
    <row r="1554" spans="1:16" s="1016" customFormat="1" ht="25.2" hidden="1" customHeight="1">
      <c r="A1554" s="1086">
        <f t="shared" si="63"/>
        <v>0</v>
      </c>
      <c r="B1554" s="1226" t="s">
        <v>216</v>
      </c>
      <c r="C1554" s="2841"/>
      <c r="D1554" s="1011"/>
      <c r="E1554" s="1024">
        <f>VLOOKUP($B1554,DG!A:D,DG!$B$2,)</f>
        <v>0</v>
      </c>
      <c r="F1554" s="1025" t="str">
        <f>VLOOKUP($B1554,DG!A:D,DG!$C$2,)</f>
        <v>Đá 1x2</v>
      </c>
      <c r="G1554" s="1024" t="str">
        <f>VLOOKUP($B1554,DG!A:D,DG!$D$2,)</f>
        <v>m3</v>
      </c>
      <c r="H1554" s="1723">
        <f>H1555*O1555</f>
        <v>0</v>
      </c>
      <c r="I1554" s="1192">
        <f t="shared" si="64"/>
        <v>0</v>
      </c>
      <c r="J1554" s="1014"/>
      <c r="K1554" s="1014"/>
      <c r="L1554" s="1015"/>
      <c r="M1554" s="934">
        <v>320</v>
      </c>
    </row>
    <row r="1555" spans="1:16" s="1016" customFormat="1" ht="25.2" hidden="1" customHeight="1">
      <c r="A1555" s="1086">
        <f t="shared" si="63"/>
        <v>0</v>
      </c>
      <c r="B1555" s="1226" t="s">
        <v>654</v>
      </c>
      <c r="C1555" s="2841"/>
      <c r="D1555" s="1023"/>
      <c r="E1555" s="1024" t="str">
        <f>VLOOKUP($B1555,DG!A:D,DG!$B$2,)</f>
        <v>04.1203c</v>
      </c>
      <c r="F1555" s="1025" t="str">
        <f>VLOOKUP($B1555,DG!A:D,DG!$C$2,)</f>
        <v>Đổ bê tông móng trụ &lt;=250cm-M200 đá 1x2</v>
      </c>
      <c r="G1555" s="1024" t="str">
        <f>VLOOKUP($B1555,DG!A:D,DG!$D$2,)</f>
        <v>m3</v>
      </c>
      <c r="H1555" s="1713">
        <f>H1550*0.2*0.2*(0.2+0.2+0.8+0.8+2*4)</f>
        <v>0</v>
      </c>
      <c r="I1555" s="1192">
        <f t="shared" si="64"/>
        <v>0</v>
      </c>
      <c r="J1555" s="1014"/>
      <c r="K1555" s="1014"/>
      <c r="L1555" s="1015"/>
      <c r="M1555" s="934">
        <v>320</v>
      </c>
      <c r="N1555" s="1026">
        <f>1.025*0.45</f>
        <v>0.46124999999999999</v>
      </c>
      <c r="O1555" s="1026">
        <f>1.025*0.866</f>
        <v>0.88764999999999994</v>
      </c>
      <c r="P1555" s="1170"/>
    </row>
    <row r="1556" spans="1:16" s="1016" customFormat="1" ht="25.2" hidden="1" customHeight="1">
      <c r="A1556" s="1086">
        <f t="shared" si="63"/>
        <v>0</v>
      </c>
      <c r="B1556" s="1226"/>
      <c r="C1556" s="2841"/>
      <c r="D1556" s="1017">
        <f>IF(H1556&gt;0,D1550+1,D1550)</f>
        <v>2</v>
      </c>
      <c r="E1556" s="1018"/>
      <c r="F1556" s="1019" t="s">
        <v>3739</v>
      </c>
      <c r="G1556" s="1017" t="s">
        <v>2385</v>
      </c>
      <c r="H1556" s="1722">
        <v>1</v>
      </c>
      <c r="I1556" s="1192">
        <f t="shared" si="64"/>
        <v>0</v>
      </c>
      <c r="J1556" s="1014"/>
      <c r="K1556" s="1014"/>
      <c r="L1556" s="1043"/>
      <c r="M1556" s="934">
        <v>320</v>
      </c>
    </row>
    <row r="1557" spans="1:16" s="1016" customFormat="1" ht="25.2" hidden="1" customHeight="1">
      <c r="A1557" s="1086">
        <f t="shared" si="63"/>
        <v>0</v>
      </c>
      <c r="B1557" s="1226"/>
      <c r="C1557" s="2841"/>
      <c r="D1557" s="1011"/>
      <c r="E1557" s="1021"/>
      <c r="F1557" s="1267" t="s">
        <v>2279</v>
      </c>
      <c r="G1557" s="1023"/>
      <c r="H1557" s="1713"/>
      <c r="I1557" s="1192">
        <f t="shared" si="64"/>
        <v>0</v>
      </c>
      <c r="J1557" s="1014"/>
      <c r="K1557" s="1014"/>
      <c r="L1557" s="1043"/>
      <c r="M1557" s="934">
        <v>320</v>
      </c>
    </row>
    <row r="1558" spans="1:16" s="1016" customFormat="1" ht="25.2" hidden="1" customHeight="1">
      <c r="A1558" s="1086">
        <f t="shared" si="63"/>
        <v>0</v>
      </c>
      <c r="B1558" s="1232" t="s">
        <v>1026</v>
      </c>
      <c r="C1558" s="2852"/>
      <c r="D1558" s="1023"/>
      <c r="E1558" s="1024" t="str">
        <f>VLOOKUP($B1558,DG!A:D,DG!$B$2,)</f>
        <v>05.1102</v>
      </c>
      <c r="F1558" s="1025" t="str">
        <f>VLOOKUP($B1558,DG!A:D,DG!$C$2,)&amp;" + thanh baét MCCB + bulong"</f>
        <v>Vỏ tủ + khóa tủ + thanh baét MCCB + bulong</v>
      </c>
      <c r="G1558" s="1024" t="str">
        <f>VLOOKUP($B1558,DG!A:D,DG!$D$2,)</f>
        <v>cái</v>
      </c>
      <c r="H1558" s="1713">
        <f>H1556</f>
        <v>1</v>
      </c>
      <c r="I1558" s="1192">
        <f t="shared" si="64"/>
        <v>0</v>
      </c>
      <c r="J1558" s="1014"/>
      <c r="K1558" s="1014"/>
      <c r="L1558" s="1043"/>
      <c r="M1558" s="934">
        <v>320</v>
      </c>
    </row>
    <row r="1559" spans="1:16" s="1016" customFormat="1" ht="25.2" hidden="1" customHeight="1">
      <c r="A1559" s="1086">
        <f t="shared" si="63"/>
        <v>0</v>
      </c>
      <c r="B1559" s="1256" t="s">
        <v>1228</v>
      </c>
      <c r="C1559" s="2858"/>
      <c r="D1559" s="1023"/>
      <c r="E1559" s="1024" t="str">
        <f>VLOOKUP($B1559,DG!A:D,DG!$B$2,)</f>
        <v>05.1102</v>
      </c>
      <c r="F1559" s="1025" t="str">
        <f>VLOOKUP($B1559,DG!A:D,DG!$C$2,)</f>
        <v>Khung đỡ tủ MCCB và tủ bù</v>
      </c>
      <c r="G1559" s="1024" t="str">
        <f>VLOOKUP($B1559,DG!A:D,DG!$D$2,)</f>
        <v>trọn bộ</v>
      </c>
      <c r="H1559" s="1713"/>
      <c r="I1559" s="1192">
        <f t="shared" si="64"/>
        <v>0</v>
      </c>
      <c r="J1559" s="1014"/>
      <c r="K1559" s="1014"/>
      <c r="L1559" s="1043"/>
      <c r="M1559" s="934">
        <v>320</v>
      </c>
    </row>
    <row r="1560" spans="1:16" s="1016" customFormat="1" ht="25.2" hidden="1" customHeight="1">
      <c r="A1560" s="1086">
        <f t="shared" si="63"/>
        <v>0</v>
      </c>
      <c r="B1560" s="1226" t="s">
        <v>1535</v>
      </c>
      <c r="C1560" s="2841"/>
      <c r="D1560" s="1011"/>
      <c r="E1560" s="1024">
        <f>VLOOKUP($B1560,DG!A:D,DG!$B$2,)</f>
        <v>0</v>
      </c>
      <c r="F1560" s="1025" t="str">
        <f>VLOOKUP($B1560,DG!A:D,DG!$C$2,)</f>
        <v>Giá nới + Thanh cái tủ CB</v>
      </c>
      <c r="G1560" s="1024" t="str">
        <f>VLOOKUP($B1560,DG!A:D,DG!$D$2,)</f>
        <v>bộ</v>
      </c>
      <c r="H1560" s="1723">
        <f>H1556*0</f>
        <v>0</v>
      </c>
      <c r="I1560" s="1192">
        <f t="shared" si="64"/>
        <v>0</v>
      </c>
      <c r="J1560" s="1014"/>
      <c r="K1560" s="1014"/>
      <c r="L1560" s="1043"/>
      <c r="M1560" s="934">
        <v>320</v>
      </c>
    </row>
    <row r="1561" spans="1:16" s="1016" customFormat="1" ht="25.2" hidden="1" customHeight="1">
      <c r="A1561" s="1086">
        <f t="shared" si="63"/>
        <v>0</v>
      </c>
      <c r="B1561" s="1226" t="s">
        <v>880</v>
      </c>
      <c r="C1561" s="2841"/>
      <c r="D1561" s="1011"/>
      <c r="E1561" s="1024">
        <f>VLOOKUP($B1561,DG!A:D,DG!$B$2,)</f>
        <v>0</v>
      </c>
      <c r="F1561" s="1025" t="str">
        <f>VLOOKUP($B1561,DG!A:D,DG!$C$2,)</f>
        <v xml:space="preserve">Bakelit 550x450 dầy 10mm </v>
      </c>
      <c r="G1561" s="1024" t="str">
        <f>VLOOKUP($B1561,DG!A:D,DG!$D$2,)</f>
        <v>cái</v>
      </c>
      <c r="H1561" s="1713">
        <v>3</v>
      </c>
      <c r="I1561" s="1192">
        <f t="shared" si="64"/>
        <v>0</v>
      </c>
      <c r="J1561" s="1014"/>
      <c r="K1561" s="1014"/>
      <c r="L1561" s="1043"/>
      <c r="M1561" s="934">
        <v>320</v>
      </c>
    </row>
    <row r="1562" spans="1:16" s="1016" customFormat="1" ht="25.2" hidden="1" customHeight="1">
      <c r="A1562" s="1086">
        <f t="shared" ref="A1562:A1625" si="65">IF(AND(M1562=$M$23,I1562&gt;0),1,0)</f>
        <v>0</v>
      </c>
      <c r="B1562" s="1226" t="s">
        <v>289</v>
      </c>
      <c r="C1562" s="2841"/>
      <c r="D1562" s="1023"/>
      <c r="E1562" s="1024" t="str">
        <f>VLOOKUP($B1562,DG!A:D,DG!$B$2,)</f>
        <v>06.3191</v>
      </c>
      <c r="F1562" s="1025" t="str">
        <f>VLOOKUP($B1562,DG!A:D,DG!$C$2,)</f>
        <v>Bảng tên trạm, bảng báo nguy hiểm + đinh vít</v>
      </c>
      <c r="G1562" s="1024" t="str">
        <f>VLOOKUP($B1562,DG!A:D,DG!$D$2,)</f>
        <v>bộ</v>
      </c>
      <c r="H1562" s="1713">
        <v>1</v>
      </c>
      <c r="I1562" s="1192">
        <f t="shared" si="64"/>
        <v>0</v>
      </c>
      <c r="J1562" s="1014"/>
      <c r="K1562" s="1014"/>
      <c r="L1562" s="1043"/>
      <c r="M1562" s="934">
        <v>320</v>
      </c>
    </row>
    <row r="1563" spans="1:16" s="1016" customFormat="1" ht="25.2" hidden="1" customHeight="1">
      <c r="A1563" s="1086">
        <f t="shared" si="65"/>
        <v>0</v>
      </c>
      <c r="B1563" s="1226"/>
      <c r="C1563" s="2841"/>
      <c r="D1563" s="1017">
        <f>IF(H1563&gt;0,D1556+1,D1556)</f>
        <v>2</v>
      </c>
      <c r="E1563" s="1018"/>
      <c r="F1563" s="1019" t="s">
        <v>3724</v>
      </c>
      <c r="G1563" s="1017" t="s">
        <v>2532</v>
      </c>
      <c r="H1563" s="1722">
        <f>H1445*0</f>
        <v>0</v>
      </c>
      <c r="I1563" s="1192">
        <f t="shared" si="64"/>
        <v>0</v>
      </c>
      <c r="J1563" s="1014"/>
      <c r="K1563" s="1014"/>
      <c r="L1563" s="1015"/>
      <c r="M1563" s="934">
        <v>320</v>
      </c>
    </row>
    <row r="1564" spans="1:16" s="1016" customFormat="1" ht="25.2" hidden="1" customHeight="1">
      <c r="A1564" s="1086">
        <f t="shared" si="65"/>
        <v>0</v>
      </c>
      <c r="B1564" s="1226"/>
      <c r="C1564" s="2841"/>
      <c r="D1564" s="1011"/>
      <c r="E1564" s="1021"/>
      <c r="F1564" s="1267" t="s">
        <v>2279</v>
      </c>
      <c r="G1564" s="1023"/>
      <c r="H1564" s="1713"/>
      <c r="I1564" s="1192">
        <f t="shared" si="64"/>
        <v>0</v>
      </c>
      <c r="J1564" s="1014"/>
      <c r="K1564" s="1014"/>
      <c r="L1564" s="1015"/>
      <c r="M1564" s="934">
        <v>320</v>
      </c>
    </row>
    <row r="1565" spans="1:16" s="1016" customFormat="1" ht="25.2" hidden="1" customHeight="1">
      <c r="A1565" s="1086">
        <f t="shared" si="65"/>
        <v>0</v>
      </c>
      <c r="B1565" s="1228" t="s">
        <v>752</v>
      </c>
      <c r="C1565" s="2840"/>
      <c r="D1565" s="1023"/>
      <c r="E1565" s="1024">
        <f>VLOOKUP($B1565,DG!A:D,DG!$B$2,)</f>
        <v>0</v>
      </c>
      <c r="F1565" s="1041" t="str">
        <f>VLOOKUP($B1565,DG!A:D,DG!$C$2,)&amp;": 0,315m3/m"</f>
        <v>Cát vàng: 0,315m3/m</v>
      </c>
      <c r="G1565" s="1024" t="str">
        <f>VLOOKUP($B1565,DG!A:D,DG!$D$2,)</f>
        <v>m3</v>
      </c>
      <c r="H1565" s="1713">
        <f>H1563*0.315</f>
        <v>0</v>
      </c>
      <c r="I1565" s="1192">
        <f t="shared" si="64"/>
        <v>0</v>
      </c>
      <c r="J1565" s="1014"/>
      <c r="K1565" s="1014"/>
      <c r="L1565" s="1015"/>
      <c r="M1565" s="934">
        <v>320</v>
      </c>
    </row>
    <row r="1566" spans="1:16" s="1016" customFormat="1" ht="25.2" hidden="1" customHeight="1">
      <c r="A1566" s="1086">
        <f t="shared" si="65"/>
        <v>0</v>
      </c>
      <c r="B1566" s="1228" t="s">
        <v>520</v>
      </c>
      <c r="C1566" s="2840"/>
      <c r="D1566" s="1023"/>
      <c r="E1566" s="1024">
        <f>VLOOKUP($B1566,DG!A:D,DG!$B$2,)</f>
        <v>0</v>
      </c>
      <c r="F1566" s="1041" t="str">
        <f>VLOOKUP($B1566,DG!A:D,DG!$C$2,)&amp;": 0,092m3/m"</f>
        <v>Đá 2x4: 0,092m3/m</v>
      </c>
      <c r="G1566" s="1024" t="str">
        <f>VLOOKUP($B1566,DG!A:D,DG!$D$2,)</f>
        <v>m3</v>
      </c>
      <c r="H1566" s="1713">
        <f>0.092*H1563</f>
        <v>0</v>
      </c>
      <c r="I1566" s="1192">
        <f t="shared" si="64"/>
        <v>0</v>
      </c>
      <c r="J1566" s="1014"/>
      <c r="K1566" s="1014"/>
      <c r="L1566" s="1015"/>
      <c r="M1566" s="934">
        <v>320</v>
      </c>
    </row>
    <row r="1567" spans="1:16" s="1016" customFormat="1" ht="25.2" hidden="1" customHeight="1">
      <c r="A1567" s="1086">
        <f t="shared" si="65"/>
        <v>0</v>
      </c>
      <c r="B1567" s="1228" t="s">
        <v>1675</v>
      </c>
      <c r="C1567" s="2840"/>
      <c r="D1567" s="1023"/>
      <c r="E1567" s="1024">
        <f>VLOOKUP($B1567,DG!A:D,DG!$B$2,)</f>
        <v>0</v>
      </c>
      <c r="F1567" s="1041" t="str">
        <f>VLOOKUP($B1567,DG!A:D,DG!$C$2,)&amp;": 3,3vieân/m"</f>
        <v>Gạch tàu: 3,3vieân/m</v>
      </c>
      <c r="G1567" s="1024" t="str">
        <f>VLOOKUP($B1567,DG!A:D,DG!$D$2,)</f>
        <v>viên</v>
      </c>
      <c r="H1567" s="1713">
        <f>3.3*H1563</f>
        <v>0</v>
      </c>
      <c r="I1567" s="1192">
        <f t="shared" si="64"/>
        <v>0</v>
      </c>
      <c r="J1567" s="1014"/>
      <c r="K1567" s="1014"/>
      <c r="L1567" s="1015"/>
      <c r="M1567" s="934">
        <v>320</v>
      </c>
    </row>
    <row r="1568" spans="1:16" s="1016" customFormat="1" ht="25.2" hidden="1" customHeight="1">
      <c r="A1568" s="1086">
        <f t="shared" si="65"/>
        <v>0</v>
      </c>
      <c r="B1568" s="1228" t="s">
        <v>1676</v>
      </c>
      <c r="C1568" s="2840"/>
      <c r="D1568" s="1023"/>
      <c r="E1568" s="1024">
        <f>VLOOKUP($B1568,DG!A:D,DG!$B$2,)</f>
        <v>0</v>
      </c>
      <c r="F1568" s="1041" t="str">
        <f>VLOOKUP($B1568,DG!A:D,DG!$C$2,)&amp;": 0,4m2/m"</f>
        <v>Tấm nilông màu cảnh báo: 0,4m2/m</v>
      </c>
      <c r="G1568" s="1024" t="str">
        <f>VLOOKUP($B1568,DG!A:D,DG!$D$2,)</f>
        <v>m2</v>
      </c>
      <c r="H1568" s="1713">
        <f>0.4*H1563</f>
        <v>0</v>
      </c>
      <c r="I1568" s="1192">
        <f t="shared" si="64"/>
        <v>0</v>
      </c>
      <c r="J1568" s="1014"/>
      <c r="K1568" s="1014"/>
      <c r="L1568" s="1015"/>
      <c r="M1568" s="934">
        <v>320</v>
      </c>
    </row>
    <row r="1569" spans="1:14" s="1016" customFormat="1" ht="25.2" hidden="1" customHeight="1">
      <c r="A1569" s="1086">
        <f t="shared" si="65"/>
        <v>0</v>
      </c>
      <c r="B1569" s="1228" t="s">
        <v>1518</v>
      </c>
      <c r="C1569" s="2840"/>
      <c r="D1569" s="1011"/>
      <c r="E1569" s="1024">
        <f>VLOOKUP($B1569,DG!A:D,DG!$B$2,)</f>
        <v>0</v>
      </c>
      <c r="F1569" s="1041" t="str">
        <f>VLOOKUP($B1569,DG!A:D,DG!$C$2,)</f>
        <v>Ống PVC D140x6,7mm</v>
      </c>
      <c r="G1569" s="1024" t="str">
        <f>VLOOKUP($B1569,DG!A:D,DG!$D$2,)</f>
        <v>m</v>
      </c>
      <c r="H1569" s="1713">
        <f>1*H1563</f>
        <v>0</v>
      </c>
      <c r="I1569" s="1192">
        <f t="shared" si="64"/>
        <v>0</v>
      </c>
      <c r="J1569" s="1014"/>
      <c r="K1569" s="1014"/>
      <c r="L1569" s="1015"/>
      <c r="M1569" s="934">
        <v>320</v>
      </c>
    </row>
    <row r="1570" spans="1:14" s="1016" customFormat="1" ht="25.2" hidden="1" customHeight="1">
      <c r="A1570" s="1086">
        <f t="shared" si="65"/>
        <v>0</v>
      </c>
      <c r="B1570" s="1228" t="s">
        <v>1678</v>
      </c>
      <c r="C1570" s="2840"/>
      <c r="D1570" s="1023"/>
      <c r="E1570" s="1024" t="str">
        <f>VLOOKUP($B1570,DG!A:D,DG!$B$2,)</f>
        <v>03.7000</v>
      </c>
      <c r="F1570" s="1041" t="str">
        <f>VLOOKUP($B1570,DG!A:D,DG!$C$2,)&amp;" + ñaép ñaù"</f>
        <v>Đắp cát  + ñaép ñaù</v>
      </c>
      <c r="G1570" s="1024" t="str">
        <f>VLOOKUP($B1570,DG!A:D,DG!$D$2,)</f>
        <v>m3</v>
      </c>
      <c r="H1570" s="1713">
        <f>H1565+H1566</f>
        <v>0</v>
      </c>
      <c r="I1570" s="1192">
        <f t="shared" si="64"/>
        <v>0</v>
      </c>
      <c r="J1570" s="1014"/>
      <c r="K1570" s="1014"/>
      <c r="L1570" s="1015"/>
      <c r="M1570" s="934">
        <v>320</v>
      </c>
    </row>
    <row r="1571" spans="1:14" s="1016" customFormat="1" ht="25.2" hidden="1" customHeight="1">
      <c r="A1571" s="1086">
        <f t="shared" si="65"/>
        <v>0</v>
      </c>
      <c r="B1571" s="1228" t="s">
        <v>144</v>
      </c>
      <c r="C1571" s="2840"/>
      <c r="D1571" s="1023"/>
      <c r="E1571" s="1024" t="str">
        <f>VLOOKUP($B1571,DG!A:D,DG!$B$2,)</f>
        <v>03.3103</v>
      </c>
      <c r="F1571" s="1041" t="str">
        <f>VLOOKUP($B1571,DG!A:D,DG!$C$2,)&amp;" : 0,48m3/m"</f>
        <v>Đào mương cáp ngầm đất cấp 3 : 0,48m3/m</v>
      </c>
      <c r="G1571" s="1024" t="str">
        <f>VLOOKUP($B1571,DG!A:D,DG!$D$2,)</f>
        <v>m3</v>
      </c>
      <c r="H1571" s="1713">
        <f>H1563*0.48</f>
        <v>0</v>
      </c>
      <c r="I1571" s="1192">
        <f t="shared" si="64"/>
        <v>0</v>
      </c>
      <c r="J1571" s="1014"/>
      <c r="K1571" s="1014"/>
      <c r="L1571" s="1015"/>
      <c r="M1571" s="934">
        <v>320</v>
      </c>
    </row>
    <row r="1572" spans="1:14" s="1016" customFormat="1" ht="25.2" hidden="1" customHeight="1">
      <c r="A1572" s="1086">
        <f t="shared" si="65"/>
        <v>0</v>
      </c>
      <c r="B1572" s="1228" t="s">
        <v>529</v>
      </c>
      <c r="C1572" s="2840"/>
      <c r="D1572" s="1023"/>
      <c r="E1572" s="1024" t="str">
        <f>VLOOKUP($B1572,DG!A:D,DG!$B$2,)</f>
        <v>03.3203</v>
      </c>
      <c r="F1572" s="1041" t="str">
        <f>VLOOKUP($B1572,DG!A:D,DG!$C$2,)&amp;" : 0,073m3/m"</f>
        <v>Đắp đất mương cáp ngầm, đất cấp 3 : 0,073m3/m</v>
      </c>
      <c r="G1572" s="1024" t="str">
        <f>VLOOKUP($B1572,DG!A:D,DG!$D$2,)</f>
        <v>m3</v>
      </c>
      <c r="H1572" s="1713">
        <f>H1563*0.073</f>
        <v>0</v>
      </c>
      <c r="I1572" s="1192">
        <f t="shared" si="64"/>
        <v>0</v>
      </c>
      <c r="J1572" s="1014"/>
      <c r="K1572" s="1014"/>
      <c r="L1572" s="1015"/>
      <c r="M1572" s="934">
        <v>320</v>
      </c>
      <c r="N1572" s="1066">
        <v>0.47499999999999998</v>
      </c>
    </row>
    <row r="1573" spans="1:14" s="1016" customFormat="1" ht="25.2" hidden="1" customHeight="1">
      <c r="A1573" s="1086">
        <f t="shared" si="65"/>
        <v>0</v>
      </c>
      <c r="B1573" s="1226"/>
      <c r="C1573" s="2841"/>
      <c r="D1573" s="1017">
        <f>IF(H1573&gt;0,D1563+1,D1563)</f>
        <v>2</v>
      </c>
      <c r="E1573" s="1018"/>
      <c r="F1573" s="1019" t="s">
        <v>3725</v>
      </c>
      <c r="G1573" s="1017" t="s">
        <v>2385</v>
      </c>
      <c r="H1573" s="1722">
        <f>H1582</f>
        <v>0</v>
      </c>
      <c r="I1573" s="1192">
        <f t="shared" si="64"/>
        <v>0</v>
      </c>
      <c r="J1573" s="1014"/>
      <c r="K1573" s="1014"/>
      <c r="L1573" s="1015"/>
      <c r="M1573" s="934">
        <v>320</v>
      </c>
      <c r="N1573" s="1066">
        <v>0.88100000000000001</v>
      </c>
    </row>
    <row r="1574" spans="1:14" s="1016" customFormat="1" ht="25.2" hidden="1" customHeight="1">
      <c r="A1574" s="1086">
        <f t="shared" si="65"/>
        <v>0</v>
      </c>
      <c r="B1574" s="1226"/>
      <c r="C1574" s="2841"/>
      <c r="D1574" s="1011"/>
      <c r="E1574" s="1021"/>
      <c r="F1574" s="1267" t="s">
        <v>2279</v>
      </c>
      <c r="G1574" s="1023"/>
      <c r="H1574" s="1713"/>
      <c r="I1574" s="1192">
        <f t="shared" si="64"/>
        <v>0</v>
      </c>
      <c r="J1574" s="1014"/>
      <c r="K1574" s="1014"/>
      <c r="L1574" s="1015"/>
      <c r="M1574" s="934">
        <v>320</v>
      </c>
    </row>
    <row r="1575" spans="1:14" s="1016" customFormat="1" ht="25.2" hidden="1" customHeight="1">
      <c r="A1575" s="1086">
        <f t="shared" si="65"/>
        <v>0</v>
      </c>
      <c r="B1575" s="1226" t="s">
        <v>623</v>
      </c>
      <c r="C1575" s="2841"/>
      <c r="D1575" s="1023"/>
      <c r="E1575" s="1024" t="str">
        <f>VLOOKUP($B1575,DG!A:D,DG!$B$2,)</f>
        <v>07.2204</v>
      </c>
      <c r="F1575" s="1025" t="str">
        <f>VLOOKUP($B1575,DG!A:D,DG!$C$2,)</f>
        <v>ÔÁng sắt tráng kẽm D140</v>
      </c>
      <c r="G1575" s="1024" t="str">
        <f>VLOOKUP($B1575,DG!A:D,DG!$D$2,)</f>
        <v>mét</v>
      </c>
      <c r="H1575" s="1713">
        <f>H1573*5*0</f>
        <v>0</v>
      </c>
      <c r="I1575" s="1192">
        <f t="shared" si="64"/>
        <v>0</v>
      </c>
      <c r="J1575" s="1014"/>
      <c r="K1575" s="1014"/>
      <c r="L1575" s="1015"/>
      <c r="M1575" s="934">
        <v>320</v>
      </c>
    </row>
    <row r="1576" spans="1:14" s="1016" customFormat="1" ht="25.2" hidden="1" customHeight="1">
      <c r="A1576" s="1086">
        <f t="shared" si="65"/>
        <v>0</v>
      </c>
      <c r="B1576" s="1228" t="s">
        <v>473</v>
      </c>
      <c r="C1576" s="2840"/>
      <c r="D1576" s="1011"/>
      <c r="E1576" s="1024">
        <f>VLOOKUP($B1576,DG!A:D,DG!$B$2,)</f>
        <v>0</v>
      </c>
      <c r="F1576" s="1025" t="str">
        <f>VLOOKUP($B1576,DG!A:D,DG!$C$2,)</f>
        <v>Co sừng 90 độ PVC 140</v>
      </c>
      <c r="G1576" s="1024" t="str">
        <f>VLOOKUP($B1576,DG!A:D,DG!$D$2,)</f>
        <v>cái</v>
      </c>
      <c r="H1576" s="1713">
        <f>H1573*0</f>
        <v>0</v>
      </c>
      <c r="I1576" s="1192">
        <f t="shared" si="64"/>
        <v>0</v>
      </c>
      <c r="J1576" s="1014"/>
      <c r="K1576" s="1014"/>
      <c r="L1576" s="1015"/>
      <c r="M1576" s="934">
        <v>320</v>
      </c>
    </row>
    <row r="1577" spans="1:14" s="1016" customFormat="1" ht="25.2" hidden="1" customHeight="1">
      <c r="A1577" s="1086">
        <f t="shared" si="65"/>
        <v>0</v>
      </c>
      <c r="B1577" s="1226" t="s">
        <v>120</v>
      </c>
      <c r="C1577" s="2841"/>
      <c r="D1577" s="1023"/>
      <c r="E1577" s="1024" t="str">
        <f>VLOOKUP($B1577,DG!A:D,DG!$B$2,)</f>
        <v>06.3231</v>
      </c>
      <c r="F1577" s="1025" t="str">
        <f>VLOOKUP($B1577,DG!A:D,DG!$C$2,)</f>
        <v>Cổ dê giữ ống STK D140 vào tường+Boulon+long đền+tắc ke sắt</v>
      </c>
      <c r="G1577" s="1024" t="str">
        <f>VLOOKUP($B1577,DG!A:D,DG!$D$2,)</f>
        <v>bộ</v>
      </c>
      <c r="H1577" s="1713">
        <f>H1573*2*0</f>
        <v>0</v>
      </c>
      <c r="I1577" s="1192">
        <f t="shared" si="64"/>
        <v>0</v>
      </c>
      <c r="J1577" s="1014"/>
      <c r="K1577" s="1014"/>
      <c r="L1577" s="1015"/>
      <c r="M1577" s="934">
        <v>320</v>
      </c>
    </row>
    <row r="1578" spans="1:14" s="1016" customFormat="1" ht="25.2" hidden="1" customHeight="1">
      <c r="A1578" s="1086">
        <f t="shared" si="65"/>
        <v>0</v>
      </c>
      <c r="B1578" s="1087" t="s">
        <v>1409</v>
      </c>
      <c r="C1578" s="2842"/>
      <c r="D1578" s="1023"/>
      <c r="E1578" s="1024">
        <f>VLOOKUP($B1578,DG!A:D,DG!$B$2,)</f>
        <v>0</v>
      </c>
      <c r="F1578" s="1025" t="str">
        <f>VLOOKUP($B1578,DG!A:D,DG!$C$2,)</f>
        <v>Giá đỡ cáp ngầm (V63x6)</v>
      </c>
      <c r="G1578" s="1024" t="str">
        <f>VLOOKUP($B1578,DG!A:D,DG!$D$2,)</f>
        <v>bộ</v>
      </c>
      <c r="H1578" s="1713">
        <f>H1573*0</f>
        <v>0</v>
      </c>
      <c r="I1578" s="1192">
        <f t="shared" si="64"/>
        <v>0</v>
      </c>
      <c r="J1578" s="1014"/>
      <c r="K1578" s="1014"/>
      <c r="L1578" s="1015"/>
      <c r="M1578" s="934">
        <v>320</v>
      </c>
    </row>
    <row r="1579" spans="1:14" s="1016" customFormat="1" ht="25.2" hidden="1" customHeight="1">
      <c r="A1579" s="1086">
        <f t="shared" si="65"/>
        <v>0</v>
      </c>
      <c r="B1579" s="1087" t="s">
        <v>2138</v>
      </c>
      <c r="C1579" s="2842"/>
      <c r="D1579" s="1023"/>
      <c r="E1579" s="1024">
        <f>VLOOKUP($B1579,DG!A:D,DG!$B$2,)</f>
        <v>0</v>
      </c>
      <c r="F1579" s="1025" t="str">
        <f>VLOOKUP($B1579,DG!A:D,DG!$C$2,)</f>
        <v>Giá đỡ cáp trung hạ thế</v>
      </c>
      <c r="G1579" s="1024" t="str">
        <f>VLOOKUP($B1579,DG!A:D,DG!$D$2,)</f>
        <v>bộ</v>
      </c>
      <c r="H1579" s="1713">
        <f>H1573</f>
        <v>0</v>
      </c>
      <c r="I1579" s="1192">
        <f t="shared" si="64"/>
        <v>0</v>
      </c>
      <c r="J1579" s="1014"/>
      <c r="K1579" s="1014"/>
      <c r="L1579" s="1015"/>
      <c r="M1579" s="934">
        <v>320</v>
      </c>
    </row>
    <row r="1580" spans="1:14" s="1016" customFormat="1" ht="25.2" hidden="1" customHeight="1">
      <c r="A1580" s="1086">
        <f t="shared" si="65"/>
        <v>0</v>
      </c>
      <c r="B1580" s="1226" t="s">
        <v>1410</v>
      </c>
      <c r="C1580" s="2841"/>
      <c r="D1580" s="1011"/>
      <c r="E1580" s="1024" t="str">
        <f>VLOOKUP($B1580,DG!A:D,DG!$B$2,)</f>
        <v>05.6101</v>
      </c>
      <c r="F1580" s="1025" t="str">
        <f>VLOOKUP($B1580,DG!A:D,DG!$C$2,)</f>
        <v>Lắp Giá đỡ cáp</v>
      </c>
      <c r="G1580" s="1024" t="str">
        <f>VLOOKUP($B1580,DG!A:D,DG!$D$2,)</f>
        <v>bộ</v>
      </c>
      <c r="H1580" s="1713">
        <f>H1578+H1579</f>
        <v>0</v>
      </c>
      <c r="I1580" s="1192">
        <f t="shared" si="64"/>
        <v>0</v>
      </c>
      <c r="J1580" s="1014"/>
      <c r="K1580" s="1014"/>
      <c r="L1580" s="1015"/>
      <c r="M1580" s="934">
        <v>320</v>
      </c>
    </row>
    <row r="1581" spans="1:14" s="1016" customFormat="1" ht="25.2" hidden="1" customHeight="1">
      <c r="A1581" s="1086">
        <f t="shared" si="65"/>
        <v>0</v>
      </c>
      <c r="B1581" s="1226" t="s">
        <v>289</v>
      </c>
      <c r="C1581" s="2841"/>
      <c r="D1581" s="1023"/>
      <c r="E1581" s="1024" t="str">
        <f>VLOOKUP($B1581,DG!A:D,DG!$B$2,)</f>
        <v>06.3191</v>
      </c>
      <c r="F1581" s="1025" t="str">
        <f>VLOOKUP($B1581,DG!A:D,DG!$C$2,)</f>
        <v>Bảng tên trạm, bảng báo nguy hiểm + đinh vít</v>
      </c>
      <c r="G1581" s="1024" t="str">
        <f>VLOOKUP($B1581,DG!A:D,DG!$D$2,)</f>
        <v>bộ</v>
      </c>
      <c r="H1581" s="1713">
        <f>H1573*0</f>
        <v>0</v>
      </c>
      <c r="I1581" s="1192">
        <f t="shared" si="64"/>
        <v>0</v>
      </c>
      <c r="J1581" s="1014"/>
      <c r="K1581" s="1014"/>
      <c r="L1581" s="1015"/>
      <c r="M1581" s="934">
        <v>320</v>
      </c>
    </row>
    <row r="1582" spans="1:14" s="1016" customFormat="1" ht="41.4" hidden="1" customHeight="1">
      <c r="A1582" s="1086">
        <f t="shared" si="65"/>
        <v>0</v>
      </c>
      <c r="B1582" s="1226"/>
      <c r="C1582" s="2841"/>
      <c r="D1582" s="1017">
        <f>IF(H1582&gt;0,D1573+1,D1573)</f>
        <v>2</v>
      </c>
      <c r="E1582" s="1018"/>
      <c r="F1582" s="1995" t="s">
        <v>3740</v>
      </c>
      <c r="G1582" s="1017" t="s">
        <v>2385</v>
      </c>
      <c r="H1582" s="1722">
        <f>H1445*0</f>
        <v>0</v>
      </c>
      <c r="I1582" s="1192">
        <f t="shared" ref="I1582:I1650" si="66">IF(M1582=$M$23,H1582+J1582-K1582,0)</f>
        <v>0</v>
      </c>
      <c r="J1582" s="1014"/>
      <c r="K1582" s="1014"/>
      <c r="L1582" s="1015"/>
      <c r="M1582" s="934">
        <v>320</v>
      </c>
    </row>
    <row r="1583" spans="1:14" s="1016" customFormat="1" ht="25.2" hidden="1" customHeight="1">
      <c r="A1583" s="1086">
        <f t="shared" si="65"/>
        <v>0</v>
      </c>
      <c r="B1583" s="1226"/>
      <c r="C1583" s="2841"/>
      <c r="D1583" s="1011"/>
      <c r="E1583" s="1021"/>
      <c r="F1583" s="1268" t="s">
        <v>2279</v>
      </c>
      <c r="G1583" s="1011"/>
      <c r="H1583" s="1723"/>
      <c r="I1583" s="1192">
        <f t="shared" si="66"/>
        <v>0</v>
      </c>
      <c r="J1583" s="1014"/>
      <c r="K1583" s="1014"/>
      <c r="L1583" s="1015"/>
      <c r="M1583" s="934">
        <v>320</v>
      </c>
    </row>
    <row r="1584" spans="1:14" s="1016" customFormat="1" ht="25.2" hidden="1" customHeight="1">
      <c r="A1584" s="1086">
        <f t="shared" si="65"/>
        <v>0</v>
      </c>
      <c r="B1584" s="1087" t="s">
        <v>470</v>
      </c>
      <c r="C1584" s="2842"/>
      <c r="D1584" s="1023"/>
      <c r="E1584" s="1012">
        <f>VLOOKUP($B1584,DG!A:D,DG!$B$2,)</f>
        <v>0</v>
      </c>
      <c r="F1584" s="1013" t="str">
        <f>VLOOKUP($B1584,DG!A:D,DG!$C$2,)&amp;": trong möông vaø leân MBA"</f>
        <v>Cáp 24kV C/XLPE/DSTA/PVC3x50: trong möông vaø leân MBA</v>
      </c>
      <c r="G1584" s="1012" t="str">
        <f>VLOOKUP($B1584,DG!A:D,DG!$D$2,)</f>
        <v>mét</v>
      </c>
      <c r="H1584" s="1713">
        <f>H1563+H1582*8</f>
        <v>0</v>
      </c>
      <c r="I1584" s="1192">
        <f t="shared" si="66"/>
        <v>0</v>
      </c>
      <c r="J1584" s="1014"/>
      <c r="K1584" s="1014"/>
      <c r="L1584" s="1015"/>
      <c r="M1584" s="934">
        <v>320</v>
      </c>
    </row>
    <row r="1585" spans="1:13" s="1016" customFormat="1" ht="25.2" hidden="1" customHeight="1">
      <c r="A1585" s="1086">
        <f t="shared" si="65"/>
        <v>0</v>
      </c>
      <c r="B1585" s="1087" t="s">
        <v>271</v>
      </c>
      <c r="C1585" s="2842"/>
      <c r="D1585" s="1023"/>
      <c r="E1585" s="1012">
        <f>VLOOKUP($B1585,DG!A:D,DG!$B$2,)</f>
        <v>0</v>
      </c>
      <c r="F1585" s="1013" t="str">
        <f>VLOOKUP($B1585,DG!A:D,DG!$C$2,)&amp;": trung tính"</f>
        <v>Cáp 24KV C/XLPE/PVC 50mm2: trung tính</v>
      </c>
      <c r="G1585" s="1012" t="str">
        <f>VLOOKUP($B1585,DG!A:D,DG!$D$2,)</f>
        <v>mét</v>
      </c>
      <c r="H1585" s="1713">
        <f>H1584</f>
        <v>0</v>
      </c>
      <c r="I1585" s="1192">
        <f t="shared" si="66"/>
        <v>0</v>
      </c>
      <c r="J1585" s="1014"/>
      <c r="K1585" s="1014"/>
      <c r="L1585" s="1015"/>
      <c r="M1585" s="934">
        <v>320</v>
      </c>
    </row>
    <row r="1586" spans="1:13" s="1016" customFormat="1" ht="25.2" hidden="1" customHeight="1">
      <c r="A1586" s="1086">
        <f t="shared" si="65"/>
        <v>0</v>
      </c>
      <c r="B1586" s="1087" t="s">
        <v>271</v>
      </c>
      <c r="C1586" s="2842"/>
      <c r="D1586" s="1023"/>
      <c r="E1586" s="1012">
        <f>VLOOKUP($B1586,DG!A:D,DG!$B$2,)</f>
        <v>0</v>
      </c>
      <c r="F1586" s="1013" t="str">
        <f>VLOOKUP($B1586,DG!A:D,DG!$C$2,)&amp;": 0,5m/pha töø FCO xuoáng MBA"</f>
        <v>Cáp 24KV C/XLPE/PVC 50mm2: 0,5m/pha töø FCO xuoáng MBA</v>
      </c>
      <c r="G1586" s="1012" t="str">
        <f>VLOOKUP($B1586,DG!A:D,DG!$D$2,)</f>
        <v>mét</v>
      </c>
      <c r="H1586" s="1713">
        <f>H1582*0.5*3*0</f>
        <v>0</v>
      </c>
      <c r="I1586" s="1192">
        <f t="shared" si="66"/>
        <v>0</v>
      </c>
      <c r="J1586" s="1014"/>
      <c r="K1586" s="1014"/>
      <c r="L1586" s="1015"/>
      <c r="M1586" s="934">
        <v>320</v>
      </c>
    </row>
    <row r="1587" spans="1:13" s="1016" customFormat="1" ht="25.2" hidden="1" customHeight="1">
      <c r="A1587" s="1086">
        <f t="shared" si="65"/>
        <v>0</v>
      </c>
      <c r="B1587" s="1087" t="s">
        <v>1352</v>
      </c>
      <c r="C1587" s="2842"/>
      <c r="D1587" s="1023"/>
      <c r="E1587" s="1012">
        <f>VLOOKUP($B1587,DG!A:D,DG!$B$2,)</f>
        <v>0</v>
      </c>
      <c r="F1587" s="1013" t="str">
        <f>VLOOKUP($B1587,DG!A:D,DG!$C$2,)</f>
        <v>Đầu cáp ngầm 24KV 3x50mm2 outdoor</v>
      </c>
      <c r="G1587" s="1012" t="str">
        <f>VLOOKUP($B1587,DG!A:D,DG!$D$2,)</f>
        <v>cái</v>
      </c>
      <c r="H1587" s="1713">
        <f>H1582</f>
        <v>0</v>
      </c>
      <c r="I1587" s="1192">
        <f t="shared" si="66"/>
        <v>0</v>
      </c>
      <c r="J1587" s="1014"/>
      <c r="K1587" s="1014"/>
      <c r="L1587" s="1015"/>
      <c r="M1587" s="934">
        <v>320</v>
      </c>
    </row>
    <row r="1588" spans="1:13" s="1016" customFormat="1" ht="25.2" hidden="1" customHeight="1">
      <c r="A1588" s="1086">
        <f t="shared" si="65"/>
        <v>0</v>
      </c>
      <c r="B1588" s="1087" t="s">
        <v>470</v>
      </c>
      <c r="C1588" s="2842"/>
      <c r="D1588" s="1023"/>
      <c r="E1588" s="1012">
        <f>VLOOKUP($B1588,DG!A:D,DG!$B$2,)</f>
        <v>0</v>
      </c>
      <c r="F1588" s="1013" t="str">
        <f>VLOOKUP($B1588,DG!A:D,DG!$C$2,)&amp;": töø tuû LBS ñeán MBA"</f>
        <v>Cáp 24kV C/XLPE/DSTA/PVC3x50: töø tuû LBS ñeán MBA</v>
      </c>
      <c r="G1588" s="1012" t="str">
        <f>VLOOKUP($B1588,DG!A:D,DG!$D$2,)</f>
        <v>mét</v>
      </c>
      <c r="H1588" s="1713">
        <f>(1.2+2.4)*H1582*0</f>
        <v>0</v>
      </c>
      <c r="I1588" s="1192">
        <f t="shared" si="66"/>
        <v>0</v>
      </c>
      <c r="J1588" s="1014"/>
      <c r="K1588" s="1014"/>
      <c r="L1588" s="1015"/>
      <c r="M1588" s="934">
        <v>320</v>
      </c>
    </row>
    <row r="1589" spans="1:13" s="1016" customFormat="1" ht="25.2" hidden="1" customHeight="1">
      <c r="A1589" s="1086">
        <f t="shared" si="65"/>
        <v>0</v>
      </c>
      <c r="B1589" s="1087" t="s">
        <v>271</v>
      </c>
      <c r="C1589" s="2842"/>
      <c r="D1589" s="1023"/>
      <c r="E1589" s="1012">
        <f>VLOOKUP($B1589,DG!A:D,DG!$B$2,)</f>
        <v>0</v>
      </c>
      <c r="F1589" s="1013" t="str">
        <f>VLOOKUP($B1589,DG!A:D,DG!$C$2,)&amp;": töø tuû LBS ñeán MBA"</f>
        <v>Cáp 24KV C/XLPE/PVC 50mm2: töø tuû LBS ñeán MBA</v>
      </c>
      <c r="G1589" s="1012" t="str">
        <f>VLOOKUP($B1589,DG!A:D,DG!$D$2,)</f>
        <v>mét</v>
      </c>
      <c r="H1589" s="1713">
        <f>H1582*1.2*0</f>
        <v>0</v>
      </c>
      <c r="I1589" s="1192">
        <f t="shared" si="66"/>
        <v>0</v>
      </c>
      <c r="J1589" s="1014"/>
      <c r="K1589" s="1014"/>
      <c r="L1589" s="1015"/>
      <c r="M1589" s="934">
        <v>320</v>
      </c>
    </row>
    <row r="1590" spans="1:13" s="1016" customFormat="1" ht="25.2" hidden="1" customHeight="1">
      <c r="A1590" s="1086">
        <f t="shared" si="65"/>
        <v>0</v>
      </c>
      <c r="B1590" s="1087" t="s">
        <v>1353</v>
      </c>
      <c r="C1590" s="2842"/>
      <c r="D1590" s="1023"/>
      <c r="E1590" s="1012">
        <f>VLOOKUP($B1590,DG!A:D,DG!$B$2,)</f>
        <v>0</v>
      </c>
      <c r="F1590" s="1013" t="str">
        <f>VLOOKUP($B1590,DG!A:D,DG!$C$2,)</f>
        <v>Đầu cáp ngầm 24KV 3x50mm2 indoor</v>
      </c>
      <c r="G1590" s="1012" t="str">
        <f>VLOOKUP($B1590,DG!A:D,DG!$D$2,)</f>
        <v>cái</v>
      </c>
      <c r="H1590" s="1713">
        <f>H1582</f>
        <v>0</v>
      </c>
      <c r="I1590" s="1192">
        <f t="shared" si="66"/>
        <v>0</v>
      </c>
      <c r="J1590" s="1014"/>
      <c r="K1590" s="1014"/>
      <c r="L1590" s="1015"/>
      <c r="M1590" s="934">
        <v>320</v>
      </c>
    </row>
    <row r="1591" spans="1:13" s="1016" customFormat="1" ht="25.2" hidden="1" customHeight="1">
      <c r="A1591" s="1086">
        <f t="shared" si="65"/>
        <v>0</v>
      </c>
      <c r="B1591" s="1087" t="s">
        <v>1674</v>
      </c>
      <c r="C1591" s="2842"/>
      <c r="D1591" s="1023"/>
      <c r="E1591" s="1012" t="str">
        <f>VLOOKUP($B1591,DG!A:D,DG!$B$2,)</f>
        <v>07.4312</v>
      </c>
      <c r="F1591" s="1013" t="str">
        <f>VLOOKUP($B1591,DG!A:D,DG!$C$2,)</f>
        <v>Lắp đầu cáp trung thế 3x50mm2, 70mm2</v>
      </c>
      <c r="G1591" s="1012" t="str">
        <f>VLOOKUP($B1591,DG!A:D,DG!$D$2,)</f>
        <v>cái</v>
      </c>
      <c r="H1591" s="1713">
        <f>H1587+H1590</f>
        <v>0</v>
      </c>
      <c r="I1591" s="1192">
        <f t="shared" si="66"/>
        <v>0</v>
      </c>
      <c r="J1591" s="1014"/>
      <c r="K1591" s="1014"/>
      <c r="L1591" s="1015"/>
      <c r="M1591" s="934">
        <v>320</v>
      </c>
    </row>
    <row r="1592" spans="1:13" s="1016" customFormat="1" ht="25.2" hidden="1" customHeight="1">
      <c r="A1592" s="1086">
        <f t="shared" si="65"/>
        <v>0</v>
      </c>
      <c r="B1592" s="1087" t="s">
        <v>1204</v>
      </c>
      <c r="C1592" s="2842"/>
      <c r="D1592" s="1023"/>
      <c r="E1592" s="1012" t="str">
        <f>VLOOKUP($B1592,DG!A:D,DG!$B$2,)</f>
        <v>03.1405</v>
      </c>
      <c r="F1592" s="1013" t="str">
        <f>VLOOKUP($B1592,DG!A:D,DG!$C$2,)</f>
        <v>Lắp cáp trong ống bảo vệ trong TBA loại &lt;=6kg</v>
      </c>
      <c r="G1592" s="1012" t="str">
        <f>VLOOKUP($B1592,DG!A:D,DG!$D$2,)</f>
        <v>mét</v>
      </c>
      <c r="H1592" s="1713">
        <f>H1584+H1588</f>
        <v>0</v>
      </c>
      <c r="I1592" s="1192">
        <f t="shared" si="66"/>
        <v>0</v>
      </c>
      <c r="J1592" s="1014"/>
      <c r="K1592" s="1014"/>
      <c r="L1592" s="1015"/>
      <c r="M1592" s="934">
        <v>320</v>
      </c>
    </row>
    <row r="1593" spans="1:13" s="1016" customFormat="1" ht="25.2" hidden="1" customHeight="1">
      <c r="A1593" s="1086">
        <f t="shared" si="65"/>
        <v>0</v>
      </c>
      <c r="B1593" s="1087" t="s">
        <v>1201</v>
      </c>
      <c r="C1593" s="2842"/>
      <c r="D1593" s="1023"/>
      <c r="E1593" s="1012" t="str">
        <f>VLOOKUP($B1593,DG!A:D,DG!$B$2,)</f>
        <v>03.1402</v>
      </c>
      <c r="F1593" s="1013" t="str">
        <f>VLOOKUP($B1593,DG!A:D,DG!$C$2,)</f>
        <v>Lắp cáp trong ống bảo vệ trong TBA loại &lt;=2kg</v>
      </c>
      <c r="G1593" s="1012" t="str">
        <f>VLOOKUP($B1593,DG!A:D,DG!$D$2,)</f>
        <v>mét</v>
      </c>
      <c r="H1593" s="1713">
        <f>H1585+H1589</f>
        <v>0</v>
      </c>
      <c r="I1593" s="1192">
        <f t="shared" si="66"/>
        <v>0</v>
      </c>
      <c r="J1593" s="1014"/>
      <c r="K1593" s="1014"/>
      <c r="L1593" s="1015"/>
      <c r="M1593" s="934">
        <v>320</v>
      </c>
    </row>
    <row r="1594" spans="1:13" s="1016" customFormat="1" ht="25.2" hidden="1" customHeight="1">
      <c r="A1594" s="1086">
        <f t="shared" si="65"/>
        <v>0</v>
      </c>
      <c r="B1594" s="1087" t="s">
        <v>1525</v>
      </c>
      <c r="C1594" s="2842"/>
      <c r="D1594" s="1023"/>
      <c r="E1594" s="1012" t="str">
        <f>VLOOKUP($B1594,DG!A:D,DG!$B$2,)</f>
        <v>04.4201</v>
      </c>
      <c r="F1594" s="1013" t="str">
        <f>VLOOKUP($B1594,DG!A:D,DG!$C$2,)</f>
        <v>Lắp cáp đồng xuống thiết bị D ≤ 95mm2</v>
      </c>
      <c r="G1594" s="1012" t="str">
        <f>VLOOKUP($B1594,DG!A:D,DG!$D$2,)</f>
        <v>m</v>
      </c>
      <c r="H1594" s="1713">
        <f>H1586</f>
        <v>0</v>
      </c>
      <c r="I1594" s="1192">
        <f t="shared" si="66"/>
        <v>0</v>
      </c>
      <c r="J1594" s="1014"/>
      <c r="K1594" s="1014"/>
      <c r="L1594" s="1015"/>
      <c r="M1594" s="934">
        <v>320</v>
      </c>
    </row>
    <row r="1595" spans="1:13" s="1016" customFormat="1" ht="25.2" hidden="1" customHeight="1">
      <c r="A1595" s="1086">
        <f t="shared" si="65"/>
        <v>0</v>
      </c>
      <c r="B1595" s="1087" t="s">
        <v>1349</v>
      </c>
      <c r="C1595" s="2842"/>
      <c r="D1595" s="1023"/>
      <c r="E1595" s="1012">
        <f>VLOOKUP($B1595,DG!A:D,DG!$B$2,)</f>
        <v>0</v>
      </c>
      <c r="F1595" s="1013" t="str">
        <f>VLOOKUP($B1595,DG!A:D,DG!$C$2,)</f>
        <v>Dây rút cáp</v>
      </c>
      <c r="G1595" s="1012" t="str">
        <f>VLOOKUP($B1595,DG!A:D,DG!$D$2,)</f>
        <v>bọc</v>
      </c>
      <c r="H1595" s="1713">
        <f>H1582*2</f>
        <v>0</v>
      </c>
      <c r="I1595" s="1192">
        <f t="shared" si="66"/>
        <v>0</v>
      </c>
      <c r="J1595" s="1014"/>
      <c r="K1595" s="1014"/>
      <c r="L1595" s="1015"/>
      <c r="M1595" s="934">
        <v>320</v>
      </c>
    </row>
    <row r="1596" spans="1:13" s="1016" customFormat="1" ht="25.2" hidden="1" customHeight="1">
      <c r="A1596" s="1086">
        <f t="shared" si="65"/>
        <v>0</v>
      </c>
      <c r="B1596" s="1226"/>
      <c r="C1596" s="2841"/>
      <c r="D1596" s="1017">
        <f>IF(H1596&gt;0,D1582+1,D1582)</f>
        <v>2</v>
      </c>
      <c r="E1596" s="1018"/>
      <c r="F1596" s="1027" t="s">
        <v>3741</v>
      </c>
      <c r="G1596" s="1017" t="s">
        <v>2385</v>
      </c>
      <c r="H1596" s="1722">
        <f>H1445</f>
        <v>0</v>
      </c>
      <c r="I1596" s="1192">
        <f t="shared" si="66"/>
        <v>0</v>
      </c>
      <c r="J1596" s="1014"/>
      <c r="K1596" s="1014"/>
      <c r="L1596" s="1043"/>
      <c r="M1596" s="934">
        <v>320</v>
      </c>
    </row>
    <row r="1597" spans="1:13" s="1016" customFormat="1" ht="25.2" hidden="1" customHeight="1">
      <c r="A1597" s="1086">
        <f t="shared" si="65"/>
        <v>0</v>
      </c>
      <c r="B1597" s="1226"/>
      <c r="C1597" s="2841"/>
      <c r="D1597" s="1011"/>
      <c r="E1597" s="1021"/>
      <c r="F1597" s="1268" t="s">
        <v>2279</v>
      </c>
      <c r="G1597" s="1011"/>
      <c r="H1597" s="1723"/>
      <c r="I1597" s="1192">
        <f t="shared" si="66"/>
        <v>0</v>
      </c>
      <c r="J1597" s="1014"/>
      <c r="K1597" s="1014"/>
      <c r="L1597" s="1043"/>
      <c r="M1597" s="934">
        <v>320</v>
      </c>
    </row>
    <row r="1598" spans="1:13" s="1016" customFormat="1" ht="25.2" hidden="1" customHeight="1">
      <c r="A1598" s="1086">
        <f t="shared" si="65"/>
        <v>0</v>
      </c>
      <c r="B1598" s="1087" t="s">
        <v>697</v>
      </c>
      <c r="C1598" s="2842"/>
      <c r="D1598" s="1023"/>
      <c r="E1598" s="1012">
        <f>VLOOKUP($B1598,DG!A:D,DG!$B$2,)</f>
        <v>0</v>
      </c>
      <c r="F1598" s="1013" t="str">
        <f>VLOOKUP($B1598,DG!A:D,DG!$C$2,)&amp;": 9m/1pha"</f>
        <v>Cáp 24KV C/XLPE/PVC 25mm2: 9m/1pha</v>
      </c>
      <c r="G1598" s="1012" t="str">
        <f>VLOOKUP($B1598,DG!A:D,DG!$D$2,)</f>
        <v>mét</v>
      </c>
      <c r="H1598" s="1713">
        <f>H1596*(9)*3</f>
        <v>0</v>
      </c>
      <c r="I1598" s="1192">
        <f t="shared" si="66"/>
        <v>0</v>
      </c>
      <c r="J1598" s="1014"/>
      <c r="K1598" s="1014"/>
      <c r="L1598" s="1043"/>
      <c r="M1598" s="934">
        <v>320</v>
      </c>
    </row>
    <row r="1599" spans="1:13" s="1016" customFormat="1" ht="25.2" hidden="1" customHeight="1">
      <c r="A1599" s="1086">
        <f t="shared" si="65"/>
        <v>0</v>
      </c>
      <c r="B1599" s="1087" t="s">
        <v>697</v>
      </c>
      <c r="C1599" s="2842"/>
      <c r="D1599" s="1023"/>
      <c r="E1599" s="1012">
        <f>VLOOKUP($B1599,DG!A:D,DG!$B$2,)</f>
        <v>0</v>
      </c>
      <c r="F1599" s="1013" t="str">
        <f>VLOOKUP($B1599,DG!A:D,DG!$C$2,)&amp;": 1m/1pha ñaáu noái  LA"</f>
        <v>Cáp 24KV C/XLPE/PVC 25mm2: 1m/1pha ñaáu noái  LA</v>
      </c>
      <c r="G1599" s="1012" t="str">
        <f>VLOOKUP($B1599,DG!A:D,DG!$D$2,)</f>
        <v>mét</v>
      </c>
      <c r="H1599" s="1713">
        <f>H1596*3*1*0</f>
        <v>0</v>
      </c>
      <c r="I1599" s="1192">
        <f t="shared" si="66"/>
        <v>0</v>
      </c>
      <c r="J1599" s="1014"/>
      <c r="K1599" s="1014"/>
      <c r="L1599" s="1043"/>
      <c r="M1599" s="934">
        <v>320</v>
      </c>
    </row>
    <row r="1600" spans="1:13" s="1016" customFormat="1" ht="25.2" hidden="1" customHeight="1">
      <c r="A1600" s="1086">
        <f t="shared" si="65"/>
        <v>0</v>
      </c>
      <c r="B1600" s="1087" t="s">
        <v>548</v>
      </c>
      <c r="C1600" s="2842"/>
      <c r="D1600" s="1023"/>
      <c r="E1600" s="1012" t="str">
        <f>VLOOKUP($B1600,DG!A:D,DG!$B$2,)</f>
        <v>03.4001</v>
      </c>
      <c r="F1600" s="1013" t="str">
        <f>VLOOKUP($B1600,DG!A:D,DG!$C$2,)&amp;": 1m/1pha ñaáu noái  LA"</f>
        <v>Đầu cosse ép Cu-Al 25mm2: 1m/1pha ñaáu noái  LA</v>
      </c>
      <c r="G1600" s="1012" t="str">
        <f>VLOOKUP($B1600,DG!A:D,DG!$D$2,)</f>
        <v>cái</v>
      </c>
      <c r="H1600" s="1713">
        <v>6</v>
      </c>
      <c r="I1600" s="1192">
        <f>IF(M1600=$M$23,H1600+J1600-K1600,0)</f>
        <v>0</v>
      </c>
      <c r="J1600" s="1014"/>
      <c r="K1600" s="1014"/>
      <c r="L1600" s="1043"/>
      <c r="M1600" s="934">
        <v>320</v>
      </c>
    </row>
    <row r="1601" spans="1:13" s="1016" customFormat="1" ht="25.2" hidden="1" customHeight="1">
      <c r="A1601" s="1086">
        <f t="shared" si="65"/>
        <v>0</v>
      </c>
      <c r="B1601" s="1087" t="s">
        <v>1115</v>
      </c>
      <c r="C1601" s="2842"/>
      <c r="D1601" s="1023"/>
      <c r="E1601" s="1012">
        <f>VLOOKUP($B1601,DG!A:D,DG!$B$2,)</f>
        <v>0</v>
      </c>
      <c r="F1601" s="1013" t="str">
        <f>VLOOKUP($B1601,DG!A:D,DG!$C$2,)</f>
        <v>Kẹp ép cỡ dây 25mm2</v>
      </c>
      <c r="G1601" s="1012" t="str">
        <f>VLOOKUP($B1601,DG!A:D,DG!$D$2,)</f>
        <v>cái</v>
      </c>
      <c r="H1601" s="1713">
        <f>H1596*3*2*0</f>
        <v>0</v>
      </c>
      <c r="I1601" s="1192">
        <f t="shared" si="66"/>
        <v>0</v>
      </c>
      <c r="J1601" s="1014"/>
      <c r="K1601" s="1014"/>
      <c r="L1601" s="1015"/>
      <c r="M1601" s="934">
        <v>320</v>
      </c>
    </row>
    <row r="1602" spans="1:13" s="1016" customFormat="1" ht="25.2" hidden="1" customHeight="1">
      <c r="A1602" s="1086">
        <f t="shared" si="65"/>
        <v>0</v>
      </c>
      <c r="B1602" s="1087" t="s">
        <v>1840</v>
      </c>
      <c r="C1602" s="2842"/>
      <c r="D1602" s="1023"/>
      <c r="E1602" s="1012">
        <f>VLOOKUP($B1602,DG!A:D,DG!$B$2,)</f>
        <v>0</v>
      </c>
      <c r="F1602" s="1013" t="str">
        <f>VLOOKUP($B1602,DG!A:D,DG!$C$2,)</f>
        <v>Bass LL bắt FCO, LA</v>
      </c>
      <c r="G1602" s="1012" t="str">
        <f>VLOOKUP($B1602,DG!A:D,DG!$D$2,)</f>
        <v>bộ</v>
      </c>
      <c r="H1602" s="1713">
        <f>H1596*3*2*0</f>
        <v>0</v>
      </c>
      <c r="I1602" s="1192">
        <f t="shared" si="66"/>
        <v>0</v>
      </c>
      <c r="J1602" s="1014"/>
      <c r="K1602" s="1014"/>
      <c r="L1602" s="1015"/>
      <c r="M1602" s="934">
        <v>320</v>
      </c>
    </row>
    <row r="1603" spans="1:13" s="1016" customFormat="1" ht="25.2" hidden="1" customHeight="1">
      <c r="A1603" s="1086">
        <f t="shared" si="65"/>
        <v>0</v>
      </c>
      <c r="B1603" s="1087" t="s">
        <v>4461</v>
      </c>
      <c r="C1603" s="2842"/>
      <c r="D1603" s="1023"/>
      <c r="E1603" s="1012" t="e">
        <f>VLOOKUP($B1603,DG!A:D,DG!$B$2,)</f>
        <v>#N/A</v>
      </c>
      <c r="F1603" s="1013" t="e">
        <f>VLOOKUP($B1603,DG!A:D,DG!$C$2,)</f>
        <v>#N/A</v>
      </c>
      <c r="G1603" s="1012" t="e">
        <f>VLOOKUP($B1603,DG!A:D,DG!$D$2,)</f>
        <v>#N/A</v>
      </c>
      <c r="H1603" s="1713">
        <f>H1596*3</f>
        <v>0</v>
      </c>
      <c r="I1603" s="1192">
        <f t="shared" si="66"/>
        <v>0</v>
      </c>
      <c r="J1603" s="1014"/>
      <c r="K1603" s="1014"/>
      <c r="L1603" s="1043"/>
      <c r="M1603" s="934">
        <v>320</v>
      </c>
    </row>
    <row r="1604" spans="1:13" s="1016" customFormat="1" ht="25.2" hidden="1" customHeight="1">
      <c r="A1604" s="1086">
        <f t="shared" si="65"/>
        <v>0</v>
      </c>
      <c r="B1604" s="1087" t="s">
        <v>1477</v>
      </c>
      <c r="C1604" s="2842"/>
      <c r="D1604" s="1023"/>
      <c r="E1604" s="1012" t="str">
        <f>VLOOKUP($B1604,DG!A:D,DG!$B$2,)</f>
        <v>04.3007</v>
      </c>
      <c r="F1604" s="1013" t="str">
        <f>VLOOKUP($B1604,DG!A:D,DG!$C$2,)</f>
        <v>Kẹp hotline 2/0</v>
      </c>
      <c r="G1604" s="1012" t="str">
        <f>VLOOKUP($B1604,DG!A:D,DG!$D$2,)</f>
        <v>cái</v>
      </c>
      <c r="H1604" s="1713">
        <f>H1603</f>
        <v>0</v>
      </c>
      <c r="I1604" s="1192">
        <f t="shared" si="66"/>
        <v>0</v>
      </c>
      <c r="J1604" s="1014"/>
      <c r="K1604" s="1014"/>
      <c r="L1604" s="1043"/>
      <c r="M1604" s="934">
        <v>320</v>
      </c>
    </row>
    <row r="1605" spans="1:13" s="1016" customFormat="1" ht="25.2" hidden="1" customHeight="1">
      <c r="A1605" s="1086">
        <f t="shared" si="65"/>
        <v>0</v>
      </c>
      <c r="B1605" s="1087" t="s">
        <v>696</v>
      </c>
      <c r="C1605" s="2842"/>
      <c r="D1605" s="1043"/>
      <c r="E1605" s="1012">
        <f>VLOOKUP($B1605,DG!A:D,DG!$B$2,)</f>
        <v>0</v>
      </c>
      <c r="F1605" s="1013" t="str">
        <f>VLOOKUP($B1605,DG!A:D,DG!$C$2,)</f>
        <v xml:space="preserve">Sứ đứng 24KV </v>
      </c>
      <c r="G1605" s="1012" t="str">
        <f>VLOOKUP($B1605,DG!A:D,DG!$D$2,)</f>
        <v>cái</v>
      </c>
      <c r="H1605" s="1713">
        <v>3</v>
      </c>
      <c r="I1605" s="1192">
        <f t="shared" si="66"/>
        <v>0</v>
      </c>
      <c r="J1605" s="1014"/>
      <c r="K1605" s="1014"/>
      <c r="L1605" s="1043"/>
      <c r="M1605" s="934">
        <v>320</v>
      </c>
    </row>
    <row r="1606" spans="1:13" s="1016" customFormat="1" ht="25.2" hidden="1" customHeight="1">
      <c r="A1606" s="1086">
        <f t="shared" si="65"/>
        <v>0</v>
      </c>
      <c r="B1606" s="1087" t="s">
        <v>1265</v>
      </c>
      <c r="C1606" s="2842"/>
      <c r="D1606" s="1023"/>
      <c r="E1606" s="1012">
        <f>VLOOKUP($B1606,DG!A:D,DG!$B$2,)</f>
        <v>0</v>
      </c>
      <c r="F1606" s="1013" t="str">
        <f>VLOOKUP($B1606,DG!A:D,DG!$C$2,)</f>
        <v>Chân sứ đứng D20</v>
      </c>
      <c r="G1606" s="1012" t="str">
        <f>VLOOKUP($B1606,DG!A:D,DG!$D$2,)</f>
        <v>cái</v>
      </c>
      <c r="H1606" s="1713">
        <f>H1604</f>
        <v>0</v>
      </c>
      <c r="I1606" s="1192">
        <f>IF(M1606=$M$23,H1606+J1606-K1606,0)</f>
        <v>0</v>
      </c>
      <c r="J1606" s="1014"/>
      <c r="K1606" s="1014"/>
      <c r="L1606" s="1043"/>
      <c r="M1606" s="934">
        <v>320</v>
      </c>
    </row>
    <row r="1607" spans="1:13" s="1016" customFormat="1" ht="25.2" hidden="1" customHeight="1">
      <c r="A1607" s="1086">
        <f t="shared" si="65"/>
        <v>0</v>
      </c>
      <c r="B1607" s="1087" t="s">
        <v>4713</v>
      </c>
      <c r="C1607" s="2842"/>
      <c r="D1607" s="1023"/>
      <c r="E1607" s="1012" t="e">
        <f>VLOOKUP($B1607,DG!A:D,DG!$B$2,)</f>
        <v>#N/A</v>
      </c>
      <c r="F1607" s="1013" t="e">
        <f>VLOOKUP($B1607,DG!A:D,DG!$C$2,)</f>
        <v>#N/A</v>
      </c>
      <c r="G1607" s="1012" t="e">
        <f>VLOOKUP($B1607,DG!A:D,DG!$D$2,)</f>
        <v>#N/A</v>
      </c>
      <c r="H1607" s="1713">
        <f>H1605</f>
        <v>3</v>
      </c>
      <c r="I1607" s="1192">
        <f t="shared" si="66"/>
        <v>0</v>
      </c>
      <c r="J1607" s="1014"/>
      <c r="K1607" s="1014"/>
      <c r="L1607" s="1043"/>
      <c r="M1607" s="934">
        <v>320</v>
      </c>
    </row>
    <row r="1608" spans="1:13" s="1016" customFormat="1" ht="25.2" hidden="1" customHeight="1">
      <c r="A1608" s="1086">
        <f t="shared" si="65"/>
        <v>0</v>
      </c>
      <c r="B1608" s="1260" t="s">
        <v>381</v>
      </c>
      <c r="C1608" s="2866"/>
      <c r="D1608" s="1023"/>
      <c r="E1608" s="1012">
        <f>VLOOKUP($B1608,DG!A:D,DG!$B$2,)</f>
        <v>0</v>
      </c>
      <c r="F1608" s="1013" t="str">
        <f>VLOOKUP($B1608,DG!A:D,DG!$C$2,)</f>
        <v>Chụp đầu cực FCO (bộ 2 cái)</v>
      </c>
      <c r="G1608" s="1012" t="str">
        <f>VLOOKUP($B1608,DG!A:D,DG!$D$2,)</f>
        <v>bộ</v>
      </c>
      <c r="H1608" s="1744">
        <v>3</v>
      </c>
      <c r="I1608" s="1192">
        <f t="shared" si="66"/>
        <v>0</v>
      </c>
      <c r="J1608" s="1014"/>
      <c r="K1608" s="1014"/>
      <c r="L1608" s="1043"/>
      <c r="M1608" s="934">
        <v>320</v>
      </c>
    </row>
    <row r="1609" spans="1:13" s="1016" customFormat="1" ht="25.2" hidden="1" customHeight="1">
      <c r="A1609" s="1086">
        <f t="shared" si="65"/>
        <v>0</v>
      </c>
      <c r="B1609" s="1260" t="s">
        <v>379</v>
      </c>
      <c r="C1609" s="2866"/>
      <c r="D1609" s="1023"/>
      <c r="E1609" s="1012">
        <f>VLOOKUP($B1609,DG!A:D,DG!$B$2,)</f>
        <v>0</v>
      </c>
      <c r="F1609" s="1013" t="str">
        <f>VLOOKUP($B1609,DG!A:D,DG!$C$2,)</f>
        <v>Chụp đầu cực LA</v>
      </c>
      <c r="G1609" s="1012" t="str">
        <f>VLOOKUP($B1609,DG!A:D,DG!$D$2,)</f>
        <v>cái</v>
      </c>
      <c r="H1609" s="1744">
        <f>H1596*3</f>
        <v>0</v>
      </c>
      <c r="I1609" s="1192">
        <f t="shared" si="66"/>
        <v>0</v>
      </c>
      <c r="J1609" s="1014"/>
      <c r="K1609" s="1014"/>
      <c r="L1609" s="1043"/>
      <c r="M1609" s="934">
        <v>320</v>
      </c>
    </row>
    <row r="1610" spans="1:13" s="1016" customFormat="1" ht="25.2" hidden="1" customHeight="1">
      <c r="A1610" s="1086">
        <f t="shared" si="65"/>
        <v>0</v>
      </c>
      <c r="B1610" s="1260" t="s">
        <v>380</v>
      </c>
      <c r="C1610" s="2866"/>
      <c r="D1610" s="1023"/>
      <c r="E1610" s="1012">
        <f>VLOOKUP($B1610,DG!A:D,DG!$B$2,)</f>
        <v>0</v>
      </c>
      <c r="F1610" s="1013" t="str">
        <f>VLOOKUP($B1610,DG!A:D,DG!$C$2,)</f>
        <v>Chụp đầu MBA</v>
      </c>
      <c r="G1610" s="1012" t="str">
        <f>VLOOKUP($B1610,DG!A:D,DG!$D$2,)</f>
        <v>cái</v>
      </c>
      <c r="H1610" s="1744">
        <f>H1609</f>
        <v>0</v>
      </c>
      <c r="I1610" s="1192">
        <f t="shared" si="66"/>
        <v>0</v>
      </c>
      <c r="J1610" s="1014"/>
      <c r="K1610" s="1014"/>
      <c r="L1610" s="1043"/>
      <c r="M1610" s="934">
        <v>320</v>
      </c>
    </row>
    <row r="1611" spans="1:13" s="1016" customFormat="1" ht="25.2" hidden="1" customHeight="1">
      <c r="A1611" s="1086">
        <f t="shared" si="65"/>
        <v>0</v>
      </c>
      <c r="B1611" s="1087" t="s">
        <v>1565</v>
      </c>
      <c r="C1611" s="2842"/>
      <c r="D1611" s="1023"/>
      <c r="E1611" s="1012" t="str">
        <f>VLOOKUP($B1611,DG!A:D,DG!$B$2,)</f>
        <v>06.1115</v>
      </c>
      <c r="F1611" s="1013" t="str">
        <f>VLOOKUP($B1611,DG!A:D,DG!$C$2,)</f>
        <v>Lắp sứ đứng 24KV</v>
      </c>
      <c r="G1611" s="1012" t="str">
        <f>VLOOKUP($B1611,DG!A:D,DG!$D$2,)</f>
        <v>bộ</v>
      </c>
      <c r="H1611" s="1713">
        <f>H1605</f>
        <v>3</v>
      </c>
      <c r="I1611" s="1192">
        <f t="shared" si="66"/>
        <v>0</v>
      </c>
      <c r="J1611" s="1014"/>
      <c r="K1611" s="1014"/>
      <c r="L1611" s="1043"/>
      <c r="M1611" s="934">
        <v>320</v>
      </c>
    </row>
    <row r="1612" spans="1:13" s="1016" customFormat="1" ht="25.2" hidden="1" customHeight="1">
      <c r="A1612" s="1086">
        <f t="shared" si="65"/>
        <v>0</v>
      </c>
      <c r="B1612" s="1087" t="s">
        <v>235</v>
      </c>
      <c r="C1612" s="2842"/>
      <c r="D1612" s="1023"/>
      <c r="E1612" s="1012" t="str">
        <f>VLOOKUP($B1612,DG!A:D,DG!$B$2,)</f>
        <v>06.1115</v>
      </c>
      <c r="F1612" s="1013" t="str">
        <f>VLOOKUP($B1612,DG!A:D,DG!$C$2,)</f>
        <v>Tháo sứ đứng 24KV</v>
      </c>
      <c r="G1612" s="1012" t="str">
        <f>VLOOKUP($B1612,DG!A:D,DG!$D$2,)</f>
        <v>bộ</v>
      </c>
      <c r="H1612" s="1713"/>
      <c r="I1612" s="1192">
        <f t="shared" si="66"/>
        <v>0</v>
      </c>
      <c r="J1612" s="1014"/>
      <c r="K1612" s="1014"/>
      <c r="L1612" s="1043"/>
      <c r="M1612" s="934">
        <v>320</v>
      </c>
    </row>
    <row r="1613" spans="1:13" s="1016" customFormat="1" ht="25.2" hidden="1" customHeight="1">
      <c r="A1613" s="1086">
        <f t="shared" si="65"/>
        <v>0</v>
      </c>
      <c r="B1613" s="1087" t="s">
        <v>1507</v>
      </c>
      <c r="C1613" s="2842"/>
      <c r="D1613" s="1023"/>
      <c r="E1613" s="1012" t="str">
        <f>VLOOKUP($B1613,DG!A:D,DG!$B$2,)</f>
        <v>06.2201</v>
      </c>
      <c r="F1613" s="1013" t="str">
        <f>VLOOKUP($B1613,DG!A:D,DG!$C$2,)</f>
        <v>Lắp chuỗi sứ néo Polymer</v>
      </c>
      <c r="G1613" s="1012" t="str">
        <f>VLOOKUP($B1613,DG!A:D,DG!$D$2,)</f>
        <v>chuỗi</v>
      </c>
      <c r="H1613" s="1713">
        <f>H1608</f>
        <v>3</v>
      </c>
      <c r="I1613" s="1192">
        <f t="shared" si="66"/>
        <v>0</v>
      </c>
      <c r="J1613" s="1014"/>
      <c r="K1613" s="1014"/>
      <c r="L1613" s="1043"/>
      <c r="M1613" s="934">
        <v>320</v>
      </c>
    </row>
    <row r="1614" spans="1:13" s="1016" customFormat="1" ht="25.2" hidden="1" customHeight="1">
      <c r="A1614" s="1086">
        <f t="shared" si="65"/>
        <v>0</v>
      </c>
      <c r="B1614" s="1087" t="s">
        <v>1525</v>
      </c>
      <c r="C1614" s="2842"/>
      <c r="D1614" s="1023"/>
      <c r="E1614" s="1012" t="str">
        <f>VLOOKUP($B1614,DG!A:D,DG!$B$2,)</f>
        <v>04.4201</v>
      </c>
      <c r="F1614" s="1013" t="str">
        <f>VLOOKUP($B1614,DG!A:D,DG!$C$2,)</f>
        <v>Lắp cáp đồng xuống thiết bị D ≤ 95mm2</v>
      </c>
      <c r="G1614" s="1012" t="str">
        <f>VLOOKUP($B1614,DG!A:D,DG!$D$2,)</f>
        <v>m</v>
      </c>
      <c r="H1614" s="1713">
        <f>H1598+H1599</f>
        <v>0</v>
      </c>
      <c r="I1614" s="1192">
        <f t="shared" si="66"/>
        <v>0</v>
      </c>
      <c r="J1614" s="1014"/>
      <c r="K1614" s="1014"/>
      <c r="L1614" s="1043"/>
      <c r="M1614" s="934">
        <v>320</v>
      </c>
    </row>
    <row r="1615" spans="1:13" s="1016" customFormat="1" ht="25.2" hidden="1" customHeight="1">
      <c r="A1615" s="1086">
        <f t="shared" si="65"/>
        <v>0</v>
      </c>
      <c r="B1615" s="1226"/>
      <c r="C1615" s="2841"/>
      <c r="D1615" s="1017">
        <f>IF(H1615&gt;0,D1596+1,D1596)</f>
        <v>2</v>
      </c>
      <c r="E1615" s="1018"/>
      <c r="F1615" s="1027" t="s">
        <v>3708</v>
      </c>
      <c r="G1615" s="1017" t="s">
        <v>2385</v>
      </c>
      <c r="H1615" s="1722"/>
      <c r="I1615" s="1192">
        <f t="shared" si="66"/>
        <v>0</v>
      </c>
      <c r="J1615" s="1014"/>
      <c r="K1615" s="1014"/>
      <c r="L1615" s="1015"/>
      <c r="M1615" s="934">
        <v>320</v>
      </c>
    </row>
    <row r="1616" spans="1:13" s="1016" customFormat="1" ht="25.2" hidden="1" customHeight="1">
      <c r="A1616" s="1086">
        <f t="shared" si="65"/>
        <v>0</v>
      </c>
      <c r="B1616" s="1226"/>
      <c r="C1616" s="2841"/>
      <c r="D1616" s="1011"/>
      <c r="E1616" s="1021"/>
      <c r="F1616" s="1268" t="s">
        <v>2279</v>
      </c>
      <c r="G1616" s="1011"/>
      <c r="H1616" s="1723"/>
      <c r="I1616" s="1192">
        <f t="shared" si="66"/>
        <v>0</v>
      </c>
      <c r="J1616" s="1014"/>
      <c r="K1616" s="1014"/>
      <c r="L1616" s="1015"/>
      <c r="M1616" s="934">
        <v>320</v>
      </c>
    </row>
    <row r="1617" spans="1:13" s="1016" customFormat="1" ht="25.2" hidden="1" customHeight="1">
      <c r="A1617" s="1086">
        <f t="shared" si="65"/>
        <v>0</v>
      </c>
      <c r="B1617" s="1226" t="s">
        <v>1489</v>
      </c>
      <c r="C1617" s="2841"/>
      <c r="D1617" s="1023"/>
      <c r="E1617" s="1012" t="str">
        <f>VLOOKUP($B1617,DG!A:D,DG!$B$2,)</f>
        <v>04.8003</v>
      </c>
      <c r="F1617" s="1013" t="str">
        <f>VLOOKUP($B1617,DG!A:D,DG!$C$2,)</f>
        <v xml:space="preserve">Ống PVC D90x3,8mm </v>
      </c>
      <c r="G1617" s="1012" t="str">
        <f>VLOOKUP($B1617,DG!A:D,DG!$D$2,)</f>
        <v>m</v>
      </c>
      <c r="H1617" s="1713">
        <v>2</v>
      </c>
      <c r="I1617" s="1192">
        <f t="shared" si="66"/>
        <v>0</v>
      </c>
      <c r="J1617" s="1014"/>
      <c r="K1617" s="1014"/>
      <c r="L1617" s="1015"/>
      <c r="M1617" s="934">
        <v>320</v>
      </c>
    </row>
    <row r="1618" spans="1:13" s="1016" customFormat="1" ht="25.2" hidden="1" customHeight="1">
      <c r="A1618" s="1086">
        <f t="shared" si="65"/>
        <v>0</v>
      </c>
      <c r="B1618" s="1226" t="s">
        <v>86</v>
      </c>
      <c r="C1618" s="2841"/>
      <c r="D1618" s="1023"/>
      <c r="E1618" s="1012">
        <f>VLOOKUP($B1618,DG!A:D,DG!$B$2,)</f>
        <v>0</v>
      </c>
      <c r="F1618" s="1013" t="str">
        <f>VLOOKUP($B1618,DG!A:D,DG!$C$2,)</f>
        <v>Co  90 độ PVC 90</v>
      </c>
      <c r="G1618" s="1012" t="str">
        <f>VLOOKUP($B1618,DG!A:D,DG!$D$2,)</f>
        <v>cái</v>
      </c>
      <c r="H1618" s="1713">
        <v>2</v>
      </c>
      <c r="I1618" s="1192">
        <f t="shared" si="66"/>
        <v>0</v>
      </c>
      <c r="J1618" s="1014"/>
      <c r="K1618" s="1014"/>
      <c r="L1618" s="1015"/>
      <c r="M1618" s="934">
        <v>320</v>
      </c>
    </row>
    <row r="1619" spans="1:13" s="1016" customFormat="1" ht="25.2" hidden="1" customHeight="1">
      <c r="A1619" s="1086">
        <f t="shared" si="65"/>
        <v>0</v>
      </c>
      <c r="B1619" s="1226" t="s">
        <v>931</v>
      </c>
      <c r="C1619" s="2841"/>
      <c r="D1619" s="1023"/>
      <c r="E1619" s="1012">
        <f>VLOOKUP($B1619,DG!A:D,DG!$B$2,)</f>
        <v>0</v>
      </c>
      <c r="F1619" s="1013" t="str">
        <f>VLOOKUP($B1619,DG!A:D,DG!$C$2,)</f>
        <v>Khâu ven răng trong D90</v>
      </c>
      <c r="G1619" s="1012" t="str">
        <f>VLOOKUP($B1619,DG!A:D,DG!$D$2,)</f>
        <v>cái</v>
      </c>
      <c r="H1619" s="1713">
        <v>2</v>
      </c>
      <c r="I1619" s="1192">
        <f t="shared" si="66"/>
        <v>0</v>
      </c>
      <c r="J1619" s="1014"/>
      <c r="K1619" s="1014"/>
      <c r="L1619" s="1015"/>
      <c r="M1619" s="934">
        <v>320</v>
      </c>
    </row>
    <row r="1620" spans="1:13" s="1016" customFormat="1" ht="25.2" hidden="1" customHeight="1">
      <c r="A1620" s="1086">
        <f t="shared" si="65"/>
        <v>0</v>
      </c>
      <c r="B1620" s="1226" t="s">
        <v>930</v>
      </c>
      <c r="C1620" s="2841"/>
      <c r="D1620" s="1023"/>
      <c r="E1620" s="1012">
        <f>VLOOKUP($B1620,DG!A:D,DG!$B$2,)</f>
        <v>0</v>
      </c>
      <c r="F1620" s="1013" t="str">
        <f>VLOOKUP($B1620,DG!A:D,DG!$C$2,)</f>
        <v>Khâu ven răng ngoài D90</v>
      </c>
      <c r="G1620" s="1012" t="str">
        <f>VLOOKUP($B1620,DG!A:D,DG!$D$2,)</f>
        <v>cái</v>
      </c>
      <c r="H1620" s="1713">
        <v>2</v>
      </c>
      <c r="I1620" s="1192">
        <f t="shared" si="66"/>
        <v>0</v>
      </c>
      <c r="J1620" s="1014"/>
      <c r="K1620" s="1014"/>
      <c r="L1620" s="1015"/>
      <c r="M1620" s="934">
        <v>320</v>
      </c>
    </row>
    <row r="1621" spans="1:13" s="1016" customFormat="1" ht="25.2" hidden="1" customHeight="1">
      <c r="A1621" s="1086">
        <f t="shared" si="65"/>
        <v>0</v>
      </c>
      <c r="B1621" s="1087"/>
      <c r="C1621" s="2842"/>
      <c r="D1621" s="1017">
        <f>IF(H1621&gt;0,D1615+1,D1615)</f>
        <v>3</v>
      </c>
      <c r="E1621" s="1018"/>
      <c r="F1621" s="1027" t="s">
        <v>3742</v>
      </c>
      <c r="G1621" s="1017" t="s">
        <v>2385</v>
      </c>
      <c r="H1621" s="1743">
        <f>H1556</f>
        <v>1</v>
      </c>
      <c r="I1621" s="1192">
        <f t="shared" si="66"/>
        <v>0</v>
      </c>
      <c r="J1621" s="1014"/>
      <c r="K1621" s="1014"/>
      <c r="L1621" s="1043"/>
      <c r="M1621" s="934">
        <v>320</v>
      </c>
    </row>
    <row r="1622" spans="1:13" s="1016" customFormat="1" ht="25.2" hidden="1" customHeight="1">
      <c r="A1622" s="1086">
        <f t="shared" si="65"/>
        <v>0</v>
      </c>
      <c r="B1622" s="1087"/>
      <c r="C1622" s="2842"/>
      <c r="D1622" s="1011"/>
      <c r="E1622" s="1021"/>
      <c r="F1622" s="1268" t="s">
        <v>2279</v>
      </c>
      <c r="G1622" s="1011"/>
      <c r="H1622" s="1713"/>
      <c r="I1622" s="1192">
        <f t="shared" si="66"/>
        <v>0</v>
      </c>
      <c r="J1622" s="1014"/>
      <c r="K1622" s="1014"/>
      <c r="L1622" s="1043"/>
      <c r="M1622" s="934">
        <v>320</v>
      </c>
    </row>
    <row r="1623" spans="1:13" s="1016" customFormat="1" ht="25.2" hidden="1" customHeight="1">
      <c r="A1623" s="1086">
        <f t="shared" si="65"/>
        <v>0</v>
      </c>
      <c r="B1623" s="1256" t="s">
        <v>1571</v>
      </c>
      <c r="C1623" s="2858"/>
      <c r="D1623" s="1023"/>
      <c r="E1623" s="1012">
        <f>VLOOKUP($B1623,DG!A:D,DG!$B$2,)</f>
        <v>0</v>
      </c>
      <c r="F1623" s="1013" t="str">
        <f>VLOOKUP($B1623,DG!A:D,DG!$C$2,)</f>
        <v>Cáp đồng bọc CV240</v>
      </c>
      <c r="G1623" s="1012" t="str">
        <f>VLOOKUP($B1623,DG!A:D,DG!$D$2,)</f>
        <v>mét</v>
      </c>
      <c r="H1623" s="1713">
        <f>8*3*H1621*L12</f>
        <v>0</v>
      </c>
      <c r="I1623" s="1192">
        <f t="shared" si="66"/>
        <v>0</v>
      </c>
      <c r="J1623" s="1014"/>
      <c r="K1623" s="1014"/>
      <c r="L1623" s="1043"/>
      <c r="M1623" s="934">
        <v>320</v>
      </c>
    </row>
    <row r="1624" spans="1:13" s="1016" customFormat="1" ht="25.2" hidden="1" customHeight="1">
      <c r="A1624" s="1086">
        <f t="shared" si="65"/>
        <v>0</v>
      </c>
      <c r="B1624" s="1256" t="s">
        <v>1013</v>
      </c>
      <c r="C1624" s="2858"/>
      <c r="D1624" s="1023"/>
      <c r="E1624" s="1012">
        <f>VLOOKUP($B1624,DG!A:D,DG!$B$2,)</f>
        <v>0</v>
      </c>
      <c r="F1624" s="1013" t="str">
        <f>VLOOKUP($B1624,DG!A:D,DG!$C$2,)</f>
        <v>Cáp đồng bọc CV185</v>
      </c>
      <c r="G1624" s="1012" t="str">
        <f>VLOOKUP($B1624,DG!A:D,DG!$D$2,)</f>
        <v>mét</v>
      </c>
      <c r="H1624" s="1713">
        <f>8*H1621</f>
        <v>8</v>
      </c>
      <c r="I1624" s="1192">
        <f t="shared" si="66"/>
        <v>0</v>
      </c>
      <c r="J1624" s="1014"/>
      <c r="K1624" s="1014"/>
      <c r="L1624" s="1043"/>
      <c r="M1624" s="934">
        <v>320</v>
      </c>
    </row>
    <row r="1625" spans="1:13" s="1016" customFormat="1" ht="25.2" hidden="1" customHeight="1">
      <c r="A1625" s="1086">
        <f t="shared" si="65"/>
        <v>0</v>
      </c>
      <c r="B1625" s="1226" t="s">
        <v>2156</v>
      </c>
      <c r="C1625" s="2841"/>
      <c r="D1625" s="1023"/>
      <c r="E1625" s="1012" t="str">
        <f>VLOOKUP($B1625,DG!A:D,DG!$B$2,)</f>
        <v>03.4008</v>
      </c>
      <c r="F1625" s="1013" t="str">
        <f>VLOOKUP($B1625,DG!A:D,DG!$C$2,)&amp;": "</f>
        <v xml:space="preserve">Đầu cosse ép Cu 240mm2: </v>
      </c>
      <c r="G1625" s="1012" t="str">
        <f>VLOOKUP($B1625,DG!A:D,DG!$D$2,)</f>
        <v>cái</v>
      </c>
      <c r="H1625" s="1713">
        <f>H1621*6</f>
        <v>6</v>
      </c>
      <c r="I1625" s="1192">
        <f t="shared" si="66"/>
        <v>0</v>
      </c>
      <c r="J1625" s="1014"/>
      <c r="K1625" s="1014"/>
      <c r="L1625" s="1043"/>
      <c r="M1625" s="934">
        <v>320</v>
      </c>
    </row>
    <row r="1626" spans="1:13" s="1016" customFormat="1" ht="25.2" hidden="1" customHeight="1">
      <c r="A1626" s="1086">
        <f t="shared" ref="A1626:A1689" si="67">IF(AND(M1626=$M$23,I1626&gt;0),1,0)</f>
        <v>0</v>
      </c>
      <c r="B1626" s="1226" t="s">
        <v>151</v>
      </c>
      <c r="C1626" s="2841"/>
      <c r="D1626" s="1023"/>
      <c r="E1626" s="1012" t="str">
        <f>VLOOKUP($B1626,DG!A:D,DG!$B$2,)</f>
        <v>03.4007</v>
      </c>
      <c r="F1626" s="1013" t="str">
        <f>VLOOKUP($B1626,DG!A:D,DG!$C$2,)&amp;": "</f>
        <v xml:space="preserve">Đầu cosse ép Cu 185mm2: </v>
      </c>
      <c r="G1626" s="1012" t="str">
        <f>VLOOKUP($B1626,DG!A:D,DG!$D$2,)</f>
        <v>cái</v>
      </c>
      <c r="H1626" s="1713">
        <f>H1621*2</f>
        <v>2</v>
      </c>
      <c r="I1626" s="1192">
        <f t="shared" si="66"/>
        <v>0</v>
      </c>
      <c r="J1626" s="1014"/>
      <c r="K1626" s="1014"/>
      <c r="L1626" s="1043"/>
      <c r="M1626" s="934">
        <v>320</v>
      </c>
    </row>
    <row r="1627" spans="1:13" s="1016" customFormat="1" ht="25.2" hidden="1" customHeight="1">
      <c r="A1627" s="1086">
        <f t="shared" si="67"/>
        <v>0</v>
      </c>
      <c r="B1627" s="1226" t="s">
        <v>90</v>
      </c>
      <c r="C1627" s="2841"/>
      <c r="D1627" s="1023"/>
      <c r="E1627" s="1012">
        <f>VLOOKUP($B1627,DG!A:D,DG!$B$2,)</f>
        <v>0</v>
      </c>
      <c r="F1627" s="1013" t="str">
        <f>VLOOKUP($B1627,DG!A:D,DG!$C$2,)&amp;": "</f>
        <v xml:space="preserve">Chụp đầu cosse  240mm2: </v>
      </c>
      <c r="G1627" s="1012" t="str">
        <f>VLOOKUP($B1627,DG!A:D,DG!$D$2,)</f>
        <v>cái</v>
      </c>
      <c r="H1627" s="1713">
        <f>H1625</f>
        <v>6</v>
      </c>
      <c r="I1627" s="1192">
        <f t="shared" si="66"/>
        <v>0</v>
      </c>
      <c r="J1627" s="1014"/>
      <c r="K1627" s="1014"/>
      <c r="L1627" s="1043"/>
      <c r="M1627" s="934">
        <v>320</v>
      </c>
    </row>
    <row r="1628" spans="1:13" s="1016" customFormat="1" ht="25.2" hidden="1" customHeight="1">
      <c r="A1628" s="1086">
        <f t="shared" si="67"/>
        <v>0</v>
      </c>
      <c r="B1628" s="1226" t="s">
        <v>150</v>
      </c>
      <c r="C1628" s="2841"/>
      <c r="D1628" s="1023"/>
      <c r="E1628" s="1012">
        <f>VLOOKUP($B1628,DG!A:D,DG!$B$2,)</f>
        <v>0</v>
      </c>
      <c r="F1628" s="1013" t="str">
        <f>VLOOKUP($B1628,DG!A:D,DG!$C$2,)&amp;": "</f>
        <v xml:space="preserve">Chụp đầu cosse  185mm2: </v>
      </c>
      <c r="G1628" s="1012" t="str">
        <f>VLOOKUP($B1628,DG!A:D,DG!$D$2,)</f>
        <v>cái</v>
      </c>
      <c r="H1628" s="1713">
        <f>H1626</f>
        <v>2</v>
      </c>
      <c r="I1628" s="1192">
        <f t="shared" si="66"/>
        <v>0</v>
      </c>
      <c r="J1628" s="1014"/>
      <c r="K1628" s="1014"/>
      <c r="L1628" s="1043"/>
      <c r="M1628" s="934">
        <v>320</v>
      </c>
    </row>
    <row r="1629" spans="1:13" s="1016" customFormat="1" ht="25.2" hidden="1" customHeight="1">
      <c r="A1629" s="1086">
        <f t="shared" si="67"/>
        <v>0</v>
      </c>
      <c r="B1629" s="1226" t="s">
        <v>1042</v>
      </c>
      <c r="C1629" s="2841"/>
      <c r="D1629" s="1023"/>
      <c r="E1629" s="1012">
        <f>VLOOKUP($B1629,DG!A:D,DG!$B$2,)</f>
        <v>0</v>
      </c>
      <c r="F1629" s="1013" t="str">
        <f>VLOOKUP($B1629,DG!A:D,DG!$C$2,)</f>
        <v xml:space="preserve">Ống PVC D114x4,9mm </v>
      </c>
      <c r="G1629" s="1012" t="str">
        <f>VLOOKUP($B1629,DG!A:D,DG!$D$2,)</f>
        <v>m</v>
      </c>
      <c r="H1629" s="1713">
        <f>IF(H1621&gt;2,0,6*H1621*H1621)</f>
        <v>6</v>
      </c>
      <c r="I1629" s="1192">
        <f t="shared" si="66"/>
        <v>0</v>
      </c>
      <c r="J1629" s="1014"/>
      <c r="K1629" s="1014"/>
      <c r="L1629" s="1043"/>
      <c r="M1629" s="934">
        <v>320</v>
      </c>
    </row>
    <row r="1630" spans="1:13" s="1016" customFormat="1" ht="25.2" hidden="1" customHeight="1">
      <c r="A1630" s="1086">
        <f t="shared" si="67"/>
        <v>0</v>
      </c>
      <c r="B1630" s="1087" t="s">
        <v>731</v>
      </c>
      <c r="C1630" s="2842"/>
      <c r="D1630" s="1023"/>
      <c r="E1630" s="1012" t="str">
        <f>VLOOKUP($B1630,DG!A:D,DG!$B$2,)</f>
        <v>06.3231</v>
      </c>
      <c r="F1630" s="1013" t="str">
        <f>VLOOKUP($B1630,DG!A:D,DG!$C$2,)&amp;": 01 bộ CD-250"</f>
        <v>Cổ dê kẹp ống PVC Ø 114: 01 bộ CD-250</v>
      </c>
      <c r="G1630" s="1012" t="str">
        <f>VLOOKUP($B1630,DG!A:D,DG!$D$2,)</f>
        <v>bộ</v>
      </c>
      <c r="H1630" s="1713">
        <v>1</v>
      </c>
      <c r="I1630" s="1192">
        <f t="shared" si="66"/>
        <v>0</v>
      </c>
      <c r="J1630" s="1014"/>
      <c r="K1630" s="1014"/>
      <c r="L1630" s="1043"/>
      <c r="M1630" s="934">
        <v>320</v>
      </c>
    </row>
    <row r="1631" spans="1:13" s="1016" customFormat="1" ht="25.2" hidden="1" customHeight="1">
      <c r="A1631" s="1086">
        <f t="shared" si="67"/>
        <v>0</v>
      </c>
      <c r="B1631" s="1087" t="s">
        <v>731</v>
      </c>
      <c r="C1631" s="2842"/>
      <c r="D1631" s="1023"/>
      <c r="E1631" s="1012" t="str">
        <f>VLOOKUP($B1631,DG!A:D,DG!$B$2,)</f>
        <v>06.3231</v>
      </c>
      <c r="F1631" s="1013" t="str">
        <f>VLOOKUP($B1631,DG!A:D,DG!$C$2,)&amp;": 01 bộ CD-280"</f>
        <v>Cổ dê kẹp ống PVC Ø 114: 01 bộ CD-280</v>
      </c>
      <c r="G1631" s="1012" t="str">
        <f>VLOOKUP($B1631,DG!A:D,DG!$D$2,)</f>
        <v>bộ</v>
      </c>
      <c r="H1631" s="1713">
        <v>1</v>
      </c>
      <c r="I1631" s="1192">
        <f t="shared" si="66"/>
        <v>0</v>
      </c>
      <c r="J1631" s="1014"/>
      <c r="K1631" s="1014"/>
      <c r="L1631" s="1043"/>
      <c r="M1631" s="934">
        <v>320</v>
      </c>
    </row>
    <row r="1632" spans="1:13" s="1016" customFormat="1" ht="25.2" hidden="1" customHeight="1">
      <c r="A1632" s="1086">
        <f t="shared" si="67"/>
        <v>0</v>
      </c>
      <c r="B1632" s="1087" t="s">
        <v>731</v>
      </c>
      <c r="C1632" s="2842"/>
      <c r="D1632" s="1023"/>
      <c r="E1632" s="1012" t="str">
        <f>VLOOKUP($B1632,DG!A:D,DG!$B$2,)</f>
        <v>06.3231</v>
      </c>
      <c r="F1632" s="1013" t="str">
        <f>VLOOKUP($B1632,DG!A:D,DG!$C$2,)&amp;": CD-320"</f>
        <v>Cổ dê kẹp ống PVC Ø 114: CD-320</v>
      </c>
      <c r="G1632" s="1012" t="str">
        <f>VLOOKUP($B1632,DG!A:D,DG!$D$2,)</f>
        <v>bộ</v>
      </c>
      <c r="H1632" s="1713">
        <f>H1621*0</f>
        <v>0</v>
      </c>
      <c r="I1632" s="1192">
        <f t="shared" si="66"/>
        <v>0</v>
      </c>
      <c r="J1632" s="1014"/>
      <c r="K1632" s="1014"/>
      <c r="L1632" s="1043"/>
      <c r="M1632" s="934">
        <v>320</v>
      </c>
    </row>
    <row r="1633" spans="1:13" s="1016" customFormat="1" ht="25.2" hidden="1" customHeight="1">
      <c r="A1633" s="1086">
        <f t="shared" si="67"/>
        <v>0</v>
      </c>
      <c r="B1633" s="1087" t="s">
        <v>1131</v>
      </c>
      <c r="C1633" s="2842"/>
      <c r="D1633" s="1023"/>
      <c r="E1633" s="1012" t="str">
        <f>VLOOKUP($B1633,DG!A:D,DG!$B$2,)</f>
        <v>06.2110</v>
      </c>
      <c r="F1633" s="1013" t="str">
        <f>VLOOKUP($B1633,DG!A:D,DG!$C$2,)</f>
        <v>Lắp cổ dê</v>
      </c>
      <c r="G1633" s="1012" t="str">
        <f>VLOOKUP($B1633,DG!A:D,DG!$D$2,)</f>
        <v>bộ</v>
      </c>
      <c r="H1633" s="1713">
        <v>2</v>
      </c>
      <c r="I1633" s="1192">
        <f t="shared" si="66"/>
        <v>0</v>
      </c>
      <c r="J1633" s="1014"/>
      <c r="K1633" s="1014"/>
      <c r="L1633" s="1043"/>
      <c r="M1633" s="934">
        <v>320</v>
      </c>
    </row>
    <row r="1634" spans="1:13" s="1016" customFormat="1" ht="25.2" hidden="1" customHeight="1">
      <c r="A1634" s="1086">
        <f t="shared" si="67"/>
        <v>0</v>
      </c>
      <c r="B1634" s="1246" t="s">
        <v>138</v>
      </c>
      <c r="C1634" s="2848"/>
      <c r="D1634" s="1023"/>
      <c r="E1634" s="1012">
        <f>VLOOKUP($B1634,DG!A:D,DG!$B$2,)</f>
        <v>0</v>
      </c>
      <c r="F1634" s="1013" t="str">
        <f>VLOOKUP($B1634,DG!A:D,DG!$C$2,)</f>
        <v>Boulon 12x40+ 2 long đền vuông D14-50x50x3/Zn</v>
      </c>
      <c r="G1634" s="1012" t="str">
        <f>VLOOKUP($B1634,DG!A:D,DG!$D$2,)</f>
        <v>bộ</v>
      </c>
      <c r="H1634" s="1713"/>
      <c r="I1634" s="1192">
        <f t="shared" si="66"/>
        <v>0</v>
      </c>
      <c r="J1634" s="1014"/>
      <c r="K1634" s="1014"/>
      <c r="L1634" s="1043"/>
      <c r="M1634" s="934">
        <v>320</v>
      </c>
    </row>
    <row r="1635" spans="1:13" s="1016" customFormat="1" ht="25.2" hidden="1" customHeight="1">
      <c r="A1635" s="1086">
        <f t="shared" si="67"/>
        <v>0</v>
      </c>
      <c r="B1635" s="1246" t="s">
        <v>1985</v>
      </c>
      <c r="C1635" s="2848"/>
      <c r="D1635" s="1023"/>
      <c r="E1635" s="1012">
        <f>VLOOKUP($B1635,DG!A:D,DG!$B$2,)</f>
        <v>0</v>
      </c>
      <c r="F1635" s="1013" t="str">
        <f>VLOOKUP($B1635,DG!A:D,DG!$C$2,)</f>
        <v>Boulon 12x60+ 2 long đền vuông D14-50x50x3/Zn</v>
      </c>
      <c r="G1635" s="1012" t="str">
        <f>VLOOKUP($B1635,DG!A:D,DG!$D$2,)</f>
        <v>bộ</v>
      </c>
      <c r="H1635" s="1713"/>
      <c r="I1635" s="1192">
        <f t="shared" si="66"/>
        <v>0</v>
      </c>
      <c r="J1635" s="1014"/>
      <c r="K1635" s="1014"/>
      <c r="L1635" s="1043"/>
      <c r="M1635" s="934">
        <v>320</v>
      </c>
    </row>
    <row r="1636" spans="1:13" s="1016" customFormat="1" ht="25.2" hidden="1" customHeight="1">
      <c r="A1636" s="1086">
        <f t="shared" si="67"/>
        <v>0</v>
      </c>
      <c r="B1636" s="1226" t="s">
        <v>1043</v>
      </c>
      <c r="C1636" s="2841"/>
      <c r="D1636" s="1023"/>
      <c r="E1636" s="1012">
        <f>VLOOKUP($B1636,DG!A:D,DG!$B$2,)</f>
        <v>0</v>
      </c>
      <c r="F1636" s="1013" t="str">
        <f>VLOOKUP($B1636,DG!A:D,DG!$C$2,)</f>
        <v>Co sừng 90 độ PVC 114</v>
      </c>
      <c r="G1636" s="1012" t="str">
        <f>VLOOKUP($B1636,DG!A:D,DG!$D$2,)</f>
        <v>cái</v>
      </c>
      <c r="H1636" s="1713">
        <v>1</v>
      </c>
      <c r="I1636" s="1192">
        <f t="shared" si="66"/>
        <v>0</v>
      </c>
      <c r="J1636" s="1014"/>
      <c r="K1636" s="1014"/>
      <c r="L1636" s="1043"/>
      <c r="M1636" s="934">
        <v>320</v>
      </c>
    </row>
    <row r="1637" spans="1:13" s="1016" customFormat="1" ht="25.2" hidden="1" customHeight="1">
      <c r="A1637" s="1086">
        <f t="shared" si="67"/>
        <v>0</v>
      </c>
      <c r="B1637" s="1226" t="s">
        <v>2117</v>
      </c>
      <c r="C1637" s="2841"/>
      <c r="D1637" s="1023"/>
      <c r="E1637" s="1012">
        <f>VLOOKUP($B1637,DG!A:D,DG!$B$2,)</f>
        <v>0</v>
      </c>
      <c r="F1637" s="1013" t="str">
        <f>VLOOKUP($B1637,DG!A:D,DG!$C$2,)</f>
        <v>Co  90 độ PVC 114</v>
      </c>
      <c r="G1637" s="1012" t="str">
        <f>VLOOKUP($B1637,DG!A:D,DG!$D$2,)</f>
        <v>cái</v>
      </c>
      <c r="H1637" s="1713">
        <f>H1619*1</f>
        <v>2</v>
      </c>
      <c r="I1637" s="1192">
        <f>IF(M1637=$M$23,H1637+J1637-K1637,0)</f>
        <v>0</v>
      </c>
      <c r="J1637" s="1014"/>
      <c r="K1637" s="1014"/>
      <c r="L1637" s="1043"/>
      <c r="M1637" s="934">
        <v>320</v>
      </c>
    </row>
    <row r="1638" spans="1:13" s="1016" customFormat="1" ht="25.2" hidden="1" customHeight="1">
      <c r="A1638" s="1086">
        <f t="shared" si="67"/>
        <v>0</v>
      </c>
      <c r="B1638" s="1226" t="s">
        <v>4766</v>
      </c>
      <c r="C1638" s="2841"/>
      <c r="D1638" s="1023"/>
      <c r="E1638" s="1012">
        <f>VLOOKUP($B1638,DG!A:D,DG!$B$2,)</f>
        <v>0</v>
      </c>
      <c r="F1638" s="1013" t="str">
        <f>VLOOKUP($B1638,DG!A:D,DG!$C$2,)</f>
        <v>Co 135 độ PVC 114</v>
      </c>
      <c r="G1638" s="1012" t="str">
        <f>VLOOKUP($B1638,DG!A:D,DG!$D$2,)</f>
        <v>cái</v>
      </c>
      <c r="H1638" s="1713">
        <v>1</v>
      </c>
      <c r="I1638" s="1192">
        <f>IF(M1638=$M$23,H1638+J1638-K1638,0)</f>
        <v>0</v>
      </c>
      <c r="J1638" s="1014"/>
      <c r="K1638" s="1014"/>
      <c r="L1638" s="1043"/>
      <c r="M1638" s="934">
        <v>320</v>
      </c>
    </row>
    <row r="1639" spans="1:13" s="1016" customFormat="1" ht="25.2" hidden="1" customHeight="1">
      <c r="A1639" s="1086">
        <f t="shared" si="67"/>
        <v>0</v>
      </c>
      <c r="B1639" s="1226" t="s">
        <v>2167</v>
      </c>
      <c r="C1639" s="2841"/>
      <c r="D1639" s="1023"/>
      <c r="E1639" s="1012">
        <f>VLOOKUP($B1639,DG!A:D,DG!$B$2,)</f>
        <v>0</v>
      </c>
      <c r="F1639" s="1013" t="str">
        <f>VLOOKUP($B1639,DG!A:D,DG!$C$2,)</f>
        <v>Khâu ven răng trong D114</v>
      </c>
      <c r="G1639" s="1012" t="str">
        <f>VLOOKUP($B1639,DG!A:D,DG!$D$2,)</f>
        <v>cái</v>
      </c>
      <c r="H1639" s="1713">
        <f>H1621*1</f>
        <v>1</v>
      </c>
      <c r="I1639" s="1192">
        <f t="shared" si="66"/>
        <v>0</v>
      </c>
      <c r="J1639" s="1014"/>
      <c r="K1639" s="1014"/>
      <c r="L1639" s="1043"/>
      <c r="M1639" s="934">
        <v>320</v>
      </c>
    </row>
    <row r="1640" spans="1:13" s="1016" customFormat="1" ht="25.2" hidden="1" customHeight="1">
      <c r="A1640" s="1086">
        <f t="shared" si="67"/>
        <v>0</v>
      </c>
      <c r="B1640" s="1226" t="s">
        <v>2168</v>
      </c>
      <c r="C1640" s="2841"/>
      <c r="D1640" s="1023"/>
      <c r="E1640" s="1012">
        <f>VLOOKUP($B1640,DG!A:D,DG!$B$2,)</f>
        <v>0</v>
      </c>
      <c r="F1640" s="1013" t="str">
        <f>VLOOKUP($B1640,DG!A:D,DG!$C$2,)&amp;": "</f>
        <v xml:space="preserve">Khâu ven răng ngoài D114: </v>
      </c>
      <c r="G1640" s="1012" t="str">
        <f>VLOOKUP($B1640,DG!A:D,DG!$D$2,)</f>
        <v>cái</v>
      </c>
      <c r="H1640" s="1713">
        <f>H1639</f>
        <v>1</v>
      </c>
      <c r="I1640" s="1192">
        <f t="shared" si="66"/>
        <v>0</v>
      </c>
      <c r="J1640" s="1014"/>
      <c r="K1640" s="1014"/>
      <c r="L1640" s="1043"/>
      <c r="M1640" s="934">
        <v>320</v>
      </c>
    </row>
    <row r="1641" spans="1:13" s="1016" customFormat="1" ht="25.2" hidden="1" customHeight="1">
      <c r="A1641" s="1086">
        <f t="shared" si="67"/>
        <v>0</v>
      </c>
      <c r="B1641" s="1226" t="s">
        <v>2074</v>
      </c>
      <c r="C1641" s="2841"/>
      <c r="D1641" s="1023"/>
      <c r="E1641" s="1012">
        <f>VLOOKUP($B1641,DG!A:D,DG!$B$2,)</f>
        <v>0</v>
      </c>
      <c r="F1641" s="1013" t="str">
        <f>VLOOKUP($B1641,DG!A:D,DG!$C$2,)&amp;": "</f>
        <v xml:space="preserve">Keo dán ống PVC (100gr): </v>
      </c>
      <c r="G1641" s="1012" t="str">
        <f>VLOOKUP($B1641,DG!A:D,DG!$D$2,)</f>
        <v>tuýp</v>
      </c>
      <c r="H1641" s="1713">
        <f>H1640</f>
        <v>1</v>
      </c>
      <c r="I1641" s="1192">
        <f t="shared" si="66"/>
        <v>0</v>
      </c>
      <c r="J1641" s="1014"/>
      <c r="K1641" s="1014"/>
      <c r="L1641" s="1043"/>
      <c r="M1641" s="934">
        <v>320</v>
      </c>
    </row>
    <row r="1642" spans="1:13" s="1016" customFormat="1" ht="25.2" hidden="1" customHeight="1">
      <c r="A1642" s="1086">
        <f t="shared" si="67"/>
        <v>0</v>
      </c>
      <c r="B1642" s="1087" t="s">
        <v>6</v>
      </c>
      <c r="C1642" s="2842"/>
      <c r="D1642" s="1023"/>
      <c r="E1642" s="1012"/>
      <c r="F1642" s="1013" t="str">
        <f>VLOOKUP($B1642,DG!A:D,DG!$C$2,)&amp;":"</f>
        <v>Keo silicon bít miệng ống:</v>
      </c>
      <c r="G1642" s="1012" t="str">
        <f>VLOOKUP($B1642,DG!A:D,DG!$D$2,)</f>
        <v>ống</v>
      </c>
      <c r="H1642" s="1713">
        <f>H1641</f>
        <v>1</v>
      </c>
      <c r="I1642" s="1192">
        <f t="shared" si="66"/>
        <v>0</v>
      </c>
      <c r="J1642" s="1014"/>
      <c r="K1642" s="1014"/>
      <c r="L1642" s="1015"/>
      <c r="M1642" s="934">
        <v>320</v>
      </c>
    </row>
    <row r="1643" spans="1:13" s="1016" customFormat="1" ht="25.2" hidden="1" customHeight="1">
      <c r="A1643" s="1086">
        <f t="shared" si="67"/>
        <v>0</v>
      </c>
      <c r="B1643" s="1226" t="s">
        <v>2276</v>
      </c>
      <c r="C1643" s="2841"/>
      <c r="D1643" s="1023"/>
      <c r="E1643" s="1012" t="str">
        <f>VLOOKUP($B1643,DG!A:D,DG!$B$2,)</f>
        <v>03.1401</v>
      </c>
      <c r="F1643" s="1013" t="str">
        <f>VLOOKUP($B1643,DG!A:D,DG!$C$2,)</f>
        <v xml:space="preserve">Cáp CVV 4x4mm2  </v>
      </c>
      <c r="G1643" s="1012" t="str">
        <f>VLOOKUP($B1643,DG!A:D,DG!$D$2,)</f>
        <v>mét</v>
      </c>
      <c r="H1643" s="1713">
        <f>IF(H1650&gt;0,0,H1621*4)</f>
        <v>4</v>
      </c>
      <c r="I1643" s="1192">
        <f t="shared" si="66"/>
        <v>0</v>
      </c>
      <c r="J1643" s="1014"/>
      <c r="K1643" s="1014"/>
      <c r="L1643" s="1015"/>
      <c r="M1643" s="934">
        <v>320</v>
      </c>
    </row>
    <row r="1644" spans="1:13" s="1016" customFormat="1" ht="25.2" hidden="1" customHeight="1">
      <c r="A1644" s="1086">
        <f t="shared" si="67"/>
        <v>0</v>
      </c>
      <c r="B1644" s="1226" t="s">
        <v>1348</v>
      </c>
      <c r="C1644" s="2841"/>
      <c r="D1644" s="1023"/>
      <c r="E1644" s="1012">
        <f>VLOOKUP($B1644,DG!A:D,DG!$B$2,)</f>
        <v>0</v>
      </c>
      <c r="F1644" s="1013" t="str">
        <f>VLOOKUP($B1644,DG!A:D,DG!$C$2,)</f>
        <v>Dây rút cáp</v>
      </c>
      <c r="G1644" s="1012" t="str">
        <f>VLOOKUP($B1644,DG!A:D,DG!$D$2,)</f>
        <v>bọc</v>
      </c>
      <c r="H1644" s="1748"/>
      <c r="I1644" s="1192">
        <f t="shared" si="66"/>
        <v>0</v>
      </c>
      <c r="J1644" s="1014"/>
      <c r="K1644" s="1014"/>
      <c r="L1644" s="1015"/>
      <c r="M1644" s="934">
        <v>320</v>
      </c>
    </row>
    <row r="1645" spans="1:13" s="1016" customFormat="1" ht="25.2" hidden="1" customHeight="1">
      <c r="A1645" s="1086">
        <f t="shared" si="67"/>
        <v>0</v>
      </c>
      <c r="B1645" s="1087" t="s">
        <v>672</v>
      </c>
      <c r="C1645" s="2842"/>
      <c r="D1645" s="1023"/>
      <c r="E1645" s="1012">
        <f>VLOOKUP($B1645,DG!A:D,DG!$B$2,)</f>
        <v>0</v>
      </c>
      <c r="F1645" s="1013" t="str">
        <f>VLOOKUP($B1645,DG!A:D,DG!$C$2,)&amp;":"</f>
        <v>Băng keo cách điện:</v>
      </c>
      <c r="G1645" s="1012" t="str">
        <f>VLOOKUP($B1645,DG!A:D,DG!$D$2,)</f>
        <v>cuộn</v>
      </c>
      <c r="H1645" s="1713">
        <f>H1642*2</f>
        <v>2</v>
      </c>
      <c r="I1645" s="1192">
        <f t="shared" si="66"/>
        <v>0</v>
      </c>
      <c r="J1645" s="1014"/>
      <c r="K1645" s="1014"/>
      <c r="L1645" s="1043"/>
      <c r="M1645" s="934">
        <v>320</v>
      </c>
    </row>
    <row r="1646" spans="1:13" s="1016" customFormat="1" ht="25.2" hidden="1" customHeight="1">
      <c r="A1646" s="1086">
        <f t="shared" si="67"/>
        <v>0</v>
      </c>
      <c r="B1646" s="1087" t="s">
        <v>1410</v>
      </c>
      <c r="C1646" s="2842"/>
      <c r="D1646" s="1023"/>
      <c r="E1646" s="1012" t="str">
        <f>VLOOKUP($B1646,DG!A:D,DG!$B$2,)</f>
        <v>05.6101</v>
      </c>
      <c r="F1646" s="1013" t="str">
        <f>VLOOKUP($B1646,DG!A:D,DG!$C$2,)&amp;":"</f>
        <v>Lắp Giá đỡ cáp:</v>
      </c>
      <c r="G1646" s="1012" t="str">
        <f>VLOOKUP($B1646,DG!A:D,DG!$D$2,)</f>
        <v>bộ</v>
      </c>
      <c r="H1646" s="1713"/>
      <c r="I1646" s="1192">
        <f t="shared" si="66"/>
        <v>0</v>
      </c>
      <c r="J1646" s="1014"/>
      <c r="K1646" s="1014"/>
      <c r="L1646" s="1043"/>
      <c r="M1646" s="934">
        <v>320</v>
      </c>
    </row>
    <row r="1647" spans="1:13" s="1016" customFormat="1" ht="25.2" hidden="1" customHeight="1">
      <c r="A1647" s="1086">
        <f t="shared" si="67"/>
        <v>0</v>
      </c>
      <c r="B1647" s="1087" t="s">
        <v>247</v>
      </c>
      <c r="C1647" s="2842"/>
      <c r="D1647" s="1023"/>
      <c r="E1647" s="1012" t="str">
        <f>VLOOKUP($B1647,DG!A:D,DG!$B$2,)</f>
        <v>04.4203</v>
      </c>
      <c r="F1647" s="1013" t="str">
        <f>VLOOKUP($B1647,DG!A:D,DG!$C$2,)&amp;":"</f>
        <v>Lắp cáp đồng xuống thiết bị D &gt; 150mm2:</v>
      </c>
      <c r="G1647" s="1012" t="str">
        <f>VLOOKUP($B1647,DG!A:D,DG!$D$2,)</f>
        <v>m</v>
      </c>
      <c r="H1647" s="1713">
        <f>H1623+H1624</f>
        <v>8</v>
      </c>
      <c r="I1647" s="1192">
        <f t="shared" si="66"/>
        <v>0</v>
      </c>
      <c r="J1647" s="1014"/>
      <c r="K1647" s="1014"/>
      <c r="L1647" s="1043"/>
      <c r="M1647" s="934">
        <v>320</v>
      </c>
    </row>
    <row r="1648" spans="1:13" s="1016" customFormat="1" ht="25.2" hidden="1" customHeight="1">
      <c r="A1648" s="1086">
        <f t="shared" si="67"/>
        <v>0</v>
      </c>
      <c r="B1648" s="1087" t="s">
        <v>2006</v>
      </c>
      <c r="C1648" s="2842"/>
      <c r="D1648" s="1023"/>
      <c r="E1648" s="1012" t="str">
        <f>VLOOKUP($B1648,DG!A:D,DG!$B$2,)</f>
        <v>04.4202</v>
      </c>
      <c r="F1648" s="1013" t="str">
        <f>VLOOKUP($B1648,DG!A:D,DG!$C$2,)&amp;":"</f>
        <v>Lắp cáp đồng xuống thiết bị D ≤ 150mm2:</v>
      </c>
      <c r="G1648" s="1012" t="str">
        <f>VLOOKUP($B1648,DG!A:D,DG!$D$2,)</f>
        <v>m</v>
      </c>
      <c r="H1648" s="1713"/>
      <c r="I1648" s="1192">
        <f t="shared" si="66"/>
        <v>0</v>
      </c>
      <c r="J1648" s="1014"/>
      <c r="K1648" s="1014"/>
      <c r="L1648" s="1015"/>
      <c r="M1648" s="934">
        <v>320</v>
      </c>
    </row>
    <row r="1649" spans="1:13" s="1016" customFormat="1" ht="25.2" hidden="1" customHeight="1">
      <c r="A1649" s="1086">
        <f t="shared" si="67"/>
        <v>0</v>
      </c>
      <c r="B1649" s="1087" t="s">
        <v>242</v>
      </c>
      <c r="C1649" s="2842"/>
      <c r="D1649" s="1023"/>
      <c r="E1649" s="1012">
        <f>VLOOKUP($B1649,DG!A:D,DG!$B$2,)</f>
        <v>0</v>
      </c>
      <c r="F1649" s="1013" t="str">
        <f>VLOOKUP($B1649,DG!A:D,DG!$C$2,)&amp;":"</f>
        <v>Bộ móng tủ bù 0,2x0,2x0,4x4móng:</v>
      </c>
      <c r="G1649" s="1012" t="str">
        <f>VLOOKUP($B1649,DG!A:D,DG!$D$2,)</f>
        <v>trọn bộ</v>
      </c>
      <c r="H1649" s="1713">
        <f>H1621*1*0</f>
        <v>0</v>
      </c>
      <c r="I1649" s="1192">
        <f t="shared" si="66"/>
        <v>0</v>
      </c>
      <c r="J1649" s="1014"/>
      <c r="K1649" s="1014"/>
      <c r="L1649" s="1015"/>
      <c r="M1649" s="934">
        <v>320</v>
      </c>
    </row>
    <row r="1650" spans="1:13" s="1016" customFormat="1" ht="25.2" hidden="1" customHeight="1">
      <c r="A1650" s="1086">
        <f t="shared" si="67"/>
        <v>0</v>
      </c>
      <c r="B1650" s="1087"/>
      <c r="C1650" s="2842"/>
      <c r="D1650" s="1017">
        <f>IF(H1650&gt;0,D1621+1,D1621)</f>
        <v>3</v>
      </c>
      <c r="E1650" s="1018"/>
      <c r="F1650" s="1027" t="s">
        <v>3729</v>
      </c>
      <c r="G1650" s="1017" t="s">
        <v>2385</v>
      </c>
      <c r="H1650" s="1743">
        <f>H1452/3</f>
        <v>0</v>
      </c>
      <c r="I1650" s="1192">
        <f t="shared" si="66"/>
        <v>0</v>
      </c>
      <c r="J1650" s="1014"/>
      <c r="K1650" s="1014"/>
      <c r="L1650" s="1043"/>
      <c r="M1650" s="934">
        <v>320</v>
      </c>
    </row>
    <row r="1651" spans="1:13" s="1067" customFormat="1" ht="25.2" hidden="1" customHeight="1">
      <c r="A1651" s="1086">
        <f t="shared" si="67"/>
        <v>0</v>
      </c>
      <c r="B1651" s="1257"/>
      <c r="C1651" s="2859"/>
      <c r="D1651" s="1011"/>
      <c r="E1651" s="1021"/>
      <c r="F1651" s="1268" t="s">
        <v>2279</v>
      </c>
      <c r="G1651" s="1011"/>
      <c r="H1651" s="1723"/>
      <c r="I1651" s="1192">
        <f t="shared" ref="I1651:I1714" si="68">IF(M1651=$M$23,H1651+J1651-K1651,0)</f>
        <v>0</v>
      </c>
      <c r="J1651" s="1014"/>
      <c r="K1651" s="1014"/>
      <c r="L1651" s="1043"/>
      <c r="M1651" s="934">
        <v>320</v>
      </c>
    </row>
    <row r="1652" spans="1:13" s="1016" customFormat="1" ht="25.2" hidden="1" customHeight="1">
      <c r="A1652" s="1086">
        <f t="shared" si="67"/>
        <v>0</v>
      </c>
      <c r="B1652" s="1226" t="s">
        <v>1822</v>
      </c>
      <c r="C1652" s="2841"/>
      <c r="D1652" s="1043"/>
      <c r="E1652" s="1012" t="str">
        <f>VLOOKUP($B1652,DG!A:D,DG!$B$2,)</f>
        <v>03.1401</v>
      </c>
      <c r="F1652" s="1041" t="str">
        <f>VLOOKUP($B1652,DG!A:D,DG!$C$2,)</f>
        <v xml:space="preserve">Cáp CVV 4x2,5mm2  </v>
      </c>
      <c r="G1652" s="1068" t="str">
        <f>VLOOKUP($B1652,DG!A:D,DG!$D$2,)</f>
        <v>mét</v>
      </c>
      <c r="H1652" s="1713">
        <f>H1650*26</f>
        <v>0</v>
      </c>
      <c r="I1652" s="1192">
        <f t="shared" si="68"/>
        <v>0</v>
      </c>
      <c r="J1652" s="1064"/>
      <c r="K1652" s="1064"/>
      <c r="L1652" s="1043"/>
      <c r="M1652" s="934">
        <v>320</v>
      </c>
    </row>
    <row r="1653" spans="1:13" s="1016" customFormat="1" ht="25.2" hidden="1" customHeight="1">
      <c r="A1653" s="1086">
        <f t="shared" si="67"/>
        <v>0</v>
      </c>
      <c r="B1653" s="1226" t="s">
        <v>246</v>
      </c>
      <c r="C1653" s="2841"/>
      <c r="D1653" s="1043"/>
      <c r="E1653" s="1012" t="str">
        <f>VLOOKUP($B1653,DG!A:D,DG!$B$2,)</f>
        <v>05.6101</v>
      </c>
      <c r="F1653" s="1041" t="str">
        <f>VLOOKUP($B1653,DG!A:D,DG!$C$2,)</f>
        <v>Xà kẹp TU, TI U50x32x4 350</v>
      </c>
      <c r="G1653" s="1068" t="str">
        <f>VLOOKUP($B1653,DG!A:D,DG!$D$2,)</f>
        <v>Bộ</v>
      </c>
      <c r="H1653" s="1713">
        <f>H1650*24</f>
        <v>0</v>
      </c>
      <c r="I1653" s="1192">
        <f t="shared" si="68"/>
        <v>0</v>
      </c>
      <c r="J1653" s="1064"/>
      <c r="K1653" s="1064"/>
      <c r="L1653" s="1043"/>
      <c r="M1653" s="934">
        <v>320</v>
      </c>
    </row>
    <row r="1654" spans="1:13" s="1016" customFormat="1" ht="25.2" hidden="1" customHeight="1">
      <c r="A1654" s="1086">
        <f t="shared" si="67"/>
        <v>0</v>
      </c>
      <c r="B1654" s="1226" t="s">
        <v>1865</v>
      </c>
      <c r="C1654" s="2841"/>
      <c r="D1654" s="1023"/>
      <c r="E1654" s="1012" t="str">
        <f>VLOOKUP($B1654,DG!A:D,DG!$B$2,)</f>
        <v>03.4001</v>
      </c>
      <c r="F1654" s="1041" t="str">
        <f>VLOOKUP($B1654,DG!A:D,DG!$C$2,)</f>
        <v xml:space="preserve">Đầu cosse ép Cu 2,5mm2 + bao PVC </v>
      </c>
      <c r="G1654" s="1068" t="str">
        <f>VLOOKUP($B1654,DG!A:D,DG!$D$2,)</f>
        <v>cái</v>
      </c>
      <c r="H1654" s="1713">
        <f>H1650*16</f>
        <v>0</v>
      </c>
      <c r="I1654" s="1192">
        <f t="shared" si="68"/>
        <v>0</v>
      </c>
      <c r="J1654" s="1064"/>
      <c r="K1654" s="1064"/>
      <c r="L1654" s="1043"/>
      <c r="M1654" s="934">
        <v>320</v>
      </c>
    </row>
    <row r="1655" spans="1:13" s="1016" customFormat="1" ht="25.2" hidden="1" customHeight="1">
      <c r="A1655" s="1086">
        <f t="shared" si="67"/>
        <v>0</v>
      </c>
      <c r="B1655" s="1226" t="s">
        <v>1510</v>
      </c>
      <c r="C1655" s="2841"/>
      <c r="D1655" s="1023"/>
      <c r="E1655" s="1012">
        <f>VLOOKUP($B1655,DG!A:D,DG!$B$2,)</f>
        <v>0</v>
      </c>
      <c r="F1655" s="1041" t="str">
        <f>VLOOKUP($B1655,DG!A:D,DG!$C$2,)</f>
        <v>Dây điện đôi 16/10</v>
      </c>
      <c r="G1655" s="1068" t="str">
        <f>VLOOKUP($B1655,DG!A:D,DG!$D$2,)</f>
        <v>mét</v>
      </c>
      <c r="H1655" s="1713">
        <f>2*H1650</f>
        <v>0</v>
      </c>
      <c r="I1655" s="1192">
        <f t="shared" si="68"/>
        <v>0</v>
      </c>
      <c r="J1655" s="1064"/>
      <c r="K1655" s="1064"/>
      <c r="L1655" s="1043"/>
      <c r="M1655" s="934">
        <v>320</v>
      </c>
    </row>
    <row r="1656" spans="1:13" s="1016" customFormat="1" ht="25.2" hidden="1" customHeight="1">
      <c r="A1656" s="1086">
        <f t="shared" si="67"/>
        <v>0</v>
      </c>
      <c r="B1656" s="1226" t="s">
        <v>1114</v>
      </c>
      <c r="C1656" s="2841"/>
      <c r="D1656" s="1023"/>
      <c r="E1656" s="1012">
        <f>VLOOKUP($B1656,DG!A:D,DG!$B$2,)</f>
        <v>0</v>
      </c>
      <c r="F1656" s="1041" t="str">
        <f>VLOOKUP($B1656,DG!A:D,DG!$C$2,)&amp;" (ñaáu TU )"</f>
        <v>Kẹp ép cỡ dây 25mm2 (ñaáu TU )</v>
      </c>
      <c r="G1656" s="1068" t="str">
        <f>VLOOKUP($B1656,DG!A:D,DG!$D$2,)</f>
        <v>cái</v>
      </c>
      <c r="H1656" s="1713">
        <f>+H1650*3</f>
        <v>0</v>
      </c>
      <c r="I1656" s="1192">
        <f t="shared" si="68"/>
        <v>0</v>
      </c>
      <c r="J1656" s="1064"/>
      <c r="K1656" s="1064"/>
      <c r="L1656" s="1043"/>
      <c r="M1656" s="934">
        <v>320</v>
      </c>
    </row>
    <row r="1657" spans="1:13" s="1016" customFormat="1" ht="25.2" hidden="1" customHeight="1">
      <c r="A1657" s="1086">
        <f t="shared" si="67"/>
        <v>0</v>
      </c>
      <c r="B1657" s="1226" t="s">
        <v>2141</v>
      </c>
      <c r="C1657" s="2841"/>
      <c r="D1657" s="1023"/>
      <c r="E1657" s="1012" t="str">
        <f>VLOOKUP($B1657,DG!A:D,DG!$B$2,)</f>
        <v>07.2403</v>
      </c>
      <c r="F1657" s="1041" t="str">
        <f>VLOOKUP($B1657,DG!A:D,DG!$C$2,)</f>
        <v>Ống PVC D42x2,1mm</v>
      </c>
      <c r="G1657" s="1068" t="str">
        <f>VLOOKUP($B1657,DG!A:D,DG!$D$2,)</f>
        <v>m</v>
      </c>
      <c r="H1657" s="1713">
        <f>H1650*14</f>
        <v>0</v>
      </c>
      <c r="I1657" s="1192">
        <f t="shared" si="68"/>
        <v>0</v>
      </c>
      <c r="J1657" s="1064"/>
      <c r="K1657" s="1064"/>
      <c r="L1657" s="1043"/>
      <c r="M1657" s="934">
        <v>320</v>
      </c>
    </row>
    <row r="1658" spans="1:13" s="1016" customFormat="1" ht="25.2" hidden="1" customHeight="1">
      <c r="A1658" s="1086">
        <f t="shared" si="67"/>
        <v>0</v>
      </c>
      <c r="B1658" s="1087" t="s">
        <v>204</v>
      </c>
      <c r="C1658" s="2842"/>
      <c r="D1658" s="1023"/>
      <c r="E1658" s="1012" t="str">
        <f>VLOOKUP($B1658,DG!A:D,DG!$B$2,)</f>
        <v>06.3231</v>
      </c>
      <c r="F1658" s="1041" t="str">
        <f>VLOOKUP($B1658,DG!A:D,DG!$C$2,)&amp;": 4 bộ"</f>
        <v>Cổ dê giữ ống PVC D42: 4 bộ</v>
      </c>
      <c r="G1658" s="1068" t="str">
        <f>VLOOKUP($B1658,DG!A:D,DG!$D$2,)</f>
        <v>bộ</v>
      </c>
      <c r="H1658" s="1713">
        <f>H1650*(0.459+0.482+0.52+0.569)</f>
        <v>0</v>
      </c>
      <c r="I1658" s="1192">
        <f t="shared" si="68"/>
        <v>0</v>
      </c>
      <c r="J1658" s="1064"/>
      <c r="K1658" s="1064"/>
      <c r="L1658" s="1043"/>
      <c r="M1658" s="934">
        <v>320</v>
      </c>
    </row>
    <row r="1659" spans="1:13" s="1016" customFormat="1" ht="25.2" hidden="1" customHeight="1">
      <c r="A1659" s="1086">
        <f t="shared" si="67"/>
        <v>0</v>
      </c>
      <c r="B1659" s="1087" t="s">
        <v>1131</v>
      </c>
      <c r="C1659" s="2842"/>
      <c r="D1659" s="1023"/>
      <c r="E1659" s="1012" t="str">
        <f>VLOOKUP($B1659,DG!A:D,DG!$B$2,)</f>
        <v>06.2110</v>
      </c>
      <c r="F1659" s="1041" t="str">
        <f>VLOOKUP($B1659,DG!A:D,DG!$C$2,)&amp;": 4 bộ"</f>
        <v>Lắp cổ dê: 4 bộ</v>
      </c>
      <c r="G1659" s="1068" t="str">
        <f>VLOOKUP($B1659,DG!A:D,DG!$D$2,)</f>
        <v>bộ</v>
      </c>
      <c r="H1659" s="1713">
        <f>H1650*4</f>
        <v>0</v>
      </c>
      <c r="I1659" s="1192">
        <f t="shared" si="68"/>
        <v>0</v>
      </c>
      <c r="J1659" s="1064"/>
      <c r="K1659" s="1064"/>
      <c r="L1659" s="1043"/>
      <c r="M1659" s="934">
        <v>320</v>
      </c>
    </row>
    <row r="1660" spans="1:13" s="1016" customFormat="1" ht="25.2" hidden="1" customHeight="1">
      <c r="A1660" s="1086">
        <f t="shared" si="67"/>
        <v>0</v>
      </c>
      <c r="B1660" s="1226" t="s">
        <v>1616</v>
      </c>
      <c r="C1660" s="2841"/>
      <c r="D1660" s="1023"/>
      <c r="E1660" s="1012">
        <f>VLOOKUP($B1660,DG!A:D,DG!$B$2,)</f>
        <v>0</v>
      </c>
      <c r="F1660" s="1041" t="str">
        <f>VLOOKUP($B1660,DG!A:D,DG!$C$2,)</f>
        <v>Co 90 độ PVC 42</v>
      </c>
      <c r="G1660" s="1068" t="str">
        <f>VLOOKUP($B1660,DG!A:D,DG!$D$2,)</f>
        <v>cái</v>
      </c>
      <c r="H1660" s="1713">
        <f>H1650*5</f>
        <v>0</v>
      </c>
      <c r="I1660" s="1192">
        <f t="shared" si="68"/>
        <v>0</v>
      </c>
      <c r="J1660" s="1064"/>
      <c r="K1660" s="1064"/>
      <c r="L1660" s="1043"/>
      <c r="M1660" s="934">
        <v>320</v>
      </c>
    </row>
    <row r="1661" spans="1:13" s="1016" customFormat="1" ht="25.2" hidden="1" customHeight="1">
      <c r="A1661" s="1086">
        <f t="shared" si="67"/>
        <v>0</v>
      </c>
      <c r="B1661" s="1226" t="s">
        <v>1050</v>
      </c>
      <c r="C1661" s="2841"/>
      <c r="D1661" s="1023"/>
      <c r="E1661" s="1012">
        <f>VLOOKUP($B1661,DG!A:D,DG!$B$2,)</f>
        <v>0</v>
      </c>
      <c r="F1661" s="1041" t="str">
        <f>VLOOKUP($B1661,DG!A:D,DG!$C$2,)</f>
        <v>Co chữ T ống PVC 42</v>
      </c>
      <c r="G1661" s="1068" t="str">
        <f>VLOOKUP($B1661,DG!A:D,DG!$D$2,)</f>
        <v>cái</v>
      </c>
      <c r="H1661" s="1713">
        <f>H1650*5</f>
        <v>0</v>
      </c>
      <c r="I1661" s="1192">
        <f t="shared" si="68"/>
        <v>0</v>
      </c>
      <c r="J1661" s="1064"/>
      <c r="K1661" s="1064"/>
      <c r="L1661" s="1043"/>
      <c r="M1661" s="934">
        <v>320</v>
      </c>
    </row>
    <row r="1662" spans="1:13" s="1016" customFormat="1" ht="25.2" hidden="1" customHeight="1">
      <c r="A1662" s="1086">
        <f t="shared" si="67"/>
        <v>0</v>
      </c>
      <c r="B1662" s="1226" t="s">
        <v>1913</v>
      </c>
      <c r="C1662" s="2841"/>
      <c r="D1662" s="1023"/>
      <c r="E1662" s="1012">
        <f>VLOOKUP($B1662,DG!A:D,DG!$B$2,)</f>
        <v>0</v>
      </c>
      <c r="F1662" s="1041" t="str">
        <f>VLOOKUP($B1662,DG!A:D,DG!$C$2,)</f>
        <v>Nối thẳng ống PVC 42</v>
      </c>
      <c r="G1662" s="1068" t="str">
        <f>VLOOKUP($B1662,DG!A:D,DG!$D$2,)</f>
        <v>cái</v>
      </c>
      <c r="H1662" s="1713">
        <f>H1650</f>
        <v>0</v>
      </c>
      <c r="I1662" s="1192">
        <f t="shared" si="68"/>
        <v>0</v>
      </c>
      <c r="J1662" s="1064"/>
      <c r="K1662" s="1064"/>
      <c r="L1662" s="1043"/>
      <c r="M1662" s="934">
        <v>320</v>
      </c>
    </row>
    <row r="1663" spans="1:13" s="1016" customFormat="1" ht="25.2" hidden="1" customHeight="1">
      <c r="A1663" s="1086">
        <f t="shared" si="67"/>
        <v>0</v>
      </c>
      <c r="B1663" s="1226" t="s">
        <v>697</v>
      </c>
      <c r="C1663" s="2841"/>
      <c r="D1663" s="1023"/>
      <c r="E1663" s="1012">
        <f>VLOOKUP($B1663,DG!A:D,DG!$B$2,)</f>
        <v>0</v>
      </c>
      <c r="F1663" s="1041" t="str">
        <f>VLOOKUP($B1663,DG!A:D,DG!$C$2,)&amp;" ñaáu TU"</f>
        <v>Cáp 24KV C/XLPE/PVC 25mm2 ñaáu TU</v>
      </c>
      <c r="G1663" s="1068" t="str">
        <f>VLOOKUP($B1663,DG!A:D,DG!$D$2,)</f>
        <v>mét</v>
      </c>
      <c r="H1663" s="1713">
        <f>H1650*0.8*3</f>
        <v>0</v>
      </c>
      <c r="I1663" s="1192">
        <f t="shared" si="68"/>
        <v>0</v>
      </c>
      <c r="J1663" s="1064"/>
      <c r="K1663" s="1064"/>
      <c r="L1663" s="1043"/>
      <c r="M1663" s="934">
        <v>320</v>
      </c>
    </row>
    <row r="1664" spans="1:13" s="1016" customFormat="1" ht="25.2" hidden="1" customHeight="1">
      <c r="A1664" s="1086">
        <f t="shared" si="67"/>
        <v>0</v>
      </c>
      <c r="B1664" s="1226" t="s">
        <v>2074</v>
      </c>
      <c r="C1664" s="2841"/>
      <c r="D1664" s="1023"/>
      <c r="E1664" s="1012">
        <f>VLOOKUP($B1664,DG!A:D,DG!$B$2,)</f>
        <v>0</v>
      </c>
      <c r="F1664" s="1041" t="str">
        <f>VLOOKUP($B1664,DG!A:D,DG!$C$2,)</f>
        <v>Keo dán ống PVC (100gr)</v>
      </c>
      <c r="G1664" s="1068" t="str">
        <f>VLOOKUP($B1664,DG!A:D,DG!$D$2,)</f>
        <v>tuýp</v>
      </c>
      <c r="H1664" s="1713">
        <f>H1650</f>
        <v>0</v>
      </c>
      <c r="I1664" s="1192">
        <f t="shared" si="68"/>
        <v>0</v>
      </c>
      <c r="J1664" s="1064"/>
      <c r="K1664" s="1064"/>
      <c r="L1664" s="1043"/>
      <c r="M1664" s="934">
        <v>320</v>
      </c>
    </row>
    <row r="1665" spans="1:13" s="1016" customFormat="1" ht="25.2" hidden="1" customHeight="1">
      <c r="A1665" s="1086">
        <f t="shared" si="67"/>
        <v>0</v>
      </c>
      <c r="B1665" s="1087" t="s">
        <v>672</v>
      </c>
      <c r="C1665" s="2842"/>
      <c r="D1665" s="1023"/>
      <c r="E1665" s="1012">
        <f>VLOOKUP($B1665,DG!A:D,DG!$B$2,)</f>
        <v>0</v>
      </c>
      <c r="F1665" s="1041" t="str">
        <f>VLOOKUP($B1665,DG!A:D,DG!$C$2,)</f>
        <v>Băng keo cách điện</v>
      </c>
      <c r="G1665" s="1068" t="str">
        <f>VLOOKUP($B1665,DG!A:D,DG!$D$2,)</f>
        <v>cuộn</v>
      </c>
      <c r="H1665" s="1713">
        <f>H1650</f>
        <v>0</v>
      </c>
      <c r="I1665" s="1192">
        <f t="shared" si="68"/>
        <v>0</v>
      </c>
      <c r="J1665" s="1014"/>
      <c r="K1665" s="1014"/>
      <c r="L1665" s="1043"/>
      <c r="M1665" s="934">
        <v>320</v>
      </c>
    </row>
    <row r="1666" spans="1:13" s="1016" customFormat="1" ht="25.2" hidden="1" customHeight="1">
      <c r="A1666" s="1086">
        <f t="shared" si="67"/>
        <v>0</v>
      </c>
      <c r="B1666" s="1226" t="s">
        <v>2120</v>
      </c>
      <c r="C1666" s="2841"/>
      <c r="D1666" s="1023"/>
      <c r="E1666" s="1012">
        <f>VLOOKUP($B1666,DG!A:D,DG!$B$2,)</f>
        <v>0</v>
      </c>
      <c r="F1666" s="1041" t="str">
        <f>VLOOKUP($B1666,DG!A:D,DG!$C$2,)</f>
        <v>Khâu ven răng trong D42</v>
      </c>
      <c r="G1666" s="1068" t="str">
        <f>VLOOKUP($B1666,DG!A:D,DG!$D$2,)</f>
        <v>cái</v>
      </c>
      <c r="H1666" s="1713">
        <f>H1650</f>
        <v>0</v>
      </c>
      <c r="I1666" s="1192">
        <f t="shared" si="68"/>
        <v>0</v>
      </c>
      <c r="J1666" s="1014"/>
      <c r="K1666" s="1014"/>
      <c r="L1666" s="1043"/>
      <c r="M1666" s="934">
        <v>320</v>
      </c>
    </row>
    <row r="1667" spans="1:13" s="1016" customFormat="1" ht="25.2" hidden="1" customHeight="1">
      <c r="A1667" s="1086">
        <f t="shared" si="67"/>
        <v>0</v>
      </c>
      <c r="B1667" s="1087" t="s">
        <v>959</v>
      </c>
      <c r="C1667" s="2842"/>
      <c r="D1667" s="1023"/>
      <c r="E1667" s="1012">
        <f>VLOOKUP($B1667,DG!A:D,DG!$B$2,)</f>
        <v>0</v>
      </c>
      <c r="F1667" s="1041" t="str">
        <f>VLOOKUP($B1667,DG!A:D,DG!$C$2,)</f>
        <v>Khâu ven răng ngoài D42</v>
      </c>
      <c r="G1667" s="1068" t="str">
        <f>VLOOKUP($B1667,DG!A:D,DG!$D$2,)</f>
        <v>cái</v>
      </c>
      <c r="H1667" s="1713">
        <f>H1650</f>
        <v>0</v>
      </c>
      <c r="I1667" s="1192">
        <f t="shared" si="68"/>
        <v>0</v>
      </c>
      <c r="J1667" s="1014"/>
      <c r="K1667" s="1014"/>
      <c r="L1667" s="1043"/>
      <c r="M1667" s="934">
        <v>320</v>
      </c>
    </row>
    <row r="1668" spans="1:13" s="1016" customFormat="1" ht="25.2" hidden="1" customHeight="1">
      <c r="A1668" s="1086">
        <f t="shared" si="67"/>
        <v>0</v>
      </c>
      <c r="B1668" s="1087" t="s">
        <v>319</v>
      </c>
      <c r="C1668" s="2842"/>
      <c r="D1668" s="1023"/>
      <c r="E1668" s="1012" t="str">
        <f>VLOOKUP($B1668,DG!A:D,DG!$B$2,)</f>
        <v>06.3231</v>
      </c>
      <c r="F1668" s="1041" t="str">
        <f>VLOOKUP($B1668,DG!A:D,DG!$C$2,)&amp;": 02 bộ"</f>
        <v>Cổ dê CDĐKĐT( bắt thùng điện kế): 02 bộ</v>
      </c>
      <c r="G1668" s="1068" t="str">
        <f>VLOOKUP($B1668,DG!A:D,DG!$D$2,)</f>
        <v>bộ</v>
      </c>
      <c r="H1668" s="1744">
        <f>H1650*2*5.85</f>
        <v>0</v>
      </c>
      <c r="I1668" s="1192">
        <f t="shared" si="68"/>
        <v>0</v>
      </c>
      <c r="J1668" s="1014"/>
      <c r="K1668" s="1014"/>
      <c r="L1668" s="1015"/>
      <c r="M1668" s="934">
        <v>320</v>
      </c>
    </row>
    <row r="1669" spans="1:13" s="1016" customFormat="1" ht="25.2" hidden="1" customHeight="1">
      <c r="A1669" s="1086">
        <f t="shared" si="67"/>
        <v>0</v>
      </c>
      <c r="B1669" s="1087" t="s">
        <v>1915</v>
      </c>
      <c r="C1669" s="2842"/>
      <c r="D1669" s="1023"/>
      <c r="E1669" s="1012" t="str">
        <f>VLOOKUP($B1669,DG!A:D,DG!$B$2,)</f>
        <v>05.1101</v>
      </c>
      <c r="F1669" s="1041" t="str">
        <f>VLOOKUP($B1669,DG!A:D,DG!$C$2,)</f>
        <v>Thùng điện kế 450x300x200mm đo đếm trung thế</v>
      </c>
      <c r="G1669" s="1068" t="str">
        <f>VLOOKUP($B1669,DG!A:D,DG!$D$2,)</f>
        <v>cái</v>
      </c>
      <c r="H1669" s="1713">
        <f>H1650</f>
        <v>0</v>
      </c>
      <c r="I1669" s="1192">
        <f t="shared" si="68"/>
        <v>0</v>
      </c>
      <c r="J1669" s="1014"/>
      <c r="K1669" s="1014"/>
      <c r="L1669" s="1043"/>
      <c r="M1669" s="934">
        <v>320</v>
      </c>
    </row>
    <row r="1670" spans="1:13" s="1016" customFormat="1" ht="25.2" hidden="1" customHeight="1">
      <c r="A1670" s="1086">
        <f t="shared" si="67"/>
        <v>0</v>
      </c>
      <c r="B1670" s="1087" t="s">
        <v>1131</v>
      </c>
      <c r="C1670" s="2842"/>
      <c r="D1670" s="1023"/>
      <c r="E1670" s="1012" t="str">
        <f>VLOOKUP($B1670,DG!A:D,DG!$B$2,)</f>
        <v>06.2110</v>
      </c>
      <c r="F1670" s="1041" t="str">
        <f>VLOOKUP($B1670,DG!A:D,DG!$C$2,)</f>
        <v>Lắp cổ dê</v>
      </c>
      <c r="G1670" s="1068" t="str">
        <f>VLOOKUP($B1670,DG!A:D,DG!$D$2,)</f>
        <v>bộ</v>
      </c>
      <c r="H1670" s="1713">
        <f>H1669*2</f>
        <v>0</v>
      </c>
      <c r="I1670" s="1192">
        <f t="shared" si="68"/>
        <v>0</v>
      </c>
      <c r="J1670" s="1014"/>
      <c r="K1670" s="1014"/>
      <c r="L1670" s="1043"/>
      <c r="M1670" s="934">
        <v>320</v>
      </c>
    </row>
    <row r="1671" spans="1:13" s="1016" customFormat="1" ht="25.2" hidden="1" customHeight="1">
      <c r="A1671" s="1086">
        <f t="shared" si="67"/>
        <v>0</v>
      </c>
      <c r="B1671" s="1087" t="s">
        <v>6</v>
      </c>
      <c r="C1671" s="2842"/>
      <c r="D1671" s="1023"/>
      <c r="E1671" s="1012">
        <f>VLOOKUP($B1671,DG!A:D,DG!$B$2,)</f>
        <v>0</v>
      </c>
      <c r="F1671" s="1041" t="str">
        <f>VLOOKUP($B1671,DG!A:D,DG!$C$2,)</f>
        <v>Keo silicon bít miệng ống</v>
      </c>
      <c r="G1671" s="1068" t="str">
        <f>VLOOKUP($B1671,DG!A:D,DG!$D$2,)</f>
        <v>ống</v>
      </c>
      <c r="H1671" s="1713">
        <f>H1650</f>
        <v>0</v>
      </c>
      <c r="I1671" s="1192">
        <f t="shared" si="68"/>
        <v>0</v>
      </c>
      <c r="J1671" s="1014"/>
      <c r="K1671" s="1014"/>
      <c r="L1671" s="1043"/>
      <c r="M1671" s="934">
        <v>320</v>
      </c>
    </row>
    <row r="1672" spans="1:13" s="1016" customFormat="1" ht="25.2" hidden="1" customHeight="1">
      <c r="A1672" s="1086">
        <f t="shared" si="67"/>
        <v>0</v>
      </c>
      <c r="B1672" s="1087" t="s">
        <v>2139</v>
      </c>
      <c r="C1672" s="2842"/>
      <c r="D1672" s="1023"/>
      <c r="E1672" s="1012">
        <f>VLOOKUP($B1672,DG!A:D,DG!$B$2,)</f>
        <v>0</v>
      </c>
      <c r="F1672" s="1041" t="str">
        <f>VLOOKUP($B1672,DG!A:D,DG!$C$2,)</f>
        <v>Dây đồng trần mềm dẹt</v>
      </c>
      <c r="G1672" s="1068" t="str">
        <f>VLOOKUP($B1672,DG!A:D,DG!$D$2,)</f>
        <v>mét</v>
      </c>
      <c r="H1672" s="1713">
        <f>H1650*4</f>
        <v>0</v>
      </c>
      <c r="I1672" s="1192">
        <f t="shared" si="68"/>
        <v>0</v>
      </c>
      <c r="J1672" s="1014"/>
      <c r="K1672" s="1014"/>
      <c r="L1672" s="1043"/>
      <c r="M1672" s="934">
        <v>320</v>
      </c>
    </row>
    <row r="1673" spans="1:13" s="1016" customFormat="1" ht="25.2" hidden="1" customHeight="1">
      <c r="A1673" s="1086">
        <f t="shared" si="67"/>
        <v>0</v>
      </c>
      <c r="B1673" s="1087" t="s">
        <v>1219</v>
      </c>
      <c r="C1673" s="2842"/>
      <c r="D1673" s="1023"/>
      <c r="E1673" s="1012" t="str">
        <f>VLOOKUP($B1673,DG!A:D,DG!$B$2,)</f>
        <v>06.3191</v>
      </c>
      <c r="F1673" s="1041" t="str">
        <f>VLOOKUP($B1673,DG!A:D,DG!$C$2,)</f>
        <v>Bảng tên trạm, bảng báo nguy hiểm + đinh vít</v>
      </c>
      <c r="G1673" s="1068" t="str">
        <f>VLOOKUP($B1673,DG!A:D,DG!$D$2,)</f>
        <v>bộ</v>
      </c>
      <c r="H1673" s="1713">
        <f>H1650</f>
        <v>0</v>
      </c>
      <c r="I1673" s="1192">
        <f t="shared" si="68"/>
        <v>0</v>
      </c>
      <c r="J1673" s="1014"/>
      <c r="K1673" s="1014"/>
      <c r="L1673" s="1043"/>
      <c r="M1673" s="934">
        <v>320</v>
      </c>
    </row>
    <row r="1674" spans="1:13" s="1016" customFormat="1" ht="25.2" hidden="1" customHeight="1">
      <c r="A1674" s="1086">
        <f t="shared" si="67"/>
        <v>0</v>
      </c>
      <c r="B1674" s="1087" t="s">
        <v>1350</v>
      </c>
      <c r="C1674" s="2842"/>
      <c r="D1674" s="1023"/>
      <c r="E1674" s="1012">
        <f>VLOOKUP($B1674,DG!A:D,DG!$B$2,)</f>
        <v>0</v>
      </c>
      <c r="F1674" s="1041" t="str">
        <f>VLOOKUP($B1674,DG!A:D,DG!$C$2,)&amp;" baét thuøng ÑKÑT"</f>
        <v>Boulon 12x60+ 2 long đền vuông D14-50x50x3/Zn baét thuøng ÑKÑT</v>
      </c>
      <c r="G1674" s="1068" t="str">
        <f>VLOOKUP($B1674,DG!A:D,DG!$D$2,)</f>
        <v>bộ</v>
      </c>
      <c r="H1674" s="1713">
        <f>4*H1650*0</f>
        <v>0</v>
      </c>
      <c r="I1674" s="1192">
        <f t="shared" si="68"/>
        <v>0</v>
      </c>
      <c r="J1674" s="1014"/>
      <c r="K1674" s="1014"/>
      <c r="L1674" s="1043"/>
      <c r="M1674" s="934">
        <v>320</v>
      </c>
    </row>
    <row r="1675" spans="1:13" s="1016" customFormat="1" ht="25.2" hidden="1" customHeight="1">
      <c r="A1675" s="1086">
        <f t="shared" si="67"/>
        <v>0</v>
      </c>
      <c r="B1675" s="1087"/>
      <c r="C1675" s="2842"/>
      <c r="D1675" s="1048"/>
      <c r="E1675" s="1049"/>
      <c r="F1675" s="1038" t="s">
        <v>3730</v>
      </c>
      <c r="G1675" s="1038"/>
      <c r="H1675" s="1730"/>
      <c r="I1675" s="1192">
        <f t="shared" si="68"/>
        <v>0</v>
      </c>
      <c r="J1675" s="1038"/>
      <c r="K1675" s="1038"/>
      <c r="L1675" s="1069"/>
      <c r="M1675" s="934">
        <v>320</v>
      </c>
    </row>
    <row r="1676" spans="1:13" s="1016" customFormat="1" ht="25.2" hidden="1" customHeight="1">
      <c r="A1676" s="1086">
        <f t="shared" si="67"/>
        <v>0</v>
      </c>
      <c r="B1676" s="1087" t="s">
        <v>966</v>
      </c>
      <c r="C1676" s="2842"/>
      <c r="D1676" s="1023"/>
      <c r="E1676" s="1012" t="str">
        <f>VLOOKUP($B1676,DG!A:D,DG!$B$2,)</f>
        <v>02.5114</v>
      </c>
      <c r="F1676" s="1041" t="s">
        <v>3731</v>
      </c>
      <c r="G1676" s="1068" t="str">
        <f>VLOOKUP($B1676,DG!A:D,DG!$D$2,)</f>
        <v>cái</v>
      </c>
      <c r="H1676" s="1713"/>
      <c r="I1676" s="1192">
        <f t="shared" si="68"/>
        <v>0</v>
      </c>
      <c r="J1676" s="1014"/>
      <c r="K1676" s="1014"/>
      <c r="L1676" s="1043" t="s">
        <v>3732</v>
      </c>
      <c r="M1676" s="934">
        <v>320</v>
      </c>
    </row>
    <row r="1677" spans="1:13" s="1016" customFormat="1" ht="25.2" hidden="1" customHeight="1">
      <c r="A1677" s="1086">
        <f t="shared" si="67"/>
        <v>0</v>
      </c>
      <c r="B1677" s="1087" t="s">
        <v>1906</v>
      </c>
      <c r="C1677" s="2842"/>
      <c r="D1677" s="1023"/>
      <c r="E1677" s="1012" t="str">
        <f>VLOOKUP($B1677,DG!A:D,DG!$B$2,)</f>
        <v>05.6011</v>
      </c>
      <c r="F1677" s="1041" t="s">
        <v>2461</v>
      </c>
      <c r="G1677" s="1068" t="str">
        <f>VLOOKUP($B1677,DG!A:D,DG!$D$2,)</f>
        <v>bộ</v>
      </c>
      <c r="H1677" s="1713"/>
      <c r="I1677" s="1192">
        <f t="shared" si="68"/>
        <v>0</v>
      </c>
      <c r="J1677" s="1014"/>
      <c r="K1677" s="1014"/>
      <c r="L1677" s="1015"/>
      <c r="M1677" s="934">
        <v>320</v>
      </c>
    </row>
    <row r="1678" spans="1:13" s="1016" customFormat="1" ht="25.2" hidden="1" customHeight="1">
      <c r="A1678" s="1086">
        <f t="shared" si="67"/>
        <v>0</v>
      </c>
      <c r="B1678" s="1087"/>
      <c r="C1678" s="2842"/>
      <c r="D1678" s="1070"/>
      <c r="E1678" s="1071"/>
      <c r="F1678" s="1038"/>
      <c r="G1678" s="1072"/>
      <c r="H1678" s="1733"/>
      <c r="I1678" s="1192">
        <f t="shared" si="68"/>
        <v>0</v>
      </c>
      <c r="J1678" s="1073"/>
      <c r="K1678" s="1074"/>
      <c r="L1678" s="1040"/>
      <c r="M1678" s="934"/>
    </row>
    <row r="1679" spans="1:13" s="1016" customFormat="1" ht="25.2" hidden="1" customHeight="1">
      <c r="A1679" s="1086">
        <f t="shared" si="67"/>
        <v>0</v>
      </c>
      <c r="B1679" s="1087"/>
      <c r="C1679" s="2842"/>
      <c r="D1679" s="1075"/>
      <c r="F1679" s="1076"/>
      <c r="H1679" s="1735"/>
      <c r="I1679" s="1192">
        <f t="shared" si="68"/>
        <v>0</v>
      </c>
      <c r="M1679" s="934"/>
    </row>
    <row r="1680" spans="1:13" s="1016" customFormat="1" ht="25.2" hidden="1" customHeight="1">
      <c r="A1680" s="1086">
        <f t="shared" si="67"/>
        <v>0</v>
      </c>
      <c r="B1680" s="1250"/>
      <c r="C1680" s="2854"/>
      <c r="D1680" s="939" t="e">
        <f>"BAÛNG TOÅNG HÔÏP VAÄT LIEÄU, NHAÂN COÂNG, MAÙY THI COÂNG : "&amp;#REF!&amp;" TRAÏM 3P_400KVA ÑO ÑEÁM TRUNG THEÁ"</f>
        <v>#REF!</v>
      </c>
      <c r="E1680" s="939"/>
      <c r="F1680" s="939"/>
      <c r="G1680" s="939"/>
      <c r="H1680" s="1727"/>
      <c r="I1680" s="1192">
        <f t="shared" si="68"/>
        <v>0</v>
      </c>
      <c r="J1680" s="1077"/>
      <c r="K1680" s="1077"/>
      <c r="L1680" s="1078"/>
      <c r="M1680" s="934"/>
    </row>
    <row r="1681" spans="1:13" s="1016" customFormat="1" ht="25.2" hidden="1" customHeight="1">
      <c r="A1681" s="1086">
        <f t="shared" si="67"/>
        <v>0</v>
      </c>
      <c r="B1681" s="1226"/>
      <c r="C1681" s="2841"/>
      <c r="D1681" s="1036"/>
      <c r="E1681" s="1037"/>
      <c r="F1681" s="1038" t="s">
        <v>3672</v>
      </c>
      <c r="G1681" s="1039"/>
      <c r="H1681" s="1754"/>
      <c r="I1681" s="1192">
        <f t="shared" si="68"/>
        <v>0</v>
      </c>
      <c r="J1681" s="1039"/>
      <c r="K1681" s="1039"/>
      <c r="L1681" s="1040"/>
      <c r="M1681" s="934">
        <v>400</v>
      </c>
    </row>
    <row r="1682" spans="1:13" s="1016" customFormat="1" ht="25.2" hidden="1" customHeight="1">
      <c r="A1682" s="1086">
        <f t="shared" si="67"/>
        <v>0</v>
      </c>
      <c r="B1682" s="1227" t="s">
        <v>4500</v>
      </c>
      <c r="C1682" s="2840"/>
      <c r="D1682" s="1023">
        <f>IF(H1682&gt;0,1,0)</f>
        <v>0</v>
      </c>
      <c r="E1682" s="1012" t="str">
        <f>VLOOKUP($B1682,DG!A:D,DG!$B$2,)</f>
        <v>01.1146</v>
      </c>
      <c r="F1682" s="1013" t="str">
        <f>VLOOKUP($B1682,DG!A:D,DG!$C$2,)</f>
        <v>Máy biến áp 22/0,4kV- 400kVA</v>
      </c>
      <c r="G1682" s="1012" t="str">
        <f>VLOOKUP($B1682,DG!A:D,DG!$D$2,)</f>
        <v>máy</v>
      </c>
      <c r="H1682" s="1737">
        <f>L13</f>
        <v>0</v>
      </c>
      <c r="I1682" s="1192">
        <f t="shared" si="68"/>
        <v>0</v>
      </c>
      <c r="J1682" s="1041"/>
      <c r="K1682" s="1041"/>
      <c r="L1682" s="1042"/>
      <c r="M1682" s="934">
        <v>400</v>
      </c>
    </row>
    <row r="1683" spans="1:13" s="1016" customFormat="1" ht="25.2" hidden="1" customHeight="1">
      <c r="A1683" s="1086">
        <f t="shared" si="67"/>
        <v>0</v>
      </c>
      <c r="B1683" s="1227" t="s">
        <v>1652</v>
      </c>
      <c r="C1683" s="2840"/>
      <c r="D1683" s="1023">
        <f>IF(H1683&gt;0,D1682+1,D1682)</f>
        <v>0</v>
      </c>
      <c r="E1683" s="1012" t="str">
        <f>VLOOKUP($B1683,DG!A:D,DG!$B$2,)</f>
        <v>02.3155</v>
      </c>
      <c r="F1683" s="1013" t="str">
        <f>VLOOKUP($B1683,DG!A:D,DG!$C$2,)</f>
        <v>FCO 24kV - 100A</v>
      </c>
      <c r="G1683" s="1012" t="str">
        <f>VLOOKUP($B1683,DG!A:D,DG!$D$2,)</f>
        <v>cái</v>
      </c>
      <c r="H1683" s="1713">
        <f>H1682*3</f>
        <v>0</v>
      </c>
      <c r="I1683" s="1192">
        <f t="shared" si="68"/>
        <v>0</v>
      </c>
      <c r="J1683" s="1014"/>
      <c r="K1683" s="1014"/>
      <c r="L1683" s="1043"/>
      <c r="M1683" s="934">
        <v>400</v>
      </c>
    </row>
    <row r="1684" spans="1:13" s="1016" customFormat="1" ht="25.2" hidden="1" customHeight="1">
      <c r="A1684" s="1086">
        <f t="shared" si="67"/>
        <v>0</v>
      </c>
      <c r="B1684" s="1227" t="s">
        <v>4501</v>
      </c>
      <c r="C1684" s="2840"/>
      <c r="D1684" s="1023">
        <f t="shared" ref="D1684:D1690" si="69">IF(H1684&gt;0,D1683+1,D1683)</f>
        <v>0</v>
      </c>
      <c r="E1684" s="1012">
        <f>VLOOKUP($B1684,DG!A:D,DG!$B$2,)</f>
        <v>0</v>
      </c>
      <c r="F1684" s="1013" t="str">
        <f>VLOOKUP($B1684,DG!A:D,DG!$C$2,)</f>
        <v>Dây chảy 15K</v>
      </c>
      <c r="G1684" s="1012" t="str">
        <f>VLOOKUP($B1684,DG!A:D,DG!$D$2,)</f>
        <v>Sợi</v>
      </c>
      <c r="H1684" s="1713">
        <f>H1683</f>
        <v>0</v>
      </c>
      <c r="I1684" s="1192">
        <f t="shared" si="68"/>
        <v>0</v>
      </c>
      <c r="J1684" s="1014"/>
      <c r="K1684" s="1014"/>
      <c r="L1684" s="1043"/>
      <c r="M1684" s="934">
        <v>400</v>
      </c>
    </row>
    <row r="1685" spans="1:13" s="1016" customFormat="1" ht="25.2" hidden="1" customHeight="1">
      <c r="A1685" s="1086">
        <f t="shared" si="67"/>
        <v>0</v>
      </c>
      <c r="B1685" s="1226" t="s">
        <v>1373</v>
      </c>
      <c r="C1685" s="2841"/>
      <c r="D1685" s="1023">
        <f t="shared" si="69"/>
        <v>0</v>
      </c>
      <c r="E1685" s="1012" t="str">
        <f>VLOOKUP($B1685,DG!A:D,DG!$B$2,)</f>
        <v>02.5114</v>
      </c>
      <c r="F1685" s="1013" t="str">
        <f>VLOOKUP($B1685,DG!A:D,DG!$C$2,)</f>
        <v>Chống sét van LA-18KV-10KA</v>
      </c>
      <c r="G1685" s="1012" t="str">
        <f>VLOOKUP($B1685,DG!A:D,DG!$D$2,)</f>
        <v>cái</v>
      </c>
      <c r="H1685" s="1713">
        <f>H1683</f>
        <v>0</v>
      </c>
      <c r="I1685" s="1192">
        <f t="shared" si="68"/>
        <v>0</v>
      </c>
      <c r="J1685" s="1014"/>
      <c r="K1685" s="1014"/>
      <c r="L1685" s="1043"/>
      <c r="M1685" s="934">
        <v>400</v>
      </c>
    </row>
    <row r="1686" spans="1:13" s="1016" customFormat="1" ht="25.2" hidden="1" customHeight="1">
      <c r="A1686" s="1086">
        <f t="shared" si="67"/>
        <v>0</v>
      </c>
      <c r="B1686" s="1227" t="s">
        <v>1462</v>
      </c>
      <c r="C1686" s="2840"/>
      <c r="D1686" s="1023">
        <f t="shared" si="69"/>
        <v>0</v>
      </c>
      <c r="E1686" s="1012" t="str">
        <f>VLOOKUP($B1686,DG!A:D,DG!$B$2,)</f>
        <v>02.8403</v>
      </c>
      <c r="F1686" s="1013" t="str">
        <f>VLOOKUP($B1686,DG!A:D,DG!$C$2,)</f>
        <v>MCCB 3 cực 400V -630A - 35KA</v>
      </c>
      <c r="G1686" s="1012" t="str">
        <f>VLOOKUP($B1686,DG!A:D,DG!$D$2,)</f>
        <v>cái</v>
      </c>
      <c r="H1686" s="1713">
        <f>H1682</f>
        <v>0</v>
      </c>
      <c r="I1686" s="1192">
        <f t="shared" si="68"/>
        <v>0</v>
      </c>
      <c r="J1686" s="1014"/>
      <c r="K1686" s="1014"/>
      <c r="L1686" s="1043"/>
      <c r="M1686" s="934">
        <v>400</v>
      </c>
    </row>
    <row r="1687" spans="1:13" s="1016" customFormat="1" ht="25.2" hidden="1" customHeight="1">
      <c r="A1687" s="1086">
        <f t="shared" si="67"/>
        <v>0</v>
      </c>
      <c r="B1687" s="1227" t="s">
        <v>1461</v>
      </c>
      <c r="C1687" s="2840"/>
      <c r="D1687" s="1023">
        <f t="shared" si="69"/>
        <v>0</v>
      </c>
      <c r="E1687" s="1012" t="str">
        <f>VLOOKUP($B1687,DG!A:D,DG!$B$2,)</f>
        <v>02.8534</v>
      </c>
      <c r="F1687" s="1013" t="str">
        <f>VLOOKUP($B1687,DG!A:D,DG!$C$2,)</f>
        <v>Tủ tụ bù hạ thế 160kVAr</v>
      </c>
      <c r="G1687" s="1012" t="str">
        <f>VLOOKUP($B1687,DG!A:D,DG!$D$2,)</f>
        <v>tủ</v>
      </c>
      <c r="H1687" s="1713">
        <f>H1682</f>
        <v>0</v>
      </c>
      <c r="I1687" s="1192">
        <f t="shared" si="68"/>
        <v>0</v>
      </c>
      <c r="J1687" s="1014"/>
      <c r="K1687" s="1014"/>
      <c r="L1687" s="1043"/>
      <c r="M1687" s="934">
        <v>400</v>
      </c>
    </row>
    <row r="1688" spans="1:13" s="1016" customFormat="1" ht="25.2" hidden="1" customHeight="1">
      <c r="A1688" s="1086">
        <f t="shared" si="67"/>
        <v>0</v>
      </c>
      <c r="B1688" s="1260" t="s">
        <v>64</v>
      </c>
      <c r="C1688" s="2866"/>
      <c r="D1688" s="1023">
        <f t="shared" si="69"/>
        <v>0</v>
      </c>
      <c r="E1688" s="1012">
        <f>VLOOKUP($B1688,DG!A:D,DG!$B$2,)</f>
        <v>0</v>
      </c>
      <c r="F1688" s="1013" t="str">
        <f>VLOOKUP($B1688,DG!A:D,DG!$C$2,)</f>
        <v>Biến dòng 600V - 600/5A</v>
      </c>
      <c r="G1688" s="1012" t="str">
        <f>VLOOKUP($B1688,DG!A:D,DG!$D$2,)</f>
        <v>cái</v>
      </c>
      <c r="H1688" s="1738">
        <f>H1682*3</f>
        <v>0</v>
      </c>
      <c r="I1688" s="1192">
        <f t="shared" si="68"/>
        <v>0</v>
      </c>
      <c r="J1688" s="1014"/>
      <c r="K1688" s="1014"/>
      <c r="L1688" s="1044" t="s">
        <v>2601</v>
      </c>
      <c r="M1688" s="934">
        <v>400</v>
      </c>
    </row>
    <row r="1689" spans="1:13" s="1016" customFormat="1" ht="25.2" hidden="1" customHeight="1">
      <c r="A1689" s="1086">
        <f t="shared" si="67"/>
        <v>0</v>
      </c>
      <c r="B1689" s="1227" t="s">
        <v>4502</v>
      </c>
      <c r="C1689" s="2840"/>
      <c r="D1689" s="1023">
        <f t="shared" si="69"/>
        <v>0</v>
      </c>
      <c r="E1689" s="1012" t="str">
        <f>VLOOKUP($B1689,DG!A:D,DG!$B$2,)</f>
        <v>02.1114</v>
      </c>
      <c r="F1689" s="1013" t="str">
        <f>VLOOKUP($B1689,DG!A:D,DG!$C$2,)</f>
        <v>Biến điện áp 22000/√3/100/√3 V</v>
      </c>
      <c r="G1689" s="1012" t="str">
        <f>VLOOKUP($B1689,DG!A:D,DG!$D$2,)</f>
        <v>cái</v>
      </c>
      <c r="H1689" s="1738"/>
      <c r="I1689" s="1192">
        <f t="shared" si="68"/>
        <v>0</v>
      </c>
      <c r="J1689" s="1014"/>
      <c r="K1689" s="1014"/>
      <c r="L1689" s="1044" t="s">
        <v>2601</v>
      </c>
      <c r="M1689" s="934">
        <v>400</v>
      </c>
    </row>
    <row r="1690" spans="1:13" s="1016" customFormat="1" ht="25.2" hidden="1" customHeight="1">
      <c r="A1690" s="1086">
        <f t="shared" ref="A1690:A1753" si="70">IF(AND(M1690=$M$23,I1690&gt;0),1,0)</f>
        <v>0</v>
      </c>
      <c r="B1690" s="1252" t="s">
        <v>1837</v>
      </c>
      <c r="C1690" s="2856"/>
      <c r="D1690" s="1023">
        <f t="shared" si="69"/>
        <v>0</v>
      </c>
      <c r="E1690" s="1012">
        <f>VLOOKUP($B1690,DG!A:D,DG!$B$2,)</f>
        <v>0</v>
      </c>
      <c r="F1690" s="1013" t="str">
        <f>VLOOKUP($B1690,DG!A:D,DG!$C$2,)</f>
        <v>Điện kế 3 pha điện tử 600V-5A</v>
      </c>
      <c r="G1690" s="1012" t="str">
        <f>VLOOKUP($B1690,DG!A:D,DG!$D$2,)</f>
        <v>cái</v>
      </c>
      <c r="H1690" s="1738">
        <f>H1682</f>
        <v>0</v>
      </c>
      <c r="I1690" s="1192">
        <f t="shared" si="68"/>
        <v>0</v>
      </c>
      <c r="J1690" s="1014"/>
      <c r="K1690" s="1014"/>
      <c r="L1690" s="1045" t="s">
        <v>2601</v>
      </c>
      <c r="M1690" s="934">
        <v>400</v>
      </c>
    </row>
    <row r="1691" spans="1:13" s="1016" customFormat="1" ht="25.2" hidden="1" customHeight="1">
      <c r="A1691" s="1086">
        <f t="shared" si="70"/>
        <v>0</v>
      </c>
      <c r="B1691" s="1226"/>
      <c r="C1691" s="2841"/>
      <c r="D1691" s="1046"/>
      <c r="E1691" s="1047"/>
      <c r="F1691" s="1009"/>
      <c r="G1691" s="1046"/>
      <c r="H1691" s="1718"/>
      <c r="I1691" s="1192">
        <f t="shared" si="68"/>
        <v>0</v>
      </c>
      <c r="J1691" s="1009"/>
      <c r="K1691" s="1046"/>
      <c r="L1691" s="1040"/>
      <c r="M1691" s="934">
        <v>400</v>
      </c>
    </row>
    <row r="1692" spans="1:13" s="1016" customFormat="1" ht="25.2" hidden="1" customHeight="1">
      <c r="A1692" s="1086">
        <f t="shared" si="70"/>
        <v>0</v>
      </c>
      <c r="B1692" s="1226"/>
      <c r="C1692" s="2841"/>
      <c r="D1692" s="1048"/>
      <c r="E1692" s="1049"/>
      <c r="F1692" s="1038" t="s">
        <v>3673</v>
      </c>
      <c r="G1692" s="1038"/>
      <c r="H1692" s="1730"/>
      <c r="I1692" s="1192">
        <f t="shared" si="68"/>
        <v>0</v>
      </c>
      <c r="J1692" s="1038"/>
      <c r="K1692" s="1038"/>
      <c r="L1692" s="1040"/>
      <c r="M1692" s="934">
        <v>400</v>
      </c>
    </row>
    <row r="1693" spans="1:13" s="1016" customFormat="1" ht="25.2" hidden="1" customHeight="1">
      <c r="A1693" s="1086">
        <f t="shared" si="70"/>
        <v>0</v>
      </c>
      <c r="B1693" s="1253"/>
      <c r="C1693" s="2699"/>
      <c r="D1693" s="1050">
        <f>IF(H1693&gt;0,1,0)</f>
        <v>0</v>
      </c>
      <c r="E1693" s="1051"/>
      <c r="F1693" s="1052" t="s">
        <v>3711</v>
      </c>
      <c r="G1693" s="1053" t="s">
        <v>2277</v>
      </c>
      <c r="H1693" s="1739">
        <f>H1682*2*0</f>
        <v>0</v>
      </c>
      <c r="I1693" s="1192">
        <f t="shared" si="68"/>
        <v>0</v>
      </c>
      <c r="J1693" s="1054"/>
      <c r="K1693" s="1054"/>
      <c r="L1693" s="1043"/>
      <c r="M1693" s="934">
        <v>400</v>
      </c>
    </row>
    <row r="1694" spans="1:13" s="1016" customFormat="1" ht="25.2" hidden="1" customHeight="1">
      <c r="A1694" s="1086">
        <f t="shared" si="70"/>
        <v>0</v>
      </c>
      <c r="B1694" s="1087" t="s">
        <v>115</v>
      </c>
      <c r="C1694" s="2842"/>
      <c r="D1694" s="1055"/>
      <c r="E1694" s="1012"/>
      <c r="F1694" s="1056" t="str">
        <f>VLOOKUP($B1694,DG!A:D,DG!$C$2,)</f>
        <v>Trụ BTLT 12m F540 dự ứng lực</v>
      </c>
      <c r="G1694" s="1012" t="str">
        <f>VLOOKUP($B1694,DG!A:D,DG!$D$2,)</f>
        <v>trụ</v>
      </c>
      <c r="H1694" s="1740">
        <f>H1693</f>
        <v>0</v>
      </c>
      <c r="I1694" s="1192">
        <f t="shared" si="68"/>
        <v>0</v>
      </c>
      <c r="J1694" s="1041"/>
      <c r="K1694" s="1011"/>
      <c r="L1694" s="1043"/>
      <c r="M1694" s="934">
        <v>400</v>
      </c>
    </row>
    <row r="1695" spans="1:13" s="1016" customFormat="1" ht="25.2" hidden="1" customHeight="1">
      <c r="A1695" s="1086">
        <f t="shared" si="70"/>
        <v>0</v>
      </c>
      <c r="B1695" s="1087" t="s">
        <v>1814</v>
      </c>
      <c r="C1695" s="2842"/>
      <c r="D1695" s="1055"/>
      <c r="E1695" s="1012"/>
      <c r="F1695" s="1056" t="str">
        <f>VLOOKUP($B1695,DG!A:D,DG!$C$2,)</f>
        <v>Vật liệu dựng trụ</v>
      </c>
      <c r="G1695" s="1012" t="str">
        <f>VLOOKUP($B1695,DG!A:D,DG!$D$2,)</f>
        <v>trụ</v>
      </c>
      <c r="H1695" s="1740">
        <f>H1694</f>
        <v>0</v>
      </c>
      <c r="I1695" s="1192">
        <f t="shared" si="68"/>
        <v>0</v>
      </c>
      <c r="J1695" s="1011"/>
      <c r="K1695" s="1011"/>
      <c r="L1695" s="1043"/>
      <c r="M1695" s="934">
        <v>400</v>
      </c>
    </row>
    <row r="1696" spans="1:13" s="1016" customFormat="1" ht="25.2" hidden="1" customHeight="1">
      <c r="A1696" s="1086">
        <f t="shared" si="70"/>
        <v>0</v>
      </c>
      <c r="B1696" s="1087" t="s">
        <v>643</v>
      </c>
      <c r="C1696" s="2842"/>
      <c r="D1696" s="1055"/>
      <c r="E1696" s="1012" t="str">
        <f>VLOOKUP($B1696,DG!A:D,DG!$B$2,)</f>
        <v>04.9203</v>
      </c>
      <c r="F1696" s="1056" t="str">
        <f>VLOOKUP($B1696,DG!A:D,DG!$C$2,)</f>
        <v>Dựng trụ BTLT 12m trong TBA bằng thủ công + cơ giới</v>
      </c>
      <c r="G1696" s="1012" t="str">
        <f>VLOOKUP($B1696,DG!A:D,DG!$D$2,)</f>
        <v>trụ</v>
      </c>
      <c r="H1696" s="1740">
        <f>H1694</f>
        <v>0</v>
      </c>
      <c r="I1696" s="1192">
        <f t="shared" si="68"/>
        <v>0</v>
      </c>
      <c r="J1696" s="1041"/>
      <c r="K1696" s="1041"/>
      <c r="L1696" s="1043"/>
      <c r="M1696" s="934">
        <v>400</v>
      </c>
    </row>
    <row r="1697" spans="1:13" s="1016" customFormat="1" ht="25.2" hidden="1" customHeight="1">
      <c r="A1697" s="1086">
        <f t="shared" si="70"/>
        <v>0</v>
      </c>
      <c r="B1697" s="1253"/>
      <c r="C1697" s="2699"/>
      <c r="D1697" s="1050">
        <f>IF(H1697&gt;0,1,0)</f>
        <v>0</v>
      </c>
      <c r="E1697" s="1051"/>
      <c r="F1697" s="1052" t="s">
        <v>3712</v>
      </c>
      <c r="G1697" s="1053" t="s">
        <v>2277</v>
      </c>
      <c r="H1697" s="1739">
        <f>H1682*2*0</f>
        <v>0</v>
      </c>
      <c r="I1697" s="1192">
        <f t="shared" si="68"/>
        <v>0</v>
      </c>
      <c r="J1697" s="1054"/>
      <c r="K1697" s="1054"/>
      <c r="L1697" s="1015"/>
      <c r="M1697" s="934">
        <v>400</v>
      </c>
    </row>
    <row r="1698" spans="1:13" s="1016" customFormat="1" ht="25.2" hidden="1" customHeight="1">
      <c r="A1698" s="1086">
        <f t="shared" si="70"/>
        <v>0</v>
      </c>
      <c r="B1698" s="1087" t="s">
        <v>114</v>
      </c>
      <c r="C1698" s="2842"/>
      <c r="D1698" s="1055"/>
      <c r="E1698" s="1012"/>
      <c r="F1698" s="1056" t="str">
        <f>VLOOKUP($B1698,DG!A:D,DG!$C$2,)</f>
        <v>Trụ BTLT 10,5m F350 dự ứng lực</v>
      </c>
      <c r="G1698" s="1012" t="str">
        <f>VLOOKUP($B1698,DG!A:D,DG!$D$2,)</f>
        <v>trụ</v>
      </c>
      <c r="H1698" s="1740">
        <f>H1697</f>
        <v>0</v>
      </c>
      <c r="I1698" s="1192">
        <f t="shared" si="68"/>
        <v>0</v>
      </c>
      <c r="J1698" s="1041"/>
      <c r="K1698" s="1011"/>
      <c r="L1698" s="1015"/>
      <c r="M1698" s="934">
        <v>400</v>
      </c>
    </row>
    <row r="1699" spans="1:13" s="1016" customFormat="1" ht="25.2" hidden="1" customHeight="1">
      <c r="A1699" s="1086">
        <f t="shared" si="70"/>
        <v>0</v>
      </c>
      <c r="B1699" s="1087" t="s">
        <v>1814</v>
      </c>
      <c r="C1699" s="2842"/>
      <c r="D1699" s="1055"/>
      <c r="E1699" s="1012"/>
      <c r="F1699" s="1056" t="str">
        <f>VLOOKUP($B1699,DG!A:D,DG!$C$2,)</f>
        <v>Vật liệu dựng trụ</v>
      </c>
      <c r="G1699" s="1012" t="str">
        <f>VLOOKUP($B1699,DG!A:D,DG!$D$2,)</f>
        <v>trụ</v>
      </c>
      <c r="H1699" s="1740">
        <f>H1698</f>
        <v>0</v>
      </c>
      <c r="I1699" s="1192">
        <f t="shared" si="68"/>
        <v>0</v>
      </c>
      <c r="J1699" s="1011"/>
      <c r="K1699" s="1011"/>
      <c r="L1699" s="1015"/>
      <c r="M1699" s="934">
        <v>400</v>
      </c>
    </row>
    <row r="1700" spans="1:13" s="1016" customFormat="1" ht="25.2" hidden="1" customHeight="1">
      <c r="A1700" s="1086">
        <f t="shared" si="70"/>
        <v>0</v>
      </c>
      <c r="B1700" s="1087" t="s">
        <v>644</v>
      </c>
      <c r="C1700" s="2842"/>
      <c r="D1700" s="1055"/>
      <c r="E1700" s="1012" t="str">
        <f>VLOOKUP($B1700,DG!A:D,DG!$B$2,)</f>
        <v>04.9203</v>
      </c>
      <c r="F1700" s="1056" t="str">
        <f>VLOOKUP($B1700,DG!A:D,DG!$C$2,)</f>
        <v>Dựng trụ BTLT 10,5m trong TBA bằng thủ công + cơ giới</v>
      </c>
      <c r="G1700" s="1012" t="str">
        <f>VLOOKUP($B1700,DG!A:D,DG!$D$2,)</f>
        <v>trụ</v>
      </c>
      <c r="H1700" s="1740">
        <f>H1698</f>
        <v>0</v>
      </c>
      <c r="I1700" s="1192">
        <f t="shared" si="68"/>
        <v>0</v>
      </c>
      <c r="J1700" s="1041"/>
      <c r="K1700" s="1041"/>
      <c r="L1700" s="1015"/>
      <c r="M1700" s="934">
        <v>400</v>
      </c>
    </row>
    <row r="1701" spans="1:13" s="1016" customFormat="1" ht="25.2" hidden="1" customHeight="1">
      <c r="A1701" s="1086">
        <f t="shared" si="70"/>
        <v>0</v>
      </c>
      <c r="B1701" s="1254"/>
      <c r="C1701" s="2857"/>
      <c r="D1701" s="1017">
        <f>IF(H1701&gt;0,D1693+1,D1693)</f>
        <v>0</v>
      </c>
      <c r="E1701" s="1051"/>
      <c r="F1701" s="1052" t="s">
        <v>2352</v>
      </c>
      <c r="G1701" s="1053" t="s">
        <v>2327</v>
      </c>
      <c r="H1701" s="1739">
        <f>H1693</f>
        <v>0</v>
      </c>
      <c r="I1701" s="1192">
        <f t="shared" si="68"/>
        <v>0</v>
      </c>
      <c r="J1701" s="1011"/>
      <c r="K1701" s="1011"/>
      <c r="L1701" s="1043"/>
      <c r="M1701" s="934">
        <v>400</v>
      </c>
    </row>
    <row r="1702" spans="1:13" s="1016" customFormat="1" ht="25.2" hidden="1" customHeight="1">
      <c r="A1702" s="1086">
        <f t="shared" si="70"/>
        <v>0</v>
      </c>
      <c r="B1702" s="1233" t="s">
        <v>636</v>
      </c>
      <c r="C1702" s="2843"/>
      <c r="D1702" s="1055"/>
      <c r="E1702" s="1012" t="str">
        <f>VLOOKUP($B1702,DG!A:D,DG!$B$2,)</f>
        <v>04.4001</v>
      </c>
      <c r="F1702" s="1057" t="str">
        <f>VLOOKUP($B1702,DG!A:D,DG!$C$2,)</f>
        <v>Đà cản BTCT 1,2m</v>
      </c>
      <c r="G1702" s="1024" t="str">
        <f>VLOOKUP($B1702,DG!A:D,DG!$D$2,)</f>
        <v>cái</v>
      </c>
      <c r="H1702" s="1740">
        <f>H1701</f>
        <v>0</v>
      </c>
      <c r="I1702" s="1192">
        <f t="shared" si="68"/>
        <v>0</v>
      </c>
      <c r="J1702" s="1041"/>
      <c r="K1702" s="1011"/>
      <c r="L1702" s="1043"/>
      <c r="M1702" s="934">
        <v>400</v>
      </c>
    </row>
    <row r="1703" spans="1:13" s="1016" customFormat="1" ht="25.2" hidden="1" customHeight="1">
      <c r="A1703" s="1086">
        <f t="shared" si="70"/>
        <v>0</v>
      </c>
      <c r="B1703" s="1233" t="s">
        <v>566</v>
      </c>
      <c r="C1703" s="2843"/>
      <c r="D1703" s="1055"/>
      <c r="E1703" s="1024"/>
      <c r="F1703" s="1057" t="str">
        <f>VLOOKUP($B1703,DG!A:D,DG!$C$2,)</f>
        <v>Boulon 22x650+ 2 long đền vuông D24-50x50x3/Zn</v>
      </c>
      <c r="G1703" s="1024" t="str">
        <f>VLOOKUP($B1703,DG!A:D,DG!$D$2,)</f>
        <v>bộ</v>
      </c>
      <c r="H1703" s="1740">
        <f>H1702</f>
        <v>0</v>
      </c>
      <c r="I1703" s="1192">
        <f t="shared" si="68"/>
        <v>0</v>
      </c>
      <c r="J1703" s="1057"/>
      <c r="K1703" s="1011"/>
      <c r="L1703" s="1043"/>
      <c r="M1703" s="934">
        <v>400</v>
      </c>
    </row>
    <row r="1704" spans="1:13" s="1016" customFormat="1" ht="25.2" hidden="1" customHeight="1">
      <c r="A1704" s="1086">
        <f t="shared" si="70"/>
        <v>0</v>
      </c>
      <c r="B1704" s="1233" t="str">
        <f>IF(chitiet!G5=1,"MDD1",IF(chitiet!G5=2,"MDD2",IF(chitiet!G5=3,"MDD3",IF(chitiet!G5=4,"MDD4"))))</f>
        <v>MDD3</v>
      </c>
      <c r="C1704" s="2843"/>
      <c r="D1704" s="1055"/>
      <c r="E1704" s="1024" t="str">
        <f>VLOOKUP($B1704,DG!A:D,DG!$B$2,)</f>
        <v>03.1013</v>
      </c>
      <c r="F1704" s="1057" t="str">
        <f>VLOOKUP($B1704,DG!A:D,DG!$C$2,)</f>
        <v>Đào hố móng đất cấp 3 sâu &gt;1m</v>
      </c>
      <c r="G1704" s="1024" t="str">
        <f>VLOOKUP($B1704,DG!A:D,DG!$D$2,)</f>
        <v>m3</v>
      </c>
      <c r="H1704" s="1741">
        <f>1.45*H1702</f>
        <v>0</v>
      </c>
      <c r="I1704" s="1192">
        <f t="shared" si="68"/>
        <v>0</v>
      </c>
      <c r="J1704" s="1058"/>
      <c r="K1704" s="1011"/>
      <c r="L1704" s="1043"/>
      <c r="M1704" s="934">
        <v>400</v>
      </c>
    </row>
    <row r="1705" spans="1:13" s="1016" customFormat="1" ht="25.2" hidden="1" customHeight="1">
      <c r="A1705" s="1086">
        <f t="shared" si="70"/>
        <v>0</v>
      </c>
      <c r="B1705" s="1233" t="str">
        <f>IF(chitiet!G5=1,"MDAP1",IF(chitiet!G5=2,"MDAP2",IF(chitiet!G5=3,"MDAP3",IF(chitiet!G5=4,"MDAP4"))))</f>
        <v>MDAP3</v>
      </c>
      <c r="C1705" s="2843"/>
      <c r="D1705" s="1055"/>
      <c r="E1705" s="1024" t="str">
        <f>VLOOKUP($B1705,DG!A:D,DG!$B$2,)</f>
        <v>03.4113</v>
      </c>
      <c r="F1705" s="1057" t="str">
        <f>VLOOKUP($B1705,DG!A:D,DG!$C$2,)</f>
        <v>Đắp đất hố móng, độ chặt k=0,95</v>
      </c>
      <c r="G1705" s="1024" t="str">
        <f>VLOOKUP($B1705,DG!A:D,DG!$D$2,)</f>
        <v>m3</v>
      </c>
      <c r="H1705" s="1741">
        <f>1.37*H1701</f>
        <v>0</v>
      </c>
      <c r="I1705" s="1192">
        <f t="shared" si="68"/>
        <v>0</v>
      </c>
      <c r="J1705" s="1058"/>
      <c r="K1705" s="1011"/>
      <c r="L1705" s="1043"/>
      <c r="M1705" s="934">
        <v>400</v>
      </c>
    </row>
    <row r="1706" spans="1:13" s="1016" customFormat="1" ht="25.2" hidden="1" customHeight="1">
      <c r="A1706" s="1086">
        <f t="shared" si="70"/>
        <v>0</v>
      </c>
      <c r="B1706" s="1254"/>
      <c r="C1706" s="2857"/>
      <c r="D1706" s="1017">
        <f>IF(H1706&gt;0,D1698+1,D1698)</f>
        <v>0</v>
      </c>
      <c r="E1706" s="1051"/>
      <c r="F1706" s="1052" t="s">
        <v>3713</v>
      </c>
      <c r="G1706" s="1053" t="s">
        <v>2327</v>
      </c>
      <c r="H1706" s="1739">
        <f>H1697*0</f>
        <v>0</v>
      </c>
      <c r="I1706" s="1192">
        <f t="shared" si="68"/>
        <v>0</v>
      </c>
      <c r="J1706" s="1011"/>
      <c r="K1706" s="1011"/>
      <c r="L1706" s="1015"/>
      <c r="M1706" s="934">
        <v>400</v>
      </c>
    </row>
    <row r="1707" spans="1:13" s="1016" customFormat="1" ht="25.2" hidden="1" customHeight="1">
      <c r="A1707" s="1086">
        <f t="shared" si="70"/>
        <v>0</v>
      </c>
      <c r="B1707" s="1233" t="s">
        <v>636</v>
      </c>
      <c r="C1707" s="2843"/>
      <c r="D1707" s="1055"/>
      <c r="E1707" s="1012" t="str">
        <f>VLOOKUP($B1707,DG!A:D,DG!$B$2,)</f>
        <v>04.4001</v>
      </c>
      <c r="F1707" s="1057" t="str">
        <f>VLOOKUP($B1707,DG!A:D,DG!$C$2,)</f>
        <v>Đà cản BTCT 1,2m</v>
      </c>
      <c r="G1707" s="1024" t="str">
        <f>VLOOKUP($B1707,DG!A:D,DG!$D$2,)</f>
        <v>cái</v>
      </c>
      <c r="H1707" s="1740">
        <f>H1706</f>
        <v>0</v>
      </c>
      <c r="I1707" s="1192">
        <f t="shared" si="68"/>
        <v>0</v>
      </c>
      <c r="J1707" s="1041"/>
      <c r="K1707" s="1011"/>
      <c r="L1707" s="1015"/>
      <c r="M1707" s="934">
        <v>400</v>
      </c>
    </row>
    <row r="1708" spans="1:13" s="1016" customFormat="1" ht="25.2" hidden="1" customHeight="1">
      <c r="A1708" s="1086">
        <f t="shared" si="70"/>
        <v>0</v>
      </c>
      <c r="B1708" s="1233" t="s">
        <v>566</v>
      </c>
      <c r="C1708" s="2843"/>
      <c r="D1708" s="1055"/>
      <c r="E1708" s="1024"/>
      <c r="F1708" s="1057" t="str">
        <f>VLOOKUP($B1708,DG!A:D,DG!$C$2,)</f>
        <v>Boulon 22x650+ 2 long đền vuông D24-50x50x3/Zn</v>
      </c>
      <c r="G1708" s="1024" t="str">
        <f>VLOOKUP($B1708,DG!A:D,DG!$D$2,)</f>
        <v>bộ</v>
      </c>
      <c r="H1708" s="1740">
        <f>H1707</f>
        <v>0</v>
      </c>
      <c r="I1708" s="1192">
        <f t="shared" si="68"/>
        <v>0</v>
      </c>
      <c r="J1708" s="1057"/>
      <c r="K1708" s="1011"/>
      <c r="L1708" s="1015"/>
      <c r="M1708" s="934">
        <v>400</v>
      </c>
    </row>
    <row r="1709" spans="1:13" s="1016" customFormat="1" ht="25.2" hidden="1" customHeight="1">
      <c r="A1709" s="1086">
        <f t="shared" si="70"/>
        <v>0</v>
      </c>
      <c r="B1709" s="1233" t="str">
        <f>IF(chitiet!G5=1,"MDD1",IF(chitiet!G5=2,"MDD2",IF(chitiet!G5=3,"MDD3",IF(chitiet!G5=4,"MDD4"))))</f>
        <v>MDD3</v>
      </c>
      <c r="C1709" s="2843"/>
      <c r="D1709" s="1055"/>
      <c r="E1709" s="1024" t="str">
        <f>VLOOKUP($B1709,DG!A:D,DG!$B$2,)</f>
        <v>03.1013</v>
      </c>
      <c r="F1709" s="1057" t="str">
        <f>VLOOKUP($B1709,DG!A:D,DG!$C$2,)</f>
        <v>Đào hố móng đất cấp 3 sâu &gt;1m</v>
      </c>
      <c r="G1709" s="1024" t="str">
        <f>VLOOKUP($B1709,DG!A:D,DG!$D$2,)</f>
        <v>m3</v>
      </c>
      <c r="H1709" s="1741">
        <f>1.48*H1707</f>
        <v>0</v>
      </c>
      <c r="I1709" s="1192">
        <f t="shared" si="68"/>
        <v>0</v>
      </c>
      <c r="J1709" s="1058"/>
      <c r="K1709" s="1011"/>
      <c r="L1709" s="1015"/>
      <c r="M1709" s="934">
        <v>400</v>
      </c>
    </row>
    <row r="1710" spans="1:13" s="1016" customFormat="1" ht="25.2" hidden="1" customHeight="1">
      <c r="A1710" s="1086">
        <f t="shared" si="70"/>
        <v>0</v>
      </c>
      <c r="B1710" s="1233" t="str">
        <f>IF(chitiet!G5=1,"MDAP1",IF(chitiet!G5=2,"MDAP2",IF(chitiet!G5=3,"MDAP3",IF(chitiet!G5=4,"MDAP4"))))</f>
        <v>MDAP3</v>
      </c>
      <c r="C1710" s="2843"/>
      <c r="D1710" s="1055"/>
      <c r="E1710" s="1024" t="str">
        <f>VLOOKUP($B1710,DG!A:D,DG!$B$2,)</f>
        <v>03.4113</v>
      </c>
      <c r="F1710" s="1057" t="str">
        <f>VLOOKUP($B1710,DG!A:D,DG!$C$2,)</f>
        <v>Đắp đất hố móng, độ chặt k=0,95</v>
      </c>
      <c r="G1710" s="1024" t="str">
        <f>VLOOKUP($B1710,DG!A:D,DG!$D$2,)</f>
        <v>m3</v>
      </c>
      <c r="H1710" s="1741">
        <f>1.39*H1706</f>
        <v>0</v>
      </c>
      <c r="I1710" s="1192">
        <f t="shared" si="68"/>
        <v>0</v>
      </c>
      <c r="J1710" s="1058"/>
      <c r="K1710" s="1011"/>
      <c r="L1710" s="1015"/>
      <c r="M1710" s="934">
        <v>400</v>
      </c>
    </row>
    <row r="1711" spans="1:13" s="1016" customFormat="1" ht="25.2" hidden="1" customHeight="1">
      <c r="A1711" s="1086">
        <f t="shared" si="70"/>
        <v>0</v>
      </c>
      <c r="B1711" s="1226"/>
      <c r="C1711" s="2841"/>
      <c r="D1711" s="1017">
        <f>IF(H1711&gt;0,D1701+1,D1701)</f>
        <v>0</v>
      </c>
      <c r="E1711" s="1059"/>
      <c r="F1711" s="1052" t="s">
        <v>3714</v>
      </c>
      <c r="G1711" s="1050" t="s">
        <v>2385</v>
      </c>
      <c r="H1711" s="1742">
        <f>H1682*1</f>
        <v>0</v>
      </c>
      <c r="I1711" s="1192">
        <f t="shared" si="68"/>
        <v>0</v>
      </c>
      <c r="J1711" s="1060"/>
      <c r="K1711" s="1060"/>
      <c r="L1711" s="1015"/>
      <c r="M1711" s="934">
        <v>400</v>
      </c>
    </row>
    <row r="1712" spans="1:13" s="1016" customFormat="1" ht="25.2" hidden="1" customHeight="1">
      <c r="A1712" s="1086">
        <f t="shared" si="70"/>
        <v>0</v>
      </c>
      <c r="B1712" s="1226"/>
      <c r="C1712" s="2841"/>
      <c r="D1712" s="1011"/>
      <c r="E1712" s="1061"/>
      <c r="F1712" s="1267" t="s">
        <v>2279</v>
      </c>
      <c r="G1712" s="1023"/>
      <c r="H1712" s="1713"/>
      <c r="I1712" s="1192">
        <f t="shared" si="68"/>
        <v>0</v>
      </c>
      <c r="J1712" s="1062"/>
      <c r="K1712" s="1062"/>
      <c r="L1712" s="1015"/>
      <c r="M1712" s="934">
        <v>400</v>
      </c>
    </row>
    <row r="1713" spans="1:13" s="1016" customFormat="1" ht="25.2" hidden="1" customHeight="1">
      <c r="A1713" s="1086">
        <f t="shared" si="70"/>
        <v>0</v>
      </c>
      <c r="B1713" s="1260" t="s">
        <v>1408</v>
      </c>
      <c r="C1713" s="2866"/>
      <c r="D1713" s="1011"/>
      <c r="E1713" s="1024" t="str">
        <f>VLOOKUP($B1713,DG!A:D,DG!$B$2,)</f>
        <v>05.6105</v>
      </c>
      <c r="F1713" s="1013" t="str">
        <f>VLOOKUP($B1713,DG!A:D,DG!$C$2,)&amp;": 2 cái"</f>
        <v>Đà U200x80x5x2800 đỡ MBA: 2 cái</v>
      </c>
      <c r="G1713" s="1012" t="str">
        <f>VLOOKUP($B1713,DG!A:D,DG!$D$2,)</f>
        <v>cái</v>
      </c>
      <c r="H1713" s="1713">
        <f>52.049*H1711*2</f>
        <v>0</v>
      </c>
      <c r="I1713" s="1192">
        <f t="shared" si="68"/>
        <v>0</v>
      </c>
      <c r="J1713" s="1041"/>
      <c r="K1713" s="1041"/>
      <c r="L1713" s="1015"/>
      <c r="M1713" s="934">
        <v>400</v>
      </c>
    </row>
    <row r="1714" spans="1:13" s="1016" customFormat="1" ht="25.2" hidden="1" customHeight="1">
      <c r="A1714" s="1086">
        <f t="shared" si="70"/>
        <v>0</v>
      </c>
      <c r="B1714" s="1087" t="s">
        <v>1137</v>
      </c>
      <c r="C1714" s="2842"/>
      <c r="D1714" s="1011"/>
      <c r="E1714" s="1024" t="str">
        <f>VLOOKUP($B1714,DG!A:D,DG!$B$2,)</f>
        <v>05.6101</v>
      </c>
      <c r="F1714" s="1013" t="str">
        <f>VLOOKUP($B1714,DG!A:D,DG!$C$2,)&amp;": 4 cái"</f>
        <v>Đà U100x46x4.5x400 : 4 cái</v>
      </c>
      <c r="G1714" s="1012" t="str">
        <f>VLOOKUP($B1714,DG!A:D,DG!$D$2,)</f>
        <v>cái</v>
      </c>
      <c r="H1714" s="1713">
        <f>H1711*2.713*4</f>
        <v>0</v>
      </c>
      <c r="I1714" s="1192">
        <f t="shared" si="68"/>
        <v>0</v>
      </c>
      <c r="J1714" s="1041"/>
      <c r="K1714" s="1041"/>
      <c r="L1714" s="1015"/>
      <c r="M1714" s="934">
        <v>400</v>
      </c>
    </row>
    <row r="1715" spans="1:13" s="1016" customFormat="1" ht="25.2" hidden="1" customHeight="1">
      <c r="A1715" s="1086">
        <f t="shared" si="70"/>
        <v>0</v>
      </c>
      <c r="B1715" s="1087" t="s">
        <v>1138</v>
      </c>
      <c r="C1715" s="2842"/>
      <c r="D1715" s="1011"/>
      <c r="E1715" s="1024" t="str">
        <f>VLOOKUP($B1715,DG!A:D,DG!$B$2,)</f>
        <v>05.6101</v>
      </c>
      <c r="F1715" s="1013" t="str">
        <f>VLOOKUP($B1715,DG!A:D,DG!$C$2,)&amp;": 2 cái"</f>
        <v>Đà U100x46x5x800 : 2 cái</v>
      </c>
      <c r="G1715" s="1012" t="str">
        <f>VLOOKUP($B1715,DG!A:D,DG!$D$2,)</f>
        <v>cái</v>
      </c>
      <c r="H1715" s="1713">
        <f>H1711*5.426*2</f>
        <v>0</v>
      </c>
      <c r="I1715" s="1192">
        <f t="shared" ref="I1715:I1778" si="71">IF(M1715=$M$23,H1715+J1715-K1715,0)</f>
        <v>0</v>
      </c>
      <c r="J1715" s="1041"/>
      <c r="K1715" s="1041"/>
      <c r="L1715" s="1015"/>
      <c r="M1715" s="934">
        <v>400</v>
      </c>
    </row>
    <row r="1716" spans="1:13" s="1016" customFormat="1" ht="25.2" hidden="1" customHeight="1">
      <c r="A1716" s="1086">
        <f t="shared" si="70"/>
        <v>0</v>
      </c>
      <c r="B1716" s="1226" t="s">
        <v>2242</v>
      </c>
      <c r="C1716" s="2841"/>
      <c r="D1716" s="1011"/>
      <c r="E1716" s="1024" t="str">
        <f>VLOOKUP($B1716,DG!A:D,DG!$B$2,)</f>
        <v>05.6044</v>
      </c>
      <c r="F1716" s="1013" t="str">
        <f>VLOOKUP($B1716,DG!A:D,DG!$C$2,)</f>
        <v>Lắp xà cột Pi loại ≤140kg/xà</v>
      </c>
      <c r="G1716" s="1024" t="str">
        <f>VLOOKUP($B1716,DG!A:D,DG!$D$2,)</f>
        <v>bộ</v>
      </c>
      <c r="H1716" s="1713">
        <f>H1711</f>
        <v>0</v>
      </c>
      <c r="I1716" s="1192">
        <f t="shared" si="71"/>
        <v>0</v>
      </c>
      <c r="J1716" s="1041"/>
      <c r="K1716" s="1041"/>
      <c r="L1716" s="1015"/>
      <c r="M1716" s="934">
        <v>400</v>
      </c>
    </row>
    <row r="1717" spans="1:13" s="1016" customFormat="1" ht="25.2" hidden="1" customHeight="1">
      <c r="A1717" s="1086">
        <f t="shared" si="70"/>
        <v>0</v>
      </c>
      <c r="B1717" s="1226" t="s">
        <v>1781</v>
      </c>
      <c r="C1717" s="2841"/>
      <c r="D1717" s="1011"/>
      <c r="E1717" s="1024">
        <f>VLOOKUP($B1717,DG!A:D,DG!$B$2,)</f>
        <v>0</v>
      </c>
      <c r="F1717" s="1013" t="str">
        <f>VLOOKUP($B1717,DG!A:D,DG!$C$2,)</f>
        <v>Boulon 16x400VRS+ 4 long đền vuông D18-50x50x3/Zn</v>
      </c>
      <c r="G1717" s="1012" t="str">
        <f>VLOOKUP($B1717,DG!A:D,DG!$D$2,)</f>
        <v>bộ</v>
      </c>
      <c r="H1717" s="1713">
        <f>H1711*10</f>
        <v>0</v>
      </c>
      <c r="I1717" s="1192">
        <f t="shared" si="71"/>
        <v>0</v>
      </c>
      <c r="J1717" s="1041"/>
      <c r="K1717" s="1041"/>
      <c r="L1717" s="1015"/>
      <c r="M1717" s="934">
        <v>400</v>
      </c>
    </row>
    <row r="1718" spans="1:13" s="1016" customFormat="1" ht="25.2" hidden="1" customHeight="1">
      <c r="A1718" s="1086">
        <f t="shared" si="70"/>
        <v>0</v>
      </c>
      <c r="B1718" s="1226" t="s">
        <v>1083</v>
      </c>
      <c r="C1718" s="2841"/>
      <c r="D1718" s="1011"/>
      <c r="E1718" s="1024">
        <f>VLOOKUP($B1718,DG!A:D,DG!$B$2,)</f>
        <v>0</v>
      </c>
      <c r="F1718" s="1013" t="str">
        <f>VLOOKUP($B1718,DG!A:D,DG!$C$2,)</f>
        <v>Boulon 16x400+ 2 long đền vuông D18-50x50x3/Zn</v>
      </c>
      <c r="G1718" s="1012" t="str">
        <f>VLOOKUP($B1718,DG!A:D,DG!$D$2,)</f>
        <v>bộ</v>
      </c>
      <c r="H1718" s="1713">
        <f>H1711*2</f>
        <v>0</v>
      </c>
      <c r="I1718" s="1192">
        <f t="shared" si="71"/>
        <v>0</v>
      </c>
      <c r="J1718" s="1041"/>
      <c r="K1718" s="1041"/>
      <c r="L1718" s="1015"/>
      <c r="M1718" s="934">
        <v>400</v>
      </c>
    </row>
    <row r="1719" spans="1:13" s="1016" customFormat="1" ht="25.2" hidden="1" customHeight="1">
      <c r="A1719" s="1086">
        <f t="shared" si="70"/>
        <v>0</v>
      </c>
      <c r="B1719" s="1226" t="s">
        <v>1079</v>
      </c>
      <c r="C1719" s="2841"/>
      <c r="D1719" s="1011"/>
      <c r="E1719" s="1024">
        <f>VLOOKUP($B1719,DG!A:D,DG!$B$2,)</f>
        <v>0</v>
      </c>
      <c r="F1719" s="1013" t="str">
        <f>VLOOKUP($B1719,DG!A:D,DG!$C$2,)</f>
        <v>Boulon 16x350+ 2 long đền vuông D18-50x50x3/Zn</v>
      </c>
      <c r="G1719" s="1012" t="str">
        <f>VLOOKUP($B1719,DG!A:D,DG!$D$2,)</f>
        <v>bộ</v>
      </c>
      <c r="H1719" s="1713">
        <f>H1711*12</f>
        <v>0</v>
      </c>
      <c r="I1719" s="1192">
        <f t="shared" si="71"/>
        <v>0</v>
      </c>
      <c r="J1719" s="1041"/>
      <c r="K1719" s="1041"/>
      <c r="L1719" s="1015"/>
      <c r="M1719" s="934">
        <v>400</v>
      </c>
    </row>
    <row r="1720" spans="1:13" s="1016" customFormat="1" ht="25.2" hidden="1" customHeight="1">
      <c r="A1720" s="1086">
        <f t="shared" si="70"/>
        <v>0</v>
      </c>
      <c r="B1720" s="1226"/>
      <c r="C1720" s="2841"/>
      <c r="D1720" s="1017">
        <f>IF(H1720&gt;0,D1711+1,D1711)</f>
        <v>0</v>
      </c>
      <c r="E1720" s="1018"/>
      <c r="F1720" s="1063" t="s">
        <v>3743</v>
      </c>
      <c r="G1720" s="1017" t="s">
        <v>2385</v>
      </c>
      <c r="H1720" s="1722"/>
      <c r="I1720" s="1192">
        <f t="shared" si="71"/>
        <v>0</v>
      </c>
      <c r="J1720" s="1064"/>
      <c r="K1720" s="1064"/>
      <c r="L1720" s="1015"/>
      <c r="M1720" s="934">
        <v>400</v>
      </c>
    </row>
    <row r="1721" spans="1:13" s="1016" customFormat="1" ht="25.2" hidden="1" customHeight="1">
      <c r="A1721" s="1086">
        <f t="shared" si="70"/>
        <v>0</v>
      </c>
      <c r="B1721" s="1226"/>
      <c r="C1721" s="2841"/>
      <c r="D1721" s="1011"/>
      <c r="E1721" s="1024"/>
      <c r="F1721" s="1267" t="s">
        <v>2279</v>
      </c>
      <c r="G1721" s="1023"/>
      <c r="H1721" s="1713"/>
      <c r="I1721" s="1192">
        <f t="shared" si="71"/>
        <v>0</v>
      </c>
      <c r="J1721" s="1064"/>
      <c r="K1721" s="1064"/>
      <c r="L1721" s="1015"/>
      <c r="M1721" s="934">
        <v>400</v>
      </c>
    </row>
    <row r="1722" spans="1:13" s="1016" customFormat="1" ht="25.2" hidden="1" customHeight="1">
      <c r="A1722" s="1086">
        <f t="shared" si="70"/>
        <v>0</v>
      </c>
      <c r="B1722" s="1233" t="s">
        <v>2022</v>
      </c>
      <c r="C1722" s="2843"/>
      <c r="D1722" s="1011"/>
      <c r="E1722" s="1024">
        <f>VLOOKUP($B1722,DG!A:D,DG!$B$2,)</f>
        <v>0</v>
      </c>
      <c r="F1722" s="1013" t="str">
        <f>VLOOKUP($B1722,DG!A:D,DG!$C$2,)</f>
        <v>Sắt góc L75 x75 x8</v>
      </c>
      <c r="G1722" s="1024" t="str">
        <f>VLOOKUP($B1722,DG!A:D,DG!$D$2,)</f>
        <v>kg</v>
      </c>
      <c r="H1722" s="1713"/>
      <c r="I1722" s="1192">
        <f t="shared" si="71"/>
        <v>0</v>
      </c>
      <c r="J1722" s="1041"/>
      <c r="K1722" s="1041"/>
      <c r="L1722" s="1015"/>
      <c r="M1722" s="934">
        <v>400</v>
      </c>
    </row>
    <row r="1723" spans="1:13" s="1016" customFormat="1" ht="25.2" hidden="1" customHeight="1">
      <c r="A1723" s="1086">
        <f t="shared" si="70"/>
        <v>0</v>
      </c>
      <c r="B1723" s="1226" t="s">
        <v>1784</v>
      </c>
      <c r="C1723" s="2841"/>
      <c r="D1723" s="1011"/>
      <c r="E1723" s="1024">
        <f>VLOOKUP($B1723,DG!A:D,DG!$B$2,)</f>
        <v>0</v>
      </c>
      <c r="F1723" s="1013" t="str">
        <f>VLOOKUP($B1723,DG!A:D,DG!$C$2,)</f>
        <v>Boulon 16x300VRS+ 4 long đền vuông D18-50x50x3/Zn</v>
      </c>
      <c r="G1723" s="1024" t="str">
        <f>VLOOKUP($B1723,DG!A:D,DG!$D$2,)</f>
        <v>bộ</v>
      </c>
      <c r="H1723" s="1713">
        <f>H1720*2</f>
        <v>0</v>
      </c>
      <c r="I1723" s="1192">
        <f t="shared" si="71"/>
        <v>0</v>
      </c>
      <c r="J1723" s="1041"/>
      <c r="K1723" s="1041"/>
      <c r="L1723" s="1015"/>
      <c r="M1723" s="934">
        <v>400</v>
      </c>
    </row>
    <row r="1724" spans="1:13" s="1016" customFormat="1" ht="25.2" hidden="1" customHeight="1">
      <c r="A1724" s="1086">
        <f t="shared" si="70"/>
        <v>0</v>
      </c>
      <c r="B1724" s="1226" t="s">
        <v>1610</v>
      </c>
      <c r="C1724" s="2841"/>
      <c r="D1724" s="1011"/>
      <c r="E1724" s="1024">
        <f>VLOOKUP($B1724,DG!A:D,DG!$B$2,)</f>
        <v>0</v>
      </c>
      <c r="F1724" s="1013" t="str">
        <f>VLOOKUP($B1724,DG!A:D,DG!$C$2,)</f>
        <v>Boulon 16x300+ 2 long đền vuông D18-50x50x3/Zn</v>
      </c>
      <c r="G1724" s="1024" t="str">
        <f>VLOOKUP($B1724,DG!A:D,DG!$D$2,)</f>
        <v>bộ</v>
      </c>
      <c r="H1724" s="1713">
        <f>H1720*2</f>
        <v>0</v>
      </c>
      <c r="I1724" s="1192">
        <f t="shared" si="71"/>
        <v>0</v>
      </c>
      <c r="J1724" s="1041"/>
      <c r="K1724" s="1041"/>
      <c r="L1724" s="1015"/>
      <c r="M1724" s="934">
        <v>400</v>
      </c>
    </row>
    <row r="1725" spans="1:13" s="1016" customFormat="1" ht="25.2" hidden="1" customHeight="1">
      <c r="A1725" s="1086">
        <f t="shared" si="70"/>
        <v>0</v>
      </c>
      <c r="B1725" s="1226" t="s">
        <v>1609</v>
      </c>
      <c r="C1725" s="2841"/>
      <c r="D1725" s="1011"/>
      <c r="E1725" s="1024">
        <f>VLOOKUP($B1725,DG!A:D,DG!$B$2,)</f>
        <v>0</v>
      </c>
      <c r="F1725" s="1013" t="str">
        <f>VLOOKUP($B1725,DG!A:D,DG!$C$2,)</f>
        <v>Boulon 16x250+ 2 long đền vuông D18-50x50x3/Zn</v>
      </c>
      <c r="G1725" s="1024" t="str">
        <f>VLOOKUP($B1725,DG!A:D,DG!$D$2,)</f>
        <v>bộ</v>
      </c>
      <c r="H1725" s="1713">
        <f>H1724</f>
        <v>0</v>
      </c>
      <c r="I1725" s="1192">
        <f t="shared" si="71"/>
        <v>0</v>
      </c>
      <c r="J1725" s="1041"/>
      <c r="K1725" s="1041"/>
      <c r="L1725" s="1015"/>
      <c r="M1725" s="934">
        <v>400</v>
      </c>
    </row>
    <row r="1726" spans="1:13" s="1016" customFormat="1" ht="25.2" hidden="1" customHeight="1">
      <c r="A1726" s="1086">
        <f t="shared" si="70"/>
        <v>0</v>
      </c>
      <c r="B1726" s="1226" t="s">
        <v>2242</v>
      </c>
      <c r="C1726" s="2841"/>
      <c r="D1726" s="1011"/>
      <c r="E1726" s="1024" t="str">
        <f>VLOOKUP($B1726,DG!A:D,DG!$B$2,)</f>
        <v>05.6044</v>
      </c>
      <c r="F1726" s="1013" t="str">
        <f>VLOOKUP($B1726,DG!A:D,DG!$C$2,)</f>
        <v>Lắp xà cột Pi loại ≤140kg/xà</v>
      </c>
      <c r="G1726" s="1024" t="str">
        <f>VLOOKUP($B1726,DG!A:D,DG!$D$2,)</f>
        <v>bộ</v>
      </c>
      <c r="H1726" s="1713">
        <f>H1720</f>
        <v>0</v>
      </c>
      <c r="I1726" s="1192">
        <f t="shared" si="71"/>
        <v>0</v>
      </c>
      <c r="J1726" s="1041"/>
      <c r="K1726" s="1041"/>
      <c r="L1726" s="1015"/>
      <c r="M1726" s="934">
        <v>400</v>
      </c>
    </row>
    <row r="1727" spans="1:13" s="1016" customFormat="1" ht="25.2" hidden="1" customHeight="1">
      <c r="A1727" s="1086">
        <f t="shared" si="70"/>
        <v>0</v>
      </c>
      <c r="B1727" s="1226"/>
      <c r="C1727" s="2841"/>
      <c r="D1727" s="1017">
        <f>IF(H1727&gt;0,D1720+1,D1720)</f>
        <v>0</v>
      </c>
      <c r="E1727" s="1018"/>
      <c r="F1727" s="1063" t="s">
        <v>3735</v>
      </c>
      <c r="G1727" s="1017" t="s">
        <v>2385</v>
      </c>
      <c r="H1727" s="1722">
        <f>H1682*1</f>
        <v>0</v>
      </c>
      <c r="I1727" s="1192">
        <f t="shared" si="71"/>
        <v>0</v>
      </c>
      <c r="J1727" s="1064"/>
      <c r="K1727" s="1064"/>
      <c r="L1727" s="1015"/>
      <c r="M1727" s="934">
        <v>400</v>
      </c>
    </row>
    <row r="1728" spans="1:13" s="1016" customFormat="1" ht="25.2" hidden="1" customHeight="1">
      <c r="A1728" s="1086">
        <f t="shared" si="70"/>
        <v>0</v>
      </c>
      <c r="B1728" s="1226"/>
      <c r="C1728" s="2841"/>
      <c r="D1728" s="1011"/>
      <c r="E1728" s="1021"/>
      <c r="F1728" s="1267" t="s">
        <v>2279</v>
      </c>
      <c r="G1728" s="1023"/>
      <c r="H1728" s="1713"/>
      <c r="I1728" s="1192">
        <f t="shared" si="71"/>
        <v>0</v>
      </c>
      <c r="J1728" s="1064"/>
      <c r="K1728" s="1064"/>
      <c r="L1728" s="1015"/>
      <c r="M1728" s="934">
        <v>400</v>
      </c>
    </row>
    <row r="1729" spans="1:13" s="1016" customFormat="1" ht="25.2" hidden="1" customHeight="1">
      <c r="A1729" s="1086">
        <f t="shared" si="70"/>
        <v>0</v>
      </c>
      <c r="B1729" s="1244" t="s">
        <v>362</v>
      </c>
      <c r="C1729" s="2846"/>
      <c r="D1729" s="1011"/>
      <c r="E1729" s="1024">
        <f>VLOOKUP($B1729,DG!A:D,DG!$B$2,)</f>
        <v>0</v>
      </c>
      <c r="F1729" s="1013" t="str">
        <f>VLOOKUP($B1729,DG!A:D,DG!$C$2,)</f>
        <v>Xà composite 110x800x5</v>
      </c>
      <c r="G1729" s="1024" t="str">
        <f>VLOOKUP($B1729,DG!A:D,DG!$D$2,)</f>
        <v>cái</v>
      </c>
      <c r="H1729" s="1713"/>
      <c r="I1729" s="1192">
        <f t="shared" si="71"/>
        <v>0</v>
      </c>
      <c r="J1729" s="1041"/>
      <c r="K1729" s="1041"/>
      <c r="L1729" s="1015"/>
      <c r="M1729" s="934">
        <v>400</v>
      </c>
    </row>
    <row r="1730" spans="1:13" s="1016" customFormat="1" ht="25.2" hidden="1" customHeight="1">
      <c r="A1730" s="1086">
        <f t="shared" si="70"/>
        <v>0</v>
      </c>
      <c r="B1730" s="1226" t="s">
        <v>1609</v>
      </c>
      <c r="C1730" s="2841"/>
      <c r="D1730" s="1011"/>
      <c r="E1730" s="1024">
        <f>VLOOKUP($B1730,DG!A:D,DG!$B$2,)</f>
        <v>0</v>
      </c>
      <c r="F1730" s="1013" t="str">
        <f>VLOOKUP($B1730,DG!A:D,DG!$C$2,)</f>
        <v>Boulon 16x250+ 2 long đền vuông D18-50x50x3/Zn</v>
      </c>
      <c r="G1730" s="1024" t="str">
        <f>VLOOKUP($B1730,DG!A:D,DG!$D$2,)</f>
        <v>bộ</v>
      </c>
      <c r="H1730" s="1713">
        <f>H1727</f>
        <v>0</v>
      </c>
      <c r="I1730" s="1192">
        <f t="shared" si="71"/>
        <v>0</v>
      </c>
      <c r="J1730" s="1041"/>
      <c r="K1730" s="1041"/>
      <c r="L1730" s="1015"/>
      <c r="M1730" s="934">
        <v>400</v>
      </c>
    </row>
    <row r="1731" spans="1:13" s="1016" customFormat="1" ht="25.2" hidden="1" customHeight="1">
      <c r="A1731" s="1086">
        <f t="shared" si="70"/>
        <v>0</v>
      </c>
      <c r="B1731" s="1226" t="s">
        <v>1610</v>
      </c>
      <c r="C1731" s="2841"/>
      <c r="D1731" s="1011"/>
      <c r="E1731" s="1024">
        <f>VLOOKUP($B1731,DG!A:D,DG!$B$2,)</f>
        <v>0</v>
      </c>
      <c r="F1731" s="1013" t="str">
        <f>VLOOKUP($B1731,DG!A:D,DG!$C$2,)</f>
        <v>Boulon 16x300+ 2 long đền vuông D18-50x50x3/Zn</v>
      </c>
      <c r="G1731" s="1024" t="str">
        <f>VLOOKUP($B1731,DG!A:D,DG!$D$2,)</f>
        <v>bộ</v>
      </c>
      <c r="H1731" s="1713">
        <f>H1727</f>
        <v>0</v>
      </c>
      <c r="I1731" s="1192">
        <f t="shared" si="71"/>
        <v>0</v>
      </c>
      <c r="J1731" s="1041"/>
      <c r="K1731" s="1041"/>
      <c r="L1731" s="1015"/>
      <c r="M1731" s="934">
        <v>400</v>
      </c>
    </row>
    <row r="1732" spans="1:13" s="1016" customFormat="1" ht="25.2" hidden="1" customHeight="1">
      <c r="A1732" s="1086">
        <f t="shared" si="70"/>
        <v>0</v>
      </c>
      <c r="B1732" s="1226" t="s">
        <v>30</v>
      </c>
      <c r="C1732" s="2841"/>
      <c r="D1732" s="1011"/>
      <c r="E1732" s="1024">
        <f>VLOOKUP($B1732,DG!A:D,DG!$B$2,)</f>
        <v>0</v>
      </c>
      <c r="F1732" s="1013" t="str">
        <f>VLOOKUP($B1732,DG!A:D,DG!$C$2,)</f>
        <v>Bass LI bắt FCO</v>
      </c>
      <c r="G1732" s="1024" t="str">
        <f>VLOOKUP($B1732,DG!A:D,DG!$D$2,)</f>
        <v>Bộ</v>
      </c>
      <c r="H1732" s="1713">
        <f>H1683*2</f>
        <v>0</v>
      </c>
      <c r="I1732" s="1192">
        <f t="shared" si="71"/>
        <v>0</v>
      </c>
      <c r="J1732" s="1041"/>
      <c r="K1732" s="1041"/>
      <c r="L1732" s="1015"/>
      <c r="M1732" s="934">
        <v>400</v>
      </c>
    </row>
    <row r="1733" spans="1:13" s="1016" customFormat="1" ht="25.2" hidden="1" customHeight="1">
      <c r="A1733" s="1086">
        <f t="shared" si="70"/>
        <v>0</v>
      </c>
      <c r="B1733" s="1226" t="s">
        <v>2242</v>
      </c>
      <c r="C1733" s="2841"/>
      <c r="D1733" s="1011"/>
      <c r="E1733" s="1024" t="str">
        <f>VLOOKUP($B1733,DG!A:D,DG!$B$2,)</f>
        <v>05.6044</v>
      </c>
      <c r="F1733" s="1013" t="str">
        <f>VLOOKUP($B1733,DG!A:D,DG!$C$2,)</f>
        <v>Lắp xà cột Pi loại ≤140kg/xà</v>
      </c>
      <c r="G1733" s="1024" t="str">
        <f>VLOOKUP($B1733,DG!A:D,DG!$D$2,)</f>
        <v>bộ</v>
      </c>
      <c r="H1733" s="1713">
        <f>H1682</f>
        <v>0</v>
      </c>
      <c r="I1733" s="1192">
        <f t="shared" si="71"/>
        <v>0</v>
      </c>
      <c r="J1733" s="1041"/>
      <c r="K1733" s="1041"/>
      <c r="L1733" s="1015"/>
      <c r="M1733" s="934">
        <v>400</v>
      </c>
    </row>
    <row r="1734" spans="1:13" s="1016" customFormat="1" ht="25.2" hidden="1" customHeight="1">
      <c r="A1734" s="1086">
        <f t="shared" si="70"/>
        <v>0</v>
      </c>
      <c r="B1734" s="1226"/>
      <c r="C1734" s="2841"/>
      <c r="D1734" s="1017">
        <f>IF(H1734&gt;0,D1727+1,D1727)</f>
        <v>0</v>
      </c>
      <c r="E1734" s="1018"/>
      <c r="F1734" s="1063" t="s">
        <v>3717</v>
      </c>
      <c r="G1734" s="1017" t="s">
        <v>2385</v>
      </c>
      <c r="H1734" s="1722">
        <f>H1682*2</f>
        <v>0</v>
      </c>
      <c r="I1734" s="1192">
        <f t="shared" si="71"/>
        <v>0</v>
      </c>
      <c r="J1734" s="1064"/>
      <c r="K1734" s="1064"/>
      <c r="L1734" s="1015"/>
      <c r="M1734" s="934">
        <v>400</v>
      </c>
    </row>
    <row r="1735" spans="1:13" s="1016" customFormat="1" ht="25.2" hidden="1" customHeight="1">
      <c r="A1735" s="1086">
        <f t="shared" si="70"/>
        <v>0</v>
      </c>
      <c r="B1735" s="1226"/>
      <c r="C1735" s="2841"/>
      <c r="D1735" s="1011"/>
      <c r="E1735" s="1021"/>
      <c r="F1735" s="1267" t="s">
        <v>2279</v>
      </c>
      <c r="G1735" s="1023"/>
      <c r="H1735" s="1713"/>
      <c r="I1735" s="1192">
        <f t="shared" si="71"/>
        <v>0</v>
      </c>
      <c r="J1735" s="1064"/>
      <c r="K1735" s="1064"/>
      <c r="L1735" s="1015"/>
      <c r="M1735" s="934">
        <v>400</v>
      </c>
    </row>
    <row r="1736" spans="1:13" s="1016" customFormat="1" ht="25.2" hidden="1" customHeight="1">
      <c r="A1736" s="1086">
        <f t="shared" si="70"/>
        <v>0</v>
      </c>
      <c r="B1736" s="1226" t="s">
        <v>2022</v>
      </c>
      <c r="C1736" s="2841"/>
      <c r="D1736" s="1011"/>
      <c r="E1736" s="1024">
        <f>VLOOKUP($B1736,DG!A:D,DG!$B$2,)</f>
        <v>0</v>
      </c>
      <c r="F1736" s="1013" t="str">
        <f>VLOOKUP($B1736,DG!A:D,DG!$C$2,)</f>
        <v>Sắt góc L75 x75 x8</v>
      </c>
      <c r="G1736" s="1024" t="str">
        <f>VLOOKUP($B1736,DG!A:D,DG!$D$2,)</f>
        <v>kg</v>
      </c>
      <c r="H1736" s="1713">
        <f>H1734*9.02*2.6</f>
        <v>0</v>
      </c>
      <c r="I1736" s="1192">
        <f t="shared" si="71"/>
        <v>0</v>
      </c>
      <c r="J1736" s="1041"/>
      <c r="K1736" s="1041"/>
      <c r="L1736" s="1015"/>
      <c r="M1736" s="934">
        <v>400</v>
      </c>
    </row>
    <row r="1737" spans="1:13" s="1016" customFormat="1" ht="25.2" hidden="1" customHeight="1">
      <c r="A1737" s="1086">
        <f t="shared" si="70"/>
        <v>0</v>
      </c>
      <c r="B1737" s="1226" t="s">
        <v>1083</v>
      </c>
      <c r="C1737" s="2841"/>
      <c r="D1737" s="1011"/>
      <c r="E1737" s="1024">
        <f>VLOOKUP($B1737,DG!A:D,DG!$B$2,)</f>
        <v>0</v>
      </c>
      <c r="F1737" s="1013" t="str">
        <f>VLOOKUP($B1737,DG!A:D,DG!$C$2,)</f>
        <v>Boulon 16x400+ 2 long đền vuông D18-50x50x3/Zn</v>
      </c>
      <c r="G1737" s="1024" t="str">
        <f>VLOOKUP($B1737,DG!A:D,DG!$D$2,)</f>
        <v>bộ</v>
      </c>
      <c r="H1737" s="1713">
        <f>H1734*2</f>
        <v>0</v>
      </c>
      <c r="I1737" s="1192">
        <f t="shared" si="71"/>
        <v>0</v>
      </c>
      <c r="J1737" s="1041"/>
      <c r="K1737" s="1041"/>
      <c r="L1737" s="1015"/>
      <c r="M1737" s="934">
        <v>400</v>
      </c>
    </row>
    <row r="1738" spans="1:13" s="1016" customFormat="1" ht="25.2" hidden="1" customHeight="1">
      <c r="A1738" s="1086">
        <f t="shared" si="70"/>
        <v>0</v>
      </c>
      <c r="B1738" s="1226" t="s">
        <v>138</v>
      </c>
      <c r="C1738" s="2841"/>
      <c r="D1738" s="1011"/>
      <c r="E1738" s="1024">
        <f>VLOOKUP($B1738,DG!A:D,DG!$B$2,)</f>
        <v>0</v>
      </c>
      <c r="F1738" s="1013" t="str">
        <f>VLOOKUP($B1738,DG!A:D,DG!$C$2,)</f>
        <v>Boulon 12x40+ 2 long đền vuông D14-50x50x3/Zn</v>
      </c>
      <c r="G1738" s="1024" t="str">
        <f>VLOOKUP($B1738,DG!A:D,DG!$D$2,)</f>
        <v>bộ</v>
      </c>
      <c r="H1738" s="1713">
        <f>H1734*2</f>
        <v>0</v>
      </c>
      <c r="I1738" s="1192">
        <f t="shared" si="71"/>
        <v>0</v>
      </c>
      <c r="J1738" s="1041"/>
      <c r="K1738" s="1041"/>
      <c r="L1738" s="1015"/>
      <c r="M1738" s="934">
        <v>400</v>
      </c>
    </row>
    <row r="1739" spans="1:13" s="1016" customFormat="1" ht="25.2" hidden="1" customHeight="1">
      <c r="A1739" s="1086">
        <f t="shared" si="70"/>
        <v>0</v>
      </c>
      <c r="B1739" s="1226" t="s">
        <v>2242</v>
      </c>
      <c r="C1739" s="2841"/>
      <c r="D1739" s="1011"/>
      <c r="E1739" s="1024" t="str">
        <f>VLOOKUP($B1739,DG!A:D,DG!$B$2,)</f>
        <v>05.6044</v>
      </c>
      <c r="F1739" s="1013" t="str">
        <f>VLOOKUP($B1739,DG!A:D,DG!$C$2,)</f>
        <v>Lắp xà cột Pi loại ≤140kg/xà</v>
      </c>
      <c r="G1739" s="1024" t="str">
        <f>VLOOKUP($B1739,DG!A:D,DG!$D$2,)</f>
        <v>bộ</v>
      </c>
      <c r="H1739" s="1713">
        <f>H1734/2</f>
        <v>0</v>
      </c>
      <c r="I1739" s="1192">
        <f t="shared" si="71"/>
        <v>0</v>
      </c>
      <c r="J1739" s="1041"/>
      <c r="K1739" s="1041"/>
      <c r="L1739" s="1015"/>
      <c r="M1739" s="934">
        <v>400</v>
      </c>
    </row>
    <row r="1740" spans="1:13" s="1016" customFormat="1" ht="25.2" hidden="1" customHeight="1">
      <c r="A1740" s="1086">
        <f t="shared" si="70"/>
        <v>0</v>
      </c>
      <c r="B1740" s="1226" t="s">
        <v>217</v>
      </c>
      <c r="C1740" s="2841"/>
      <c r="D1740" s="1011"/>
      <c r="E1740" s="1024" t="str">
        <f>VLOOKUP($B1740,DG!A:D,DG!$B$2,)</f>
        <v>02.1115</v>
      </c>
      <c r="F1740" s="1013" t="str">
        <f>VLOOKUP($B1740,DG!A:D,DG!$C$2,)</f>
        <v>Bốc dỡ xà, thép thanh</v>
      </c>
      <c r="G1740" s="1024" t="str">
        <f>VLOOKUP($B1740,DG!A:D,DG!$D$2,)</f>
        <v>tấn</v>
      </c>
      <c r="H1740" s="1713">
        <f>0.05*0</f>
        <v>0</v>
      </c>
      <c r="I1740" s="1192">
        <f t="shared" si="71"/>
        <v>0</v>
      </c>
      <c r="J1740" s="1041"/>
      <c r="K1740" s="1041"/>
      <c r="L1740" s="1015"/>
      <c r="M1740" s="934">
        <v>400</v>
      </c>
    </row>
    <row r="1741" spans="1:13" s="1016" customFormat="1" ht="25.2" hidden="1" customHeight="1">
      <c r="A1741" s="1086">
        <f t="shared" si="70"/>
        <v>0</v>
      </c>
      <c r="B1741" s="1226" t="s">
        <v>1610</v>
      </c>
      <c r="C1741" s="2841"/>
      <c r="D1741" s="1011"/>
      <c r="E1741" s="1024">
        <f>VLOOKUP($B1741,DG!A:D,DG!$B$2,)</f>
        <v>0</v>
      </c>
      <c r="F1741" s="1013" t="str">
        <f>VLOOKUP($B1741,DG!A:D,DG!$C$2,)</f>
        <v>Boulon 16x300+ 2 long đền vuông D18-50x50x3/Zn</v>
      </c>
      <c r="G1741" s="1012" t="s">
        <v>2439</v>
      </c>
      <c r="H1741" s="1713">
        <f>H1734*2*0</f>
        <v>0</v>
      </c>
      <c r="I1741" s="1192">
        <f t="shared" si="71"/>
        <v>0</v>
      </c>
      <c r="J1741" s="1041"/>
      <c r="K1741" s="1041"/>
      <c r="L1741" s="1015"/>
      <c r="M1741" s="934">
        <v>400</v>
      </c>
    </row>
    <row r="1742" spans="1:13" s="1016" customFormat="1" ht="25.2" hidden="1" customHeight="1">
      <c r="A1742" s="1086">
        <f t="shared" si="70"/>
        <v>0</v>
      </c>
      <c r="B1742" s="1226" t="s">
        <v>1609</v>
      </c>
      <c r="C1742" s="2841"/>
      <c r="D1742" s="1011"/>
      <c r="E1742" s="1024">
        <f>VLOOKUP($B1742,DG!A:D,DG!$B$2,)</f>
        <v>0</v>
      </c>
      <c r="F1742" s="1013" t="str">
        <f>VLOOKUP($B1742,DG!A:D,DG!$C$2,)</f>
        <v>Boulon 16x250+ 2 long đền vuông D18-50x50x3/Zn</v>
      </c>
      <c r="G1742" s="1012" t="s">
        <v>2439</v>
      </c>
      <c r="H1742" s="1713">
        <f>2*H1734*2*0</f>
        <v>0</v>
      </c>
      <c r="I1742" s="1192">
        <f t="shared" si="71"/>
        <v>0</v>
      </c>
      <c r="J1742" s="1041"/>
      <c r="K1742" s="1041"/>
      <c r="L1742" s="1015"/>
      <c r="M1742" s="934">
        <v>400</v>
      </c>
    </row>
    <row r="1743" spans="1:13" s="1016" customFormat="1" ht="25.2" hidden="1" customHeight="1" collapsed="1">
      <c r="A1743" s="1086">
        <f t="shared" si="70"/>
        <v>0</v>
      </c>
      <c r="B1743" s="1226"/>
      <c r="C1743" s="2841"/>
      <c r="D1743" s="1017">
        <f>IF(H1743&gt;0,D1734+1,D1734)</f>
        <v>0</v>
      </c>
      <c r="E1743" s="1018"/>
      <c r="F1743" s="1063" t="s">
        <v>3718</v>
      </c>
      <c r="G1743" s="1017" t="s">
        <v>2385</v>
      </c>
      <c r="H1743" s="1722">
        <f>H1682*0</f>
        <v>0</v>
      </c>
      <c r="I1743" s="1192">
        <f t="shared" si="71"/>
        <v>0</v>
      </c>
      <c r="J1743" s="1014"/>
      <c r="K1743" s="1014"/>
      <c r="L1743" s="1043"/>
      <c r="M1743" s="934">
        <v>400</v>
      </c>
    </row>
    <row r="1744" spans="1:13" s="1016" customFormat="1" ht="25.2" hidden="1" customHeight="1">
      <c r="A1744" s="1086">
        <f t="shared" si="70"/>
        <v>0</v>
      </c>
      <c r="B1744" s="1226"/>
      <c r="C1744" s="2841"/>
      <c r="D1744" s="1011"/>
      <c r="E1744" s="1021"/>
      <c r="F1744" s="1267" t="s">
        <v>2279</v>
      </c>
      <c r="G1744" s="1023"/>
      <c r="H1744" s="1713"/>
      <c r="I1744" s="1192">
        <f t="shared" si="71"/>
        <v>0</v>
      </c>
      <c r="J1744" s="1014"/>
      <c r="K1744" s="1014"/>
      <c r="L1744" s="1043"/>
      <c r="M1744" s="934">
        <v>400</v>
      </c>
    </row>
    <row r="1745" spans="1:13" s="1016" customFormat="1" ht="25.2" hidden="1" customHeight="1">
      <c r="A1745" s="1086">
        <f t="shared" si="70"/>
        <v>0</v>
      </c>
      <c r="B1745" s="1226" t="s">
        <v>2022</v>
      </c>
      <c r="C1745" s="2841"/>
      <c r="D1745" s="1011"/>
      <c r="E1745" s="1024">
        <f>VLOOKUP($B1745,DG!A:D,DG!$B$2,)</f>
        <v>0</v>
      </c>
      <c r="F1745" s="1013" t="str">
        <f>VLOOKUP($B1745,DG!A:D,DG!$C$2,)</f>
        <v>Sắt góc L75 x75 x8</v>
      </c>
      <c r="G1745" s="1012" t="s">
        <v>2248</v>
      </c>
      <c r="H1745" s="1713">
        <f>H1743*9.02*(2.4+4*0.07)*2</f>
        <v>0</v>
      </c>
      <c r="I1745" s="1192">
        <f t="shared" si="71"/>
        <v>0</v>
      </c>
      <c r="J1745" s="1014"/>
      <c r="K1745" s="1014"/>
      <c r="L1745" s="1043"/>
      <c r="M1745" s="934">
        <v>400</v>
      </c>
    </row>
    <row r="1746" spans="1:13" s="1016" customFormat="1" ht="25.2" hidden="1" customHeight="1">
      <c r="A1746" s="1086">
        <f t="shared" si="70"/>
        <v>0</v>
      </c>
      <c r="B1746" s="1226" t="s">
        <v>1035</v>
      </c>
      <c r="C1746" s="2841"/>
      <c r="D1746" s="1011"/>
      <c r="E1746" s="1024">
        <f>VLOOKUP($B1746,DG!A:D,DG!$B$2,)</f>
        <v>0</v>
      </c>
      <c r="F1746" s="1013" t="str">
        <f>VLOOKUP($B1746,DG!A:D,DG!$C$2,)&amp;" (Thanh choáng 810)"</f>
        <v>Sắt góc L50 x50 x5 (Thanh choáng 810)</v>
      </c>
      <c r="G1746" s="1012" t="s">
        <v>2248</v>
      </c>
      <c r="H1746" s="1713">
        <f>H1743*3.77*0.81*4</f>
        <v>0</v>
      </c>
      <c r="I1746" s="1192">
        <f t="shared" si="71"/>
        <v>0</v>
      </c>
      <c r="J1746" s="1014"/>
      <c r="K1746" s="1014"/>
      <c r="L1746" s="1043"/>
      <c r="M1746" s="934">
        <v>400</v>
      </c>
    </row>
    <row r="1747" spans="1:13" s="1016" customFormat="1" ht="25.2" hidden="1" customHeight="1">
      <c r="A1747" s="1086">
        <f t="shared" si="70"/>
        <v>0</v>
      </c>
      <c r="B1747" s="1226" t="s">
        <v>1610</v>
      </c>
      <c r="C1747" s="2841"/>
      <c r="D1747" s="1011"/>
      <c r="E1747" s="1024">
        <f>VLOOKUP($B1747,DG!A:D,DG!$B$2,)</f>
        <v>0</v>
      </c>
      <c r="F1747" s="1013" t="str">
        <f>VLOOKUP($B1747,DG!A:D,DG!$C$2,)</f>
        <v>Boulon 16x300+ 2 long đền vuông D18-50x50x3/Zn</v>
      </c>
      <c r="G1747" s="1012" t="s">
        <v>2439</v>
      </c>
      <c r="H1747" s="1713">
        <f>H1743*2</f>
        <v>0</v>
      </c>
      <c r="I1747" s="1192">
        <f t="shared" si="71"/>
        <v>0</v>
      </c>
      <c r="J1747" s="1014"/>
      <c r="K1747" s="1014"/>
      <c r="L1747" s="1043"/>
      <c r="M1747" s="934">
        <v>400</v>
      </c>
    </row>
    <row r="1748" spans="1:13" s="1016" customFormat="1" ht="25.2" hidden="1" customHeight="1">
      <c r="A1748" s="1086">
        <f t="shared" si="70"/>
        <v>0</v>
      </c>
      <c r="B1748" s="1226" t="s">
        <v>1786</v>
      </c>
      <c r="C1748" s="2841"/>
      <c r="D1748" s="1011"/>
      <c r="E1748" s="1024">
        <f>VLOOKUP($B1748,DG!A:D,DG!$B$2,)</f>
        <v>0</v>
      </c>
      <c r="F1748" s="1013" t="str">
        <f>VLOOKUP($B1748,DG!A:D,DG!$C$2,)</f>
        <v>Boulon 16x50+ 2 long đền vuông D18-50x50x3/Zn</v>
      </c>
      <c r="G1748" s="1012" t="s">
        <v>2439</v>
      </c>
      <c r="H1748" s="1713">
        <f>H1743*4</f>
        <v>0</v>
      </c>
      <c r="I1748" s="1192">
        <f t="shared" si="71"/>
        <v>0</v>
      </c>
      <c r="J1748" s="1014"/>
      <c r="K1748" s="1014"/>
      <c r="L1748" s="1043"/>
      <c r="M1748" s="934">
        <v>400</v>
      </c>
    </row>
    <row r="1749" spans="1:13" s="1016" customFormat="1" ht="25.2" hidden="1" customHeight="1">
      <c r="A1749" s="1086">
        <f t="shared" si="70"/>
        <v>0</v>
      </c>
      <c r="B1749" s="1226" t="s">
        <v>1784</v>
      </c>
      <c r="C1749" s="2841"/>
      <c r="D1749" s="1011"/>
      <c r="E1749" s="1024">
        <f>VLOOKUP($B1749,DG!A:D,DG!$B$2,)</f>
        <v>0</v>
      </c>
      <c r="F1749" s="1013" t="str">
        <f>VLOOKUP($B1749,DG!A:D,DG!$C$2,)</f>
        <v>Boulon 16x300VRS+ 4 long đền vuông D18-50x50x3/Zn</v>
      </c>
      <c r="G1749" s="1012" t="s">
        <v>2439</v>
      </c>
      <c r="H1749" s="1713">
        <f>H1743*4</f>
        <v>0</v>
      </c>
      <c r="I1749" s="1192">
        <f t="shared" si="71"/>
        <v>0</v>
      </c>
      <c r="J1749" s="1014"/>
      <c r="K1749" s="1014"/>
      <c r="L1749" s="1043"/>
      <c r="M1749" s="934">
        <v>400</v>
      </c>
    </row>
    <row r="1750" spans="1:13" s="1016" customFormat="1" ht="25.2" hidden="1" customHeight="1">
      <c r="A1750" s="1086">
        <f t="shared" si="70"/>
        <v>0</v>
      </c>
      <c r="B1750" s="1226" t="s">
        <v>517</v>
      </c>
      <c r="C1750" s="2841"/>
      <c r="D1750" s="1011"/>
      <c r="E1750" s="1024" t="str">
        <f>VLOOKUP($B1750,DG!A:D,DG!$B$2,)</f>
        <v>05.6203</v>
      </c>
      <c r="F1750" s="1013" t="str">
        <f>VLOOKUP($B1750,DG!A:D,DG!$C$2,)</f>
        <v>Lắp xà néo ≤ 100kg</v>
      </c>
      <c r="G1750" s="1012" t="s">
        <v>2439</v>
      </c>
      <c r="H1750" s="1713">
        <f>H1743</f>
        <v>0</v>
      </c>
      <c r="I1750" s="1192">
        <f t="shared" si="71"/>
        <v>0</v>
      </c>
      <c r="J1750" s="1014"/>
      <c r="K1750" s="1014"/>
      <c r="L1750" s="1043"/>
      <c r="M1750" s="934">
        <v>400</v>
      </c>
    </row>
    <row r="1751" spans="1:13" s="1016" customFormat="1" ht="25.2" hidden="1" customHeight="1">
      <c r="A1751" s="1086">
        <f t="shared" si="70"/>
        <v>0</v>
      </c>
      <c r="B1751" s="1226"/>
      <c r="C1751" s="2841"/>
      <c r="D1751" s="1017">
        <f>IF(H1751&gt;0,D1743+1,D1743)</f>
        <v>0</v>
      </c>
      <c r="E1751" s="1018"/>
      <c r="F1751" s="1063" t="s">
        <v>3719</v>
      </c>
      <c r="G1751" s="1017" t="s">
        <v>2385</v>
      </c>
      <c r="H1751" s="1722">
        <f>H1682*1*0</f>
        <v>0</v>
      </c>
      <c r="I1751" s="1192">
        <f t="shared" si="71"/>
        <v>0</v>
      </c>
      <c r="J1751" s="1014"/>
      <c r="K1751" s="1014"/>
      <c r="L1751" s="1043"/>
      <c r="M1751" s="934">
        <v>400</v>
      </c>
    </row>
    <row r="1752" spans="1:13" s="1016" customFormat="1" ht="25.2" hidden="1" customHeight="1">
      <c r="A1752" s="1086">
        <f t="shared" si="70"/>
        <v>0</v>
      </c>
      <c r="B1752" s="1226"/>
      <c r="C1752" s="2841"/>
      <c r="D1752" s="1011"/>
      <c r="E1752" s="1021"/>
      <c r="F1752" s="1267" t="s">
        <v>2279</v>
      </c>
      <c r="G1752" s="1023"/>
      <c r="H1752" s="1713"/>
      <c r="I1752" s="1192">
        <f t="shared" si="71"/>
        <v>0</v>
      </c>
      <c r="J1752" s="1014"/>
      <c r="K1752" s="1014"/>
      <c r="L1752" s="1043"/>
      <c r="M1752" s="934">
        <v>400</v>
      </c>
    </row>
    <row r="1753" spans="1:13" s="1016" customFormat="1" ht="25.2" hidden="1" customHeight="1">
      <c r="A1753" s="1086">
        <f t="shared" si="70"/>
        <v>0</v>
      </c>
      <c r="B1753" s="1226" t="s">
        <v>2022</v>
      </c>
      <c r="C1753" s="2841"/>
      <c r="D1753" s="1011"/>
      <c r="E1753" s="1024">
        <f>VLOOKUP($B1753,DG!A:D,DG!$B$2,)</f>
        <v>0</v>
      </c>
      <c r="F1753" s="1013" t="str">
        <f>VLOOKUP($B1753,DG!A:D,DG!$C$2,)</f>
        <v>Sắt góc L75 x75 x8</v>
      </c>
      <c r="G1753" s="1012" t="s">
        <v>2248</v>
      </c>
      <c r="H1753" s="1713">
        <f>H1751*9.02*(2.4+4*0.07)</f>
        <v>0</v>
      </c>
      <c r="I1753" s="1192">
        <f t="shared" si="71"/>
        <v>0</v>
      </c>
      <c r="J1753" s="1014"/>
      <c r="K1753" s="1014"/>
      <c r="L1753" s="1043"/>
      <c r="M1753" s="934">
        <v>400</v>
      </c>
    </row>
    <row r="1754" spans="1:13" s="1016" customFormat="1" ht="25.2" hidden="1" customHeight="1">
      <c r="A1754" s="1086">
        <f t="shared" ref="A1754:A1817" si="72">IF(AND(M1754=$M$23,I1754&gt;0),1,0)</f>
        <v>0</v>
      </c>
      <c r="B1754" s="1226" t="s">
        <v>1035</v>
      </c>
      <c r="C1754" s="2841"/>
      <c r="D1754" s="1011"/>
      <c r="E1754" s="1024">
        <f>VLOOKUP($B1754,DG!A:D,DG!$B$2,)</f>
        <v>0</v>
      </c>
      <c r="F1754" s="1013" t="str">
        <f>VLOOKUP($B1754,DG!A:D,DG!$C$2,)&amp;" (Thanh choáng 810)"</f>
        <v>Sắt góc L50 x50 x5 (Thanh choáng 810)</v>
      </c>
      <c r="G1754" s="1012" t="s">
        <v>2248</v>
      </c>
      <c r="H1754" s="1713">
        <f>H1751*3.77*0.81*2</f>
        <v>0</v>
      </c>
      <c r="I1754" s="1192">
        <f t="shared" si="71"/>
        <v>0</v>
      </c>
      <c r="J1754" s="1014"/>
      <c r="K1754" s="1014"/>
      <c r="L1754" s="1043"/>
      <c r="M1754" s="934">
        <v>400</v>
      </c>
    </row>
    <row r="1755" spans="1:13" s="1016" customFormat="1" ht="25.2" hidden="1" customHeight="1">
      <c r="A1755" s="1086">
        <f t="shared" si="72"/>
        <v>0</v>
      </c>
      <c r="B1755" s="1226" t="s">
        <v>1079</v>
      </c>
      <c r="C1755" s="2841"/>
      <c r="D1755" s="1011"/>
      <c r="E1755" s="1024">
        <f>VLOOKUP($B1755,DG!A:D,DG!$B$2,)</f>
        <v>0</v>
      </c>
      <c r="F1755" s="1013" t="str">
        <f>VLOOKUP($B1755,DG!A:D,DG!$C$2,)</f>
        <v>Boulon 16x350+ 2 long đền vuông D18-50x50x3/Zn</v>
      </c>
      <c r="G1755" s="1012" t="s">
        <v>2439</v>
      </c>
      <c r="H1755" s="1713">
        <f>H1751*2</f>
        <v>0</v>
      </c>
      <c r="I1755" s="1192">
        <f t="shared" si="71"/>
        <v>0</v>
      </c>
      <c r="J1755" s="1014"/>
      <c r="K1755" s="1014"/>
      <c r="L1755" s="1043"/>
      <c r="M1755" s="934">
        <v>400</v>
      </c>
    </row>
    <row r="1756" spans="1:13" s="1016" customFormat="1" ht="25.2" hidden="1" customHeight="1">
      <c r="A1756" s="1086">
        <f t="shared" si="72"/>
        <v>0</v>
      </c>
      <c r="B1756" s="1226" t="s">
        <v>1786</v>
      </c>
      <c r="C1756" s="2841"/>
      <c r="D1756" s="1011"/>
      <c r="E1756" s="1024">
        <f>VLOOKUP($B1756,DG!A:D,DG!$B$2,)</f>
        <v>0</v>
      </c>
      <c r="F1756" s="1013" t="str">
        <f>VLOOKUP($B1756,DG!A:D,DG!$C$2,)</f>
        <v>Boulon 16x50+ 2 long đền vuông D18-50x50x3/Zn</v>
      </c>
      <c r="G1756" s="1012" t="s">
        <v>2439</v>
      </c>
      <c r="H1756" s="1713">
        <f>H1751*2</f>
        <v>0</v>
      </c>
      <c r="I1756" s="1192">
        <f t="shared" si="71"/>
        <v>0</v>
      </c>
      <c r="J1756" s="1014"/>
      <c r="K1756" s="1014"/>
      <c r="L1756" s="1043"/>
      <c r="M1756" s="934">
        <v>400</v>
      </c>
    </row>
    <row r="1757" spans="1:13" s="1016" customFormat="1" ht="25.2" hidden="1" customHeight="1">
      <c r="A1757" s="1086">
        <f t="shared" si="72"/>
        <v>0</v>
      </c>
      <c r="B1757" s="1226" t="s">
        <v>1735</v>
      </c>
      <c r="C1757" s="2841"/>
      <c r="D1757" s="1011"/>
      <c r="E1757" s="1024">
        <f>VLOOKUP($B1757,DG!A:D,DG!$B$2,)</f>
        <v>0</v>
      </c>
      <c r="F1757" s="1013" t="str">
        <f>VLOOKUP($B1757,DG!A:D,DG!$C$2,)</f>
        <v>Bass LI bắt FCO</v>
      </c>
      <c r="G1757" s="1012" t="s">
        <v>2439</v>
      </c>
      <c r="H1757" s="1713">
        <f>IF(H1751&gt;0,3,)</f>
        <v>0</v>
      </c>
      <c r="I1757" s="1192">
        <f t="shared" si="71"/>
        <v>0</v>
      </c>
      <c r="J1757" s="1014"/>
      <c r="K1757" s="1014"/>
      <c r="L1757" s="1043"/>
      <c r="M1757" s="934">
        <v>400</v>
      </c>
    </row>
    <row r="1758" spans="1:13" s="1016" customFormat="1" ht="25.2" hidden="1" customHeight="1">
      <c r="A1758" s="1086">
        <f t="shared" si="72"/>
        <v>0</v>
      </c>
      <c r="B1758" s="1226" t="s">
        <v>988</v>
      </c>
      <c r="C1758" s="2841"/>
      <c r="D1758" s="1011"/>
      <c r="E1758" s="1024" t="str">
        <f>VLOOKUP($B1758,DG!A:D,DG!$B$2,)</f>
        <v>06.3231</v>
      </c>
      <c r="F1758" s="1013" t="str">
        <f>VLOOKUP($B1758,DG!A:D,DG!$C$2,)</f>
        <v xml:space="preserve">Cổ dê chống lắc 8x80x800 </v>
      </c>
      <c r="G1758" s="1012" t="s">
        <v>2439</v>
      </c>
      <c r="H1758" s="1713">
        <f>H1751*0</f>
        <v>0</v>
      </c>
      <c r="I1758" s="1192">
        <f t="shared" si="71"/>
        <v>0</v>
      </c>
      <c r="J1758" s="1014"/>
      <c r="K1758" s="1014"/>
      <c r="L1758" s="1043"/>
      <c r="M1758" s="934">
        <v>400</v>
      </c>
    </row>
    <row r="1759" spans="1:13" s="1016" customFormat="1" ht="25.2" hidden="1" customHeight="1">
      <c r="A1759" s="1086">
        <f t="shared" si="72"/>
        <v>0</v>
      </c>
      <c r="B1759" s="1226" t="s">
        <v>1440</v>
      </c>
      <c r="C1759" s="2841"/>
      <c r="D1759" s="1011"/>
      <c r="E1759" s="1024" t="str">
        <f>VLOOKUP($B1759,DG!A:D,DG!$B$2,)</f>
        <v>05.6102</v>
      </c>
      <c r="F1759" s="1013" t="str">
        <f>VLOOKUP($B1759,DG!A:D,DG!$C$2,)</f>
        <v>Lắp xà đỡ ≤ 50kg</v>
      </c>
      <c r="G1759" s="1012" t="s">
        <v>2439</v>
      </c>
      <c r="H1759" s="1713">
        <f>H1751</f>
        <v>0</v>
      </c>
      <c r="I1759" s="1192">
        <f t="shared" si="71"/>
        <v>0</v>
      </c>
      <c r="J1759" s="1014"/>
      <c r="K1759" s="1014"/>
      <c r="L1759" s="1043"/>
      <c r="M1759" s="934">
        <v>400</v>
      </c>
    </row>
    <row r="1760" spans="1:13" s="1016" customFormat="1" ht="25.2" hidden="1" customHeight="1">
      <c r="A1760" s="1086">
        <f t="shared" si="72"/>
        <v>0</v>
      </c>
      <c r="B1760" s="1226"/>
      <c r="C1760" s="2841"/>
      <c r="D1760" s="1017">
        <f>IF(H1760&gt;0,D1751+1,D1751)</f>
        <v>0</v>
      </c>
      <c r="E1760" s="1018"/>
      <c r="F1760" s="1063" t="s">
        <v>3720</v>
      </c>
      <c r="G1760" s="1017" t="s">
        <v>2385</v>
      </c>
      <c r="H1760" s="1722">
        <f>H1682</f>
        <v>0</v>
      </c>
      <c r="I1760" s="1192">
        <f t="shared" si="71"/>
        <v>0</v>
      </c>
      <c r="J1760" s="1014"/>
      <c r="K1760" s="1014"/>
      <c r="L1760" s="1043"/>
      <c r="M1760" s="934">
        <v>400</v>
      </c>
    </row>
    <row r="1761" spans="1:13" s="1016" customFormat="1" ht="25.2" hidden="1" customHeight="1">
      <c r="A1761" s="1086">
        <f t="shared" si="72"/>
        <v>0</v>
      </c>
      <c r="B1761" s="1255"/>
      <c r="C1761" s="2841"/>
      <c r="D1761" s="1011"/>
      <c r="E1761" s="1021"/>
      <c r="F1761" s="1267" t="s">
        <v>2279</v>
      </c>
      <c r="G1761" s="1023"/>
      <c r="H1761" s="1713"/>
      <c r="I1761" s="1192">
        <f t="shared" si="71"/>
        <v>0</v>
      </c>
      <c r="J1761" s="1014"/>
      <c r="K1761" s="1014"/>
      <c r="L1761" s="1043"/>
      <c r="M1761" s="934">
        <v>400</v>
      </c>
    </row>
    <row r="1762" spans="1:13" s="1016" customFormat="1" ht="25.2" hidden="1" customHeight="1">
      <c r="A1762" s="1086">
        <f t="shared" si="72"/>
        <v>0</v>
      </c>
      <c r="B1762" s="1226" t="s">
        <v>1033</v>
      </c>
      <c r="C1762" s="2841"/>
      <c r="D1762" s="1011"/>
      <c r="E1762" s="1012">
        <f>VLOOKUP($B1762,DG!A:D,DG!$B$2,)</f>
        <v>0</v>
      </c>
      <c r="F1762" s="1013" t="str">
        <f>VLOOKUP($B1762,DG!A:D,DG!$C$2,)</f>
        <v>Cáp đồng trần M25mm2</v>
      </c>
      <c r="G1762" s="1024" t="str">
        <f>VLOOKUP($B1762,DG!A:D,DG!$D$2,)</f>
        <v>kg</v>
      </c>
      <c r="H1762" s="1713">
        <f>53*0.224*H1760</f>
        <v>0</v>
      </c>
      <c r="I1762" s="1192">
        <f t="shared" si="71"/>
        <v>0</v>
      </c>
      <c r="J1762" s="1014"/>
      <c r="K1762" s="1014"/>
      <c r="L1762" s="1043"/>
      <c r="M1762" s="934">
        <v>400</v>
      </c>
    </row>
    <row r="1763" spans="1:13" s="1016" customFormat="1" ht="25.2" hidden="1" customHeight="1">
      <c r="A1763" s="1086">
        <f t="shared" si="72"/>
        <v>0</v>
      </c>
      <c r="B1763" s="1226" t="s">
        <v>1033</v>
      </c>
      <c r="C1763" s="2841"/>
      <c r="D1763" s="1011"/>
      <c r="E1763" s="1012">
        <f>VLOOKUP($B1763,DG!A:D,DG!$B$2,)</f>
        <v>0</v>
      </c>
      <c r="F1763" s="1013" t="str">
        <f>VLOOKUP($B1763,DG!A:D,DG!$C$2,)&amp;": 17m noái leân voû caùc thieát bò"</f>
        <v>Cáp đồng trần M25mm2: 17m noái leân voû caùc thieát bò</v>
      </c>
      <c r="G1763" s="1012" t="str">
        <f>VLOOKUP($B1763,DG!A:D,DG!$D$2,)</f>
        <v>kg</v>
      </c>
      <c r="H1763" s="1713">
        <f>17*0.224*H1760*0</f>
        <v>0</v>
      </c>
      <c r="I1763" s="1192">
        <f t="shared" si="71"/>
        <v>0</v>
      </c>
      <c r="J1763" s="1014"/>
      <c r="K1763" s="1014"/>
      <c r="L1763" s="1043"/>
      <c r="M1763" s="934">
        <v>400</v>
      </c>
    </row>
    <row r="1764" spans="1:13" s="1016" customFormat="1" ht="25.2" hidden="1" customHeight="1">
      <c r="A1764" s="1086">
        <f t="shared" si="72"/>
        <v>0</v>
      </c>
      <c r="B1764" s="1087" t="s">
        <v>1508</v>
      </c>
      <c r="C1764" s="2842"/>
      <c r="D1764" s="1011"/>
      <c r="E1764" s="1012">
        <f>VLOOKUP($B1764,DG!A:D,DG!$B$2,)</f>
        <v>0</v>
      </c>
      <c r="F1764" s="1013" t="str">
        <f>VLOOKUP($B1764,DG!A:D,DG!$C$2,)</f>
        <v>Cọc tiếp đất Þ 16- 2,4m + kẹp cọc mạ đồng</v>
      </c>
      <c r="G1764" s="1024" t="str">
        <f>VLOOKUP($B1764,DG!A:D,DG!$D$2,)</f>
        <v>bộ</v>
      </c>
      <c r="H1764" s="1713"/>
      <c r="I1764" s="1192">
        <f t="shared" si="71"/>
        <v>0</v>
      </c>
      <c r="J1764" s="1014"/>
      <c r="K1764" s="1014"/>
      <c r="L1764" s="1043"/>
      <c r="M1764" s="934">
        <v>400</v>
      </c>
    </row>
    <row r="1765" spans="1:13" s="1016" customFormat="1" ht="25.2" hidden="1" customHeight="1">
      <c r="A1765" s="1086">
        <f t="shared" si="72"/>
        <v>0</v>
      </c>
      <c r="B1765" s="1087" t="s">
        <v>1490</v>
      </c>
      <c r="C1765" s="2842"/>
      <c r="D1765" s="1011"/>
      <c r="E1765" s="1012" t="str">
        <f>VLOOKUP($B1765,DG!A:D,DG!$B$2,)</f>
        <v>07.2403</v>
      </c>
      <c r="F1765" s="1013" t="str">
        <f>VLOOKUP($B1765,DG!A:D,DG!$C$2,)</f>
        <v xml:space="preserve">Ống PVC D21x1,6mm </v>
      </c>
      <c r="G1765" s="1012" t="str">
        <f>VLOOKUP($B1765,DG!A:D,DG!$D$2,)</f>
        <v>m</v>
      </c>
      <c r="H1765" s="1713">
        <f>H1760*12</f>
        <v>0</v>
      </c>
      <c r="I1765" s="1192">
        <f t="shared" si="71"/>
        <v>0</v>
      </c>
      <c r="J1765" s="1014"/>
      <c r="K1765" s="1014"/>
      <c r="L1765" s="1015"/>
      <c r="M1765" s="934">
        <v>400</v>
      </c>
    </row>
    <row r="1766" spans="1:13" s="1016" customFormat="1" ht="25.2" hidden="1" customHeight="1">
      <c r="A1766" s="1086">
        <f t="shared" si="72"/>
        <v>0</v>
      </c>
      <c r="B1766" s="1231" t="s">
        <v>1579</v>
      </c>
      <c r="C1766" s="2844"/>
      <c r="D1766" s="1011"/>
      <c r="E1766" s="1012">
        <f>VLOOKUP($B1766,DG!A:D,DG!$B$2,)</f>
        <v>0</v>
      </c>
      <c r="F1766" s="1013" t="str">
        <f>VLOOKUP($B1766,DG!A:D,DG!$C$2,)&amp; " bắt dây trung tính "</f>
        <v xml:space="preserve">Kẹp ép WR cỡ dây 50mm2 bắt dây trung tính </v>
      </c>
      <c r="G1766" s="1024" t="str">
        <f>VLOOKUP($B1766,DG!A:D,DG!$D$2,)</f>
        <v>cái</v>
      </c>
      <c r="H1766" s="1713">
        <f>2*H1760</f>
        <v>0</v>
      </c>
      <c r="I1766" s="1192">
        <f t="shared" si="71"/>
        <v>0</v>
      </c>
      <c r="J1766" s="1014"/>
      <c r="K1766" s="1014"/>
      <c r="L1766" s="1043"/>
      <c r="M1766" s="934">
        <v>400</v>
      </c>
    </row>
    <row r="1767" spans="1:13" s="1016" customFormat="1" ht="25.2" hidden="1" customHeight="1">
      <c r="A1767" s="1086">
        <f t="shared" si="72"/>
        <v>0</v>
      </c>
      <c r="B1767" s="1231" t="s">
        <v>816</v>
      </c>
      <c r="C1767" s="2844"/>
      <c r="D1767" s="1065"/>
      <c r="E1767" s="1012" t="str">
        <f>VLOOKUP($B1767,DG!A:D,DG!$B$2,)</f>
        <v>04.3107</v>
      </c>
      <c r="F1767" s="1013" t="str">
        <f>VLOOKUP($B1767,DG!A:D,DG!$C$2,)&amp;":bắt lưới TĐ"</f>
        <v>Ốc siết cáp cỡ 25mm2:bắt lưới TĐ</v>
      </c>
      <c r="G1767" s="1024" t="str">
        <f>VLOOKUP($B1767,DG!A:D,DG!$D$2,)</f>
        <v>cái</v>
      </c>
      <c r="H1767" s="1744">
        <f>H1760*10</f>
        <v>0</v>
      </c>
      <c r="I1767" s="1192">
        <f t="shared" si="71"/>
        <v>0</v>
      </c>
      <c r="J1767" s="1014"/>
      <c r="K1767" s="1014"/>
      <c r="L1767" s="1043"/>
      <c r="M1767" s="934">
        <v>400</v>
      </c>
    </row>
    <row r="1768" spans="1:13" s="1016" customFormat="1" ht="25.2" hidden="1" customHeight="1">
      <c r="A1768" s="1086">
        <f t="shared" si="72"/>
        <v>0</v>
      </c>
      <c r="B1768" s="1087" t="s">
        <v>138</v>
      </c>
      <c r="C1768" s="2842"/>
      <c r="D1768" s="1011"/>
      <c r="E1768" s="1012">
        <f>VLOOKUP($B1768,DG!A:D,DG!$B$2,)</f>
        <v>0</v>
      </c>
      <c r="F1768" s="1013" t="str">
        <f>VLOOKUP($B1768,DG!A:D,DG!$C$2,)</f>
        <v>Boulon 12x40+ 2 long đền vuông D14-50x50x3/Zn</v>
      </c>
      <c r="G1768" s="1024" t="str">
        <f>VLOOKUP($B1768,DG!A:D,DG!$D$2,)</f>
        <v>bộ</v>
      </c>
      <c r="H1768" s="1713">
        <f>H1760*1</f>
        <v>0</v>
      </c>
      <c r="I1768" s="1192">
        <f t="shared" si="71"/>
        <v>0</v>
      </c>
      <c r="J1768" s="1014"/>
      <c r="K1768" s="1014"/>
      <c r="L1768" s="1043"/>
      <c r="M1768" s="934">
        <v>400</v>
      </c>
    </row>
    <row r="1769" spans="1:13" s="1016" customFormat="1" ht="25.2" hidden="1" customHeight="1">
      <c r="A1769" s="1086">
        <f t="shared" si="72"/>
        <v>0</v>
      </c>
      <c r="B1769" s="1087" t="s">
        <v>104</v>
      </c>
      <c r="C1769" s="2842"/>
      <c r="D1769" s="1011"/>
      <c r="E1769" s="1012" t="str">
        <f>VLOOKUP($B1769,DG!A:D,DG!$B$2,)</f>
        <v>03.4001</v>
      </c>
      <c r="F1769" s="1013" t="str">
        <f>VLOOKUP($B1769,DG!A:D,DG!$C$2,)</f>
        <v>Đầu cosse ép Cu 25mm2</v>
      </c>
      <c r="G1769" s="1024" t="str">
        <f>VLOOKUP($B1769,DG!A:D,DG!$D$2,)</f>
        <v>cái</v>
      </c>
      <c r="H1769" s="1713">
        <f>H1768*2</f>
        <v>0</v>
      </c>
      <c r="I1769" s="1192">
        <f t="shared" si="71"/>
        <v>0</v>
      </c>
      <c r="J1769" s="1014"/>
      <c r="K1769" s="1014"/>
      <c r="L1769" s="1043"/>
      <c r="M1769" s="934">
        <v>400</v>
      </c>
    </row>
    <row r="1770" spans="1:13" s="1016" customFormat="1" ht="25.2" hidden="1" customHeight="1">
      <c r="A1770" s="1086">
        <f t="shared" si="72"/>
        <v>0</v>
      </c>
      <c r="B1770" s="1087" t="s">
        <v>525</v>
      </c>
      <c r="C1770" s="2842"/>
      <c r="D1770" s="1011"/>
      <c r="E1770" s="1012" t="str">
        <f>VLOOKUP($B1770,DG!A:D,DG!$B$2,)</f>
        <v>06.3231</v>
      </c>
      <c r="F1770" s="1013" t="str">
        <f>VLOOKUP($B1770,DG!A:D,DG!$C$2,)&amp;": CD-250"</f>
        <v>Cổ dê kẹp ống PVC  21: CD-250</v>
      </c>
      <c r="G1770" s="1012" t="s">
        <v>2439</v>
      </c>
      <c r="H1770" s="1713">
        <f>1*H1760</f>
        <v>0</v>
      </c>
      <c r="I1770" s="1192">
        <f t="shared" si="71"/>
        <v>0</v>
      </c>
      <c r="J1770" s="1014"/>
      <c r="K1770" s="1014"/>
      <c r="L1770" s="1015"/>
      <c r="M1770" s="934">
        <v>400</v>
      </c>
    </row>
    <row r="1771" spans="1:13" s="1016" customFormat="1" ht="25.2" hidden="1" customHeight="1">
      <c r="A1771" s="1086">
        <f t="shared" si="72"/>
        <v>0</v>
      </c>
      <c r="B1771" s="1087" t="s">
        <v>525</v>
      </c>
      <c r="C1771" s="2842"/>
      <c r="D1771" s="1011"/>
      <c r="E1771" s="1012" t="str">
        <f>VLOOKUP($B1771,DG!A:D,DG!$B$2,)</f>
        <v>06.3231</v>
      </c>
      <c r="F1771" s="1013" t="str">
        <f>VLOOKUP($B1771,DG!A:D,DG!$C$2,)&amp;": CD-280"</f>
        <v>Cổ dê kẹp ống PVC  21: CD-280</v>
      </c>
      <c r="G1771" s="1012" t="s">
        <v>2439</v>
      </c>
      <c r="H1771" s="1713">
        <f>H1770</f>
        <v>0</v>
      </c>
      <c r="I1771" s="1192">
        <f t="shared" si="71"/>
        <v>0</v>
      </c>
      <c r="J1771" s="1014"/>
      <c r="K1771" s="1014"/>
      <c r="L1771" s="1015"/>
      <c r="M1771" s="934">
        <v>400</v>
      </c>
    </row>
    <row r="1772" spans="1:13" s="1016" customFormat="1" ht="25.2" hidden="1" customHeight="1">
      <c r="A1772" s="1086">
        <f t="shared" si="72"/>
        <v>0</v>
      </c>
      <c r="B1772" s="1087" t="s">
        <v>525</v>
      </c>
      <c r="C1772" s="2842"/>
      <c r="D1772" s="1011"/>
      <c r="E1772" s="1012" t="str">
        <f>VLOOKUP($B1772,DG!A:D,DG!$B$2,)</f>
        <v>06.3231</v>
      </c>
      <c r="F1772" s="1013" t="str">
        <f>VLOOKUP($B1772,DG!A:D,DG!$C$2,)&amp;": CD-320"</f>
        <v>Cổ dê kẹp ống PVC  21: CD-320</v>
      </c>
      <c r="G1772" s="1012" t="s">
        <v>2439</v>
      </c>
      <c r="H1772" s="1713">
        <f>H1771</f>
        <v>0</v>
      </c>
      <c r="I1772" s="1192">
        <f t="shared" si="71"/>
        <v>0</v>
      </c>
      <c r="J1772" s="1014"/>
      <c r="K1772" s="1014"/>
      <c r="L1772" s="1015"/>
      <c r="M1772" s="934">
        <v>400</v>
      </c>
    </row>
    <row r="1773" spans="1:13" s="1016" customFormat="1" ht="25.2" hidden="1" customHeight="1">
      <c r="A1773" s="1086">
        <f t="shared" si="72"/>
        <v>0</v>
      </c>
      <c r="B1773" s="1087" t="s">
        <v>1131</v>
      </c>
      <c r="C1773" s="2842"/>
      <c r="D1773" s="1011"/>
      <c r="E1773" s="1012" t="str">
        <f>VLOOKUP($B1773,DG!A:D,DG!$B$2,)</f>
        <v>06.2110</v>
      </c>
      <c r="F1773" s="1013" t="str">
        <f>VLOOKUP($B1773,DG!A:D,DG!$C$2,)</f>
        <v>Lắp cổ dê</v>
      </c>
      <c r="G1773" s="1012" t="str">
        <f>VLOOKUP($B1773,DG!A:D,DG!$D$2,)</f>
        <v>bộ</v>
      </c>
      <c r="H1773" s="1713">
        <f>H1760*3</f>
        <v>0</v>
      </c>
      <c r="I1773" s="1192">
        <f t="shared" si="71"/>
        <v>0</v>
      </c>
      <c r="J1773" s="1014"/>
      <c r="K1773" s="1014"/>
      <c r="L1773" s="1015"/>
      <c r="M1773" s="934">
        <v>400</v>
      </c>
    </row>
    <row r="1774" spans="1:13" s="1016" customFormat="1" ht="25.2" hidden="1" customHeight="1">
      <c r="A1774" s="1086">
        <f t="shared" si="72"/>
        <v>0</v>
      </c>
      <c r="B1774" s="1087" t="s">
        <v>138</v>
      </c>
      <c r="C1774" s="2842"/>
      <c r="D1774" s="1011"/>
      <c r="E1774" s="1012">
        <f>VLOOKUP($B1774,DG!A:D,DG!$B$2,)</f>
        <v>0</v>
      </c>
      <c r="F1774" s="1013" t="str">
        <f>VLOOKUP($B1774,DG!A:D,DG!$C$2,)</f>
        <v>Boulon 12x40+ 2 long đền vuông D14-50x50x3/Zn</v>
      </c>
      <c r="G1774" s="1012" t="str">
        <f>VLOOKUP($B1774,DG!A:D,DG!$D$2,)</f>
        <v>bộ</v>
      </c>
      <c r="H1774" s="1713">
        <f>H1760*6</f>
        <v>0</v>
      </c>
      <c r="I1774" s="1192">
        <f t="shared" si="71"/>
        <v>0</v>
      </c>
      <c r="J1774" s="1014"/>
      <c r="K1774" s="1014"/>
      <c r="L1774" s="1015"/>
      <c r="M1774" s="934">
        <v>400</v>
      </c>
    </row>
    <row r="1775" spans="1:13" s="1016" customFormat="1" ht="25.2" hidden="1" customHeight="1">
      <c r="A1775" s="1086">
        <f t="shared" si="72"/>
        <v>0</v>
      </c>
      <c r="B1775" s="1087" t="s">
        <v>1585</v>
      </c>
      <c r="C1775" s="2842"/>
      <c r="D1775" s="1011"/>
      <c r="E1775" s="1012">
        <f>VLOOKUP($B1775,DG!A:D,DG!$B$2,)</f>
        <v>0</v>
      </c>
      <c r="F1775" s="1013" t="str">
        <f>VLOOKUP($B1775,DG!A:D,DG!$C$2,)</f>
        <v>Giếng tiếp địa khoan đất</v>
      </c>
      <c r="G1775" s="1012" t="str">
        <f>VLOOKUP($B1775,DG!A:D,DG!$D$2,)</f>
        <v>Cái</v>
      </c>
      <c r="H1775" s="1713">
        <f>I2*H1760</f>
        <v>0</v>
      </c>
      <c r="I1775" s="1192">
        <f t="shared" si="71"/>
        <v>0</v>
      </c>
      <c r="J1775" s="1014"/>
      <c r="K1775" s="1014"/>
      <c r="L1775" s="1043"/>
      <c r="M1775" s="934">
        <v>400</v>
      </c>
    </row>
    <row r="1776" spans="1:13" s="1016" customFormat="1" ht="25.2" hidden="1" customHeight="1">
      <c r="A1776" s="1086">
        <f t="shared" si="72"/>
        <v>0</v>
      </c>
      <c r="B1776" s="1087" t="str">
        <f>"DTD"&amp;chitiet!G5</f>
        <v>DTD3</v>
      </c>
      <c r="C1776" s="2842"/>
      <c r="D1776" s="1023"/>
      <c r="E1776" s="1012" t="str">
        <f>VLOOKUP($B1776,DG!A:D,DG!$B$2,)</f>
        <v>03.3123</v>
      </c>
      <c r="F1776" s="1013" t="str">
        <f>VLOOKUP($B1776,DG!A:D,DG!$C$2,)</f>
        <v>Đào rãnh tiếp địa đất cấp 3</v>
      </c>
      <c r="G1776" s="1024" t="str">
        <f>VLOOKUP($B1776,DG!A:D,DG!$D$2,)</f>
        <v>m3</v>
      </c>
      <c r="H1776" s="1100">
        <f>I3*H1760</f>
        <v>0</v>
      </c>
      <c r="I1776" s="1192">
        <f t="shared" si="71"/>
        <v>0</v>
      </c>
      <c r="J1776" s="1014"/>
      <c r="K1776" s="1014"/>
      <c r="L1776" s="1043"/>
      <c r="M1776" s="934">
        <v>400</v>
      </c>
    </row>
    <row r="1777" spans="1:16" s="1016" customFormat="1" ht="25.2" hidden="1" customHeight="1">
      <c r="A1777" s="1086">
        <f t="shared" si="72"/>
        <v>0</v>
      </c>
      <c r="B1777" s="1087" t="str">
        <f>"DATD"&amp;chitiet!G5</f>
        <v>DATD3</v>
      </c>
      <c r="C1777" s="2842"/>
      <c r="D1777" s="1023"/>
      <c r="E1777" s="1012" t="str">
        <f>VLOOKUP($B1777,DG!A:D,DG!$B$2,)</f>
        <v>03.4123</v>
      </c>
      <c r="F1777" s="1013" t="str">
        <f>VLOOKUP($B1777,DG!A:D,DG!$C$2,)</f>
        <v>Đắp đất rãnh tiếp độ chặt k=0,85</v>
      </c>
      <c r="G1777" s="1024" t="str">
        <f>VLOOKUP($B1777,DG!A:D,DG!$D$2,)</f>
        <v>m3</v>
      </c>
      <c r="H1777" s="1100">
        <f>H1776</f>
        <v>0</v>
      </c>
      <c r="I1777" s="1192">
        <f t="shared" si="71"/>
        <v>0</v>
      </c>
      <c r="J1777" s="1014"/>
      <c r="K1777" s="1014"/>
      <c r="L1777" s="1043"/>
      <c r="M1777" s="934">
        <v>400</v>
      </c>
    </row>
    <row r="1778" spans="1:16" s="1016" customFormat="1" ht="25.2" hidden="1" customHeight="1">
      <c r="A1778" s="1086">
        <f t="shared" si="72"/>
        <v>0</v>
      </c>
      <c r="B1778" s="1087" t="s">
        <v>902</v>
      </c>
      <c r="C1778" s="2842"/>
      <c r="D1778" s="1023"/>
      <c r="E1778" s="1012" t="str">
        <f>VLOOKUP($B1778,DG!A:D,DG!$B$2,)</f>
        <v>04.7001</v>
      </c>
      <c r="F1778" s="1013" t="str">
        <f>VLOOKUP($B1778,DG!A:D,DG!$C$2,)</f>
        <v>Đóng cọc tiếp địa trong TBA</v>
      </c>
      <c r="G1778" s="1024" t="str">
        <f>VLOOKUP($B1778,DG!A:D,DG!$D$2,)</f>
        <v>cọc</v>
      </c>
      <c r="H1778" s="1100"/>
      <c r="I1778" s="1192">
        <f t="shared" si="71"/>
        <v>0</v>
      </c>
      <c r="J1778" s="1014"/>
      <c r="K1778" s="1014"/>
      <c r="L1778" s="1043"/>
      <c r="M1778" s="934">
        <v>400</v>
      </c>
    </row>
    <row r="1779" spans="1:16" s="1016" customFormat="1" ht="25.2" hidden="1" customHeight="1">
      <c r="A1779" s="1086">
        <f t="shared" si="72"/>
        <v>0</v>
      </c>
      <c r="B1779" s="1087" t="s">
        <v>1437</v>
      </c>
      <c r="C1779" s="2842"/>
      <c r="D1779" s="1011"/>
      <c r="E1779" s="1012" t="str">
        <f>VLOOKUP($B1779,DG!A:D,DG!$B$2,)</f>
        <v>04.7002</v>
      </c>
      <c r="F1779" s="1013" t="str">
        <f>VLOOKUP($B1779,DG!A:D,DG!$C$2,)</f>
        <v>Kéo dây tiếp địa trong TBA</v>
      </c>
      <c r="G1779" s="1024" t="str">
        <f>VLOOKUP($B1779,DG!A:D,DG!$D$2,)</f>
        <v>kg</v>
      </c>
      <c r="H1779" s="1713">
        <f>H1760*36</f>
        <v>0</v>
      </c>
      <c r="I1779" s="1192">
        <f t="shared" ref="I1779:I1842" si="73">IF(M1779=$M$23,H1779+J1779-K1779,0)</f>
        <v>0</v>
      </c>
      <c r="J1779" s="1014"/>
      <c r="K1779" s="1014"/>
      <c r="L1779" s="1043"/>
      <c r="M1779" s="934">
        <v>400</v>
      </c>
    </row>
    <row r="1780" spans="1:16" s="1016" customFormat="1" ht="25.2" hidden="1" customHeight="1">
      <c r="A1780" s="1086">
        <f t="shared" si="72"/>
        <v>0</v>
      </c>
      <c r="B1780" s="1226"/>
      <c r="C1780" s="2841"/>
      <c r="D1780" s="1017">
        <f>IF(H1780&gt;0,D1760+1,D1760)</f>
        <v>0</v>
      </c>
      <c r="E1780" s="1018"/>
      <c r="F1780" s="1019" t="s">
        <v>3721</v>
      </c>
      <c r="G1780" s="1017" t="s">
        <v>2385</v>
      </c>
      <c r="H1780" s="1722">
        <f>H1687</f>
        <v>0</v>
      </c>
      <c r="I1780" s="1192">
        <f t="shared" si="73"/>
        <v>0</v>
      </c>
      <c r="J1780" s="1014"/>
      <c r="K1780" s="1014"/>
      <c r="L1780" s="1015"/>
      <c r="M1780" s="934">
        <v>400</v>
      </c>
    </row>
    <row r="1781" spans="1:16" s="1016" customFormat="1" ht="25.2" hidden="1" customHeight="1">
      <c r="A1781" s="1086">
        <f t="shared" si="72"/>
        <v>0</v>
      </c>
      <c r="B1781" s="1226"/>
      <c r="C1781" s="2841"/>
      <c r="D1781" s="1011"/>
      <c r="E1781" s="1021"/>
      <c r="F1781" s="1267" t="s">
        <v>2279</v>
      </c>
      <c r="G1781" s="1023"/>
      <c r="H1781" s="1713"/>
      <c r="I1781" s="1192">
        <f t="shared" si="73"/>
        <v>0</v>
      </c>
      <c r="J1781" s="1014"/>
      <c r="K1781" s="1014"/>
      <c r="L1781" s="1015"/>
      <c r="M1781" s="934">
        <v>400</v>
      </c>
    </row>
    <row r="1782" spans="1:16" s="1016" customFormat="1" ht="25.2" hidden="1" customHeight="1">
      <c r="A1782" s="1086">
        <f t="shared" si="72"/>
        <v>0</v>
      </c>
      <c r="B1782" s="1226" t="s">
        <v>653</v>
      </c>
      <c r="C1782" s="2841"/>
      <c r="D1782" s="1023"/>
      <c r="E1782" s="1024">
        <f>VLOOKUP($B1782,DG!A:D,DG!$B$2,)</f>
        <v>0</v>
      </c>
      <c r="F1782" s="1025" t="str">
        <f>VLOOKUP($B1782,DG!A:D,DG!$C$2,)</f>
        <v>Ximăng (PC40)</v>
      </c>
      <c r="G1782" s="1024" t="str">
        <f>VLOOKUP($B1782,DG!A:D,DG!$D$2,)</f>
        <v>kg</v>
      </c>
      <c r="H1782" s="1713">
        <f>H1780*M1785</f>
        <v>0</v>
      </c>
      <c r="I1782" s="1192">
        <f t="shared" si="73"/>
        <v>0</v>
      </c>
      <c r="J1782" s="1014"/>
      <c r="K1782" s="1014"/>
      <c r="L1782" s="1015"/>
      <c r="M1782" s="934">
        <v>400</v>
      </c>
    </row>
    <row r="1783" spans="1:16" s="1016" customFormat="1" ht="25.2" hidden="1" customHeight="1">
      <c r="A1783" s="1086">
        <f t="shared" si="72"/>
        <v>0</v>
      </c>
      <c r="B1783" s="1226" t="s">
        <v>4408</v>
      </c>
      <c r="C1783" s="2841"/>
      <c r="D1783" s="1011"/>
      <c r="E1783" s="1024">
        <f>VLOOKUP($B1783,DG!A:D,DG!$B$2,)</f>
        <v>0</v>
      </c>
      <c r="F1783" s="1025" t="str">
        <f>VLOOKUP($B1783,DG!A:D,DG!$C$2,)</f>
        <v>Cát vàng</v>
      </c>
      <c r="G1783" s="1024" t="str">
        <f>VLOOKUP($B1783,DG!A:D,DG!$D$2,)</f>
        <v>m3</v>
      </c>
      <c r="H1783" s="1713">
        <f>H1780*N1785</f>
        <v>0</v>
      </c>
      <c r="I1783" s="1192">
        <f t="shared" si="73"/>
        <v>0</v>
      </c>
      <c r="J1783" s="1014"/>
      <c r="K1783" s="1014"/>
      <c r="L1783" s="1015"/>
      <c r="M1783" s="934">
        <v>400</v>
      </c>
    </row>
    <row r="1784" spans="1:16" s="1016" customFormat="1" ht="25.2" hidden="1" customHeight="1">
      <c r="A1784" s="1086">
        <f t="shared" si="72"/>
        <v>0</v>
      </c>
      <c r="B1784" s="1226" t="s">
        <v>216</v>
      </c>
      <c r="C1784" s="2841"/>
      <c r="D1784" s="1011"/>
      <c r="E1784" s="1024">
        <f>VLOOKUP($B1784,DG!A:D,DG!$B$2,)</f>
        <v>0</v>
      </c>
      <c r="F1784" s="1025" t="str">
        <f>VLOOKUP($B1784,DG!A:D,DG!$C$2,)</f>
        <v>Đá 1x2</v>
      </c>
      <c r="G1784" s="1024" t="str">
        <f>VLOOKUP($B1784,DG!A:D,DG!$D$2,)</f>
        <v>m3</v>
      </c>
      <c r="H1784" s="1713">
        <f>H1780*O1785</f>
        <v>0</v>
      </c>
      <c r="I1784" s="1192">
        <f t="shared" si="73"/>
        <v>0</v>
      </c>
      <c r="J1784" s="1014"/>
      <c r="K1784" s="1014"/>
      <c r="L1784" s="1015"/>
      <c r="M1784" s="934">
        <v>400</v>
      </c>
    </row>
    <row r="1785" spans="1:16" s="1016" customFormat="1" ht="25.2" hidden="1" customHeight="1">
      <c r="A1785" s="1086">
        <f t="shared" si="72"/>
        <v>0</v>
      </c>
      <c r="B1785" s="1226" t="s">
        <v>654</v>
      </c>
      <c r="C1785" s="2841"/>
      <c r="D1785" s="1023"/>
      <c r="E1785" s="1024" t="str">
        <f>VLOOKUP($B1785,DG!A:D,DG!$B$2,)</f>
        <v>04.1203c</v>
      </c>
      <c r="F1785" s="1025" t="str">
        <f>VLOOKUP($B1785,DG!A:D,DG!$C$2,)</f>
        <v>Đổ bê tông móng trụ &lt;=250cm-M200 đá 1x2</v>
      </c>
      <c r="G1785" s="1024" t="str">
        <f>VLOOKUP($B1785,DG!A:D,DG!$D$2,)</f>
        <v>m3</v>
      </c>
      <c r="H1785" s="1713">
        <f>H1780*(0.4*3*1-2*3.14*0.15^2*0.4)*1.025</f>
        <v>0</v>
      </c>
      <c r="I1785" s="1192">
        <f t="shared" si="73"/>
        <v>0</v>
      </c>
      <c r="J1785" s="1014"/>
      <c r="K1785" s="1014"/>
      <c r="L1785" s="1015"/>
      <c r="M1785" s="934">
        <v>400</v>
      </c>
      <c r="N1785" s="1026">
        <f>1.025*0.45</f>
        <v>0.46124999999999999</v>
      </c>
      <c r="O1785" s="1026">
        <f>1.025*0.866</f>
        <v>0.88764999999999994</v>
      </c>
      <c r="P1785" s="1170"/>
    </row>
    <row r="1786" spans="1:16" s="1016" customFormat="1" ht="25.2" hidden="1" customHeight="1">
      <c r="A1786" s="1086">
        <f t="shared" si="72"/>
        <v>0</v>
      </c>
      <c r="B1786" s="1226"/>
      <c r="C1786" s="2841"/>
      <c r="D1786" s="1017">
        <f>IF(H1786&gt;0,D1780+1,D1780)</f>
        <v>0</v>
      </c>
      <c r="E1786" s="1018"/>
      <c r="F1786" s="1019" t="s">
        <v>3722</v>
      </c>
      <c r="G1786" s="1017" t="s">
        <v>2385</v>
      </c>
      <c r="H1786" s="1722"/>
      <c r="I1786" s="1192">
        <f t="shared" si="73"/>
        <v>0</v>
      </c>
      <c r="J1786" s="1014"/>
      <c r="K1786" s="1014"/>
      <c r="L1786" s="1015"/>
      <c r="M1786" s="934">
        <v>400</v>
      </c>
    </row>
    <row r="1787" spans="1:16" s="1016" customFormat="1" ht="25.2" hidden="1" customHeight="1">
      <c r="A1787" s="1086">
        <f t="shared" si="72"/>
        <v>0</v>
      </c>
      <c r="B1787" s="1226"/>
      <c r="C1787" s="2841"/>
      <c r="D1787" s="1011"/>
      <c r="E1787" s="1021"/>
      <c r="F1787" s="1267" t="s">
        <v>2279</v>
      </c>
      <c r="G1787" s="1023"/>
      <c r="H1787" s="1713"/>
      <c r="I1787" s="1192">
        <f t="shared" si="73"/>
        <v>0</v>
      </c>
      <c r="J1787" s="1014"/>
      <c r="K1787" s="1014"/>
      <c r="L1787" s="1015"/>
      <c r="M1787" s="934">
        <v>400</v>
      </c>
    </row>
    <row r="1788" spans="1:16" s="1016" customFormat="1" ht="25.2" hidden="1" customHeight="1">
      <c r="A1788" s="1086">
        <f t="shared" si="72"/>
        <v>0</v>
      </c>
      <c r="B1788" s="1226" t="s">
        <v>653</v>
      </c>
      <c r="C1788" s="2841"/>
      <c r="D1788" s="1023"/>
      <c r="E1788" s="1024">
        <f>VLOOKUP($B1788,DG!A:D,DG!$B$2,)</f>
        <v>0</v>
      </c>
      <c r="F1788" s="1025" t="str">
        <f>VLOOKUP($B1788,DG!A:D,DG!$C$2,)</f>
        <v>Ximăng (PC40)</v>
      </c>
      <c r="G1788" s="1024" t="str">
        <f>VLOOKUP($B1788,DG!A:D,DG!$D$2,)</f>
        <v>kg</v>
      </c>
      <c r="H1788" s="1713">
        <f>H1791*M1791</f>
        <v>0</v>
      </c>
      <c r="I1788" s="1192">
        <f t="shared" si="73"/>
        <v>0</v>
      </c>
      <c r="J1788" s="1014"/>
      <c r="K1788" s="1014"/>
      <c r="L1788" s="1015"/>
      <c r="M1788" s="934">
        <v>400</v>
      </c>
    </row>
    <row r="1789" spans="1:16" s="1016" customFormat="1" ht="25.2" hidden="1" customHeight="1">
      <c r="A1789" s="1086">
        <f t="shared" si="72"/>
        <v>0</v>
      </c>
      <c r="B1789" s="1226" t="s">
        <v>4408</v>
      </c>
      <c r="C1789" s="2841"/>
      <c r="D1789" s="1011"/>
      <c r="E1789" s="1024">
        <f>VLOOKUP($B1789,DG!A:D,DG!$B$2,)</f>
        <v>0</v>
      </c>
      <c r="F1789" s="1025" t="str">
        <f>VLOOKUP($B1789,DG!A:D,DG!$C$2,)</f>
        <v>Cát vàng</v>
      </c>
      <c r="G1789" s="1024" t="str">
        <f>VLOOKUP($B1789,DG!A:D,DG!$D$2,)</f>
        <v>m3</v>
      </c>
      <c r="H1789" s="1723">
        <f>H1791*N1791</f>
        <v>0</v>
      </c>
      <c r="I1789" s="1192">
        <f t="shared" si="73"/>
        <v>0</v>
      </c>
      <c r="J1789" s="1014"/>
      <c r="K1789" s="1014"/>
      <c r="L1789" s="1015"/>
      <c r="M1789" s="934">
        <v>400</v>
      </c>
    </row>
    <row r="1790" spans="1:16" s="1016" customFormat="1" ht="25.2" hidden="1" customHeight="1">
      <c r="A1790" s="1086">
        <f t="shared" si="72"/>
        <v>0</v>
      </c>
      <c r="B1790" s="1226" t="s">
        <v>216</v>
      </c>
      <c r="C1790" s="2841"/>
      <c r="D1790" s="1011"/>
      <c r="E1790" s="1024">
        <f>VLOOKUP($B1790,DG!A:D,DG!$B$2,)</f>
        <v>0</v>
      </c>
      <c r="F1790" s="1025" t="str">
        <f>VLOOKUP($B1790,DG!A:D,DG!$C$2,)</f>
        <v>Đá 1x2</v>
      </c>
      <c r="G1790" s="1024" t="str">
        <f>VLOOKUP($B1790,DG!A:D,DG!$D$2,)</f>
        <v>m3</v>
      </c>
      <c r="H1790" s="1723">
        <f>H1791*O1791</f>
        <v>0</v>
      </c>
      <c r="I1790" s="1192">
        <f t="shared" si="73"/>
        <v>0</v>
      </c>
      <c r="J1790" s="1014"/>
      <c r="K1790" s="1014"/>
      <c r="L1790" s="1015"/>
      <c r="M1790" s="934">
        <v>400</v>
      </c>
    </row>
    <row r="1791" spans="1:16" s="1016" customFormat="1" ht="25.2" hidden="1" customHeight="1">
      <c r="A1791" s="1086">
        <f t="shared" si="72"/>
        <v>0</v>
      </c>
      <c r="B1791" s="1226" t="s">
        <v>654</v>
      </c>
      <c r="C1791" s="2841"/>
      <c r="D1791" s="1023"/>
      <c r="E1791" s="1024" t="str">
        <f>VLOOKUP($B1791,DG!A:D,DG!$B$2,)</f>
        <v>04.1203c</v>
      </c>
      <c r="F1791" s="1025" t="str">
        <f>VLOOKUP($B1791,DG!A:D,DG!$C$2,)</f>
        <v>Đổ bê tông móng trụ &lt;=250cm-M200 đá 1x2</v>
      </c>
      <c r="G1791" s="1024" t="str">
        <f>VLOOKUP($B1791,DG!A:D,DG!$D$2,)</f>
        <v>m3</v>
      </c>
      <c r="H1791" s="1713">
        <f>H1786*0.2*0.2*(0.2+0.2+0.8+0.8+2*4)</f>
        <v>0</v>
      </c>
      <c r="I1791" s="1192">
        <f t="shared" si="73"/>
        <v>0</v>
      </c>
      <c r="J1791" s="1014"/>
      <c r="K1791" s="1014"/>
      <c r="L1791" s="1015"/>
      <c r="M1791" s="934">
        <v>400</v>
      </c>
      <c r="N1791" s="1026">
        <f>1.025*0.45</f>
        <v>0.46124999999999999</v>
      </c>
      <c r="O1791" s="1026">
        <f>1.025*0.866</f>
        <v>0.88764999999999994</v>
      </c>
      <c r="P1791" s="1170"/>
    </row>
    <row r="1792" spans="1:16" s="1016" customFormat="1" ht="25.2" hidden="1" customHeight="1">
      <c r="A1792" s="1086">
        <f t="shared" si="72"/>
        <v>0</v>
      </c>
      <c r="B1792" s="1226"/>
      <c r="C1792" s="2841"/>
      <c r="D1792" s="1017">
        <f>IF(H1792&gt;0,D1786+1,D1786)</f>
        <v>0</v>
      </c>
      <c r="E1792" s="1018"/>
      <c r="F1792" s="1019" t="s">
        <v>3723</v>
      </c>
      <c r="G1792" s="1017" t="s">
        <v>2385</v>
      </c>
      <c r="H1792" s="1722">
        <f>H1682</f>
        <v>0</v>
      </c>
      <c r="I1792" s="1192">
        <f t="shared" si="73"/>
        <v>0</v>
      </c>
      <c r="J1792" s="1014"/>
      <c r="K1792" s="1014"/>
      <c r="L1792" s="1043"/>
      <c r="M1792" s="934">
        <v>400</v>
      </c>
    </row>
    <row r="1793" spans="1:14" s="1016" customFormat="1" ht="25.2" hidden="1" customHeight="1">
      <c r="A1793" s="1086">
        <f t="shared" si="72"/>
        <v>0</v>
      </c>
      <c r="B1793" s="1226"/>
      <c r="C1793" s="2841"/>
      <c r="D1793" s="1011"/>
      <c r="E1793" s="1021"/>
      <c r="F1793" s="1267" t="s">
        <v>2279</v>
      </c>
      <c r="G1793" s="1023"/>
      <c r="H1793" s="1713"/>
      <c r="I1793" s="1192">
        <f t="shared" si="73"/>
        <v>0</v>
      </c>
      <c r="J1793" s="1014"/>
      <c r="K1793" s="1014"/>
      <c r="L1793" s="1043"/>
      <c r="M1793" s="934">
        <v>400</v>
      </c>
    </row>
    <row r="1794" spans="1:14" s="1016" customFormat="1" ht="25.2" hidden="1" customHeight="1">
      <c r="A1794" s="1086">
        <f t="shared" si="72"/>
        <v>0</v>
      </c>
      <c r="B1794" s="1256" t="s">
        <v>1026</v>
      </c>
      <c r="C1794" s="2858"/>
      <c r="D1794" s="1023"/>
      <c r="E1794" s="1024" t="str">
        <f>VLOOKUP($B1794,DG!A:D,DG!$B$2,)</f>
        <v>05.1102</v>
      </c>
      <c r="F1794" s="1025" t="str">
        <f>VLOOKUP($B1794,DG!A:D,DG!$C$2,)</f>
        <v>Vỏ tủ + khóa tủ</v>
      </c>
      <c r="G1794" s="1024" t="str">
        <f>VLOOKUP($B1794,DG!A:D,DG!$D$2,)</f>
        <v>cái</v>
      </c>
      <c r="H1794" s="1713">
        <f>H1792</f>
        <v>0</v>
      </c>
      <c r="I1794" s="1192">
        <f t="shared" si="73"/>
        <v>0</v>
      </c>
      <c r="J1794" s="1014"/>
      <c r="K1794" s="1014"/>
      <c r="L1794" s="1043"/>
      <c r="M1794" s="934">
        <v>400</v>
      </c>
    </row>
    <row r="1795" spans="1:14" s="1016" customFormat="1" ht="25.2" hidden="1" customHeight="1">
      <c r="A1795" s="1086">
        <f t="shared" si="72"/>
        <v>0</v>
      </c>
      <c r="B1795" s="1226" t="s">
        <v>880</v>
      </c>
      <c r="C1795" s="2841"/>
      <c r="D1795" s="1011"/>
      <c r="E1795" s="1024">
        <f>VLOOKUP($B1795,DG!A:D,DG!$B$2,)</f>
        <v>0</v>
      </c>
      <c r="F1795" s="1025" t="str">
        <f>VLOOKUP($B1795,DG!A:D,DG!$C$2,)</f>
        <v xml:space="preserve">Bakelit 550x450 dầy 10mm </v>
      </c>
      <c r="G1795" s="1024" t="str">
        <f>VLOOKUP($B1795,DG!A:D,DG!$D$2,)</f>
        <v>cái</v>
      </c>
      <c r="H1795" s="1723"/>
      <c r="I1795" s="1192">
        <f t="shared" si="73"/>
        <v>0</v>
      </c>
      <c r="J1795" s="1014"/>
      <c r="K1795" s="1014"/>
      <c r="L1795" s="1043"/>
      <c r="M1795" s="934">
        <v>400</v>
      </c>
    </row>
    <row r="1796" spans="1:14" s="1016" customFormat="1" ht="25.2" hidden="1" customHeight="1">
      <c r="A1796" s="1086">
        <f t="shared" si="72"/>
        <v>0</v>
      </c>
      <c r="B1796" s="1226" t="s">
        <v>289</v>
      </c>
      <c r="C1796" s="2841"/>
      <c r="D1796" s="1023"/>
      <c r="E1796" s="1024" t="str">
        <f>VLOOKUP($B1796,DG!A:D,DG!$B$2,)</f>
        <v>06.3191</v>
      </c>
      <c r="F1796" s="1025" t="str">
        <f>VLOOKUP($B1796,DG!A:D,DG!$C$2,)</f>
        <v>Bảng tên trạm, bảng báo nguy hiểm + đinh vít</v>
      </c>
      <c r="G1796" s="1024" t="str">
        <f>VLOOKUP($B1796,DG!A:D,DG!$D$2,)</f>
        <v>bộ</v>
      </c>
      <c r="H1796" s="1713">
        <f>H1792</f>
        <v>0</v>
      </c>
      <c r="I1796" s="1192">
        <f t="shared" si="73"/>
        <v>0</v>
      </c>
      <c r="J1796" s="1014"/>
      <c r="K1796" s="1014"/>
      <c r="L1796" s="1043"/>
      <c r="M1796" s="934">
        <v>400</v>
      </c>
    </row>
    <row r="1797" spans="1:14" s="1016" customFormat="1" ht="25.2" hidden="1" customHeight="1">
      <c r="A1797" s="1086">
        <f t="shared" si="72"/>
        <v>0</v>
      </c>
      <c r="B1797" s="1226"/>
      <c r="C1797" s="2841"/>
      <c r="D1797" s="1017">
        <f>IF(H1797&gt;0,D1792+1,D1792)</f>
        <v>0</v>
      </c>
      <c r="E1797" s="1018"/>
      <c r="F1797" s="1019" t="s">
        <v>3724</v>
      </c>
      <c r="G1797" s="1017" t="s">
        <v>2532</v>
      </c>
      <c r="H1797" s="1722">
        <f>H1682*0</f>
        <v>0</v>
      </c>
      <c r="I1797" s="1192">
        <f t="shared" si="73"/>
        <v>0</v>
      </c>
      <c r="J1797" s="1014"/>
      <c r="K1797" s="1014"/>
      <c r="L1797" s="1015"/>
      <c r="M1797" s="934">
        <v>400</v>
      </c>
    </row>
    <row r="1798" spans="1:14" s="1016" customFormat="1" ht="25.2" hidden="1" customHeight="1">
      <c r="A1798" s="1086">
        <f t="shared" si="72"/>
        <v>0</v>
      </c>
      <c r="B1798" s="1226"/>
      <c r="C1798" s="2841"/>
      <c r="D1798" s="1011"/>
      <c r="E1798" s="1021"/>
      <c r="F1798" s="1267" t="s">
        <v>2279</v>
      </c>
      <c r="G1798" s="1023"/>
      <c r="H1798" s="1713"/>
      <c r="I1798" s="1192">
        <f t="shared" si="73"/>
        <v>0</v>
      </c>
      <c r="J1798" s="1014"/>
      <c r="K1798" s="1014"/>
      <c r="L1798" s="1015"/>
      <c r="M1798" s="934">
        <v>400</v>
      </c>
    </row>
    <row r="1799" spans="1:14" s="1016" customFormat="1" ht="25.2" hidden="1" customHeight="1">
      <c r="A1799" s="1086">
        <f t="shared" si="72"/>
        <v>0</v>
      </c>
      <c r="B1799" s="1226" t="s">
        <v>4408</v>
      </c>
      <c r="C1799" s="2841"/>
      <c r="D1799" s="1023"/>
      <c r="E1799" s="1024">
        <f>VLOOKUP($B1799,DG!A:D,DG!$B$2,)</f>
        <v>0</v>
      </c>
      <c r="F1799" s="1041" t="str">
        <f>VLOOKUP($B1799,DG!A:D,DG!$C$2,)&amp;": 0,315m3/m"</f>
        <v>Cát vàng: 0,315m3/m</v>
      </c>
      <c r="G1799" s="1024" t="str">
        <f>VLOOKUP($B1799,DG!A:D,DG!$D$2,)</f>
        <v>m3</v>
      </c>
      <c r="H1799" s="1713">
        <f>H1797*0.315</f>
        <v>0</v>
      </c>
      <c r="I1799" s="1192">
        <f t="shared" si="73"/>
        <v>0</v>
      </c>
      <c r="J1799" s="1014"/>
      <c r="K1799" s="1014"/>
      <c r="L1799" s="1015"/>
      <c r="M1799" s="934">
        <v>400</v>
      </c>
    </row>
    <row r="1800" spans="1:14" s="1016" customFormat="1" ht="25.2" hidden="1" customHeight="1">
      <c r="A1800" s="1086">
        <f t="shared" si="72"/>
        <v>0</v>
      </c>
      <c r="B1800" s="1228" t="s">
        <v>520</v>
      </c>
      <c r="C1800" s="2840"/>
      <c r="D1800" s="1023"/>
      <c r="E1800" s="1024">
        <f>VLOOKUP($B1800,DG!A:D,DG!$B$2,)</f>
        <v>0</v>
      </c>
      <c r="F1800" s="1041" t="str">
        <f>VLOOKUP($B1800,DG!A:D,DG!$C$2,)&amp;": 0,092m3/m"</f>
        <v>Đá 2x4: 0,092m3/m</v>
      </c>
      <c r="G1800" s="1024" t="str">
        <f>VLOOKUP($B1800,DG!A:D,DG!$D$2,)</f>
        <v>m3</v>
      </c>
      <c r="H1800" s="1713">
        <f>0.092*H1797</f>
        <v>0</v>
      </c>
      <c r="I1800" s="1192">
        <f t="shared" si="73"/>
        <v>0</v>
      </c>
      <c r="J1800" s="1014"/>
      <c r="K1800" s="1014"/>
      <c r="L1800" s="1015"/>
      <c r="M1800" s="934">
        <v>400</v>
      </c>
    </row>
    <row r="1801" spans="1:14" s="1016" customFormat="1" ht="25.2" hidden="1" customHeight="1">
      <c r="A1801" s="1086">
        <f t="shared" si="72"/>
        <v>0</v>
      </c>
      <c r="B1801" s="1228" t="s">
        <v>1675</v>
      </c>
      <c r="C1801" s="2840"/>
      <c r="D1801" s="1023"/>
      <c r="E1801" s="1024">
        <f>VLOOKUP($B1801,DG!A:D,DG!$B$2,)</f>
        <v>0</v>
      </c>
      <c r="F1801" s="1041" t="str">
        <f>VLOOKUP($B1801,DG!A:D,DG!$C$2,)&amp;": 3,3vieân/m"</f>
        <v>Gạch tàu: 3,3vieân/m</v>
      </c>
      <c r="G1801" s="1024" t="str">
        <f>VLOOKUP($B1801,DG!A:D,DG!$D$2,)</f>
        <v>viên</v>
      </c>
      <c r="H1801" s="1713">
        <f>3.3*H1797</f>
        <v>0</v>
      </c>
      <c r="I1801" s="1192">
        <f t="shared" si="73"/>
        <v>0</v>
      </c>
      <c r="J1801" s="1014"/>
      <c r="K1801" s="1014"/>
      <c r="L1801" s="1015"/>
      <c r="M1801" s="934">
        <v>400</v>
      </c>
    </row>
    <row r="1802" spans="1:14" s="1016" customFormat="1" ht="25.2" hidden="1" customHeight="1">
      <c r="A1802" s="1086">
        <f t="shared" si="72"/>
        <v>0</v>
      </c>
      <c r="B1802" s="1228" t="s">
        <v>1676</v>
      </c>
      <c r="C1802" s="2840"/>
      <c r="D1802" s="1023"/>
      <c r="E1802" s="1024">
        <f>VLOOKUP($B1802,DG!A:D,DG!$B$2,)</f>
        <v>0</v>
      </c>
      <c r="F1802" s="1041" t="str">
        <f>VLOOKUP($B1802,DG!A:D,DG!$C$2,)&amp;": 0,4m2/m"</f>
        <v>Tấm nilông màu cảnh báo: 0,4m2/m</v>
      </c>
      <c r="G1802" s="1024" t="str">
        <f>VLOOKUP($B1802,DG!A:D,DG!$D$2,)</f>
        <v>m2</v>
      </c>
      <c r="H1802" s="1713">
        <f>0.4*H1797</f>
        <v>0</v>
      </c>
      <c r="I1802" s="1192">
        <f t="shared" si="73"/>
        <v>0</v>
      </c>
      <c r="J1802" s="1014"/>
      <c r="K1802" s="1014"/>
      <c r="L1802" s="1015"/>
      <c r="M1802" s="934">
        <v>400</v>
      </c>
    </row>
    <row r="1803" spans="1:14" s="1016" customFormat="1" ht="25.2" hidden="1" customHeight="1">
      <c r="A1803" s="1086">
        <f t="shared" si="72"/>
        <v>0</v>
      </c>
      <c r="B1803" s="1228" t="s">
        <v>1518</v>
      </c>
      <c r="C1803" s="2840"/>
      <c r="D1803" s="1011"/>
      <c r="E1803" s="1024">
        <f>VLOOKUP($B1803,DG!A:D,DG!$B$2,)</f>
        <v>0</v>
      </c>
      <c r="F1803" s="1041" t="str">
        <f>VLOOKUP($B1803,DG!A:D,DG!$C$2,)</f>
        <v>Ống PVC D140x6,7mm</v>
      </c>
      <c r="G1803" s="1024" t="str">
        <f>VLOOKUP($B1803,DG!A:D,DG!$D$2,)</f>
        <v>m</v>
      </c>
      <c r="H1803" s="1713">
        <f>1*H1797</f>
        <v>0</v>
      </c>
      <c r="I1803" s="1192">
        <f t="shared" si="73"/>
        <v>0</v>
      </c>
      <c r="J1803" s="1014"/>
      <c r="K1803" s="1014"/>
      <c r="L1803" s="1015"/>
      <c r="M1803" s="934">
        <v>400</v>
      </c>
    </row>
    <row r="1804" spans="1:14" s="1016" customFormat="1" ht="25.2" hidden="1" customHeight="1">
      <c r="A1804" s="1086">
        <f t="shared" si="72"/>
        <v>0</v>
      </c>
      <c r="B1804" s="1228" t="s">
        <v>1678</v>
      </c>
      <c r="C1804" s="2840"/>
      <c r="D1804" s="1023"/>
      <c r="E1804" s="1024" t="str">
        <f>VLOOKUP($B1804,DG!A:D,DG!$B$2,)</f>
        <v>03.7000</v>
      </c>
      <c r="F1804" s="1041" t="str">
        <f>VLOOKUP($B1804,DG!A:D,DG!$C$2,)&amp;" + ñaép ñaù"</f>
        <v>Đắp cát  + ñaép ñaù</v>
      </c>
      <c r="G1804" s="1024" t="str">
        <f>VLOOKUP($B1804,DG!A:D,DG!$D$2,)</f>
        <v>m3</v>
      </c>
      <c r="H1804" s="1713">
        <f>H1799+H1800</f>
        <v>0</v>
      </c>
      <c r="I1804" s="1192">
        <f t="shared" si="73"/>
        <v>0</v>
      </c>
      <c r="J1804" s="1014"/>
      <c r="K1804" s="1014"/>
      <c r="L1804" s="1015"/>
      <c r="M1804" s="934">
        <v>400</v>
      </c>
    </row>
    <row r="1805" spans="1:14" s="1016" customFormat="1" ht="25.2" hidden="1" customHeight="1">
      <c r="A1805" s="1086">
        <f t="shared" si="72"/>
        <v>0</v>
      </c>
      <c r="B1805" s="1228" t="s">
        <v>144</v>
      </c>
      <c r="C1805" s="2840"/>
      <c r="D1805" s="1023"/>
      <c r="E1805" s="1024" t="str">
        <f>VLOOKUP($B1805,DG!A:D,DG!$B$2,)</f>
        <v>03.3103</v>
      </c>
      <c r="F1805" s="1041" t="str">
        <f>VLOOKUP($B1805,DG!A:D,DG!$C$2,)&amp;" : 0,48m3/m"</f>
        <v>Đào mương cáp ngầm đất cấp 3 : 0,48m3/m</v>
      </c>
      <c r="G1805" s="1024" t="str">
        <f>VLOOKUP($B1805,DG!A:D,DG!$D$2,)</f>
        <v>m3</v>
      </c>
      <c r="H1805" s="1713">
        <f>H1797*0.48</f>
        <v>0</v>
      </c>
      <c r="I1805" s="1192">
        <f t="shared" si="73"/>
        <v>0</v>
      </c>
      <c r="J1805" s="1014"/>
      <c r="K1805" s="1014"/>
      <c r="L1805" s="1015"/>
      <c r="M1805" s="934">
        <v>400</v>
      </c>
    </row>
    <row r="1806" spans="1:14" s="1016" customFormat="1" ht="25.2" hidden="1" customHeight="1">
      <c r="A1806" s="1086">
        <f t="shared" si="72"/>
        <v>0</v>
      </c>
      <c r="B1806" s="1228" t="s">
        <v>529</v>
      </c>
      <c r="C1806" s="2840"/>
      <c r="D1806" s="1023"/>
      <c r="E1806" s="1024" t="str">
        <f>VLOOKUP($B1806,DG!A:D,DG!$B$2,)</f>
        <v>03.3203</v>
      </c>
      <c r="F1806" s="1041" t="str">
        <f>VLOOKUP($B1806,DG!A:D,DG!$C$2,)&amp;" : 0,073m3/m"</f>
        <v>Đắp đất mương cáp ngầm, đất cấp 3 : 0,073m3/m</v>
      </c>
      <c r="G1806" s="1024" t="str">
        <f>VLOOKUP($B1806,DG!A:D,DG!$D$2,)</f>
        <v>m3</v>
      </c>
      <c r="H1806" s="1713">
        <f>H1797*0.073</f>
        <v>0</v>
      </c>
      <c r="I1806" s="1192">
        <f t="shared" si="73"/>
        <v>0</v>
      </c>
      <c r="J1806" s="1014"/>
      <c r="K1806" s="1014"/>
      <c r="L1806" s="1015"/>
      <c r="M1806" s="934">
        <v>400</v>
      </c>
      <c r="N1806" s="1066">
        <v>0.47499999999999998</v>
      </c>
    </row>
    <row r="1807" spans="1:14" s="1016" customFormat="1" ht="25.2" hidden="1" customHeight="1">
      <c r="A1807" s="1086">
        <f t="shared" si="72"/>
        <v>0</v>
      </c>
      <c r="B1807" s="1226"/>
      <c r="C1807" s="2841"/>
      <c r="D1807" s="1017">
        <f>IF(H1807&gt;0,D1797+1,D1797)</f>
        <v>0</v>
      </c>
      <c r="E1807" s="1018"/>
      <c r="F1807" s="1019" t="s">
        <v>3725</v>
      </c>
      <c r="G1807" s="1017" t="s">
        <v>2385</v>
      </c>
      <c r="H1807" s="1722">
        <f>H1816</f>
        <v>0</v>
      </c>
      <c r="I1807" s="1192">
        <f t="shared" si="73"/>
        <v>0</v>
      </c>
      <c r="J1807" s="1014"/>
      <c r="K1807" s="1014"/>
      <c r="L1807" s="1015"/>
      <c r="M1807" s="934">
        <v>400</v>
      </c>
      <c r="N1807" s="1066">
        <v>0.88100000000000001</v>
      </c>
    </row>
    <row r="1808" spans="1:14" s="1016" customFormat="1" ht="25.2" hidden="1" customHeight="1">
      <c r="A1808" s="1086">
        <f t="shared" si="72"/>
        <v>0</v>
      </c>
      <c r="B1808" s="1226"/>
      <c r="C1808" s="2841"/>
      <c r="D1808" s="1011"/>
      <c r="E1808" s="1021"/>
      <c r="F1808" s="1267" t="s">
        <v>2279</v>
      </c>
      <c r="G1808" s="1023"/>
      <c r="H1808" s="1713"/>
      <c r="I1808" s="1192">
        <f t="shared" si="73"/>
        <v>0</v>
      </c>
      <c r="J1808" s="1014"/>
      <c r="K1808" s="1014"/>
      <c r="L1808" s="1015"/>
      <c r="M1808" s="934">
        <v>400</v>
      </c>
    </row>
    <row r="1809" spans="1:13" s="1016" customFormat="1" ht="25.2" hidden="1" customHeight="1">
      <c r="A1809" s="1086">
        <f t="shared" si="72"/>
        <v>0</v>
      </c>
      <c r="B1809" s="1226" t="s">
        <v>623</v>
      </c>
      <c r="C1809" s="2841"/>
      <c r="D1809" s="1023"/>
      <c r="E1809" s="1024" t="str">
        <f>VLOOKUP($B1809,DG!A:D,DG!$B$2,)</f>
        <v>07.2204</v>
      </c>
      <c r="F1809" s="1025" t="str">
        <f>VLOOKUP($B1809,DG!A:D,DG!$C$2,)</f>
        <v>ÔÁng sắt tráng kẽm D140</v>
      </c>
      <c r="G1809" s="1024" t="str">
        <f>VLOOKUP($B1809,DG!A:D,DG!$D$2,)</f>
        <v>mét</v>
      </c>
      <c r="H1809" s="1713">
        <f>H1807*5*0</f>
        <v>0</v>
      </c>
      <c r="I1809" s="1192">
        <f t="shared" si="73"/>
        <v>0</v>
      </c>
      <c r="J1809" s="1014"/>
      <c r="K1809" s="1014"/>
      <c r="L1809" s="1015"/>
      <c r="M1809" s="934">
        <v>400</v>
      </c>
    </row>
    <row r="1810" spans="1:13" s="1016" customFormat="1" ht="25.2" hidden="1" customHeight="1">
      <c r="A1810" s="1086">
        <f t="shared" si="72"/>
        <v>0</v>
      </c>
      <c r="B1810" s="1228" t="s">
        <v>473</v>
      </c>
      <c r="C1810" s="2840"/>
      <c r="D1810" s="1011"/>
      <c r="E1810" s="1024">
        <f>VLOOKUP($B1810,DG!A:D,DG!$B$2,)</f>
        <v>0</v>
      </c>
      <c r="F1810" s="1025" t="str">
        <f>VLOOKUP($B1810,DG!A:D,DG!$C$2,)</f>
        <v>Co sừng 90 độ PVC 140</v>
      </c>
      <c r="G1810" s="1024" t="str">
        <f>VLOOKUP($B1810,DG!A:D,DG!$D$2,)</f>
        <v>cái</v>
      </c>
      <c r="H1810" s="1713">
        <f>H1807*0</f>
        <v>0</v>
      </c>
      <c r="I1810" s="1192">
        <f t="shared" si="73"/>
        <v>0</v>
      </c>
      <c r="J1810" s="1014"/>
      <c r="K1810" s="1014"/>
      <c r="L1810" s="1015"/>
      <c r="M1810" s="934">
        <v>400</v>
      </c>
    </row>
    <row r="1811" spans="1:13" s="1016" customFormat="1" ht="25.2" hidden="1" customHeight="1">
      <c r="A1811" s="1086">
        <f t="shared" si="72"/>
        <v>0</v>
      </c>
      <c r="B1811" s="1226" t="s">
        <v>120</v>
      </c>
      <c r="C1811" s="2841"/>
      <c r="D1811" s="1023"/>
      <c r="E1811" s="1024" t="str">
        <f>VLOOKUP($B1811,DG!A:D,DG!$B$2,)</f>
        <v>06.3231</v>
      </c>
      <c r="F1811" s="1025" t="str">
        <f>VLOOKUP($B1811,DG!A:D,DG!$C$2,)</f>
        <v>Cổ dê giữ ống STK D140 vào tường+Boulon+long đền+tắc ke sắt</v>
      </c>
      <c r="G1811" s="1024" t="str">
        <f>VLOOKUP($B1811,DG!A:D,DG!$D$2,)</f>
        <v>bộ</v>
      </c>
      <c r="H1811" s="1713">
        <f>H1807*2*0</f>
        <v>0</v>
      </c>
      <c r="I1811" s="1192">
        <f t="shared" si="73"/>
        <v>0</v>
      </c>
      <c r="J1811" s="1014"/>
      <c r="K1811" s="1014"/>
      <c r="L1811" s="1015"/>
      <c r="M1811" s="934">
        <v>400</v>
      </c>
    </row>
    <row r="1812" spans="1:13" s="1016" customFormat="1" ht="25.2" hidden="1" customHeight="1">
      <c r="A1812" s="1086">
        <f t="shared" si="72"/>
        <v>0</v>
      </c>
      <c r="B1812" s="1087" t="s">
        <v>1409</v>
      </c>
      <c r="C1812" s="2842"/>
      <c r="D1812" s="1023"/>
      <c r="E1812" s="1024">
        <f>VLOOKUP($B1812,DG!A:D,DG!$B$2,)</f>
        <v>0</v>
      </c>
      <c r="F1812" s="1025" t="str">
        <f>VLOOKUP($B1812,DG!A:D,DG!$C$2,)</f>
        <v>Giá đỡ cáp ngầm (V63x6)</v>
      </c>
      <c r="G1812" s="1024" t="str">
        <f>VLOOKUP($B1812,DG!A:D,DG!$D$2,)</f>
        <v>bộ</v>
      </c>
      <c r="H1812" s="1713">
        <f>H1807*0</f>
        <v>0</v>
      </c>
      <c r="I1812" s="1192">
        <f t="shared" si="73"/>
        <v>0</v>
      </c>
      <c r="J1812" s="1014"/>
      <c r="K1812" s="1014"/>
      <c r="L1812" s="1015"/>
      <c r="M1812" s="934">
        <v>400</v>
      </c>
    </row>
    <row r="1813" spans="1:13" s="1016" customFormat="1" ht="25.2" hidden="1" customHeight="1">
      <c r="A1813" s="1086">
        <f t="shared" si="72"/>
        <v>0</v>
      </c>
      <c r="B1813" s="1087" t="s">
        <v>2138</v>
      </c>
      <c r="C1813" s="2842"/>
      <c r="D1813" s="1023"/>
      <c r="E1813" s="1024">
        <f>VLOOKUP($B1813,DG!A:D,DG!$B$2,)</f>
        <v>0</v>
      </c>
      <c r="F1813" s="1025" t="str">
        <f>VLOOKUP($B1813,DG!A:D,DG!$C$2,)</f>
        <v>Giá đỡ cáp trung hạ thế</v>
      </c>
      <c r="G1813" s="1024" t="str">
        <f>VLOOKUP($B1813,DG!A:D,DG!$D$2,)</f>
        <v>bộ</v>
      </c>
      <c r="H1813" s="1713">
        <f>H1807</f>
        <v>0</v>
      </c>
      <c r="I1813" s="1192">
        <f t="shared" si="73"/>
        <v>0</v>
      </c>
      <c r="J1813" s="1014"/>
      <c r="K1813" s="1014"/>
      <c r="L1813" s="1015"/>
      <c r="M1813" s="934">
        <v>400</v>
      </c>
    </row>
    <row r="1814" spans="1:13" s="1016" customFormat="1" ht="25.2" hidden="1" customHeight="1">
      <c r="A1814" s="1086">
        <f t="shared" si="72"/>
        <v>0</v>
      </c>
      <c r="B1814" s="1226" t="s">
        <v>1410</v>
      </c>
      <c r="C1814" s="2841"/>
      <c r="D1814" s="1011"/>
      <c r="E1814" s="1024" t="str">
        <f>VLOOKUP($B1814,DG!A:D,DG!$B$2,)</f>
        <v>05.6101</v>
      </c>
      <c r="F1814" s="1025" t="str">
        <f>VLOOKUP($B1814,DG!A:D,DG!$C$2,)</f>
        <v>Lắp Giá đỡ cáp</v>
      </c>
      <c r="G1814" s="1024" t="str">
        <f>VLOOKUP($B1814,DG!A:D,DG!$D$2,)</f>
        <v>bộ</v>
      </c>
      <c r="H1814" s="1713">
        <f>H1812+H1813</f>
        <v>0</v>
      </c>
      <c r="I1814" s="1192">
        <f t="shared" si="73"/>
        <v>0</v>
      </c>
      <c r="J1814" s="1014"/>
      <c r="K1814" s="1014"/>
      <c r="L1814" s="1015"/>
      <c r="M1814" s="934">
        <v>400</v>
      </c>
    </row>
    <row r="1815" spans="1:13" s="1016" customFormat="1" ht="25.2" hidden="1" customHeight="1">
      <c r="A1815" s="1086">
        <f t="shared" si="72"/>
        <v>0</v>
      </c>
      <c r="B1815" s="1226" t="s">
        <v>289</v>
      </c>
      <c r="C1815" s="2841"/>
      <c r="D1815" s="1023"/>
      <c r="E1815" s="1024" t="str">
        <f>VLOOKUP($B1815,DG!A:D,DG!$B$2,)</f>
        <v>06.3191</v>
      </c>
      <c r="F1815" s="1025" t="str">
        <f>VLOOKUP($B1815,DG!A:D,DG!$C$2,)</f>
        <v>Bảng tên trạm, bảng báo nguy hiểm + đinh vít</v>
      </c>
      <c r="G1815" s="1024" t="str">
        <f>VLOOKUP($B1815,DG!A:D,DG!$D$2,)</f>
        <v>bộ</v>
      </c>
      <c r="H1815" s="1713">
        <f>H1807*0</f>
        <v>0</v>
      </c>
      <c r="I1815" s="1192">
        <f t="shared" si="73"/>
        <v>0</v>
      </c>
      <c r="J1815" s="1014"/>
      <c r="K1815" s="1014"/>
      <c r="L1815" s="1015"/>
      <c r="M1815" s="934">
        <v>400</v>
      </c>
    </row>
    <row r="1816" spans="1:13" s="1016" customFormat="1" ht="25.2" hidden="1" customHeight="1">
      <c r="A1816" s="1086">
        <f t="shared" si="72"/>
        <v>0</v>
      </c>
      <c r="B1816" s="1226"/>
      <c r="C1816" s="2841"/>
      <c r="D1816" s="1017">
        <f>IF(H1816&gt;0,D1807+1,D1807)</f>
        <v>0</v>
      </c>
      <c r="E1816" s="1018"/>
      <c r="F1816" s="1027" t="s">
        <v>3740</v>
      </c>
      <c r="G1816" s="1017" t="s">
        <v>2385</v>
      </c>
      <c r="H1816" s="1722">
        <f>H1682*0</f>
        <v>0</v>
      </c>
      <c r="I1816" s="1192">
        <f t="shared" si="73"/>
        <v>0</v>
      </c>
      <c r="J1816" s="1014"/>
      <c r="K1816" s="1014"/>
      <c r="L1816" s="1015"/>
      <c r="M1816" s="934">
        <v>400</v>
      </c>
    </row>
    <row r="1817" spans="1:13" s="1016" customFormat="1" ht="25.2" hidden="1" customHeight="1">
      <c r="A1817" s="1086">
        <f t="shared" si="72"/>
        <v>0</v>
      </c>
      <c r="B1817" s="1226"/>
      <c r="C1817" s="2841"/>
      <c r="D1817" s="1011"/>
      <c r="E1817" s="1021"/>
      <c r="F1817" s="1268" t="s">
        <v>2279</v>
      </c>
      <c r="G1817" s="1011"/>
      <c r="H1817" s="1723"/>
      <c r="I1817" s="1192">
        <f t="shared" si="73"/>
        <v>0</v>
      </c>
      <c r="J1817" s="1014"/>
      <c r="K1817" s="1014"/>
      <c r="L1817" s="1015"/>
      <c r="M1817" s="934">
        <v>400</v>
      </c>
    </row>
    <row r="1818" spans="1:13" s="1016" customFormat="1" ht="25.2" hidden="1" customHeight="1">
      <c r="A1818" s="1086">
        <f t="shared" ref="A1818:A1881" si="74">IF(AND(M1818=$M$23,I1818&gt;0),1,0)</f>
        <v>0</v>
      </c>
      <c r="B1818" s="1087" t="s">
        <v>470</v>
      </c>
      <c r="C1818" s="2842"/>
      <c r="D1818" s="1023"/>
      <c r="E1818" s="1012">
        <f>VLOOKUP($B1818,DG!A:D,DG!$B$2,)</f>
        <v>0</v>
      </c>
      <c r="F1818" s="1013" t="str">
        <f>VLOOKUP($B1818,DG!A:D,DG!$C$2,)&amp;": trong möông vaø leân MBA"</f>
        <v>Cáp 24kV C/XLPE/DSTA/PVC3x50: trong möông vaø leân MBA</v>
      </c>
      <c r="G1818" s="1012" t="str">
        <f>VLOOKUP($B1818,DG!A:D,DG!$D$2,)</f>
        <v>mét</v>
      </c>
      <c r="H1818" s="1713">
        <f>H1797+H1816*8</f>
        <v>0</v>
      </c>
      <c r="I1818" s="1192">
        <f t="shared" si="73"/>
        <v>0</v>
      </c>
      <c r="J1818" s="1014"/>
      <c r="K1818" s="1014"/>
      <c r="L1818" s="1015"/>
      <c r="M1818" s="934">
        <v>400</v>
      </c>
    </row>
    <row r="1819" spans="1:13" s="1016" customFormat="1" ht="25.2" hidden="1" customHeight="1">
      <c r="A1819" s="1086">
        <f t="shared" si="74"/>
        <v>0</v>
      </c>
      <c r="B1819" s="1087" t="s">
        <v>271</v>
      </c>
      <c r="C1819" s="2842"/>
      <c r="D1819" s="1023"/>
      <c r="E1819" s="1012">
        <f>VLOOKUP($B1819,DG!A:D,DG!$B$2,)</f>
        <v>0</v>
      </c>
      <c r="F1819" s="1013" t="str">
        <f>VLOOKUP($B1819,DG!A:D,DG!$C$2,)&amp;": trung tính"</f>
        <v>Cáp 24KV C/XLPE/PVC 50mm2: trung tính</v>
      </c>
      <c r="G1819" s="1012" t="str">
        <f>VLOOKUP($B1819,DG!A:D,DG!$D$2,)</f>
        <v>mét</v>
      </c>
      <c r="H1819" s="1713">
        <f>H1818</f>
        <v>0</v>
      </c>
      <c r="I1819" s="1192">
        <f t="shared" si="73"/>
        <v>0</v>
      </c>
      <c r="J1819" s="1014"/>
      <c r="K1819" s="1014"/>
      <c r="L1819" s="1015"/>
      <c r="M1819" s="934">
        <v>400</v>
      </c>
    </row>
    <row r="1820" spans="1:13" s="1016" customFormat="1" ht="25.2" hidden="1" customHeight="1">
      <c r="A1820" s="1086">
        <f t="shared" si="74"/>
        <v>0</v>
      </c>
      <c r="B1820" s="1087" t="s">
        <v>271</v>
      </c>
      <c r="C1820" s="2842"/>
      <c r="D1820" s="1023"/>
      <c r="E1820" s="1012">
        <f>VLOOKUP($B1820,DG!A:D,DG!$B$2,)</f>
        <v>0</v>
      </c>
      <c r="F1820" s="1013" t="str">
        <f>VLOOKUP($B1820,DG!A:D,DG!$C$2,)&amp;": 0,5m/pha töø FCO xuoáng MBA"</f>
        <v>Cáp 24KV C/XLPE/PVC 50mm2: 0,5m/pha töø FCO xuoáng MBA</v>
      </c>
      <c r="G1820" s="1012" t="str">
        <f>VLOOKUP($B1820,DG!A:D,DG!$D$2,)</f>
        <v>mét</v>
      </c>
      <c r="H1820" s="1713">
        <f>H1816*0.5*3*0</f>
        <v>0</v>
      </c>
      <c r="I1820" s="1192">
        <f t="shared" si="73"/>
        <v>0</v>
      </c>
      <c r="J1820" s="1014"/>
      <c r="K1820" s="1014"/>
      <c r="L1820" s="1015"/>
      <c r="M1820" s="934">
        <v>400</v>
      </c>
    </row>
    <row r="1821" spans="1:13" s="1016" customFormat="1" ht="25.2" hidden="1" customHeight="1">
      <c r="A1821" s="1086">
        <f t="shared" si="74"/>
        <v>0</v>
      </c>
      <c r="B1821" s="1087" t="s">
        <v>1352</v>
      </c>
      <c r="C1821" s="2842"/>
      <c r="D1821" s="1023"/>
      <c r="E1821" s="1012">
        <f>VLOOKUP($B1821,DG!A:D,DG!$B$2,)</f>
        <v>0</v>
      </c>
      <c r="F1821" s="1013" t="str">
        <f>VLOOKUP($B1821,DG!A:D,DG!$C$2,)</f>
        <v>Đầu cáp ngầm 24KV 3x50mm2 outdoor</v>
      </c>
      <c r="G1821" s="1012" t="str">
        <f>VLOOKUP($B1821,DG!A:D,DG!$D$2,)</f>
        <v>cái</v>
      </c>
      <c r="H1821" s="1713">
        <f>H1816</f>
        <v>0</v>
      </c>
      <c r="I1821" s="1192">
        <f t="shared" si="73"/>
        <v>0</v>
      </c>
      <c r="J1821" s="1014"/>
      <c r="K1821" s="1014"/>
      <c r="L1821" s="1015"/>
      <c r="M1821" s="934">
        <v>400</v>
      </c>
    </row>
    <row r="1822" spans="1:13" s="1016" customFormat="1" ht="25.2" hidden="1" customHeight="1">
      <c r="A1822" s="1086">
        <f t="shared" si="74"/>
        <v>0</v>
      </c>
      <c r="B1822" s="1087" t="s">
        <v>470</v>
      </c>
      <c r="C1822" s="2842"/>
      <c r="D1822" s="1023"/>
      <c r="E1822" s="1012">
        <f>VLOOKUP($B1822,DG!A:D,DG!$B$2,)</f>
        <v>0</v>
      </c>
      <c r="F1822" s="1013" t="str">
        <f>VLOOKUP($B1822,DG!A:D,DG!$C$2,)&amp;": töø tuû LBS ñeán MBA"</f>
        <v>Cáp 24kV C/XLPE/DSTA/PVC3x50: töø tuû LBS ñeán MBA</v>
      </c>
      <c r="G1822" s="1012" t="str">
        <f>VLOOKUP($B1822,DG!A:D,DG!$D$2,)</f>
        <v>mét</v>
      </c>
      <c r="H1822" s="1713">
        <f>(1.2+2.4)*H1816*0</f>
        <v>0</v>
      </c>
      <c r="I1822" s="1192">
        <f t="shared" si="73"/>
        <v>0</v>
      </c>
      <c r="J1822" s="1014"/>
      <c r="K1822" s="1014"/>
      <c r="L1822" s="1015"/>
      <c r="M1822" s="934">
        <v>400</v>
      </c>
    </row>
    <row r="1823" spans="1:13" s="1016" customFormat="1" ht="25.2" hidden="1" customHeight="1">
      <c r="A1823" s="1086">
        <f t="shared" si="74"/>
        <v>0</v>
      </c>
      <c r="B1823" s="1087" t="s">
        <v>271</v>
      </c>
      <c r="C1823" s="2842"/>
      <c r="D1823" s="1023"/>
      <c r="E1823" s="1012">
        <f>VLOOKUP($B1823,DG!A:D,DG!$B$2,)</f>
        <v>0</v>
      </c>
      <c r="F1823" s="1013" t="str">
        <f>VLOOKUP($B1823,DG!A:D,DG!$C$2,)&amp;": töø tuû LBS ñeán MBA"</f>
        <v>Cáp 24KV C/XLPE/PVC 50mm2: töø tuû LBS ñeán MBA</v>
      </c>
      <c r="G1823" s="1012" t="str">
        <f>VLOOKUP($B1823,DG!A:D,DG!$D$2,)</f>
        <v>mét</v>
      </c>
      <c r="H1823" s="1713">
        <f>H1816*1.2*0</f>
        <v>0</v>
      </c>
      <c r="I1823" s="1192">
        <f t="shared" si="73"/>
        <v>0</v>
      </c>
      <c r="J1823" s="1014"/>
      <c r="K1823" s="1014"/>
      <c r="L1823" s="1015"/>
      <c r="M1823" s="934">
        <v>400</v>
      </c>
    </row>
    <row r="1824" spans="1:13" s="1016" customFormat="1" ht="25.2" hidden="1" customHeight="1">
      <c r="A1824" s="1086">
        <f t="shared" si="74"/>
        <v>0</v>
      </c>
      <c r="B1824" s="1087" t="s">
        <v>1353</v>
      </c>
      <c r="C1824" s="2842"/>
      <c r="D1824" s="1023"/>
      <c r="E1824" s="1012">
        <f>VLOOKUP($B1824,DG!A:D,DG!$B$2,)</f>
        <v>0</v>
      </c>
      <c r="F1824" s="1013" t="str">
        <f>VLOOKUP($B1824,DG!A:D,DG!$C$2,)</f>
        <v>Đầu cáp ngầm 24KV 3x50mm2 indoor</v>
      </c>
      <c r="G1824" s="1012" t="str">
        <f>VLOOKUP($B1824,DG!A:D,DG!$D$2,)</f>
        <v>cái</v>
      </c>
      <c r="H1824" s="1713">
        <f>H1816</f>
        <v>0</v>
      </c>
      <c r="I1824" s="1192">
        <f t="shared" si="73"/>
        <v>0</v>
      </c>
      <c r="J1824" s="1014"/>
      <c r="K1824" s="1014"/>
      <c r="L1824" s="1015"/>
      <c r="M1824" s="934">
        <v>400</v>
      </c>
    </row>
    <row r="1825" spans="1:13" s="1016" customFormat="1" ht="25.2" hidden="1" customHeight="1">
      <c r="A1825" s="1086">
        <f t="shared" si="74"/>
        <v>0</v>
      </c>
      <c r="B1825" s="1087" t="s">
        <v>1674</v>
      </c>
      <c r="C1825" s="2842"/>
      <c r="D1825" s="1023"/>
      <c r="E1825" s="1012" t="str">
        <f>VLOOKUP($B1825,DG!A:D,DG!$B$2,)</f>
        <v>07.4312</v>
      </c>
      <c r="F1825" s="1013" t="str">
        <f>VLOOKUP($B1825,DG!A:D,DG!$C$2,)</f>
        <v>Lắp đầu cáp trung thế 3x50mm2, 70mm2</v>
      </c>
      <c r="G1825" s="1012" t="str">
        <f>VLOOKUP($B1825,DG!A:D,DG!$D$2,)</f>
        <v>cái</v>
      </c>
      <c r="H1825" s="1713">
        <f>H1821+H1824</f>
        <v>0</v>
      </c>
      <c r="I1825" s="1192">
        <f t="shared" si="73"/>
        <v>0</v>
      </c>
      <c r="J1825" s="1014"/>
      <c r="K1825" s="1014"/>
      <c r="L1825" s="1015"/>
      <c r="M1825" s="934">
        <v>400</v>
      </c>
    </row>
    <row r="1826" spans="1:13" s="1016" customFormat="1" ht="25.2" hidden="1" customHeight="1">
      <c r="A1826" s="1086">
        <f t="shared" si="74"/>
        <v>0</v>
      </c>
      <c r="B1826" s="1087" t="s">
        <v>1204</v>
      </c>
      <c r="C1826" s="2842"/>
      <c r="D1826" s="1023"/>
      <c r="E1826" s="1012" t="str">
        <f>VLOOKUP($B1826,DG!A:D,DG!$B$2,)</f>
        <v>03.1405</v>
      </c>
      <c r="F1826" s="1013" t="str">
        <f>VLOOKUP($B1826,DG!A:D,DG!$C$2,)</f>
        <v>Lắp cáp trong ống bảo vệ trong TBA loại &lt;=6kg</v>
      </c>
      <c r="G1826" s="1012" t="str">
        <f>VLOOKUP($B1826,DG!A:D,DG!$D$2,)</f>
        <v>mét</v>
      </c>
      <c r="H1826" s="1713">
        <f>H1818+H1822</f>
        <v>0</v>
      </c>
      <c r="I1826" s="1192">
        <f t="shared" si="73"/>
        <v>0</v>
      </c>
      <c r="J1826" s="1014"/>
      <c r="K1826" s="1014"/>
      <c r="L1826" s="1015"/>
      <c r="M1826" s="934">
        <v>400</v>
      </c>
    </row>
    <row r="1827" spans="1:13" s="1016" customFormat="1" ht="25.2" hidden="1" customHeight="1">
      <c r="A1827" s="1086">
        <f t="shared" si="74"/>
        <v>0</v>
      </c>
      <c r="B1827" s="1087" t="s">
        <v>1201</v>
      </c>
      <c r="C1827" s="2842"/>
      <c r="D1827" s="1023"/>
      <c r="E1827" s="1012" t="str">
        <f>VLOOKUP($B1827,DG!A:D,DG!$B$2,)</f>
        <v>03.1402</v>
      </c>
      <c r="F1827" s="1013" t="str">
        <f>VLOOKUP($B1827,DG!A:D,DG!$C$2,)</f>
        <v>Lắp cáp trong ống bảo vệ trong TBA loại &lt;=2kg</v>
      </c>
      <c r="G1827" s="1012" t="str">
        <f>VLOOKUP($B1827,DG!A:D,DG!$D$2,)</f>
        <v>mét</v>
      </c>
      <c r="H1827" s="1713">
        <f>H1819+H1823</f>
        <v>0</v>
      </c>
      <c r="I1827" s="1192">
        <f t="shared" si="73"/>
        <v>0</v>
      </c>
      <c r="J1827" s="1014"/>
      <c r="K1827" s="1014"/>
      <c r="L1827" s="1015"/>
      <c r="M1827" s="934">
        <v>400</v>
      </c>
    </row>
    <row r="1828" spans="1:13" s="1016" customFormat="1" ht="25.2" hidden="1" customHeight="1">
      <c r="A1828" s="1086">
        <f t="shared" si="74"/>
        <v>0</v>
      </c>
      <c r="B1828" s="1087" t="s">
        <v>1525</v>
      </c>
      <c r="C1828" s="2842"/>
      <c r="D1828" s="1023"/>
      <c r="E1828" s="1012" t="str">
        <f>VLOOKUP($B1828,DG!A:D,DG!$B$2,)</f>
        <v>04.4201</v>
      </c>
      <c r="F1828" s="1013" t="str">
        <f>VLOOKUP($B1828,DG!A:D,DG!$C$2,)</f>
        <v>Lắp cáp đồng xuống thiết bị D ≤ 95mm2</v>
      </c>
      <c r="G1828" s="1012" t="str">
        <f>VLOOKUP($B1828,DG!A:D,DG!$D$2,)</f>
        <v>m</v>
      </c>
      <c r="H1828" s="1713">
        <f>H1820</f>
        <v>0</v>
      </c>
      <c r="I1828" s="1192">
        <f t="shared" si="73"/>
        <v>0</v>
      </c>
      <c r="J1828" s="1014"/>
      <c r="K1828" s="1014"/>
      <c r="L1828" s="1015"/>
      <c r="M1828" s="934">
        <v>400</v>
      </c>
    </row>
    <row r="1829" spans="1:13" s="1016" customFormat="1" ht="25.2" hidden="1" customHeight="1">
      <c r="A1829" s="1086">
        <f t="shared" si="74"/>
        <v>0</v>
      </c>
      <c r="B1829" s="1087" t="s">
        <v>1349</v>
      </c>
      <c r="C1829" s="2842"/>
      <c r="D1829" s="1023"/>
      <c r="E1829" s="1012">
        <f>VLOOKUP($B1829,DG!A:D,DG!$B$2,)</f>
        <v>0</v>
      </c>
      <c r="F1829" s="1013" t="str">
        <f>VLOOKUP($B1829,DG!A:D,DG!$C$2,)</f>
        <v>Dây rút cáp</v>
      </c>
      <c r="G1829" s="1012" t="str">
        <f>VLOOKUP($B1829,DG!A:D,DG!$D$2,)</f>
        <v>bọc</v>
      </c>
      <c r="H1829" s="1713">
        <f>H1816*2</f>
        <v>0</v>
      </c>
      <c r="I1829" s="1192">
        <f t="shared" si="73"/>
        <v>0</v>
      </c>
      <c r="J1829" s="1014"/>
      <c r="K1829" s="1014"/>
      <c r="L1829" s="1015"/>
      <c r="M1829" s="934">
        <v>400</v>
      </c>
    </row>
    <row r="1830" spans="1:13" s="1016" customFormat="1" ht="25.2" hidden="1" customHeight="1">
      <c r="A1830" s="1086">
        <f t="shared" si="74"/>
        <v>0</v>
      </c>
      <c r="B1830" s="1226"/>
      <c r="C1830" s="2841"/>
      <c r="D1830" s="1017">
        <f>IF(H1830&gt;0,D1816+1,D1816)</f>
        <v>0</v>
      </c>
      <c r="E1830" s="1018"/>
      <c r="F1830" s="1027" t="s">
        <v>3744</v>
      </c>
      <c r="G1830" s="1017" t="s">
        <v>2385</v>
      </c>
      <c r="H1830" s="1722">
        <f>H1682</f>
        <v>0</v>
      </c>
      <c r="I1830" s="1192">
        <f t="shared" si="73"/>
        <v>0</v>
      </c>
      <c r="J1830" s="1014"/>
      <c r="K1830" s="1014"/>
      <c r="L1830" s="1043"/>
      <c r="M1830" s="934">
        <v>400</v>
      </c>
    </row>
    <row r="1831" spans="1:13" s="1016" customFormat="1" ht="25.2" hidden="1" customHeight="1">
      <c r="A1831" s="1086">
        <f t="shared" si="74"/>
        <v>0</v>
      </c>
      <c r="B1831" s="1226"/>
      <c r="C1831" s="2841"/>
      <c r="D1831" s="1011"/>
      <c r="E1831" s="1021"/>
      <c r="F1831" s="1268" t="s">
        <v>2279</v>
      </c>
      <c r="G1831" s="1011"/>
      <c r="H1831" s="1723"/>
      <c r="I1831" s="1192">
        <f t="shared" si="73"/>
        <v>0</v>
      </c>
      <c r="J1831" s="1014"/>
      <c r="K1831" s="1014"/>
      <c r="L1831" s="1043"/>
      <c r="M1831" s="934">
        <v>400</v>
      </c>
    </row>
    <row r="1832" spans="1:13" s="1016" customFormat="1" ht="25.2" hidden="1" customHeight="1">
      <c r="A1832" s="1086">
        <f t="shared" si="74"/>
        <v>0</v>
      </c>
      <c r="B1832" s="1087" t="s">
        <v>697</v>
      </c>
      <c r="C1832" s="2842"/>
      <c r="D1832" s="1023"/>
      <c r="E1832" s="1012">
        <f>VLOOKUP($B1832,DG!A:D,DG!$B$2,)</f>
        <v>0</v>
      </c>
      <c r="F1832" s="1013" t="str">
        <f>VLOOKUP($B1832,DG!A:D,DG!$C$2,)&amp;": 9m/1pha"</f>
        <v>Cáp 24KV C/XLPE/PVC 25mm2: 9m/1pha</v>
      </c>
      <c r="G1832" s="1012" t="str">
        <f>VLOOKUP($B1832,DG!A:D,DG!$D$2,)</f>
        <v>mét</v>
      </c>
      <c r="H1832" s="1713">
        <f>H1830*(9)*3</f>
        <v>0</v>
      </c>
      <c r="I1832" s="1192">
        <f t="shared" si="73"/>
        <v>0</v>
      </c>
      <c r="J1832" s="1014"/>
      <c r="K1832" s="1014"/>
      <c r="L1832" s="1043"/>
      <c r="M1832" s="934">
        <v>400</v>
      </c>
    </row>
    <row r="1833" spans="1:13" s="1016" customFormat="1" ht="25.2" hidden="1" customHeight="1">
      <c r="A1833" s="1086">
        <f t="shared" si="74"/>
        <v>0</v>
      </c>
      <c r="B1833" s="1087" t="s">
        <v>697</v>
      </c>
      <c r="C1833" s="2842"/>
      <c r="D1833" s="1023"/>
      <c r="E1833" s="1012">
        <f>VLOOKUP($B1833,DG!A:D,DG!$B$2,)</f>
        <v>0</v>
      </c>
      <c r="F1833" s="1013" t="str">
        <f>VLOOKUP($B1833,DG!A:D,DG!$C$2,)&amp;": 1m/1pha ñaáu noái  LA"</f>
        <v>Cáp 24KV C/XLPE/PVC 25mm2: 1m/1pha ñaáu noái  LA</v>
      </c>
      <c r="G1833" s="1012" t="str">
        <f>VLOOKUP($B1833,DG!A:D,DG!$D$2,)</f>
        <v>mét</v>
      </c>
      <c r="H1833" s="1744">
        <f>H1830*3*1*0</f>
        <v>0</v>
      </c>
      <c r="I1833" s="1192">
        <f t="shared" si="73"/>
        <v>0</v>
      </c>
      <c r="J1833" s="1014"/>
      <c r="K1833" s="1014"/>
      <c r="L1833" s="1043"/>
      <c r="M1833" s="934">
        <v>400</v>
      </c>
    </row>
    <row r="1834" spans="1:13" s="1016" customFormat="1" ht="25.2" hidden="1" customHeight="1">
      <c r="A1834" s="1086">
        <f t="shared" si="74"/>
        <v>0</v>
      </c>
      <c r="B1834" s="1087" t="s">
        <v>1115</v>
      </c>
      <c r="C1834" s="2842"/>
      <c r="D1834" s="1023"/>
      <c r="E1834" s="1012">
        <f>VLOOKUP($B1834,DG!A:D,DG!$B$2,)</f>
        <v>0</v>
      </c>
      <c r="F1834" s="1013" t="str">
        <f>VLOOKUP($B1834,DG!A:D,DG!$C$2,)</f>
        <v>Kẹp ép cỡ dây 25mm2</v>
      </c>
      <c r="G1834" s="1012" t="str">
        <f>VLOOKUP($B1834,DG!A:D,DG!$D$2,)</f>
        <v>cái</v>
      </c>
      <c r="H1834" s="1744">
        <f>H1830*3*2</f>
        <v>0</v>
      </c>
      <c r="I1834" s="1192">
        <f t="shared" si="73"/>
        <v>0</v>
      </c>
      <c r="J1834" s="1014"/>
      <c r="K1834" s="1014"/>
      <c r="L1834" s="1015"/>
      <c r="M1834" s="934">
        <v>400</v>
      </c>
    </row>
    <row r="1835" spans="1:13" s="1016" customFormat="1" ht="25.2" hidden="1" customHeight="1">
      <c r="A1835" s="1086">
        <f t="shared" si="74"/>
        <v>0</v>
      </c>
      <c r="B1835" s="1087" t="s">
        <v>550</v>
      </c>
      <c r="C1835" s="2842"/>
      <c r="D1835" s="1023"/>
      <c r="E1835" s="1012">
        <f>VLOOKUP($B1835,DG!A:D,DG!$B$2,)</f>
        <v>0</v>
      </c>
      <c r="F1835" s="1013" t="str">
        <f>VLOOKUP($B1835,DG!A:D,DG!$C$2,)&amp;" + LA"</f>
        <v>Bass LI bắt FCO + LA</v>
      </c>
      <c r="G1835" s="1012" t="str">
        <f>VLOOKUP($B1835,DG!A:D,DG!$D$2,)</f>
        <v>Bộ</v>
      </c>
      <c r="H1835" s="1744">
        <f>H1830*3*2</f>
        <v>0</v>
      </c>
      <c r="I1835" s="1192">
        <f t="shared" si="73"/>
        <v>0</v>
      </c>
      <c r="J1835" s="1014"/>
      <c r="K1835" s="1014"/>
      <c r="L1835" s="1015"/>
      <c r="M1835" s="934">
        <v>400</v>
      </c>
    </row>
    <row r="1836" spans="1:13" s="1016" customFormat="1" ht="25.2" hidden="1" customHeight="1">
      <c r="A1836" s="1086">
        <f t="shared" si="74"/>
        <v>0</v>
      </c>
      <c r="B1836" s="1087" t="s">
        <v>1479</v>
      </c>
      <c r="C1836" s="2842"/>
      <c r="D1836" s="1023"/>
      <c r="E1836" s="1012" t="str">
        <f>VLOOKUP($B1836,DG!A:D,DG!$B$2,)</f>
        <v>04.3007</v>
      </c>
      <c r="F1836" s="1013" t="str">
        <f>VLOOKUP($B1836,DG!A:D,DG!$C$2,)</f>
        <v>Kẹp quai 2/0</v>
      </c>
      <c r="G1836" s="1012" t="str">
        <f>VLOOKUP($B1836,DG!A:D,DG!$D$2,)</f>
        <v>cái</v>
      </c>
      <c r="H1836" s="1744">
        <f>H1830*3</f>
        <v>0</v>
      </c>
      <c r="I1836" s="1192">
        <f t="shared" si="73"/>
        <v>0</v>
      </c>
      <c r="J1836" s="1014"/>
      <c r="K1836" s="1014"/>
      <c r="L1836" s="1043"/>
      <c r="M1836" s="934">
        <v>400</v>
      </c>
    </row>
    <row r="1837" spans="1:13" s="1016" customFormat="1" ht="25.2" hidden="1" customHeight="1">
      <c r="A1837" s="1086">
        <f t="shared" si="74"/>
        <v>0</v>
      </c>
      <c r="B1837" s="1087" t="s">
        <v>1477</v>
      </c>
      <c r="C1837" s="2842"/>
      <c r="D1837" s="1023"/>
      <c r="E1837" s="1012" t="str">
        <f>VLOOKUP($B1837,DG!A:D,DG!$B$2,)</f>
        <v>04.3007</v>
      </c>
      <c r="F1837" s="1013" t="str">
        <f>VLOOKUP($B1837,DG!A:D,DG!$C$2,)&amp;": "</f>
        <v xml:space="preserve">Kẹp hotline 2/0: </v>
      </c>
      <c r="G1837" s="1012" t="str">
        <f>VLOOKUP($B1837,DG!A:D,DG!$D$2,)</f>
        <v>cái</v>
      </c>
      <c r="H1837" s="1713"/>
      <c r="I1837" s="1192">
        <f t="shared" si="73"/>
        <v>0</v>
      </c>
      <c r="J1837" s="1014"/>
      <c r="K1837" s="1014"/>
      <c r="L1837" s="1043"/>
      <c r="M1837" s="934">
        <v>400</v>
      </c>
    </row>
    <row r="1838" spans="1:13" s="1016" customFormat="1" ht="25.2" hidden="1" customHeight="1">
      <c r="A1838" s="1086">
        <f t="shared" si="74"/>
        <v>0</v>
      </c>
      <c r="B1838" s="1087" t="s">
        <v>696</v>
      </c>
      <c r="C1838" s="2842"/>
      <c r="D1838" s="1043"/>
      <c r="E1838" s="1012">
        <f>VLOOKUP($B1838,DG!A:D,DG!$B$2,)</f>
        <v>0</v>
      </c>
      <c r="F1838" s="1013" t="str">
        <f>VLOOKUP($B1838,DG!A:D,DG!$C$2,)</f>
        <v xml:space="preserve">Sứ đứng 24KV </v>
      </c>
      <c r="G1838" s="1012" t="str">
        <f>VLOOKUP($B1838,DG!A:D,DG!$D$2,)</f>
        <v>cái</v>
      </c>
      <c r="H1838" s="1713"/>
      <c r="I1838" s="1192">
        <f t="shared" si="73"/>
        <v>0</v>
      </c>
      <c r="J1838" s="1014"/>
      <c r="K1838" s="1014"/>
      <c r="L1838" s="1043"/>
      <c r="M1838" s="934">
        <v>400</v>
      </c>
    </row>
    <row r="1839" spans="1:13" s="1016" customFormat="1" ht="25.2" hidden="1" customHeight="1">
      <c r="A1839" s="1086">
        <f t="shared" si="74"/>
        <v>0</v>
      </c>
      <c r="B1839" s="1087" t="s">
        <v>1265</v>
      </c>
      <c r="C1839" s="2842"/>
      <c r="D1839" s="1023"/>
      <c r="E1839" s="1012">
        <f>VLOOKUP($B1839,DG!A:D,DG!$B$2,)</f>
        <v>0</v>
      </c>
      <c r="F1839" s="1013" t="str">
        <f>VLOOKUP($B1839,DG!A:D,DG!$C$2,)</f>
        <v>Chân sứ đứng D20</v>
      </c>
      <c r="G1839" s="1012" t="str">
        <f>VLOOKUP($B1839,DG!A:D,DG!$D$2,)</f>
        <v>cái</v>
      </c>
      <c r="H1839" s="1713"/>
      <c r="I1839" s="1192">
        <f t="shared" si="73"/>
        <v>0</v>
      </c>
      <c r="J1839" s="1014"/>
      <c r="K1839" s="1014"/>
      <c r="L1839" s="1043"/>
      <c r="M1839" s="934">
        <v>400</v>
      </c>
    </row>
    <row r="1840" spans="1:13" s="1016" customFormat="1" ht="25.2" hidden="1" customHeight="1">
      <c r="A1840" s="1086">
        <f t="shared" si="74"/>
        <v>0</v>
      </c>
      <c r="B1840" s="1087" t="s">
        <v>439</v>
      </c>
      <c r="C1840" s="2842"/>
      <c r="D1840" s="1023"/>
      <c r="E1840" s="1012">
        <f>VLOOKUP($B1840,DG!A:D,DG!$B$2,)</f>
        <v>0</v>
      </c>
      <c r="F1840" s="1013" t="str">
        <f>VLOOKUP($B1840,DG!A:D,DG!$C$2,)</f>
        <v>Sứ treo polymer</v>
      </c>
      <c r="G1840" s="1012" t="str">
        <f>VLOOKUP($B1840,DG!A:D,DG!$D$2,)</f>
        <v>chuỗi</v>
      </c>
      <c r="H1840" s="1744">
        <f>H1830*6*0</f>
        <v>0</v>
      </c>
      <c r="I1840" s="1192">
        <f t="shared" si="73"/>
        <v>0</v>
      </c>
      <c r="J1840" s="1014"/>
      <c r="K1840" s="1014"/>
      <c r="L1840" s="1043"/>
      <c r="M1840" s="934">
        <v>400</v>
      </c>
    </row>
    <row r="1841" spans="1:13" s="1016" customFormat="1" ht="25.2" hidden="1" customHeight="1">
      <c r="A1841" s="1086">
        <f t="shared" si="74"/>
        <v>0</v>
      </c>
      <c r="B1841" s="1087" t="s">
        <v>1565</v>
      </c>
      <c r="C1841" s="2842"/>
      <c r="D1841" s="1023"/>
      <c r="E1841" s="1012" t="str">
        <f>VLOOKUP($B1841,DG!A:D,DG!$B$2,)</f>
        <v>06.1115</v>
      </c>
      <c r="F1841" s="1013" t="str">
        <f>VLOOKUP($B1841,DG!A:D,DG!$C$2,)</f>
        <v>Lắp sứ đứng 24KV</v>
      </c>
      <c r="G1841" s="1012" t="str">
        <f>VLOOKUP($B1841,DG!A:D,DG!$D$2,)</f>
        <v>bộ</v>
      </c>
      <c r="H1841" s="1713"/>
      <c r="I1841" s="1192">
        <f t="shared" si="73"/>
        <v>0</v>
      </c>
      <c r="J1841" s="1014"/>
      <c r="K1841" s="1014"/>
      <c r="L1841" s="1043"/>
      <c r="M1841" s="934">
        <v>400</v>
      </c>
    </row>
    <row r="1842" spans="1:13" s="1016" customFormat="1" ht="25.2" hidden="1" customHeight="1">
      <c r="A1842" s="1086">
        <f t="shared" si="74"/>
        <v>0</v>
      </c>
      <c r="B1842" s="1087" t="s">
        <v>235</v>
      </c>
      <c r="C1842" s="2842"/>
      <c r="D1842" s="1023"/>
      <c r="E1842" s="1012" t="str">
        <f>VLOOKUP($B1842,DG!A:D,DG!$B$2,)</f>
        <v>06.1115</v>
      </c>
      <c r="F1842" s="1013" t="str">
        <f>VLOOKUP($B1842,DG!A:D,DG!$C$2,)</f>
        <v>Tháo sứ đứng 24KV</v>
      </c>
      <c r="G1842" s="1012" t="str">
        <f>VLOOKUP($B1842,DG!A:D,DG!$D$2,)</f>
        <v>bộ</v>
      </c>
      <c r="H1842" s="1713"/>
      <c r="I1842" s="1192">
        <f t="shared" si="73"/>
        <v>0</v>
      </c>
      <c r="J1842" s="1014"/>
      <c r="K1842" s="1014"/>
      <c r="L1842" s="1043"/>
      <c r="M1842" s="934">
        <v>400</v>
      </c>
    </row>
    <row r="1843" spans="1:13" s="1016" customFormat="1" ht="25.2" hidden="1" customHeight="1">
      <c r="A1843" s="1086">
        <f t="shared" si="74"/>
        <v>0</v>
      </c>
      <c r="B1843" s="1087" t="s">
        <v>1507</v>
      </c>
      <c r="C1843" s="2842"/>
      <c r="D1843" s="1023"/>
      <c r="E1843" s="1012" t="str">
        <f>VLOOKUP($B1843,DG!A:D,DG!$B$2,)</f>
        <v>06.2201</v>
      </c>
      <c r="F1843" s="1013" t="str">
        <f>VLOOKUP($B1843,DG!A:D,DG!$C$2,)</f>
        <v>Lắp chuỗi sứ néo Polymer</v>
      </c>
      <c r="G1843" s="1012" t="str">
        <f>VLOOKUP($B1843,DG!A:D,DG!$D$2,)</f>
        <v>chuỗi</v>
      </c>
      <c r="H1843" s="1713">
        <f>H1840</f>
        <v>0</v>
      </c>
      <c r="I1843" s="1192">
        <f t="shared" ref="I1843:I1906" si="75">IF(M1843=$M$23,H1843+J1843-K1843,0)</f>
        <v>0</v>
      </c>
      <c r="J1843" s="1014"/>
      <c r="K1843" s="1014"/>
      <c r="L1843" s="1043"/>
      <c r="M1843" s="934">
        <v>400</v>
      </c>
    </row>
    <row r="1844" spans="1:13" s="1016" customFormat="1" ht="25.2" hidden="1" customHeight="1">
      <c r="A1844" s="1086">
        <f t="shared" si="74"/>
        <v>0</v>
      </c>
      <c r="B1844" s="1087" t="s">
        <v>1525</v>
      </c>
      <c r="C1844" s="2842"/>
      <c r="D1844" s="1023"/>
      <c r="E1844" s="1012" t="str">
        <f>VLOOKUP($B1844,DG!A:D,DG!$B$2,)</f>
        <v>04.4201</v>
      </c>
      <c r="F1844" s="1013" t="str">
        <f>VLOOKUP($B1844,DG!A:D,DG!$C$2,)</f>
        <v>Lắp cáp đồng xuống thiết bị D ≤ 95mm2</v>
      </c>
      <c r="G1844" s="1012" t="str">
        <f>VLOOKUP($B1844,DG!A:D,DG!$D$2,)</f>
        <v>m</v>
      </c>
      <c r="H1844" s="1713">
        <f>H1832+H1833</f>
        <v>0</v>
      </c>
      <c r="I1844" s="1192">
        <f t="shared" si="75"/>
        <v>0</v>
      </c>
      <c r="J1844" s="1014"/>
      <c r="K1844" s="1014"/>
      <c r="L1844" s="1043"/>
      <c r="M1844" s="934">
        <v>400</v>
      </c>
    </row>
    <row r="1845" spans="1:13" s="1016" customFormat="1" ht="25.2" hidden="1" customHeight="1">
      <c r="A1845" s="1086">
        <f t="shared" si="74"/>
        <v>0</v>
      </c>
      <c r="B1845" s="1226"/>
      <c r="C1845" s="2841"/>
      <c r="D1845" s="1017">
        <f>IF(H1845&gt;0,D1830+1,D1830)</f>
        <v>0</v>
      </c>
      <c r="E1845" s="1018"/>
      <c r="F1845" s="1027" t="s">
        <v>3708</v>
      </c>
      <c r="G1845" s="1017" t="s">
        <v>2385</v>
      </c>
      <c r="H1845" s="1722">
        <f>H1711*0</f>
        <v>0</v>
      </c>
      <c r="I1845" s="1192">
        <f t="shared" si="75"/>
        <v>0</v>
      </c>
      <c r="J1845" s="1014"/>
      <c r="K1845" s="1014"/>
      <c r="L1845" s="1015"/>
      <c r="M1845" s="934">
        <v>400</v>
      </c>
    </row>
    <row r="1846" spans="1:13" s="1016" customFormat="1" ht="25.2" hidden="1" customHeight="1">
      <c r="A1846" s="1086">
        <f t="shared" si="74"/>
        <v>0</v>
      </c>
      <c r="B1846" s="1226"/>
      <c r="C1846" s="2841"/>
      <c r="D1846" s="1011"/>
      <c r="E1846" s="1021"/>
      <c r="F1846" s="1268" t="s">
        <v>2279</v>
      </c>
      <c r="G1846" s="1011"/>
      <c r="H1846" s="1723"/>
      <c r="I1846" s="1192">
        <f t="shared" si="75"/>
        <v>0</v>
      </c>
      <c r="J1846" s="1014"/>
      <c r="K1846" s="1014"/>
      <c r="L1846" s="1015"/>
      <c r="M1846" s="934">
        <v>400</v>
      </c>
    </row>
    <row r="1847" spans="1:13" s="1016" customFormat="1" ht="25.2" hidden="1" customHeight="1">
      <c r="A1847" s="1086">
        <f t="shared" si="74"/>
        <v>0</v>
      </c>
      <c r="B1847" s="1226" t="s">
        <v>1489</v>
      </c>
      <c r="C1847" s="2841"/>
      <c r="D1847" s="1023"/>
      <c r="E1847" s="1012" t="str">
        <f>VLOOKUP($B1847,DG!A:D,DG!$B$2,)</f>
        <v>04.8003</v>
      </c>
      <c r="F1847" s="1013" t="str">
        <f>VLOOKUP($B1847,DG!A:D,DG!$C$2,)</f>
        <v xml:space="preserve">Ống PVC D90x3,8mm </v>
      </c>
      <c r="G1847" s="1012" t="str">
        <f>VLOOKUP($B1847,DG!A:D,DG!$D$2,)</f>
        <v>m</v>
      </c>
      <c r="H1847" s="1713">
        <f>H1845*2</f>
        <v>0</v>
      </c>
      <c r="I1847" s="1192">
        <f t="shared" si="75"/>
        <v>0</v>
      </c>
      <c r="J1847" s="1014"/>
      <c r="K1847" s="1014"/>
      <c r="L1847" s="1015"/>
      <c r="M1847" s="934">
        <v>400</v>
      </c>
    </row>
    <row r="1848" spans="1:13" s="1016" customFormat="1" ht="25.2" hidden="1" customHeight="1">
      <c r="A1848" s="1086">
        <f t="shared" si="74"/>
        <v>0</v>
      </c>
      <c r="B1848" s="1226" t="s">
        <v>86</v>
      </c>
      <c r="C1848" s="2841"/>
      <c r="D1848" s="1023"/>
      <c r="E1848" s="1012">
        <f>VLOOKUP($B1848,DG!A:D,DG!$B$2,)</f>
        <v>0</v>
      </c>
      <c r="F1848" s="1013" t="str">
        <f>VLOOKUP($B1848,DG!A:D,DG!$C$2,)</f>
        <v>Co  90 độ PVC 90</v>
      </c>
      <c r="G1848" s="1012" t="str">
        <f>VLOOKUP($B1848,DG!A:D,DG!$D$2,)</f>
        <v>cái</v>
      </c>
      <c r="H1848" s="1713">
        <f>H1845</f>
        <v>0</v>
      </c>
      <c r="I1848" s="1192">
        <f t="shared" si="75"/>
        <v>0</v>
      </c>
      <c r="J1848" s="1014"/>
      <c r="K1848" s="1014"/>
      <c r="L1848" s="1015"/>
      <c r="M1848" s="934">
        <v>400</v>
      </c>
    </row>
    <row r="1849" spans="1:13" s="1016" customFormat="1" ht="25.2" hidden="1" customHeight="1">
      <c r="A1849" s="1086">
        <f t="shared" si="74"/>
        <v>0</v>
      </c>
      <c r="B1849" s="1226" t="s">
        <v>931</v>
      </c>
      <c r="C1849" s="2841"/>
      <c r="D1849" s="1023"/>
      <c r="E1849" s="1012">
        <f>VLOOKUP($B1849,DG!A:D,DG!$B$2,)</f>
        <v>0</v>
      </c>
      <c r="F1849" s="1013" t="str">
        <f>VLOOKUP($B1849,DG!A:D,DG!$C$2,)</f>
        <v>Khâu ven răng trong D90</v>
      </c>
      <c r="G1849" s="1012" t="str">
        <f>VLOOKUP($B1849,DG!A:D,DG!$D$2,)</f>
        <v>cái</v>
      </c>
      <c r="H1849" s="1713">
        <f>H1845*2</f>
        <v>0</v>
      </c>
      <c r="I1849" s="1192">
        <f t="shared" si="75"/>
        <v>0</v>
      </c>
      <c r="J1849" s="1014"/>
      <c r="K1849" s="1014"/>
      <c r="L1849" s="1015"/>
      <c r="M1849" s="934">
        <v>400</v>
      </c>
    </row>
    <row r="1850" spans="1:13" s="1016" customFormat="1" ht="25.2" hidden="1" customHeight="1">
      <c r="A1850" s="1086">
        <f t="shared" si="74"/>
        <v>0</v>
      </c>
      <c r="B1850" s="1226" t="s">
        <v>930</v>
      </c>
      <c r="C1850" s="2841"/>
      <c r="D1850" s="1023"/>
      <c r="E1850" s="1012">
        <f>VLOOKUP($B1850,DG!A:D,DG!$B$2,)</f>
        <v>0</v>
      </c>
      <c r="F1850" s="1013" t="str">
        <f>VLOOKUP($B1850,DG!A:D,DG!$C$2,)</f>
        <v>Khâu ven răng ngoài D90</v>
      </c>
      <c r="G1850" s="1012" t="str">
        <f>VLOOKUP($B1850,DG!A:D,DG!$D$2,)</f>
        <v>cái</v>
      </c>
      <c r="H1850" s="1713">
        <f>H1849</f>
        <v>0</v>
      </c>
      <c r="I1850" s="1192">
        <f t="shared" si="75"/>
        <v>0</v>
      </c>
      <c r="J1850" s="1014"/>
      <c r="K1850" s="1014"/>
      <c r="L1850" s="1015"/>
      <c r="M1850" s="934">
        <v>400</v>
      </c>
    </row>
    <row r="1851" spans="1:13" s="1016" customFormat="1" ht="25.2" hidden="1" customHeight="1">
      <c r="A1851" s="1086">
        <f t="shared" si="74"/>
        <v>0</v>
      </c>
      <c r="B1851" s="1087"/>
      <c r="C1851" s="2842"/>
      <c r="D1851" s="1017">
        <f>IF(H1851&gt;0,D1845+1,D1845)</f>
        <v>0</v>
      </c>
      <c r="E1851" s="1018"/>
      <c r="F1851" s="1027" t="s">
        <v>3728</v>
      </c>
      <c r="G1851" s="1017" t="s">
        <v>2385</v>
      </c>
      <c r="H1851" s="1743">
        <f>H1792</f>
        <v>0</v>
      </c>
      <c r="I1851" s="1192">
        <f t="shared" si="75"/>
        <v>0</v>
      </c>
      <c r="J1851" s="1014"/>
      <c r="K1851" s="1014"/>
      <c r="L1851" s="1043"/>
      <c r="M1851" s="934">
        <v>400</v>
      </c>
    </row>
    <row r="1852" spans="1:13" s="1016" customFormat="1" ht="25.2" hidden="1" customHeight="1">
      <c r="A1852" s="1086">
        <f t="shared" si="74"/>
        <v>0</v>
      </c>
      <c r="B1852" s="1087"/>
      <c r="C1852" s="2842"/>
      <c r="D1852" s="1011"/>
      <c r="E1852" s="1021"/>
      <c r="F1852" s="1268" t="s">
        <v>2279</v>
      </c>
      <c r="G1852" s="1011"/>
      <c r="H1852" s="1713"/>
      <c r="I1852" s="1192">
        <f t="shared" si="75"/>
        <v>0</v>
      </c>
      <c r="J1852" s="1014"/>
      <c r="K1852" s="1014"/>
      <c r="L1852" s="1043"/>
      <c r="M1852" s="934">
        <v>400</v>
      </c>
    </row>
    <row r="1853" spans="1:13" s="1016" customFormat="1" ht="25.2" hidden="1" customHeight="1">
      <c r="A1853" s="1086">
        <f t="shared" si="74"/>
        <v>0</v>
      </c>
      <c r="B1853" s="1256" t="s">
        <v>608</v>
      </c>
      <c r="C1853" s="2858"/>
      <c r="D1853" s="1023"/>
      <c r="E1853" s="1012">
        <f>VLOOKUP($B1853,DG!A:D,DG!$B$2,)</f>
        <v>0</v>
      </c>
      <c r="F1853" s="1013" t="str">
        <f>VLOOKUP($B1853,DG!A:D,DG!$C$2,)&amp;":  "&amp;2&amp;" x 9m/pha "</f>
        <v xml:space="preserve">Cáp đồng bọc CV200:  2 x 9m/pha </v>
      </c>
      <c r="G1853" s="1012" t="str">
        <f>VLOOKUP($B1853,DG!A:D,DG!$D$2,)</f>
        <v>mét</v>
      </c>
      <c r="H1853" s="1713">
        <f>9*3*H1851*2</f>
        <v>0</v>
      </c>
      <c r="I1853" s="1192">
        <f t="shared" si="75"/>
        <v>0</v>
      </c>
      <c r="J1853" s="1014"/>
      <c r="K1853" s="1014"/>
      <c r="L1853" s="1043"/>
      <c r="M1853" s="934">
        <v>400</v>
      </c>
    </row>
    <row r="1854" spans="1:13" s="1016" customFormat="1" ht="25.2" hidden="1" customHeight="1">
      <c r="A1854" s="1086">
        <f t="shared" si="74"/>
        <v>0</v>
      </c>
      <c r="B1854" s="1256" t="s">
        <v>608</v>
      </c>
      <c r="C1854" s="2858"/>
      <c r="D1854" s="1023"/>
      <c r="E1854" s="1012">
        <f>VLOOKUP($B1854,DG!A:D,DG!$B$2,)</f>
        <v>0</v>
      </c>
      <c r="F1854" s="1013" t="e">
        <f>VLOOKUP($B1854,DG!A:D,DG!$C$2,)&amp;":  "&amp;#REF!&amp;" x 9m/trung tính "</f>
        <v>#REF!</v>
      </c>
      <c r="G1854" s="1012" t="str">
        <f>VLOOKUP($B1854,DG!A:D,DG!$D$2,)</f>
        <v>mét</v>
      </c>
      <c r="H1854" s="1713">
        <f>9*H1851</f>
        <v>0</v>
      </c>
      <c r="I1854" s="1192">
        <f t="shared" si="75"/>
        <v>0</v>
      </c>
      <c r="J1854" s="1014"/>
      <c r="K1854" s="1014"/>
      <c r="L1854" s="1043"/>
      <c r="M1854" s="934">
        <v>400</v>
      </c>
    </row>
    <row r="1855" spans="1:13" s="1016" customFormat="1" ht="25.2" hidden="1" customHeight="1">
      <c r="A1855" s="1086">
        <f t="shared" si="74"/>
        <v>0</v>
      </c>
      <c r="B1855" s="1226" t="s">
        <v>447</v>
      </c>
      <c r="C1855" s="2841"/>
      <c r="D1855" s="1023"/>
      <c r="E1855" s="1012" t="str">
        <f>VLOOKUP($B1855,DG!A:D,DG!$B$2,)</f>
        <v>03.4008</v>
      </c>
      <c r="F1855" s="1013" t="str">
        <f>VLOOKUP($B1855,DG!A:D,DG!$C$2,)&amp;": "</f>
        <v xml:space="preserve">Đầu cosse ép Cu 200mm2: </v>
      </c>
      <c r="G1855" s="1012" t="str">
        <f>VLOOKUP($B1855,DG!A:D,DG!$D$2,)</f>
        <v>cái</v>
      </c>
      <c r="H1855" s="1713">
        <f>H1851*2*7</f>
        <v>0</v>
      </c>
      <c r="I1855" s="1192">
        <f t="shared" si="75"/>
        <v>0</v>
      </c>
      <c r="J1855" s="1014"/>
      <c r="K1855" s="1014"/>
      <c r="L1855" s="1043"/>
      <c r="M1855" s="934">
        <v>400</v>
      </c>
    </row>
    <row r="1856" spans="1:13" s="1016" customFormat="1" ht="25.2" hidden="1" customHeight="1">
      <c r="A1856" s="1086">
        <f t="shared" si="74"/>
        <v>0</v>
      </c>
      <c r="B1856" s="1226" t="s">
        <v>610</v>
      </c>
      <c r="C1856" s="2841"/>
      <c r="D1856" s="1023"/>
      <c r="E1856" s="1012">
        <f>VLOOKUP($B1856,DG!A:D,DG!$B$2,)</f>
        <v>0</v>
      </c>
      <c r="F1856" s="1013" t="str">
        <f>VLOOKUP($B1856,DG!A:D,DG!$C$2,)&amp;": "</f>
        <v xml:space="preserve">Chụp đầu cosse  200mm2: </v>
      </c>
      <c r="G1856" s="1012" t="str">
        <f>VLOOKUP($B1856,DG!A:D,DG!$D$2,)</f>
        <v>cái</v>
      </c>
      <c r="H1856" s="1713">
        <f>H1855</f>
        <v>0</v>
      </c>
      <c r="I1856" s="1192">
        <f t="shared" si="75"/>
        <v>0</v>
      </c>
      <c r="J1856" s="1014"/>
      <c r="K1856" s="1014"/>
      <c r="L1856" s="1043"/>
      <c r="M1856" s="934">
        <v>400</v>
      </c>
    </row>
    <row r="1857" spans="1:13" s="1016" customFormat="1" ht="25.2" hidden="1" customHeight="1">
      <c r="A1857" s="1086">
        <f t="shared" si="74"/>
        <v>0</v>
      </c>
      <c r="B1857" s="1226" t="s">
        <v>1042</v>
      </c>
      <c r="C1857" s="2841"/>
      <c r="D1857" s="1023"/>
      <c r="E1857" s="1012">
        <f>VLOOKUP($B1857,DG!A:D,DG!$B$2,)</f>
        <v>0</v>
      </c>
      <c r="F1857" s="1013" t="str">
        <f>VLOOKUP($B1857,DG!A:D,DG!$C$2,)</f>
        <v xml:space="preserve">Ống PVC D114x4,9mm </v>
      </c>
      <c r="G1857" s="1012" t="str">
        <f>VLOOKUP($B1857,DG!A:D,DG!$D$2,)</f>
        <v>m</v>
      </c>
      <c r="H1857" s="1713"/>
      <c r="I1857" s="1192">
        <f t="shared" si="75"/>
        <v>0</v>
      </c>
      <c r="J1857" s="1014"/>
      <c r="K1857" s="1014"/>
      <c r="L1857" s="1043"/>
      <c r="M1857" s="934">
        <v>400</v>
      </c>
    </row>
    <row r="1858" spans="1:13" s="1016" customFormat="1" ht="25.2" hidden="1" customHeight="1">
      <c r="A1858" s="1086">
        <f t="shared" si="74"/>
        <v>0</v>
      </c>
      <c r="B1858" s="1087" t="s">
        <v>731</v>
      </c>
      <c r="C1858" s="2842"/>
      <c r="D1858" s="1023"/>
      <c r="E1858" s="1012" t="str">
        <f>VLOOKUP($B1858,DG!A:D,DG!$B$2,)</f>
        <v>06.3231</v>
      </c>
      <c r="F1858" s="1013" t="str">
        <f>VLOOKUP($B1858,DG!A:D,DG!$C$2,)&amp;": CD-250"</f>
        <v>Cổ dê kẹp ống PVC Ø 114: CD-250</v>
      </c>
      <c r="G1858" s="1012" t="s">
        <v>2439</v>
      </c>
      <c r="H1858" s="1713">
        <f>H1851*1</f>
        <v>0</v>
      </c>
      <c r="I1858" s="1192">
        <f t="shared" si="75"/>
        <v>0</v>
      </c>
      <c r="J1858" s="1014"/>
      <c r="K1858" s="1014"/>
      <c r="L1858" s="1043"/>
      <c r="M1858" s="934">
        <v>400</v>
      </c>
    </row>
    <row r="1859" spans="1:13" s="1016" customFormat="1" ht="25.2" hidden="1" customHeight="1">
      <c r="A1859" s="1086">
        <f t="shared" si="74"/>
        <v>0</v>
      </c>
      <c r="B1859" s="1087" t="s">
        <v>731</v>
      </c>
      <c r="C1859" s="2842"/>
      <c r="D1859" s="1023"/>
      <c r="E1859" s="1012" t="str">
        <f>VLOOKUP($B1859,DG!A:D,DG!$B$2,)</f>
        <v>06.3231</v>
      </c>
      <c r="F1859" s="1013" t="str">
        <f>VLOOKUP($B1859,DG!A:D,DG!$C$2,)&amp;": CD-280"</f>
        <v>Cổ dê kẹp ống PVC Ø 114: CD-280</v>
      </c>
      <c r="G1859" s="1012" t="s">
        <v>2439</v>
      </c>
      <c r="H1859" s="1713">
        <f>H1851*1</f>
        <v>0</v>
      </c>
      <c r="I1859" s="1192">
        <f t="shared" si="75"/>
        <v>0</v>
      </c>
      <c r="J1859" s="1014"/>
      <c r="K1859" s="1014"/>
      <c r="L1859" s="1043"/>
      <c r="M1859" s="934">
        <v>400</v>
      </c>
    </row>
    <row r="1860" spans="1:13" s="1016" customFormat="1" ht="25.2" hidden="1" customHeight="1">
      <c r="A1860" s="1086">
        <f t="shared" si="74"/>
        <v>0</v>
      </c>
      <c r="B1860" s="1087" t="s">
        <v>731</v>
      </c>
      <c r="C1860" s="2842"/>
      <c r="D1860" s="1023"/>
      <c r="E1860" s="1012" t="str">
        <f>VLOOKUP($B1860,DG!A:D,DG!$B$2,)</f>
        <v>06.3231</v>
      </c>
      <c r="F1860" s="1013" t="str">
        <f>VLOOKUP($B1860,DG!A:D,DG!$C$2,)&amp;": CD-320"</f>
        <v>Cổ dê kẹp ống PVC Ø 114: CD-320</v>
      </c>
      <c r="G1860" s="1012" t="s">
        <v>2439</v>
      </c>
      <c r="H1860" s="1713">
        <f>H1851*1</f>
        <v>0</v>
      </c>
      <c r="I1860" s="1192">
        <f t="shared" si="75"/>
        <v>0</v>
      </c>
      <c r="J1860" s="1014"/>
      <c r="K1860" s="1014"/>
      <c r="L1860" s="1043"/>
      <c r="M1860" s="934">
        <v>400</v>
      </c>
    </row>
    <row r="1861" spans="1:13" s="1016" customFormat="1" ht="25.2" hidden="1" customHeight="1">
      <c r="A1861" s="1086">
        <f t="shared" si="74"/>
        <v>0</v>
      </c>
      <c r="B1861" s="1260" t="s">
        <v>381</v>
      </c>
      <c r="C1861" s="2866"/>
      <c r="D1861" s="1023"/>
      <c r="E1861" s="1012">
        <f>VLOOKUP($B1861,DG!A:D,DG!$B$2,)</f>
        <v>0</v>
      </c>
      <c r="F1861" s="1013" t="str">
        <f>VLOOKUP($B1861,DG!A:D,DG!$C$2,)&amp;": CD-320"</f>
        <v>Chụp đầu cực FCO (bộ 2 cái): CD-320</v>
      </c>
      <c r="G1861" s="1012" t="s">
        <v>2439</v>
      </c>
      <c r="H1861" s="1713"/>
      <c r="I1861" s="1192">
        <f t="shared" si="75"/>
        <v>0</v>
      </c>
      <c r="J1861" s="1014"/>
      <c r="K1861" s="1014"/>
      <c r="L1861" s="1043"/>
      <c r="M1861" s="934">
        <v>400</v>
      </c>
    </row>
    <row r="1862" spans="1:13" s="1016" customFormat="1" ht="25.2" hidden="1" customHeight="1">
      <c r="A1862" s="1086">
        <f t="shared" si="74"/>
        <v>0</v>
      </c>
      <c r="B1862" s="1260" t="s">
        <v>379</v>
      </c>
      <c r="C1862" s="2866"/>
      <c r="D1862" s="1023"/>
      <c r="E1862" s="1012">
        <f>VLOOKUP($B1862,DG!A:D,DG!$B$2,)</f>
        <v>0</v>
      </c>
      <c r="F1862" s="1013" t="str">
        <f>VLOOKUP($B1862,DG!A:D,DG!$C$2,)&amp;": CD-320"</f>
        <v>Chụp đầu cực LA: CD-320</v>
      </c>
      <c r="G1862" s="1012" t="s">
        <v>2439</v>
      </c>
      <c r="H1862" s="1713"/>
      <c r="I1862" s="1192">
        <f t="shared" si="75"/>
        <v>0</v>
      </c>
      <c r="J1862" s="1014"/>
      <c r="K1862" s="1014"/>
      <c r="L1862" s="1043"/>
      <c r="M1862" s="934">
        <v>400</v>
      </c>
    </row>
    <row r="1863" spans="1:13" s="1016" customFormat="1" ht="25.2" hidden="1" customHeight="1">
      <c r="A1863" s="1086">
        <f t="shared" si="74"/>
        <v>0</v>
      </c>
      <c r="B1863" s="1260" t="s">
        <v>380</v>
      </c>
      <c r="C1863" s="2866"/>
      <c r="D1863" s="1023"/>
      <c r="E1863" s="1012">
        <f>VLOOKUP($B1863,DG!A:D,DG!$B$2,)</f>
        <v>0</v>
      </c>
      <c r="F1863" s="1013" t="str">
        <f>VLOOKUP($B1863,DG!A:D,DG!$C$2,)&amp;": CD-320"</f>
        <v>Chụp đầu MBA: CD-320</v>
      </c>
      <c r="G1863" s="1012" t="s">
        <v>2439</v>
      </c>
      <c r="H1863" s="1713"/>
      <c r="I1863" s="1192">
        <f t="shared" si="75"/>
        <v>0</v>
      </c>
      <c r="J1863" s="1014"/>
      <c r="K1863" s="1014"/>
      <c r="L1863" s="1043"/>
      <c r="M1863" s="934">
        <v>400</v>
      </c>
    </row>
    <row r="1864" spans="1:13" s="1016" customFormat="1" ht="25.2" hidden="1" customHeight="1">
      <c r="A1864" s="1086">
        <f t="shared" si="74"/>
        <v>0</v>
      </c>
      <c r="B1864" s="1087" t="s">
        <v>1131</v>
      </c>
      <c r="C1864" s="2842"/>
      <c r="D1864" s="1023"/>
      <c r="E1864" s="1012" t="str">
        <f>VLOOKUP($B1864,DG!A:D,DG!$B$2,)</f>
        <v>06.2110</v>
      </c>
      <c r="F1864" s="1013" t="str">
        <f>VLOOKUP($B1864,DG!A:D,DG!$C$2,)</f>
        <v>Lắp cổ dê</v>
      </c>
      <c r="G1864" s="1012" t="str">
        <f>VLOOKUP($B1864,DG!A:D,DG!$D$2,)</f>
        <v>bộ</v>
      </c>
      <c r="H1864" s="1713">
        <f>H1851*3</f>
        <v>0</v>
      </c>
      <c r="I1864" s="1192">
        <f t="shared" si="75"/>
        <v>0</v>
      </c>
      <c r="J1864" s="1014"/>
      <c r="K1864" s="1014"/>
      <c r="L1864" s="1043"/>
      <c r="M1864" s="934">
        <v>400</v>
      </c>
    </row>
    <row r="1865" spans="1:13" s="1016" customFormat="1" ht="25.2" hidden="1" customHeight="1">
      <c r="A1865" s="1086">
        <f t="shared" si="74"/>
        <v>0</v>
      </c>
      <c r="B1865" s="1226" t="s">
        <v>2167</v>
      </c>
      <c r="C1865" s="2841"/>
      <c r="D1865" s="1023"/>
      <c r="E1865" s="1012">
        <f>VLOOKUP($B1865,DG!A:D,DG!$B$2,)</f>
        <v>0</v>
      </c>
      <c r="F1865" s="1013" t="str">
        <f>VLOOKUP($B1865,DG!A:D,DG!$C$2,)</f>
        <v>Khâu ven răng trong D114</v>
      </c>
      <c r="G1865" s="1012" t="str">
        <f>VLOOKUP($B1865,DG!A:D,DG!$D$2,)</f>
        <v>cái</v>
      </c>
      <c r="H1865" s="1713">
        <f>H1851*2</f>
        <v>0</v>
      </c>
      <c r="I1865" s="1192">
        <f t="shared" si="75"/>
        <v>0</v>
      </c>
      <c r="J1865" s="1014"/>
      <c r="K1865" s="1014"/>
      <c r="L1865" s="1043"/>
      <c r="M1865" s="934">
        <v>400</v>
      </c>
    </row>
    <row r="1866" spans="1:13" s="1016" customFormat="1" ht="25.2" hidden="1" customHeight="1">
      <c r="A1866" s="1086">
        <f t="shared" si="74"/>
        <v>0</v>
      </c>
      <c r="B1866" s="1226" t="s">
        <v>2168</v>
      </c>
      <c r="C1866" s="2841"/>
      <c r="D1866" s="1023"/>
      <c r="E1866" s="1012">
        <f>VLOOKUP($B1866,DG!A:D,DG!$B$2,)</f>
        <v>0</v>
      </c>
      <c r="F1866" s="1013" t="str">
        <f>VLOOKUP($B1866,DG!A:D,DG!$C$2,)&amp;": "</f>
        <v xml:space="preserve">Khâu ven răng ngoài D114: </v>
      </c>
      <c r="G1866" s="1012" t="str">
        <f>VLOOKUP($B1866,DG!A:D,DG!$D$2,)</f>
        <v>cái</v>
      </c>
      <c r="H1866" s="1713">
        <f>H1865</f>
        <v>0</v>
      </c>
      <c r="I1866" s="1192">
        <f t="shared" si="75"/>
        <v>0</v>
      </c>
      <c r="J1866" s="1014"/>
      <c r="K1866" s="1014"/>
      <c r="L1866" s="1043"/>
      <c r="M1866" s="934">
        <v>400</v>
      </c>
    </row>
    <row r="1867" spans="1:13" s="1016" customFormat="1" ht="25.2" hidden="1" customHeight="1">
      <c r="A1867" s="1086">
        <f t="shared" si="74"/>
        <v>0</v>
      </c>
      <c r="B1867" s="1226" t="s">
        <v>2074</v>
      </c>
      <c r="C1867" s="2841"/>
      <c r="D1867" s="1023"/>
      <c r="E1867" s="1012">
        <f>VLOOKUP($B1867,DG!A:D,DG!$B$2,)</f>
        <v>0</v>
      </c>
      <c r="F1867" s="1013" t="str">
        <f>VLOOKUP($B1867,DG!A:D,DG!$C$2,)&amp;": "</f>
        <v xml:space="preserve">Keo dán ống PVC (100gr): </v>
      </c>
      <c r="G1867" s="1012" t="str">
        <f>VLOOKUP($B1867,DG!A:D,DG!$D$2,)</f>
        <v>tuýp</v>
      </c>
      <c r="H1867" s="1713">
        <f>H1851</f>
        <v>0</v>
      </c>
      <c r="I1867" s="1192">
        <f t="shared" si="75"/>
        <v>0</v>
      </c>
      <c r="J1867" s="1014"/>
      <c r="K1867" s="1014"/>
      <c r="L1867" s="1043"/>
      <c r="M1867" s="934">
        <v>400</v>
      </c>
    </row>
    <row r="1868" spans="1:13" s="1016" customFormat="1" ht="25.2" hidden="1" customHeight="1">
      <c r="A1868" s="1086">
        <f t="shared" si="74"/>
        <v>0</v>
      </c>
      <c r="B1868" s="1087" t="s">
        <v>6</v>
      </c>
      <c r="C1868" s="2842"/>
      <c r="D1868" s="1023"/>
      <c r="E1868" s="1012"/>
      <c r="F1868" s="1013" t="str">
        <f>VLOOKUP($B1868,DG!A:D,DG!$C$2,)&amp;":"</f>
        <v>Keo silicon bít miệng ống:</v>
      </c>
      <c r="G1868" s="1012" t="str">
        <f>VLOOKUP($B1868,DG!A:D,DG!$D$2,)</f>
        <v>ống</v>
      </c>
      <c r="H1868" s="1713">
        <f>H1867</f>
        <v>0</v>
      </c>
      <c r="I1868" s="1192">
        <f t="shared" si="75"/>
        <v>0</v>
      </c>
      <c r="J1868" s="1014"/>
      <c r="K1868" s="1014"/>
      <c r="L1868" s="1015"/>
      <c r="M1868" s="934">
        <v>400</v>
      </c>
    </row>
    <row r="1869" spans="1:13" s="1016" customFormat="1" ht="25.2" hidden="1" customHeight="1">
      <c r="A1869" s="1086">
        <f t="shared" si="74"/>
        <v>0</v>
      </c>
      <c r="B1869" s="1087" t="s">
        <v>672</v>
      </c>
      <c r="C1869" s="2842"/>
      <c r="D1869" s="1023"/>
      <c r="E1869" s="1012">
        <f>VLOOKUP($B1869,DG!A:D,DG!$B$2,)</f>
        <v>0</v>
      </c>
      <c r="F1869" s="1013" t="str">
        <f>VLOOKUP($B1869,DG!A:D,DG!$C$2,)&amp;":"</f>
        <v>Băng keo cách điện:</v>
      </c>
      <c r="G1869" s="1012" t="str">
        <f>VLOOKUP($B1869,DG!A:D,DG!$D$2,)</f>
        <v>cuộn</v>
      </c>
      <c r="H1869" s="1713">
        <f>H1868</f>
        <v>0</v>
      </c>
      <c r="I1869" s="1192">
        <f t="shared" si="75"/>
        <v>0</v>
      </c>
      <c r="J1869" s="1014"/>
      <c r="K1869" s="1014"/>
      <c r="L1869" s="1043"/>
      <c r="M1869" s="934">
        <v>400</v>
      </c>
    </row>
    <row r="1870" spans="1:13" s="1016" customFormat="1" ht="25.2" hidden="1" customHeight="1">
      <c r="A1870" s="1086">
        <f t="shared" si="74"/>
        <v>0</v>
      </c>
      <c r="B1870" s="1087" t="s">
        <v>247</v>
      </c>
      <c r="C1870" s="2842"/>
      <c r="D1870" s="1023"/>
      <c r="E1870" s="1012" t="str">
        <f>VLOOKUP($B1870,DG!A:D,DG!$B$2,)</f>
        <v>04.4203</v>
      </c>
      <c r="F1870" s="1013" t="str">
        <f>VLOOKUP($B1870,DG!A:D,DG!$C$2,)&amp;":"</f>
        <v>Lắp cáp đồng xuống thiết bị D &gt; 150mm2:</v>
      </c>
      <c r="G1870" s="1012" t="str">
        <f>VLOOKUP($B1870,DG!A:D,DG!$D$2,)</f>
        <v>m</v>
      </c>
      <c r="H1870" s="1713">
        <f>H1853+H1854</f>
        <v>0</v>
      </c>
      <c r="I1870" s="1192">
        <f t="shared" si="75"/>
        <v>0</v>
      </c>
      <c r="J1870" s="1014"/>
      <c r="K1870" s="1014"/>
      <c r="L1870" s="1043"/>
      <c r="M1870" s="934">
        <v>400</v>
      </c>
    </row>
    <row r="1871" spans="1:13" s="1016" customFormat="1" ht="25.2" hidden="1" customHeight="1">
      <c r="A1871" s="1086">
        <f t="shared" si="74"/>
        <v>0</v>
      </c>
      <c r="B1871" s="1087"/>
      <c r="C1871" s="2842"/>
      <c r="D1871" s="1017">
        <f>IF(H1871&gt;0,D1851+1,D1851)</f>
        <v>0</v>
      </c>
      <c r="E1871" s="1018"/>
      <c r="F1871" s="1027" t="s">
        <v>3729</v>
      </c>
      <c r="G1871" s="1017" t="s">
        <v>2385</v>
      </c>
      <c r="H1871" s="1743"/>
      <c r="I1871" s="1192">
        <f t="shared" si="75"/>
        <v>0</v>
      </c>
      <c r="J1871" s="1014"/>
      <c r="K1871" s="1014"/>
      <c r="L1871" s="1043"/>
      <c r="M1871" s="934">
        <v>400</v>
      </c>
    </row>
    <row r="1872" spans="1:13" s="1067" customFormat="1" ht="25.2" hidden="1" customHeight="1">
      <c r="A1872" s="1086">
        <f t="shared" si="74"/>
        <v>0</v>
      </c>
      <c r="B1872" s="1257"/>
      <c r="C1872" s="2859"/>
      <c r="D1872" s="1011"/>
      <c r="E1872" s="1021"/>
      <c r="F1872" s="1268" t="s">
        <v>2279</v>
      </c>
      <c r="G1872" s="1011"/>
      <c r="H1872" s="1723"/>
      <c r="I1872" s="1192">
        <f t="shared" si="75"/>
        <v>0</v>
      </c>
      <c r="J1872" s="1014"/>
      <c r="K1872" s="1014"/>
      <c r="L1872" s="1043"/>
      <c r="M1872" s="934">
        <v>400</v>
      </c>
    </row>
    <row r="1873" spans="1:13" s="1016" customFormat="1" ht="25.2" hidden="1" customHeight="1">
      <c r="A1873" s="1086">
        <f t="shared" si="74"/>
        <v>0</v>
      </c>
      <c r="B1873" s="1226" t="s">
        <v>1822</v>
      </c>
      <c r="C1873" s="2841"/>
      <c r="D1873" s="1043"/>
      <c r="E1873" s="1012" t="str">
        <f>VLOOKUP($B1873,DG!A:D,DG!$B$2,)</f>
        <v>03.1401</v>
      </c>
      <c r="F1873" s="1041" t="str">
        <f>VLOOKUP($B1873,DG!A:D,DG!$C$2,)</f>
        <v xml:space="preserve">Cáp CVV 4x2,5mm2  </v>
      </c>
      <c r="G1873" s="1068" t="str">
        <f>VLOOKUP($B1873,DG!A:D,DG!$D$2,)</f>
        <v>mét</v>
      </c>
      <c r="H1873" s="1713">
        <f>H1871*26</f>
        <v>0</v>
      </c>
      <c r="I1873" s="1192">
        <f t="shared" si="75"/>
        <v>0</v>
      </c>
      <c r="J1873" s="1064"/>
      <c r="K1873" s="1064"/>
      <c r="L1873" s="1043"/>
      <c r="M1873" s="934">
        <v>400</v>
      </c>
    </row>
    <row r="1874" spans="1:13" s="1016" customFormat="1" ht="25.2" hidden="1" customHeight="1">
      <c r="A1874" s="1086">
        <f t="shared" si="74"/>
        <v>0</v>
      </c>
      <c r="B1874" s="1226" t="s">
        <v>246</v>
      </c>
      <c r="C1874" s="2841"/>
      <c r="D1874" s="1043"/>
      <c r="E1874" s="1012" t="str">
        <f>VLOOKUP($B1874,DG!A:D,DG!$B$2,)</f>
        <v>05.6101</v>
      </c>
      <c r="F1874" s="1041" t="str">
        <f>VLOOKUP($B1874,DG!A:D,DG!$C$2,)</f>
        <v>Xà kẹp TU, TI U50x32x4 350</v>
      </c>
      <c r="G1874" s="1068" t="str">
        <f>VLOOKUP($B1874,DG!A:D,DG!$D$2,)</f>
        <v>Bộ</v>
      </c>
      <c r="H1874" s="1713">
        <f>H1871*24</f>
        <v>0</v>
      </c>
      <c r="I1874" s="1192">
        <f t="shared" si="75"/>
        <v>0</v>
      </c>
      <c r="J1874" s="1064"/>
      <c r="K1874" s="1064"/>
      <c r="L1874" s="1043"/>
      <c r="M1874" s="934">
        <v>400</v>
      </c>
    </row>
    <row r="1875" spans="1:13" s="1016" customFormat="1" ht="25.2" hidden="1" customHeight="1">
      <c r="A1875" s="1086">
        <f t="shared" si="74"/>
        <v>0</v>
      </c>
      <c r="B1875" s="1226" t="s">
        <v>1995</v>
      </c>
      <c r="C1875" s="2841"/>
      <c r="D1875" s="1043"/>
      <c r="E1875" s="1012" t="str">
        <f>VLOOKUP($B1875,DG!A:D,DG!$B$2,)</f>
        <v>05.6401</v>
      </c>
      <c r="F1875" s="1041" t="str">
        <f>VLOOKUP($B1875,DG!A:D,DG!$C$2,)</f>
        <v>Lắp xà đỡ ≤ 25kg</v>
      </c>
      <c r="G1875" s="1068" t="str">
        <f>VLOOKUP($B1875,DG!A:D,DG!$D$2,)</f>
        <v>bộ</v>
      </c>
      <c r="H1875" s="1713">
        <f>H1871</f>
        <v>0</v>
      </c>
      <c r="I1875" s="1192">
        <f t="shared" si="75"/>
        <v>0</v>
      </c>
      <c r="J1875" s="1064"/>
      <c r="K1875" s="1064"/>
      <c r="L1875" s="1043"/>
      <c r="M1875" s="934">
        <v>400</v>
      </c>
    </row>
    <row r="1876" spans="1:13" s="1016" customFormat="1" ht="25.2" hidden="1" customHeight="1">
      <c r="A1876" s="1086">
        <f t="shared" si="74"/>
        <v>0</v>
      </c>
      <c r="B1876" s="1226" t="s">
        <v>1865</v>
      </c>
      <c r="C1876" s="2841"/>
      <c r="D1876" s="1023"/>
      <c r="E1876" s="1012" t="str">
        <f>VLOOKUP($B1876,DG!A:D,DG!$B$2,)</f>
        <v>03.4001</v>
      </c>
      <c r="F1876" s="1041" t="str">
        <f>VLOOKUP($B1876,DG!A:D,DG!$C$2,)</f>
        <v xml:space="preserve">Đầu cosse ép Cu 2,5mm2 + bao PVC </v>
      </c>
      <c r="G1876" s="1068" t="str">
        <f>VLOOKUP($B1876,DG!A:D,DG!$D$2,)</f>
        <v>cái</v>
      </c>
      <c r="H1876" s="1713">
        <f>H1871*16</f>
        <v>0</v>
      </c>
      <c r="I1876" s="1192">
        <f t="shared" si="75"/>
        <v>0</v>
      </c>
      <c r="J1876" s="1064"/>
      <c r="K1876" s="1064"/>
      <c r="L1876" s="1043"/>
      <c r="M1876" s="934">
        <v>400</v>
      </c>
    </row>
    <row r="1877" spans="1:13" s="1016" customFormat="1" ht="25.2" hidden="1" customHeight="1">
      <c r="A1877" s="1086">
        <f t="shared" si="74"/>
        <v>0</v>
      </c>
      <c r="B1877" s="1226" t="s">
        <v>1510</v>
      </c>
      <c r="C1877" s="2841"/>
      <c r="D1877" s="1023"/>
      <c r="E1877" s="1012">
        <f>VLOOKUP($B1877,DG!A:D,DG!$B$2,)</f>
        <v>0</v>
      </c>
      <c r="F1877" s="1041" t="str">
        <f>VLOOKUP($B1877,DG!A:D,DG!$C$2,)</f>
        <v>Dây điện đôi 16/10</v>
      </c>
      <c r="G1877" s="1068" t="str">
        <f>VLOOKUP($B1877,DG!A:D,DG!$D$2,)</f>
        <v>mét</v>
      </c>
      <c r="H1877" s="1713">
        <f>2*H1871</f>
        <v>0</v>
      </c>
      <c r="I1877" s="1192">
        <f t="shared" si="75"/>
        <v>0</v>
      </c>
      <c r="J1877" s="1064"/>
      <c r="K1877" s="1064"/>
      <c r="L1877" s="1043"/>
      <c r="M1877" s="934">
        <v>400</v>
      </c>
    </row>
    <row r="1878" spans="1:13" s="1016" customFormat="1" ht="25.2" hidden="1" customHeight="1">
      <c r="A1878" s="1086">
        <f t="shared" si="74"/>
        <v>0</v>
      </c>
      <c r="B1878" s="1226" t="s">
        <v>1114</v>
      </c>
      <c r="C1878" s="2841"/>
      <c r="D1878" s="1023"/>
      <c r="E1878" s="1012">
        <f>VLOOKUP($B1878,DG!A:D,DG!$B$2,)</f>
        <v>0</v>
      </c>
      <c r="F1878" s="1041" t="str">
        <f>VLOOKUP($B1878,DG!A:D,DG!$C$2,)&amp;" (ñaáu TU )"</f>
        <v>Kẹp ép cỡ dây 25mm2 (ñaáu TU )</v>
      </c>
      <c r="G1878" s="1068" t="str">
        <f>VLOOKUP($B1878,DG!A:D,DG!$D$2,)</f>
        <v>cái</v>
      </c>
      <c r="H1878" s="1713">
        <f>+H1871*3</f>
        <v>0</v>
      </c>
      <c r="I1878" s="1192">
        <f t="shared" si="75"/>
        <v>0</v>
      </c>
      <c r="J1878" s="1064"/>
      <c r="K1878" s="1064"/>
      <c r="L1878" s="1043"/>
      <c r="M1878" s="934">
        <v>400</v>
      </c>
    </row>
    <row r="1879" spans="1:13" s="1016" customFormat="1" ht="25.2" hidden="1" customHeight="1">
      <c r="A1879" s="1086">
        <f t="shared" si="74"/>
        <v>0</v>
      </c>
      <c r="B1879" s="1226" t="s">
        <v>2141</v>
      </c>
      <c r="C1879" s="2841"/>
      <c r="D1879" s="1023"/>
      <c r="E1879" s="1012" t="str">
        <f>VLOOKUP($B1879,DG!A:D,DG!$B$2,)</f>
        <v>07.2403</v>
      </c>
      <c r="F1879" s="1041" t="str">
        <f>VLOOKUP($B1879,DG!A:D,DG!$C$2,)</f>
        <v>Ống PVC D42x2,1mm</v>
      </c>
      <c r="G1879" s="1068" t="str">
        <f>VLOOKUP($B1879,DG!A:D,DG!$D$2,)</f>
        <v>m</v>
      </c>
      <c r="H1879" s="1713">
        <f>H1871*16</f>
        <v>0</v>
      </c>
      <c r="I1879" s="1192">
        <f t="shared" si="75"/>
        <v>0</v>
      </c>
      <c r="J1879" s="1064"/>
      <c r="K1879" s="1064"/>
      <c r="L1879" s="1043"/>
      <c r="M1879" s="934">
        <v>400</v>
      </c>
    </row>
    <row r="1880" spans="1:13" s="1016" customFormat="1" ht="25.2" hidden="1" customHeight="1">
      <c r="A1880" s="1086">
        <f t="shared" si="74"/>
        <v>0</v>
      </c>
      <c r="B1880" s="1087" t="s">
        <v>204</v>
      </c>
      <c r="C1880" s="2842"/>
      <c r="D1880" s="1023"/>
      <c r="E1880" s="1012" t="str">
        <f>VLOOKUP($B1880,DG!A:D,DG!$B$2,)</f>
        <v>06.3231</v>
      </c>
      <c r="F1880" s="1041" t="str">
        <f>VLOOKUP($B1880,DG!A:D,DG!$C$2,)</f>
        <v>Cổ dê giữ ống PVC D42</v>
      </c>
      <c r="G1880" s="1068" t="s">
        <v>2439</v>
      </c>
      <c r="H1880" s="1713">
        <f>3*H1871</f>
        <v>0</v>
      </c>
      <c r="I1880" s="1192">
        <f t="shared" si="75"/>
        <v>0</v>
      </c>
      <c r="J1880" s="1064"/>
      <c r="K1880" s="1064"/>
      <c r="L1880" s="1043"/>
      <c r="M1880" s="934">
        <v>400</v>
      </c>
    </row>
    <row r="1881" spans="1:13" s="1016" customFormat="1" ht="25.2" hidden="1" customHeight="1">
      <c r="A1881" s="1086">
        <f t="shared" si="74"/>
        <v>0</v>
      </c>
      <c r="B1881" s="1226" t="s">
        <v>1616</v>
      </c>
      <c r="C1881" s="2841"/>
      <c r="D1881" s="1023"/>
      <c r="E1881" s="1012">
        <f>VLOOKUP($B1881,DG!A:D,DG!$B$2,)</f>
        <v>0</v>
      </c>
      <c r="F1881" s="1041" t="str">
        <f>VLOOKUP($B1881,DG!A:D,DG!$C$2,)</f>
        <v>Co 90 độ PVC 42</v>
      </c>
      <c r="G1881" s="1068" t="str">
        <f>VLOOKUP($B1881,DG!A:D,DG!$D$2,)</f>
        <v>cái</v>
      </c>
      <c r="H1881" s="1713">
        <f>H1871*5</f>
        <v>0</v>
      </c>
      <c r="I1881" s="1192">
        <f t="shared" si="75"/>
        <v>0</v>
      </c>
      <c r="J1881" s="1064"/>
      <c r="K1881" s="1064"/>
      <c r="L1881" s="1043"/>
      <c r="M1881" s="934">
        <v>400</v>
      </c>
    </row>
    <row r="1882" spans="1:13" s="1016" customFormat="1" ht="25.2" hidden="1" customHeight="1">
      <c r="A1882" s="1086">
        <f t="shared" ref="A1882:A1945" si="76">IF(AND(M1882=$M$23,I1882&gt;0),1,0)</f>
        <v>0</v>
      </c>
      <c r="B1882" s="1226" t="s">
        <v>1050</v>
      </c>
      <c r="C1882" s="2841"/>
      <c r="D1882" s="1023"/>
      <c r="E1882" s="1012">
        <f>VLOOKUP($B1882,DG!A:D,DG!$B$2,)</f>
        <v>0</v>
      </c>
      <c r="F1882" s="1041" t="str">
        <f>VLOOKUP($B1882,DG!A:D,DG!$C$2,)</f>
        <v>Co chữ T ống PVC 42</v>
      </c>
      <c r="G1882" s="1068" t="str">
        <f>VLOOKUP($B1882,DG!A:D,DG!$D$2,)</f>
        <v>cái</v>
      </c>
      <c r="H1882" s="1713">
        <f>H1871*5</f>
        <v>0</v>
      </c>
      <c r="I1882" s="1192">
        <f t="shared" si="75"/>
        <v>0</v>
      </c>
      <c r="J1882" s="1064"/>
      <c r="K1882" s="1064"/>
      <c r="L1882" s="1043"/>
      <c r="M1882" s="934">
        <v>400</v>
      </c>
    </row>
    <row r="1883" spans="1:13" s="1016" customFormat="1" ht="25.2" hidden="1" customHeight="1">
      <c r="A1883" s="1086">
        <f t="shared" si="76"/>
        <v>0</v>
      </c>
      <c r="B1883" s="1226" t="s">
        <v>1913</v>
      </c>
      <c r="C1883" s="2841"/>
      <c r="D1883" s="1023"/>
      <c r="E1883" s="1012">
        <f>VLOOKUP($B1883,DG!A:D,DG!$B$2,)</f>
        <v>0</v>
      </c>
      <c r="F1883" s="1041" t="str">
        <f>VLOOKUP($B1883,DG!A:D,DG!$C$2,)</f>
        <v>Nối thẳng ống PVC 42</v>
      </c>
      <c r="G1883" s="1068" t="str">
        <f>VLOOKUP($B1883,DG!A:D,DG!$D$2,)</f>
        <v>cái</v>
      </c>
      <c r="H1883" s="1713">
        <f>H1871</f>
        <v>0</v>
      </c>
      <c r="I1883" s="1192">
        <f t="shared" si="75"/>
        <v>0</v>
      </c>
      <c r="J1883" s="1064"/>
      <c r="K1883" s="1064"/>
      <c r="L1883" s="1043"/>
      <c r="M1883" s="934">
        <v>400</v>
      </c>
    </row>
    <row r="1884" spans="1:13" s="1016" customFormat="1" ht="25.2" hidden="1" customHeight="1">
      <c r="A1884" s="1086">
        <f t="shared" si="76"/>
        <v>0</v>
      </c>
      <c r="B1884" s="1226" t="s">
        <v>726</v>
      </c>
      <c r="C1884" s="2841"/>
      <c r="D1884" s="1023"/>
      <c r="E1884" s="1012">
        <f>VLOOKUP($B1884,DG!A:D,DG!$B$2,)</f>
        <v>0</v>
      </c>
      <c r="F1884" s="1041" t="str">
        <f>VLOOKUP($B1884,DG!A:D,DG!$C$2,)</f>
        <v>Keo dán ống PVC (500gr)</v>
      </c>
      <c r="G1884" s="1068" t="str">
        <f>VLOOKUP($B1884,DG!A:D,DG!$D$2,)</f>
        <v>lon</v>
      </c>
      <c r="H1884" s="1713">
        <f>H1871</f>
        <v>0</v>
      </c>
      <c r="I1884" s="1192">
        <f t="shared" si="75"/>
        <v>0</v>
      </c>
      <c r="J1884" s="1064"/>
      <c r="K1884" s="1064"/>
      <c r="L1884" s="1043"/>
      <c r="M1884" s="934">
        <v>400</v>
      </c>
    </row>
    <row r="1885" spans="1:13" s="1016" customFormat="1" ht="25.2" hidden="1" customHeight="1">
      <c r="A1885" s="1086">
        <f t="shared" si="76"/>
        <v>0</v>
      </c>
      <c r="B1885" s="1087" t="s">
        <v>672</v>
      </c>
      <c r="C1885" s="2842"/>
      <c r="D1885" s="1023"/>
      <c r="E1885" s="1012">
        <f>VLOOKUP($B1885,DG!A:D,DG!$B$2,)</f>
        <v>0</v>
      </c>
      <c r="F1885" s="1041" t="str">
        <f>VLOOKUP($B1885,DG!A:D,DG!$C$2,)</f>
        <v>Băng keo cách điện</v>
      </c>
      <c r="G1885" s="1068" t="str">
        <f>VLOOKUP($B1885,DG!A:D,DG!$D$2,)</f>
        <v>cuộn</v>
      </c>
      <c r="H1885" s="1713">
        <f>H1871</f>
        <v>0</v>
      </c>
      <c r="I1885" s="1192">
        <f t="shared" si="75"/>
        <v>0</v>
      </c>
      <c r="J1885" s="1014"/>
      <c r="K1885" s="1014"/>
      <c r="L1885" s="1043"/>
      <c r="M1885" s="934">
        <v>400</v>
      </c>
    </row>
    <row r="1886" spans="1:13" s="1016" customFormat="1" ht="25.2" hidden="1" customHeight="1">
      <c r="A1886" s="1086">
        <f t="shared" si="76"/>
        <v>0</v>
      </c>
      <c r="B1886" s="1226" t="s">
        <v>2120</v>
      </c>
      <c r="C1886" s="2841"/>
      <c r="D1886" s="1023"/>
      <c r="E1886" s="1012">
        <f>VLOOKUP($B1886,DG!A:D,DG!$B$2,)</f>
        <v>0</v>
      </c>
      <c r="F1886" s="1041" t="str">
        <f>VLOOKUP($B1886,DG!A:D,DG!$C$2,)</f>
        <v>Khâu ven răng trong D42</v>
      </c>
      <c r="G1886" s="1068" t="str">
        <f>VLOOKUP($B1886,DG!A:D,DG!$D$2,)</f>
        <v>cái</v>
      </c>
      <c r="H1886" s="1713">
        <f>H1871</f>
        <v>0</v>
      </c>
      <c r="I1886" s="1192">
        <f t="shared" si="75"/>
        <v>0</v>
      </c>
      <c r="J1886" s="1014"/>
      <c r="K1886" s="1014"/>
      <c r="L1886" s="1043"/>
      <c r="M1886" s="934">
        <v>400</v>
      </c>
    </row>
    <row r="1887" spans="1:13" s="1016" customFormat="1" ht="25.2" hidden="1" customHeight="1">
      <c r="A1887" s="1086">
        <f t="shared" si="76"/>
        <v>0</v>
      </c>
      <c r="B1887" s="1087" t="s">
        <v>959</v>
      </c>
      <c r="C1887" s="2842"/>
      <c r="D1887" s="1023"/>
      <c r="E1887" s="1012">
        <f>VLOOKUP($B1887,DG!A:D,DG!$B$2,)</f>
        <v>0</v>
      </c>
      <c r="F1887" s="1041" t="str">
        <f>VLOOKUP($B1887,DG!A:D,DG!$C$2,)</f>
        <v>Khâu ven răng ngoài D42</v>
      </c>
      <c r="G1887" s="1068" t="str">
        <f>VLOOKUP($B1887,DG!A:D,DG!$D$2,)</f>
        <v>cái</v>
      </c>
      <c r="H1887" s="1713">
        <f>H1871</f>
        <v>0</v>
      </c>
      <c r="I1887" s="1192">
        <f t="shared" si="75"/>
        <v>0</v>
      </c>
      <c r="J1887" s="1014"/>
      <c r="K1887" s="1014"/>
      <c r="L1887" s="1043"/>
      <c r="M1887" s="934">
        <v>400</v>
      </c>
    </row>
    <row r="1888" spans="1:13" s="1016" customFormat="1" ht="25.2" hidden="1" customHeight="1">
      <c r="A1888" s="1086">
        <f t="shared" si="76"/>
        <v>0</v>
      </c>
      <c r="B1888" s="1087" t="s">
        <v>319</v>
      </c>
      <c r="C1888" s="2842"/>
      <c r="D1888" s="1023"/>
      <c r="E1888" s="1012" t="str">
        <f>VLOOKUP($B1888,DG!A:D,DG!$B$2,)</f>
        <v>06.3231</v>
      </c>
      <c r="F1888" s="1041" t="str">
        <f>VLOOKUP($B1888,DG!A:D,DG!$C$2,)</f>
        <v>Cổ dê CDĐKĐT( bắt thùng điện kế)</v>
      </c>
      <c r="G1888" s="1068" t="s">
        <v>2439</v>
      </c>
      <c r="H1888" s="1744">
        <f>H1871*2</f>
        <v>0</v>
      </c>
      <c r="I1888" s="1192">
        <f t="shared" si="75"/>
        <v>0</v>
      </c>
      <c r="J1888" s="1014"/>
      <c r="K1888" s="1014"/>
      <c r="L1888" s="1015"/>
      <c r="M1888" s="934">
        <v>400</v>
      </c>
    </row>
    <row r="1889" spans="1:13" s="1016" customFormat="1" ht="25.2" hidden="1" customHeight="1">
      <c r="A1889" s="1086">
        <f t="shared" si="76"/>
        <v>0</v>
      </c>
      <c r="B1889" s="1087" t="s">
        <v>1915</v>
      </c>
      <c r="C1889" s="2842"/>
      <c r="D1889" s="1023"/>
      <c r="E1889" s="1012" t="str">
        <f>VLOOKUP($B1889,DG!A:D,DG!$B$2,)</f>
        <v>05.1101</v>
      </c>
      <c r="F1889" s="1041" t="str">
        <f>VLOOKUP($B1889,DG!A:D,DG!$C$2,)</f>
        <v>Thùng điện kế 450x300x200mm đo đếm trung thế</v>
      </c>
      <c r="G1889" s="1068" t="str">
        <f>VLOOKUP($B1889,DG!A:D,DG!$D$2,)</f>
        <v>cái</v>
      </c>
      <c r="H1889" s="1713">
        <f>H1871</f>
        <v>0</v>
      </c>
      <c r="I1889" s="1192">
        <f t="shared" si="75"/>
        <v>0</v>
      </c>
      <c r="J1889" s="1014"/>
      <c r="K1889" s="1014"/>
      <c r="L1889" s="1043"/>
      <c r="M1889" s="934">
        <v>400</v>
      </c>
    </row>
    <row r="1890" spans="1:13" s="1016" customFormat="1" ht="25.2" hidden="1" customHeight="1">
      <c r="A1890" s="1086">
        <f t="shared" si="76"/>
        <v>0</v>
      </c>
      <c r="B1890" s="1087" t="s">
        <v>6</v>
      </c>
      <c r="C1890" s="2842"/>
      <c r="D1890" s="1023"/>
      <c r="E1890" s="1012">
        <f>VLOOKUP($B1890,DG!A:D,DG!$B$2,)</f>
        <v>0</v>
      </c>
      <c r="F1890" s="1041" t="str">
        <f>VLOOKUP($B1890,DG!A:D,DG!$C$2,)</f>
        <v>Keo silicon bít miệng ống</v>
      </c>
      <c r="G1890" s="1068" t="str">
        <f>VLOOKUP($B1890,DG!A:D,DG!$D$2,)</f>
        <v>ống</v>
      </c>
      <c r="H1890" s="1713">
        <f>H1871</f>
        <v>0</v>
      </c>
      <c r="I1890" s="1192">
        <f t="shared" si="75"/>
        <v>0</v>
      </c>
      <c r="J1890" s="1014"/>
      <c r="K1890" s="1014"/>
      <c r="L1890" s="1043"/>
      <c r="M1890" s="934">
        <v>400</v>
      </c>
    </row>
    <row r="1891" spans="1:13" s="1016" customFormat="1" ht="25.2" hidden="1" customHeight="1">
      <c r="A1891" s="1086">
        <f t="shared" si="76"/>
        <v>0</v>
      </c>
      <c r="B1891" s="1087" t="s">
        <v>2139</v>
      </c>
      <c r="C1891" s="2842"/>
      <c r="D1891" s="1023"/>
      <c r="E1891" s="1012">
        <f>VLOOKUP($B1891,DG!A:D,DG!$B$2,)</f>
        <v>0</v>
      </c>
      <c r="F1891" s="1041" t="str">
        <f>VLOOKUP($B1891,DG!A:D,DG!$C$2,)</f>
        <v>Dây đồng trần mềm dẹt</v>
      </c>
      <c r="G1891" s="1068" t="str">
        <f>VLOOKUP($B1891,DG!A:D,DG!$D$2,)</f>
        <v>mét</v>
      </c>
      <c r="H1891" s="1713">
        <f>H1871*4</f>
        <v>0</v>
      </c>
      <c r="I1891" s="1192">
        <f t="shared" si="75"/>
        <v>0</v>
      </c>
      <c r="J1891" s="1014"/>
      <c r="K1891" s="1014"/>
      <c r="L1891" s="1043"/>
      <c r="M1891" s="934">
        <v>400</v>
      </c>
    </row>
    <row r="1892" spans="1:13" s="1016" customFormat="1" ht="25.2" hidden="1" customHeight="1">
      <c r="A1892" s="1086">
        <f t="shared" si="76"/>
        <v>0</v>
      </c>
      <c r="B1892" s="1087" t="s">
        <v>1219</v>
      </c>
      <c r="C1892" s="2842"/>
      <c r="D1892" s="1023"/>
      <c r="E1892" s="1012" t="str">
        <f>VLOOKUP($B1892,DG!A:D,DG!$B$2,)</f>
        <v>06.3191</v>
      </c>
      <c r="F1892" s="1041" t="str">
        <f>VLOOKUP($B1892,DG!A:D,DG!$C$2,)</f>
        <v>Bảng tên trạm, bảng báo nguy hiểm + đinh vít</v>
      </c>
      <c r="G1892" s="1068" t="str">
        <f>VLOOKUP($B1892,DG!A:D,DG!$D$2,)</f>
        <v>bộ</v>
      </c>
      <c r="H1892" s="1713">
        <f>H1871</f>
        <v>0</v>
      </c>
      <c r="I1892" s="1192">
        <f t="shared" si="75"/>
        <v>0</v>
      </c>
      <c r="J1892" s="1014"/>
      <c r="K1892" s="1014"/>
      <c r="L1892" s="1043"/>
      <c r="M1892" s="934">
        <v>400</v>
      </c>
    </row>
    <row r="1893" spans="1:13" s="1016" customFormat="1" ht="25.2" hidden="1" customHeight="1">
      <c r="A1893" s="1086">
        <f t="shared" si="76"/>
        <v>0</v>
      </c>
      <c r="B1893" s="1087" t="s">
        <v>1350</v>
      </c>
      <c r="C1893" s="2842"/>
      <c r="D1893" s="1023"/>
      <c r="E1893" s="1012">
        <f>VLOOKUP($B1893,DG!A:D,DG!$B$2,)</f>
        <v>0</v>
      </c>
      <c r="F1893" s="1041" t="str">
        <f>VLOOKUP($B1893,DG!A:D,DG!$C$2,)&amp;" baét thuøng ÑKÑT"</f>
        <v>Boulon 12x60+ 2 long đền vuông D14-50x50x3/Zn baét thuøng ÑKÑT</v>
      </c>
      <c r="G1893" s="1068" t="str">
        <f>VLOOKUP($B1893,DG!A:D,DG!$D$2,)</f>
        <v>bộ</v>
      </c>
      <c r="H1893" s="1713">
        <f>4*H1871*0</f>
        <v>0</v>
      </c>
      <c r="I1893" s="1192">
        <f t="shared" si="75"/>
        <v>0</v>
      </c>
      <c r="J1893" s="1014"/>
      <c r="K1893" s="1014"/>
      <c r="L1893" s="1043"/>
      <c r="M1893" s="934">
        <v>400</v>
      </c>
    </row>
    <row r="1894" spans="1:13" s="1016" customFormat="1" ht="25.2" hidden="1" customHeight="1">
      <c r="A1894" s="1086">
        <f t="shared" si="76"/>
        <v>0</v>
      </c>
      <c r="B1894" s="1087"/>
      <c r="C1894" s="2842"/>
      <c r="D1894" s="1048"/>
      <c r="E1894" s="1049"/>
      <c r="F1894" s="1038" t="s">
        <v>3730</v>
      </c>
      <c r="G1894" s="1038"/>
      <c r="H1894" s="1730"/>
      <c r="I1894" s="1192">
        <f t="shared" si="75"/>
        <v>0</v>
      </c>
      <c r="J1894" s="1038"/>
      <c r="K1894" s="1038"/>
      <c r="L1894" s="1069"/>
      <c r="M1894" s="934">
        <v>400</v>
      </c>
    </row>
    <row r="1895" spans="1:13" s="1016" customFormat="1" ht="25.2" hidden="1" customHeight="1">
      <c r="A1895" s="1086">
        <f t="shared" si="76"/>
        <v>0</v>
      </c>
      <c r="B1895" s="1087" t="s">
        <v>966</v>
      </c>
      <c r="C1895" s="2842"/>
      <c r="D1895" s="1023"/>
      <c r="E1895" s="1012" t="str">
        <f>VLOOKUP($B1895,DG!A:D,DG!$B$2,)</f>
        <v>02.5114</v>
      </c>
      <c r="F1895" s="1041" t="s">
        <v>3731</v>
      </c>
      <c r="G1895" s="1068" t="str">
        <f>VLOOKUP($B1895,DG!A:D,DG!$D$2,)</f>
        <v>cái</v>
      </c>
      <c r="H1895" s="1713"/>
      <c r="I1895" s="1192">
        <f t="shared" si="75"/>
        <v>0</v>
      </c>
      <c r="J1895" s="1014"/>
      <c r="K1895" s="1014"/>
      <c r="L1895" s="1043" t="s">
        <v>3732</v>
      </c>
      <c r="M1895" s="934">
        <v>400</v>
      </c>
    </row>
    <row r="1896" spans="1:13" s="1016" customFormat="1" ht="25.2" hidden="1" customHeight="1">
      <c r="A1896" s="1086">
        <f t="shared" si="76"/>
        <v>0</v>
      </c>
      <c r="B1896" s="1087" t="s">
        <v>1906</v>
      </c>
      <c r="C1896" s="2842"/>
      <c r="D1896" s="1023"/>
      <c r="E1896" s="1012" t="str">
        <f>VLOOKUP($B1896,DG!A:D,DG!$B$2,)</f>
        <v>05.6011</v>
      </c>
      <c r="F1896" s="1041" t="s">
        <v>2461</v>
      </c>
      <c r="G1896" s="1068" t="str">
        <f>VLOOKUP($B1896,DG!A:D,DG!$D$2,)</f>
        <v>bộ</v>
      </c>
      <c r="H1896" s="1713"/>
      <c r="I1896" s="1192">
        <f t="shared" si="75"/>
        <v>0</v>
      </c>
      <c r="J1896" s="1014"/>
      <c r="K1896" s="1014"/>
      <c r="L1896" s="1015"/>
      <c r="M1896" s="934">
        <v>400</v>
      </c>
    </row>
    <row r="1897" spans="1:13" s="1016" customFormat="1" ht="25.2" hidden="1" customHeight="1">
      <c r="A1897" s="1086">
        <f t="shared" si="76"/>
        <v>0</v>
      </c>
      <c r="B1897" s="1087"/>
      <c r="C1897" s="2842"/>
      <c r="D1897" s="1070"/>
      <c r="E1897" s="1071"/>
      <c r="F1897" s="1038"/>
      <c r="G1897" s="1072"/>
      <c r="H1897" s="1733"/>
      <c r="I1897" s="1192">
        <f t="shared" si="75"/>
        <v>0</v>
      </c>
      <c r="J1897" s="1073"/>
      <c r="K1897" s="1074"/>
      <c r="L1897" s="1040"/>
      <c r="M1897" s="934"/>
    </row>
    <row r="1898" spans="1:13" s="1016" customFormat="1" ht="25.2" hidden="1" customHeight="1">
      <c r="A1898" s="1086">
        <f t="shared" si="76"/>
        <v>0</v>
      </c>
      <c r="B1898" s="1087"/>
      <c r="C1898" s="2842"/>
      <c r="D1898" s="1075"/>
      <c r="F1898" s="1076"/>
      <c r="H1898" s="1735"/>
      <c r="I1898" s="1192">
        <f t="shared" si="75"/>
        <v>0</v>
      </c>
      <c r="M1898" s="934"/>
    </row>
    <row r="1899" spans="1:13" s="1016" customFormat="1" ht="25.2" hidden="1" customHeight="1">
      <c r="A1899" s="1086">
        <f t="shared" si="76"/>
        <v>0</v>
      </c>
      <c r="B1899" s="1250"/>
      <c r="C1899" s="2854"/>
      <c r="D1899" s="939" t="e">
        <f>"BAÛNG TOÅNG HÔÏP VAÄT LIEÄU, NHAÂN COÂNG, MAÙY THI COÂNG : "&amp;#REF!&amp;" TRAÏM 3P_560KVA ÑO ÑEÁM TRUNG THEÁ"</f>
        <v>#REF!</v>
      </c>
      <c r="E1899" s="939"/>
      <c r="F1899" s="939"/>
      <c r="G1899" s="939"/>
      <c r="H1899" s="1727"/>
      <c r="I1899" s="1192">
        <f t="shared" si="75"/>
        <v>0</v>
      </c>
      <c r="J1899" s="1077"/>
      <c r="K1899" s="1077"/>
      <c r="L1899" s="1078"/>
      <c r="M1899" s="934"/>
    </row>
    <row r="1900" spans="1:13" s="1016" customFormat="1" ht="25.2" hidden="1" customHeight="1">
      <c r="A1900" s="1086">
        <f t="shared" si="76"/>
        <v>0</v>
      </c>
      <c r="B1900" s="1226"/>
      <c r="C1900" s="2841"/>
      <c r="D1900" s="1036"/>
      <c r="E1900" s="1037"/>
      <c r="F1900" s="1038" t="s">
        <v>3672</v>
      </c>
      <c r="G1900" s="1039"/>
      <c r="H1900" s="1754"/>
      <c r="I1900" s="1192">
        <f t="shared" si="75"/>
        <v>0</v>
      </c>
      <c r="J1900" s="1039"/>
      <c r="K1900" s="1039"/>
      <c r="L1900" s="1040"/>
      <c r="M1900" s="934">
        <v>560</v>
      </c>
    </row>
    <row r="1901" spans="1:13" s="1016" customFormat="1" ht="25.2" hidden="1" customHeight="1">
      <c r="A1901" s="1086">
        <f t="shared" si="76"/>
        <v>0</v>
      </c>
      <c r="B1901" s="1227" t="s">
        <v>2223</v>
      </c>
      <c r="C1901" s="2840"/>
      <c r="D1901" s="1023">
        <f>IF(H1901&gt;0,1,0)</f>
        <v>1</v>
      </c>
      <c r="E1901" s="1012" t="str">
        <f>VLOOKUP($B1901,DG!A:D,DG!$B$2,)</f>
        <v>01.1146</v>
      </c>
      <c r="F1901" s="1013" t="str">
        <f>VLOOKUP($B1901,DG!A:D,DG!$C$2,)</f>
        <v>Máy biến áp 22/0,4kV- 560kVA</v>
      </c>
      <c r="G1901" s="1012" t="str">
        <f>VLOOKUP($B1901,DG!A:D,DG!$D$2,)</f>
        <v>máy</v>
      </c>
      <c r="H1901" s="1737">
        <f>L14</f>
        <v>1</v>
      </c>
      <c r="I1901" s="1192">
        <f t="shared" si="75"/>
        <v>0</v>
      </c>
      <c r="J1901" s="1041"/>
      <c r="K1901" s="1041"/>
      <c r="L1901" s="1042"/>
      <c r="M1901" s="934">
        <v>560</v>
      </c>
    </row>
    <row r="1902" spans="1:13" s="1016" customFormat="1" ht="25.2" hidden="1" customHeight="1">
      <c r="A1902" s="1086">
        <f t="shared" si="76"/>
        <v>0</v>
      </c>
      <c r="B1902" s="1227" t="s">
        <v>1652</v>
      </c>
      <c r="C1902" s="2840"/>
      <c r="D1902" s="1023">
        <f>IF(H1902&gt;0,D1901+1,D1901)</f>
        <v>2</v>
      </c>
      <c r="E1902" s="1012" t="str">
        <f>VLOOKUP($B1902,DG!A:D,DG!$B$2,)</f>
        <v>02.3155</v>
      </c>
      <c r="F1902" s="1013" t="str">
        <f>VLOOKUP($B1902,DG!A:D,DG!$C$2,)</f>
        <v>FCO 24kV - 100A</v>
      </c>
      <c r="G1902" s="1012" t="str">
        <f>VLOOKUP($B1902,DG!A:D,DG!$D$2,)</f>
        <v>cái</v>
      </c>
      <c r="H1902" s="1713">
        <f>H1901*3</f>
        <v>3</v>
      </c>
      <c r="I1902" s="1192">
        <f t="shared" si="75"/>
        <v>0</v>
      </c>
      <c r="J1902" s="1014"/>
      <c r="K1902" s="1014"/>
      <c r="L1902" s="1043"/>
      <c r="M1902" s="934">
        <v>560</v>
      </c>
    </row>
    <row r="1903" spans="1:13" s="1016" customFormat="1" ht="25.2" hidden="1" customHeight="1">
      <c r="A1903" s="1086">
        <f t="shared" si="76"/>
        <v>0</v>
      </c>
      <c r="B1903" s="1227" t="s">
        <v>6426</v>
      </c>
      <c r="C1903" s="2840"/>
      <c r="D1903" s="1023">
        <f t="shared" ref="D1903:D1913" si="77">IF(H1903&gt;0,D1902+1,D1902)</f>
        <v>3</v>
      </c>
      <c r="E1903" s="1012">
        <f>VLOOKUP($B1903,DG!A:D,DG!$B$2,)</f>
        <v>0</v>
      </c>
      <c r="F1903" s="1013" t="str">
        <f>VLOOKUP($B1903,DG!A:D,DG!$C$2,)</f>
        <v>Dây chảy 20K</v>
      </c>
      <c r="G1903" s="1012" t="str">
        <f>VLOOKUP($B1903,DG!A:D,DG!$D$2,)</f>
        <v>Sợi</v>
      </c>
      <c r="H1903" s="1713">
        <f>H1902</f>
        <v>3</v>
      </c>
      <c r="I1903" s="1192">
        <f t="shared" si="75"/>
        <v>0</v>
      </c>
      <c r="J1903" s="1014"/>
      <c r="K1903" s="1014"/>
      <c r="L1903" s="1043"/>
      <c r="M1903" s="934">
        <v>560</v>
      </c>
    </row>
    <row r="1904" spans="1:13" s="1016" customFormat="1" ht="25.2" hidden="1" customHeight="1">
      <c r="A1904" s="1086">
        <f t="shared" si="76"/>
        <v>0</v>
      </c>
      <c r="B1904" s="1226" t="s">
        <v>1373</v>
      </c>
      <c r="C1904" s="2841"/>
      <c r="D1904" s="1023">
        <f t="shared" si="77"/>
        <v>4</v>
      </c>
      <c r="E1904" s="1012" t="str">
        <f>VLOOKUP($B1904,DG!A:D,DG!$B$2,)</f>
        <v>02.5114</v>
      </c>
      <c r="F1904" s="1013" t="str">
        <f>VLOOKUP($B1904,DG!A:D,DG!$C$2,)</f>
        <v>Chống sét van LA-18KV-10KA</v>
      </c>
      <c r="G1904" s="1012" t="str">
        <f>VLOOKUP($B1904,DG!A:D,DG!$D$2,)</f>
        <v>cái</v>
      </c>
      <c r="H1904" s="1713">
        <f>H1902</f>
        <v>3</v>
      </c>
      <c r="I1904" s="1192">
        <f t="shared" si="75"/>
        <v>0</v>
      </c>
      <c r="J1904" s="1014"/>
      <c r="K1904" s="1014"/>
      <c r="L1904" s="1043"/>
      <c r="M1904" s="934">
        <v>560</v>
      </c>
    </row>
    <row r="1905" spans="1:13" s="1016" customFormat="1" ht="25.2" hidden="1" customHeight="1">
      <c r="A1905" s="1086">
        <f t="shared" si="76"/>
        <v>0</v>
      </c>
      <c r="B1905" s="1227" t="s">
        <v>882</v>
      </c>
      <c r="C1905" s="2840"/>
      <c r="D1905" s="1023">
        <f t="shared" si="77"/>
        <v>5</v>
      </c>
      <c r="E1905" s="1012" t="str">
        <f>VLOOKUP($B1905,DG!A:D,DG!$B$2,)</f>
        <v>02.8404</v>
      </c>
      <c r="F1905" s="1013" t="str">
        <f>VLOOKUP($B1905,DG!A:D,DG!$C$2,)</f>
        <v>MCCB 3 cực 400V -1000A - 50KA</v>
      </c>
      <c r="G1905" s="1012" t="str">
        <f>VLOOKUP($B1905,DG!A:D,DG!$D$2,)</f>
        <v>cái</v>
      </c>
      <c r="H1905" s="1713">
        <f>H1901</f>
        <v>1</v>
      </c>
      <c r="I1905" s="1192">
        <f t="shared" si="75"/>
        <v>0</v>
      </c>
      <c r="J1905" s="1014"/>
      <c r="K1905" s="1014"/>
      <c r="L1905" s="1043"/>
      <c r="M1905" s="934">
        <v>560</v>
      </c>
    </row>
    <row r="1906" spans="1:13" s="1016" customFormat="1" ht="25.2" hidden="1" customHeight="1">
      <c r="A1906" s="1086">
        <f t="shared" si="76"/>
        <v>0</v>
      </c>
      <c r="B1906" s="1227" t="s">
        <v>1220</v>
      </c>
      <c r="C1906" s="2840"/>
      <c r="D1906" s="1023">
        <f>IF(H1906&gt;0,D1905+1,D1905)</f>
        <v>5</v>
      </c>
      <c r="E1906" s="1012" t="str">
        <f>VLOOKUP($B1906,DG!A:D,DG!$B$2,)</f>
        <v>02.8403</v>
      </c>
      <c r="F1906" s="1013" t="str">
        <f>VLOOKUP($B1906,DG!A:D,DG!$C$2,)</f>
        <v>MCCB 3 cực 400V -800A - 50KA</v>
      </c>
      <c r="G1906" s="1012" t="str">
        <f>VLOOKUP($B1906,DG!A:D,DG!$D$2,)</f>
        <v>cái</v>
      </c>
      <c r="H1906" s="1713"/>
      <c r="I1906" s="1192">
        <f t="shared" si="75"/>
        <v>0</v>
      </c>
      <c r="J1906" s="1014"/>
      <c r="K1906" s="1014"/>
      <c r="L1906" s="1043"/>
      <c r="M1906" s="934">
        <v>560</v>
      </c>
    </row>
    <row r="1907" spans="1:13" s="1016" customFormat="1" ht="25.2" hidden="1" customHeight="1">
      <c r="A1907" s="1086">
        <f t="shared" si="76"/>
        <v>0</v>
      </c>
      <c r="B1907" s="1227" t="s">
        <v>201</v>
      </c>
      <c r="C1907" s="2840"/>
      <c r="D1907" s="1023">
        <f>IF(H1907&gt;0,D1906+1,D1906)</f>
        <v>5</v>
      </c>
      <c r="E1907" s="1012" t="str">
        <f>VLOOKUP($B1907,DG!A:D,DG!$B$2,)</f>
        <v>02.8401</v>
      </c>
      <c r="F1907" s="1013" t="str">
        <f>VLOOKUP($B1907,DG!A:D,DG!$C$2,)</f>
        <v>MCCB 3 cực 400V-100A - 30KA</v>
      </c>
      <c r="G1907" s="1012" t="str">
        <f>VLOOKUP($B1907,DG!A:D,DG!$D$2,)</f>
        <v>cái</v>
      </c>
      <c r="H1907" s="1713"/>
      <c r="I1907" s="1192">
        <f t="shared" ref="I1907:I1978" si="78">IF(M1907=$M$23,H1907+J1907-K1907,0)</f>
        <v>0</v>
      </c>
      <c r="J1907" s="1014"/>
      <c r="K1907" s="1014"/>
      <c r="L1907" s="1043"/>
      <c r="M1907" s="934">
        <v>560</v>
      </c>
    </row>
    <row r="1908" spans="1:13" s="1016" customFormat="1" ht="25.2" hidden="1" customHeight="1">
      <c r="A1908" s="1086">
        <f t="shared" si="76"/>
        <v>0</v>
      </c>
      <c r="B1908" s="1227" t="s">
        <v>936</v>
      </c>
      <c r="C1908" s="2840"/>
      <c r="D1908" s="1023">
        <f>IF(H1908&gt;0,D1907+1,D1907)</f>
        <v>5</v>
      </c>
      <c r="E1908" s="1012" t="str">
        <f>VLOOKUP($B1908,DG!A:D,DG!$B$2,)</f>
        <v>02.8401</v>
      </c>
      <c r="F1908" s="1013" t="str">
        <f>VLOOKUP($B1908,DG!A:D,DG!$C$2,)</f>
        <v>MCCB 3 cực 400V-75A - 10KA</v>
      </c>
      <c r="G1908" s="1012" t="str">
        <f>VLOOKUP($B1908,DG!A:D,DG!$D$2,)</f>
        <v>cái</v>
      </c>
      <c r="H1908" s="1713"/>
      <c r="I1908" s="1192">
        <f t="shared" si="78"/>
        <v>0</v>
      </c>
      <c r="J1908" s="1014"/>
      <c r="K1908" s="1014"/>
      <c r="L1908" s="1043"/>
      <c r="M1908" s="934">
        <v>560</v>
      </c>
    </row>
    <row r="1909" spans="1:13" s="1016" customFormat="1" ht="25.2" hidden="1" customHeight="1">
      <c r="A1909" s="1086">
        <f t="shared" si="76"/>
        <v>0</v>
      </c>
      <c r="B1909" s="1227" t="s">
        <v>1221</v>
      </c>
      <c r="C1909" s="2840"/>
      <c r="D1909" s="1023">
        <f>IF(H1909&gt;0,D1908+1,D1908)</f>
        <v>5</v>
      </c>
      <c r="E1909" s="1012" t="str">
        <f>VLOOKUP($B1909,DG!A:D,DG!$B$2,)</f>
        <v>02.8401</v>
      </c>
      <c r="F1909" s="1013" t="str">
        <f>VLOOKUP($B1909,DG!A:D,DG!$C$2,)</f>
        <v xml:space="preserve">MCCB - 3P-400V-63A-25KA  Icu=Ics </v>
      </c>
      <c r="G1909" s="1012" t="str">
        <f>VLOOKUP($B1909,DG!A:D,DG!$D$2,)</f>
        <v>cái</v>
      </c>
      <c r="H1909" s="1713"/>
      <c r="I1909" s="1192">
        <f t="shared" si="78"/>
        <v>0</v>
      </c>
      <c r="J1909" s="1014"/>
      <c r="K1909" s="1014"/>
      <c r="L1909" s="1043"/>
      <c r="M1909" s="934">
        <v>560</v>
      </c>
    </row>
    <row r="1910" spans="1:13" s="1016" customFormat="1" ht="25.2" hidden="1" customHeight="1">
      <c r="A1910" s="1086">
        <f t="shared" si="76"/>
        <v>0</v>
      </c>
      <c r="B1910" s="1227" t="s">
        <v>1463</v>
      </c>
      <c r="C1910" s="2840"/>
      <c r="D1910" s="1023">
        <f>IF(H1910&gt;0,D1905+1,D1905)</f>
        <v>6</v>
      </c>
      <c r="E1910" s="1012" t="str">
        <f>VLOOKUP($B1910,DG!A:D,DG!$B$2,)</f>
        <v>02.8534</v>
      </c>
      <c r="F1910" s="1013" t="str">
        <f>VLOOKUP($B1910,DG!A:D,DG!$C$2,)</f>
        <v>Tủ tụ bù hạ thế 250kVAr</v>
      </c>
      <c r="G1910" s="1012" t="str">
        <f>VLOOKUP($B1910,DG!A:D,DG!$D$2,)</f>
        <v>tủ</v>
      </c>
      <c r="H1910" s="1713">
        <f>H1901</f>
        <v>1</v>
      </c>
      <c r="I1910" s="1192">
        <f t="shared" si="78"/>
        <v>0</v>
      </c>
      <c r="J1910" s="1014"/>
      <c r="K1910" s="1014"/>
      <c r="L1910" s="1043"/>
      <c r="M1910" s="934">
        <v>560</v>
      </c>
    </row>
    <row r="1911" spans="1:13" s="1016" customFormat="1" ht="25.2" hidden="1" customHeight="1">
      <c r="A1911" s="1086">
        <f t="shared" si="76"/>
        <v>0</v>
      </c>
      <c r="B1911" s="1227" t="s">
        <v>4504</v>
      </c>
      <c r="C1911" s="2840"/>
      <c r="D1911" s="1023">
        <f t="shared" si="77"/>
        <v>7</v>
      </c>
      <c r="E1911" s="1012" t="str">
        <f>VLOOKUP($B1911,DG!A:D,DG!$B$2,)</f>
        <v>02.1124</v>
      </c>
      <c r="F1911" s="1013" t="str">
        <f>VLOOKUP($B1911,DG!A:D,DG!$C$2,)</f>
        <v>Biến dòng 24kV  15/5A</v>
      </c>
      <c r="G1911" s="1012" t="str">
        <f>VLOOKUP($B1911,DG!A:D,DG!$D$2,)</f>
        <v>cái</v>
      </c>
      <c r="H1911" s="1738">
        <f>H1901*3</f>
        <v>3</v>
      </c>
      <c r="I1911" s="1192">
        <f t="shared" si="78"/>
        <v>0</v>
      </c>
      <c r="J1911" s="1014"/>
      <c r="K1911" s="1014"/>
      <c r="L1911" s="1044" t="s">
        <v>2601</v>
      </c>
      <c r="M1911" s="934">
        <v>560</v>
      </c>
    </row>
    <row r="1912" spans="1:13" s="1016" customFormat="1" ht="25.2" hidden="1" customHeight="1">
      <c r="A1912" s="1086">
        <f t="shared" si="76"/>
        <v>0</v>
      </c>
      <c r="B1912" s="1227" t="s">
        <v>4502</v>
      </c>
      <c r="C1912" s="2840"/>
      <c r="D1912" s="1023">
        <f t="shared" si="77"/>
        <v>7</v>
      </c>
      <c r="E1912" s="1012" t="str">
        <f>VLOOKUP($B1912,DG!A:D,DG!$B$2,)</f>
        <v>02.1114</v>
      </c>
      <c r="F1912" s="1013" t="str">
        <f>VLOOKUP($B1912,DG!A:D,DG!$C$2,)</f>
        <v>Biến điện áp 22000/√3/100/√3 V</v>
      </c>
      <c r="G1912" s="1012" t="str">
        <f>VLOOKUP($B1912,DG!A:D,DG!$D$2,)</f>
        <v>cái</v>
      </c>
      <c r="H1912" s="1738"/>
      <c r="I1912" s="1192">
        <f t="shared" si="78"/>
        <v>0</v>
      </c>
      <c r="J1912" s="1014"/>
      <c r="K1912" s="1014"/>
      <c r="L1912" s="1044" t="s">
        <v>2601</v>
      </c>
      <c r="M1912" s="934">
        <v>560</v>
      </c>
    </row>
    <row r="1913" spans="1:13" s="1016" customFormat="1" ht="25.2" hidden="1" customHeight="1">
      <c r="A1913" s="1086">
        <f t="shared" si="76"/>
        <v>0</v>
      </c>
      <c r="B1913" s="1233" t="s">
        <v>1837</v>
      </c>
      <c r="C1913" s="2843"/>
      <c r="D1913" s="1023">
        <f t="shared" si="77"/>
        <v>8</v>
      </c>
      <c r="E1913" s="1012">
        <f>VLOOKUP($B1913,DG!A:D,DG!$B$2,)</f>
        <v>0</v>
      </c>
      <c r="F1913" s="1013" t="str">
        <f>VLOOKUP($B1913,DG!A:D,DG!$C$2,)</f>
        <v>Điện kế 3 pha điện tử 600V-5A</v>
      </c>
      <c r="G1913" s="1012" t="str">
        <f>VLOOKUP($B1913,DG!A:D,DG!$D$2,)</f>
        <v>cái</v>
      </c>
      <c r="H1913" s="1738">
        <f>H1901</f>
        <v>1</v>
      </c>
      <c r="I1913" s="1192">
        <f t="shared" si="78"/>
        <v>0</v>
      </c>
      <c r="J1913" s="1014"/>
      <c r="K1913" s="1014"/>
      <c r="L1913" s="1045" t="s">
        <v>2601</v>
      </c>
      <c r="M1913" s="934">
        <v>560</v>
      </c>
    </row>
    <row r="1914" spans="1:13" s="1016" customFormat="1" ht="25.2" hidden="1" customHeight="1">
      <c r="A1914" s="1086">
        <f t="shared" si="76"/>
        <v>0</v>
      </c>
      <c r="B1914" s="1226"/>
      <c r="C1914" s="2841"/>
      <c r="D1914" s="1046"/>
      <c r="E1914" s="1047"/>
      <c r="F1914" s="1009"/>
      <c r="G1914" s="1046"/>
      <c r="H1914" s="1718"/>
      <c r="I1914" s="1192">
        <f t="shared" si="78"/>
        <v>0</v>
      </c>
      <c r="J1914" s="1009"/>
      <c r="K1914" s="1046"/>
      <c r="L1914" s="1040"/>
      <c r="M1914" s="934">
        <v>560</v>
      </c>
    </row>
    <row r="1915" spans="1:13" s="1016" customFormat="1" ht="25.2" hidden="1" customHeight="1">
      <c r="A1915" s="1086">
        <f t="shared" si="76"/>
        <v>0</v>
      </c>
      <c r="B1915" s="1226"/>
      <c r="C1915" s="2841"/>
      <c r="D1915" s="1048"/>
      <c r="E1915" s="1049"/>
      <c r="F1915" s="1038" t="s">
        <v>3673</v>
      </c>
      <c r="G1915" s="1038"/>
      <c r="H1915" s="1730"/>
      <c r="I1915" s="1192">
        <f t="shared" si="78"/>
        <v>0</v>
      </c>
      <c r="J1915" s="1038"/>
      <c r="K1915" s="1038"/>
      <c r="L1915" s="1040"/>
      <c r="M1915" s="934">
        <v>560</v>
      </c>
    </row>
    <row r="1916" spans="1:13" s="1016" customFormat="1" ht="25.2" hidden="1" customHeight="1">
      <c r="A1916" s="1086">
        <f t="shared" si="76"/>
        <v>0</v>
      </c>
      <c r="B1916" s="1253"/>
      <c r="C1916" s="2699"/>
      <c r="D1916" s="1050">
        <f>IF(H1916&gt;0,1,0)</f>
        <v>0</v>
      </c>
      <c r="E1916" s="1051"/>
      <c r="F1916" s="1052" t="s">
        <v>3711</v>
      </c>
      <c r="G1916" s="1053" t="s">
        <v>2277</v>
      </c>
      <c r="H1916" s="1739">
        <f>H1901*2*0</f>
        <v>0</v>
      </c>
      <c r="I1916" s="1192">
        <f t="shared" si="78"/>
        <v>0</v>
      </c>
      <c r="J1916" s="1054"/>
      <c r="K1916" s="1054"/>
      <c r="L1916" s="1043"/>
      <c r="M1916" s="934">
        <v>560</v>
      </c>
    </row>
    <row r="1917" spans="1:13" s="1016" customFormat="1" ht="25.2" hidden="1" customHeight="1">
      <c r="A1917" s="1086">
        <f t="shared" si="76"/>
        <v>0</v>
      </c>
      <c r="B1917" s="1087" t="s">
        <v>115</v>
      </c>
      <c r="C1917" s="2842"/>
      <c r="D1917" s="1055"/>
      <c r="E1917" s="1012"/>
      <c r="F1917" s="1056" t="str">
        <f>VLOOKUP($B1917,DG!A:D,DG!$C$2,)</f>
        <v>Trụ BTLT 12m F540 dự ứng lực</v>
      </c>
      <c r="G1917" s="1012" t="str">
        <f>VLOOKUP($B1917,DG!A:D,DG!$D$2,)</f>
        <v>trụ</v>
      </c>
      <c r="H1917" s="1740">
        <f>H1916</f>
        <v>0</v>
      </c>
      <c r="I1917" s="1192">
        <f t="shared" si="78"/>
        <v>0</v>
      </c>
      <c r="J1917" s="1041"/>
      <c r="K1917" s="1011"/>
      <c r="L1917" s="1043"/>
      <c r="M1917" s="934">
        <v>560</v>
      </c>
    </row>
    <row r="1918" spans="1:13" s="1016" customFormat="1" ht="25.2" hidden="1" customHeight="1">
      <c r="A1918" s="1086">
        <f t="shared" si="76"/>
        <v>0</v>
      </c>
      <c r="B1918" s="1087" t="s">
        <v>1814</v>
      </c>
      <c r="C1918" s="2842"/>
      <c r="D1918" s="1055"/>
      <c r="E1918" s="1012"/>
      <c r="F1918" s="1056" t="str">
        <f>VLOOKUP($B1918,DG!A:D,DG!$C$2,)</f>
        <v>Vật liệu dựng trụ</v>
      </c>
      <c r="G1918" s="1012" t="str">
        <f>VLOOKUP($B1918,DG!A:D,DG!$D$2,)</f>
        <v>trụ</v>
      </c>
      <c r="H1918" s="1740">
        <f>H1917</f>
        <v>0</v>
      </c>
      <c r="I1918" s="1192">
        <f t="shared" si="78"/>
        <v>0</v>
      </c>
      <c r="J1918" s="1011"/>
      <c r="K1918" s="1011"/>
      <c r="L1918" s="1043"/>
      <c r="M1918" s="934">
        <v>560</v>
      </c>
    </row>
    <row r="1919" spans="1:13" s="1016" customFormat="1" ht="25.2" hidden="1" customHeight="1">
      <c r="A1919" s="1086">
        <f t="shared" si="76"/>
        <v>0</v>
      </c>
      <c r="B1919" s="1087" t="s">
        <v>643</v>
      </c>
      <c r="C1919" s="2842"/>
      <c r="D1919" s="1055"/>
      <c r="E1919" s="1012" t="str">
        <f>VLOOKUP($B1919,DG!A:D,DG!$B$2,)</f>
        <v>04.9203</v>
      </c>
      <c r="F1919" s="1056" t="str">
        <f>VLOOKUP($B1919,DG!A:D,DG!$C$2,)</f>
        <v>Dựng trụ BTLT 12m trong TBA bằng thủ công + cơ giới</v>
      </c>
      <c r="G1919" s="1012" t="str">
        <f>VLOOKUP($B1919,DG!A:D,DG!$D$2,)</f>
        <v>trụ</v>
      </c>
      <c r="H1919" s="1740">
        <f>H1917</f>
        <v>0</v>
      </c>
      <c r="I1919" s="1192">
        <f t="shared" si="78"/>
        <v>0</v>
      </c>
      <c r="J1919" s="1041"/>
      <c r="K1919" s="1041"/>
      <c r="L1919" s="1043"/>
      <c r="M1919" s="934">
        <v>560</v>
      </c>
    </row>
    <row r="1920" spans="1:13" s="1016" customFormat="1" ht="25.2" hidden="1" customHeight="1">
      <c r="A1920" s="1086">
        <f t="shared" si="76"/>
        <v>0</v>
      </c>
      <c r="B1920" s="1253"/>
      <c r="C1920" s="2699"/>
      <c r="D1920" s="1050">
        <f>IF(H1920&gt;0,1,0)</f>
        <v>0</v>
      </c>
      <c r="E1920" s="1051"/>
      <c r="F1920" s="1052" t="s">
        <v>3712</v>
      </c>
      <c r="G1920" s="1053" t="s">
        <v>2277</v>
      </c>
      <c r="H1920" s="1739">
        <f>H1901*2*0</f>
        <v>0</v>
      </c>
      <c r="I1920" s="1192">
        <f t="shared" si="78"/>
        <v>0</v>
      </c>
      <c r="J1920" s="1054"/>
      <c r="K1920" s="1054"/>
      <c r="L1920" s="1015"/>
      <c r="M1920" s="934">
        <v>560</v>
      </c>
    </row>
    <row r="1921" spans="1:13" s="1016" customFormat="1" ht="25.2" hidden="1" customHeight="1">
      <c r="A1921" s="1086">
        <f t="shared" si="76"/>
        <v>0</v>
      </c>
      <c r="B1921" s="1087" t="s">
        <v>114</v>
      </c>
      <c r="C1921" s="2842"/>
      <c r="D1921" s="1055"/>
      <c r="E1921" s="1012"/>
      <c r="F1921" s="1056" t="str">
        <f>VLOOKUP($B1921,DG!A:D,DG!$C$2,)</f>
        <v>Trụ BTLT 10,5m F350 dự ứng lực</v>
      </c>
      <c r="G1921" s="1012" t="str">
        <f>VLOOKUP($B1921,DG!A:D,DG!$D$2,)</f>
        <v>trụ</v>
      </c>
      <c r="H1921" s="1740">
        <f>H1920</f>
        <v>0</v>
      </c>
      <c r="I1921" s="1192">
        <f t="shared" si="78"/>
        <v>0</v>
      </c>
      <c r="J1921" s="1041"/>
      <c r="K1921" s="1011"/>
      <c r="L1921" s="1015"/>
      <c r="M1921" s="934">
        <v>560</v>
      </c>
    </row>
    <row r="1922" spans="1:13" s="1016" customFormat="1" ht="25.2" hidden="1" customHeight="1">
      <c r="A1922" s="1086">
        <f t="shared" si="76"/>
        <v>0</v>
      </c>
      <c r="B1922" s="1087" t="s">
        <v>1814</v>
      </c>
      <c r="C1922" s="2842"/>
      <c r="D1922" s="1055"/>
      <c r="E1922" s="1012"/>
      <c r="F1922" s="1056" t="str">
        <f>VLOOKUP($B1922,DG!A:D,DG!$C$2,)</f>
        <v>Vật liệu dựng trụ</v>
      </c>
      <c r="G1922" s="1012" t="str">
        <f>VLOOKUP($B1922,DG!A:D,DG!$D$2,)</f>
        <v>trụ</v>
      </c>
      <c r="H1922" s="1740">
        <f>H1921</f>
        <v>0</v>
      </c>
      <c r="I1922" s="1192">
        <f t="shared" si="78"/>
        <v>0</v>
      </c>
      <c r="J1922" s="1011"/>
      <c r="K1922" s="1011"/>
      <c r="L1922" s="1015"/>
      <c r="M1922" s="934">
        <v>560</v>
      </c>
    </row>
    <row r="1923" spans="1:13" s="1016" customFormat="1" ht="25.2" hidden="1" customHeight="1">
      <c r="A1923" s="1086">
        <f t="shared" si="76"/>
        <v>0</v>
      </c>
      <c r="B1923" s="1087" t="s">
        <v>644</v>
      </c>
      <c r="C1923" s="2842"/>
      <c r="D1923" s="1055"/>
      <c r="E1923" s="1012" t="str">
        <f>VLOOKUP($B1923,DG!A:D,DG!$B$2,)</f>
        <v>04.9203</v>
      </c>
      <c r="F1923" s="1056" t="str">
        <f>VLOOKUP($B1923,DG!A:D,DG!$C$2,)</f>
        <v>Dựng trụ BTLT 10,5m trong TBA bằng thủ công + cơ giới</v>
      </c>
      <c r="G1923" s="1012" t="str">
        <f>VLOOKUP($B1923,DG!A:D,DG!$D$2,)</f>
        <v>trụ</v>
      </c>
      <c r="H1923" s="1740">
        <f>H1921</f>
        <v>0</v>
      </c>
      <c r="I1923" s="1192">
        <f t="shared" si="78"/>
        <v>0</v>
      </c>
      <c r="J1923" s="1041"/>
      <c r="K1923" s="1041"/>
      <c r="L1923" s="1015"/>
      <c r="M1923" s="934">
        <v>560</v>
      </c>
    </row>
    <row r="1924" spans="1:13" s="1016" customFormat="1" ht="25.2" hidden="1" customHeight="1">
      <c r="A1924" s="1086">
        <f t="shared" si="76"/>
        <v>0</v>
      </c>
      <c r="B1924" s="1254"/>
      <c r="C1924" s="2857"/>
      <c r="D1924" s="1017">
        <f>IF(H1924&gt;0,D1916+1,D1916)</f>
        <v>0</v>
      </c>
      <c r="E1924" s="1051"/>
      <c r="F1924" s="1052" t="s">
        <v>2352</v>
      </c>
      <c r="G1924" s="1053" t="s">
        <v>2327</v>
      </c>
      <c r="H1924" s="1739">
        <f>H1916</f>
        <v>0</v>
      </c>
      <c r="I1924" s="1192">
        <f t="shared" si="78"/>
        <v>0</v>
      </c>
      <c r="J1924" s="1011"/>
      <c r="K1924" s="1011"/>
      <c r="L1924" s="1043"/>
      <c r="M1924" s="934">
        <v>560</v>
      </c>
    </row>
    <row r="1925" spans="1:13" s="1016" customFormat="1" ht="25.2" hidden="1" customHeight="1">
      <c r="A1925" s="1086">
        <f t="shared" si="76"/>
        <v>0</v>
      </c>
      <c r="B1925" s="1233" t="s">
        <v>636</v>
      </c>
      <c r="C1925" s="2843"/>
      <c r="D1925" s="1055"/>
      <c r="E1925" s="1012" t="str">
        <f>VLOOKUP($B1925,DG!A:D,DG!$B$2,)</f>
        <v>04.4001</v>
      </c>
      <c r="F1925" s="1057" t="str">
        <f>VLOOKUP($B1925,DG!A:D,DG!$C$2,)</f>
        <v>Đà cản BTCT 1,2m</v>
      </c>
      <c r="G1925" s="1024" t="str">
        <f>VLOOKUP($B1925,DG!A:D,DG!$D$2,)</f>
        <v>cái</v>
      </c>
      <c r="H1925" s="1740">
        <f>H1924</f>
        <v>0</v>
      </c>
      <c r="I1925" s="1192">
        <f t="shared" si="78"/>
        <v>0</v>
      </c>
      <c r="J1925" s="1041"/>
      <c r="K1925" s="1011"/>
      <c r="L1925" s="1043"/>
      <c r="M1925" s="934">
        <v>560</v>
      </c>
    </row>
    <row r="1926" spans="1:13" s="1016" customFormat="1" ht="25.2" hidden="1" customHeight="1">
      <c r="A1926" s="1086">
        <f t="shared" si="76"/>
        <v>0</v>
      </c>
      <c r="B1926" s="1233" t="s">
        <v>566</v>
      </c>
      <c r="C1926" s="2843"/>
      <c r="D1926" s="1055"/>
      <c r="E1926" s="1024"/>
      <c r="F1926" s="1057" t="str">
        <f>VLOOKUP($B1926,DG!A:D,DG!$C$2,)</f>
        <v>Boulon 22x650+ 2 long đền vuông D24-50x50x3/Zn</v>
      </c>
      <c r="G1926" s="1024" t="str">
        <f>VLOOKUP($B1926,DG!A:D,DG!$D$2,)</f>
        <v>bộ</v>
      </c>
      <c r="H1926" s="1740">
        <f>H1925</f>
        <v>0</v>
      </c>
      <c r="I1926" s="1192">
        <f t="shared" si="78"/>
        <v>0</v>
      </c>
      <c r="J1926" s="1057"/>
      <c r="K1926" s="1011"/>
      <c r="L1926" s="1043"/>
      <c r="M1926" s="934">
        <v>560</v>
      </c>
    </row>
    <row r="1927" spans="1:13" s="1016" customFormat="1" ht="25.2" hidden="1" customHeight="1">
      <c r="A1927" s="1086">
        <f t="shared" si="76"/>
        <v>0</v>
      </c>
      <c r="B1927" s="1233" t="str">
        <f>IF(chitiet!G5=1,"MDD1",IF(chitiet!G5=2,"MDD2",IF(chitiet!G5=3,"MDD3",IF(chitiet!G5=4,"MDD4"))))</f>
        <v>MDD3</v>
      </c>
      <c r="C1927" s="2843"/>
      <c r="D1927" s="1055"/>
      <c r="E1927" s="1024" t="str">
        <f>VLOOKUP($B1927,DG!A:D,DG!$B$2,)</f>
        <v>03.1013</v>
      </c>
      <c r="F1927" s="1057" t="str">
        <f>VLOOKUP($B1927,DG!A:D,DG!$C$2,)</f>
        <v>Đào hố móng đất cấp 3 sâu &gt;1m</v>
      </c>
      <c r="G1927" s="1024" t="str">
        <f>VLOOKUP($B1927,DG!A:D,DG!$D$2,)</f>
        <v>m3</v>
      </c>
      <c r="H1927" s="1741">
        <f>1.45*H1925</f>
        <v>0</v>
      </c>
      <c r="I1927" s="1192">
        <f t="shared" si="78"/>
        <v>0</v>
      </c>
      <c r="J1927" s="1058"/>
      <c r="K1927" s="1011"/>
      <c r="L1927" s="1043"/>
      <c r="M1927" s="934">
        <v>560</v>
      </c>
    </row>
    <row r="1928" spans="1:13" s="1016" customFormat="1" ht="25.2" hidden="1" customHeight="1">
      <c r="A1928" s="1086">
        <f t="shared" si="76"/>
        <v>0</v>
      </c>
      <c r="B1928" s="1233" t="str">
        <f>IF(chitiet!G5=1,"MDAP1",IF(chitiet!G5=2,"MDAP2",IF(chitiet!G5=3,"MDAP3",IF(chitiet!G5=4,"MDAP4"))))</f>
        <v>MDAP3</v>
      </c>
      <c r="C1928" s="2843"/>
      <c r="D1928" s="1055"/>
      <c r="E1928" s="1024" t="str">
        <f>VLOOKUP($B1928,DG!A:D,DG!$B$2,)</f>
        <v>03.4113</v>
      </c>
      <c r="F1928" s="1057" t="str">
        <f>VLOOKUP($B1928,DG!A:D,DG!$C$2,)</f>
        <v>Đắp đất hố móng, độ chặt k=0,95</v>
      </c>
      <c r="G1928" s="1024" t="str">
        <f>VLOOKUP($B1928,DG!A:D,DG!$D$2,)</f>
        <v>m3</v>
      </c>
      <c r="H1928" s="1741">
        <f>1.37*H1924</f>
        <v>0</v>
      </c>
      <c r="I1928" s="1192">
        <f t="shared" si="78"/>
        <v>0</v>
      </c>
      <c r="J1928" s="1058"/>
      <c r="K1928" s="1011"/>
      <c r="L1928" s="1043"/>
      <c r="M1928" s="934">
        <v>560</v>
      </c>
    </row>
    <row r="1929" spans="1:13" s="1016" customFormat="1" ht="25.2" hidden="1" customHeight="1">
      <c r="A1929" s="1086">
        <f t="shared" si="76"/>
        <v>0</v>
      </c>
      <c r="B1929" s="1254"/>
      <c r="C1929" s="2857"/>
      <c r="D1929" s="1017">
        <f>IF(H1929&gt;0,D1921+1,D1921)</f>
        <v>0</v>
      </c>
      <c r="E1929" s="1051"/>
      <c r="F1929" s="1052" t="s">
        <v>3713</v>
      </c>
      <c r="G1929" s="1053" t="s">
        <v>2327</v>
      </c>
      <c r="H1929" s="1739">
        <f>H1920*0</f>
        <v>0</v>
      </c>
      <c r="I1929" s="1192">
        <f t="shared" si="78"/>
        <v>0</v>
      </c>
      <c r="J1929" s="1011"/>
      <c r="K1929" s="1011"/>
      <c r="L1929" s="1015"/>
      <c r="M1929" s="934">
        <v>560</v>
      </c>
    </row>
    <row r="1930" spans="1:13" s="1016" customFormat="1" ht="25.2" hidden="1" customHeight="1">
      <c r="A1930" s="1086">
        <f t="shared" si="76"/>
        <v>0</v>
      </c>
      <c r="B1930" s="1233" t="s">
        <v>636</v>
      </c>
      <c r="C1930" s="2843"/>
      <c r="D1930" s="1055"/>
      <c r="E1930" s="1012" t="str">
        <f>VLOOKUP($B1930,DG!A:D,DG!$B$2,)</f>
        <v>04.4001</v>
      </c>
      <c r="F1930" s="1057" t="str">
        <f>VLOOKUP($B1930,DG!A:D,DG!$C$2,)</f>
        <v>Đà cản BTCT 1,2m</v>
      </c>
      <c r="G1930" s="1024" t="str">
        <f>VLOOKUP($B1930,DG!A:D,DG!$D$2,)</f>
        <v>cái</v>
      </c>
      <c r="H1930" s="1740">
        <f>H1929</f>
        <v>0</v>
      </c>
      <c r="I1930" s="1192">
        <f t="shared" si="78"/>
        <v>0</v>
      </c>
      <c r="J1930" s="1041"/>
      <c r="K1930" s="1011"/>
      <c r="L1930" s="1015"/>
      <c r="M1930" s="934">
        <v>560</v>
      </c>
    </row>
    <row r="1931" spans="1:13" s="1016" customFormat="1" ht="25.2" hidden="1" customHeight="1">
      <c r="A1931" s="1086">
        <f t="shared" si="76"/>
        <v>0</v>
      </c>
      <c r="B1931" s="1233" t="s">
        <v>566</v>
      </c>
      <c r="C1931" s="2843"/>
      <c r="D1931" s="1055"/>
      <c r="E1931" s="1024"/>
      <c r="F1931" s="1057" t="str">
        <f>VLOOKUP($B1931,DG!A:D,DG!$C$2,)</f>
        <v>Boulon 22x650+ 2 long đền vuông D24-50x50x3/Zn</v>
      </c>
      <c r="G1931" s="1024" t="str">
        <f>VLOOKUP($B1931,DG!A:D,DG!$D$2,)</f>
        <v>bộ</v>
      </c>
      <c r="H1931" s="1740">
        <f>H1930</f>
        <v>0</v>
      </c>
      <c r="I1931" s="1192">
        <f t="shared" si="78"/>
        <v>0</v>
      </c>
      <c r="J1931" s="1057"/>
      <c r="K1931" s="1011"/>
      <c r="L1931" s="1015"/>
      <c r="M1931" s="934">
        <v>560</v>
      </c>
    </row>
    <row r="1932" spans="1:13" s="1016" customFormat="1" ht="25.2" hidden="1" customHeight="1">
      <c r="A1932" s="1086">
        <f t="shared" si="76"/>
        <v>0</v>
      </c>
      <c r="B1932" s="1233" t="str">
        <f>IF(chitiet!G5=1,"MDD1",IF(chitiet!G5=2,"MDD2",IF(chitiet!G5=3,"MDD3",IF(chitiet!G5=4,"MDD4"))))</f>
        <v>MDD3</v>
      </c>
      <c r="C1932" s="2843"/>
      <c r="D1932" s="1055"/>
      <c r="E1932" s="1024" t="str">
        <f>VLOOKUP($B1932,DG!A:D,DG!$B$2,)</f>
        <v>03.1013</v>
      </c>
      <c r="F1932" s="1057" t="str">
        <f>VLOOKUP($B1932,DG!A:D,DG!$C$2,)</f>
        <v>Đào hố móng đất cấp 3 sâu &gt;1m</v>
      </c>
      <c r="G1932" s="1024" t="str">
        <f>VLOOKUP($B1932,DG!A:D,DG!$D$2,)</f>
        <v>m3</v>
      </c>
      <c r="H1932" s="1741">
        <f>1.48*H1930</f>
        <v>0</v>
      </c>
      <c r="I1932" s="1192">
        <f t="shared" si="78"/>
        <v>0</v>
      </c>
      <c r="J1932" s="1058"/>
      <c r="K1932" s="1011"/>
      <c r="L1932" s="1015"/>
      <c r="M1932" s="934">
        <v>560</v>
      </c>
    </row>
    <row r="1933" spans="1:13" s="1016" customFormat="1" ht="25.2" hidden="1" customHeight="1">
      <c r="A1933" s="1086">
        <f t="shared" si="76"/>
        <v>0</v>
      </c>
      <c r="B1933" s="1233" t="str">
        <f>IF(chitiet!G5=1,"MDAP1",IF(chitiet!G5=2,"MDAP2",IF(chitiet!G5=3,"MDAP3",IF(chitiet!G5=4,"MDAP4"))))</f>
        <v>MDAP3</v>
      </c>
      <c r="C1933" s="2843"/>
      <c r="D1933" s="1055"/>
      <c r="E1933" s="1024" t="str">
        <f>VLOOKUP($B1933,DG!A:D,DG!$B$2,)</f>
        <v>03.4113</v>
      </c>
      <c r="F1933" s="1057" t="str">
        <f>VLOOKUP($B1933,DG!A:D,DG!$C$2,)</f>
        <v>Đắp đất hố móng, độ chặt k=0,95</v>
      </c>
      <c r="G1933" s="1024" t="str">
        <f>VLOOKUP($B1933,DG!A:D,DG!$D$2,)</f>
        <v>m3</v>
      </c>
      <c r="H1933" s="1741">
        <f>1.39*H1929</f>
        <v>0</v>
      </c>
      <c r="I1933" s="1192">
        <f t="shared" si="78"/>
        <v>0</v>
      </c>
      <c r="J1933" s="1058"/>
      <c r="K1933" s="1011"/>
      <c r="L1933" s="1015"/>
      <c r="M1933" s="934">
        <v>560</v>
      </c>
    </row>
    <row r="1934" spans="1:13" s="1016" customFormat="1" ht="25.2" hidden="1" customHeight="1">
      <c r="A1934" s="1086">
        <f t="shared" si="76"/>
        <v>0</v>
      </c>
      <c r="B1934" s="1226"/>
      <c r="C1934" s="2841"/>
      <c r="D1934" s="1017">
        <f>IF(H1934&gt;0,D1924+1,D1924)</f>
        <v>1</v>
      </c>
      <c r="E1934" s="1059"/>
      <c r="F1934" s="1052" t="s">
        <v>3714</v>
      </c>
      <c r="G1934" s="1050" t="s">
        <v>2385</v>
      </c>
      <c r="H1934" s="1742">
        <f>H1901*1</f>
        <v>1</v>
      </c>
      <c r="I1934" s="1192">
        <f t="shared" si="78"/>
        <v>0</v>
      </c>
      <c r="J1934" s="1060"/>
      <c r="K1934" s="1060"/>
      <c r="L1934" s="1015"/>
      <c r="M1934" s="934">
        <v>560</v>
      </c>
    </row>
    <row r="1935" spans="1:13" s="1016" customFormat="1" ht="25.2" hidden="1" customHeight="1">
      <c r="A1935" s="1086">
        <f t="shared" si="76"/>
        <v>0</v>
      </c>
      <c r="B1935" s="1226"/>
      <c r="C1935" s="2841"/>
      <c r="D1935" s="1011"/>
      <c r="E1935" s="1061"/>
      <c r="F1935" s="1267" t="s">
        <v>2279</v>
      </c>
      <c r="G1935" s="1023"/>
      <c r="H1935" s="1713"/>
      <c r="I1935" s="1192">
        <f t="shared" si="78"/>
        <v>0</v>
      </c>
      <c r="J1935" s="1062"/>
      <c r="K1935" s="1062"/>
      <c r="L1935" s="1015"/>
      <c r="M1935" s="934">
        <v>560</v>
      </c>
    </row>
    <row r="1936" spans="1:13" s="1016" customFormat="1" ht="25.2" hidden="1" customHeight="1">
      <c r="A1936" s="1086">
        <f t="shared" si="76"/>
        <v>0</v>
      </c>
      <c r="B1936" s="1087" t="s">
        <v>1408</v>
      </c>
      <c r="C1936" s="2842"/>
      <c r="D1936" s="1011"/>
      <c r="E1936" s="1024" t="str">
        <f>VLOOKUP($B1936,DG!A:D,DG!$B$2,)</f>
        <v>05.6105</v>
      </c>
      <c r="F1936" s="1013" t="str">
        <f>VLOOKUP($B1936,DG!A:D,DG!$C$2,)&amp;": 2 cái"</f>
        <v>Đà U200x80x5x2800 đỡ MBA: 2 cái</v>
      </c>
      <c r="G1936" s="1012" t="str">
        <f>VLOOKUP($B1936,DG!A:D,DG!$D$2,)</f>
        <v>cái</v>
      </c>
      <c r="H1936" s="1713">
        <v>2</v>
      </c>
      <c r="I1936" s="1192">
        <f t="shared" si="78"/>
        <v>0</v>
      </c>
      <c r="J1936" s="1041"/>
      <c r="K1936" s="1041"/>
      <c r="L1936" s="1015"/>
      <c r="M1936" s="934">
        <v>560</v>
      </c>
    </row>
    <row r="1937" spans="1:13" s="1016" customFormat="1" ht="25.2" hidden="1" customHeight="1">
      <c r="A1937" s="1086">
        <f t="shared" si="76"/>
        <v>0</v>
      </c>
      <c r="B1937" s="1087" t="s">
        <v>1137</v>
      </c>
      <c r="C1937" s="2842"/>
      <c r="D1937" s="1011"/>
      <c r="E1937" s="1024" t="str">
        <f>VLOOKUP($B1937,DG!A:D,DG!$B$2,)</f>
        <v>05.6101</v>
      </c>
      <c r="F1937" s="1013" t="str">
        <f>VLOOKUP($B1937,DG!A:D,DG!$C$2,)&amp;": 4 cái"</f>
        <v>Đà U100x46x4.5x400 : 4 cái</v>
      </c>
      <c r="G1937" s="1012" t="str">
        <f>VLOOKUP($B1937,DG!A:D,DG!$D$2,)</f>
        <v>cái</v>
      </c>
      <c r="H1937" s="1713">
        <v>4</v>
      </c>
      <c r="I1937" s="1192">
        <f t="shared" si="78"/>
        <v>0</v>
      </c>
      <c r="J1937" s="1041"/>
      <c r="K1937" s="1041"/>
      <c r="L1937" s="1015"/>
      <c r="M1937" s="934">
        <v>560</v>
      </c>
    </row>
    <row r="1938" spans="1:13" s="1016" customFormat="1" ht="25.2" hidden="1" customHeight="1">
      <c r="A1938" s="1086">
        <f t="shared" si="76"/>
        <v>0</v>
      </c>
      <c r="B1938" s="1087" t="s">
        <v>1138</v>
      </c>
      <c r="C1938" s="2842"/>
      <c r="D1938" s="1011"/>
      <c r="E1938" s="1024" t="str">
        <f>VLOOKUP($B1938,DG!A:D,DG!$B$2,)</f>
        <v>05.6101</v>
      </c>
      <c r="F1938" s="1013" t="str">
        <f>VLOOKUP($B1938,DG!A:D,DG!$C$2,)&amp;": 2 cái"</f>
        <v>Đà U100x46x5x800 : 2 cái</v>
      </c>
      <c r="G1938" s="1012" t="str">
        <f>VLOOKUP($B1938,DG!A:D,DG!$D$2,)</f>
        <v>cái</v>
      </c>
      <c r="H1938" s="1713">
        <v>2</v>
      </c>
      <c r="I1938" s="1192">
        <f t="shared" si="78"/>
        <v>0</v>
      </c>
      <c r="J1938" s="1041"/>
      <c r="K1938" s="1041"/>
      <c r="L1938" s="1015"/>
      <c r="M1938" s="934">
        <v>560</v>
      </c>
    </row>
    <row r="1939" spans="1:13" s="1016" customFormat="1" ht="25.2" hidden="1" customHeight="1">
      <c r="A1939" s="1086">
        <f t="shared" si="76"/>
        <v>0</v>
      </c>
      <c r="B1939" s="1226" t="s">
        <v>1781</v>
      </c>
      <c r="C1939" s="2841"/>
      <c r="D1939" s="1011"/>
      <c r="E1939" s="1024">
        <f>VLOOKUP($B1939,DG!A:D,DG!$B$2,)</f>
        <v>0</v>
      </c>
      <c r="F1939" s="1013" t="str">
        <f>VLOOKUP($B1939,DG!A:D,DG!$C$2,)</f>
        <v>Boulon 16x400VRS+ 4 long đền vuông D18-50x50x3/Zn</v>
      </c>
      <c r="G1939" s="1012" t="str">
        <f>VLOOKUP($B1939,DG!A:D,DG!$D$2,)</f>
        <v>bộ</v>
      </c>
      <c r="H1939" s="1713">
        <f>H1934*10</f>
        <v>10</v>
      </c>
      <c r="I1939" s="1192">
        <f t="shared" si="78"/>
        <v>0</v>
      </c>
      <c r="J1939" s="1041"/>
      <c r="K1939" s="1041"/>
      <c r="L1939" s="1015"/>
      <c r="M1939" s="934">
        <v>560</v>
      </c>
    </row>
    <row r="1940" spans="1:13" s="1016" customFormat="1" ht="25.2" hidden="1" customHeight="1">
      <c r="A1940" s="1086">
        <f t="shared" si="76"/>
        <v>0</v>
      </c>
      <c r="B1940" s="1226" t="s">
        <v>1083</v>
      </c>
      <c r="C1940" s="2841"/>
      <c r="D1940" s="1011"/>
      <c r="E1940" s="1024">
        <f>VLOOKUP($B1940,DG!A:D,DG!$B$2,)</f>
        <v>0</v>
      </c>
      <c r="F1940" s="1013" t="str">
        <f>VLOOKUP($B1940,DG!A:D,DG!$C$2,)</f>
        <v>Boulon 16x400+ 2 long đền vuông D18-50x50x3/Zn</v>
      </c>
      <c r="G1940" s="1012" t="str">
        <f>VLOOKUP($B1940,DG!A:D,DG!$D$2,)</f>
        <v>bộ</v>
      </c>
      <c r="H1940" s="1713">
        <f>H1934*2</f>
        <v>2</v>
      </c>
      <c r="I1940" s="1192">
        <f t="shared" si="78"/>
        <v>0</v>
      </c>
      <c r="J1940" s="1041"/>
      <c r="K1940" s="1041"/>
      <c r="L1940" s="1015"/>
      <c r="M1940" s="934">
        <v>560</v>
      </c>
    </row>
    <row r="1941" spans="1:13" s="1016" customFormat="1" ht="25.2" hidden="1" customHeight="1">
      <c r="A1941" s="1086">
        <f t="shared" si="76"/>
        <v>0</v>
      </c>
      <c r="B1941" s="1226" t="s">
        <v>1079</v>
      </c>
      <c r="C1941" s="2841"/>
      <c r="D1941" s="1011"/>
      <c r="E1941" s="1024">
        <f>VLOOKUP($B1941,DG!A:D,DG!$B$2,)</f>
        <v>0</v>
      </c>
      <c r="F1941" s="1013" t="str">
        <f>VLOOKUP($B1941,DG!A:D,DG!$C$2,)</f>
        <v>Boulon 16x350+ 2 long đền vuông D18-50x50x3/Zn</v>
      </c>
      <c r="G1941" s="1012" t="str">
        <f>VLOOKUP($B1941,DG!A:D,DG!$D$2,)</f>
        <v>bộ</v>
      </c>
      <c r="H1941" s="1713">
        <f>H1934*12</f>
        <v>12</v>
      </c>
      <c r="I1941" s="1192">
        <f t="shared" si="78"/>
        <v>0</v>
      </c>
      <c r="J1941" s="1041"/>
      <c r="K1941" s="1041"/>
      <c r="L1941" s="1015"/>
      <c r="M1941" s="934">
        <v>560</v>
      </c>
    </row>
    <row r="1942" spans="1:13" s="1016" customFormat="1" ht="25.2" hidden="1" customHeight="1">
      <c r="A1942" s="1086">
        <f t="shared" si="76"/>
        <v>0</v>
      </c>
      <c r="B1942" s="1226" t="s">
        <v>2242</v>
      </c>
      <c r="C1942" s="2841"/>
      <c r="D1942" s="1011"/>
      <c r="E1942" s="1024" t="str">
        <f>VLOOKUP($B1942,DG!A:D,DG!$B$2,)</f>
        <v>05.6044</v>
      </c>
      <c r="F1942" s="1013" t="str">
        <f>VLOOKUP($B1942,DG!A:D,DG!$C$2,)</f>
        <v>Lắp xà cột Pi loại ≤140kg/xà</v>
      </c>
      <c r="G1942" s="1024" t="str">
        <f>VLOOKUP($B1942,DG!A:D,DG!$D$2,)</f>
        <v>bộ</v>
      </c>
      <c r="H1942" s="1713">
        <f>H1934</f>
        <v>1</v>
      </c>
      <c r="I1942" s="1192">
        <f t="shared" si="78"/>
        <v>0</v>
      </c>
      <c r="J1942" s="1041"/>
      <c r="K1942" s="1041"/>
      <c r="L1942" s="1015"/>
      <c r="M1942" s="934">
        <v>560</v>
      </c>
    </row>
    <row r="1943" spans="1:13" s="1016" customFormat="1" ht="25.2" hidden="1" customHeight="1">
      <c r="A1943" s="1086">
        <f t="shared" si="76"/>
        <v>0</v>
      </c>
      <c r="B1943" s="1226"/>
      <c r="C1943" s="2841"/>
      <c r="D1943" s="1017">
        <f>IF(H1943&gt;0,D1927+1,D1927)</f>
        <v>1</v>
      </c>
      <c r="E1943" s="1018"/>
      <c r="F1943" s="1063" t="s">
        <v>6427</v>
      </c>
      <c r="G1943" s="1017" t="s">
        <v>2385</v>
      </c>
      <c r="H1943" s="2676">
        <v>1</v>
      </c>
      <c r="I1943" s="1192">
        <f t="shared" ref="I1943:I1950" si="79">IF(M1943=$M$23,H1943+J1943-K1943,0)</f>
        <v>0</v>
      </c>
      <c r="J1943" s="1064"/>
      <c r="K1943" s="1064"/>
      <c r="L1943" s="1015"/>
      <c r="M1943" s="934">
        <v>560</v>
      </c>
    </row>
    <row r="1944" spans="1:13" s="1016" customFormat="1" ht="25.2" hidden="1" customHeight="1">
      <c r="A1944" s="1086">
        <f t="shared" si="76"/>
        <v>0</v>
      </c>
      <c r="B1944" s="1226"/>
      <c r="C1944" s="2841"/>
      <c r="D1944" s="1011"/>
      <c r="E1944" s="1024"/>
      <c r="F1944" s="1267" t="s">
        <v>2279</v>
      </c>
      <c r="G1944" s="1023"/>
      <c r="H1944" s="1713"/>
      <c r="I1944" s="1192">
        <f t="shared" si="79"/>
        <v>0</v>
      </c>
      <c r="J1944" s="1064"/>
      <c r="K1944" s="1064"/>
      <c r="L1944" s="1015"/>
      <c r="M1944" s="934">
        <v>560</v>
      </c>
    </row>
    <row r="1945" spans="1:13" s="1016" customFormat="1" ht="25.2" hidden="1" customHeight="1">
      <c r="A1945" s="1086">
        <f t="shared" si="76"/>
        <v>0</v>
      </c>
      <c r="B1945" s="1233" t="s">
        <v>4328</v>
      </c>
      <c r="C1945" s="2843"/>
      <c r="D1945" s="1011"/>
      <c r="E1945" s="1024">
        <f>VLOOKUP($B1945,DG!A:D,DG!$B$2,)</f>
        <v>0</v>
      </c>
      <c r="F1945" s="1013" t="str">
        <f>VLOOKUP($B1945,DG!A:D,DG!$C$2,)</f>
        <v>Xà composite 110x800x5 dài 2,4m</v>
      </c>
      <c r="G1945" s="1024" t="str">
        <f>VLOOKUP($B1945,DG!A:D,DG!$D$2,)</f>
        <v>cái</v>
      </c>
      <c r="H1945" s="2020">
        <v>1</v>
      </c>
      <c r="I1945" s="1192">
        <f t="shared" si="79"/>
        <v>0</v>
      </c>
      <c r="J1945" s="1041"/>
      <c r="K1945" s="1041"/>
      <c r="L1945" s="1015"/>
      <c r="M1945" s="934">
        <v>560</v>
      </c>
    </row>
    <row r="1946" spans="1:13" s="1016" customFormat="1" ht="25.2" hidden="1" customHeight="1">
      <c r="A1946" s="1086">
        <f t="shared" ref="A1946:A2009" si="80">IF(AND(M1946=$M$23,I1946&gt;0),1,0)</f>
        <v>0</v>
      </c>
      <c r="B1946" s="1226" t="s">
        <v>365</v>
      </c>
      <c r="C1946" s="2841"/>
      <c r="D1946" s="1011"/>
      <c r="E1946" s="1024">
        <f>VLOOKUP($B1946,DG!A:D,DG!$B$2,)</f>
        <v>0</v>
      </c>
      <c r="F1946" s="1013" t="str">
        <f>VLOOKUP($B1946,DG!A:D,DG!$C$2,)</f>
        <v>Chống composite 40x10x920</v>
      </c>
      <c r="G1946" s="1024" t="str">
        <f>VLOOKUP($B1946,DG!A:D,DG!$D$2,)</f>
        <v>cái</v>
      </c>
      <c r="H1946" s="2020">
        <v>2</v>
      </c>
      <c r="I1946" s="1192">
        <f t="shared" si="79"/>
        <v>0</v>
      </c>
      <c r="J1946" s="1041"/>
      <c r="K1946" s="1041"/>
      <c r="L1946" s="1015"/>
      <c r="M1946" s="934">
        <v>560</v>
      </c>
    </row>
    <row r="1947" spans="1:13" s="1016" customFormat="1" ht="25.2" hidden="1" customHeight="1">
      <c r="A1947" s="1086">
        <f t="shared" si="80"/>
        <v>0</v>
      </c>
      <c r="B1947" s="1226" t="s">
        <v>1083</v>
      </c>
      <c r="C1947" s="2841"/>
      <c r="D1947" s="1011"/>
      <c r="E1947" s="1024">
        <f>VLOOKUP($B1947,DG!A:D,DG!$B$2,)</f>
        <v>0</v>
      </c>
      <c r="F1947" s="1013" t="str">
        <f>VLOOKUP($B1947,DG!A:D,DG!$C$2,)</f>
        <v>Boulon 16x400+ 2 long đền vuông D18-50x50x3/Zn</v>
      </c>
      <c r="G1947" s="1024" t="str">
        <f>VLOOKUP($B1947,DG!A:D,DG!$D$2,)</f>
        <v>bộ</v>
      </c>
      <c r="H1947" s="2020">
        <f>H1943*2</f>
        <v>2</v>
      </c>
      <c r="I1947" s="1192">
        <f t="shared" si="79"/>
        <v>0</v>
      </c>
      <c r="J1947" s="1041"/>
      <c r="K1947" s="1041"/>
      <c r="L1947" s="1015"/>
      <c r="M1947" s="934">
        <v>560</v>
      </c>
    </row>
    <row r="1948" spans="1:13" s="1016" customFormat="1" ht="25.2" hidden="1" customHeight="1">
      <c r="A1948" s="1086">
        <f t="shared" si="80"/>
        <v>0</v>
      </c>
      <c r="B1948" s="1226" t="s">
        <v>244</v>
      </c>
      <c r="C1948" s="2841"/>
      <c r="D1948" s="1011"/>
      <c r="E1948" s="1024">
        <f>VLOOKUP($B1948,DG!A:D,DG!$B$2,)</f>
        <v>0</v>
      </c>
      <c r="F1948" s="1013" t="str">
        <f>VLOOKUP($B1948,DG!A:D,DG!$C$2,)</f>
        <v>Boulon 16x150+ 2 long đền vuông D18-50x50x3/Zn</v>
      </c>
      <c r="G1948" s="1024" t="str">
        <f>VLOOKUP($B1948,DG!A:D,DG!$D$2,)</f>
        <v>bộ</v>
      </c>
      <c r="H1948" s="2020">
        <f>H1947</f>
        <v>2</v>
      </c>
      <c r="I1948" s="1192">
        <f t="shared" si="79"/>
        <v>0</v>
      </c>
      <c r="J1948" s="1041"/>
      <c r="K1948" s="1041"/>
      <c r="L1948" s="1015"/>
      <c r="M1948" s="934">
        <v>560</v>
      </c>
    </row>
    <row r="1949" spans="1:13" s="1016" customFormat="1" ht="25.2" hidden="1" customHeight="1">
      <c r="A1949" s="1086">
        <f t="shared" si="80"/>
        <v>0</v>
      </c>
      <c r="B1949" s="1226" t="s">
        <v>30</v>
      </c>
      <c r="C1949" s="2841"/>
      <c r="D1949" s="1011"/>
      <c r="E1949" s="1024">
        <f>VLOOKUP($B1949,DG!A:D,DG!$B$2,)</f>
        <v>0</v>
      </c>
      <c r="F1949" s="1013" t="str">
        <f>VLOOKUP($B1949,DG!A:D,DG!$C$2,)</f>
        <v>Bass LI bắt FCO</v>
      </c>
      <c r="G1949" s="1024" t="str">
        <f>VLOOKUP($B1949,DG!A:D,DG!$D$2,)</f>
        <v>Bộ</v>
      </c>
      <c r="H1949" s="2020">
        <v>3</v>
      </c>
      <c r="I1949" s="1192">
        <f t="shared" ref="I1949" si="81">IF(M1949=$M$23,H1949+J1949-K1949,0)</f>
        <v>0</v>
      </c>
      <c r="J1949" s="1041"/>
      <c r="K1949" s="1041"/>
      <c r="L1949" s="1015"/>
      <c r="M1949" s="934">
        <v>560</v>
      </c>
    </row>
    <row r="1950" spans="1:13" s="1016" customFormat="1" ht="25.2" hidden="1" customHeight="1">
      <c r="A1950" s="1086">
        <f t="shared" si="80"/>
        <v>0</v>
      </c>
      <c r="B1950" s="1226" t="s">
        <v>1995</v>
      </c>
      <c r="C1950" s="2841"/>
      <c r="D1950" s="1011"/>
      <c r="E1950" s="1024" t="str">
        <f>VLOOKUP($B1950,DG!A:D,DG!$B$2,)</f>
        <v>05.6401</v>
      </c>
      <c r="F1950" s="1013" t="str">
        <f>VLOOKUP($B1950,DG!A:D,DG!$C$2,)</f>
        <v>Lắp xà đỡ ≤ 25kg</v>
      </c>
      <c r="G1950" s="1024" t="str">
        <f>VLOOKUP($B1950,DG!A:D,DG!$D$2,)</f>
        <v>bộ</v>
      </c>
      <c r="H1950" s="2020">
        <v>1</v>
      </c>
      <c r="I1950" s="1192">
        <f t="shared" si="79"/>
        <v>0</v>
      </c>
      <c r="J1950" s="1041"/>
      <c r="K1950" s="1041"/>
      <c r="L1950" s="1015"/>
      <c r="M1950" s="934">
        <v>560</v>
      </c>
    </row>
    <row r="1951" spans="1:13" s="1016" customFormat="1" ht="25.2" hidden="1" customHeight="1">
      <c r="A1951" s="1086">
        <f t="shared" si="80"/>
        <v>0</v>
      </c>
      <c r="B1951" s="1226"/>
      <c r="C1951" s="2841"/>
      <c r="D1951" s="1017">
        <f>IF(H1951&gt;0,D1934+1,D1934)</f>
        <v>1</v>
      </c>
      <c r="E1951" s="1018"/>
      <c r="F1951" s="1063" t="s">
        <v>3745</v>
      </c>
      <c r="G1951" s="1017" t="s">
        <v>2385</v>
      </c>
      <c r="H1951" s="2676"/>
      <c r="I1951" s="1192">
        <f t="shared" si="78"/>
        <v>0</v>
      </c>
      <c r="J1951" s="1064"/>
      <c r="K1951" s="1064"/>
      <c r="L1951" s="1015"/>
      <c r="M1951" s="934">
        <v>560</v>
      </c>
    </row>
    <row r="1952" spans="1:13" s="1016" customFormat="1" ht="25.2" hidden="1" customHeight="1">
      <c r="A1952" s="1086">
        <f t="shared" si="80"/>
        <v>0</v>
      </c>
      <c r="B1952" s="1226"/>
      <c r="C1952" s="2841"/>
      <c r="D1952" s="1011"/>
      <c r="E1952" s="1024"/>
      <c r="F1952" s="1267" t="s">
        <v>2279</v>
      </c>
      <c r="G1952" s="1023"/>
      <c r="H1952" s="1713"/>
      <c r="I1952" s="1192">
        <f t="shared" si="78"/>
        <v>0</v>
      </c>
      <c r="J1952" s="1064"/>
      <c r="K1952" s="1064"/>
      <c r="L1952" s="1015"/>
      <c r="M1952" s="934">
        <v>560</v>
      </c>
    </row>
    <row r="1953" spans="1:13" s="1016" customFormat="1" ht="25.2" hidden="1" customHeight="1">
      <c r="A1953" s="1086">
        <f t="shared" si="80"/>
        <v>0</v>
      </c>
      <c r="B1953" s="1233" t="s">
        <v>2022</v>
      </c>
      <c r="C1953" s="2843"/>
      <c r="D1953" s="1011"/>
      <c r="E1953" s="1024">
        <f>VLOOKUP($B1953,DG!A:D,DG!$B$2,)</f>
        <v>0</v>
      </c>
      <c r="F1953" s="1013" t="str">
        <f>VLOOKUP($B1953,DG!A:D,DG!$C$2,)</f>
        <v>Sắt góc L75 x75 x8</v>
      </c>
      <c r="G1953" s="1024" t="str">
        <f>VLOOKUP($B1953,DG!A:D,DG!$D$2,)</f>
        <v>kg</v>
      </c>
      <c r="H1953" s="2020">
        <f>H1951*9.42*(2.6+3*0.07)*2</f>
        <v>0</v>
      </c>
      <c r="I1953" s="1192">
        <f t="shared" si="78"/>
        <v>0</v>
      </c>
      <c r="J1953" s="1041"/>
      <c r="K1953" s="1041"/>
      <c r="L1953" s="1015"/>
      <c r="M1953" s="934">
        <v>560</v>
      </c>
    </row>
    <row r="1954" spans="1:13" s="1016" customFormat="1" ht="25.2" hidden="1" customHeight="1">
      <c r="A1954" s="1086">
        <f t="shared" si="80"/>
        <v>0</v>
      </c>
      <c r="B1954" s="1226" t="s">
        <v>1784</v>
      </c>
      <c r="C1954" s="2841"/>
      <c r="D1954" s="1011"/>
      <c r="E1954" s="1024">
        <f>VLOOKUP($B1954,DG!A:D,DG!$B$2,)</f>
        <v>0</v>
      </c>
      <c r="F1954" s="1013" t="str">
        <f>VLOOKUP($B1954,DG!A:D,DG!$C$2,)</f>
        <v>Boulon 16x300VRS+ 4 long đền vuông D18-50x50x3/Zn</v>
      </c>
      <c r="G1954" s="1024" t="str">
        <f>VLOOKUP($B1954,DG!A:D,DG!$D$2,)</f>
        <v>bộ</v>
      </c>
      <c r="H1954" s="2020">
        <f>H1951*2</f>
        <v>0</v>
      </c>
      <c r="I1954" s="1192">
        <f t="shared" si="78"/>
        <v>0</v>
      </c>
      <c r="J1954" s="1041"/>
      <c r="K1954" s="1041"/>
      <c r="L1954" s="1015"/>
      <c r="M1954" s="934">
        <v>560</v>
      </c>
    </row>
    <row r="1955" spans="1:13" s="1016" customFormat="1" ht="25.2" hidden="1" customHeight="1">
      <c r="A1955" s="1086">
        <f t="shared" si="80"/>
        <v>0</v>
      </c>
      <c r="B1955" s="1226" t="s">
        <v>1610</v>
      </c>
      <c r="C1955" s="2841"/>
      <c r="D1955" s="1011"/>
      <c r="E1955" s="1024">
        <f>VLOOKUP($B1955,DG!A:D,DG!$B$2,)</f>
        <v>0</v>
      </c>
      <c r="F1955" s="1013" t="str">
        <f>VLOOKUP($B1955,DG!A:D,DG!$C$2,)</f>
        <v>Boulon 16x300+ 2 long đền vuông D18-50x50x3/Zn</v>
      </c>
      <c r="G1955" s="1024" t="str">
        <f>VLOOKUP($B1955,DG!A:D,DG!$D$2,)</f>
        <v>bộ</v>
      </c>
      <c r="H1955" s="2020">
        <f>H1951*2</f>
        <v>0</v>
      </c>
      <c r="I1955" s="1192">
        <f t="shared" si="78"/>
        <v>0</v>
      </c>
      <c r="J1955" s="1041"/>
      <c r="K1955" s="1041"/>
      <c r="L1955" s="1015"/>
      <c r="M1955" s="934">
        <v>560</v>
      </c>
    </row>
    <row r="1956" spans="1:13" s="1016" customFormat="1" ht="25.2" hidden="1" customHeight="1">
      <c r="A1956" s="1086">
        <f t="shared" si="80"/>
        <v>0</v>
      </c>
      <c r="B1956" s="1226" t="s">
        <v>1609</v>
      </c>
      <c r="C1956" s="2841"/>
      <c r="D1956" s="1011"/>
      <c r="E1956" s="1024">
        <f>VLOOKUP($B1956,DG!A:D,DG!$B$2,)</f>
        <v>0</v>
      </c>
      <c r="F1956" s="1013" t="str">
        <f>VLOOKUP($B1956,DG!A:D,DG!$C$2,)</f>
        <v>Boulon 16x250+ 2 long đền vuông D18-50x50x3/Zn</v>
      </c>
      <c r="G1956" s="1024" t="str">
        <f>VLOOKUP($B1956,DG!A:D,DG!$D$2,)</f>
        <v>bộ</v>
      </c>
      <c r="H1956" s="2020">
        <f>H1955</f>
        <v>0</v>
      </c>
      <c r="I1956" s="1192">
        <f t="shared" si="78"/>
        <v>0</v>
      </c>
      <c r="J1956" s="1041"/>
      <c r="K1956" s="1041"/>
      <c r="L1956" s="1015"/>
      <c r="M1956" s="934">
        <v>560</v>
      </c>
    </row>
    <row r="1957" spans="1:13" s="1016" customFormat="1" ht="25.2" hidden="1" customHeight="1">
      <c r="A1957" s="1086">
        <f t="shared" si="80"/>
        <v>0</v>
      </c>
      <c r="B1957" s="1226" t="s">
        <v>2242</v>
      </c>
      <c r="C1957" s="2841"/>
      <c r="D1957" s="1011"/>
      <c r="E1957" s="1024" t="str">
        <f>VLOOKUP($B1957,DG!A:D,DG!$B$2,)</f>
        <v>05.6044</v>
      </c>
      <c r="F1957" s="1013" t="str">
        <f>VLOOKUP($B1957,DG!A:D,DG!$C$2,)</f>
        <v>Lắp xà cột Pi loại ≤140kg/xà</v>
      </c>
      <c r="G1957" s="1024" t="str">
        <f>VLOOKUP($B1957,DG!A:D,DG!$D$2,)</f>
        <v>bộ</v>
      </c>
      <c r="H1957" s="2020">
        <f>H1951/2</f>
        <v>0</v>
      </c>
      <c r="I1957" s="1192">
        <f t="shared" si="78"/>
        <v>0</v>
      </c>
      <c r="J1957" s="1041"/>
      <c r="K1957" s="1041"/>
      <c r="L1957" s="1015"/>
      <c r="M1957" s="934">
        <v>560</v>
      </c>
    </row>
    <row r="1958" spans="1:13" s="1016" customFormat="1" ht="25.2" hidden="1" customHeight="1">
      <c r="A1958" s="1086">
        <f t="shared" si="80"/>
        <v>0</v>
      </c>
      <c r="B1958" s="1226"/>
      <c r="C1958" s="2841"/>
      <c r="D1958" s="1017">
        <f>IF(H1958&gt;0,D1951+1,D1951)</f>
        <v>2</v>
      </c>
      <c r="E1958" s="1018"/>
      <c r="F1958" s="1063" t="s">
        <v>4452</v>
      </c>
      <c r="G1958" s="1017" t="s">
        <v>2385</v>
      </c>
      <c r="H1958" s="1722">
        <f>H1901*1</f>
        <v>1</v>
      </c>
      <c r="I1958" s="1192">
        <f t="shared" si="78"/>
        <v>0</v>
      </c>
      <c r="J1958" s="1064"/>
      <c r="K1958" s="1064"/>
      <c r="L1958" s="1015"/>
      <c r="M1958" s="934">
        <v>560</v>
      </c>
    </row>
    <row r="1959" spans="1:13" s="1016" customFormat="1" ht="25.2" hidden="1" customHeight="1">
      <c r="A1959" s="1086">
        <f t="shared" si="80"/>
        <v>0</v>
      </c>
      <c r="B1959" s="1226"/>
      <c r="C1959" s="2841"/>
      <c r="D1959" s="1011"/>
      <c r="E1959" s="1021"/>
      <c r="F1959" s="1267" t="s">
        <v>2279</v>
      </c>
      <c r="G1959" s="1023"/>
      <c r="H1959" s="1713"/>
      <c r="I1959" s="1192">
        <f t="shared" si="78"/>
        <v>0</v>
      </c>
      <c r="J1959" s="1064"/>
      <c r="K1959" s="1064"/>
      <c r="L1959" s="1015"/>
      <c r="M1959" s="934">
        <v>560</v>
      </c>
    </row>
    <row r="1960" spans="1:13" s="1016" customFormat="1" ht="25.2" hidden="1" customHeight="1">
      <c r="A1960" s="1086">
        <f t="shared" si="80"/>
        <v>0</v>
      </c>
      <c r="B1960" s="1233" t="s">
        <v>6428</v>
      </c>
      <c r="C1960" s="2843"/>
      <c r="D1960" s="1011"/>
      <c r="E1960" s="1024">
        <f>VLOOKUP($B1960,DG!A:D,DG!$B$2,)</f>
        <v>0</v>
      </c>
      <c r="F1960" s="1013" t="str">
        <f>VLOOKUP($B1960,DG!A:D,DG!$C$2,)</f>
        <v>Sắt góc L75 x75 x8 x2600</v>
      </c>
      <c r="G1960" s="1024" t="str">
        <f>VLOOKUP($B1960,DG!A:D,DG!$D$2,)</f>
        <v>cái</v>
      </c>
      <c r="H1960" s="1713">
        <v>1</v>
      </c>
      <c r="I1960" s="1192">
        <f t="shared" si="78"/>
        <v>0</v>
      </c>
      <c r="J1960" s="1041"/>
      <c r="K1960" s="1041"/>
      <c r="L1960" s="1015"/>
      <c r="M1960" s="934">
        <v>560</v>
      </c>
    </row>
    <row r="1961" spans="1:13" s="1016" customFormat="1" ht="25.2" hidden="1" customHeight="1">
      <c r="A1961" s="1086">
        <f t="shared" si="80"/>
        <v>0</v>
      </c>
      <c r="B1961" s="1226" t="s">
        <v>1609</v>
      </c>
      <c r="C1961" s="2841"/>
      <c r="D1961" s="1011"/>
      <c r="E1961" s="1024">
        <f>VLOOKUP($B1961,DG!A:D,DG!$B$2,)</f>
        <v>0</v>
      </c>
      <c r="F1961" s="1013" t="str">
        <f>VLOOKUP($B1961,DG!A:D,DG!$C$2,)</f>
        <v>Boulon 16x250+ 2 long đền vuông D18-50x50x3/Zn</v>
      </c>
      <c r="G1961" s="1024" t="str">
        <f>VLOOKUP($B1961,DG!A:D,DG!$D$2,)</f>
        <v>bộ</v>
      </c>
      <c r="H1961" s="1713">
        <f>H1958</f>
        <v>1</v>
      </c>
      <c r="I1961" s="1192">
        <f t="shared" si="78"/>
        <v>0</v>
      </c>
      <c r="J1961" s="1041"/>
      <c r="K1961" s="1041"/>
      <c r="L1961" s="1015"/>
      <c r="M1961" s="934">
        <v>560</v>
      </c>
    </row>
    <row r="1962" spans="1:13" s="1016" customFormat="1" ht="25.2" hidden="1" customHeight="1">
      <c r="A1962" s="1086">
        <f t="shared" si="80"/>
        <v>0</v>
      </c>
      <c r="B1962" s="1226" t="s">
        <v>1610</v>
      </c>
      <c r="C1962" s="2841"/>
      <c r="D1962" s="1011"/>
      <c r="E1962" s="1024">
        <f>VLOOKUP($B1962,DG!A:D,DG!$B$2,)</f>
        <v>0</v>
      </c>
      <c r="F1962" s="1013" t="str">
        <f>VLOOKUP($B1962,DG!A:D,DG!$C$2,)</f>
        <v>Boulon 16x300+ 2 long đền vuông D18-50x50x3/Zn</v>
      </c>
      <c r="G1962" s="1024" t="str">
        <f>VLOOKUP($B1962,DG!A:D,DG!$D$2,)</f>
        <v>bộ</v>
      </c>
      <c r="H1962" s="1713">
        <f>H1958</f>
        <v>1</v>
      </c>
      <c r="I1962" s="1192">
        <f t="shared" si="78"/>
        <v>0</v>
      </c>
      <c r="J1962" s="1041"/>
      <c r="K1962" s="1041"/>
      <c r="L1962" s="1015"/>
      <c r="M1962" s="934">
        <v>560</v>
      </c>
    </row>
    <row r="1963" spans="1:13" s="1016" customFormat="1" ht="25.2" hidden="1" customHeight="1">
      <c r="A1963" s="1086">
        <f t="shared" si="80"/>
        <v>0</v>
      </c>
      <c r="B1963" s="1226" t="s">
        <v>30</v>
      </c>
      <c r="C1963" s="2841"/>
      <c r="D1963" s="1011"/>
      <c r="E1963" s="1024">
        <f>VLOOKUP($B1963,DG!A:D,DG!$B$2,)</f>
        <v>0</v>
      </c>
      <c r="F1963" s="1013" t="str">
        <f>VLOOKUP($B1963,DG!A:D,DG!$C$2,)</f>
        <v>Bass LI bắt FCO</v>
      </c>
      <c r="G1963" s="1024" t="str">
        <f>VLOOKUP($B1963,DG!A:D,DG!$D$2,)</f>
        <v>Bộ</v>
      </c>
      <c r="H1963" s="1713">
        <f>H1902*2</f>
        <v>6</v>
      </c>
      <c r="I1963" s="1192">
        <f t="shared" si="78"/>
        <v>0</v>
      </c>
      <c r="J1963" s="1041"/>
      <c r="K1963" s="1041"/>
      <c r="L1963" s="1015"/>
      <c r="M1963" s="934">
        <v>560</v>
      </c>
    </row>
    <row r="1964" spans="1:13" s="1016" customFormat="1" ht="25.2" hidden="1" customHeight="1">
      <c r="A1964" s="1086">
        <f t="shared" si="80"/>
        <v>0</v>
      </c>
      <c r="B1964" s="1226" t="s">
        <v>2242</v>
      </c>
      <c r="C1964" s="2841"/>
      <c r="D1964" s="1011"/>
      <c r="E1964" s="1024" t="str">
        <f>VLOOKUP($B1964,DG!A:D,DG!$B$2,)</f>
        <v>05.6044</v>
      </c>
      <c r="F1964" s="1013" t="str">
        <f>VLOOKUP($B1964,DG!A:D,DG!$C$2,)</f>
        <v>Lắp xà cột Pi loại ≤140kg/xà</v>
      </c>
      <c r="G1964" s="1024" t="str">
        <f>VLOOKUP($B1964,DG!A:D,DG!$D$2,)</f>
        <v>bộ</v>
      </c>
      <c r="H1964" s="1713">
        <f>H1901</f>
        <v>1</v>
      </c>
      <c r="I1964" s="1192">
        <f t="shared" si="78"/>
        <v>0</v>
      </c>
      <c r="J1964" s="1041"/>
      <c r="K1964" s="1041"/>
      <c r="L1964" s="1015"/>
      <c r="M1964" s="934">
        <v>560</v>
      </c>
    </row>
    <row r="1965" spans="1:13" s="1016" customFormat="1" ht="25.2" hidden="1" customHeight="1">
      <c r="A1965" s="1086">
        <f t="shared" si="80"/>
        <v>0</v>
      </c>
      <c r="B1965" s="1226"/>
      <c r="C1965" s="2841"/>
      <c r="D1965" s="1017">
        <f>IF(H1965&gt;0,D1958+1,D1958)</f>
        <v>3</v>
      </c>
      <c r="E1965" s="1018"/>
      <c r="F1965" s="1063" t="s">
        <v>3717</v>
      </c>
      <c r="G1965" s="1017" t="s">
        <v>2385</v>
      </c>
      <c r="H1965" s="1722">
        <f>H1901*2</f>
        <v>2</v>
      </c>
      <c r="I1965" s="1192">
        <f t="shared" si="78"/>
        <v>0</v>
      </c>
      <c r="J1965" s="1064"/>
      <c r="K1965" s="1064"/>
      <c r="L1965" s="1015"/>
      <c r="M1965" s="934">
        <v>560</v>
      </c>
    </row>
    <row r="1966" spans="1:13" s="1016" customFormat="1" ht="25.2" hidden="1" customHeight="1">
      <c r="A1966" s="1086">
        <f t="shared" si="80"/>
        <v>0</v>
      </c>
      <c r="B1966" s="1226"/>
      <c r="C1966" s="2841"/>
      <c r="D1966" s="1011"/>
      <c r="E1966" s="1021"/>
      <c r="F1966" s="1267" t="s">
        <v>2279</v>
      </c>
      <c r="G1966" s="1023"/>
      <c r="H1966" s="1713"/>
      <c r="I1966" s="1192">
        <f t="shared" si="78"/>
        <v>0</v>
      </c>
      <c r="J1966" s="1064"/>
      <c r="K1966" s="1064"/>
      <c r="L1966" s="1015"/>
      <c r="M1966" s="934">
        <v>560</v>
      </c>
    </row>
    <row r="1967" spans="1:13" s="1016" customFormat="1" ht="25.2" hidden="1" customHeight="1">
      <c r="A1967" s="1086">
        <f t="shared" si="80"/>
        <v>0</v>
      </c>
      <c r="B1967" s="1226" t="s">
        <v>6428</v>
      </c>
      <c r="C1967" s="2841"/>
      <c r="D1967" s="1011"/>
      <c r="E1967" s="1024">
        <f>VLOOKUP($B1967,DG!A:D,DG!$B$2,)</f>
        <v>0</v>
      </c>
      <c r="F1967" s="1013" t="str">
        <f>VLOOKUP($B1967,DG!A:D,DG!$C$2,)</f>
        <v>Sắt góc L75 x75 x8 x2600</v>
      </c>
      <c r="G1967" s="1024" t="str">
        <f>VLOOKUP($B1967,DG!A:D,DG!$D$2,)</f>
        <v>cái</v>
      </c>
      <c r="H1967" s="1713">
        <v>2</v>
      </c>
      <c r="I1967" s="1192">
        <f t="shared" si="78"/>
        <v>0</v>
      </c>
      <c r="J1967" s="1041"/>
      <c r="K1967" s="1041"/>
      <c r="L1967" s="1015"/>
      <c r="M1967" s="934">
        <v>560</v>
      </c>
    </row>
    <row r="1968" spans="1:13" s="1016" customFormat="1" ht="25.2" hidden="1" customHeight="1">
      <c r="A1968" s="1086">
        <f t="shared" si="80"/>
        <v>0</v>
      </c>
      <c r="B1968" s="1226" t="s">
        <v>1083</v>
      </c>
      <c r="C1968" s="2841"/>
      <c r="D1968" s="1011"/>
      <c r="E1968" s="1024">
        <f>VLOOKUP($B1968,DG!A:D,DG!$B$2,)</f>
        <v>0</v>
      </c>
      <c r="F1968" s="1013" t="str">
        <f>VLOOKUP($B1968,DG!A:D,DG!$C$2,)</f>
        <v>Boulon 16x400+ 2 long đền vuông D18-50x50x3/Zn</v>
      </c>
      <c r="G1968" s="1024" t="str">
        <f>VLOOKUP($B1968,DG!A:D,DG!$D$2,)</f>
        <v>bộ</v>
      </c>
      <c r="H1968" s="1713">
        <f>H1965*2</f>
        <v>4</v>
      </c>
      <c r="I1968" s="1192">
        <f t="shared" si="78"/>
        <v>0</v>
      </c>
      <c r="J1968" s="1041"/>
      <c r="K1968" s="1041"/>
      <c r="L1968" s="1015"/>
      <c r="M1968" s="934">
        <v>560</v>
      </c>
    </row>
    <row r="1969" spans="1:13" s="1016" customFormat="1" ht="25.2" hidden="1" customHeight="1">
      <c r="A1969" s="1086">
        <f t="shared" si="80"/>
        <v>0</v>
      </c>
      <c r="B1969" s="1226" t="s">
        <v>138</v>
      </c>
      <c r="C1969" s="2841"/>
      <c r="D1969" s="1011"/>
      <c r="E1969" s="1024">
        <f>VLOOKUP($B1969,DG!A:D,DG!$B$2,)</f>
        <v>0</v>
      </c>
      <c r="F1969" s="1013" t="str">
        <f>VLOOKUP($B1969,DG!A:D,DG!$C$2,)</f>
        <v>Boulon 12x40+ 2 long đền vuông D14-50x50x3/Zn</v>
      </c>
      <c r="G1969" s="1024" t="str">
        <f>VLOOKUP($B1969,DG!A:D,DG!$D$2,)</f>
        <v>bộ</v>
      </c>
      <c r="H1969" s="1713">
        <f>H1965*2</f>
        <v>4</v>
      </c>
      <c r="I1969" s="1192">
        <f t="shared" si="78"/>
        <v>0</v>
      </c>
      <c r="J1969" s="1041"/>
      <c r="K1969" s="1041"/>
      <c r="L1969" s="1015"/>
      <c r="M1969" s="934">
        <v>560</v>
      </c>
    </row>
    <row r="1970" spans="1:13" s="1016" customFormat="1" ht="25.2" hidden="1" customHeight="1">
      <c r="A1970" s="1086">
        <f t="shared" si="80"/>
        <v>0</v>
      </c>
      <c r="B1970" s="1226" t="s">
        <v>2242</v>
      </c>
      <c r="C1970" s="2841"/>
      <c r="D1970" s="1011"/>
      <c r="E1970" s="1024" t="str">
        <f>VLOOKUP($B1970,DG!A:D,DG!$B$2,)</f>
        <v>05.6044</v>
      </c>
      <c r="F1970" s="1013" t="str">
        <f>VLOOKUP($B1970,DG!A:D,DG!$C$2,)</f>
        <v>Lắp xà cột Pi loại ≤140kg/xà</v>
      </c>
      <c r="G1970" s="1024" t="str">
        <f>VLOOKUP($B1970,DG!A:D,DG!$D$2,)</f>
        <v>bộ</v>
      </c>
      <c r="H1970" s="1713">
        <f>H1965/2</f>
        <v>1</v>
      </c>
      <c r="I1970" s="1192">
        <f t="shared" si="78"/>
        <v>0</v>
      </c>
      <c r="J1970" s="1041"/>
      <c r="K1970" s="1041"/>
      <c r="L1970" s="1015"/>
      <c r="M1970" s="934">
        <v>560</v>
      </c>
    </row>
    <row r="1971" spans="1:13" s="1016" customFormat="1" ht="25.2" hidden="1" customHeight="1">
      <c r="A1971" s="1086">
        <f t="shared" si="80"/>
        <v>0</v>
      </c>
      <c r="B1971" s="1226" t="s">
        <v>217</v>
      </c>
      <c r="C1971" s="2841"/>
      <c r="D1971" s="1011"/>
      <c r="E1971" s="1024" t="str">
        <f>VLOOKUP($B1971,DG!A:D,DG!$B$2,)</f>
        <v>02.1115</v>
      </c>
      <c r="F1971" s="1013" t="str">
        <f>VLOOKUP($B1971,DG!A:D,DG!$C$2,)</f>
        <v>Bốc dỡ xà, thép thanh</v>
      </c>
      <c r="G1971" s="1024" t="str">
        <f>VLOOKUP($B1971,DG!A:D,DG!$D$2,)</f>
        <v>tấn</v>
      </c>
      <c r="H1971" s="1713">
        <f>0.05*0</f>
        <v>0</v>
      </c>
      <c r="I1971" s="1192">
        <f t="shared" si="78"/>
        <v>0</v>
      </c>
      <c r="J1971" s="1041"/>
      <c r="K1971" s="1041"/>
      <c r="L1971" s="1015"/>
      <c r="M1971" s="934">
        <v>560</v>
      </c>
    </row>
    <row r="1972" spans="1:13" s="1016" customFormat="1" ht="25.2" hidden="1" customHeight="1">
      <c r="A1972" s="1086">
        <f t="shared" si="80"/>
        <v>0</v>
      </c>
      <c r="B1972" s="1226" t="s">
        <v>1610</v>
      </c>
      <c r="C1972" s="2841"/>
      <c r="D1972" s="1011"/>
      <c r="E1972" s="1024">
        <f>VLOOKUP($B1972,DG!A:D,DG!$B$2,)</f>
        <v>0</v>
      </c>
      <c r="F1972" s="1013" t="str">
        <f>VLOOKUP($B1972,DG!A:D,DG!$C$2,)</f>
        <v>Boulon 16x300+ 2 long đền vuông D18-50x50x3/Zn</v>
      </c>
      <c r="G1972" s="1012" t="s">
        <v>2439</v>
      </c>
      <c r="H1972" s="1713">
        <f>H1965*2*0</f>
        <v>0</v>
      </c>
      <c r="I1972" s="1192">
        <f t="shared" si="78"/>
        <v>0</v>
      </c>
      <c r="J1972" s="1041"/>
      <c r="K1972" s="1041"/>
      <c r="L1972" s="1015"/>
      <c r="M1972" s="934">
        <v>560</v>
      </c>
    </row>
    <row r="1973" spans="1:13" s="1016" customFormat="1" ht="25.2" hidden="1" customHeight="1">
      <c r="A1973" s="1086">
        <f t="shared" si="80"/>
        <v>0</v>
      </c>
      <c r="B1973" s="1226" t="s">
        <v>1609</v>
      </c>
      <c r="C1973" s="2841"/>
      <c r="D1973" s="1011"/>
      <c r="E1973" s="1024">
        <f>VLOOKUP($B1973,DG!A:D,DG!$B$2,)</f>
        <v>0</v>
      </c>
      <c r="F1973" s="1013" t="str">
        <f>VLOOKUP($B1973,DG!A:D,DG!$C$2,)</f>
        <v>Boulon 16x250+ 2 long đền vuông D18-50x50x3/Zn</v>
      </c>
      <c r="G1973" s="1012" t="s">
        <v>2439</v>
      </c>
      <c r="H1973" s="1713">
        <f>2*H1965*2*0</f>
        <v>0</v>
      </c>
      <c r="I1973" s="1192">
        <f t="shared" si="78"/>
        <v>0</v>
      </c>
      <c r="J1973" s="1041"/>
      <c r="K1973" s="1041"/>
      <c r="L1973" s="1015"/>
      <c r="M1973" s="934">
        <v>560</v>
      </c>
    </row>
    <row r="1974" spans="1:13" s="1016" customFormat="1" ht="25.2" hidden="1" customHeight="1" collapsed="1">
      <c r="A1974" s="1086">
        <f t="shared" si="80"/>
        <v>0</v>
      </c>
      <c r="B1974" s="1226"/>
      <c r="C1974" s="2841"/>
      <c r="D1974" s="1017">
        <f>IF(H1974&gt;0,D1965+1,D1965)</f>
        <v>3</v>
      </c>
      <c r="E1974" s="1018"/>
      <c r="F1974" s="1063" t="s">
        <v>3746</v>
      </c>
      <c r="G1974" s="1017" t="s">
        <v>2385</v>
      </c>
      <c r="H1974" s="1722">
        <f>H1901*2*0</f>
        <v>0</v>
      </c>
      <c r="I1974" s="1192">
        <f t="shared" si="78"/>
        <v>0</v>
      </c>
      <c r="J1974" s="1014"/>
      <c r="K1974" s="1014"/>
      <c r="L1974" s="1043"/>
      <c r="M1974" s="934">
        <v>560</v>
      </c>
    </row>
    <row r="1975" spans="1:13" s="1016" customFormat="1" ht="25.2" hidden="1" customHeight="1">
      <c r="A1975" s="1086">
        <f t="shared" si="80"/>
        <v>0</v>
      </c>
      <c r="B1975" s="1226"/>
      <c r="C1975" s="2841"/>
      <c r="D1975" s="1011"/>
      <c r="E1975" s="1021"/>
      <c r="F1975" s="1267" t="s">
        <v>2279</v>
      </c>
      <c r="G1975" s="1023"/>
      <c r="H1975" s="1713"/>
      <c r="I1975" s="1192">
        <f t="shared" si="78"/>
        <v>0</v>
      </c>
      <c r="J1975" s="1014"/>
      <c r="K1975" s="1014"/>
      <c r="L1975" s="1043"/>
      <c r="M1975" s="934">
        <v>560</v>
      </c>
    </row>
    <row r="1976" spans="1:13" s="1016" customFormat="1" ht="25.2" hidden="1" customHeight="1">
      <c r="A1976" s="1086">
        <f t="shared" si="80"/>
        <v>0</v>
      </c>
      <c r="B1976" s="1226" t="s">
        <v>2022</v>
      </c>
      <c r="C1976" s="2841"/>
      <c r="D1976" s="1011"/>
      <c r="E1976" s="1024">
        <f>VLOOKUP($B1976,DG!A:D,DG!$B$2,)</f>
        <v>0</v>
      </c>
      <c r="F1976" s="1013" t="str">
        <f>VLOOKUP($B1976,DG!A:D,DG!$C$2,)</f>
        <v>Sắt góc L75 x75 x8</v>
      </c>
      <c r="G1976" s="1012" t="s">
        <v>2248</v>
      </c>
      <c r="H1976" s="1713">
        <f>H1974*9.02*(2.2+4*0.07)*2</f>
        <v>0</v>
      </c>
      <c r="I1976" s="1192">
        <f t="shared" si="78"/>
        <v>0</v>
      </c>
      <c r="J1976" s="1014"/>
      <c r="K1976" s="1014"/>
      <c r="L1976" s="1043"/>
      <c r="M1976" s="934">
        <v>560</v>
      </c>
    </row>
    <row r="1977" spans="1:13" s="1016" customFormat="1" ht="25.2" hidden="1" customHeight="1">
      <c r="A1977" s="1086">
        <f t="shared" si="80"/>
        <v>0</v>
      </c>
      <c r="B1977" s="1226" t="s">
        <v>1035</v>
      </c>
      <c r="C1977" s="2841"/>
      <c r="D1977" s="1011"/>
      <c r="E1977" s="1024">
        <f>VLOOKUP($B1977,DG!A:D,DG!$B$2,)</f>
        <v>0</v>
      </c>
      <c r="F1977" s="1013" t="str">
        <f>VLOOKUP($B1977,DG!A:D,DG!$C$2,)&amp;" (Thanh choáng 810)"</f>
        <v>Sắt góc L50 x50 x5 (Thanh choáng 810)</v>
      </c>
      <c r="G1977" s="1012" t="s">
        <v>2248</v>
      </c>
      <c r="H1977" s="1713">
        <f>H1974*3.77*0.81*4</f>
        <v>0</v>
      </c>
      <c r="I1977" s="1192">
        <f t="shared" si="78"/>
        <v>0</v>
      </c>
      <c r="J1977" s="1014"/>
      <c r="K1977" s="1014"/>
      <c r="L1977" s="1043"/>
      <c r="M1977" s="934">
        <v>560</v>
      </c>
    </row>
    <row r="1978" spans="1:13" s="1016" customFormat="1" ht="25.2" hidden="1" customHeight="1">
      <c r="A1978" s="1086">
        <f t="shared" si="80"/>
        <v>0</v>
      </c>
      <c r="B1978" s="1226" t="s">
        <v>1610</v>
      </c>
      <c r="C1978" s="2841"/>
      <c r="D1978" s="1011"/>
      <c r="E1978" s="1024">
        <f>VLOOKUP($B1978,DG!A:D,DG!$B$2,)</f>
        <v>0</v>
      </c>
      <c r="F1978" s="1013" t="str">
        <f>VLOOKUP($B1978,DG!A:D,DG!$C$2,)</f>
        <v>Boulon 16x300+ 2 long đền vuông D18-50x50x3/Zn</v>
      </c>
      <c r="G1978" s="1012" t="s">
        <v>2439</v>
      </c>
      <c r="H1978" s="1713">
        <f>H1974*2</f>
        <v>0</v>
      </c>
      <c r="I1978" s="1192">
        <f t="shared" si="78"/>
        <v>0</v>
      </c>
      <c r="J1978" s="1014"/>
      <c r="K1978" s="1014"/>
      <c r="L1978" s="1043"/>
      <c r="M1978" s="934">
        <v>560</v>
      </c>
    </row>
    <row r="1979" spans="1:13" s="1016" customFormat="1" ht="25.2" hidden="1" customHeight="1">
      <c r="A1979" s="1086">
        <f t="shared" si="80"/>
        <v>0</v>
      </c>
      <c r="B1979" s="1226" t="s">
        <v>1786</v>
      </c>
      <c r="C1979" s="2841"/>
      <c r="D1979" s="1011"/>
      <c r="E1979" s="1024">
        <f>VLOOKUP($B1979,DG!A:D,DG!$B$2,)</f>
        <v>0</v>
      </c>
      <c r="F1979" s="1013" t="str">
        <f>VLOOKUP($B1979,DG!A:D,DG!$C$2,)</f>
        <v>Boulon 16x50+ 2 long đền vuông D18-50x50x3/Zn</v>
      </c>
      <c r="G1979" s="1012" t="s">
        <v>2439</v>
      </c>
      <c r="H1979" s="1713">
        <f>H1974*4</f>
        <v>0</v>
      </c>
      <c r="I1979" s="1192">
        <f t="shared" ref="I1979:I2042" si="82">IF(M1979=$M$23,H1979+J1979-K1979,0)</f>
        <v>0</v>
      </c>
      <c r="J1979" s="1014"/>
      <c r="K1979" s="1014"/>
      <c r="L1979" s="1043"/>
      <c r="M1979" s="934">
        <v>560</v>
      </c>
    </row>
    <row r="1980" spans="1:13" s="1016" customFormat="1" ht="25.2" hidden="1" customHeight="1">
      <c r="A1980" s="1086">
        <f t="shared" si="80"/>
        <v>0</v>
      </c>
      <c r="B1980" s="1226" t="s">
        <v>1784</v>
      </c>
      <c r="C1980" s="2841"/>
      <c r="D1980" s="1011"/>
      <c r="E1980" s="1024">
        <f>VLOOKUP($B1980,DG!A:D,DG!$B$2,)</f>
        <v>0</v>
      </c>
      <c r="F1980" s="1013" t="str">
        <f>VLOOKUP($B1980,DG!A:D,DG!$C$2,)</f>
        <v>Boulon 16x300VRS+ 4 long đền vuông D18-50x50x3/Zn</v>
      </c>
      <c r="G1980" s="1012" t="s">
        <v>2439</v>
      </c>
      <c r="H1980" s="1713">
        <f>H1974*4</f>
        <v>0</v>
      </c>
      <c r="I1980" s="1192">
        <f t="shared" si="82"/>
        <v>0</v>
      </c>
      <c r="J1980" s="1014"/>
      <c r="K1980" s="1014"/>
      <c r="L1980" s="1043"/>
      <c r="M1980" s="934">
        <v>560</v>
      </c>
    </row>
    <row r="1981" spans="1:13" s="1016" customFormat="1" ht="25.2" hidden="1" customHeight="1">
      <c r="A1981" s="1086">
        <f t="shared" si="80"/>
        <v>0</v>
      </c>
      <c r="B1981" s="1226" t="s">
        <v>517</v>
      </c>
      <c r="C1981" s="2841"/>
      <c r="D1981" s="1011"/>
      <c r="E1981" s="1024" t="str">
        <f>VLOOKUP($B1981,DG!A:D,DG!$B$2,)</f>
        <v>05.6203</v>
      </c>
      <c r="F1981" s="1013" t="str">
        <f>VLOOKUP($B1981,DG!A:D,DG!$C$2,)</f>
        <v>Lắp xà néo ≤ 100kg</v>
      </c>
      <c r="G1981" s="1012" t="s">
        <v>2439</v>
      </c>
      <c r="H1981" s="1713">
        <f>H1974</f>
        <v>0</v>
      </c>
      <c r="I1981" s="1192">
        <f t="shared" si="82"/>
        <v>0</v>
      </c>
      <c r="J1981" s="1014"/>
      <c r="K1981" s="1014"/>
      <c r="L1981" s="1043"/>
      <c r="M1981" s="934">
        <v>560</v>
      </c>
    </row>
    <row r="1982" spans="1:13" s="1016" customFormat="1" ht="25.2" hidden="1" customHeight="1">
      <c r="A1982" s="1086">
        <f t="shared" si="80"/>
        <v>0</v>
      </c>
      <c r="B1982" s="1226"/>
      <c r="C1982" s="2841"/>
      <c r="D1982" s="1017">
        <f>IF(H1982&gt;0,D1974+1,D1974)</f>
        <v>3</v>
      </c>
      <c r="E1982" s="1018"/>
      <c r="F1982" s="1063" t="s">
        <v>3719</v>
      </c>
      <c r="G1982" s="1017" t="s">
        <v>2385</v>
      </c>
      <c r="H1982" s="1722">
        <f>H1901*1*0</f>
        <v>0</v>
      </c>
      <c r="I1982" s="1192">
        <f t="shared" si="82"/>
        <v>0</v>
      </c>
      <c r="J1982" s="1014"/>
      <c r="K1982" s="1014"/>
      <c r="L1982" s="1043"/>
      <c r="M1982" s="934">
        <v>560</v>
      </c>
    </row>
    <row r="1983" spans="1:13" s="1016" customFormat="1" ht="25.2" hidden="1" customHeight="1">
      <c r="A1983" s="1086">
        <f t="shared" si="80"/>
        <v>0</v>
      </c>
      <c r="B1983" s="1226"/>
      <c r="C1983" s="2841"/>
      <c r="D1983" s="1011"/>
      <c r="E1983" s="1021"/>
      <c r="F1983" s="1267" t="s">
        <v>2279</v>
      </c>
      <c r="G1983" s="1023"/>
      <c r="H1983" s="1713"/>
      <c r="I1983" s="1192">
        <f t="shared" si="82"/>
        <v>0</v>
      </c>
      <c r="J1983" s="1014"/>
      <c r="K1983" s="1014"/>
      <c r="L1983" s="1043"/>
      <c r="M1983" s="934">
        <v>560</v>
      </c>
    </row>
    <row r="1984" spans="1:13" s="1016" customFormat="1" ht="25.2" hidden="1" customHeight="1">
      <c r="A1984" s="1086">
        <f t="shared" si="80"/>
        <v>0</v>
      </c>
      <c r="B1984" s="1226" t="s">
        <v>2022</v>
      </c>
      <c r="C1984" s="2841"/>
      <c r="D1984" s="1011"/>
      <c r="E1984" s="1024">
        <f>VLOOKUP($B1984,DG!A:D,DG!$B$2,)</f>
        <v>0</v>
      </c>
      <c r="F1984" s="1013" t="str">
        <f>VLOOKUP($B1984,DG!A:D,DG!$C$2,)</f>
        <v>Sắt góc L75 x75 x8</v>
      </c>
      <c r="G1984" s="1012" t="s">
        <v>2248</v>
      </c>
      <c r="H1984" s="1713">
        <f>H1982*9.02*(2.4+4*0.07)</f>
        <v>0</v>
      </c>
      <c r="I1984" s="1192">
        <f t="shared" si="82"/>
        <v>0</v>
      </c>
      <c r="J1984" s="1014"/>
      <c r="K1984" s="1014"/>
      <c r="L1984" s="1043"/>
      <c r="M1984" s="934">
        <v>560</v>
      </c>
    </row>
    <row r="1985" spans="1:13" s="1016" customFormat="1" ht="25.2" hidden="1" customHeight="1">
      <c r="A1985" s="1086">
        <f t="shared" si="80"/>
        <v>0</v>
      </c>
      <c r="B1985" s="1226" t="s">
        <v>1035</v>
      </c>
      <c r="C1985" s="2841"/>
      <c r="D1985" s="1011"/>
      <c r="E1985" s="1024">
        <f>VLOOKUP($B1985,DG!A:D,DG!$B$2,)</f>
        <v>0</v>
      </c>
      <c r="F1985" s="1013" t="str">
        <f>VLOOKUP($B1985,DG!A:D,DG!$C$2,)&amp;" (Thanh choáng 810)"</f>
        <v>Sắt góc L50 x50 x5 (Thanh choáng 810)</v>
      </c>
      <c r="G1985" s="1012" t="s">
        <v>2248</v>
      </c>
      <c r="H1985" s="1713">
        <f>H1982*3.77*0.81*2</f>
        <v>0</v>
      </c>
      <c r="I1985" s="1192">
        <f t="shared" si="82"/>
        <v>0</v>
      </c>
      <c r="J1985" s="1014"/>
      <c r="K1985" s="1014"/>
      <c r="L1985" s="1043"/>
      <c r="M1985" s="934">
        <v>560</v>
      </c>
    </row>
    <row r="1986" spans="1:13" s="1016" customFormat="1" ht="25.2" hidden="1" customHeight="1">
      <c r="A1986" s="1086">
        <f t="shared" si="80"/>
        <v>0</v>
      </c>
      <c r="B1986" s="1226" t="s">
        <v>1079</v>
      </c>
      <c r="C1986" s="2841"/>
      <c r="D1986" s="1011"/>
      <c r="E1986" s="1024">
        <f>VLOOKUP($B1986,DG!A:D,DG!$B$2,)</f>
        <v>0</v>
      </c>
      <c r="F1986" s="1013" t="str">
        <f>VLOOKUP($B1986,DG!A:D,DG!$C$2,)</f>
        <v>Boulon 16x350+ 2 long đền vuông D18-50x50x3/Zn</v>
      </c>
      <c r="G1986" s="1012" t="s">
        <v>2439</v>
      </c>
      <c r="H1986" s="1713">
        <f>H1982*2</f>
        <v>0</v>
      </c>
      <c r="I1986" s="1192">
        <f t="shared" si="82"/>
        <v>0</v>
      </c>
      <c r="J1986" s="1014"/>
      <c r="K1986" s="1014"/>
      <c r="L1986" s="1043"/>
      <c r="M1986" s="934">
        <v>560</v>
      </c>
    </row>
    <row r="1987" spans="1:13" s="1016" customFormat="1" ht="25.2" hidden="1" customHeight="1">
      <c r="A1987" s="1086">
        <f t="shared" si="80"/>
        <v>0</v>
      </c>
      <c r="B1987" s="1226" t="s">
        <v>1786</v>
      </c>
      <c r="C1987" s="2841"/>
      <c r="D1987" s="1011"/>
      <c r="E1987" s="1024">
        <f>VLOOKUP($B1987,DG!A:D,DG!$B$2,)</f>
        <v>0</v>
      </c>
      <c r="F1987" s="1013" t="str">
        <f>VLOOKUP($B1987,DG!A:D,DG!$C$2,)</f>
        <v>Boulon 16x50+ 2 long đền vuông D18-50x50x3/Zn</v>
      </c>
      <c r="G1987" s="1012" t="s">
        <v>2439</v>
      </c>
      <c r="H1987" s="1713">
        <f>H1982*2</f>
        <v>0</v>
      </c>
      <c r="I1987" s="1192">
        <f t="shared" si="82"/>
        <v>0</v>
      </c>
      <c r="J1987" s="1014"/>
      <c r="K1987" s="1014"/>
      <c r="L1987" s="1043"/>
      <c r="M1987" s="934">
        <v>560</v>
      </c>
    </row>
    <row r="1988" spans="1:13" s="1016" customFormat="1" ht="25.2" hidden="1" customHeight="1">
      <c r="A1988" s="1086">
        <f t="shared" si="80"/>
        <v>0</v>
      </c>
      <c r="B1988" s="1226" t="s">
        <v>1735</v>
      </c>
      <c r="C1988" s="2841"/>
      <c r="D1988" s="1011"/>
      <c r="E1988" s="1024">
        <f>VLOOKUP($B1988,DG!A:D,DG!$B$2,)</f>
        <v>0</v>
      </c>
      <c r="F1988" s="1013" t="str">
        <f>VLOOKUP($B1988,DG!A:D,DG!$C$2,)</f>
        <v>Bass LI bắt FCO</v>
      </c>
      <c r="G1988" s="1012" t="s">
        <v>2439</v>
      </c>
      <c r="H1988" s="1713">
        <f>IF(H1982&gt;0,3,)</f>
        <v>0</v>
      </c>
      <c r="I1988" s="1192">
        <f t="shared" si="82"/>
        <v>0</v>
      </c>
      <c r="J1988" s="1014"/>
      <c r="K1988" s="1014"/>
      <c r="L1988" s="1043"/>
      <c r="M1988" s="934">
        <v>560</v>
      </c>
    </row>
    <row r="1989" spans="1:13" s="1016" customFormat="1" ht="25.2" hidden="1" customHeight="1">
      <c r="A1989" s="1086">
        <f t="shared" si="80"/>
        <v>0</v>
      </c>
      <c r="B1989" s="1226" t="s">
        <v>988</v>
      </c>
      <c r="C1989" s="2841"/>
      <c r="D1989" s="1011"/>
      <c r="E1989" s="1024" t="str">
        <f>VLOOKUP($B1989,DG!A:D,DG!$B$2,)</f>
        <v>06.3231</v>
      </c>
      <c r="F1989" s="1013" t="str">
        <f>VLOOKUP($B1989,DG!A:D,DG!$C$2,)</f>
        <v xml:space="preserve">Cổ dê chống lắc 8x80x800 </v>
      </c>
      <c r="G1989" s="1012" t="s">
        <v>2439</v>
      </c>
      <c r="H1989" s="1713">
        <f>H1982*0</f>
        <v>0</v>
      </c>
      <c r="I1989" s="1192">
        <f t="shared" si="82"/>
        <v>0</v>
      </c>
      <c r="J1989" s="1014"/>
      <c r="K1989" s="1014"/>
      <c r="L1989" s="1043"/>
      <c r="M1989" s="934">
        <v>560</v>
      </c>
    </row>
    <row r="1990" spans="1:13" s="1016" customFormat="1" ht="25.2" hidden="1" customHeight="1">
      <c r="A1990" s="1086">
        <f t="shared" si="80"/>
        <v>0</v>
      </c>
      <c r="B1990" s="1226" t="s">
        <v>1440</v>
      </c>
      <c r="C1990" s="2841"/>
      <c r="D1990" s="1011"/>
      <c r="E1990" s="1024" t="str">
        <f>VLOOKUP($B1990,DG!A:D,DG!$B$2,)</f>
        <v>05.6102</v>
      </c>
      <c r="F1990" s="1013" t="str">
        <f>VLOOKUP($B1990,DG!A:D,DG!$C$2,)</f>
        <v>Lắp xà đỡ ≤ 50kg</v>
      </c>
      <c r="G1990" s="1012" t="s">
        <v>2439</v>
      </c>
      <c r="H1990" s="1713">
        <f>H1982</f>
        <v>0</v>
      </c>
      <c r="I1990" s="1192">
        <f t="shared" si="82"/>
        <v>0</v>
      </c>
      <c r="J1990" s="1014"/>
      <c r="K1990" s="1014"/>
      <c r="L1990" s="1043"/>
      <c r="M1990" s="934">
        <v>560</v>
      </c>
    </row>
    <row r="1991" spans="1:13" s="1016" customFormat="1" ht="25.2" hidden="1" customHeight="1">
      <c r="A1991" s="1086">
        <f t="shared" si="80"/>
        <v>0</v>
      </c>
      <c r="B1991" s="1226"/>
      <c r="C1991" s="2841"/>
      <c r="D1991" s="1017">
        <f>IF(H1991&gt;0,D1982+1,D1982)</f>
        <v>4</v>
      </c>
      <c r="E1991" s="1018"/>
      <c r="F1991" s="1063" t="s">
        <v>3720</v>
      </c>
      <c r="G1991" s="1017" t="s">
        <v>2385</v>
      </c>
      <c r="H1991" s="1722">
        <f>H1901</f>
        <v>1</v>
      </c>
      <c r="I1991" s="1192">
        <f t="shared" si="82"/>
        <v>0</v>
      </c>
      <c r="J1991" s="1014"/>
      <c r="K1991" s="1014"/>
      <c r="L1991" s="1043"/>
      <c r="M1991" s="934">
        <v>560</v>
      </c>
    </row>
    <row r="1992" spans="1:13" s="1016" customFormat="1" ht="25.2" hidden="1" customHeight="1">
      <c r="A1992" s="1086">
        <f t="shared" si="80"/>
        <v>0</v>
      </c>
      <c r="B1992" s="1255"/>
      <c r="C1992" s="2841"/>
      <c r="D1992" s="1011"/>
      <c r="E1992" s="1021"/>
      <c r="F1992" s="1267" t="s">
        <v>2279</v>
      </c>
      <c r="G1992" s="1023"/>
      <c r="H1992" s="1713"/>
      <c r="I1992" s="1192">
        <f t="shared" si="82"/>
        <v>0</v>
      </c>
      <c r="J1992" s="1014"/>
      <c r="K1992" s="1014"/>
      <c r="L1992" s="1043"/>
      <c r="M1992" s="934">
        <v>560</v>
      </c>
    </row>
    <row r="1993" spans="1:13" s="1016" customFormat="1" ht="25.2" hidden="1" customHeight="1">
      <c r="A1993" s="1086">
        <f t="shared" si="80"/>
        <v>0</v>
      </c>
      <c r="B1993" s="1226" t="s">
        <v>1033</v>
      </c>
      <c r="C1993" s="2841"/>
      <c r="D1993" s="1011"/>
      <c r="E1993" s="1012">
        <f>VLOOKUP($B1993,DG!A:D,DG!$B$2,)</f>
        <v>0</v>
      </c>
      <c r="F1993" s="1013" t="str">
        <f>VLOOKUP($B1993,DG!A:D,DG!$C$2,)</f>
        <v>Cáp đồng trần M25mm2</v>
      </c>
      <c r="G1993" s="1024" t="str">
        <f>VLOOKUP($B1993,DG!A:D,DG!$D$2,)</f>
        <v>kg</v>
      </c>
      <c r="H1993" s="1713">
        <v>11.87</v>
      </c>
      <c r="I1993" s="1192">
        <f t="shared" si="82"/>
        <v>0</v>
      </c>
      <c r="J1993" s="1014"/>
      <c r="K1993" s="1014"/>
      <c r="L1993" s="1043"/>
      <c r="M1993" s="934">
        <v>560</v>
      </c>
    </row>
    <row r="1994" spans="1:13" s="1016" customFormat="1" ht="25.2" hidden="1" customHeight="1">
      <c r="A1994" s="1086">
        <f t="shared" si="80"/>
        <v>0</v>
      </c>
      <c r="B1994" s="1226" t="s">
        <v>1033</v>
      </c>
      <c r="C1994" s="2841"/>
      <c r="D1994" s="1011"/>
      <c r="E1994" s="1012">
        <f>VLOOKUP($B1994,DG!A:D,DG!$B$2,)</f>
        <v>0</v>
      </c>
      <c r="F1994" s="1013" t="str">
        <f>VLOOKUP($B1994,DG!A:D,DG!$C$2,)&amp;": 17m noái leân voû caùc thieát bò"</f>
        <v>Cáp đồng trần M25mm2: 17m noái leân voû caùc thieát bò</v>
      </c>
      <c r="G1994" s="1012" t="str">
        <f>VLOOKUP($B1994,DG!A:D,DG!$D$2,)</f>
        <v>kg</v>
      </c>
      <c r="H1994" s="1713">
        <f>17*0.224*H1991*0</f>
        <v>0</v>
      </c>
      <c r="I1994" s="1192">
        <f t="shared" si="82"/>
        <v>0</v>
      </c>
      <c r="J1994" s="1014"/>
      <c r="K1994" s="1014"/>
      <c r="L1994" s="1043"/>
      <c r="M1994" s="934">
        <v>560</v>
      </c>
    </row>
    <row r="1995" spans="1:13" s="1016" customFormat="1" ht="25.2" hidden="1" customHeight="1">
      <c r="A1995" s="1086">
        <f t="shared" si="80"/>
        <v>0</v>
      </c>
      <c r="B1995" s="1087" t="s">
        <v>1508</v>
      </c>
      <c r="C1995" s="2842"/>
      <c r="D1995" s="1011"/>
      <c r="E1995" s="1012">
        <f>VLOOKUP($B1995,DG!A:D,DG!$B$2,)</f>
        <v>0</v>
      </c>
      <c r="F1995" s="1013" t="str">
        <f>VLOOKUP($B1995,DG!A:D,DG!$C$2,)</f>
        <v>Cọc tiếp đất Þ 16- 2,4m + kẹp cọc mạ đồng</v>
      </c>
      <c r="G1995" s="1024" t="str">
        <f>VLOOKUP($B1995,DG!A:D,DG!$D$2,)</f>
        <v>bộ</v>
      </c>
      <c r="H1995" s="1713">
        <v>10</v>
      </c>
      <c r="I1995" s="1192">
        <f t="shared" si="82"/>
        <v>0</v>
      </c>
      <c r="J1995" s="1014"/>
      <c r="K1995" s="1014"/>
      <c r="L1995" s="1043"/>
      <c r="M1995" s="934">
        <v>560</v>
      </c>
    </row>
    <row r="1996" spans="1:13" s="1016" customFormat="1" ht="25.2" hidden="1" customHeight="1">
      <c r="A1996" s="1086">
        <f t="shared" si="80"/>
        <v>0</v>
      </c>
      <c r="B1996" s="1087" t="s">
        <v>1490</v>
      </c>
      <c r="C1996" s="2842"/>
      <c r="D1996" s="1011"/>
      <c r="E1996" s="1012" t="str">
        <f>VLOOKUP($B1996,DG!A:D,DG!$B$2,)</f>
        <v>07.2403</v>
      </c>
      <c r="F1996" s="1013" t="str">
        <f>VLOOKUP($B1996,DG!A:D,DG!$C$2,)</f>
        <v xml:space="preserve">Ống PVC D21x1,6mm </v>
      </c>
      <c r="G1996" s="1012" t="str">
        <f>VLOOKUP($B1996,DG!A:D,DG!$D$2,)</f>
        <v>m</v>
      </c>
      <c r="H1996" s="1713">
        <v>6</v>
      </c>
      <c r="I1996" s="1192">
        <f t="shared" si="82"/>
        <v>0</v>
      </c>
      <c r="J1996" s="1014"/>
      <c r="K1996" s="1014"/>
      <c r="L1996" s="1015"/>
      <c r="M1996" s="934">
        <v>560</v>
      </c>
    </row>
    <row r="1997" spans="1:13" s="1016" customFormat="1" ht="25.2" hidden="1" customHeight="1">
      <c r="A1997" s="1086">
        <f t="shared" si="80"/>
        <v>0</v>
      </c>
      <c r="B1997" s="1231" t="s">
        <v>1579</v>
      </c>
      <c r="C1997" s="2844"/>
      <c r="D1997" s="1011"/>
      <c r="E1997" s="1012">
        <f>VLOOKUP($B1997,DG!A:D,DG!$B$2,)</f>
        <v>0</v>
      </c>
      <c r="F1997" s="1013" t="str">
        <f>VLOOKUP($B1997,DG!A:D,DG!$C$2,)&amp; " bắt dây trung tính "</f>
        <v xml:space="preserve">Kẹp ép WR cỡ dây 50mm2 bắt dây trung tính </v>
      </c>
      <c r="G1997" s="1024" t="str">
        <f>VLOOKUP($B1997,DG!A:D,DG!$D$2,)</f>
        <v>cái</v>
      </c>
      <c r="H1997" s="1713">
        <f>2*H1991</f>
        <v>2</v>
      </c>
      <c r="I1997" s="1192">
        <f t="shared" si="82"/>
        <v>0</v>
      </c>
      <c r="J1997" s="1014"/>
      <c r="K1997" s="1014"/>
      <c r="L1997" s="1043"/>
      <c r="M1997" s="934">
        <v>560</v>
      </c>
    </row>
    <row r="1998" spans="1:13" s="1016" customFormat="1" ht="25.2" hidden="1" customHeight="1">
      <c r="A1998" s="1086">
        <f t="shared" si="80"/>
        <v>0</v>
      </c>
      <c r="B1998" s="1231" t="s">
        <v>816</v>
      </c>
      <c r="C1998" s="2844"/>
      <c r="D1998" s="1065"/>
      <c r="E1998" s="1012" t="str">
        <f>VLOOKUP($B1998,DG!A:D,DG!$B$2,)</f>
        <v>04.3107</v>
      </c>
      <c r="F1998" s="1013" t="str">
        <f>VLOOKUP($B1998,DG!A:D,DG!$C$2,)&amp;":bắt lưới TĐ"</f>
        <v>Ốc siết cáp cỡ 25mm2:bắt lưới TĐ</v>
      </c>
      <c r="G1998" s="1024" t="str">
        <f>VLOOKUP($B1998,DG!A:D,DG!$D$2,)</f>
        <v>cái</v>
      </c>
      <c r="H1998" s="1713">
        <v>6</v>
      </c>
      <c r="I1998" s="1192">
        <f t="shared" si="82"/>
        <v>0</v>
      </c>
      <c r="J1998" s="1014"/>
      <c r="K1998" s="1014"/>
      <c r="L1998" s="1043"/>
      <c r="M1998" s="934">
        <v>560</v>
      </c>
    </row>
    <row r="1999" spans="1:13" s="1016" customFormat="1" ht="25.2" hidden="1" customHeight="1">
      <c r="A1999" s="1086">
        <f t="shared" si="80"/>
        <v>0</v>
      </c>
      <c r="B1999" s="1087" t="s">
        <v>437</v>
      </c>
      <c r="C1999" s="2842"/>
      <c r="D1999" s="1011"/>
      <c r="E1999" s="1012">
        <f>VLOOKUP($B1999,DG!A:D,DG!$B$2,)</f>
        <v>0</v>
      </c>
      <c r="F1999" s="1013" t="str">
        <f>VLOOKUP($B1999,DG!A:D,DG!$C$2,)</f>
        <v>Boulon 12x30+ 2 long đền vuông D14-50x50x3/Zn</v>
      </c>
      <c r="G1999" s="1024" t="str">
        <f>VLOOKUP($B1999,DG!A:D,DG!$D$2,)</f>
        <v>bộ</v>
      </c>
      <c r="H1999" s="1713"/>
      <c r="I1999" s="1192">
        <f t="shared" si="82"/>
        <v>0</v>
      </c>
      <c r="J1999" s="1014"/>
      <c r="K1999" s="1014"/>
      <c r="L1999" s="1043"/>
      <c r="M1999" s="934">
        <v>560</v>
      </c>
    </row>
    <row r="2000" spans="1:13" s="1016" customFormat="1" ht="25.2" hidden="1" customHeight="1">
      <c r="A2000" s="1086">
        <f t="shared" si="80"/>
        <v>0</v>
      </c>
      <c r="B2000" s="1087" t="s">
        <v>104</v>
      </c>
      <c r="C2000" s="2842"/>
      <c r="D2000" s="1011"/>
      <c r="E2000" s="1012" t="str">
        <f>VLOOKUP($B2000,DG!A:D,DG!$B$2,)</f>
        <v>03.4001</v>
      </c>
      <c r="F2000" s="1013" t="str">
        <f>VLOOKUP($B2000,DG!A:D,DG!$C$2,)</f>
        <v>Đầu cosse ép Cu 25mm2</v>
      </c>
      <c r="G2000" s="1024" t="str">
        <f>VLOOKUP($B2000,DG!A:D,DG!$D$2,)</f>
        <v>cái</v>
      </c>
      <c r="H2000" s="1713"/>
      <c r="I2000" s="1192">
        <f t="shared" si="82"/>
        <v>0</v>
      </c>
      <c r="J2000" s="1014"/>
      <c r="K2000" s="1014"/>
      <c r="L2000" s="1043"/>
      <c r="M2000" s="934">
        <v>560</v>
      </c>
    </row>
    <row r="2001" spans="1:13" s="1016" customFormat="1" ht="25.2" hidden="1" customHeight="1">
      <c r="A2001" s="1086">
        <f t="shared" si="80"/>
        <v>0</v>
      </c>
      <c r="B2001" s="1087" t="s">
        <v>525</v>
      </c>
      <c r="C2001" s="2842"/>
      <c r="D2001" s="1011"/>
      <c r="E2001" s="1012" t="str">
        <f>VLOOKUP($B2001,DG!A:D,DG!$B$2,)</f>
        <v>06.3231</v>
      </c>
      <c r="F2001" s="1013" t="str">
        <f>VLOOKUP($B2001,DG!A:D,DG!$C$2,)&amp;": CD-250 01 bộ"</f>
        <v>Cổ dê kẹp ống PVC  21: CD-250 01 bộ</v>
      </c>
      <c r="G2001" s="1012" t="str">
        <f>VLOOKUP($B2001,DG!A:D,DG!$D$2,)</f>
        <v>bộ</v>
      </c>
      <c r="H2001" s="1713">
        <v>1</v>
      </c>
      <c r="I2001" s="1192">
        <f t="shared" si="82"/>
        <v>0</v>
      </c>
      <c r="J2001" s="1014"/>
      <c r="K2001" s="1014"/>
      <c r="L2001" s="1015"/>
      <c r="M2001" s="934">
        <v>560</v>
      </c>
    </row>
    <row r="2002" spans="1:13" s="1016" customFormat="1" ht="25.2" hidden="1" customHeight="1">
      <c r="A2002" s="1086">
        <f t="shared" si="80"/>
        <v>0</v>
      </c>
      <c r="B2002" s="1087" t="s">
        <v>525</v>
      </c>
      <c r="C2002" s="2842"/>
      <c r="D2002" s="1011"/>
      <c r="E2002" s="1012" t="str">
        <f>VLOOKUP($B2002,DG!A:D,DG!$B$2,)</f>
        <v>06.3231</v>
      </c>
      <c r="F2002" s="1013" t="str">
        <f>VLOOKUP($B2002,DG!A:D,DG!$C$2,)&amp;": CD-280 01 bộ"</f>
        <v>Cổ dê kẹp ống PVC  21: CD-280 01 bộ</v>
      </c>
      <c r="G2002" s="1012" t="str">
        <f>VLOOKUP($B2002,DG!A:D,DG!$D$2,)</f>
        <v>bộ</v>
      </c>
      <c r="H2002" s="1713">
        <v>1</v>
      </c>
      <c r="I2002" s="1192">
        <f t="shared" si="82"/>
        <v>0</v>
      </c>
      <c r="J2002" s="1014"/>
      <c r="K2002" s="1014"/>
      <c r="L2002" s="1015"/>
      <c r="M2002" s="934">
        <v>560</v>
      </c>
    </row>
    <row r="2003" spans="1:13" s="1016" customFormat="1" ht="25.2" hidden="1" customHeight="1">
      <c r="A2003" s="1086">
        <f t="shared" si="80"/>
        <v>0</v>
      </c>
      <c r="B2003" s="1087" t="s">
        <v>525</v>
      </c>
      <c r="C2003" s="2842"/>
      <c r="D2003" s="1011"/>
      <c r="E2003" s="1012" t="str">
        <f>VLOOKUP($B2003,DG!A:D,DG!$B$2,)</f>
        <v>06.3231</v>
      </c>
      <c r="F2003" s="1013" t="str">
        <f>VLOOKUP($B2003,DG!A:D,DG!$C$2,)&amp;": CD-320 01 bộ"</f>
        <v>Cổ dê kẹp ống PVC  21: CD-320 01 bộ</v>
      </c>
      <c r="G2003" s="1012" t="str">
        <f>VLOOKUP($B2003,DG!A:D,DG!$D$2,)</f>
        <v>bộ</v>
      </c>
      <c r="H2003" s="1713">
        <v>1</v>
      </c>
      <c r="I2003" s="1192">
        <f t="shared" si="82"/>
        <v>0</v>
      </c>
      <c r="J2003" s="1014"/>
      <c r="K2003" s="1014"/>
      <c r="L2003" s="1015"/>
      <c r="M2003" s="934">
        <v>560</v>
      </c>
    </row>
    <row r="2004" spans="1:13" s="1016" customFormat="1" ht="25.2" hidden="1" customHeight="1">
      <c r="A2004" s="1086">
        <f t="shared" si="80"/>
        <v>0</v>
      </c>
      <c r="B2004" s="1087" t="s">
        <v>1131</v>
      </c>
      <c r="C2004" s="2842"/>
      <c r="D2004" s="1011"/>
      <c r="E2004" s="1012" t="str">
        <f>VLOOKUP($B2004,DG!A:D,DG!$B$2,)</f>
        <v>06.2110</v>
      </c>
      <c r="F2004" s="1013" t="str">
        <f>VLOOKUP($B2004,DG!A:D,DG!$C$2,)</f>
        <v>Lắp cổ dê</v>
      </c>
      <c r="G2004" s="1012" t="str">
        <f>VLOOKUP($B2004,DG!A:D,DG!$D$2,)</f>
        <v>bộ</v>
      </c>
      <c r="H2004" s="1713">
        <f>H1991*3</f>
        <v>3</v>
      </c>
      <c r="I2004" s="1192">
        <f t="shared" si="82"/>
        <v>0</v>
      </c>
      <c r="J2004" s="1014"/>
      <c r="K2004" s="1014"/>
      <c r="L2004" s="1015"/>
      <c r="M2004" s="934">
        <v>560</v>
      </c>
    </row>
    <row r="2005" spans="1:13" s="1016" customFormat="1" ht="25.2" hidden="1" customHeight="1">
      <c r="A2005" s="1086">
        <f t="shared" si="80"/>
        <v>0</v>
      </c>
      <c r="B2005" s="1087" t="s">
        <v>138</v>
      </c>
      <c r="C2005" s="2842"/>
      <c r="D2005" s="1011"/>
      <c r="E2005" s="1012">
        <f>VLOOKUP($B2005,DG!A:D,DG!$B$2,)</f>
        <v>0</v>
      </c>
      <c r="F2005" s="1013" t="str">
        <f>VLOOKUP($B2005,DG!A:D,DG!$C$2,)</f>
        <v>Boulon 12x40+ 2 long đền vuông D14-50x50x3/Zn</v>
      </c>
      <c r="G2005" s="1012" t="str">
        <f>VLOOKUP($B2005,DG!A:D,DG!$D$2,)</f>
        <v>bộ</v>
      </c>
      <c r="H2005" s="1713"/>
      <c r="I2005" s="1192">
        <f t="shared" si="82"/>
        <v>0</v>
      </c>
      <c r="J2005" s="1014"/>
      <c r="K2005" s="1014"/>
      <c r="L2005" s="1015"/>
      <c r="M2005" s="934">
        <v>560</v>
      </c>
    </row>
    <row r="2006" spans="1:13" s="1016" customFormat="1" ht="25.2" hidden="1" customHeight="1">
      <c r="A2006" s="1086">
        <f t="shared" si="80"/>
        <v>0</v>
      </c>
      <c r="B2006" s="1087" t="s">
        <v>1350</v>
      </c>
      <c r="C2006" s="2842"/>
      <c r="D2006" s="1011"/>
      <c r="E2006" s="1012">
        <f>VLOOKUP($B2006,DG!A:D,DG!$B$2,)</f>
        <v>0</v>
      </c>
      <c r="F2006" s="1013" t="str">
        <f>VLOOKUP($B2006,DG!A:D,DG!$C$2,)</f>
        <v>Boulon 12x60+ 2 long đền vuông D14-50x50x3/Zn</v>
      </c>
      <c r="G2006" s="1012" t="str">
        <f>VLOOKUP($B2006,DG!A:D,DG!$D$2,)</f>
        <v>bộ</v>
      </c>
      <c r="H2006" s="1713">
        <f>H2005</f>
        <v>0</v>
      </c>
      <c r="I2006" s="1192">
        <f t="shared" si="82"/>
        <v>0</v>
      </c>
      <c r="J2006" s="1014"/>
      <c r="K2006" s="1014"/>
      <c r="L2006" s="1015"/>
      <c r="M2006" s="934">
        <v>560</v>
      </c>
    </row>
    <row r="2007" spans="1:13" s="1016" customFormat="1" ht="25.2" hidden="1" customHeight="1">
      <c r="A2007" s="1086">
        <f t="shared" si="80"/>
        <v>0</v>
      </c>
      <c r="B2007" s="1087" t="s">
        <v>1585</v>
      </c>
      <c r="C2007" s="2842"/>
      <c r="D2007" s="1011"/>
      <c r="E2007" s="1012">
        <f>VLOOKUP($B2007,DG!A:D,DG!$B$2,)</f>
        <v>0</v>
      </c>
      <c r="F2007" s="1013" t="str">
        <f>VLOOKUP($B2007,DG!A:D,DG!$C$2,)</f>
        <v>Giếng tiếp địa khoan đất</v>
      </c>
      <c r="G2007" s="1012" t="str">
        <f>VLOOKUP($B2007,DG!A:D,DG!$D$2,)</f>
        <v>Cái</v>
      </c>
      <c r="H2007" s="1713">
        <f>L3*H1991</f>
        <v>0</v>
      </c>
      <c r="I2007" s="1192">
        <f t="shared" si="82"/>
        <v>0</v>
      </c>
      <c r="J2007" s="1014"/>
      <c r="K2007" s="1014"/>
      <c r="L2007" s="1043"/>
      <c r="M2007" s="934">
        <v>560</v>
      </c>
    </row>
    <row r="2008" spans="1:13" s="1016" customFormat="1" ht="25.2" hidden="1" customHeight="1">
      <c r="A2008" s="1086">
        <f t="shared" si="80"/>
        <v>0</v>
      </c>
      <c r="B2008" s="1087" t="str">
        <f>"DTD"&amp;chitiet!G5</f>
        <v>DTD3</v>
      </c>
      <c r="C2008" s="2842"/>
      <c r="D2008" s="1023"/>
      <c r="E2008" s="1012" t="str">
        <f>VLOOKUP($B2008,DG!A:D,DG!$B$2,)</f>
        <v>03.3123</v>
      </c>
      <c r="F2008" s="1013" t="str">
        <f>VLOOKUP($B2008,DG!A:D,DG!$C$2,)</f>
        <v>Đào rãnh tiếp địa đất cấp 3</v>
      </c>
      <c r="G2008" s="1024" t="str">
        <f>VLOOKUP($B2008,DG!A:D,DG!$D$2,)</f>
        <v>m3</v>
      </c>
      <c r="H2008" s="1100"/>
      <c r="I2008" s="1192">
        <f t="shared" si="82"/>
        <v>0</v>
      </c>
      <c r="J2008" s="1014"/>
      <c r="K2008" s="1014"/>
      <c r="L2008" s="1043"/>
      <c r="M2008" s="934">
        <v>560</v>
      </c>
    </row>
    <row r="2009" spans="1:13" s="1016" customFormat="1" ht="25.2" hidden="1" customHeight="1">
      <c r="A2009" s="1086">
        <f t="shared" si="80"/>
        <v>0</v>
      </c>
      <c r="B2009" s="1087" t="str">
        <f>"DATD"&amp;chitiet!G5</f>
        <v>DATD3</v>
      </c>
      <c r="C2009" s="2842"/>
      <c r="D2009" s="1023"/>
      <c r="E2009" s="1012" t="str">
        <f>VLOOKUP($B2009,DG!A:D,DG!$B$2,)</f>
        <v>03.4123</v>
      </c>
      <c r="F2009" s="1013" t="str">
        <f>VLOOKUP($B2009,DG!A:D,DG!$C$2,)</f>
        <v>Đắp đất rãnh tiếp độ chặt k=0,85</v>
      </c>
      <c r="G2009" s="1024" t="str">
        <f>VLOOKUP($B2009,DG!A:D,DG!$D$2,)</f>
        <v>m3</v>
      </c>
      <c r="H2009" s="1100">
        <f>H2008</f>
        <v>0</v>
      </c>
      <c r="I2009" s="1192">
        <f t="shared" si="82"/>
        <v>0</v>
      </c>
      <c r="J2009" s="1014"/>
      <c r="K2009" s="1014"/>
      <c r="L2009" s="1043"/>
      <c r="M2009" s="934">
        <v>560</v>
      </c>
    </row>
    <row r="2010" spans="1:13" s="1016" customFormat="1" ht="25.2" hidden="1" customHeight="1">
      <c r="A2010" s="1086">
        <f t="shared" ref="A2010:A2073" si="83">IF(AND(M2010=$M$23,I2010&gt;0),1,0)</f>
        <v>0</v>
      </c>
      <c r="B2010" s="1087" t="s">
        <v>902</v>
      </c>
      <c r="C2010" s="2842"/>
      <c r="D2010" s="1023"/>
      <c r="E2010" s="1012" t="str">
        <f>VLOOKUP($B2010,DG!A:D,DG!$B$2,)</f>
        <v>04.7001</v>
      </c>
      <c r="F2010" s="1013" t="str">
        <f>VLOOKUP($B2010,DG!A:D,DG!$C$2,)</f>
        <v>Đóng cọc tiếp địa trong TBA</v>
      </c>
      <c r="G2010" s="1024" t="str">
        <f>VLOOKUP($B2010,DG!A:D,DG!$D$2,)</f>
        <v>cọc</v>
      </c>
      <c r="H2010" s="1100">
        <f>H1995</f>
        <v>10</v>
      </c>
      <c r="I2010" s="1192">
        <f t="shared" si="82"/>
        <v>0</v>
      </c>
      <c r="J2010" s="1014"/>
      <c r="K2010" s="1014"/>
      <c r="L2010" s="1043"/>
      <c r="M2010" s="934">
        <v>560</v>
      </c>
    </row>
    <row r="2011" spans="1:13" s="1016" customFormat="1" ht="25.2" hidden="1" customHeight="1">
      <c r="A2011" s="1086">
        <f t="shared" si="83"/>
        <v>0</v>
      </c>
      <c r="B2011" s="1087" t="s">
        <v>1437</v>
      </c>
      <c r="C2011" s="2842"/>
      <c r="D2011" s="1011"/>
      <c r="E2011" s="1012" t="str">
        <f>VLOOKUP($B2011,DG!A:D,DG!$B$2,)</f>
        <v>04.7002</v>
      </c>
      <c r="F2011" s="1013" t="str">
        <f>VLOOKUP($B2011,DG!A:D,DG!$C$2,)</f>
        <v>Kéo dây tiếp địa trong TBA</v>
      </c>
      <c r="G2011" s="1024" t="str">
        <f>VLOOKUP($B2011,DG!A:D,DG!$D$2,)</f>
        <v>kg</v>
      </c>
      <c r="H2011" s="1713">
        <v>53</v>
      </c>
      <c r="I2011" s="1192">
        <f t="shared" si="82"/>
        <v>0</v>
      </c>
      <c r="J2011" s="1014"/>
      <c r="K2011" s="1014"/>
      <c r="L2011" s="1043"/>
      <c r="M2011" s="934">
        <v>560</v>
      </c>
    </row>
    <row r="2012" spans="1:13" s="1016" customFormat="1" ht="25.2" hidden="1" customHeight="1">
      <c r="A2012" s="1086">
        <f t="shared" si="83"/>
        <v>0</v>
      </c>
      <c r="B2012" s="1226"/>
      <c r="C2012" s="2841"/>
      <c r="D2012" s="1017">
        <f>IF(H2012&gt;0,D1991+1,D1991)</f>
        <v>4</v>
      </c>
      <c r="E2012" s="1018"/>
      <c r="F2012" s="1019" t="s">
        <v>3747</v>
      </c>
      <c r="G2012" s="1017" t="s">
        <v>2385</v>
      </c>
      <c r="H2012" s="1722"/>
      <c r="I2012" s="1192">
        <f t="shared" si="82"/>
        <v>0</v>
      </c>
      <c r="J2012" s="1014"/>
      <c r="K2012" s="1014"/>
      <c r="L2012" s="1015"/>
      <c r="M2012" s="934">
        <v>560</v>
      </c>
    </row>
    <row r="2013" spans="1:13" s="1016" customFormat="1" ht="25.2" hidden="1" customHeight="1">
      <c r="A2013" s="1086">
        <f t="shared" si="83"/>
        <v>0</v>
      </c>
      <c r="B2013" s="1226"/>
      <c r="C2013" s="2841"/>
      <c r="D2013" s="1011"/>
      <c r="E2013" s="1021"/>
      <c r="F2013" s="1267" t="s">
        <v>2279</v>
      </c>
      <c r="G2013" s="1023"/>
      <c r="H2013" s="1713"/>
      <c r="I2013" s="1192">
        <f t="shared" si="82"/>
        <v>0</v>
      </c>
      <c r="J2013" s="1014"/>
      <c r="K2013" s="1014"/>
      <c r="L2013" s="1015"/>
      <c r="M2013" s="934">
        <v>560</v>
      </c>
    </row>
    <row r="2014" spans="1:13" s="1016" customFormat="1" ht="25.2" hidden="1" customHeight="1">
      <c r="A2014" s="1086">
        <f t="shared" si="83"/>
        <v>0</v>
      </c>
      <c r="B2014" s="1226" t="s">
        <v>653</v>
      </c>
      <c r="C2014" s="2841"/>
      <c r="D2014" s="1023"/>
      <c r="E2014" s="1024">
        <f>VLOOKUP($B2014,DG!A:D,DG!$B$2,)</f>
        <v>0</v>
      </c>
      <c r="F2014" s="1025" t="str">
        <f>VLOOKUP($B2014,DG!A:D,DG!$C$2,)</f>
        <v>Ximăng (PC40)</v>
      </c>
      <c r="G2014" s="1024" t="str">
        <f>VLOOKUP($B2014,DG!A:D,DG!$D$2,)</f>
        <v>kg</v>
      </c>
      <c r="H2014" s="1713">
        <f>H2012*M2017</f>
        <v>0</v>
      </c>
      <c r="I2014" s="1192">
        <f t="shared" si="82"/>
        <v>0</v>
      </c>
      <c r="J2014" s="1014"/>
      <c r="K2014" s="1014"/>
      <c r="L2014" s="1015"/>
      <c r="M2014" s="934">
        <v>560</v>
      </c>
    </row>
    <row r="2015" spans="1:13" s="1016" customFormat="1" ht="25.2" hidden="1" customHeight="1">
      <c r="A2015" s="1086">
        <f t="shared" si="83"/>
        <v>0</v>
      </c>
      <c r="B2015" s="1226" t="s">
        <v>4414</v>
      </c>
      <c r="C2015" s="2841"/>
      <c r="D2015" s="1011"/>
      <c r="E2015" s="1024">
        <f>VLOOKUP($B2015,DG!A:D,DG!$B$2,)</f>
        <v>0</v>
      </c>
      <c r="F2015" s="1025" t="str">
        <f>VLOOKUP($B2015,DG!A:D,DG!$C$2,)</f>
        <v>Cát vàng</v>
      </c>
      <c r="G2015" s="1024" t="str">
        <f>VLOOKUP($B2015,DG!A:D,DG!$D$2,)</f>
        <v>m3</v>
      </c>
      <c r="H2015" s="1713">
        <f>H2012*N2017</f>
        <v>0</v>
      </c>
      <c r="I2015" s="1192">
        <f t="shared" si="82"/>
        <v>0</v>
      </c>
      <c r="J2015" s="1014"/>
      <c r="K2015" s="1014"/>
      <c r="L2015" s="1015"/>
      <c r="M2015" s="934">
        <v>560</v>
      </c>
    </row>
    <row r="2016" spans="1:13" s="1016" customFormat="1" ht="25.2" hidden="1" customHeight="1">
      <c r="A2016" s="1086">
        <f t="shared" si="83"/>
        <v>0</v>
      </c>
      <c r="B2016" s="1226" t="s">
        <v>216</v>
      </c>
      <c r="C2016" s="2841"/>
      <c r="D2016" s="1011"/>
      <c r="E2016" s="1024">
        <f>VLOOKUP($B2016,DG!A:D,DG!$B$2,)</f>
        <v>0</v>
      </c>
      <c r="F2016" s="1025" t="str">
        <f>VLOOKUP($B2016,DG!A:D,DG!$C$2,)</f>
        <v>Đá 1x2</v>
      </c>
      <c r="G2016" s="1024" t="str">
        <f>VLOOKUP($B2016,DG!A:D,DG!$D$2,)</f>
        <v>m3</v>
      </c>
      <c r="H2016" s="1713">
        <f>H2012*O2017</f>
        <v>0</v>
      </c>
      <c r="I2016" s="1192">
        <f t="shared" si="82"/>
        <v>0</v>
      </c>
      <c r="J2016" s="1014"/>
      <c r="K2016" s="1014"/>
      <c r="L2016" s="1015"/>
      <c r="M2016" s="934">
        <v>560</v>
      </c>
    </row>
    <row r="2017" spans="1:16" s="1016" customFormat="1" ht="25.2" hidden="1" customHeight="1">
      <c r="A2017" s="1086">
        <f t="shared" si="83"/>
        <v>0</v>
      </c>
      <c r="B2017" s="1226" t="s">
        <v>654</v>
      </c>
      <c r="C2017" s="2841"/>
      <c r="D2017" s="1023"/>
      <c r="E2017" s="1024" t="str">
        <f>VLOOKUP($B2017,DG!A:D,DG!$B$2,)</f>
        <v>04.1203c</v>
      </c>
      <c r="F2017" s="1025" t="str">
        <f>VLOOKUP($B2017,DG!A:D,DG!$C$2,)</f>
        <v>Đổ bê tông móng trụ &lt;=250cm-M200 đá 1x2</v>
      </c>
      <c r="G2017" s="1024" t="str">
        <f>VLOOKUP($B2017,DG!A:D,DG!$D$2,)</f>
        <v>m3</v>
      </c>
      <c r="H2017" s="1713">
        <f>H2012*(0.4*3*1-2*3.14*0.15^2*0.4)*1.025</f>
        <v>0</v>
      </c>
      <c r="I2017" s="1192">
        <f t="shared" si="82"/>
        <v>0</v>
      </c>
      <c r="J2017" s="1014"/>
      <c r="K2017" s="1014"/>
      <c r="L2017" s="1015"/>
      <c r="M2017" s="934">
        <v>560</v>
      </c>
      <c r="N2017" s="1026">
        <f>1.025*0.45</f>
        <v>0.46124999999999999</v>
      </c>
      <c r="O2017" s="1026">
        <f>1.025*0.866</f>
        <v>0.88764999999999994</v>
      </c>
      <c r="P2017" s="1170"/>
    </row>
    <row r="2018" spans="1:16" s="1016" customFormat="1" ht="25.2" hidden="1" customHeight="1">
      <c r="A2018" s="1086">
        <f t="shared" si="83"/>
        <v>0</v>
      </c>
      <c r="B2018" s="1226"/>
      <c r="C2018" s="2841"/>
      <c r="D2018" s="1017">
        <f>IF(H2018&gt;0,D2012+1,D2012)</f>
        <v>4</v>
      </c>
      <c r="E2018" s="1018"/>
      <c r="F2018" s="1019" t="s">
        <v>3722</v>
      </c>
      <c r="G2018" s="1017" t="s">
        <v>2385</v>
      </c>
      <c r="H2018" s="1722"/>
      <c r="I2018" s="1192">
        <f t="shared" si="82"/>
        <v>0</v>
      </c>
      <c r="J2018" s="1014"/>
      <c r="K2018" s="1014"/>
      <c r="L2018" s="1015"/>
      <c r="M2018" s="934">
        <v>560</v>
      </c>
    </row>
    <row r="2019" spans="1:16" s="1016" customFormat="1" ht="25.2" hidden="1" customHeight="1">
      <c r="A2019" s="1086">
        <f t="shared" si="83"/>
        <v>0</v>
      </c>
      <c r="B2019" s="1226"/>
      <c r="C2019" s="2841"/>
      <c r="D2019" s="1011"/>
      <c r="E2019" s="1021"/>
      <c r="F2019" s="1267" t="s">
        <v>2279</v>
      </c>
      <c r="G2019" s="1023"/>
      <c r="H2019" s="1713"/>
      <c r="I2019" s="1192">
        <f t="shared" si="82"/>
        <v>0</v>
      </c>
      <c r="J2019" s="1014"/>
      <c r="K2019" s="1014"/>
      <c r="L2019" s="1015"/>
      <c r="M2019" s="934">
        <v>560</v>
      </c>
    </row>
    <row r="2020" spans="1:16" s="1016" customFormat="1" ht="25.2" hidden="1" customHeight="1">
      <c r="A2020" s="1086">
        <f t="shared" si="83"/>
        <v>0</v>
      </c>
      <c r="B2020" s="1226" t="s">
        <v>653</v>
      </c>
      <c r="C2020" s="2841"/>
      <c r="D2020" s="1023"/>
      <c r="E2020" s="1024">
        <f>VLOOKUP($B2020,DG!A:D,DG!$B$2,)</f>
        <v>0</v>
      </c>
      <c r="F2020" s="1025" t="str">
        <f>VLOOKUP($B2020,DG!A:D,DG!$C$2,)</f>
        <v>Ximăng (PC40)</v>
      </c>
      <c r="G2020" s="1024" t="str">
        <f>VLOOKUP($B2020,DG!A:D,DG!$D$2,)</f>
        <v>kg</v>
      </c>
      <c r="H2020" s="1713">
        <f>H2023*M2023</f>
        <v>0</v>
      </c>
      <c r="I2020" s="1192">
        <f t="shared" si="82"/>
        <v>0</v>
      </c>
      <c r="J2020" s="1014"/>
      <c r="K2020" s="1014"/>
      <c r="L2020" s="1015"/>
      <c r="M2020" s="934">
        <v>560</v>
      </c>
    </row>
    <row r="2021" spans="1:16" s="1016" customFormat="1" ht="25.2" hidden="1" customHeight="1">
      <c r="A2021" s="1086">
        <f t="shared" si="83"/>
        <v>0</v>
      </c>
      <c r="B2021" s="1226" t="s">
        <v>4414</v>
      </c>
      <c r="C2021" s="2841"/>
      <c r="D2021" s="1011"/>
      <c r="E2021" s="1024">
        <f>VLOOKUP($B2021,DG!A:D,DG!$B$2,)</f>
        <v>0</v>
      </c>
      <c r="F2021" s="1025" t="str">
        <f>VLOOKUP($B2021,DG!A:D,DG!$C$2,)</f>
        <v>Cát vàng</v>
      </c>
      <c r="G2021" s="1024" t="str">
        <f>VLOOKUP($B2021,DG!A:D,DG!$D$2,)</f>
        <v>m3</v>
      </c>
      <c r="H2021" s="1723">
        <f>H2023*N2023</f>
        <v>0</v>
      </c>
      <c r="I2021" s="1192">
        <f t="shared" si="82"/>
        <v>0</v>
      </c>
      <c r="J2021" s="1014"/>
      <c r="K2021" s="1014"/>
      <c r="L2021" s="1015"/>
      <c r="M2021" s="934">
        <v>560</v>
      </c>
    </row>
    <row r="2022" spans="1:16" s="1016" customFormat="1" ht="25.2" hidden="1" customHeight="1">
      <c r="A2022" s="1086">
        <f t="shared" si="83"/>
        <v>0</v>
      </c>
      <c r="B2022" s="1226" t="s">
        <v>216</v>
      </c>
      <c r="C2022" s="2841"/>
      <c r="D2022" s="1011"/>
      <c r="E2022" s="1024">
        <f>VLOOKUP($B2022,DG!A:D,DG!$B$2,)</f>
        <v>0</v>
      </c>
      <c r="F2022" s="1025" t="str">
        <f>VLOOKUP($B2022,DG!A:D,DG!$C$2,)</f>
        <v>Đá 1x2</v>
      </c>
      <c r="G2022" s="1024" t="str">
        <f>VLOOKUP($B2022,DG!A:D,DG!$D$2,)</f>
        <v>m3</v>
      </c>
      <c r="H2022" s="1723">
        <f>H2023*O2023</f>
        <v>0</v>
      </c>
      <c r="I2022" s="1192">
        <f t="shared" si="82"/>
        <v>0</v>
      </c>
      <c r="J2022" s="1014"/>
      <c r="K2022" s="1014"/>
      <c r="L2022" s="1015"/>
      <c r="M2022" s="934">
        <v>560</v>
      </c>
    </row>
    <row r="2023" spans="1:16" s="1016" customFormat="1" ht="25.2" hidden="1" customHeight="1">
      <c r="A2023" s="1086">
        <f t="shared" si="83"/>
        <v>0</v>
      </c>
      <c r="B2023" s="1226" t="s">
        <v>654</v>
      </c>
      <c r="C2023" s="2841"/>
      <c r="D2023" s="1023"/>
      <c r="E2023" s="1024" t="str">
        <f>VLOOKUP($B2023,DG!A:D,DG!$B$2,)</f>
        <v>04.1203c</v>
      </c>
      <c r="F2023" s="1025" t="str">
        <f>VLOOKUP($B2023,DG!A:D,DG!$C$2,)</f>
        <v>Đổ bê tông móng trụ &lt;=250cm-M200 đá 1x2</v>
      </c>
      <c r="G2023" s="1024" t="str">
        <f>VLOOKUP($B2023,DG!A:D,DG!$D$2,)</f>
        <v>m3</v>
      </c>
      <c r="H2023" s="1713">
        <f>H2018*0.2*0.2*(0.2+0.2+0.8+0.8+2*4)</f>
        <v>0</v>
      </c>
      <c r="I2023" s="1192">
        <f t="shared" si="82"/>
        <v>0</v>
      </c>
      <c r="J2023" s="1014"/>
      <c r="K2023" s="1014"/>
      <c r="L2023" s="1015"/>
      <c r="M2023" s="934">
        <v>560</v>
      </c>
      <c r="N2023" s="1026">
        <f>1.025*0.45</f>
        <v>0.46124999999999999</v>
      </c>
      <c r="O2023" s="1026">
        <f>1.025*0.866</f>
        <v>0.88764999999999994</v>
      </c>
      <c r="P2023" s="1170"/>
    </row>
    <row r="2024" spans="1:16" s="1016" customFormat="1" ht="25.2" hidden="1" customHeight="1">
      <c r="A2024" s="1086">
        <f t="shared" si="83"/>
        <v>0</v>
      </c>
      <c r="B2024" s="1226"/>
      <c r="C2024" s="2841"/>
      <c r="D2024" s="1017">
        <f>IF(H2024&gt;0,D2018+1,D2018)</f>
        <v>5</v>
      </c>
      <c r="E2024" s="1018"/>
      <c r="F2024" s="1019" t="s">
        <v>3739</v>
      </c>
      <c r="G2024" s="1017" t="s">
        <v>2385</v>
      </c>
      <c r="H2024" s="1722">
        <f>H1901</f>
        <v>1</v>
      </c>
      <c r="I2024" s="1192">
        <f t="shared" si="82"/>
        <v>0</v>
      </c>
      <c r="J2024" s="1014"/>
      <c r="K2024" s="1014"/>
      <c r="L2024" s="1043"/>
      <c r="M2024" s="934">
        <v>560</v>
      </c>
    </row>
    <row r="2025" spans="1:16" s="1016" customFormat="1" ht="25.2" hidden="1" customHeight="1">
      <c r="A2025" s="1086">
        <f t="shared" si="83"/>
        <v>0</v>
      </c>
      <c r="B2025" s="1226"/>
      <c r="C2025" s="2841"/>
      <c r="D2025" s="1011"/>
      <c r="E2025" s="1021"/>
      <c r="F2025" s="1267" t="s">
        <v>2279</v>
      </c>
      <c r="G2025" s="1023"/>
      <c r="H2025" s="1713"/>
      <c r="I2025" s="1192">
        <f t="shared" si="82"/>
        <v>0</v>
      </c>
      <c r="J2025" s="1014"/>
      <c r="K2025" s="1014"/>
      <c r="L2025" s="1043"/>
      <c r="M2025" s="934">
        <v>560</v>
      </c>
    </row>
    <row r="2026" spans="1:16" s="1016" customFormat="1" ht="25.2" hidden="1" customHeight="1">
      <c r="A2026" s="1086">
        <f t="shared" si="83"/>
        <v>0</v>
      </c>
      <c r="B2026" s="1226" t="s">
        <v>1026</v>
      </c>
      <c r="C2026" s="2841"/>
      <c r="D2026" s="1023"/>
      <c r="E2026" s="1024" t="str">
        <f>VLOOKUP($B2026,DG!A:D,DG!$B$2,)</f>
        <v>05.1102</v>
      </c>
      <c r="F2026" s="1025" t="str">
        <f>VLOOKUP($B2026,DG!A:D,DG!$C$2,)</f>
        <v>Vỏ tủ + khóa tủ</v>
      </c>
      <c r="G2026" s="1024" t="str">
        <f>VLOOKUP($B2026,DG!A:D,DG!$D$2,)</f>
        <v>cái</v>
      </c>
      <c r="H2026" s="1713">
        <f>H2024</f>
        <v>1</v>
      </c>
      <c r="I2026" s="1192">
        <f t="shared" si="82"/>
        <v>0</v>
      </c>
      <c r="J2026" s="1014"/>
      <c r="K2026" s="1014"/>
      <c r="L2026" s="1043"/>
      <c r="M2026" s="934">
        <v>560</v>
      </c>
    </row>
    <row r="2027" spans="1:16" s="1016" customFormat="1" ht="25.2" hidden="1" customHeight="1">
      <c r="A2027" s="1086">
        <f t="shared" si="83"/>
        <v>0</v>
      </c>
      <c r="B2027" s="1256" t="s">
        <v>1228</v>
      </c>
      <c r="C2027" s="2858"/>
      <c r="D2027" s="1023"/>
      <c r="E2027" s="1024" t="str">
        <f>VLOOKUP($B2027,DG!A:D,DG!$B$2,)</f>
        <v>05.1102</v>
      </c>
      <c r="F2027" s="1025" t="str">
        <f>VLOOKUP($B2027,DG!A:D,DG!$C$2,)</f>
        <v>Khung đỡ tủ MCCB và tủ bù</v>
      </c>
      <c r="G2027" s="1024" t="str">
        <f>VLOOKUP($B2027,DG!A:D,DG!$D$2,)</f>
        <v>trọn bộ</v>
      </c>
      <c r="H2027" s="1713"/>
      <c r="I2027" s="1192">
        <f t="shared" si="82"/>
        <v>0</v>
      </c>
      <c r="J2027" s="1014"/>
      <c r="K2027" s="1014"/>
      <c r="L2027" s="1043"/>
      <c r="M2027" s="934">
        <v>560</v>
      </c>
    </row>
    <row r="2028" spans="1:16" s="1016" customFormat="1" ht="25.2" hidden="1" customHeight="1">
      <c r="A2028" s="1086">
        <f t="shared" si="83"/>
        <v>0</v>
      </c>
      <c r="B2028" s="1226" t="s">
        <v>1535</v>
      </c>
      <c r="C2028" s="2841"/>
      <c r="D2028" s="1011"/>
      <c r="E2028" s="1024">
        <f>VLOOKUP($B2028,DG!A:D,DG!$B$2,)</f>
        <v>0</v>
      </c>
      <c r="F2028" s="1025" t="s">
        <v>3748</v>
      </c>
      <c r="G2028" s="1024" t="str">
        <f>VLOOKUP($B2028,DG!A:D,DG!$D$2,)</f>
        <v>bộ</v>
      </c>
      <c r="H2028" s="1713">
        <f>H2024</f>
        <v>1</v>
      </c>
      <c r="I2028" s="1192">
        <f t="shared" si="82"/>
        <v>0</v>
      </c>
      <c r="J2028" s="1014"/>
      <c r="K2028" s="1014"/>
      <c r="L2028" s="1043"/>
      <c r="M2028" s="934">
        <v>560</v>
      </c>
    </row>
    <row r="2029" spans="1:16" s="1016" customFormat="1" ht="25.2" hidden="1" customHeight="1">
      <c r="A2029" s="1086">
        <f t="shared" si="83"/>
        <v>0</v>
      </c>
      <c r="B2029" s="1226" t="s">
        <v>880</v>
      </c>
      <c r="C2029" s="2841"/>
      <c r="D2029" s="1011"/>
      <c r="E2029" s="1024">
        <f>VLOOKUP($B2029,DG!A:D,DG!$B$2,)</f>
        <v>0</v>
      </c>
      <c r="F2029" s="1025" t="str">
        <f>VLOOKUP($B2029,DG!A:D,DG!$C$2,)</f>
        <v xml:space="preserve">Bakelit 550x450 dầy 10mm </v>
      </c>
      <c r="G2029" s="1024" t="str">
        <f>VLOOKUP($B2029,DG!A:D,DG!$D$2,)</f>
        <v>cái</v>
      </c>
      <c r="H2029" s="1713">
        <v>3</v>
      </c>
      <c r="I2029" s="1192">
        <f t="shared" si="82"/>
        <v>0</v>
      </c>
      <c r="J2029" s="1014"/>
      <c r="K2029" s="1014"/>
      <c r="L2029" s="1043"/>
      <c r="M2029" s="934">
        <v>560</v>
      </c>
    </row>
    <row r="2030" spans="1:16" s="1016" customFormat="1" ht="25.2" hidden="1" customHeight="1">
      <c r="A2030" s="1086">
        <f t="shared" si="83"/>
        <v>0</v>
      </c>
      <c r="B2030" s="1226" t="s">
        <v>289</v>
      </c>
      <c r="C2030" s="2841"/>
      <c r="D2030" s="1023"/>
      <c r="E2030" s="1024" t="str">
        <f>VLOOKUP($B2030,DG!A:D,DG!$B$2,)</f>
        <v>06.3191</v>
      </c>
      <c r="F2030" s="1025" t="str">
        <f>VLOOKUP($B2030,DG!A:D,DG!$C$2,)</f>
        <v>Bảng tên trạm, bảng báo nguy hiểm + đinh vít</v>
      </c>
      <c r="G2030" s="1024" t="str">
        <f>VLOOKUP($B2030,DG!A:D,DG!$D$2,)</f>
        <v>bộ</v>
      </c>
      <c r="H2030" s="1713">
        <f>H2026</f>
        <v>1</v>
      </c>
      <c r="I2030" s="1192">
        <f t="shared" si="82"/>
        <v>0</v>
      </c>
      <c r="J2030" s="1014"/>
      <c r="K2030" s="1014"/>
      <c r="L2030" s="1043"/>
      <c r="M2030" s="934">
        <v>560</v>
      </c>
    </row>
    <row r="2031" spans="1:16" s="1016" customFormat="1" ht="25.2" hidden="1" customHeight="1">
      <c r="A2031" s="1086">
        <f t="shared" si="83"/>
        <v>0</v>
      </c>
      <c r="B2031" s="1226"/>
      <c r="C2031" s="2841"/>
      <c r="D2031" s="1017">
        <f>IF(H2031&gt;0,D2024+1,D2024)</f>
        <v>5</v>
      </c>
      <c r="E2031" s="1018"/>
      <c r="F2031" s="1019" t="s">
        <v>3724</v>
      </c>
      <c r="G2031" s="1017" t="s">
        <v>2532</v>
      </c>
      <c r="H2031" s="1722">
        <f>H1901*0</f>
        <v>0</v>
      </c>
      <c r="I2031" s="1192">
        <f t="shared" si="82"/>
        <v>0</v>
      </c>
      <c r="J2031" s="1014"/>
      <c r="K2031" s="1014"/>
      <c r="L2031" s="1015"/>
      <c r="M2031" s="934">
        <v>560</v>
      </c>
    </row>
    <row r="2032" spans="1:16" s="1016" customFormat="1" ht="25.2" hidden="1" customHeight="1">
      <c r="A2032" s="1086">
        <f t="shared" si="83"/>
        <v>0</v>
      </c>
      <c r="B2032" s="1226"/>
      <c r="C2032" s="2841"/>
      <c r="D2032" s="1011"/>
      <c r="E2032" s="1021"/>
      <c r="F2032" s="1267" t="s">
        <v>2279</v>
      </c>
      <c r="G2032" s="1023"/>
      <c r="H2032" s="1713"/>
      <c r="I2032" s="1192">
        <f t="shared" si="82"/>
        <v>0</v>
      </c>
      <c r="J2032" s="1014"/>
      <c r="K2032" s="1014"/>
      <c r="L2032" s="1015"/>
      <c r="M2032" s="934">
        <v>560</v>
      </c>
    </row>
    <row r="2033" spans="1:14" s="1016" customFormat="1" ht="25.2" hidden="1" customHeight="1">
      <c r="A2033" s="1086">
        <f t="shared" si="83"/>
        <v>0</v>
      </c>
      <c r="B2033" s="1226" t="s">
        <v>4414</v>
      </c>
      <c r="C2033" s="2841"/>
      <c r="D2033" s="1023"/>
      <c r="E2033" s="1024">
        <f>VLOOKUP($B2033,DG!A:D,DG!$B$2,)</f>
        <v>0</v>
      </c>
      <c r="F2033" s="1041" t="str">
        <f>VLOOKUP($B2033,DG!A:D,DG!$C$2,)&amp;": 0,315m3/m"</f>
        <v>Cát vàng: 0,315m3/m</v>
      </c>
      <c r="G2033" s="1024" t="str">
        <f>VLOOKUP($B2033,DG!A:D,DG!$D$2,)</f>
        <v>m3</v>
      </c>
      <c r="H2033" s="1713">
        <f>H2031*0.315</f>
        <v>0</v>
      </c>
      <c r="I2033" s="1192">
        <f t="shared" si="82"/>
        <v>0</v>
      </c>
      <c r="J2033" s="1014"/>
      <c r="K2033" s="1014"/>
      <c r="L2033" s="1015"/>
      <c r="M2033" s="934">
        <v>560</v>
      </c>
    </row>
    <row r="2034" spans="1:14" s="1016" customFormat="1" ht="25.2" hidden="1" customHeight="1">
      <c r="A2034" s="1086">
        <f t="shared" si="83"/>
        <v>0</v>
      </c>
      <c r="B2034" s="1228" t="s">
        <v>520</v>
      </c>
      <c r="C2034" s="2840"/>
      <c r="D2034" s="1023"/>
      <c r="E2034" s="1024">
        <f>VLOOKUP($B2034,DG!A:D,DG!$B$2,)</f>
        <v>0</v>
      </c>
      <c r="F2034" s="1041" t="str">
        <f>VLOOKUP($B2034,DG!A:D,DG!$C$2,)&amp;": 0,092m3/m"</f>
        <v>Đá 2x4: 0,092m3/m</v>
      </c>
      <c r="G2034" s="1024" t="str">
        <f>VLOOKUP($B2034,DG!A:D,DG!$D$2,)</f>
        <v>m3</v>
      </c>
      <c r="H2034" s="1713">
        <f>0.092*H2031</f>
        <v>0</v>
      </c>
      <c r="I2034" s="1192">
        <f t="shared" si="82"/>
        <v>0</v>
      </c>
      <c r="J2034" s="1014"/>
      <c r="K2034" s="1014"/>
      <c r="L2034" s="1015"/>
      <c r="M2034" s="934">
        <v>560</v>
      </c>
    </row>
    <row r="2035" spans="1:14" s="1016" customFormat="1" ht="25.2" hidden="1" customHeight="1">
      <c r="A2035" s="1086">
        <f t="shared" si="83"/>
        <v>0</v>
      </c>
      <c r="B2035" s="1228" t="s">
        <v>1675</v>
      </c>
      <c r="C2035" s="2840"/>
      <c r="D2035" s="1023"/>
      <c r="E2035" s="1024">
        <f>VLOOKUP($B2035,DG!A:D,DG!$B$2,)</f>
        <v>0</v>
      </c>
      <c r="F2035" s="1041" t="str">
        <f>VLOOKUP($B2035,DG!A:D,DG!$C$2,)&amp;": 3,3vieân/m"</f>
        <v>Gạch tàu: 3,3vieân/m</v>
      </c>
      <c r="G2035" s="1024" t="str">
        <f>VLOOKUP($B2035,DG!A:D,DG!$D$2,)</f>
        <v>viên</v>
      </c>
      <c r="H2035" s="1713">
        <f>3.3*H2031</f>
        <v>0</v>
      </c>
      <c r="I2035" s="1192">
        <f t="shared" si="82"/>
        <v>0</v>
      </c>
      <c r="J2035" s="1014"/>
      <c r="K2035" s="1014"/>
      <c r="L2035" s="1015"/>
      <c r="M2035" s="934">
        <v>560</v>
      </c>
    </row>
    <row r="2036" spans="1:14" s="1016" customFormat="1" ht="25.2" hidden="1" customHeight="1">
      <c r="A2036" s="1086">
        <f t="shared" si="83"/>
        <v>0</v>
      </c>
      <c r="B2036" s="1228" t="s">
        <v>1676</v>
      </c>
      <c r="C2036" s="2840"/>
      <c r="D2036" s="1023"/>
      <c r="E2036" s="1024">
        <f>VLOOKUP($B2036,DG!A:D,DG!$B$2,)</f>
        <v>0</v>
      </c>
      <c r="F2036" s="1041" t="str">
        <f>VLOOKUP($B2036,DG!A:D,DG!$C$2,)&amp;": 0,4m2/m"</f>
        <v>Tấm nilông màu cảnh báo: 0,4m2/m</v>
      </c>
      <c r="G2036" s="1024" t="str">
        <f>VLOOKUP($B2036,DG!A:D,DG!$D$2,)</f>
        <v>m2</v>
      </c>
      <c r="H2036" s="1713">
        <f>0.4*H2031</f>
        <v>0</v>
      </c>
      <c r="I2036" s="1192">
        <f t="shared" si="82"/>
        <v>0</v>
      </c>
      <c r="J2036" s="1014"/>
      <c r="K2036" s="1014"/>
      <c r="L2036" s="1015"/>
      <c r="M2036" s="934">
        <v>560</v>
      </c>
    </row>
    <row r="2037" spans="1:14" s="1016" customFormat="1" ht="25.2" hidden="1" customHeight="1">
      <c r="A2037" s="1086">
        <f t="shared" si="83"/>
        <v>0</v>
      </c>
      <c r="B2037" s="1228" t="s">
        <v>1518</v>
      </c>
      <c r="C2037" s="2840"/>
      <c r="D2037" s="1011"/>
      <c r="E2037" s="1024">
        <f>VLOOKUP($B2037,DG!A:D,DG!$B$2,)</f>
        <v>0</v>
      </c>
      <c r="F2037" s="1041" t="str">
        <f>VLOOKUP($B2037,DG!A:D,DG!$C$2,)</f>
        <v>Ống PVC D140x6,7mm</v>
      </c>
      <c r="G2037" s="1024" t="str">
        <f>VLOOKUP($B2037,DG!A:D,DG!$D$2,)</f>
        <v>m</v>
      </c>
      <c r="H2037" s="1713">
        <f>1*H2031</f>
        <v>0</v>
      </c>
      <c r="I2037" s="1192">
        <f t="shared" si="82"/>
        <v>0</v>
      </c>
      <c r="J2037" s="1014"/>
      <c r="K2037" s="1014"/>
      <c r="L2037" s="1015"/>
      <c r="M2037" s="934">
        <v>560</v>
      </c>
    </row>
    <row r="2038" spans="1:14" s="1016" customFormat="1" ht="25.2" hidden="1" customHeight="1">
      <c r="A2038" s="1086">
        <f t="shared" si="83"/>
        <v>0</v>
      </c>
      <c r="B2038" s="1228" t="s">
        <v>1678</v>
      </c>
      <c r="C2038" s="2840"/>
      <c r="D2038" s="1023"/>
      <c r="E2038" s="1024" t="str">
        <f>VLOOKUP($B2038,DG!A:D,DG!$B$2,)</f>
        <v>03.7000</v>
      </c>
      <c r="F2038" s="1041" t="str">
        <f>VLOOKUP($B2038,DG!A:D,DG!$C$2,)&amp;" + ñaép ñaù"</f>
        <v>Đắp cát  + ñaép ñaù</v>
      </c>
      <c r="G2038" s="1024" t="str">
        <f>VLOOKUP($B2038,DG!A:D,DG!$D$2,)</f>
        <v>m3</v>
      </c>
      <c r="H2038" s="1713">
        <f>H2033+H2034</f>
        <v>0</v>
      </c>
      <c r="I2038" s="1192">
        <f t="shared" si="82"/>
        <v>0</v>
      </c>
      <c r="J2038" s="1014"/>
      <c r="K2038" s="1014"/>
      <c r="L2038" s="1015"/>
      <c r="M2038" s="934">
        <v>560</v>
      </c>
    </row>
    <row r="2039" spans="1:14" s="1016" customFormat="1" ht="25.2" hidden="1" customHeight="1">
      <c r="A2039" s="1086">
        <f t="shared" si="83"/>
        <v>0</v>
      </c>
      <c r="B2039" s="1228" t="s">
        <v>144</v>
      </c>
      <c r="C2039" s="2840"/>
      <c r="D2039" s="1023"/>
      <c r="E2039" s="1024" t="str">
        <f>VLOOKUP($B2039,DG!A:D,DG!$B$2,)</f>
        <v>03.3103</v>
      </c>
      <c r="F2039" s="1041" t="str">
        <f>VLOOKUP($B2039,DG!A:D,DG!$C$2,)&amp;" : 0,48m3/m"</f>
        <v>Đào mương cáp ngầm đất cấp 3 : 0,48m3/m</v>
      </c>
      <c r="G2039" s="1024" t="str">
        <f>VLOOKUP($B2039,DG!A:D,DG!$D$2,)</f>
        <v>m3</v>
      </c>
      <c r="H2039" s="1713">
        <f>H2031*0.48</f>
        <v>0</v>
      </c>
      <c r="I2039" s="1192">
        <f t="shared" si="82"/>
        <v>0</v>
      </c>
      <c r="J2039" s="1014"/>
      <c r="K2039" s="1014"/>
      <c r="L2039" s="1015"/>
      <c r="M2039" s="934">
        <v>560</v>
      </c>
    </row>
    <row r="2040" spans="1:14" s="1016" customFormat="1" ht="25.2" hidden="1" customHeight="1">
      <c r="A2040" s="1086">
        <f t="shared" si="83"/>
        <v>0</v>
      </c>
      <c r="B2040" s="1228" t="s">
        <v>529</v>
      </c>
      <c r="C2040" s="2840"/>
      <c r="D2040" s="1023"/>
      <c r="E2040" s="1024" t="str">
        <f>VLOOKUP($B2040,DG!A:D,DG!$B$2,)</f>
        <v>03.3203</v>
      </c>
      <c r="F2040" s="1041" t="str">
        <f>VLOOKUP($B2040,DG!A:D,DG!$C$2,)&amp;" : 0,073m3/m"</f>
        <v>Đắp đất mương cáp ngầm, đất cấp 3 : 0,073m3/m</v>
      </c>
      <c r="G2040" s="1024" t="str">
        <f>VLOOKUP($B2040,DG!A:D,DG!$D$2,)</f>
        <v>m3</v>
      </c>
      <c r="H2040" s="1713">
        <f>H2031*0.073</f>
        <v>0</v>
      </c>
      <c r="I2040" s="1192">
        <f t="shared" si="82"/>
        <v>0</v>
      </c>
      <c r="J2040" s="1014"/>
      <c r="K2040" s="1014"/>
      <c r="L2040" s="1015"/>
      <c r="M2040" s="934">
        <v>560</v>
      </c>
      <c r="N2040" s="1066">
        <v>0.47499999999999998</v>
      </c>
    </row>
    <row r="2041" spans="1:14" s="1016" customFormat="1" ht="25.2" hidden="1" customHeight="1">
      <c r="A2041" s="1086">
        <f t="shared" si="83"/>
        <v>0</v>
      </c>
      <c r="B2041" s="1226"/>
      <c r="C2041" s="2841"/>
      <c r="D2041" s="1017">
        <f>IF(H2041&gt;0,D2031+1,D2031)</f>
        <v>5</v>
      </c>
      <c r="E2041" s="1018"/>
      <c r="F2041" s="1019" t="s">
        <v>3725</v>
      </c>
      <c r="G2041" s="1017" t="s">
        <v>2385</v>
      </c>
      <c r="H2041" s="1722">
        <f>H2050</f>
        <v>0</v>
      </c>
      <c r="I2041" s="1192">
        <f t="shared" si="82"/>
        <v>0</v>
      </c>
      <c r="J2041" s="1014"/>
      <c r="K2041" s="1014"/>
      <c r="L2041" s="1015"/>
      <c r="M2041" s="934">
        <v>560</v>
      </c>
      <c r="N2041" s="1066">
        <v>0.88100000000000001</v>
      </c>
    </row>
    <row r="2042" spans="1:14" s="1016" customFormat="1" ht="25.2" hidden="1" customHeight="1">
      <c r="A2042" s="1086">
        <f t="shared" si="83"/>
        <v>0</v>
      </c>
      <c r="B2042" s="1226"/>
      <c r="C2042" s="2841"/>
      <c r="D2042" s="1011"/>
      <c r="E2042" s="1021"/>
      <c r="F2042" s="1267" t="s">
        <v>2279</v>
      </c>
      <c r="G2042" s="1023"/>
      <c r="H2042" s="1713"/>
      <c r="I2042" s="1192">
        <f t="shared" si="82"/>
        <v>0</v>
      </c>
      <c r="J2042" s="1014"/>
      <c r="K2042" s="1014"/>
      <c r="L2042" s="1015"/>
      <c r="M2042" s="934">
        <v>560</v>
      </c>
    </row>
    <row r="2043" spans="1:14" s="1016" customFormat="1" ht="25.2" hidden="1" customHeight="1">
      <c r="A2043" s="1086">
        <f t="shared" si="83"/>
        <v>0</v>
      </c>
      <c r="B2043" s="1226" t="s">
        <v>623</v>
      </c>
      <c r="C2043" s="2841"/>
      <c r="D2043" s="1023"/>
      <c r="E2043" s="1024" t="str">
        <f>VLOOKUP($B2043,DG!A:D,DG!$B$2,)</f>
        <v>07.2204</v>
      </c>
      <c r="F2043" s="1025" t="str">
        <f>VLOOKUP($B2043,DG!A:D,DG!$C$2,)</f>
        <v>ÔÁng sắt tráng kẽm D140</v>
      </c>
      <c r="G2043" s="1024" t="str">
        <f>VLOOKUP($B2043,DG!A:D,DG!$D$2,)</f>
        <v>mét</v>
      </c>
      <c r="H2043" s="1713">
        <f>H2041*5*0</f>
        <v>0</v>
      </c>
      <c r="I2043" s="1192">
        <f t="shared" ref="I2043:I2109" si="84">IF(M2043=$M$23,H2043+J2043-K2043,0)</f>
        <v>0</v>
      </c>
      <c r="J2043" s="1014"/>
      <c r="K2043" s="1014"/>
      <c r="L2043" s="1015"/>
      <c r="M2043" s="934">
        <v>560</v>
      </c>
    </row>
    <row r="2044" spans="1:14" s="1016" customFormat="1" ht="25.2" hidden="1" customHeight="1">
      <c r="A2044" s="1086">
        <f t="shared" si="83"/>
        <v>0</v>
      </c>
      <c r="B2044" s="1228" t="s">
        <v>473</v>
      </c>
      <c r="C2044" s="2840"/>
      <c r="D2044" s="1011"/>
      <c r="E2044" s="1024">
        <f>VLOOKUP($B2044,DG!A:D,DG!$B$2,)</f>
        <v>0</v>
      </c>
      <c r="F2044" s="1025" t="str">
        <f>VLOOKUP($B2044,DG!A:D,DG!$C$2,)</f>
        <v>Co sừng 90 độ PVC 140</v>
      </c>
      <c r="G2044" s="1024" t="str">
        <f>VLOOKUP($B2044,DG!A:D,DG!$D$2,)</f>
        <v>cái</v>
      </c>
      <c r="H2044" s="1713">
        <f>H2041*0</f>
        <v>0</v>
      </c>
      <c r="I2044" s="1192">
        <f t="shared" si="84"/>
        <v>0</v>
      </c>
      <c r="J2044" s="1014"/>
      <c r="K2044" s="1014"/>
      <c r="L2044" s="1015"/>
      <c r="M2044" s="934">
        <v>560</v>
      </c>
    </row>
    <row r="2045" spans="1:14" s="1016" customFormat="1" ht="25.2" hidden="1" customHeight="1">
      <c r="A2045" s="1086">
        <f t="shared" si="83"/>
        <v>0</v>
      </c>
      <c r="B2045" s="1226" t="s">
        <v>120</v>
      </c>
      <c r="C2045" s="2841"/>
      <c r="D2045" s="1023"/>
      <c r="E2045" s="1024" t="str">
        <f>VLOOKUP($B2045,DG!A:D,DG!$B$2,)</f>
        <v>06.3231</v>
      </c>
      <c r="F2045" s="1025" t="str">
        <f>VLOOKUP($B2045,DG!A:D,DG!$C$2,)</f>
        <v>Cổ dê giữ ống STK D140 vào tường+Boulon+long đền+tắc ke sắt</v>
      </c>
      <c r="G2045" s="1024" t="str">
        <f>VLOOKUP($B2045,DG!A:D,DG!$D$2,)</f>
        <v>bộ</v>
      </c>
      <c r="H2045" s="1713">
        <f>H2041*2*0</f>
        <v>0</v>
      </c>
      <c r="I2045" s="1192">
        <f t="shared" si="84"/>
        <v>0</v>
      </c>
      <c r="J2045" s="1014"/>
      <c r="K2045" s="1014"/>
      <c r="L2045" s="1015"/>
      <c r="M2045" s="934">
        <v>560</v>
      </c>
    </row>
    <row r="2046" spans="1:14" s="1016" customFormat="1" ht="25.2" hidden="1" customHeight="1">
      <c r="A2046" s="1086">
        <f t="shared" si="83"/>
        <v>0</v>
      </c>
      <c r="B2046" s="1087" t="s">
        <v>1409</v>
      </c>
      <c r="C2046" s="2842"/>
      <c r="D2046" s="1023"/>
      <c r="E2046" s="1024">
        <f>VLOOKUP($B2046,DG!A:D,DG!$B$2,)</f>
        <v>0</v>
      </c>
      <c r="F2046" s="1025" t="str">
        <f>VLOOKUP($B2046,DG!A:D,DG!$C$2,)</f>
        <v>Giá đỡ cáp ngầm (V63x6)</v>
      </c>
      <c r="G2046" s="1024" t="str">
        <f>VLOOKUP($B2046,DG!A:D,DG!$D$2,)</f>
        <v>bộ</v>
      </c>
      <c r="H2046" s="1713">
        <f>H2041*0</f>
        <v>0</v>
      </c>
      <c r="I2046" s="1192">
        <f t="shared" si="84"/>
        <v>0</v>
      </c>
      <c r="J2046" s="1014"/>
      <c r="K2046" s="1014"/>
      <c r="L2046" s="1015"/>
      <c r="M2046" s="934">
        <v>560</v>
      </c>
    </row>
    <row r="2047" spans="1:14" s="1016" customFormat="1" ht="25.2" hidden="1" customHeight="1">
      <c r="A2047" s="1086">
        <f t="shared" si="83"/>
        <v>0</v>
      </c>
      <c r="B2047" s="1087" t="s">
        <v>2138</v>
      </c>
      <c r="C2047" s="2842"/>
      <c r="D2047" s="1023"/>
      <c r="E2047" s="1024">
        <f>VLOOKUP($B2047,DG!A:D,DG!$B$2,)</f>
        <v>0</v>
      </c>
      <c r="F2047" s="1025" t="str">
        <f>VLOOKUP($B2047,DG!A:D,DG!$C$2,)</f>
        <v>Giá đỡ cáp trung hạ thế</v>
      </c>
      <c r="G2047" s="1024" t="str">
        <f>VLOOKUP($B2047,DG!A:D,DG!$D$2,)</f>
        <v>bộ</v>
      </c>
      <c r="H2047" s="1713">
        <f>H2041</f>
        <v>0</v>
      </c>
      <c r="I2047" s="1192">
        <f t="shared" si="84"/>
        <v>0</v>
      </c>
      <c r="J2047" s="1014"/>
      <c r="K2047" s="1014"/>
      <c r="L2047" s="1015"/>
      <c r="M2047" s="934">
        <v>560</v>
      </c>
    </row>
    <row r="2048" spans="1:14" s="1016" customFormat="1" ht="25.2" hidden="1" customHeight="1">
      <c r="A2048" s="1086">
        <f t="shared" si="83"/>
        <v>0</v>
      </c>
      <c r="B2048" s="1226" t="s">
        <v>1410</v>
      </c>
      <c r="C2048" s="2841"/>
      <c r="D2048" s="1011"/>
      <c r="E2048" s="1024" t="str">
        <f>VLOOKUP($B2048,DG!A:D,DG!$B$2,)</f>
        <v>05.6101</v>
      </c>
      <c r="F2048" s="1025" t="str">
        <f>VLOOKUP($B2048,DG!A:D,DG!$C$2,)</f>
        <v>Lắp Giá đỡ cáp</v>
      </c>
      <c r="G2048" s="1024" t="str">
        <f>VLOOKUP($B2048,DG!A:D,DG!$D$2,)</f>
        <v>bộ</v>
      </c>
      <c r="H2048" s="1713">
        <f>H2046+H2047</f>
        <v>0</v>
      </c>
      <c r="I2048" s="1192">
        <f t="shared" si="84"/>
        <v>0</v>
      </c>
      <c r="J2048" s="1014"/>
      <c r="K2048" s="1014"/>
      <c r="L2048" s="1015"/>
      <c r="M2048" s="934">
        <v>560</v>
      </c>
    </row>
    <row r="2049" spans="1:13" s="1016" customFormat="1" ht="25.2" hidden="1" customHeight="1">
      <c r="A2049" s="1086">
        <f t="shared" si="83"/>
        <v>0</v>
      </c>
      <c r="B2049" s="1226" t="s">
        <v>289</v>
      </c>
      <c r="C2049" s="2841"/>
      <c r="D2049" s="1023"/>
      <c r="E2049" s="1024" t="str">
        <f>VLOOKUP($B2049,DG!A:D,DG!$B$2,)</f>
        <v>06.3191</v>
      </c>
      <c r="F2049" s="1025" t="str">
        <f>VLOOKUP($B2049,DG!A:D,DG!$C$2,)</f>
        <v>Bảng tên trạm, bảng báo nguy hiểm + đinh vít</v>
      </c>
      <c r="G2049" s="1024" t="str">
        <f>VLOOKUP($B2049,DG!A:D,DG!$D$2,)</f>
        <v>bộ</v>
      </c>
      <c r="H2049" s="1713">
        <f>H2041*0</f>
        <v>0</v>
      </c>
      <c r="I2049" s="1192">
        <f t="shared" si="84"/>
        <v>0</v>
      </c>
      <c r="J2049" s="1014"/>
      <c r="K2049" s="1014"/>
      <c r="L2049" s="1015"/>
      <c r="M2049" s="934">
        <v>560</v>
      </c>
    </row>
    <row r="2050" spans="1:13" s="1016" customFormat="1" ht="25.2" hidden="1" customHeight="1">
      <c r="A2050" s="1086">
        <f t="shared" si="83"/>
        <v>0</v>
      </c>
      <c r="B2050" s="1226"/>
      <c r="C2050" s="2841"/>
      <c r="D2050" s="1017">
        <f>IF(H2050&gt;0,D2041+1,D2041)</f>
        <v>5</v>
      </c>
      <c r="E2050" s="1018"/>
      <c r="F2050" s="1027" t="s">
        <v>3726</v>
      </c>
      <c r="G2050" s="1017" t="s">
        <v>2385</v>
      </c>
      <c r="H2050" s="1722">
        <f>H1901*0</f>
        <v>0</v>
      </c>
      <c r="I2050" s="1192">
        <f t="shared" si="84"/>
        <v>0</v>
      </c>
      <c r="J2050" s="1014"/>
      <c r="K2050" s="1014"/>
      <c r="L2050" s="1015"/>
      <c r="M2050" s="934">
        <v>560</v>
      </c>
    </row>
    <row r="2051" spans="1:13" s="1016" customFormat="1" ht="25.2" hidden="1" customHeight="1">
      <c r="A2051" s="1086">
        <f t="shared" si="83"/>
        <v>0</v>
      </c>
      <c r="B2051" s="1226"/>
      <c r="C2051" s="2841"/>
      <c r="D2051" s="1011"/>
      <c r="E2051" s="1021"/>
      <c r="F2051" s="1268" t="s">
        <v>2279</v>
      </c>
      <c r="G2051" s="1011"/>
      <c r="H2051" s="1723"/>
      <c r="I2051" s="1192">
        <f t="shared" si="84"/>
        <v>0</v>
      </c>
      <c r="J2051" s="1014"/>
      <c r="K2051" s="1014"/>
      <c r="L2051" s="1015"/>
      <c r="M2051" s="934">
        <v>560</v>
      </c>
    </row>
    <row r="2052" spans="1:13" s="1016" customFormat="1" ht="25.2" hidden="1" customHeight="1">
      <c r="A2052" s="1086">
        <f t="shared" si="83"/>
        <v>0</v>
      </c>
      <c r="B2052" s="1087" t="s">
        <v>470</v>
      </c>
      <c r="C2052" s="2842"/>
      <c r="D2052" s="1023"/>
      <c r="E2052" s="1012">
        <f>VLOOKUP($B2052,DG!A:D,DG!$B$2,)</f>
        <v>0</v>
      </c>
      <c r="F2052" s="1013" t="str">
        <f>VLOOKUP($B2052,DG!A:D,DG!$C$2,)&amp;": trong möông vaø leân MBA"</f>
        <v>Cáp 24kV C/XLPE/DSTA/PVC3x50: trong möông vaø leân MBA</v>
      </c>
      <c r="G2052" s="1012" t="str">
        <f>VLOOKUP($B2052,DG!A:D,DG!$D$2,)</f>
        <v>mét</v>
      </c>
      <c r="H2052" s="1713">
        <f>H2031+H2050*8</f>
        <v>0</v>
      </c>
      <c r="I2052" s="1192">
        <f t="shared" si="84"/>
        <v>0</v>
      </c>
      <c r="J2052" s="1014"/>
      <c r="K2052" s="1014"/>
      <c r="L2052" s="1015"/>
      <c r="M2052" s="934">
        <v>560</v>
      </c>
    </row>
    <row r="2053" spans="1:13" s="1016" customFormat="1" ht="25.2" hidden="1" customHeight="1">
      <c r="A2053" s="1086">
        <f t="shared" si="83"/>
        <v>0</v>
      </c>
      <c r="B2053" s="1087" t="s">
        <v>271</v>
      </c>
      <c r="C2053" s="2842"/>
      <c r="D2053" s="1023"/>
      <c r="E2053" s="1012">
        <f>VLOOKUP($B2053,DG!A:D,DG!$B$2,)</f>
        <v>0</v>
      </c>
      <c r="F2053" s="1013" t="str">
        <f>VLOOKUP($B2053,DG!A:D,DG!$C$2,)&amp;": trung tính"</f>
        <v>Cáp 24KV C/XLPE/PVC 50mm2: trung tính</v>
      </c>
      <c r="G2053" s="1012" t="str">
        <f>VLOOKUP($B2053,DG!A:D,DG!$D$2,)</f>
        <v>mét</v>
      </c>
      <c r="H2053" s="1713">
        <f>H2052</f>
        <v>0</v>
      </c>
      <c r="I2053" s="1192">
        <f t="shared" si="84"/>
        <v>0</v>
      </c>
      <c r="J2053" s="1014"/>
      <c r="K2053" s="1014"/>
      <c r="L2053" s="1015"/>
      <c r="M2053" s="934">
        <v>560</v>
      </c>
    </row>
    <row r="2054" spans="1:13" s="1016" customFormat="1" ht="25.2" hidden="1" customHeight="1">
      <c r="A2054" s="1086">
        <f t="shared" si="83"/>
        <v>0</v>
      </c>
      <c r="B2054" s="1087" t="s">
        <v>271</v>
      </c>
      <c r="C2054" s="2842"/>
      <c r="D2054" s="1023"/>
      <c r="E2054" s="1012">
        <f>VLOOKUP($B2054,DG!A:D,DG!$B$2,)</f>
        <v>0</v>
      </c>
      <c r="F2054" s="1013" t="str">
        <f>VLOOKUP($B2054,DG!A:D,DG!$C$2,)&amp;": 0,5m/pha töø FCO xuoáng MBA"</f>
        <v>Cáp 24KV C/XLPE/PVC 50mm2: 0,5m/pha töø FCO xuoáng MBA</v>
      </c>
      <c r="G2054" s="1012" t="str">
        <f>VLOOKUP($B2054,DG!A:D,DG!$D$2,)</f>
        <v>mét</v>
      </c>
      <c r="H2054" s="1713">
        <f>H2050*0.5*3*0</f>
        <v>0</v>
      </c>
      <c r="I2054" s="1192">
        <f t="shared" si="84"/>
        <v>0</v>
      </c>
      <c r="J2054" s="1014"/>
      <c r="K2054" s="1014"/>
      <c r="L2054" s="1015"/>
      <c r="M2054" s="934">
        <v>560</v>
      </c>
    </row>
    <row r="2055" spans="1:13" s="1016" customFormat="1" ht="25.2" hidden="1" customHeight="1">
      <c r="A2055" s="1086">
        <f t="shared" si="83"/>
        <v>0</v>
      </c>
      <c r="B2055" s="1087" t="s">
        <v>1352</v>
      </c>
      <c r="C2055" s="2842"/>
      <c r="D2055" s="1023"/>
      <c r="E2055" s="1012">
        <f>VLOOKUP($B2055,DG!A:D,DG!$B$2,)</f>
        <v>0</v>
      </c>
      <c r="F2055" s="1013" t="str">
        <f>VLOOKUP($B2055,DG!A:D,DG!$C$2,)</f>
        <v>Đầu cáp ngầm 24KV 3x50mm2 outdoor</v>
      </c>
      <c r="G2055" s="1012" t="str">
        <f>VLOOKUP($B2055,DG!A:D,DG!$D$2,)</f>
        <v>cái</v>
      </c>
      <c r="H2055" s="1713">
        <f>H2050</f>
        <v>0</v>
      </c>
      <c r="I2055" s="1192">
        <f t="shared" si="84"/>
        <v>0</v>
      </c>
      <c r="J2055" s="1014"/>
      <c r="K2055" s="1014"/>
      <c r="L2055" s="1015"/>
      <c r="M2055" s="934">
        <v>560</v>
      </c>
    </row>
    <row r="2056" spans="1:13" s="1016" customFormat="1" ht="25.2" hidden="1" customHeight="1">
      <c r="A2056" s="1086">
        <f t="shared" si="83"/>
        <v>0</v>
      </c>
      <c r="B2056" s="1087" t="s">
        <v>470</v>
      </c>
      <c r="C2056" s="2842"/>
      <c r="D2056" s="1023"/>
      <c r="E2056" s="1012">
        <f>VLOOKUP($B2056,DG!A:D,DG!$B$2,)</f>
        <v>0</v>
      </c>
      <c r="F2056" s="1013" t="str">
        <f>VLOOKUP($B2056,DG!A:D,DG!$C$2,)&amp;": töø tuû LBS ñeán MBA"</f>
        <v>Cáp 24kV C/XLPE/DSTA/PVC3x50: töø tuû LBS ñeán MBA</v>
      </c>
      <c r="G2056" s="1012" t="str">
        <f>VLOOKUP($B2056,DG!A:D,DG!$D$2,)</f>
        <v>mét</v>
      </c>
      <c r="H2056" s="1713">
        <f>(1.2+2.4)*H2050*0</f>
        <v>0</v>
      </c>
      <c r="I2056" s="1192">
        <f t="shared" si="84"/>
        <v>0</v>
      </c>
      <c r="J2056" s="1014"/>
      <c r="K2056" s="1014"/>
      <c r="L2056" s="1015"/>
      <c r="M2056" s="934">
        <v>560</v>
      </c>
    </row>
    <row r="2057" spans="1:13" s="1016" customFormat="1" ht="25.2" hidden="1" customHeight="1">
      <c r="A2057" s="1086">
        <f t="shared" si="83"/>
        <v>0</v>
      </c>
      <c r="B2057" s="1087" t="s">
        <v>271</v>
      </c>
      <c r="C2057" s="2842"/>
      <c r="D2057" s="1023"/>
      <c r="E2057" s="1012">
        <f>VLOOKUP($B2057,DG!A:D,DG!$B$2,)</f>
        <v>0</v>
      </c>
      <c r="F2057" s="1013" t="str">
        <f>VLOOKUP($B2057,DG!A:D,DG!$C$2,)&amp;": töø tuû LBS ñeán MBA"</f>
        <v>Cáp 24KV C/XLPE/PVC 50mm2: töø tuû LBS ñeán MBA</v>
      </c>
      <c r="G2057" s="1012" t="str">
        <f>VLOOKUP($B2057,DG!A:D,DG!$D$2,)</f>
        <v>mét</v>
      </c>
      <c r="H2057" s="1713">
        <f>H2050*1.2*0</f>
        <v>0</v>
      </c>
      <c r="I2057" s="1192">
        <f t="shared" si="84"/>
        <v>0</v>
      </c>
      <c r="J2057" s="1014"/>
      <c r="K2057" s="1014"/>
      <c r="L2057" s="1015"/>
      <c r="M2057" s="934">
        <v>560</v>
      </c>
    </row>
    <row r="2058" spans="1:13" s="1016" customFormat="1" ht="25.2" hidden="1" customHeight="1">
      <c r="A2058" s="1086">
        <f t="shared" si="83"/>
        <v>0</v>
      </c>
      <c r="B2058" s="1087" t="s">
        <v>1353</v>
      </c>
      <c r="C2058" s="2842"/>
      <c r="D2058" s="1023"/>
      <c r="E2058" s="1012">
        <f>VLOOKUP($B2058,DG!A:D,DG!$B$2,)</f>
        <v>0</v>
      </c>
      <c r="F2058" s="1013" t="str">
        <f>VLOOKUP($B2058,DG!A:D,DG!$C$2,)</f>
        <v>Đầu cáp ngầm 24KV 3x50mm2 indoor</v>
      </c>
      <c r="G2058" s="1012" t="str">
        <f>VLOOKUP($B2058,DG!A:D,DG!$D$2,)</f>
        <v>cái</v>
      </c>
      <c r="H2058" s="1713">
        <f>H2050</f>
        <v>0</v>
      </c>
      <c r="I2058" s="1192">
        <f t="shared" si="84"/>
        <v>0</v>
      </c>
      <c r="J2058" s="1014"/>
      <c r="K2058" s="1014"/>
      <c r="L2058" s="1015"/>
      <c r="M2058" s="934">
        <v>560</v>
      </c>
    </row>
    <row r="2059" spans="1:13" s="1016" customFormat="1" ht="25.2" hidden="1" customHeight="1">
      <c r="A2059" s="1086">
        <f t="shared" si="83"/>
        <v>0</v>
      </c>
      <c r="B2059" s="1087" t="s">
        <v>1674</v>
      </c>
      <c r="C2059" s="2842"/>
      <c r="D2059" s="1023"/>
      <c r="E2059" s="1012" t="str">
        <f>VLOOKUP($B2059,DG!A:D,DG!$B$2,)</f>
        <v>07.4312</v>
      </c>
      <c r="F2059" s="1013" t="str">
        <f>VLOOKUP($B2059,DG!A:D,DG!$C$2,)</f>
        <v>Lắp đầu cáp trung thế 3x50mm2, 70mm2</v>
      </c>
      <c r="G2059" s="1012" t="str">
        <f>VLOOKUP($B2059,DG!A:D,DG!$D$2,)</f>
        <v>cái</v>
      </c>
      <c r="H2059" s="1713">
        <f>H2055+H2058</f>
        <v>0</v>
      </c>
      <c r="I2059" s="1192">
        <f t="shared" si="84"/>
        <v>0</v>
      </c>
      <c r="J2059" s="1014"/>
      <c r="K2059" s="1014"/>
      <c r="L2059" s="1015"/>
      <c r="M2059" s="934">
        <v>560</v>
      </c>
    </row>
    <row r="2060" spans="1:13" s="1016" customFormat="1" ht="25.2" hidden="1" customHeight="1">
      <c r="A2060" s="1086">
        <f t="shared" si="83"/>
        <v>0</v>
      </c>
      <c r="B2060" s="1087" t="s">
        <v>1204</v>
      </c>
      <c r="C2060" s="2842"/>
      <c r="D2060" s="1023"/>
      <c r="E2060" s="1012" t="str">
        <f>VLOOKUP($B2060,DG!A:D,DG!$B$2,)</f>
        <v>03.1405</v>
      </c>
      <c r="F2060" s="1013" t="str">
        <f>VLOOKUP($B2060,DG!A:D,DG!$C$2,)</f>
        <v>Lắp cáp trong ống bảo vệ trong TBA loại &lt;=6kg</v>
      </c>
      <c r="G2060" s="1012" t="str">
        <f>VLOOKUP($B2060,DG!A:D,DG!$D$2,)</f>
        <v>mét</v>
      </c>
      <c r="H2060" s="1713">
        <f>H2052+H2056</f>
        <v>0</v>
      </c>
      <c r="I2060" s="1192">
        <f t="shared" si="84"/>
        <v>0</v>
      </c>
      <c r="J2060" s="1014"/>
      <c r="K2060" s="1014"/>
      <c r="L2060" s="1015"/>
      <c r="M2060" s="934">
        <v>560</v>
      </c>
    </row>
    <row r="2061" spans="1:13" s="1016" customFormat="1" ht="25.2" hidden="1" customHeight="1">
      <c r="A2061" s="1086">
        <f t="shared" si="83"/>
        <v>0</v>
      </c>
      <c r="B2061" s="1087" t="s">
        <v>1201</v>
      </c>
      <c r="C2061" s="2842"/>
      <c r="D2061" s="1023"/>
      <c r="E2061" s="1012" t="str">
        <f>VLOOKUP($B2061,DG!A:D,DG!$B$2,)</f>
        <v>03.1402</v>
      </c>
      <c r="F2061" s="1013" t="str">
        <f>VLOOKUP($B2061,DG!A:D,DG!$C$2,)</f>
        <v>Lắp cáp trong ống bảo vệ trong TBA loại &lt;=2kg</v>
      </c>
      <c r="G2061" s="1012" t="str">
        <f>VLOOKUP($B2061,DG!A:D,DG!$D$2,)</f>
        <v>mét</v>
      </c>
      <c r="H2061" s="1713">
        <f>H2053+H2057</f>
        <v>0</v>
      </c>
      <c r="I2061" s="1192">
        <f t="shared" si="84"/>
        <v>0</v>
      </c>
      <c r="J2061" s="1014"/>
      <c r="K2061" s="1014"/>
      <c r="L2061" s="1015"/>
      <c r="M2061" s="934">
        <v>560</v>
      </c>
    </row>
    <row r="2062" spans="1:13" s="1016" customFormat="1" ht="25.2" hidden="1" customHeight="1">
      <c r="A2062" s="1086">
        <f t="shared" si="83"/>
        <v>0</v>
      </c>
      <c r="B2062" s="1087" t="s">
        <v>1525</v>
      </c>
      <c r="C2062" s="2842"/>
      <c r="D2062" s="1023"/>
      <c r="E2062" s="1012" t="str">
        <f>VLOOKUP($B2062,DG!A:D,DG!$B$2,)</f>
        <v>04.4201</v>
      </c>
      <c r="F2062" s="1013" t="str">
        <f>VLOOKUP($B2062,DG!A:D,DG!$C$2,)</f>
        <v>Lắp cáp đồng xuống thiết bị D ≤ 95mm2</v>
      </c>
      <c r="G2062" s="1012" t="str">
        <f>VLOOKUP($B2062,DG!A:D,DG!$D$2,)</f>
        <v>m</v>
      </c>
      <c r="H2062" s="1713">
        <f>H2054</f>
        <v>0</v>
      </c>
      <c r="I2062" s="1192">
        <f t="shared" si="84"/>
        <v>0</v>
      </c>
      <c r="J2062" s="1014"/>
      <c r="K2062" s="1014"/>
      <c r="L2062" s="1015"/>
      <c r="M2062" s="934">
        <v>560</v>
      </c>
    </row>
    <row r="2063" spans="1:13" s="1016" customFormat="1" ht="25.2" hidden="1" customHeight="1">
      <c r="A2063" s="1086">
        <f t="shared" si="83"/>
        <v>0</v>
      </c>
      <c r="B2063" s="1087" t="s">
        <v>1349</v>
      </c>
      <c r="C2063" s="2842"/>
      <c r="D2063" s="1023"/>
      <c r="E2063" s="1012">
        <f>VLOOKUP($B2063,DG!A:D,DG!$B$2,)</f>
        <v>0</v>
      </c>
      <c r="F2063" s="1013" t="str">
        <f>VLOOKUP($B2063,DG!A:D,DG!$C$2,)</f>
        <v>Dây rút cáp</v>
      </c>
      <c r="G2063" s="1012" t="str">
        <f>VLOOKUP($B2063,DG!A:D,DG!$D$2,)</f>
        <v>bọc</v>
      </c>
      <c r="H2063" s="1713">
        <f>H2050*2</f>
        <v>0</v>
      </c>
      <c r="I2063" s="1192">
        <f t="shared" si="84"/>
        <v>0</v>
      </c>
      <c r="J2063" s="1014"/>
      <c r="K2063" s="1014"/>
      <c r="L2063" s="1015"/>
      <c r="M2063" s="934">
        <v>560</v>
      </c>
    </row>
    <row r="2064" spans="1:13" s="1016" customFormat="1" ht="25.2" hidden="1" customHeight="1">
      <c r="A2064" s="1086">
        <f t="shared" si="83"/>
        <v>0</v>
      </c>
      <c r="B2064" s="1226"/>
      <c r="C2064" s="2841"/>
      <c r="D2064" s="1017">
        <f>IF(H2064&gt;0,D2050+1,D2050)</f>
        <v>6</v>
      </c>
      <c r="E2064" s="1018"/>
      <c r="F2064" s="1027" t="s">
        <v>3744</v>
      </c>
      <c r="G2064" s="1017" t="s">
        <v>2385</v>
      </c>
      <c r="H2064" s="1722">
        <f>H1901</f>
        <v>1</v>
      </c>
      <c r="I2064" s="1192">
        <f t="shared" si="84"/>
        <v>0</v>
      </c>
      <c r="J2064" s="1014"/>
      <c r="K2064" s="1014"/>
      <c r="L2064" s="1043"/>
      <c r="M2064" s="934">
        <v>560</v>
      </c>
    </row>
    <row r="2065" spans="1:13" s="1016" customFormat="1" ht="25.2" hidden="1" customHeight="1">
      <c r="A2065" s="1086">
        <f t="shared" si="83"/>
        <v>0</v>
      </c>
      <c r="B2065" s="1226"/>
      <c r="C2065" s="2841"/>
      <c r="D2065" s="1011"/>
      <c r="E2065" s="1021"/>
      <c r="F2065" s="1268" t="s">
        <v>2279</v>
      </c>
      <c r="G2065" s="1011"/>
      <c r="H2065" s="1723"/>
      <c r="I2065" s="1192">
        <f t="shared" si="84"/>
        <v>0</v>
      </c>
      <c r="J2065" s="1014"/>
      <c r="K2065" s="1014"/>
      <c r="L2065" s="1043"/>
      <c r="M2065" s="934">
        <v>560</v>
      </c>
    </row>
    <row r="2066" spans="1:13" s="1016" customFormat="1" ht="25.2" hidden="1" customHeight="1">
      <c r="A2066" s="1086">
        <f t="shared" si="83"/>
        <v>0</v>
      </c>
      <c r="B2066" s="1087" t="s">
        <v>697</v>
      </c>
      <c r="C2066" s="2842"/>
      <c r="D2066" s="1023"/>
      <c r="E2066" s="1012">
        <f>VLOOKUP($B2066,DG!A:D,DG!$B$2,)</f>
        <v>0</v>
      </c>
      <c r="F2066" s="1013" t="str">
        <f>VLOOKUP($B2066,DG!A:D,DG!$C$2,)&amp;": 9m/1pha"</f>
        <v>Cáp 24KV C/XLPE/PVC 25mm2: 9m/1pha</v>
      </c>
      <c r="G2066" s="1012" t="str">
        <f>VLOOKUP($B2066,DG!A:D,DG!$D$2,)</f>
        <v>mét</v>
      </c>
      <c r="H2066" s="1713">
        <f>H2064*(9)*3</f>
        <v>27</v>
      </c>
      <c r="I2066" s="1192">
        <f t="shared" si="84"/>
        <v>0</v>
      </c>
      <c r="J2066" s="1014"/>
      <c r="K2066" s="1014"/>
      <c r="L2066" s="1043"/>
      <c r="M2066" s="934">
        <v>560</v>
      </c>
    </row>
    <row r="2067" spans="1:13" s="1016" customFormat="1" ht="25.2" hidden="1" customHeight="1">
      <c r="A2067" s="1086">
        <f t="shared" si="83"/>
        <v>0</v>
      </c>
      <c r="B2067" s="1087" t="s">
        <v>1579</v>
      </c>
      <c r="C2067" s="2842"/>
      <c r="D2067" s="1023"/>
      <c r="E2067" s="1012">
        <f>VLOOKUP($B2067,DG!A:D,DG!$B$2,)</f>
        <v>0</v>
      </c>
      <c r="F2067" s="1013" t="str">
        <f>VLOOKUP($B2067,DG!A:D,DG!$C$2,)</f>
        <v>Kẹp ép WR cỡ dây 50mm2</v>
      </c>
      <c r="G2067" s="1012" t="str">
        <f>VLOOKUP($B2067,DG!A:D,DG!$D$2,)</f>
        <v>cái</v>
      </c>
      <c r="H2067" s="1713">
        <f>H2064*6*0</f>
        <v>0</v>
      </c>
      <c r="I2067" s="1192">
        <f t="shared" si="84"/>
        <v>0</v>
      </c>
      <c r="J2067" s="1014"/>
      <c r="K2067" s="1014"/>
      <c r="L2067" s="1043"/>
      <c r="M2067" s="934">
        <v>560</v>
      </c>
    </row>
    <row r="2068" spans="1:13" s="1016" customFormat="1" ht="25.2" hidden="1" customHeight="1">
      <c r="A2068" s="1086">
        <f t="shared" si="83"/>
        <v>0</v>
      </c>
      <c r="B2068" s="1087" t="s">
        <v>1115</v>
      </c>
      <c r="C2068" s="2842"/>
      <c r="D2068" s="1023"/>
      <c r="E2068" s="1012">
        <f>VLOOKUP($B2068,DG!A:D,DG!$B$2,)</f>
        <v>0</v>
      </c>
      <c r="F2068" s="1013" t="str">
        <f>VLOOKUP($B2068,DG!A:D,DG!$C$2,)</f>
        <v>Kẹp ép cỡ dây 25mm2</v>
      </c>
      <c r="G2068" s="1012" t="str">
        <f>VLOOKUP($B2068,DG!A:D,DG!$D$2,)</f>
        <v>cái</v>
      </c>
      <c r="H2068" s="1713"/>
      <c r="I2068" s="1192">
        <f t="shared" si="84"/>
        <v>0</v>
      </c>
      <c r="J2068" s="1014"/>
      <c r="K2068" s="1014"/>
      <c r="L2068" s="1015"/>
      <c r="M2068" s="934">
        <v>560</v>
      </c>
    </row>
    <row r="2069" spans="1:13" s="1016" customFormat="1" ht="25.2" hidden="1" customHeight="1">
      <c r="A2069" s="1086">
        <f t="shared" si="83"/>
        <v>0</v>
      </c>
      <c r="B2069" s="1087" t="s">
        <v>550</v>
      </c>
      <c r="C2069" s="2842"/>
      <c r="D2069" s="1023"/>
      <c r="E2069" s="1012">
        <f>VLOOKUP($B2069,DG!A:D,DG!$B$2,)</f>
        <v>0</v>
      </c>
      <c r="F2069" s="1013" t="str">
        <f>VLOOKUP($B2069,DG!A:D,DG!$C$2,)</f>
        <v>Bass LI bắt FCO</v>
      </c>
      <c r="G2069" s="1012" t="str">
        <f>VLOOKUP($B2069,DG!A:D,DG!$D$2,)</f>
        <v>Bộ</v>
      </c>
      <c r="H2069" s="1713"/>
      <c r="I2069" s="1192">
        <f t="shared" si="84"/>
        <v>0</v>
      </c>
      <c r="J2069" s="1014"/>
      <c r="K2069" s="1014"/>
      <c r="L2069" s="1015"/>
      <c r="M2069" s="934">
        <v>560</v>
      </c>
    </row>
    <row r="2070" spans="1:13" s="1016" customFormat="1" ht="25.2" hidden="1" customHeight="1">
      <c r="A2070" s="1086">
        <f t="shared" si="83"/>
        <v>0</v>
      </c>
      <c r="B2070" s="1087" t="s">
        <v>1479</v>
      </c>
      <c r="C2070" s="2842"/>
      <c r="D2070" s="1023"/>
      <c r="E2070" s="1012" t="str">
        <f>VLOOKUP($B2070,DG!A:D,DG!$B$2,)</f>
        <v>04.3007</v>
      </c>
      <c r="F2070" s="1013" t="str">
        <f>VLOOKUP($B2070,DG!A:D,DG!$C$2,)</f>
        <v>Kẹp quai 2/0</v>
      </c>
      <c r="G2070" s="1012" t="str">
        <f>VLOOKUP($B2070,DG!A:D,DG!$D$2,)</f>
        <v>cái</v>
      </c>
      <c r="H2070" s="1713">
        <f>H2064*3</f>
        <v>3</v>
      </c>
      <c r="I2070" s="1192">
        <f t="shared" si="84"/>
        <v>0</v>
      </c>
      <c r="J2070" s="1014"/>
      <c r="K2070" s="1014"/>
      <c r="L2070" s="1043"/>
      <c r="M2070" s="934">
        <v>560</v>
      </c>
    </row>
    <row r="2071" spans="1:13" s="1016" customFormat="1" ht="25.2" hidden="1" customHeight="1">
      <c r="A2071" s="1086">
        <f t="shared" si="83"/>
        <v>0</v>
      </c>
      <c r="B2071" s="1087" t="s">
        <v>1477</v>
      </c>
      <c r="C2071" s="2842"/>
      <c r="D2071" s="1023"/>
      <c r="E2071" s="1012" t="str">
        <f>VLOOKUP($B2071,DG!A:D,DG!$B$2,)</f>
        <v>04.3007</v>
      </c>
      <c r="F2071" s="1013" t="str">
        <f>VLOOKUP($B2071,DG!A:D,DG!$C$2,)&amp;": "</f>
        <v xml:space="preserve">Kẹp hotline 2/0: </v>
      </c>
      <c r="G2071" s="1012" t="str">
        <f>VLOOKUP($B2071,DG!A:D,DG!$D$2,)</f>
        <v>cái</v>
      </c>
      <c r="H2071" s="1713">
        <f>H2070</f>
        <v>3</v>
      </c>
      <c r="I2071" s="1192">
        <f t="shared" si="84"/>
        <v>0</v>
      </c>
      <c r="J2071" s="1014"/>
      <c r="K2071" s="1014"/>
      <c r="L2071" s="1043"/>
      <c r="M2071" s="934">
        <v>560</v>
      </c>
    </row>
    <row r="2072" spans="1:13" s="1016" customFormat="1" ht="25.2" hidden="1" customHeight="1">
      <c r="A2072" s="1086">
        <f t="shared" si="83"/>
        <v>0</v>
      </c>
      <c r="B2072" s="1087" t="s">
        <v>696</v>
      </c>
      <c r="C2072" s="2842"/>
      <c r="D2072" s="1043"/>
      <c r="E2072" s="1012">
        <f>VLOOKUP($B2072,DG!A:D,DG!$B$2,)</f>
        <v>0</v>
      </c>
      <c r="F2072" s="1013" t="str">
        <f>VLOOKUP($B2072,DG!A:D,DG!$C$2,)</f>
        <v xml:space="preserve">Sứ đứng 24KV </v>
      </c>
      <c r="G2072" s="1012" t="str">
        <f>VLOOKUP($B2072,DG!A:D,DG!$D$2,)</f>
        <v>cái</v>
      </c>
      <c r="H2072" s="1713">
        <v>3</v>
      </c>
      <c r="I2072" s="1192">
        <f t="shared" si="84"/>
        <v>0</v>
      </c>
      <c r="J2072" s="1014"/>
      <c r="K2072" s="1014"/>
      <c r="L2072" s="1043"/>
      <c r="M2072" s="934">
        <v>560</v>
      </c>
    </row>
    <row r="2073" spans="1:13" s="1016" customFormat="1" ht="25.2" hidden="1" customHeight="1">
      <c r="A2073" s="1086">
        <f t="shared" si="83"/>
        <v>0</v>
      </c>
      <c r="B2073" s="1087" t="s">
        <v>1265</v>
      </c>
      <c r="C2073" s="2842"/>
      <c r="D2073" s="1023"/>
      <c r="E2073" s="1012">
        <f>VLOOKUP($B2073,DG!A:D,DG!$B$2,)</f>
        <v>0</v>
      </c>
      <c r="F2073" s="1013" t="str">
        <f>VLOOKUP($B2073,DG!A:D,DG!$C$2,)</f>
        <v>Chân sứ đứng D20</v>
      </c>
      <c r="G2073" s="1012" t="str">
        <f>VLOOKUP($B2073,DG!A:D,DG!$D$2,)</f>
        <v>cái</v>
      </c>
      <c r="H2073" s="1713">
        <f>H2072</f>
        <v>3</v>
      </c>
      <c r="I2073" s="1192">
        <f t="shared" si="84"/>
        <v>0</v>
      </c>
      <c r="J2073" s="1014"/>
      <c r="K2073" s="1014"/>
      <c r="L2073" s="1043"/>
      <c r="M2073" s="934">
        <v>560</v>
      </c>
    </row>
    <row r="2074" spans="1:13" s="1016" customFormat="1" ht="25.2" hidden="1" customHeight="1">
      <c r="A2074" s="1086">
        <f t="shared" ref="A2074:A2137" si="85">IF(AND(M2074=$M$23,I2074&gt;0),1,0)</f>
        <v>0</v>
      </c>
      <c r="B2074" s="1087" t="s">
        <v>439</v>
      </c>
      <c r="C2074" s="2842"/>
      <c r="D2074" s="1023"/>
      <c r="E2074" s="1012">
        <f>VLOOKUP($B2074,DG!A:D,DG!$B$2,)</f>
        <v>0</v>
      </c>
      <c r="F2074" s="1013" t="str">
        <f>VLOOKUP($B2074,DG!A:D,DG!$C$2,)</f>
        <v>Sứ treo polymer</v>
      </c>
      <c r="G2074" s="1012" t="str">
        <f>VLOOKUP($B2074,DG!A:D,DG!$D$2,)</f>
        <v>chuỗi</v>
      </c>
      <c r="H2074" s="1744">
        <f t="shared" ref="H2074" si="86">H2061*6*0</f>
        <v>0</v>
      </c>
      <c r="I2074" s="1192">
        <f t="shared" ref="I2074:I2076" si="87">IF(M2074=$M$23,H2074+J2074-K2074,0)</f>
        <v>0</v>
      </c>
      <c r="J2074" s="1014"/>
      <c r="K2074" s="1014"/>
      <c r="L2074" s="1043"/>
      <c r="M2074" s="934">
        <v>560</v>
      </c>
    </row>
    <row r="2075" spans="1:13" s="1016" customFormat="1" ht="25.2" hidden="1" customHeight="1">
      <c r="A2075" s="1086">
        <f t="shared" si="85"/>
        <v>0</v>
      </c>
      <c r="B2075" s="1087" t="s">
        <v>383</v>
      </c>
      <c r="C2075" s="2842"/>
      <c r="D2075" s="1023"/>
      <c r="E2075" s="1012">
        <f>VLOOKUP($B2075,DG!A:D,DG!$B$2,)</f>
        <v>0</v>
      </c>
      <c r="F2075" s="1013" t="str">
        <f>VLOOKUP($B2075,DG!A:D,DG!$C$2,)</f>
        <v>Chụp đầu cực LA</v>
      </c>
      <c r="G2075" s="1012" t="str">
        <f>VLOOKUP($B2075,DG!A:D,DG!$D$2,)</f>
        <v>cái</v>
      </c>
      <c r="H2075" s="1744">
        <v>3</v>
      </c>
      <c r="I2075" s="1192">
        <f t="shared" si="87"/>
        <v>0</v>
      </c>
      <c r="J2075" s="1014"/>
      <c r="K2075" s="1014"/>
      <c r="L2075" s="1043"/>
      <c r="M2075" s="934">
        <v>560</v>
      </c>
    </row>
    <row r="2076" spans="1:13" s="1016" customFormat="1" ht="25.2" hidden="1" customHeight="1">
      <c r="A2076" s="1086">
        <f t="shared" si="85"/>
        <v>0</v>
      </c>
      <c r="B2076" s="1087" t="s">
        <v>384</v>
      </c>
      <c r="C2076" s="2842"/>
      <c r="D2076" s="1023"/>
      <c r="E2076" s="1012">
        <f>VLOOKUP($B2076,DG!A:D,DG!$B$2,)</f>
        <v>0</v>
      </c>
      <c r="F2076" s="1013" t="str">
        <f>VLOOKUP($B2076,DG!A:D,DG!$C$2,)</f>
        <v>Chụp đầu MBA</v>
      </c>
      <c r="G2076" s="1012" t="str">
        <f>VLOOKUP($B2076,DG!A:D,DG!$D$2,)</f>
        <v>cái</v>
      </c>
      <c r="H2076" s="1744">
        <v>3</v>
      </c>
      <c r="I2076" s="1192">
        <f t="shared" si="87"/>
        <v>0</v>
      </c>
      <c r="J2076" s="1014"/>
      <c r="K2076" s="1014"/>
      <c r="L2076" s="1043"/>
      <c r="M2076" s="934">
        <v>560</v>
      </c>
    </row>
    <row r="2077" spans="1:13" s="1016" customFormat="1" ht="25.2" hidden="1" customHeight="1">
      <c r="A2077" s="1086">
        <f t="shared" si="85"/>
        <v>0</v>
      </c>
      <c r="B2077" s="1087" t="s">
        <v>6429</v>
      </c>
      <c r="C2077" s="2842"/>
      <c r="D2077" s="1023"/>
      <c r="E2077" s="1012">
        <f>VLOOKUP($B2077,DG!A:D,DG!$B$2,)</f>
        <v>0</v>
      </c>
      <c r="F2077" s="1013" t="str">
        <f>VLOOKUP($B2077,DG!A:D,DG!$C$2,)</f>
        <v>Nắp chụp kẹp quai + hotline</v>
      </c>
      <c r="G2077" s="1012" t="str">
        <f>VLOOKUP($B2077,DG!A:D,DG!$D$2,)</f>
        <v>bộ</v>
      </c>
      <c r="H2077" s="1744">
        <v>3</v>
      </c>
      <c r="I2077" s="1192">
        <f t="shared" si="84"/>
        <v>0</v>
      </c>
      <c r="J2077" s="1014"/>
      <c r="K2077" s="1014"/>
      <c r="L2077" s="1043"/>
      <c r="M2077" s="934">
        <v>560</v>
      </c>
    </row>
    <row r="2078" spans="1:13" s="1016" customFormat="1" ht="25.2" hidden="1" customHeight="1">
      <c r="A2078" s="1086">
        <f t="shared" si="85"/>
        <v>0</v>
      </c>
      <c r="B2078" s="1087" t="s">
        <v>1565</v>
      </c>
      <c r="C2078" s="2842"/>
      <c r="D2078" s="1023"/>
      <c r="E2078" s="1012" t="str">
        <f>VLOOKUP($B2078,DG!A:D,DG!$B$2,)</f>
        <v>06.1115</v>
      </c>
      <c r="F2078" s="1013" t="str">
        <f>VLOOKUP($B2078,DG!A:D,DG!$C$2,)</f>
        <v>Lắp sứ đứng 24KV</v>
      </c>
      <c r="G2078" s="1012" t="str">
        <f>VLOOKUP($B2078,DG!A:D,DG!$D$2,)</f>
        <v>bộ</v>
      </c>
      <c r="H2078" s="1713">
        <f>H2073</f>
        <v>3</v>
      </c>
      <c r="I2078" s="1192">
        <f t="shared" si="84"/>
        <v>0</v>
      </c>
      <c r="J2078" s="1014"/>
      <c r="K2078" s="1014"/>
      <c r="L2078" s="1043"/>
      <c r="M2078" s="934">
        <v>560</v>
      </c>
    </row>
    <row r="2079" spans="1:13" s="1016" customFormat="1" ht="25.2" hidden="1" customHeight="1">
      <c r="A2079" s="1086">
        <f t="shared" si="85"/>
        <v>0</v>
      </c>
      <c r="B2079" s="1087" t="s">
        <v>235</v>
      </c>
      <c r="C2079" s="2842"/>
      <c r="D2079" s="1023"/>
      <c r="E2079" s="1012" t="str">
        <f>VLOOKUP($B2079,DG!A:D,DG!$B$2,)</f>
        <v>06.1115</v>
      </c>
      <c r="F2079" s="1013" t="str">
        <f>VLOOKUP($B2079,DG!A:D,DG!$C$2,)</f>
        <v>Tháo sứ đứng 24KV</v>
      </c>
      <c r="G2079" s="1012" t="str">
        <f>VLOOKUP($B2079,DG!A:D,DG!$D$2,)</f>
        <v>bộ</v>
      </c>
      <c r="H2079" s="1713"/>
      <c r="I2079" s="1192">
        <f t="shared" si="84"/>
        <v>0</v>
      </c>
      <c r="J2079" s="1014"/>
      <c r="K2079" s="1014"/>
      <c r="L2079" s="1043"/>
      <c r="M2079" s="934">
        <v>560</v>
      </c>
    </row>
    <row r="2080" spans="1:13" s="1016" customFormat="1" ht="25.2" hidden="1" customHeight="1">
      <c r="A2080" s="1086">
        <f t="shared" si="85"/>
        <v>0</v>
      </c>
      <c r="B2080" s="1087" t="s">
        <v>1507</v>
      </c>
      <c r="C2080" s="2842"/>
      <c r="D2080" s="1023"/>
      <c r="E2080" s="1012" t="str">
        <f>VLOOKUP($B2080,DG!A:D,DG!$B$2,)</f>
        <v>06.2201</v>
      </c>
      <c r="F2080" s="1013" t="str">
        <f>VLOOKUP($B2080,DG!A:D,DG!$C$2,)</f>
        <v>Lắp chuỗi sứ néo Polymer</v>
      </c>
      <c r="G2080" s="1012" t="str">
        <f>VLOOKUP($B2080,DG!A:D,DG!$D$2,)</f>
        <v>chuỗi</v>
      </c>
      <c r="H2080" s="1713"/>
      <c r="I2080" s="1192">
        <f t="shared" si="84"/>
        <v>0</v>
      </c>
      <c r="J2080" s="1014"/>
      <c r="K2080" s="1014"/>
      <c r="L2080" s="1043"/>
      <c r="M2080" s="934">
        <v>560</v>
      </c>
    </row>
    <row r="2081" spans="1:13" s="1016" customFormat="1" ht="25.2" hidden="1" customHeight="1">
      <c r="A2081" s="1086">
        <f t="shared" si="85"/>
        <v>0</v>
      </c>
      <c r="B2081" s="1087" t="s">
        <v>1525</v>
      </c>
      <c r="C2081" s="2842"/>
      <c r="D2081" s="1023"/>
      <c r="E2081" s="1012" t="str">
        <f>VLOOKUP($B2081,DG!A:D,DG!$B$2,)</f>
        <v>04.4201</v>
      </c>
      <c r="F2081" s="1013" t="str">
        <f>VLOOKUP($B2081,DG!A:D,DG!$C$2,)</f>
        <v>Lắp cáp đồng xuống thiết bị D ≤ 95mm2</v>
      </c>
      <c r="G2081" s="1012" t="str">
        <f>VLOOKUP($B2081,DG!A:D,DG!$D$2,)</f>
        <v>m</v>
      </c>
      <c r="H2081" s="1713">
        <f>H2066</f>
        <v>27</v>
      </c>
      <c r="I2081" s="1192">
        <f t="shared" si="84"/>
        <v>0</v>
      </c>
      <c r="J2081" s="1014"/>
      <c r="K2081" s="1014"/>
      <c r="L2081" s="1043"/>
      <c r="M2081" s="934">
        <v>560</v>
      </c>
    </row>
    <row r="2082" spans="1:13" s="1016" customFormat="1" ht="25.2" hidden="1" customHeight="1">
      <c r="A2082" s="1086">
        <f t="shared" si="85"/>
        <v>0</v>
      </c>
      <c r="B2082" s="1226"/>
      <c r="C2082" s="2841"/>
      <c r="D2082" s="1017">
        <f>IF(H2082&gt;0,D2064+1,D2064)</f>
        <v>6</v>
      </c>
      <c r="E2082" s="1018"/>
      <c r="F2082" s="1027" t="s">
        <v>3708</v>
      </c>
      <c r="G2082" s="1017" t="s">
        <v>2385</v>
      </c>
      <c r="H2082" s="1722"/>
      <c r="I2082" s="1192">
        <f t="shared" si="84"/>
        <v>0</v>
      </c>
      <c r="J2082" s="1014"/>
      <c r="K2082" s="1014"/>
      <c r="L2082" s="1015"/>
      <c r="M2082" s="934">
        <v>560</v>
      </c>
    </row>
    <row r="2083" spans="1:13" s="1016" customFormat="1" ht="25.2" hidden="1" customHeight="1">
      <c r="A2083" s="1086">
        <f t="shared" si="85"/>
        <v>0</v>
      </c>
      <c r="B2083" s="1226"/>
      <c r="C2083" s="2841"/>
      <c r="D2083" s="1011"/>
      <c r="E2083" s="1021"/>
      <c r="F2083" s="1268" t="s">
        <v>2279</v>
      </c>
      <c r="G2083" s="1011"/>
      <c r="H2083" s="1723"/>
      <c r="I2083" s="1192">
        <f t="shared" si="84"/>
        <v>0</v>
      </c>
      <c r="J2083" s="1014"/>
      <c r="K2083" s="1014"/>
      <c r="L2083" s="1015"/>
      <c r="M2083" s="934">
        <v>560</v>
      </c>
    </row>
    <row r="2084" spans="1:13" s="1016" customFormat="1" ht="25.2" hidden="1" customHeight="1">
      <c r="A2084" s="1086">
        <f t="shared" si="85"/>
        <v>0</v>
      </c>
      <c r="B2084" s="1226" t="s">
        <v>1489</v>
      </c>
      <c r="C2084" s="2841"/>
      <c r="D2084" s="1023"/>
      <c r="E2084" s="1012" t="str">
        <f>VLOOKUP($B2084,DG!A:D,DG!$B$2,)</f>
        <v>04.8003</v>
      </c>
      <c r="F2084" s="1013" t="str">
        <f>VLOOKUP($B2084,DG!A:D,DG!$C$2,)</f>
        <v xml:space="preserve">Ống PVC D90x3,8mm </v>
      </c>
      <c r="G2084" s="1012" t="str">
        <f>VLOOKUP($B2084,DG!A:D,DG!$D$2,)</f>
        <v>m</v>
      </c>
      <c r="H2084" s="1713">
        <f>H2082*2</f>
        <v>0</v>
      </c>
      <c r="I2084" s="1192">
        <f t="shared" si="84"/>
        <v>0</v>
      </c>
      <c r="J2084" s="1014"/>
      <c r="K2084" s="1014"/>
      <c r="L2084" s="1015"/>
      <c r="M2084" s="934">
        <v>560</v>
      </c>
    </row>
    <row r="2085" spans="1:13" s="1016" customFormat="1" ht="25.2" hidden="1" customHeight="1">
      <c r="A2085" s="1086">
        <f t="shared" si="85"/>
        <v>0</v>
      </c>
      <c r="B2085" s="1226" t="s">
        <v>86</v>
      </c>
      <c r="C2085" s="2841"/>
      <c r="D2085" s="1023"/>
      <c r="E2085" s="1012">
        <f>VLOOKUP($B2085,DG!A:D,DG!$B$2,)</f>
        <v>0</v>
      </c>
      <c r="F2085" s="1013" t="str">
        <f>VLOOKUP($B2085,DG!A:D,DG!$C$2,)</f>
        <v>Co  90 độ PVC 90</v>
      </c>
      <c r="G2085" s="1012" t="str">
        <f>VLOOKUP($B2085,DG!A:D,DG!$D$2,)</f>
        <v>cái</v>
      </c>
      <c r="H2085" s="1713">
        <f>H2082*2</f>
        <v>0</v>
      </c>
      <c r="I2085" s="1192">
        <f t="shared" si="84"/>
        <v>0</v>
      </c>
      <c r="J2085" s="1014"/>
      <c r="K2085" s="1014"/>
      <c r="L2085" s="1015"/>
      <c r="M2085" s="934">
        <v>560</v>
      </c>
    </row>
    <row r="2086" spans="1:13" s="1016" customFormat="1" ht="25.2" hidden="1" customHeight="1">
      <c r="A2086" s="1086">
        <f t="shared" si="85"/>
        <v>0</v>
      </c>
      <c r="B2086" s="1226" t="s">
        <v>931</v>
      </c>
      <c r="C2086" s="2841"/>
      <c r="D2086" s="1023"/>
      <c r="E2086" s="1012">
        <f>VLOOKUP($B2086,DG!A:D,DG!$B$2,)</f>
        <v>0</v>
      </c>
      <c r="F2086" s="1013" t="str">
        <f>VLOOKUP($B2086,DG!A:D,DG!$C$2,)</f>
        <v>Khâu ven răng trong D90</v>
      </c>
      <c r="G2086" s="1012" t="str">
        <f>VLOOKUP($B2086,DG!A:D,DG!$D$2,)</f>
        <v>cái</v>
      </c>
      <c r="H2086" s="1713">
        <f>H2082*1*0</f>
        <v>0</v>
      </c>
      <c r="I2086" s="1192">
        <f t="shared" si="84"/>
        <v>0</v>
      </c>
      <c r="J2086" s="1014"/>
      <c r="K2086" s="1014"/>
      <c r="L2086" s="1015"/>
      <c r="M2086" s="934">
        <v>560</v>
      </c>
    </row>
    <row r="2087" spans="1:13" s="1016" customFormat="1" ht="25.2" hidden="1" customHeight="1">
      <c r="A2087" s="1086">
        <f t="shared" si="85"/>
        <v>0</v>
      </c>
      <c r="B2087" s="1226" t="s">
        <v>930</v>
      </c>
      <c r="C2087" s="2841"/>
      <c r="D2087" s="1023"/>
      <c r="E2087" s="1012">
        <f>VLOOKUP($B2087,DG!A:D,DG!$B$2,)</f>
        <v>0</v>
      </c>
      <c r="F2087" s="1013" t="str">
        <f>VLOOKUP($B2087,DG!A:D,DG!$C$2,)</f>
        <v>Khâu ven răng ngoài D90</v>
      </c>
      <c r="G2087" s="1012" t="str">
        <f>VLOOKUP($B2087,DG!A:D,DG!$D$2,)</f>
        <v>cái</v>
      </c>
      <c r="H2087" s="1713">
        <f>H2086</f>
        <v>0</v>
      </c>
      <c r="I2087" s="1192">
        <f t="shared" si="84"/>
        <v>0</v>
      </c>
      <c r="J2087" s="1014"/>
      <c r="K2087" s="1014"/>
      <c r="L2087" s="1015"/>
      <c r="M2087" s="934">
        <v>560</v>
      </c>
    </row>
    <row r="2088" spans="1:13" s="1016" customFormat="1" ht="25.2" hidden="1" customHeight="1">
      <c r="A2088" s="1086">
        <f t="shared" si="85"/>
        <v>0</v>
      </c>
      <c r="B2088" s="1087"/>
      <c r="C2088" s="2842"/>
      <c r="D2088" s="1017">
        <f>IF(H2088&gt;0,D2082+1,D2082)</f>
        <v>7</v>
      </c>
      <c r="E2088" s="1018"/>
      <c r="F2088" s="1027" t="s">
        <v>3749</v>
      </c>
      <c r="G2088" s="1017" t="s">
        <v>2385</v>
      </c>
      <c r="H2088" s="1743">
        <f>H2024</f>
        <v>1</v>
      </c>
      <c r="I2088" s="1192">
        <f t="shared" si="84"/>
        <v>0</v>
      </c>
      <c r="J2088" s="1014"/>
      <c r="K2088" s="1014"/>
      <c r="L2088" s="1043"/>
      <c r="M2088" s="934">
        <v>560</v>
      </c>
    </row>
    <row r="2089" spans="1:13" s="1016" customFormat="1" ht="25.2" hidden="1" customHeight="1">
      <c r="A2089" s="1086">
        <f t="shared" si="85"/>
        <v>0</v>
      </c>
      <c r="B2089" s="1087"/>
      <c r="C2089" s="2842"/>
      <c r="D2089" s="1011"/>
      <c r="E2089" s="1021"/>
      <c r="F2089" s="1268" t="s">
        <v>2279</v>
      </c>
      <c r="G2089" s="1011"/>
      <c r="H2089" s="1713"/>
      <c r="I2089" s="1192">
        <f t="shared" si="84"/>
        <v>0</v>
      </c>
      <c r="J2089" s="1014"/>
      <c r="K2089" s="1014"/>
      <c r="L2089" s="1043"/>
      <c r="M2089" s="934">
        <v>560</v>
      </c>
    </row>
    <row r="2090" spans="1:13" s="1016" customFormat="1" ht="25.2" hidden="1" customHeight="1">
      <c r="A2090" s="1086">
        <f t="shared" si="85"/>
        <v>0</v>
      </c>
      <c r="B2090" s="1226" t="s">
        <v>4757</v>
      </c>
      <c r="C2090" s="2841"/>
      <c r="D2090" s="1023"/>
      <c r="E2090" s="1012">
        <f>VLOOKUP($B2090,DG!A:D,DG!$B$2,)</f>
        <v>0</v>
      </c>
      <c r="F2090" s="1013" t="str">
        <f>VLOOKUP($B2090,DG!A:D,DG!$C$2,)</f>
        <v>Cáp đồng bọc CV240</v>
      </c>
      <c r="G2090" s="1012" t="str">
        <f>VLOOKUP($B2090,DG!A:D,DG!$D$2,)</f>
        <v>mét</v>
      </c>
      <c r="H2090" s="1713">
        <f>2*8*3*H2088</f>
        <v>48</v>
      </c>
      <c r="I2090" s="1192">
        <f t="shared" si="84"/>
        <v>0</v>
      </c>
      <c r="J2090" s="1014"/>
      <c r="K2090" s="1014"/>
      <c r="L2090" s="1043"/>
      <c r="M2090" s="934">
        <v>560</v>
      </c>
    </row>
    <row r="2091" spans="1:13" s="1016" customFormat="1" ht="25.2" hidden="1" customHeight="1">
      <c r="A2091" s="1086">
        <f t="shared" si="85"/>
        <v>0</v>
      </c>
      <c r="B2091" s="1226" t="s">
        <v>4787</v>
      </c>
      <c r="C2091" s="2841"/>
      <c r="D2091" s="1023"/>
      <c r="E2091" s="1012">
        <f>VLOOKUP($B2091,DG!A:D,DG!$B$2,)</f>
        <v>0</v>
      </c>
      <c r="F2091" s="1013" t="str">
        <f>VLOOKUP($B2091,DG!A:D,DG!$C$2,)</f>
        <v>Cáp đồng bọc CV200</v>
      </c>
      <c r="G2091" s="1012" t="str">
        <f>VLOOKUP($B2091,DG!A:D,DG!$D$2,)</f>
        <v>mét</v>
      </c>
      <c r="H2091" s="1713">
        <v>9</v>
      </c>
      <c r="I2091" s="1192">
        <f t="shared" si="84"/>
        <v>0</v>
      </c>
      <c r="J2091" s="1014"/>
      <c r="K2091" s="1014"/>
      <c r="L2091" s="1043"/>
      <c r="M2091" s="934">
        <v>560</v>
      </c>
    </row>
    <row r="2092" spans="1:13" s="1016" customFormat="1" ht="25.2" hidden="1" customHeight="1">
      <c r="A2092" s="1086">
        <f t="shared" si="85"/>
        <v>0</v>
      </c>
      <c r="B2092" s="1226" t="s">
        <v>508</v>
      </c>
      <c r="C2092" s="2841"/>
      <c r="D2092" s="1023"/>
      <c r="E2092" s="1012">
        <f>VLOOKUP($B2092,DG!A:D,DG!$B$2,)</f>
        <v>0</v>
      </c>
      <c r="F2092" s="1013" t="str">
        <f>VLOOKUP($B2092,DG!A:D,DG!$C$2,)</f>
        <v>Cáp đồng bọc CV250</v>
      </c>
      <c r="G2092" s="1012" t="str">
        <f>VLOOKUP($B2092,DG!A:D,DG!$D$2,)</f>
        <v>mét</v>
      </c>
      <c r="H2092" s="1713"/>
      <c r="I2092" s="1192">
        <f t="shared" si="84"/>
        <v>0</v>
      </c>
      <c r="J2092" s="1014"/>
      <c r="K2092" s="1014"/>
      <c r="L2092" s="1043"/>
      <c r="M2092" s="934">
        <v>560</v>
      </c>
    </row>
    <row r="2093" spans="1:13" s="1016" customFormat="1" ht="25.2" hidden="1" customHeight="1">
      <c r="A2093" s="1086">
        <f t="shared" si="85"/>
        <v>0</v>
      </c>
      <c r="B2093" s="1226" t="s">
        <v>237</v>
      </c>
      <c r="C2093" s="2841"/>
      <c r="D2093" s="1023"/>
      <c r="E2093" s="1012">
        <f>VLOOKUP($B2093,DG!A:D,DG!$B$2,)</f>
        <v>0</v>
      </c>
      <c r="F2093" s="1013" t="str">
        <f>VLOOKUP($B2093,DG!A:D,DG!$C$2,)</f>
        <v>Cáp đồng bọc CV70</v>
      </c>
      <c r="G2093" s="1012" t="str">
        <f>VLOOKUP($B2093,DG!A:D,DG!$D$2,)</f>
        <v>mét</v>
      </c>
      <c r="H2093" s="1713"/>
      <c r="I2093" s="1192">
        <f t="shared" si="84"/>
        <v>0</v>
      </c>
      <c r="J2093" s="1014"/>
      <c r="K2093" s="1014"/>
      <c r="L2093" s="1043"/>
      <c r="M2093" s="934">
        <v>560</v>
      </c>
    </row>
    <row r="2094" spans="1:13" s="1016" customFormat="1" ht="25.2" hidden="1" customHeight="1">
      <c r="A2094" s="1086">
        <f t="shared" si="85"/>
        <v>0</v>
      </c>
      <c r="B2094" s="1226" t="s">
        <v>2156</v>
      </c>
      <c r="C2094" s="2841"/>
      <c r="D2094" s="1023"/>
      <c r="E2094" s="1012" t="str">
        <f>VLOOKUP($B2094,DG!A:D,DG!$B$2,)</f>
        <v>03.4008</v>
      </c>
      <c r="F2094" s="1013" t="str">
        <f>VLOOKUP($B2094,DG!A:D,DG!$C$2,)&amp;": "</f>
        <v xml:space="preserve">Đầu cosse ép Cu 240mm2: </v>
      </c>
      <c r="G2094" s="1012" t="str">
        <f>VLOOKUP($B2094,DG!A:D,DG!$D$2,)</f>
        <v>cái</v>
      </c>
      <c r="H2094" s="1713">
        <v>8</v>
      </c>
      <c r="I2094" s="1192">
        <f t="shared" si="84"/>
        <v>0</v>
      </c>
      <c r="J2094" s="1014"/>
      <c r="K2094" s="1014"/>
      <c r="L2094" s="1043"/>
      <c r="M2094" s="934">
        <v>560</v>
      </c>
    </row>
    <row r="2095" spans="1:13" s="1016" customFormat="1" ht="25.2" hidden="1" customHeight="1">
      <c r="A2095" s="1086">
        <f t="shared" si="85"/>
        <v>0</v>
      </c>
      <c r="B2095" s="1226" t="s">
        <v>447</v>
      </c>
      <c r="C2095" s="2841"/>
      <c r="D2095" s="1023"/>
      <c r="E2095" s="1012" t="str">
        <f>VLOOKUP($B2095,DG!A:D,DG!$B$2,)</f>
        <v>03.4008</v>
      </c>
      <c r="F2095" s="1013" t="str">
        <f>VLOOKUP($B2095,DG!A:D,DG!$C$2,)&amp;": "</f>
        <v xml:space="preserve">Đầu cosse ép Cu 200mm2: </v>
      </c>
      <c r="G2095" s="1012" t="str">
        <f>VLOOKUP($B2095,DG!A:D,DG!$D$2,)</f>
        <v>cái</v>
      </c>
      <c r="H2095" s="1713">
        <v>2</v>
      </c>
      <c r="I2095" s="1192">
        <f t="shared" si="84"/>
        <v>0</v>
      </c>
      <c r="J2095" s="1014"/>
      <c r="K2095" s="1014"/>
      <c r="L2095" s="1043"/>
      <c r="M2095" s="934">
        <v>560</v>
      </c>
    </row>
    <row r="2096" spans="1:13" s="1016" customFormat="1" ht="25.2" hidden="1" customHeight="1">
      <c r="A2096" s="1086">
        <f t="shared" si="85"/>
        <v>0</v>
      </c>
      <c r="B2096" s="1226" t="s">
        <v>1303</v>
      </c>
      <c r="C2096" s="2841"/>
      <c r="D2096" s="1023"/>
      <c r="E2096" s="1012" t="str">
        <f>VLOOKUP($B2096,DG!A:D,DG!$B$2,)</f>
        <v>03.4003</v>
      </c>
      <c r="F2096" s="1013" t="str">
        <f>VLOOKUP($B2096,DG!A:D,DG!$C$2,)&amp;": "</f>
        <v xml:space="preserve">Đầu cosse ép Cu 70mm2: </v>
      </c>
      <c r="G2096" s="1012" t="str">
        <f>VLOOKUP($B2096,DG!A:D,DG!$D$2,)</f>
        <v>cái</v>
      </c>
      <c r="H2096" s="1713"/>
      <c r="I2096" s="1192">
        <f t="shared" si="84"/>
        <v>0</v>
      </c>
      <c r="J2096" s="1014"/>
      <c r="K2096" s="1014"/>
      <c r="L2096" s="1043"/>
      <c r="M2096" s="934">
        <v>560</v>
      </c>
    </row>
    <row r="2097" spans="1:13" s="1016" customFormat="1" ht="25.2" hidden="1" customHeight="1">
      <c r="A2097" s="1086">
        <f t="shared" si="85"/>
        <v>0</v>
      </c>
      <c r="B2097" s="1226" t="s">
        <v>90</v>
      </c>
      <c r="C2097" s="2841"/>
      <c r="D2097" s="1023"/>
      <c r="E2097" s="1012">
        <f>VLOOKUP($B2097,DG!A:D,DG!$B$2,)</f>
        <v>0</v>
      </c>
      <c r="F2097" s="1013" t="str">
        <f>VLOOKUP($B2097,DG!A:D,DG!$C$2,)&amp;": "</f>
        <v xml:space="preserve">Chụp đầu cosse  240mm2: </v>
      </c>
      <c r="G2097" s="1012" t="str">
        <f>VLOOKUP($B2097,DG!A:D,DG!$D$2,)</f>
        <v>cái</v>
      </c>
      <c r="H2097" s="1713">
        <f>H2094</f>
        <v>8</v>
      </c>
      <c r="I2097" s="1192">
        <f t="shared" si="84"/>
        <v>0</v>
      </c>
      <c r="J2097" s="1014"/>
      <c r="K2097" s="1014"/>
      <c r="L2097" s="1043"/>
      <c r="M2097" s="934">
        <v>560</v>
      </c>
    </row>
    <row r="2098" spans="1:13" s="1016" customFormat="1" ht="25.2" hidden="1" customHeight="1">
      <c r="A2098" s="1086">
        <f t="shared" si="85"/>
        <v>0</v>
      </c>
      <c r="B2098" s="1226" t="s">
        <v>610</v>
      </c>
      <c r="C2098" s="2841"/>
      <c r="D2098" s="1023"/>
      <c r="E2098" s="1012">
        <f>VLOOKUP($B2098,DG!A:D,DG!$B$2,)</f>
        <v>0</v>
      </c>
      <c r="F2098" s="1013" t="str">
        <f>VLOOKUP($B2098,DG!A:D,DG!$C$2,)&amp;": "</f>
        <v xml:space="preserve">Chụp đầu cosse  200mm2: </v>
      </c>
      <c r="G2098" s="1012" t="str">
        <f>VLOOKUP($B2098,DG!A:D,DG!$D$2,)</f>
        <v>cái</v>
      </c>
      <c r="H2098" s="1713">
        <v>2</v>
      </c>
      <c r="I2098" s="1192">
        <f t="shared" si="84"/>
        <v>0</v>
      </c>
      <c r="J2098" s="1014"/>
      <c r="K2098" s="1014"/>
      <c r="L2098" s="1043"/>
      <c r="M2098" s="934">
        <v>560</v>
      </c>
    </row>
    <row r="2099" spans="1:13" s="1016" customFormat="1" ht="25.2" hidden="1" customHeight="1">
      <c r="A2099" s="1086">
        <f t="shared" si="85"/>
        <v>0</v>
      </c>
      <c r="B2099" s="1226" t="s">
        <v>611</v>
      </c>
      <c r="C2099" s="2841"/>
      <c r="D2099" s="1023"/>
      <c r="E2099" s="1012">
        <f>VLOOKUP($B2099,DG!A:D,DG!$B$2,)</f>
        <v>0</v>
      </c>
      <c r="F2099" s="1013" t="str">
        <f>VLOOKUP($B2099,DG!A:D,DG!$C$2,)&amp;": "</f>
        <v xml:space="preserve">Chụp đầu cosse  70mm2: </v>
      </c>
      <c r="G2099" s="1012" t="str">
        <f>VLOOKUP($B2099,DG!A:D,DG!$D$2,)</f>
        <v>cái</v>
      </c>
      <c r="H2099" s="1713">
        <f>H2096</f>
        <v>0</v>
      </c>
      <c r="I2099" s="1192">
        <f t="shared" si="84"/>
        <v>0</v>
      </c>
      <c r="J2099" s="1014"/>
      <c r="K2099" s="1014"/>
      <c r="L2099" s="1043"/>
      <c r="M2099" s="934">
        <v>560</v>
      </c>
    </row>
    <row r="2100" spans="1:13" s="1016" customFormat="1" ht="25.2" hidden="1" customHeight="1">
      <c r="A2100" s="1086">
        <f t="shared" si="85"/>
        <v>0</v>
      </c>
      <c r="B2100" s="1226" t="s">
        <v>1042</v>
      </c>
      <c r="C2100" s="2841"/>
      <c r="D2100" s="1023"/>
      <c r="E2100" s="1012">
        <f>VLOOKUP($B2100,DG!A:D,DG!$B$2,)</f>
        <v>0</v>
      </c>
      <c r="F2100" s="1013" t="str">
        <f>VLOOKUP($B2100,DG!A:D,DG!$C$2,)&amp;" : cho caùp xuaát töø MBA-tuû MCCB"</f>
        <v>Ống PVC D114x4,9mm  : cho caùp xuaát töø MBA-tuû MCCB</v>
      </c>
      <c r="G2100" s="1012" t="str">
        <f>VLOOKUP($B2100,DG!A:D,DG!$D$2,)</f>
        <v>m</v>
      </c>
      <c r="H2100" s="1749"/>
      <c r="I2100" s="1192">
        <f t="shared" si="84"/>
        <v>0</v>
      </c>
      <c r="J2100" s="1014"/>
      <c r="K2100" s="1014"/>
      <c r="L2100" s="1043"/>
      <c r="M2100" s="934">
        <v>560</v>
      </c>
    </row>
    <row r="2101" spans="1:13" s="1016" customFormat="1" ht="25.2" hidden="1" customHeight="1">
      <c r="A2101" s="1086">
        <f t="shared" si="85"/>
        <v>0</v>
      </c>
      <c r="B2101" s="1226" t="s">
        <v>1042</v>
      </c>
      <c r="C2101" s="2841"/>
      <c r="D2101" s="1023"/>
      <c r="E2101" s="1012">
        <f>VLOOKUP($B2101,DG!A:D,DG!$B$2,)</f>
        <v>0</v>
      </c>
      <c r="F2101" s="1013" t="str">
        <f>VLOOKUP($B2101,DG!A:D,DG!$C$2,)&amp;" : cho caùp xuaát töø tuû MCCB vaùo nhaø xöôûng"</f>
        <v>Ống PVC D114x4,9mm  : cho caùp xuaát töø tuû MCCB vaùo nhaø xöôûng</v>
      </c>
      <c r="G2101" s="1012" t="str">
        <f>VLOOKUP($B2101,DG!A:D,DG!$D$2,)</f>
        <v>m</v>
      </c>
      <c r="H2101" s="1713"/>
      <c r="I2101" s="1192">
        <f t="shared" si="84"/>
        <v>0</v>
      </c>
      <c r="J2101" s="1014"/>
      <c r="K2101" s="1014"/>
      <c r="L2101" s="1043"/>
      <c r="M2101" s="934">
        <v>560</v>
      </c>
    </row>
    <row r="2102" spans="1:13" s="1016" customFormat="1" ht="25.2" hidden="1" customHeight="1">
      <c r="A2102" s="1086">
        <f t="shared" si="85"/>
        <v>0</v>
      </c>
      <c r="B2102" s="1226" t="s">
        <v>282</v>
      </c>
      <c r="C2102" s="2841"/>
      <c r="D2102" s="1023"/>
      <c r="E2102" s="1012" t="str">
        <f>VLOOKUP($B2102,DG!A:D,DG!$B$2,)</f>
        <v>04.8003</v>
      </c>
      <c r="F2102" s="1013" t="str">
        <f>VLOOKUP($B2102,DG!A:D,DG!$C$2,)&amp;" : cho caùp xuaát töø tuû MCCB vaùo tuû buø"</f>
        <v>Ống PVC D90x3,8mm  : cho caùp xuaát töø tuû MCCB vaùo tuû buø</v>
      </c>
      <c r="G2102" s="1012" t="str">
        <f>VLOOKUP($B2102,DG!A:D,DG!$D$2,)</f>
        <v>m</v>
      </c>
      <c r="H2102" s="1713">
        <f>1*H2088*0</f>
        <v>0</v>
      </c>
      <c r="I2102" s="1192">
        <f t="shared" si="84"/>
        <v>0</v>
      </c>
      <c r="J2102" s="1014"/>
      <c r="K2102" s="1014"/>
      <c r="L2102" s="1043"/>
      <c r="M2102" s="934">
        <v>560</v>
      </c>
    </row>
    <row r="2103" spans="1:13" s="1016" customFormat="1" ht="25.2" hidden="1" customHeight="1">
      <c r="A2103" s="1086">
        <f t="shared" si="85"/>
        <v>0</v>
      </c>
      <c r="B2103" s="1087" t="s">
        <v>6270</v>
      </c>
      <c r="C2103" s="2842"/>
      <c r="D2103" s="1023"/>
      <c r="E2103" s="1012" t="str">
        <f>VLOOKUP($B2103,DG!A:D,DG!$B$2,)</f>
        <v>06.3231</v>
      </c>
      <c r="F2103" s="1013" t="str">
        <f>VLOOKUP($B2103,DG!A:D,DG!$C$2,)&amp;": CD-250"</f>
        <v>Cổ dê kẹp ống PVC Ø 114: CD-250</v>
      </c>
      <c r="G2103" s="1012" t="str">
        <f>VLOOKUP($B2103,DG!A:D,DG!$D$2,)</f>
        <v>bộ</v>
      </c>
      <c r="H2103" s="1713">
        <v>2</v>
      </c>
      <c r="I2103" s="1192">
        <f t="shared" si="84"/>
        <v>0</v>
      </c>
      <c r="J2103" s="1014"/>
      <c r="K2103" s="1014"/>
      <c r="L2103" s="1043"/>
      <c r="M2103" s="934">
        <v>560</v>
      </c>
    </row>
    <row r="2104" spans="1:13" s="1016" customFormat="1" ht="25.2" hidden="1" customHeight="1">
      <c r="A2104" s="1086">
        <f t="shared" si="85"/>
        <v>0</v>
      </c>
      <c r="B2104" s="1087" t="s">
        <v>731</v>
      </c>
      <c r="C2104" s="2842"/>
      <c r="D2104" s="1023"/>
      <c r="E2104" s="1012" t="str">
        <f>VLOOKUP($B2104,DG!A:D,DG!$B$2,)</f>
        <v>06.3231</v>
      </c>
      <c r="F2104" s="1013" t="str">
        <f>VLOOKUP($B2104,DG!A:D,DG!$C$2,)&amp;": CD-320"</f>
        <v>Cổ dê kẹp ống PVC Ø 114: CD-320</v>
      </c>
      <c r="G2104" s="1012" t="str">
        <f>VLOOKUP($B2104,DG!A:D,DG!$D$2,)</f>
        <v>bộ</v>
      </c>
      <c r="H2104" s="1713">
        <v>1</v>
      </c>
      <c r="I2104" s="1192">
        <f t="shared" si="84"/>
        <v>0</v>
      </c>
      <c r="J2104" s="1014"/>
      <c r="K2104" s="1014"/>
      <c r="L2104" s="1043"/>
      <c r="M2104" s="934">
        <v>560</v>
      </c>
    </row>
    <row r="2105" spans="1:13" s="1016" customFormat="1" ht="25.2" hidden="1" customHeight="1">
      <c r="A2105" s="1086">
        <f t="shared" si="85"/>
        <v>0</v>
      </c>
      <c r="B2105" s="1087" t="s">
        <v>1131</v>
      </c>
      <c r="C2105" s="2842"/>
      <c r="D2105" s="1023"/>
      <c r="E2105" s="1012" t="str">
        <f>VLOOKUP($B2105,DG!A:D,DG!$B$2,)</f>
        <v>06.2110</v>
      </c>
      <c r="F2105" s="1013" t="str">
        <f>VLOOKUP($B2105,DG!A:D,DG!$C$2,)</f>
        <v>Lắp cổ dê</v>
      </c>
      <c r="G2105" s="1012" t="str">
        <f>VLOOKUP($B2105,DG!A:D,DG!$D$2,)</f>
        <v>bộ</v>
      </c>
      <c r="H2105" s="1713">
        <v>3</v>
      </c>
      <c r="I2105" s="1192">
        <f t="shared" si="84"/>
        <v>0</v>
      </c>
      <c r="J2105" s="1014"/>
      <c r="K2105" s="1014"/>
      <c r="L2105" s="1043"/>
      <c r="M2105" s="934">
        <v>560</v>
      </c>
    </row>
    <row r="2106" spans="1:13" s="1016" customFormat="1" ht="25.2" hidden="1" customHeight="1">
      <c r="A2106" s="1086">
        <f t="shared" si="85"/>
        <v>0</v>
      </c>
      <c r="B2106" s="1246" t="s">
        <v>138</v>
      </c>
      <c r="C2106" s="2848"/>
      <c r="D2106" s="1023"/>
      <c r="E2106" s="1012">
        <f>VLOOKUP($B2106,DG!A:D,DG!$B$2,)</f>
        <v>0</v>
      </c>
      <c r="F2106" s="1013" t="str">
        <f>VLOOKUP($B2106,DG!A:D,DG!$C$2,)</f>
        <v>Boulon 12x40+ 2 long đền vuông D14-50x50x3/Zn</v>
      </c>
      <c r="G2106" s="1012" t="str">
        <f>VLOOKUP($B2106,DG!A:D,DG!$D$2,)</f>
        <v>bộ</v>
      </c>
      <c r="H2106" s="1713"/>
      <c r="I2106" s="1192">
        <f t="shared" si="84"/>
        <v>0</v>
      </c>
      <c r="J2106" s="1014"/>
      <c r="K2106" s="1014"/>
      <c r="L2106" s="1043"/>
      <c r="M2106" s="934">
        <v>560</v>
      </c>
    </row>
    <row r="2107" spans="1:13" s="1016" customFormat="1" ht="25.2" hidden="1" customHeight="1">
      <c r="A2107" s="1086">
        <f t="shared" si="85"/>
        <v>0</v>
      </c>
      <c r="B2107" s="1246" t="s">
        <v>1350</v>
      </c>
      <c r="C2107" s="2848"/>
      <c r="D2107" s="1023"/>
      <c r="E2107" s="1012">
        <f>VLOOKUP($B2107,DG!A:D,DG!$B$2,)</f>
        <v>0</v>
      </c>
      <c r="F2107" s="1013" t="str">
        <f>VLOOKUP($B2107,DG!A:D,DG!$C$2,)</f>
        <v>Boulon 12x60+ 2 long đền vuông D14-50x50x3/Zn</v>
      </c>
      <c r="G2107" s="1012" t="str">
        <f>VLOOKUP($B2107,DG!A:D,DG!$D$2,)</f>
        <v>bộ</v>
      </c>
      <c r="H2107" s="1713"/>
      <c r="I2107" s="1192">
        <f t="shared" si="84"/>
        <v>0</v>
      </c>
      <c r="J2107" s="1014"/>
      <c r="K2107" s="1014"/>
      <c r="L2107" s="1043"/>
      <c r="M2107" s="934">
        <v>560</v>
      </c>
    </row>
    <row r="2108" spans="1:13" s="1016" customFormat="1" ht="25.2" hidden="1" customHeight="1">
      <c r="A2108" s="1086">
        <f t="shared" si="85"/>
        <v>0</v>
      </c>
      <c r="B2108" s="1226" t="s">
        <v>2167</v>
      </c>
      <c r="C2108" s="2841"/>
      <c r="D2108" s="1023"/>
      <c r="E2108" s="1012">
        <f>VLOOKUP($B2108,DG!A:D,DG!$B$2,)</f>
        <v>0</v>
      </c>
      <c r="F2108" s="1013" t="str">
        <f>VLOOKUP($B2108,DG!A:D,DG!$C$2,)</f>
        <v>Khâu ven răng trong D114</v>
      </c>
      <c r="G2108" s="1012" t="str">
        <f>VLOOKUP($B2108,DG!A:D,DG!$D$2,)</f>
        <v>cái</v>
      </c>
      <c r="H2108" s="1713">
        <f>H2088*2</f>
        <v>2</v>
      </c>
      <c r="I2108" s="1192">
        <f t="shared" si="84"/>
        <v>0</v>
      </c>
      <c r="J2108" s="1014"/>
      <c r="K2108" s="1014"/>
      <c r="L2108" s="1043"/>
      <c r="M2108" s="934">
        <v>560</v>
      </c>
    </row>
    <row r="2109" spans="1:13" s="1016" customFormat="1" ht="25.2" hidden="1" customHeight="1">
      <c r="A2109" s="1086">
        <f t="shared" si="85"/>
        <v>0</v>
      </c>
      <c r="B2109" s="1226" t="s">
        <v>2168</v>
      </c>
      <c r="C2109" s="2841"/>
      <c r="D2109" s="1023"/>
      <c r="E2109" s="1012">
        <f>VLOOKUP($B2109,DG!A:D,DG!$B$2,)</f>
        <v>0</v>
      </c>
      <c r="F2109" s="1013" t="str">
        <f>VLOOKUP($B2109,DG!A:D,DG!$C$2,)&amp;": "</f>
        <v xml:space="preserve">Khâu ven răng ngoài D114: </v>
      </c>
      <c r="G2109" s="1012" t="str">
        <f>VLOOKUP($B2109,DG!A:D,DG!$D$2,)</f>
        <v>cái</v>
      </c>
      <c r="H2109" s="1713">
        <f>H2108</f>
        <v>2</v>
      </c>
      <c r="I2109" s="1192">
        <f t="shared" si="84"/>
        <v>0</v>
      </c>
      <c r="J2109" s="1014"/>
      <c r="K2109" s="1014"/>
      <c r="L2109" s="1043"/>
      <c r="M2109" s="934">
        <v>560</v>
      </c>
    </row>
    <row r="2110" spans="1:13" s="1016" customFormat="1" ht="25.2" hidden="1" customHeight="1">
      <c r="A2110" s="1086">
        <f t="shared" si="85"/>
        <v>0</v>
      </c>
      <c r="B2110" s="1226" t="s">
        <v>2074</v>
      </c>
      <c r="C2110" s="2841"/>
      <c r="D2110" s="1023"/>
      <c r="E2110" s="1012">
        <f>VLOOKUP($B2110,DG!A:D,DG!$B$2,)</f>
        <v>0</v>
      </c>
      <c r="F2110" s="1013" t="str">
        <f>VLOOKUP($B2110,DG!A:D,DG!$C$2,)&amp;": "</f>
        <v xml:space="preserve">Keo dán ống PVC (100gr): </v>
      </c>
      <c r="G2110" s="1012" t="str">
        <f>VLOOKUP($B2110,DG!A:D,DG!$D$2,)</f>
        <v>tuýp</v>
      </c>
      <c r="H2110" s="1713">
        <v>1</v>
      </c>
      <c r="I2110" s="1192">
        <f t="shared" ref="I2110:I2173" si="88">IF(M2110=$M$23,H2110+J2110-K2110,0)</f>
        <v>0</v>
      </c>
      <c r="J2110" s="1014"/>
      <c r="K2110" s="1014"/>
      <c r="L2110" s="1043"/>
      <c r="M2110" s="934">
        <v>560</v>
      </c>
    </row>
    <row r="2111" spans="1:13" s="1016" customFormat="1" ht="25.2" hidden="1" customHeight="1">
      <c r="A2111" s="1086">
        <f t="shared" si="85"/>
        <v>0</v>
      </c>
      <c r="B2111" s="1087" t="s">
        <v>6</v>
      </c>
      <c r="C2111" s="2842"/>
      <c r="D2111" s="1023"/>
      <c r="E2111" s="1012"/>
      <c r="F2111" s="1013" t="str">
        <f>VLOOKUP($B2111,DG!A:D,DG!$C$2,)&amp;":"</f>
        <v>Keo silicon bít miệng ống:</v>
      </c>
      <c r="G2111" s="1012" t="str">
        <f>VLOOKUP($B2111,DG!A:D,DG!$D$2,)</f>
        <v>ống</v>
      </c>
      <c r="H2111" s="1713">
        <f>H2088*2</f>
        <v>2</v>
      </c>
      <c r="I2111" s="1192">
        <f t="shared" si="88"/>
        <v>0</v>
      </c>
      <c r="J2111" s="1014"/>
      <c r="K2111" s="1014"/>
      <c r="L2111" s="1015"/>
      <c r="M2111" s="934">
        <v>560</v>
      </c>
    </row>
    <row r="2112" spans="1:13" s="1016" customFormat="1" ht="25.2" hidden="1" customHeight="1">
      <c r="A2112" s="1086">
        <f t="shared" si="85"/>
        <v>0</v>
      </c>
      <c r="B2112" s="1087" t="s">
        <v>672</v>
      </c>
      <c r="C2112" s="2842"/>
      <c r="D2112" s="1023"/>
      <c r="E2112" s="1012">
        <f>VLOOKUP($B2112,DG!A:D,DG!$B$2,)</f>
        <v>0</v>
      </c>
      <c r="F2112" s="1013" t="str">
        <f>VLOOKUP($B2112,DG!A:D,DG!$C$2,)&amp;":"</f>
        <v>Băng keo cách điện:</v>
      </c>
      <c r="G2112" s="1012" t="str">
        <f>VLOOKUP($B2112,DG!A:D,DG!$D$2,)</f>
        <v>cuộn</v>
      </c>
      <c r="H2112" s="1713">
        <f>H2088*2</f>
        <v>2</v>
      </c>
      <c r="I2112" s="1192">
        <f t="shared" si="88"/>
        <v>0</v>
      </c>
      <c r="J2112" s="1014"/>
      <c r="K2112" s="1014"/>
      <c r="L2112" s="1043"/>
      <c r="M2112" s="934">
        <v>560</v>
      </c>
    </row>
    <row r="2113" spans="1:13" s="1016" customFormat="1" ht="25.2" hidden="1" customHeight="1">
      <c r="A2113" s="1086">
        <f t="shared" si="85"/>
        <v>0</v>
      </c>
      <c r="B2113" s="1087" t="s">
        <v>247</v>
      </c>
      <c r="C2113" s="2842"/>
      <c r="D2113" s="1023"/>
      <c r="E2113" s="1012" t="str">
        <f>VLOOKUP($B2113,DG!A:D,DG!$B$2,)</f>
        <v>04.4203</v>
      </c>
      <c r="F2113" s="1013" t="str">
        <f>VLOOKUP($B2113,DG!A:D,DG!$C$2,)&amp;":"</f>
        <v>Lắp cáp đồng xuống thiết bị D &gt; 150mm2:</v>
      </c>
      <c r="G2113" s="1012" t="str">
        <f>VLOOKUP($B2113,DG!A:D,DG!$D$2,)</f>
        <v>m</v>
      </c>
      <c r="H2113" s="1713">
        <f>H2090+H2091+H2092</f>
        <v>57</v>
      </c>
      <c r="I2113" s="1192">
        <f t="shared" si="88"/>
        <v>0</v>
      </c>
      <c r="J2113" s="1014"/>
      <c r="K2113" s="1014"/>
      <c r="L2113" s="1043"/>
      <c r="M2113" s="934">
        <v>560</v>
      </c>
    </row>
    <row r="2114" spans="1:13" s="1016" customFormat="1" ht="25.2" hidden="1" customHeight="1">
      <c r="A2114" s="1086">
        <f t="shared" si="85"/>
        <v>0</v>
      </c>
      <c r="B2114" s="1087" t="s">
        <v>2006</v>
      </c>
      <c r="C2114" s="2842"/>
      <c r="D2114" s="1023"/>
      <c r="E2114" s="1012" t="str">
        <f>VLOOKUP($B2114,DG!A:D,DG!$B$2,)</f>
        <v>04.4202</v>
      </c>
      <c r="F2114" s="1013" t="str">
        <f>VLOOKUP($B2114,DG!A:D,DG!$C$2,)&amp;":"</f>
        <v>Lắp cáp đồng xuống thiết bị D ≤ 150mm2:</v>
      </c>
      <c r="G2114" s="1012" t="str">
        <f>VLOOKUP($B2114,DG!A:D,DG!$D$2,)</f>
        <v>m</v>
      </c>
      <c r="H2114" s="1713">
        <f>+H2093</f>
        <v>0</v>
      </c>
      <c r="I2114" s="1192">
        <f t="shared" si="88"/>
        <v>0</v>
      </c>
      <c r="J2114" s="1014"/>
      <c r="K2114" s="1014"/>
      <c r="L2114" s="1043"/>
      <c r="M2114" s="934">
        <v>560</v>
      </c>
    </row>
    <row r="2115" spans="1:13" s="1016" customFormat="1" ht="25.2" hidden="1" customHeight="1">
      <c r="A2115" s="1086">
        <f t="shared" si="85"/>
        <v>0</v>
      </c>
      <c r="B2115" s="1087" t="s">
        <v>1219</v>
      </c>
      <c r="C2115" s="2842"/>
      <c r="D2115" s="1023"/>
      <c r="E2115" s="1012" t="str">
        <f>VLOOKUP($B2115,DG!A:D,DG!$B$2,)</f>
        <v>06.3191</v>
      </c>
      <c r="F2115" s="1013" t="str">
        <f>VLOOKUP($B2115,DG!A:D,DG!$C$2,)&amp;":"</f>
        <v>Bảng tên trạm, bảng báo nguy hiểm + đinh vít:</v>
      </c>
      <c r="G2115" s="1012" t="str">
        <f>VLOOKUP($B2115,DG!A:D,DG!$D$2,)</f>
        <v>bộ</v>
      </c>
      <c r="H2115" s="1713"/>
      <c r="I2115" s="1192">
        <f t="shared" si="88"/>
        <v>0</v>
      </c>
      <c r="J2115" s="1014"/>
      <c r="K2115" s="1014"/>
      <c r="L2115" s="1043"/>
      <c r="M2115" s="934">
        <v>560</v>
      </c>
    </row>
    <row r="2116" spans="1:13" s="1016" customFormat="1" ht="25.2" hidden="1" customHeight="1">
      <c r="A2116" s="1086">
        <f t="shared" si="85"/>
        <v>0</v>
      </c>
      <c r="B2116" s="1087"/>
      <c r="C2116" s="2842"/>
      <c r="D2116" s="1017">
        <f>IF(H2116&gt;0,D2088+1,D2088)</f>
        <v>7</v>
      </c>
      <c r="E2116" s="1018"/>
      <c r="F2116" s="1027" t="s">
        <v>3729</v>
      </c>
      <c r="G2116" s="1017" t="s">
        <v>2385</v>
      </c>
      <c r="H2116" s="1743"/>
      <c r="I2116" s="1192">
        <f t="shared" si="88"/>
        <v>0</v>
      </c>
      <c r="J2116" s="1014"/>
      <c r="K2116" s="1014"/>
      <c r="L2116" s="1043"/>
      <c r="M2116" s="934">
        <v>560</v>
      </c>
    </row>
    <row r="2117" spans="1:13" s="1067" customFormat="1" ht="25.2" hidden="1" customHeight="1">
      <c r="A2117" s="1086">
        <f t="shared" si="85"/>
        <v>0</v>
      </c>
      <c r="B2117" s="1257"/>
      <c r="C2117" s="2859"/>
      <c r="D2117" s="1011"/>
      <c r="E2117" s="1021"/>
      <c r="F2117" s="1268" t="s">
        <v>2279</v>
      </c>
      <c r="G2117" s="1011"/>
      <c r="H2117" s="1723"/>
      <c r="I2117" s="1192">
        <f t="shared" si="88"/>
        <v>0</v>
      </c>
      <c r="J2117" s="1014"/>
      <c r="K2117" s="1014"/>
      <c r="L2117" s="1043"/>
      <c r="M2117" s="934">
        <v>560</v>
      </c>
    </row>
    <row r="2118" spans="1:13" s="1016" customFormat="1" ht="25.2" hidden="1" customHeight="1">
      <c r="A2118" s="1086">
        <f t="shared" si="85"/>
        <v>0</v>
      </c>
      <c r="B2118" s="1226" t="s">
        <v>1822</v>
      </c>
      <c r="C2118" s="2841"/>
      <c r="D2118" s="1043"/>
      <c r="E2118" s="1012" t="str">
        <f>VLOOKUP($B2118,DG!A:D,DG!$B$2,)</f>
        <v>03.1401</v>
      </c>
      <c r="F2118" s="1041" t="str">
        <f>VLOOKUP($B2118,DG!A:D,DG!$C$2,)</f>
        <v xml:space="preserve">Cáp CVV 4x2,5mm2  </v>
      </c>
      <c r="G2118" s="1068" t="str">
        <f>VLOOKUP($B2118,DG!A:D,DG!$D$2,)</f>
        <v>mét</v>
      </c>
      <c r="H2118" s="1713">
        <f>H2116*26</f>
        <v>0</v>
      </c>
      <c r="I2118" s="1192">
        <f t="shared" si="88"/>
        <v>0</v>
      </c>
      <c r="J2118" s="1064"/>
      <c r="K2118" s="1064"/>
      <c r="L2118" s="1043"/>
      <c r="M2118" s="934">
        <v>560</v>
      </c>
    </row>
    <row r="2119" spans="1:13" s="1016" customFormat="1" ht="25.2" hidden="1" customHeight="1">
      <c r="A2119" s="1086">
        <f t="shared" si="85"/>
        <v>0</v>
      </c>
      <c r="B2119" s="1226" t="s">
        <v>246</v>
      </c>
      <c r="C2119" s="2841"/>
      <c r="D2119" s="1043"/>
      <c r="E2119" s="1012" t="str">
        <f>VLOOKUP($B2119,DG!A:D,DG!$B$2,)</f>
        <v>05.6101</v>
      </c>
      <c r="F2119" s="1041" t="str">
        <f>VLOOKUP($B2119,DG!A:D,DG!$C$2,)</f>
        <v>Xà kẹp TU, TI U50x32x4 350</v>
      </c>
      <c r="G2119" s="1068" t="str">
        <f>VLOOKUP($B2119,DG!A:D,DG!$D$2,)</f>
        <v>Bộ</v>
      </c>
      <c r="H2119" s="1713">
        <f>H2116*12</f>
        <v>0</v>
      </c>
      <c r="I2119" s="1192">
        <f t="shared" si="88"/>
        <v>0</v>
      </c>
      <c r="J2119" s="1064"/>
      <c r="K2119" s="1064"/>
      <c r="L2119" s="1043"/>
      <c r="M2119" s="934">
        <v>560</v>
      </c>
    </row>
    <row r="2120" spans="1:13" s="1016" customFormat="1" ht="25.2" hidden="1" customHeight="1">
      <c r="A2120" s="1086">
        <f t="shared" si="85"/>
        <v>0</v>
      </c>
      <c r="B2120" s="1226" t="s">
        <v>468</v>
      </c>
      <c r="C2120" s="2841"/>
      <c r="D2120" s="1043"/>
      <c r="E2120" s="1012">
        <f>VLOOKUP($B2120,DG!A:D,DG!$B$2,)</f>
        <v>0</v>
      </c>
      <c r="F2120" s="1041" t="str">
        <f>VLOOKUP($B2120,DG!A:D,DG!$C$2,)</f>
        <v>Boulon 10x250+ 2 long đền vuông D14-50x50x3/Zn</v>
      </c>
      <c r="G2120" s="1068" t="str">
        <f>VLOOKUP($B2120,DG!A:D,DG!$D$2,)</f>
        <v>bộ</v>
      </c>
      <c r="H2120" s="1713">
        <f>H2119*4</f>
        <v>0</v>
      </c>
      <c r="I2120" s="1192">
        <f t="shared" si="88"/>
        <v>0</v>
      </c>
      <c r="J2120" s="1064"/>
      <c r="K2120" s="1064"/>
      <c r="L2120" s="1043"/>
      <c r="M2120" s="934">
        <v>560</v>
      </c>
    </row>
    <row r="2121" spans="1:13" s="1016" customFormat="1" ht="25.2" hidden="1" customHeight="1">
      <c r="A2121" s="1086">
        <f t="shared" si="85"/>
        <v>0</v>
      </c>
      <c r="B2121" s="1226" t="s">
        <v>1865</v>
      </c>
      <c r="C2121" s="2841"/>
      <c r="D2121" s="1023"/>
      <c r="E2121" s="1012" t="str">
        <f>VLOOKUP($B2121,DG!A:D,DG!$B$2,)</f>
        <v>03.4001</v>
      </c>
      <c r="F2121" s="1041" t="str">
        <f>VLOOKUP($B2121,DG!A:D,DG!$C$2,)</f>
        <v xml:space="preserve">Đầu cosse ép Cu 2,5mm2 + bao PVC </v>
      </c>
      <c r="G2121" s="1068" t="str">
        <f>VLOOKUP($B2121,DG!A:D,DG!$D$2,)</f>
        <v>cái</v>
      </c>
      <c r="H2121" s="1713">
        <f>H2116*16</f>
        <v>0</v>
      </c>
      <c r="I2121" s="1192">
        <f t="shared" si="88"/>
        <v>0</v>
      </c>
      <c r="J2121" s="1064"/>
      <c r="K2121" s="1064"/>
      <c r="L2121" s="1043"/>
      <c r="M2121" s="934">
        <v>560</v>
      </c>
    </row>
    <row r="2122" spans="1:13" s="1016" customFormat="1" ht="25.2" hidden="1" customHeight="1">
      <c r="A2122" s="1086">
        <f t="shared" si="85"/>
        <v>0</v>
      </c>
      <c r="B2122" s="1226" t="s">
        <v>1510</v>
      </c>
      <c r="C2122" s="2841"/>
      <c r="D2122" s="1023"/>
      <c r="E2122" s="1012">
        <f>VLOOKUP($B2122,DG!A:D,DG!$B$2,)</f>
        <v>0</v>
      </c>
      <c r="F2122" s="1041" t="str">
        <f>VLOOKUP($B2122,DG!A:D,DG!$C$2,)</f>
        <v>Dây điện đôi 16/10</v>
      </c>
      <c r="G2122" s="1068" t="str">
        <f>VLOOKUP($B2122,DG!A:D,DG!$D$2,)</f>
        <v>mét</v>
      </c>
      <c r="H2122" s="1713">
        <f>2*H2116</f>
        <v>0</v>
      </c>
      <c r="I2122" s="1192">
        <f t="shared" si="88"/>
        <v>0</v>
      </c>
      <c r="J2122" s="1064"/>
      <c r="K2122" s="1064"/>
      <c r="L2122" s="1043"/>
      <c r="M2122" s="934">
        <v>560</v>
      </c>
    </row>
    <row r="2123" spans="1:13" s="1016" customFormat="1" ht="25.2" hidden="1" customHeight="1">
      <c r="A2123" s="1086">
        <f t="shared" si="85"/>
        <v>0</v>
      </c>
      <c r="B2123" s="1226" t="s">
        <v>1114</v>
      </c>
      <c r="C2123" s="2841"/>
      <c r="D2123" s="1023"/>
      <c r="E2123" s="1012">
        <f>VLOOKUP($B2123,DG!A:D,DG!$B$2,)</f>
        <v>0</v>
      </c>
      <c r="F2123" s="1041" t="str">
        <f>VLOOKUP($B2123,DG!A:D,DG!$C$2,)&amp;" (ñaáu TU )"</f>
        <v>Kẹp ép cỡ dây 25mm2 (ñaáu TU )</v>
      </c>
      <c r="G2123" s="1068" t="str">
        <f>VLOOKUP($B2123,DG!A:D,DG!$D$2,)</f>
        <v>cái</v>
      </c>
      <c r="H2123" s="1713">
        <f>+H2116*3</f>
        <v>0</v>
      </c>
      <c r="I2123" s="1192">
        <f t="shared" si="88"/>
        <v>0</v>
      </c>
      <c r="J2123" s="1064"/>
      <c r="K2123" s="1064"/>
      <c r="L2123" s="1043"/>
      <c r="M2123" s="934">
        <v>560</v>
      </c>
    </row>
    <row r="2124" spans="1:13" s="1016" customFormat="1" ht="25.2" hidden="1" customHeight="1">
      <c r="A2124" s="1086">
        <f t="shared" si="85"/>
        <v>0</v>
      </c>
      <c r="B2124" s="1226" t="s">
        <v>2141</v>
      </c>
      <c r="C2124" s="2841"/>
      <c r="D2124" s="1023"/>
      <c r="E2124" s="1012" t="str">
        <f>VLOOKUP($B2124,DG!A:D,DG!$B$2,)</f>
        <v>07.2403</v>
      </c>
      <c r="F2124" s="1041" t="str">
        <f>VLOOKUP($B2124,DG!A:D,DG!$C$2,)</f>
        <v>Ống PVC D42x2,1mm</v>
      </c>
      <c r="G2124" s="1068" t="str">
        <f>VLOOKUP($B2124,DG!A:D,DG!$D$2,)</f>
        <v>m</v>
      </c>
      <c r="H2124" s="1713">
        <f>H2116*16</f>
        <v>0</v>
      </c>
      <c r="I2124" s="1192">
        <f t="shared" si="88"/>
        <v>0</v>
      </c>
      <c r="J2124" s="1064"/>
      <c r="K2124" s="1064"/>
      <c r="L2124" s="1043"/>
      <c r="M2124" s="934">
        <v>560</v>
      </c>
    </row>
    <row r="2125" spans="1:13" s="1016" customFormat="1" ht="25.2" hidden="1" customHeight="1">
      <c r="A2125" s="1086">
        <f t="shared" si="85"/>
        <v>0</v>
      </c>
      <c r="B2125" s="1087" t="s">
        <v>204</v>
      </c>
      <c r="C2125" s="2842"/>
      <c r="D2125" s="1023"/>
      <c r="E2125" s="1012" t="str">
        <f>VLOOKUP($B2125,DG!A:D,DG!$B$2,)</f>
        <v>06.3231</v>
      </c>
      <c r="F2125" s="1041" t="str">
        <f>VLOOKUP($B2125,DG!A:D,DG!$C$2,)&amp;": D230 01 bộ"</f>
        <v>Cổ dê giữ ống PVC D42: D230 01 bộ</v>
      </c>
      <c r="G2125" s="1068" t="str">
        <f>VLOOKUP($B2125,DG!A:D,DG!$D$2,)</f>
        <v>bộ</v>
      </c>
      <c r="H2125" s="1713">
        <f>0.459*H2116</f>
        <v>0</v>
      </c>
      <c r="I2125" s="1192">
        <f t="shared" si="88"/>
        <v>0</v>
      </c>
      <c r="J2125" s="1064"/>
      <c r="K2125" s="1064"/>
      <c r="L2125" s="1043"/>
      <c r="M2125" s="934">
        <v>560</v>
      </c>
    </row>
    <row r="2126" spans="1:13" s="1016" customFormat="1" ht="25.2" hidden="1" customHeight="1">
      <c r="A2126" s="1086">
        <f t="shared" si="85"/>
        <v>0</v>
      </c>
      <c r="B2126" s="1087" t="s">
        <v>204</v>
      </c>
      <c r="C2126" s="2842"/>
      <c r="D2126" s="1023"/>
      <c r="E2126" s="1012" t="str">
        <f>VLOOKUP($B2126,DG!A:D,DG!$B$2,)</f>
        <v>06.3231</v>
      </c>
      <c r="F2126" s="1041" t="str">
        <f>VLOOKUP($B2126,DG!A:D,DG!$C$2,)&amp;": D250 01 bộ"</f>
        <v>Cổ dê giữ ống PVC D42: D250 01 bộ</v>
      </c>
      <c r="G2126" s="1068" t="str">
        <f>VLOOKUP($B2126,DG!A:D,DG!$D$2,)</f>
        <v>bộ</v>
      </c>
      <c r="H2126" s="1713">
        <f>0.483*H2116</f>
        <v>0</v>
      </c>
      <c r="I2126" s="1192">
        <f t="shared" si="88"/>
        <v>0</v>
      </c>
      <c r="J2126" s="1064"/>
      <c r="K2126" s="1064"/>
      <c r="L2126" s="1043"/>
      <c r="M2126" s="934">
        <v>560</v>
      </c>
    </row>
    <row r="2127" spans="1:13" s="1016" customFormat="1" ht="25.2" hidden="1" customHeight="1">
      <c r="A2127" s="1086">
        <f t="shared" si="85"/>
        <v>0</v>
      </c>
      <c r="B2127" s="1087" t="s">
        <v>204</v>
      </c>
      <c r="C2127" s="2842"/>
      <c r="D2127" s="1023"/>
      <c r="E2127" s="1012" t="str">
        <f>VLOOKUP($B2127,DG!A:D,DG!$B$2,)</f>
        <v>06.3231</v>
      </c>
      <c r="F2127" s="1041" t="str">
        <f>VLOOKUP($B2127,DG!A:D,DG!$C$2,)&amp;": D280 01 bộ"</f>
        <v>Cổ dê giữ ống PVC D42: D280 01 bộ</v>
      </c>
      <c r="G2127" s="1068" t="str">
        <f>VLOOKUP($B2127,DG!A:D,DG!$D$2,)</f>
        <v>bộ</v>
      </c>
      <c r="H2127" s="1713">
        <f>H2116*0.52</f>
        <v>0</v>
      </c>
      <c r="I2127" s="1192">
        <f t="shared" si="88"/>
        <v>0</v>
      </c>
      <c r="J2127" s="1064"/>
      <c r="K2127" s="1064"/>
      <c r="L2127" s="1043"/>
      <c r="M2127" s="934">
        <v>560</v>
      </c>
    </row>
    <row r="2128" spans="1:13" s="1016" customFormat="1" ht="25.2" hidden="1" customHeight="1">
      <c r="A2128" s="1086">
        <f t="shared" si="85"/>
        <v>0</v>
      </c>
      <c r="B2128" s="1087" t="s">
        <v>204</v>
      </c>
      <c r="C2128" s="2842"/>
      <c r="D2128" s="1023"/>
      <c r="E2128" s="1012" t="str">
        <f>VLOOKUP($B2128,DG!A:D,DG!$B$2,)</f>
        <v>06.3231</v>
      </c>
      <c r="F2128" s="1041" t="str">
        <f>VLOOKUP($B2128,DG!A:D,DG!$C$2,)&amp;": D320 01 bộ"</f>
        <v>Cổ dê giữ ống PVC D42: D320 01 bộ</v>
      </c>
      <c r="G2128" s="1068" t="str">
        <f>VLOOKUP($B2128,DG!A:D,DG!$D$2,)</f>
        <v>bộ</v>
      </c>
      <c r="H2128" s="1713">
        <f>H2116*0.569</f>
        <v>0</v>
      </c>
      <c r="I2128" s="1192">
        <f t="shared" si="88"/>
        <v>0</v>
      </c>
      <c r="J2128" s="1064"/>
      <c r="K2128" s="1064"/>
      <c r="L2128" s="1043"/>
      <c r="M2128" s="934">
        <v>560</v>
      </c>
    </row>
    <row r="2129" spans="1:13" s="1016" customFormat="1" ht="25.2" hidden="1" customHeight="1">
      <c r="A2129" s="1086">
        <f t="shared" si="85"/>
        <v>0</v>
      </c>
      <c r="B2129" s="1087" t="s">
        <v>319</v>
      </c>
      <c r="C2129" s="2842"/>
      <c r="D2129" s="1023"/>
      <c r="E2129" s="1012" t="str">
        <f>VLOOKUP($B2129,DG!A:D,DG!$B$2,)</f>
        <v>06.3231</v>
      </c>
      <c r="F2129" s="1041" t="str">
        <f>VLOOKUP($B2129,DG!A:D,DG!$C$2,)&amp;": D320 02 bộ"</f>
        <v>Cổ dê CDĐKĐT( bắt thùng điện kế): D320 02 bộ</v>
      </c>
      <c r="G2129" s="1068" t="str">
        <f>VLOOKUP($B2129,DG!A:D,DG!$D$2,)</f>
        <v>bộ</v>
      </c>
      <c r="H2129" s="1713">
        <f>H2116*5.85*2</f>
        <v>0</v>
      </c>
      <c r="I2129" s="1192">
        <f t="shared" si="88"/>
        <v>0</v>
      </c>
      <c r="J2129" s="1064"/>
      <c r="K2129" s="1064"/>
      <c r="L2129" s="1043"/>
      <c r="M2129" s="934">
        <v>560</v>
      </c>
    </row>
    <row r="2130" spans="1:13" s="1016" customFormat="1" ht="25.2" hidden="1" customHeight="1">
      <c r="A2130" s="1086">
        <f t="shared" si="85"/>
        <v>0</v>
      </c>
      <c r="B2130" s="1087" t="s">
        <v>138</v>
      </c>
      <c r="C2130" s="2842"/>
      <c r="D2130" s="1023"/>
      <c r="E2130" s="1012">
        <f>VLOOKUP($B2130,DG!A:D,DG!$B$2,)</f>
        <v>0</v>
      </c>
      <c r="F2130" s="1041" t="str">
        <f>VLOOKUP($B2130,DG!A:D,DG!$C$2,)</f>
        <v>Boulon 12x40+ 2 long đền vuông D14-50x50x3/Zn</v>
      </c>
      <c r="G2130" s="1068" t="str">
        <f>VLOOKUP($B2130,DG!A:D,DG!$D$2,)</f>
        <v>bộ</v>
      </c>
      <c r="H2130" s="1713">
        <f>H2132*2</f>
        <v>0</v>
      </c>
      <c r="I2130" s="1192">
        <f t="shared" si="88"/>
        <v>0</v>
      </c>
      <c r="J2130" s="1064"/>
      <c r="K2130" s="1064"/>
      <c r="L2130" s="1043"/>
      <c r="M2130" s="934">
        <v>560</v>
      </c>
    </row>
    <row r="2131" spans="1:13" s="1016" customFormat="1" ht="25.2" hidden="1" customHeight="1">
      <c r="A2131" s="1086">
        <f t="shared" si="85"/>
        <v>0</v>
      </c>
      <c r="B2131" s="1087" t="s">
        <v>1350</v>
      </c>
      <c r="C2131" s="2842"/>
      <c r="D2131" s="1023"/>
      <c r="E2131" s="1012">
        <f>VLOOKUP($B2131,DG!A:D,DG!$B$2,)</f>
        <v>0</v>
      </c>
      <c r="F2131" s="1041" t="str">
        <f>VLOOKUP($B2131,DG!A:D,DG!$C$2,)</f>
        <v>Boulon 12x60+ 2 long đền vuông D14-50x50x3/Zn</v>
      </c>
      <c r="G2131" s="1068" t="str">
        <f>VLOOKUP($B2131,DG!A:D,DG!$D$2,)</f>
        <v>bộ</v>
      </c>
      <c r="H2131" s="1713">
        <f>H2130</f>
        <v>0</v>
      </c>
      <c r="I2131" s="1192">
        <f t="shared" si="88"/>
        <v>0</v>
      </c>
      <c r="J2131" s="1064"/>
      <c r="K2131" s="1064"/>
      <c r="L2131" s="1043"/>
      <c r="M2131" s="934">
        <v>560</v>
      </c>
    </row>
    <row r="2132" spans="1:13" s="1016" customFormat="1" ht="25.2" hidden="1" customHeight="1">
      <c r="A2132" s="1086">
        <f t="shared" si="85"/>
        <v>0</v>
      </c>
      <c r="B2132" s="1087" t="s">
        <v>1131</v>
      </c>
      <c r="C2132" s="2842"/>
      <c r="D2132" s="1023"/>
      <c r="E2132" s="1012" t="str">
        <f>VLOOKUP($B2132,DG!A:D,DG!$B$2,)</f>
        <v>06.2110</v>
      </c>
      <c r="F2132" s="1013" t="str">
        <f>VLOOKUP($B2132,DG!A:D,DG!$C$2,)</f>
        <v>Lắp cổ dê</v>
      </c>
      <c r="G2132" s="1012" t="str">
        <f>VLOOKUP($B2132,DG!A:D,DG!$D$2,)</f>
        <v>bộ</v>
      </c>
      <c r="H2132" s="1713">
        <f>H2116*6</f>
        <v>0</v>
      </c>
      <c r="I2132" s="1192">
        <f t="shared" si="88"/>
        <v>0</v>
      </c>
      <c r="J2132" s="1014"/>
      <c r="K2132" s="1014"/>
      <c r="L2132" s="1043"/>
      <c r="M2132" s="934">
        <v>560</v>
      </c>
    </row>
    <row r="2133" spans="1:13" s="1016" customFormat="1" ht="25.2" hidden="1" customHeight="1">
      <c r="A2133" s="1086">
        <f t="shared" si="85"/>
        <v>0</v>
      </c>
      <c r="B2133" s="1226" t="s">
        <v>1616</v>
      </c>
      <c r="C2133" s="2841"/>
      <c r="D2133" s="1023"/>
      <c r="E2133" s="1012">
        <f>VLOOKUP($B2133,DG!A:D,DG!$B$2,)</f>
        <v>0</v>
      </c>
      <c r="F2133" s="1041" t="str">
        <f>VLOOKUP($B2133,DG!A:D,DG!$C$2,)</f>
        <v>Co 90 độ PVC 42</v>
      </c>
      <c r="G2133" s="1068" t="str">
        <f>VLOOKUP($B2133,DG!A:D,DG!$D$2,)</f>
        <v>cái</v>
      </c>
      <c r="H2133" s="1713">
        <f>H2116*5</f>
        <v>0</v>
      </c>
      <c r="I2133" s="1192">
        <f t="shared" si="88"/>
        <v>0</v>
      </c>
      <c r="J2133" s="1064"/>
      <c r="K2133" s="1064"/>
      <c r="L2133" s="1043"/>
      <c r="M2133" s="934">
        <v>560</v>
      </c>
    </row>
    <row r="2134" spans="1:13" s="1016" customFormat="1" ht="25.2" hidden="1" customHeight="1">
      <c r="A2134" s="1086">
        <f t="shared" si="85"/>
        <v>0</v>
      </c>
      <c r="B2134" s="1226" t="s">
        <v>1050</v>
      </c>
      <c r="C2134" s="2841"/>
      <c r="D2134" s="1023"/>
      <c r="E2134" s="1012">
        <f>VLOOKUP($B2134,DG!A:D,DG!$B$2,)</f>
        <v>0</v>
      </c>
      <c r="F2134" s="1041" t="str">
        <f>VLOOKUP($B2134,DG!A:D,DG!$C$2,)</f>
        <v>Co chữ T ống PVC 42</v>
      </c>
      <c r="G2134" s="1068" t="str">
        <f>VLOOKUP($B2134,DG!A:D,DG!$D$2,)</f>
        <v>cái</v>
      </c>
      <c r="H2134" s="1713">
        <f>H2116*5</f>
        <v>0</v>
      </c>
      <c r="I2134" s="1192">
        <f t="shared" si="88"/>
        <v>0</v>
      </c>
      <c r="J2134" s="1064"/>
      <c r="K2134" s="1064"/>
      <c r="L2134" s="1043"/>
      <c r="M2134" s="934">
        <v>560</v>
      </c>
    </row>
    <row r="2135" spans="1:13" s="1016" customFormat="1" ht="25.2" hidden="1" customHeight="1">
      <c r="A2135" s="1086">
        <f t="shared" si="85"/>
        <v>0</v>
      </c>
      <c r="B2135" s="1226" t="s">
        <v>1913</v>
      </c>
      <c r="C2135" s="2841"/>
      <c r="D2135" s="1023"/>
      <c r="E2135" s="1012">
        <f>VLOOKUP($B2135,DG!A:D,DG!$B$2,)</f>
        <v>0</v>
      </c>
      <c r="F2135" s="1041" t="str">
        <f>VLOOKUP($B2135,DG!A:D,DG!$C$2,)</f>
        <v>Nối thẳng ống PVC 42</v>
      </c>
      <c r="G2135" s="1068" t="str">
        <f>VLOOKUP($B2135,DG!A:D,DG!$D$2,)</f>
        <v>cái</v>
      </c>
      <c r="H2135" s="1713">
        <f>H2116</f>
        <v>0</v>
      </c>
      <c r="I2135" s="1192">
        <f t="shared" si="88"/>
        <v>0</v>
      </c>
      <c r="J2135" s="1064"/>
      <c r="K2135" s="1064"/>
      <c r="L2135" s="1043"/>
      <c r="M2135" s="934">
        <v>560</v>
      </c>
    </row>
    <row r="2136" spans="1:13" s="1016" customFormat="1" ht="25.2" hidden="1" customHeight="1">
      <c r="A2136" s="1086">
        <f t="shared" si="85"/>
        <v>0</v>
      </c>
      <c r="B2136" s="1226" t="s">
        <v>726</v>
      </c>
      <c r="C2136" s="2841"/>
      <c r="D2136" s="1023"/>
      <c r="E2136" s="1012">
        <f>VLOOKUP($B2136,DG!A:D,DG!$B$2,)</f>
        <v>0</v>
      </c>
      <c r="F2136" s="1041" t="str">
        <f>VLOOKUP($B2136,DG!A:D,DG!$C$2,)</f>
        <v>Keo dán ống PVC (500gr)</v>
      </c>
      <c r="G2136" s="1068" t="str">
        <f>VLOOKUP($B2136,DG!A:D,DG!$D$2,)</f>
        <v>lon</v>
      </c>
      <c r="H2136" s="1713">
        <f>H2116</f>
        <v>0</v>
      </c>
      <c r="I2136" s="1192">
        <f t="shared" si="88"/>
        <v>0</v>
      </c>
      <c r="J2136" s="1064"/>
      <c r="K2136" s="1064"/>
      <c r="L2136" s="1043"/>
      <c r="M2136" s="934">
        <v>560</v>
      </c>
    </row>
    <row r="2137" spans="1:13" s="1016" customFormat="1" ht="25.2" hidden="1" customHeight="1">
      <c r="A2137" s="1086">
        <f t="shared" si="85"/>
        <v>0</v>
      </c>
      <c r="B2137" s="1087" t="s">
        <v>672</v>
      </c>
      <c r="C2137" s="2842"/>
      <c r="D2137" s="1023"/>
      <c r="E2137" s="1012">
        <f>VLOOKUP($B2137,DG!A:D,DG!$B$2,)</f>
        <v>0</v>
      </c>
      <c r="F2137" s="1041" t="str">
        <f>VLOOKUP($B2137,DG!A:D,DG!$C$2,)</f>
        <v>Băng keo cách điện</v>
      </c>
      <c r="G2137" s="1068" t="str">
        <f>VLOOKUP($B2137,DG!A:D,DG!$D$2,)</f>
        <v>cuộn</v>
      </c>
      <c r="H2137" s="1713">
        <f>H2116</f>
        <v>0</v>
      </c>
      <c r="I2137" s="1192">
        <f t="shared" si="88"/>
        <v>0</v>
      </c>
      <c r="J2137" s="1014"/>
      <c r="K2137" s="1014"/>
      <c r="L2137" s="1043"/>
      <c r="M2137" s="934">
        <v>560</v>
      </c>
    </row>
    <row r="2138" spans="1:13" s="1016" customFormat="1" ht="25.2" hidden="1" customHeight="1">
      <c r="A2138" s="1086">
        <f t="shared" ref="A2138:A2201" si="89">IF(AND(M2138=$M$23,I2138&gt;0),1,0)</f>
        <v>0</v>
      </c>
      <c r="B2138" s="1226" t="s">
        <v>2120</v>
      </c>
      <c r="C2138" s="2841"/>
      <c r="D2138" s="1023"/>
      <c r="E2138" s="1012">
        <f>VLOOKUP($B2138,DG!A:D,DG!$B$2,)</f>
        <v>0</v>
      </c>
      <c r="F2138" s="1041" t="str">
        <f>VLOOKUP($B2138,DG!A:D,DG!$C$2,)</f>
        <v>Khâu ven răng trong D42</v>
      </c>
      <c r="G2138" s="1068" t="str">
        <f>VLOOKUP($B2138,DG!A:D,DG!$D$2,)</f>
        <v>cái</v>
      </c>
      <c r="H2138" s="1713">
        <f>H2116</f>
        <v>0</v>
      </c>
      <c r="I2138" s="1192">
        <f t="shared" si="88"/>
        <v>0</v>
      </c>
      <c r="J2138" s="1014"/>
      <c r="K2138" s="1014"/>
      <c r="L2138" s="1043"/>
      <c r="M2138" s="934">
        <v>560</v>
      </c>
    </row>
    <row r="2139" spans="1:13" s="1016" customFormat="1" ht="25.2" hidden="1" customHeight="1">
      <c r="A2139" s="1086">
        <f t="shared" si="89"/>
        <v>0</v>
      </c>
      <c r="B2139" s="1087" t="s">
        <v>959</v>
      </c>
      <c r="C2139" s="2842"/>
      <c r="D2139" s="1023"/>
      <c r="E2139" s="1012">
        <f>VLOOKUP($B2139,DG!A:D,DG!$B$2,)</f>
        <v>0</v>
      </c>
      <c r="F2139" s="1041" t="str">
        <f>VLOOKUP($B2139,DG!A:D,DG!$C$2,)</f>
        <v>Khâu ven răng ngoài D42</v>
      </c>
      <c r="G2139" s="1068" t="str">
        <f>VLOOKUP($B2139,DG!A:D,DG!$D$2,)</f>
        <v>cái</v>
      </c>
      <c r="H2139" s="1713">
        <f>H2116</f>
        <v>0</v>
      </c>
      <c r="I2139" s="1192">
        <f t="shared" si="88"/>
        <v>0</v>
      </c>
      <c r="J2139" s="1014"/>
      <c r="K2139" s="1014"/>
      <c r="L2139" s="1043"/>
      <c r="M2139" s="934">
        <v>560</v>
      </c>
    </row>
    <row r="2140" spans="1:13" s="1016" customFormat="1" ht="25.2" hidden="1" customHeight="1">
      <c r="A2140" s="1086">
        <f t="shared" si="89"/>
        <v>0</v>
      </c>
      <c r="B2140" s="1087" t="s">
        <v>1915</v>
      </c>
      <c r="C2140" s="2842"/>
      <c r="D2140" s="1023"/>
      <c r="E2140" s="1012" t="str">
        <f>VLOOKUP($B2140,DG!A:D,DG!$B$2,)</f>
        <v>05.1101</v>
      </c>
      <c r="F2140" s="1041" t="str">
        <f>VLOOKUP($B2140,DG!A:D,DG!$C$2,)</f>
        <v>Thùng điện kế 450x300x200mm đo đếm trung thế</v>
      </c>
      <c r="G2140" s="1068" t="str">
        <f>VLOOKUP($B2140,DG!A:D,DG!$D$2,)</f>
        <v>cái</v>
      </c>
      <c r="H2140" s="1713">
        <f>H2116</f>
        <v>0</v>
      </c>
      <c r="I2140" s="1192">
        <f t="shared" si="88"/>
        <v>0</v>
      </c>
      <c r="J2140" s="1014"/>
      <c r="K2140" s="1014"/>
      <c r="L2140" s="1043"/>
      <c r="M2140" s="934">
        <v>560</v>
      </c>
    </row>
    <row r="2141" spans="1:13" s="1016" customFormat="1" ht="25.2" hidden="1" customHeight="1">
      <c r="A2141" s="1086">
        <f t="shared" si="89"/>
        <v>0</v>
      </c>
      <c r="B2141" s="1087" t="s">
        <v>6</v>
      </c>
      <c r="C2141" s="2842"/>
      <c r="D2141" s="1023"/>
      <c r="E2141" s="1012">
        <f>VLOOKUP($B2141,DG!A:D,DG!$B$2,)</f>
        <v>0</v>
      </c>
      <c r="F2141" s="1041" t="str">
        <f>VLOOKUP($B2141,DG!A:D,DG!$C$2,)</f>
        <v>Keo silicon bít miệng ống</v>
      </c>
      <c r="G2141" s="1068" t="str">
        <f>VLOOKUP($B2141,DG!A:D,DG!$D$2,)</f>
        <v>ống</v>
      </c>
      <c r="H2141" s="1713">
        <f>H2116</f>
        <v>0</v>
      </c>
      <c r="I2141" s="1192">
        <f t="shared" si="88"/>
        <v>0</v>
      </c>
      <c r="J2141" s="1014"/>
      <c r="K2141" s="1014"/>
      <c r="L2141" s="1043"/>
      <c r="M2141" s="934">
        <v>560</v>
      </c>
    </row>
    <row r="2142" spans="1:13" s="1016" customFormat="1" ht="25.2" hidden="1" customHeight="1">
      <c r="A2142" s="1086">
        <f t="shared" si="89"/>
        <v>0</v>
      </c>
      <c r="B2142" s="1087" t="s">
        <v>2139</v>
      </c>
      <c r="C2142" s="2842"/>
      <c r="D2142" s="1023"/>
      <c r="E2142" s="1012">
        <f>VLOOKUP($B2142,DG!A:D,DG!$B$2,)</f>
        <v>0</v>
      </c>
      <c r="F2142" s="1041" t="str">
        <f>VLOOKUP($B2142,DG!A:D,DG!$C$2,)</f>
        <v>Dây đồng trần mềm dẹt</v>
      </c>
      <c r="G2142" s="1068" t="str">
        <f>VLOOKUP($B2142,DG!A:D,DG!$D$2,)</f>
        <v>mét</v>
      </c>
      <c r="H2142" s="1713">
        <f>H2116*4</f>
        <v>0</v>
      </c>
      <c r="I2142" s="1192">
        <f t="shared" si="88"/>
        <v>0</v>
      </c>
      <c r="J2142" s="1014"/>
      <c r="K2142" s="1014"/>
      <c r="L2142" s="1043"/>
      <c r="M2142" s="934">
        <v>560</v>
      </c>
    </row>
    <row r="2143" spans="1:13" s="1016" customFormat="1" ht="25.2" hidden="1" customHeight="1">
      <c r="A2143" s="1086">
        <f t="shared" si="89"/>
        <v>0</v>
      </c>
      <c r="B2143" s="1087"/>
      <c r="C2143" s="2842"/>
      <c r="D2143" s="1048"/>
      <c r="E2143" s="1049"/>
      <c r="F2143" s="1038" t="s">
        <v>3730</v>
      </c>
      <c r="G2143" s="1038"/>
      <c r="H2143" s="1730"/>
      <c r="I2143" s="1192">
        <f t="shared" si="88"/>
        <v>0</v>
      </c>
      <c r="J2143" s="1038"/>
      <c r="K2143" s="1038"/>
      <c r="L2143" s="1069"/>
      <c r="M2143" s="934">
        <v>560</v>
      </c>
    </row>
    <row r="2144" spans="1:13" s="1016" customFormat="1" ht="25.2" hidden="1" customHeight="1">
      <c r="A2144" s="1086">
        <f t="shared" si="89"/>
        <v>0</v>
      </c>
      <c r="B2144" s="1087" t="s">
        <v>966</v>
      </c>
      <c r="C2144" s="2842"/>
      <c r="D2144" s="1023"/>
      <c r="E2144" s="1012" t="str">
        <f>VLOOKUP($B2144,DG!A:D,DG!$B$2,)</f>
        <v>02.5114</v>
      </c>
      <c r="F2144" s="1041" t="s">
        <v>3731</v>
      </c>
      <c r="G2144" s="1068" t="str">
        <f>VLOOKUP($B2144,DG!A:D,DG!$D$2,)</f>
        <v>cái</v>
      </c>
      <c r="H2144" s="1713"/>
      <c r="I2144" s="1192">
        <f t="shared" si="88"/>
        <v>0</v>
      </c>
      <c r="J2144" s="1014"/>
      <c r="K2144" s="1014"/>
      <c r="L2144" s="1043" t="s">
        <v>3732</v>
      </c>
      <c r="M2144" s="934">
        <v>560</v>
      </c>
    </row>
    <row r="2145" spans="1:13" s="1016" customFormat="1" ht="25.2" hidden="1" customHeight="1">
      <c r="A2145" s="1086">
        <f t="shared" si="89"/>
        <v>0</v>
      </c>
      <c r="B2145" s="1087" t="s">
        <v>1906</v>
      </c>
      <c r="C2145" s="2842"/>
      <c r="D2145" s="1023"/>
      <c r="E2145" s="1012" t="str">
        <f>VLOOKUP($B2145,DG!A:D,DG!$B$2,)</f>
        <v>05.6011</v>
      </c>
      <c r="F2145" s="1041" t="s">
        <v>2461</v>
      </c>
      <c r="G2145" s="1068" t="str">
        <f>VLOOKUP($B2145,DG!A:D,DG!$D$2,)</f>
        <v>bộ</v>
      </c>
      <c r="H2145" s="1713"/>
      <c r="I2145" s="1192">
        <f t="shared" si="88"/>
        <v>0</v>
      </c>
      <c r="J2145" s="1014"/>
      <c r="K2145" s="1014"/>
      <c r="L2145" s="1015"/>
      <c r="M2145" s="934">
        <v>560</v>
      </c>
    </row>
    <row r="2146" spans="1:13" s="1016" customFormat="1" ht="25.2" hidden="1" customHeight="1">
      <c r="A2146" s="1086">
        <f t="shared" si="89"/>
        <v>0</v>
      </c>
      <c r="B2146" s="1087"/>
      <c r="C2146" s="2842"/>
      <c r="D2146" s="1070"/>
      <c r="E2146" s="1071"/>
      <c r="F2146" s="1038"/>
      <c r="G2146" s="1072"/>
      <c r="H2146" s="1733"/>
      <c r="I2146" s="1192">
        <f t="shared" si="88"/>
        <v>0</v>
      </c>
      <c r="J2146" s="1073"/>
      <c r="K2146" s="1074"/>
      <c r="L2146" s="1040"/>
      <c r="M2146" s="934"/>
    </row>
    <row r="2147" spans="1:13" s="1016" customFormat="1" ht="25.2" hidden="1" customHeight="1">
      <c r="A2147" s="1086">
        <f t="shared" si="89"/>
        <v>0</v>
      </c>
      <c r="B2147" s="1087"/>
      <c r="C2147" s="2842"/>
      <c r="D2147" s="1075"/>
      <c r="F2147" s="1076"/>
      <c r="H2147" s="1735"/>
      <c r="I2147" s="1192">
        <f t="shared" si="88"/>
        <v>0</v>
      </c>
      <c r="M2147" s="934"/>
    </row>
    <row r="2148" spans="1:13" s="1016" customFormat="1" ht="25.2" hidden="1" customHeight="1">
      <c r="A2148" s="1086">
        <f t="shared" si="89"/>
        <v>0</v>
      </c>
      <c r="B2148" s="1250"/>
      <c r="C2148" s="2854"/>
      <c r="D2148" s="939" t="e">
        <f>"BAÛNG TOÅNG HÔÏP VAÄT LIEÄU, NHAÂN COÂNG, MAÙY THI COÂNG : "&amp;#REF!&amp;" TRAÏM 3P_630KVA"</f>
        <v>#REF!</v>
      </c>
      <c r="E2148" s="939"/>
      <c r="F2148" s="939"/>
      <c r="G2148" s="939"/>
      <c r="H2148" s="1727"/>
      <c r="I2148" s="1192">
        <f t="shared" si="88"/>
        <v>0</v>
      </c>
      <c r="J2148" s="1077"/>
      <c r="K2148" s="1077"/>
      <c r="L2148" s="1078"/>
      <c r="M2148" s="934"/>
    </row>
    <row r="2149" spans="1:13" s="1016" customFormat="1" ht="25.2" hidden="1" customHeight="1">
      <c r="A2149" s="1086">
        <f t="shared" si="89"/>
        <v>0</v>
      </c>
      <c r="B2149" s="1226"/>
      <c r="C2149" s="2841"/>
      <c r="D2149" s="1036"/>
      <c r="E2149" s="1037"/>
      <c r="F2149" s="1038" t="s">
        <v>3672</v>
      </c>
      <c r="G2149" s="1039"/>
      <c r="H2149" s="1754"/>
      <c r="I2149" s="1192">
        <f t="shared" si="88"/>
        <v>0</v>
      </c>
      <c r="J2149" s="1039"/>
      <c r="K2149" s="1039"/>
      <c r="L2149" s="1040"/>
      <c r="M2149" s="934">
        <v>630</v>
      </c>
    </row>
    <row r="2150" spans="1:13" s="1016" customFormat="1" ht="25.2" hidden="1" customHeight="1">
      <c r="A2150" s="1086">
        <f t="shared" si="89"/>
        <v>0</v>
      </c>
      <c r="B2150" s="1227" t="s">
        <v>956</v>
      </c>
      <c r="C2150" s="2840"/>
      <c r="D2150" s="1023">
        <f>IF(H2150&gt;0,1,0)</f>
        <v>0</v>
      </c>
      <c r="E2150" s="1012" t="str">
        <f>VLOOKUP($B2150,DG!A:D,DG!$B$2,)</f>
        <v>01.1146</v>
      </c>
      <c r="F2150" s="1013" t="str">
        <f>VLOOKUP($B2150,DG!A:D,DG!$C$2,)</f>
        <v>Máy biến áp 22/0,4kV- 630kVA</v>
      </c>
      <c r="G2150" s="1012" t="str">
        <f>VLOOKUP($B2150,DG!A:D,DG!$D$2,)</f>
        <v>máy</v>
      </c>
      <c r="H2150" s="1737">
        <f>L15</f>
        <v>0</v>
      </c>
      <c r="I2150" s="1192">
        <f t="shared" si="88"/>
        <v>0</v>
      </c>
      <c r="J2150" s="1041"/>
      <c r="K2150" s="1041"/>
      <c r="L2150" s="1042"/>
      <c r="M2150" s="934">
        <v>630</v>
      </c>
    </row>
    <row r="2151" spans="1:13" s="1016" customFormat="1" ht="25.2" hidden="1" customHeight="1">
      <c r="A2151" s="1086">
        <f t="shared" si="89"/>
        <v>0</v>
      </c>
      <c r="B2151" s="1227" t="s">
        <v>1652</v>
      </c>
      <c r="C2151" s="2840"/>
      <c r="D2151" s="1023">
        <f>IF(H2151&gt;0,D2150+1,D2150)</f>
        <v>0</v>
      </c>
      <c r="E2151" s="1012" t="str">
        <f>VLOOKUP($B2151,DG!A:D,DG!$B$2,)</f>
        <v>02.3155</v>
      </c>
      <c r="F2151" s="1013" t="str">
        <f>VLOOKUP($B2151,DG!A:D,DG!$C$2,)</f>
        <v>FCO 24kV - 100A</v>
      </c>
      <c r="G2151" s="1012" t="str">
        <f>VLOOKUP($B2151,DG!A:D,DG!$D$2,)</f>
        <v>cái</v>
      </c>
      <c r="H2151" s="1713">
        <f>H2150*3</f>
        <v>0</v>
      </c>
      <c r="I2151" s="1192">
        <f t="shared" si="88"/>
        <v>0</v>
      </c>
      <c r="J2151" s="1014"/>
      <c r="K2151" s="1014"/>
      <c r="L2151" s="1043"/>
      <c r="M2151" s="934">
        <v>630</v>
      </c>
    </row>
    <row r="2152" spans="1:13" s="1016" customFormat="1" ht="25.2" hidden="1" customHeight="1">
      <c r="A2152" s="1086">
        <f t="shared" si="89"/>
        <v>0</v>
      </c>
      <c r="B2152" s="1227" t="s">
        <v>4505</v>
      </c>
      <c r="C2152" s="2840"/>
      <c r="D2152" s="1023">
        <f t="shared" ref="D2152:D2158" si="90">IF(H2152&gt;0,D2151+1,D2151)</f>
        <v>0</v>
      </c>
      <c r="E2152" s="1012">
        <f>VLOOKUP($B2152,DG!A:D,DG!$B$2,)</f>
        <v>0</v>
      </c>
      <c r="F2152" s="1013" t="str">
        <f>VLOOKUP($B2152,DG!A:D,DG!$C$2,)</f>
        <v>Dây chảy 30K</v>
      </c>
      <c r="G2152" s="1012" t="str">
        <f>VLOOKUP($B2152,DG!A:D,DG!$D$2,)</f>
        <v>Sợi</v>
      </c>
      <c r="H2152" s="1713">
        <f>H2151</f>
        <v>0</v>
      </c>
      <c r="I2152" s="1192">
        <f t="shared" si="88"/>
        <v>0</v>
      </c>
      <c r="J2152" s="1014"/>
      <c r="K2152" s="1014"/>
      <c r="L2152" s="1043"/>
      <c r="M2152" s="934">
        <v>630</v>
      </c>
    </row>
    <row r="2153" spans="1:13" s="1016" customFormat="1" ht="25.2" hidden="1" customHeight="1">
      <c r="A2153" s="1086">
        <f t="shared" si="89"/>
        <v>0</v>
      </c>
      <c r="B2153" s="1226" t="s">
        <v>1373</v>
      </c>
      <c r="C2153" s="2841"/>
      <c r="D2153" s="1023">
        <f t="shared" si="90"/>
        <v>0</v>
      </c>
      <c r="E2153" s="1012" t="str">
        <f>VLOOKUP($B2153,DG!A:D,DG!$B$2,)</f>
        <v>02.5114</v>
      </c>
      <c r="F2153" s="1013" t="str">
        <f>VLOOKUP($B2153,DG!A:D,DG!$C$2,)</f>
        <v>Chống sét van LA-18KV-10KA</v>
      </c>
      <c r="G2153" s="1012" t="str">
        <f>VLOOKUP($B2153,DG!A:D,DG!$D$2,)</f>
        <v>cái</v>
      </c>
      <c r="H2153" s="1713">
        <f>H2151</f>
        <v>0</v>
      </c>
      <c r="I2153" s="1192">
        <f t="shared" si="88"/>
        <v>0</v>
      </c>
      <c r="J2153" s="1014"/>
      <c r="K2153" s="1014"/>
      <c r="L2153" s="1043"/>
      <c r="M2153" s="934">
        <v>630</v>
      </c>
    </row>
    <row r="2154" spans="1:13" s="1016" customFormat="1" ht="25.2" hidden="1" customHeight="1">
      <c r="A2154" s="1086">
        <f t="shared" si="89"/>
        <v>0</v>
      </c>
      <c r="B2154" s="1227" t="s">
        <v>882</v>
      </c>
      <c r="C2154" s="2840"/>
      <c r="D2154" s="1023">
        <f t="shared" si="90"/>
        <v>0</v>
      </c>
      <c r="E2154" s="1012" t="str">
        <f>VLOOKUP($B2154,DG!A:D,DG!$B$2,)</f>
        <v>02.8404</v>
      </c>
      <c r="F2154" s="1013" t="str">
        <f>VLOOKUP($B2154,DG!A:D,DG!$C$2,)</f>
        <v>MCCB 3 cực 400V -1000A - 50KA</v>
      </c>
      <c r="G2154" s="1012" t="str">
        <f>VLOOKUP($B2154,DG!A:D,DG!$D$2,)</f>
        <v>cái</v>
      </c>
      <c r="H2154" s="1713">
        <f>H2150</f>
        <v>0</v>
      </c>
      <c r="I2154" s="1192">
        <f t="shared" si="88"/>
        <v>0</v>
      </c>
      <c r="J2154" s="1014"/>
      <c r="K2154" s="1014"/>
      <c r="L2154" s="1043"/>
      <c r="M2154" s="934">
        <v>630</v>
      </c>
    </row>
    <row r="2155" spans="1:13" s="1016" customFormat="1" ht="25.2" hidden="1" customHeight="1">
      <c r="A2155" s="1086">
        <f t="shared" si="89"/>
        <v>0</v>
      </c>
      <c r="B2155" s="1227" t="s">
        <v>1463</v>
      </c>
      <c r="C2155" s="2840"/>
      <c r="D2155" s="1023">
        <f t="shared" si="90"/>
        <v>0</v>
      </c>
      <c r="E2155" s="1012" t="str">
        <f>VLOOKUP($B2155,DG!A:D,DG!$B$2,)</f>
        <v>02.8534</v>
      </c>
      <c r="F2155" s="1013" t="str">
        <f>VLOOKUP($B2155,DG!A:D,DG!$C$2,)</f>
        <v>Tủ tụ bù hạ thế 250kVAr</v>
      </c>
      <c r="G2155" s="1012" t="str">
        <f>VLOOKUP($B2155,DG!A:D,DG!$D$2,)</f>
        <v>tủ</v>
      </c>
      <c r="H2155" s="1713">
        <f>H2150</f>
        <v>0</v>
      </c>
      <c r="I2155" s="1192">
        <f t="shared" si="88"/>
        <v>0</v>
      </c>
      <c r="J2155" s="1014"/>
      <c r="K2155" s="1014"/>
      <c r="L2155" s="1043"/>
      <c r="M2155" s="934">
        <v>630</v>
      </c>
    </row>
    <row r="2156" spans="1:13" s="1016" customFormat="1" ht="25.2" hidden="1" customHeight="1">
      <c r="A2156" s="1086">
        <f t="shared" si="89"/>
        <v>0</v>
      </c>
      <c r="B2156" s="1227" t="s">
        <v>4504</v>
      </c>
      <c r="C2156" s="2840"/>
      <c r="D2156" s="1023">
        <f t="shared" si="90"/>
        <v>0</v>
      </c>
      <c r="E2156" s="1012" t="str">
        <f>VLOOKUP($B2156,DG!A:D,DG!$B$2,)</f>
        <v>02.1124</v>
      </c>
      <c r="F2156" s="1013" t="str">
        <f>VLOOKUP($B2156,DG!A:D,DG!$C$2,)</f>
        <v>Biến dòng 24kV  15/5A</v>
      </c>
      <c r="G2156" s="1012" t="str">
        <f>VLOOKUP($B2156,DG!A:D,DG!$D$2,)</f>
        <v>cái</v>
      </c>
      <c r="H2156" s="1738">
        <f>H2150*3</f>
        <v>0</v>
      </c>
      <c r="I2156" s="1192">
        <f t="shared" si="88"/>
        <v>0</v>
      </c>
      <c r="J2156" s="1014"/>
      <c r="K2156" s="1014"/>
      <c r="L2156" s="1044" t="s">
        <v>2601</v>
      </c>
      <c r="M2156" s="934">
        <v>630</v>
      </c>
    </row>
    <row r="2157" spans="1:13" s="1016" customFormat="1" ht="25.2" hidden="1" customHeight="1">
      <c r="A2157" s="1086">
        <f t="shared" si="89"/>
        <v>0</v>
      </c>
      <c r="B2157" s="1227" t="s">
        <v>4502</v>
      </c>
      <c r="C2157" s="2840"/>
      <c r="D2157" s="1023">
        <f t="shared" si="90"/>
        <v>0</v>
      </c>
      <c r="E2157" s="1012" t="str">
        <f>VLOOKUP($B2157,DG!A:D,DG!$B$2,)</f>
        <v>02.1114</v>
      </c>
      <c r="F2157" s="1013" t="str">
        <f>VLOOKUP($B2157,DG!A:D,DG!$C$2,)</f>
        <v>Biến điện áp 22000/√3/100/√3 V</v>
      </c>
      <c r="G2157" s="1012" t="str">
        <f>VLOOKUP($B2157,DG!A:D,DG!$D$2,)</f>
        <v>cái</v>
      </c>
      <c r="H2157" s="1738">
        <f>H2156</f>
        <v>0</v>
      </c>
      <c r="I2157" s="1192">
        <f t="shared" si="88"/>
        <v>0</v>
      </c>
      <c r="J2157" s="1014"/>
      <c r="K2157" s="1014"/>
      <c r="L2157" s="1044" t="s">
        <v>2601</v>
      </c>
      <c r="M2157" s="934">
        <v>630</v>
      </c>
    </row>
    <row r="2158" spans="1:13" s="1016" customFormat="1" ht="25.2" hidden="1" customHeight="1">
      <c r="A2158" s="1086">
        <f t="shared" si="89"/>
        <v>0</v>
      </c>
      <c r="B2158" s="1252" t="s">
        <v>1837</v>
      </c>
      <c r="C2158" s="2856"/>
      <c r="D2158" s="1023">
        <f t="shared" si="90"/>
        <v>0</v>
      </c>
      <c r="E2158" s="1012">
        <f>VLOOKUP($B2158,DG!A:D,DG!$B$2,)</f>
        <v>0</v>
      </c>
      <c r="F2158" s="1013" t="str">
        <f>VLOOKUP($B2158,DG!A:D,DG!$C$2,)</f>
        <v>Điện kế 3 pha điện tử 600V-5A</v>
      </c>
      <c r="G2158" s="1012" t="str">
        <f>VLOOKUP($B2158,DG!A:D,DG!$D$2,)</f>
        <v>cái</v>
      </c>
      <c r="H2158" s="1738">
        <f>H2150</f>
        <v>0</v>
      </c>
      <c r="I2158" s="1192">
        <f t="shared" si="88"/>
        <v>0</v>
      </c>
      <c r="J2158" s="1014"/>
      <c r="K2158" s="1014"/>
      <c r="L2158" s="1045" t="s">
        <v>2601</v>
      </c>
      <c r="M2158" s="934">
        <v>630</v>
      </c>
    </row>
    <row r="2159" spans="1:13" s="1016" customFormat="1" ht="25.2" hidden="1" customHeight="1">
      <c r="A2159" s="1086">
        <f t="shared" si="89"/>
        <v>0</v>
      </c>
      <c r="B2159" s="1226"/>
      <c r="C2159" s="2841"/>
      <c r="D2159" s="1046"/>
      <c r="E2159" s="1047"/>
      <c r="F2159" s="1009"/>
      <c r="G2159" s="1046"/>
      <c r="H2159" s="1718"/>
      <c r="I2159" s="1192">
        <f t="shared" si="88"/>
        <v>0</v>
      </c>
      <c r="J2159" s="1009"/>
      <c r="K2159" s="1046"/>
      <c r="L2159" s="1040"/>
      <c r="M2159" s="934">
        <v>630</v>
      </c>
    </row>
    <row r="2160" spans="1:13" s="1016" customFormat="1" ht="25.2" hidden="1" customHeight="1">
      <c r="A2160" s="1086">
        <f t="shared" si="89"/>
        <v>0</v>
      </c>
      <c r="B2160" s="1226"/>
      <c r="C2160" s="2841"/>
      <c r="D2160" s="1048"/>
      <c r="E2160" s="1049"/>
      <c r="F2160" s="1038" t="s">
        <v>3673</v>
      </c>
      <c r="G2160" s="1038"/>
      <c r="H2160" s="1730"/>
      <c r="I2160" s="1192">
        <f t="shared" si="88"/>
        <v>0</v>
      </c>
      <c r="J2160" s="1038"/>
      <c r="K2160" s="1038"/>
      <c r="L2160" s="1040"/>
      <c r="M2160" s="934">
        <v>630</v>
      </c>
    </row>
    <row r="2161" spans="1:13" s="1016" customFormat="1" ht="25.2" hidden="1" customHeight="1">
      <c r="A2161" s="1086">
        <f t="shared" si="89"/>
        <v>0</v>
      </c>
      <c r="B2161" s="1253"/>
      <c r="C2161" s="2699"/>
      <c r="D2161" s="1050">
        <f>IF(H2161&gt;0,1,0)</f>
        <v>0</v>
      </c>
      <c r="E2161" s="1051"/>
      <c r="F2161" s="1052" t="s">
        <v>3711</v>
      </c>
      <c r="G2161" s="1053" t="s">
        <v>2277</v>
      </c>
      <c r="H2161" s="1739">
        <f>H2150*2*0</f>
        <v>0</v>
      </c>
      <c r="I2161" s="1192">
        <f t="shared" si="88"/>
        <v>0</v>
      </c>
      <c r="J2161" s="1054"/>
      <c r="K2161" s="1054"/>
      <c r="L2161" s="1043"/>
      <c r="M2161" s="934">
        <v>630</v>
      </c>
    </row>
    <row r="2162" spans="1:13" s="1016" customFormat="1" ht="25.2" hidden="1" customHeight="1">
      <c r="A2162" s="1086">
        <f t="shared" si="89"/>
        <v>0</v>
      </c>
      <c r="B2162" s="1087" t="s">
        <v>115</v>
      </c>
      <c r="C2162" s="2842"/>
      <c r="D2162" s="1055"/>
      <c r="E2162" s="1012"/>
      <c r="F2162" s="1056" t="str">
        <f>VLOOKUP($B2162,DG!A:D,DG!$C$2,)</f>
        <v>Trụ BTLT 12m F540 dự ứng lực</v>
      </c>
      <c r="G2162" s="1012" t="str">
        <f>VLOOKUP($B2162,DG!A:D,DG!$D$2,)</f>
        <v>trụ</v>
      </c>
      <c r="H2162" s="1740">
        <f>H2161</f>
        <v>0</v>
      </c>
      <c r="I2162" s="1192">
        <f t="shared" si="88"/>
        <v>0</v>
      </c>
      <c r="J2162" s="1041"/>
      <c r="K2162" s="1011"/>
      <c r="L2162" s="1043"/>
      <c r="M2162" s="934">
        <v>630</v>
      </c>
    </row>
    <row r="2163" spans="1:13" s="1016" customFormat="1" ht="25.2" hidden="1" customHeight="1">
      <c r="A2163" s="1086">
        <f t="shared" si="89"/>
        <v>0</v>
      </c>
      <c r="B2163" s="1087" t="s">
        <v>1814</v>
      </c>
      <c r="C2163" s="2842"/>
      <c r="D2163" s="1055"/>
      <c r="E2163" s="1012"/>
      <c r="F2163" s="1056" t="str">
        <f>VLOOKUP($B2163,DG!A:D,DG!$C$2,)</f>
        <v>Vật liệu dựng trụ</v>
      </c>
      <c r="G2163" s="1012" t="str">
        <f>VLOOKUP($B2163,DG!A:D,DG!$D$2,)</f>
        <v>trụ</v>
      </c>
      <c r="H2163" s="1740">
        <f>H2162</f>
        <v>0</v>
      </c>
      <c r="I2163" s="1192">
        <f t="shared" si="88"/>
        <v>0</v>
      </c>
      <c r="J2163" s="1011"/>
      <c r="K2163" s="1011"/>
      <c r="L2163" s="1043"/>
      <c r="M2163" s="934">
        <v>630</v>
      </c>
    </row>
    <row r="2164" spans="1:13" s="1016" customFormat="1" ht="25.2" hidden="1" customHeight="1">
      <c r="A2164" s="1086">
        <f t="shared" si="89"/>
        <v>0</v>
      </c>
      <c r="B2164" s="1087" t="s">
        <v>643</v>
      </c>
      <c r="C2164" s="2842"/>
      <c r="D2164" s="1055"/>
      <c r="E2164" s="1012" t="str">
        <f>VLOOKUP($B2164,DG!A:D,DG!$B$2,)</f>
        <v>04.9203</v>
      </c>
      <c r="F2164" s="1056" t="str">
        <f>VLOOKUP($B2164,DG!A:D,DG!$C$2,)</f>
        <v>Dựng trụ BTLT 12m trong TBA bằng thủ công + cơ giới</v>
      </c>
      <c r="G2164" s="1012" t="str">
        <f>VLOOKUP($B2164,DG!A:D,DG!$D$2,)</f>
        <v>trụ</v>
      </c>
      <c r="H2164" s="1740">
        <f>H2162</f>
        <v>0</v>
      </c>
      <c r="I2164" s="1192">
        <f t="shared" si="88"/>
        <v>0</v>
      </c>
      <c r="J2164" s="1041"/>
      <c r="K2164" s="1041"/>
      <c r="L2164" s="1043"/>
      <c r="M2164" s="934">
        <v>630</v>
      </c>
    </row>
    <row r="2165" spans="1:13" s="1016" customFormat="1" ht="25.2" hidden="1" customHeight="1">
      <c r="A2165" s="1086">
        <f t="shared" si="89"/>
        <v>0</v>
      </c>
      <c r="B2165" s="1253"/>
      <c r="C2165" s="2699"/>
      <c r="D2165" s="1050">
        <f>IF(H2165&gt;0,1,0)</f>
        <v>0</v>
      </c>
      <c r="E2165" s="1051"/>
      <c r="F2165" s="1052" t="s">
        <v>3712</v>
      </c>
      <c r="G2165" s="1053" t="s">
        <v>2277</v>
      </c>
      <c r="H2165" s="1739">
        <f>H2150*2*0</f>
        <v>0</v>
      </c>
      <c r="I2165" s="1192">
        <f t="shared" si="88"/>
        <v>0</v>
      </c>
      <c r="J2165" s="1054"/>
      <c r="K2165" s="1054"/>
      <c r="L2165" s="1015"/>
      <c r="M2165" s="934">
        <v>630</v>
      </c>
    </row>
    <row r="2166" spans="1:13" s="1016" customFormat="1" ht="25.2" hidden="1" customHeight="1">
      <c r="A2166" s="1086">
        <f t="shared" si="89"/>
        <v>0</v>
      </c>
      <c r="B2166" s="1087" t="s">
        <v>114</v>
      </c>
      <c r="C2166" s="2842"/>
      <c r="D2166" s="1055"/>
      <c r="E2166" s="1012"/>
      <c r="F2166" s="1056" t="str">
        <f>VLOOKUP($B2166,DG!A:D,DG!$C$2,)</f>
        <v>Trụ BTLT 10,5m F350 dự ứng lực</v>
      </c>
      <c r="G2166" s="1012" t="str">
        <f>VLOOKUP($B2166,DG!A:D,DG!$D$2,)</f>
        <v>trụ</v>
      </c>
      <c r="H2166" s="1740">
        <f>H2165</f>
        <v>0</v>
      </c>
      <c r="I2166" s="1192">
        <f t="shared" si="88"/>
        <v>0</v>
      </c>
      <c r="J2166" s="1041"/>
      <c r="K2166" s="1011"/>
      <c r="L2166" s="1015"/>
      <c r="M2166" s="934">
        <v>630</v>
      </c>
    </row>
    <row r="2167" spans="1:13" s="1016" customFormat="1" ht="25.2" hidden="1" customHeight="1">
      <c r="A2167" s="1086">
        <f t="shared" si="89"/>
        <v>0</v>
      </c>
      <c r="B2167" s="1087" t="s">
        <v>1814</v>
      </c>
      <c r="C2167" s="2842"/>
      <c r="D2167" s="1055"/>
      <c r="E2167" s="1012"/>
      <c r="F2167" s="1056" t="str">
        <f>VLOOKUP($B2167,DG!A:D,DG!$C$2,)</f>
        <v>Vật liệu dựng trụ</v>
      </c>
      <c r="G2167" s="1012" t="str">
        <f>VLOOKUP($B2167,DG!A:D,DG!$D$2,)</f>
        <v>trụ</v>
      </c>
      <c r="H2167" s="1740">
        <f>H2166</f>
        <v>0</v>
      </c>
      <c r="I2167" s="1192">
        <f t="shared" si="88"/>
        <v>0</v>
      </c>
      <c r="J2167" s="1011"/>
      <c r="K2167" s="1011"/>
      <c r="L2167" s="1015"/>
      <c r="M2167" s="934">
        <v>630</v>
      </c>
    </row>
    <row r="2168" spans="1:13" s="1016" customFormat="1" ht="25.2" hidden="1" customHeight="1">
      <c r="A2168" s="1086">
        <f t="shared" si="89"/>
        <v>0</v>
      </c>
      <c r="B2168" s="1087" t="s">
        <v>644</v>
      </c>
      <c r="C2168" s="2842"/>
      <c r="D2168" s="1055"/>
      <c r="E2168" s="1012" t="str">
        <f>VLOOKUP($B2168,DG!A:D,DG!$B$2,)</f>
        <v>04.9203</v>
      </c>
      <c r="F2168" s="1056" t="str">
        <f>VLOOKUP($B2168,DG!A:D,DG!$C$2,)</f>
        <v>Dựng trụ BTLT 10,5m trong TBA bằng thủ công + cơ giới</v>
      </c>
      <c r="G2168" s="1012" t="str">
        <f>VLOOKUP($B2168,DG!A:D,DG!$D$2,)</f>
        <v>trụ</v>
      </c>
      <c r="H2168" s="1740">
        <f>H2166</f>
        <v>0</v>
      </c>
      <c r="I2168" s="1192">
        <f t="shared" si="88"/>
        <v>0</v>
      </c>
      <c r="J2168" s="1041"/>
      <c r="K2168" s="1041"/>
      <c r="L2168" s="1015"/>
      <c r="M2168" s="934">
        <v>630</v>
      </c>
    </row>
    <row r="2169" spans="1:13" s="1016" customFormat="1" ht="25.2" hidden="1" customHeight="1">
      <c r="A2169" s="1086">
        <f t="shared" si="89"/>
        <v>0</v>
      </c>
      <c r="B2169" s="1254"/>
      <c r="C2169" s="2857"/>
      <c r="D2169" s="1017">
        <f>IF(H2169&gt;0,D2161+1,D2161)</f>
        <v>0</v>
      </c>
      <c r="E2169" s="1051"/>
      <c r="F2169" s="1052" t="s">
        <v>2352</v>
      </c>
      <c r="G2169" s="1053" t="s">
        <v>2327</v>
      </c>
      <c r="H2169" s="1739">
        <f>H2161</f>
        <v>0</v>
      </c>
      <c r="I2169" s="1192">
        <f t="shared" si="88"/>
        <v>0</v>
      </c>
      <c r="J2169" s="1011"/>
      <c r="K2169" s="1011"/>
      <c r="L2169" s="1043"/>
      <c r="M2169" s="934">
        <v>630</v>
      </c>
    </row>
    <row r="2170" spans="1:13" s="1016" customFormat="1" ht="25.2" hidden="1" customHeight="1">
      <c r="A2170" s="1086">
        <f t="shared" si="89"/>
        <v>0</v>
      </c>
      <c r="B2170" s="1233" t="s">
        <v>636</v>
      </c>
      <c r="C2170" s="2843"/>
      <c r="D2170" s="1055"/>
      <c r="E2170" s="1012" t="str">
        <f>VLOOKUP($B2170,DG!A:D,DG!$B$2,)</f>
        <v>04.4001</v>
      </c>
      <c r="F2170" s="1057" t="str">
        <f>VLOOKUP($B2170,DG!A:D,DG!$C$2,)</f>
        <v>Đà cản BTCT 1,2m</v>
      </c>
      <c r="G2170" s="1024" t="str">
        <f>VLOOKUP($B2170,DG!A:D,DG!$D$2,)</f>
        <v>cái</v>
      </c>
      <c r="H2170" s="1740">
        <f>H2169</f>
        <v>0</v>
      </c>
      <c r="I2170" s="1192">
        <f t="shared" si="88"/>
        <v>0</v>
      </c>
      <c r="J2170" s="1041"/>
      <c r="K2170" s="1011"/>
      <c r="L2170" s="1043"/>
      <c r="M2170" s="934">
        <v>630</v>
      </c>
    </row>
    <row r="2171" spans="1:13" s="1016" customFormat="1" ht="25.2" hidden="1" customHeight="1">
      <c r="A2171" s="1086">
        <f t="shared" si="89"/>
        <v>0</v>
      </c>
      <c r="B2171" s="1233" t="s">
        <v>566</v>
      </c>
      <c r="C2171" s="2843"/>
      <c r="D2171" s="1055"/>
      <c r="E2171" s="1024"/>
      <c r="F2171" s="1057" t="str">
        <f>VLOOKUP($B2171,DG!A:D,DG!$C$2,)</f>
        <v>Boulon 22x650+ 2 long đền vuông D24-50x50x3/Zn</v>
      </c>
      <c r="G2171" s="1024" t="str">
        <f>VLOOKUP($B2171,DG!A:D,DG!$D$2,)</f>
        <v>bộ</v>
      </c>
      <c r="H2171" s="1740">
        <f>H2170</f>
        <v>0</v>
      </c>
      <c r="I2171" s="1192">
        <f t="shared" si="88"/>
        <v>0</v>
      </c>
      <c r="J2171" s="1057"/>
      <c r="K2171" s="1011"/>
      <c r="L2171" s="1043"/>
      <c r="M2171" s="934">
        <v>630</v>
      </c>
    </row>
    <row r="2172" spans="1:13" s="1016" customFormat="1" ht="25.2" hidden="1" customHeight="1">
      <c r="A2172" s="1086">
        <f t="shared" si="89"/>
        <v>0</v>
      </c>
      <c r="B2172" s="1233" t="str">
        <f>IF(chitiet!G5=1,"MDD1",IF(chitiet!G5=2,"MDD2",IF(chitiet!G5=3,"MDD3",IF(chitiet!G5=4,"MDD4"))))</f>
        <v>MDD3</v>
      </c>
      <c r="C2172" s="2843"/>
      <c r="D2172" s="1055"/>
      <c r="E2172" s="1024" t="str">
        <f>VLOOKUP($B2172,DG!A:D,DG!$B$2,)</f>
        <v>03.1013</v>
      </c>
      <c r="F2172" s="1057" t="str">
        <f>VLOOKUP($B2172,DG!A:D,DG!$C$2,)</f>
        <v>Đào hố móng đất cấp 3 sâu &gt;1m</v>
      </c>
      <c r="G2172" s="1024" t="str">
        <f>VLOOKUP($B2172,DG!A:D,DG!$D$2,)</f>
        <v>m3</v>
      </c>
      <c r="H2172" s="1741">
        <f>1.45*H2170</f>
        <v>0</v>
      </c>
      <c r="I2172" s="1192">
        <f t="shared" si="88"/>
        <v>0</v>
      </c>
      <c r="J2172" s="1058"/>
      <c r="K2172" s="1011"/>
      <c r="L2172" s="1043"/>
      <c r="M2172" s="934">
        <v>630</v>
      </c>
    </row>
    <row r="2173" spans="1:13" s="1016" customFormat="1" ht="25.2" hidden="1" customHeight="1">
      <c r="A2173" s="1086">
        <f t="shared" si="89"/>
        <v>0</v>
      </c>
      <c r="B2173" s="1233" t="str">
        <f>IF(chitiet!G5=1,"MDAP1",IF(chitiet!G5=2,"MDAP2",IF(chitiet!G5=3,"MDAP3",IF(chitiet!G5=4,"MDAP4"))))</f>
        <v>MDAP3</v>
      </c>
      <c r="C2173" s="2843"/>
      <c r="D2173" s="1055"/>
      <c r="E2173" s="1024" t="str">
        <f>VLOOKUP($B2173,DG!A:D,DG!$B$2,)</f>
        <v>03.4113</v>
      </c>
      <c r="F2173" s="1057" t="str">
        <f>VLOOKUP($B2173,DG!A:D,DG!$C$2,)</f>
        <v>Đắp đất hố móng, độ chặt k=0,95</v>
      </c>
      <c r="G2173" s="1024" t="str">
        <f>VLOOKUP($B2173,DG!A:D,DG!$D$2,)</f>
        <v>m3</v>
      </c>
      <c r="H2173" s="1741">
        <f>1.37*H2169</f>
        <v>0</v>
      </c>
      <c r="I2173" s="1192">
        <f t="shared" si="88"/>
        <v>0</v>
      </c>
      <c r="J2173" s="1058"/>
      <c r="K2173" s="1011"/>
      <c r="L2173" s="1043"/>
      <c r="M2173" s="934">
        <v>630</v>
      </c>
    </row>
    <row r="2174" spans="1:13" s="1016" customFormat="1" ht="25.2" hidden="1" customHeight="1">
      <c r="A2174" s="1086">
        <f t="shared" si="89"/>
        <v>0</v>
      </c>
      <c r="B2174" s="1254"/>
      <c r="C2174" s="2857"/>
      <c r="D2174" s="1017">
        <f>IF(H2174&gt;0,D2166+1,D2166)</f>
        <v>0</v>
      </c>
      <c r="E2174" s="1051"/>
      <c r="F2174" s="1052" t="s">
        <v>3713</v>
      </c>
      <c r="G2174" s="1053" t="s">
        <v>2327</v>
      </c>
      <c r="H2174" s="1739">
        <f>H2165*0</f>
        <v>0</v>
      </c>
      <c r="I2174" s="1192">
        <f t="shared" ref="I2174:I2237" si="91">IF(M2174=$M$23,H2174+J2174-K2174,0)</f>
        <v>0</v>
      </c>
      <c r="J2174" s="1011"/>
      <c r="K2174" s="1011"/>
      <c r="L2174" s="1015"/>
      <c r="M2174" s="934">
        <v>630</v>
      </c>
    </row>
    <row r="2175" spans="1:13" s="1016" customFormat="1" ht="25.2" hidden="1" customHeight="1">
      <c r="A2175" s="1086">
        <f t="shared" si="89"/>
        <v>0</v>
      </c>
      <c r="B2175" s="1233" t="s">
        <v>636</v>
      </c>
      <c r="C2175" s="2843"/>
      <c r="D2175" s="1055"/>
      <c r="E2175" s="1012" t="str">
        <f>VLOOKUP($B2175,DG!A:D,DG!$B$2,)</f>
        <v>04.4001</v>
      </c>
      <c r="F2175" s="1057" t="str">
        <f>VLOOKUP($B2175,DG!A:D,DG!$C$2,)</f>
        <v>Đà cản BTCT 1,2m</v>
      </c>
      <c r="G2175" s="1024" t="str">
        <f>VLOOKUP($B2175,DG!A:D,DG!$D$2,)</f>
        <v>cái</v>
      </c>
      <c r="H2175" s="1740">
        <f>H2174</f>
        <v>0</v>
      </c>
      <c r="I2175" s="1192">
        <f t="shared" si="91"/>
        <v>0</v>
      </c>
      <c r="J2175" s="1041"/>
      <c r="K2175" s="1011"/>
      <c r="L2175" s="1015"/>
      <c r="M2175" s="934">
        <v>630</v>
      </c>
    </row>
    <row r="2176" spans="1:13" s="1016" customFormat="1" ht="25.2" hidden="1" customHeight="1">
      <c r="A2176" s="1086">
        <f t="shared" si="89"/>
        <v>0</v>
      </c>
      <c r="B2176" s="1233" t="s">
        <v>566</v>
      </c>
      <c r="C2176" s="2843"/>
      <c r="D2176" s="1055"/>
      <c r="E2176" s="1024"/>
      <c r="F2176" s="1057" t="str">
        <f>VLOOKUP($B2176,DG!A:D,DG!$C$2,)</f>
        <v>Boulon 22x650+ 2 long đền vuông D24-50x50x3/Zn</v>
      </c>
      <c r="G2176" s="1024" t="str">
        <f>VLOOKUP($B2176,DG!A:D,DG!$D$2,)</f>
        <v>bộ</v>
      </c>
      <c r="H2176" s="1740">
        <f>H2175</f>
        <v>0</v>
      </c>
      <c r="I2176" s="1192">
        <f t="shared" si="91"/>
        <v>0</v>
      </c>
      <c r="J2176" s="1057"/>
      <c r="K2176" s="1011"/>
      <c r="L2176" s="1015"/>
      <c r="M2176" s="934">
        <v>630</v>
      </c>
    </row>
    <row r="2177" spans="1:13" s="1016" customFormat="1" ht="25.2" hidden="1" customHeight="1">
      <c r="A2177" s="1086">
        <f t="shared" si="89"/>
        <v>0</v>
      </c>
      <c r="B2177" s="1233" t="str">
        <f>IF(chitiet!G5=1,"MDD1",IF(chitiet!G5=2,"MDD2",IF(chitiet!G5=3,"MDD3",IF(chitiet!G5=4,"MDD4"))))</f>
        <v>MDD3</v>
      </c>
      <c r="C2177" s="2843"/>
      <c r="D2177" s="1055"/>
      <c r="E2177" s="1024" t="str">
        <f>VLOOKUP($B2177,DG!A:D,DG!$B$2,)</f>
        <v>03.1013</v>
      </c>
      <c r="F2177" s="1057" t="str">
        <f>VLOOKUP($B2177,DG!A:D,DG!$C$2,)</f>
        <v>Đào hố móng đất cấp 3 sâu &gt;1m</v>
      </c>
      <c r="G2177" s="1024" t="str">
        <f>VLOOKUP($B2177,DG!A:D,DG!$D$2,)</f>
        <v>m3</v>
      </c>
      <c r="H2177" s="1741">
        <f>1.48*H2175</f>
        <v>0</v>
      </c>
      <c r="I2177" s="1192">
        <f t="shared" si="91"/>
        <v>0</v>
      </c>
      <c r="J2177" s="1058"/>
      <c r="K2177" s="1011"/>
      <c r="L2177" s="1015"/>
      <c r="M2177" s="934">
        <v>630</v>
      </c>
    </row>
    <row r="2178" spans="1:13" s="1016" customFormat="1" ht="25.2" hidden="1" customHeight="1">
      <c r="A2178" s="1086">
        <f t="shared" si="89"/>
        <v>0</v>
      </c>
      <c r="B2178" s="1233" t="str">
        <f>IF(chitiet!G5=1,"MDAP1",IF(chitiet!G5=2,"MDAP2",IF(chitiet!G5=3,"MDAP3",IF(chitiet!G5=4,"MDAP4"))))</f>
        <v>MDAP3</v>
      </c>
      <c r="C2178" s="2843"/>
      <c r="D2178" s="1055"/>
      <c r="E2178" s="1024" t="str">
        <f>VLOOKUP($B2178,DG!A:D,DG!$B$2,)</f>
        <v>03.4113</v>
      </c>
      <c r="F2178" s="1057" t="str">
        <f>VLOOKUP($B2178,DG!A:D,DG!$C$2,)</f>
        <v>Đắp đất hố móng, độ chặt k=0,95</v>
      </c>
      <c r="G2178" s="1024" t="str">
        <f>VLOOKUP($B2178,DG!A:D,DG!$D$2,)</f>
        <v>m3</v>
      </c>
      <c r="H2178" s="1741">
        <f>1.39*H2174</f>
        <v>0</v>
      </c>
      <c r="I2178" s="1192">
        <f t="shared" si="91"/>
        <v>0</v>
      </c>
      <c r="J2178" s="1058"/>
      <c r="K2178" s="1011"/>
      <c r="L2178" s="1015"/>
      <c r="M2178" s="934">
        <v>630</v>
      </c>
    </row>
    <row r="2179" spans="1:13" s="1016" customFormat="1" ht="25.2" hidden="1" customHeight="1">
      <c r="A2179" s="1086">
        <f t="shared" si="89"/>
        <v>0</v>
      </c>
      <c r="B2179" s="1226"/>
      <c r="C2179" s="2841"/>
      <c r="D2179" s="1017">
        <f>IF(H2179&gt;0,D2169+1,D2169)</f>
        <v>0</v>
      </c>
      <c r="E2179" s="1059"/>
      <c r="F2179" s="1052" t="s">
        <v>3714</v>
      </c>
      <c r="G2179" s="1050" t="s">
        <v>2385</v>
      </c>
      <c r="H2179" s="1742">
        <f>H2150*1</f>
        <v>0</v>
      </c>
      <c r="I2179" s="1192">
        <f t="shared" si="91"/>
        <v>0</v>
      </c>
      <c r="J2179" s="1060"/>
      <c r="K2179" s="1060"/>
      <c r="L2179" s="1015"/>
      <c r="M2179" s="934">
        <v>630</v>
      </c>
    </row>
    <row r="2180" spans="1:13" s="1016" customFormat="1" ht="25.2" hidden="1" customHeight="1">
      <c r="A2180" s="1086">
        <f t="shared" si="89"/>
        <v>0</v>
      </c>
      <c r="B2180" s="1226"/>
      <c r="C2180" s="2841"/>
      <c r="D2180" s="1011"/>
      <c r="E2180" s="1061"/>
      <c r="F2180" s="1267" t="s">
        <v>2279</v>
      </c>
      <c r="G2180" s="1023"/>
      <c r="H2180" s="1713"/>
      <c r="I2180" s="1192">
        <f t="shared" si="91"/>
        <v>0</v>
      </c>
      <c r="J2180" s="1062"/>
      <c r="K2180" s="1062"/>
      <c r="L2180" s="1015"/>
      <c r="M2180" s="934">
        <v>630</v>
      </c>
    </row>
    <row r="2181" spans="1:13" s="1016" customFormat="1" ht="25.2" hidden="1" customHeight="1">
      <c r="A2181" s="1086">
        <f t="shared" si="89"/>
        <v>0</v>
      </c>
      <c r="B2181" s="1087" t="s">
        <v>1136</v>
      </c>
      <c r="C2181" s="2842"/>
      <c r="D2181" s="1011"/>
      <c r="E2181" s="1024" t="str">
        <f>VLOOKUP($B2181,DG!A:D,DG!$B$2,)</f>
        <v>05.6105</v>
      </c>
      <c r="F2181" s="1013" t="str">
        <f>VLOOKUP($B2181,DG!A:D,DG!$C$2,)&amp;": 2 cái"</f>
        <v>Đà U160x68x5x2800 đỡ MBA: 2 cái</v>
      </c>
      <c r="G2181" s="1012" t="str">
        <f>VLOOKUP($B2181,DG!A:D,DG!$D$2,)</f>
        <v>cái</v>
      </c>
      <c r="H2181" s="1713">
        <f>52.049*H2179*2</f>
        <v>0</v>
      </c>
      <c r="I2181" s="1192">
        <f t="shared" si="91"/>
        <v>0</v>
      </c>
      <c r="J2181" s="1041"/>
      <c r="K2181" s="1041"/>
      <c r="L2181" s="1015"/>
      <c r="M2181" s="934">
        <v>630</v>
      </c>
    </row>
    <row r="2182" spans="1:13" s="1016" customFormat="1" ht="25.2" hidden="1" customHeight="1">
      <c r="A2182" s="1086">
        <f t="shared" si="89"/>
        <v>0</v>
      </c>
      <c r="B2182" s="1087" t="s">
        <v>1137</v>
      </c>
      <c r="C2182" s="2842"/>
      <c r="D2182" s="1011"/>
      <c r="E2182" s="1024" t="str">
        <f>VLOOKUP($B2182,DG!A:D,DG!$B$2,)</f>
        <v>05.6101</v>
      </c>
      <c r="F2182" s="1013" t="str">
        <f>VLOOKUP($B2182,DG!A:D,DG!$C$2,)&amp;": 4 cái"</f>
        <v>Đà U100x46x4.5x400 : 4 cái</v>
      </c>
      <c r="G2182" s="1012" t="str">
        <f>VLOOKUP($B2182,DG!A:D,DG!$D$2,)</f>
        <v>cái</v>
      </c>
      <c r="H2182" s="1713">
        <f>H2179*2.713*4</f>
        <v>0</v>
      </c>
      <c r="I2182" s="1192">
        <f t="shared" si="91"/>
        <v>0</v>
      </c>
      <c r="J2182" s="1041"/>
      <c r="K2182" s="1041"/>
      <c r="L2182" s="1015"/>
      <c r="M2182" s="934">
        <v>630</v>
      </c>
    </row>
    <row r="2183" spans="1:13" s="1016" customFormat="1" ht="25.2" hidden="1" customHeight="1">
      <c r="A2183" s="1086">
        <f t="shared" si="89"/>
        <v>0</v>
      </c>
      <c r="B2183" s="1087" t="s">
        <v>1138</v>
      </c>
      <c r="C2183" s="2842"/>
      <c r="D2183" s="1011"/>
      <c r="E2183" s="1024" t="str">
        <f>VLOOKUP($B2183,DG!A:D,DG!$B$2,)</f>
        <v>05.6101</v>
      </c>
      <c r="F2183" s="1013" t="str">
        <f>VLOOKUP($B2183,DG!A:D,DG!$C$2,)&amp;": 2 cái"</f>
        <v>Đà U100x46x5x800 : 2 cái</v>
      </c>
      <c r="G2183" s="1012" t="str">
        <f>VLOOKUP($B2183,DG!A:D,DG!$D$2,)</f>
        <v>cái</v>
      </c>
      <c r="H2183" s="1713">
        <f>H2179*5.426*2</f>
        <v>0</v>
      </c>
      <c r="I2183" s="1192">
        <f t="shared" si="91"/>
        <v>0</v>
      </c>
      <c r="J2183" s="1041"/>
      <c r="K2183" s="1041"/>
      <c r="L2183" s="1015"/>
      <c r="M2183" s="934">
        <v>630</v>
      </c>
    </row>
    <row r="2184" spans="1:13" s="1016" customFormat="1" ht="25.2" hidden="1" customHeight="1">
      <c r="A2184" s="1086">
        <f t="shared" si="89"/>
        <v>0</v>
      </c>
      <c r="B2184" s="1226" t="s">
        <v>1781</v>
      </c>
      <c r="C2184" s="2841"/>
      <c r="D2184" s="1011"/>
      <c r="E2184" s="1024">
        <f>VLOOKUP($B2184,DG!A:D,DG!$B$2,)</f>
        <v>0</v>
      </c>
      <c r="F2184" s="1013" t="str">
        <f>VLOOKUP($B2184,DG!A:D,DG!$C$2,)</f>
        <v>Boulon 16x400VRS+ 4 long đền vuông D18-50x50x3/Zn</v>
      </c>
      <c r="G2184" s="1012" t="str">
        <f>VLOOKUP($B2184,DG!A:D,DG!$D$2,)</f>
        <v>bộ</v>
      </c>
      <c r="H2184" s="1713">
        <f>H2179*10</f>
        <v>0</v>
      </c>
      <c r="I2184" s="1192">
        <f t="shared" si="91"/>
        <v>0</v>
      </c>
      <c r="J2184" s="1041"/>
      <c r="K2184" s="1041"/>
      <c r="L2184" s="1015"/>
      <c r="M2184" s="934">
        <v>630</v>
      </c>
    </row>
    <row r="2185" spans="1:13" s="1016" customFormat="1" ht="25.2" hidden="1" customHeight="1">
      <c r="A2185" s="1086">
        <f t="shared" si="89"/>
        <v>0</v>
      </c>
      <c r="B2185" s="1226" t="s">
        <v>1083</v>
      </c>
      <c r="C2185" s="2841"/>
      <c r="D2185" s="1011"/>
      <c r="E2185" s="1024">
        <f>VLOOKUP($B2185,DG!A:D,DG!$B$2,)</f>
        <v>0</v>
      </c>
      <c r="F2185" s="1013" t="str">
        <f>VLOOKUP($B2185,DG!A:D,DG!$C$2,)</f>
        <v>Boulon 16x400+ 2 long đền vuông D18-50x50x3/Zn</v>
      </c>
      <c r="G2185" s="1012" t="str">
        <f>VLOOKUP($B2185,DG!A:D,DG!$D$2,)</f>
        <v>bộ</v>
      </c>
      <c r="H2185" s="1713">
        <f>H2179*2</f>
        <v>0</v>
      </c>
      <c r="I2185" s="1192">
        <f t="shared" si="91"/>
        <v>0</v>
      </c>
      <c r="J2185" s="1041"/>
      <c r="K2185" s="1041"/>
      <c r="L2185" s="1015"/>
      <c r="M2185" s="934">
        <v>630</v>
      </c>
    </row>
    <row r="2186" spans="1:13" s="1016" customFormat="1" ht="25.2" hidden="1" customHeight="1">
      <c r="A2186" s="1086">
        <f t="shared" si="89"/>
        <v>0</v>
      </c>
      <c r="B2186" s="1226" t="s">
        <v>1079</v>
      </c>
      <c r="C2186" s="2841"/>
      <c r="D2186" s="1011"/>
      <c r="E2186" s="1024">
        <f>VLOOKUP($B2186,DG!A:D,DG!$B$2,)</f>
        <v>0</v>
      </c>
      <c r="F2186" s="1013" t="str">
        <f>VLOOKUP($B2186,DG!A:D,DG!$C$2,)</f>
        <v>Boulon 16x350+ 2 long đền vuông D18-50x50x3/Zn</v>
      </c>
      <c r="G2186" s="1012" t="str">
        <f>VLOOKUP($B2186,DG!A:D,DG!$D$2,)</f>
        <v>bộ</v>
      </c>
      <c r="H2186" s="1713">
        <f>H2179*12</f>
        <v>0</v>
      </c>
      <c r="I2186" s="1192">
        <f t="shared" si="91"/>
        <v>0</v>
      </c>
      <c r="J2186" s="1041"/>
      <c r="K2186" s="1041"/>
      <c r="L2186" s="1015"/>
      <c r="M2186" s="934">
        <v>630</v>
      </c>
    </row>
    <row r="2187" spans="1:13" s="1016" customFormat="1" ht="25.2" hidden="1" customHeight="1">
      <c r="A2187" s="1086">
        <f t="shared" si="89"/>
        <v>0</v>
      </c>
      <c r="B2187" s="1226"/>
      <c r="C2187" s="2841"/>
      <c r="D2187" s="1017">
        <f>IF(H2187&gt;0,D2179+1,D2179)</f>
        <v>0</v>
      </c>
      <c r="E2187" s="1018"/>
      <c r="F2187" s="1063" t="s">
        <v>3715</v>
      </c>
      <c r="G2187" s="1017" t="s">
        <v>2385</v>
      </c>
      <c r="H2187" s="1722">
        <f>H2179*2</f>
        <v>0</v>
      </c>
      <c r="I2187" s="1192">
        <f t="shared" si="91"/>
        <v>0</v>
      </c>
      <c r="J2187" s="1064"/>
      <c r="K2187" s="1064"/>
      <c r="L2187" s="1015"/>
      <c r="M2187" s="934">
        <v>630</v>
      </c>
    </row>
    <row r="2188" spans="1:13" s="1016" customFormat="1" ht="25.2" hidden="1" customHeight="1">
      <c r="A2188" s="1086">
        <f t="shared" si="89"/>
        <v>0</v>
      </c>
      <c r="B2188" s="1226"/>
      <c r="C2188" s="2841"/>
      <c r="D2188" s="1011"/>
      <c r="E2188" s="1024"/>
      <c r="F2188" s="1267" t="s">
        <v>2279</v>
      </c>
      <c r="G2188" s="1023"/>
      <c r="H2188" s="1713"/>
      <c r="I2188" s="1192">
        <f t="shared" si="91"/>
        <v>0</v>
      </c>
      <c r="J2188" s="1064"/>
      <c r="K2188" s="1064"/>
      <c r="L2188" s="1015"/>
      <c r="M2188" s="934">
        <v>630</v>
      </c>
    </row>
    <row r="2189" spans="1:13" s="1016" customFormat="1" ht="25.2" hidden="1" customHeight="1">
      <c r="A2189" s="1086">
        <f t="shared" si="89"/>
        <v>0</v>
      </c>
      <c r="B2189" s="1233" t="s">
        <v>2022</v>
      </c>
      <c r="C2189" s="2843"/>
      <c r="D2189" s="1011"/>
      <c r="E2189" s="1024">
        <f>VLOOKUP($B2189,DG!A:D,DG!$B$2,)</f>
        <v>0</v>
      </c>
      <c r="F2189" s="1013" t="str">
        <f>VLOOKUP($B2189,DG!A:D,DG!$C$2,)</f>
        <v>Sắt góc L75 x75 x8</v>
      </c>
      <c r="G2189" s="1024" t="str">
        <f>VLOOKUP($B2189,DG!A:D,DG!$D$2,)</f>
        <v>kg</v>
      </c>
      <c r="H2189" s="1713">
        <f>H2187*9.42*(2.6+3*0.07)*2</f>
        <v>0</v>
      </c>
      <c r="I2189" s="1192">
        <f t="shared" si="91"/>
        <v>0</v>
      </c>
      <c r="J2189" s="1041"/>
      <c r="K2189" s="1041"/>
      <c r="L2189" s="1015"/>
      <c r="M2189" s="934">
        <v>630</v>
      </c>
    </row>
    <row r="2190" spans="1:13" s="1016" customFormat="1" ht="25.2" hidden="1" customHeight="1">
      <c r="A2190" s="1086">
        <f t="shared" si="89"/>
        <v>0</v>
      </c>
      <c r="B2190" s="1226" t="s">
        <v>1784</v>
      </c>
      <c r="C2190" s="2841"/>
      <c r="D2190" s="1011"/>
      <c r="E2190" s="1024">
        <f>VLOOKUP($B2190,DG!A:D,DG!$B$2,)</f>
        <v>0</v>
      </c>
      <c r="F2190" s="1013" t="str">
        <f>VLOOKUP($B2190,DG!A:D,DG!$C$2,)</f>
        <v>Boulon 16x300VRS+ 4 long đền vuông D18-50x50x3/Zn</v>
      </c>
      <c r="G2190" s="1024" t="str">
        <f>VLOOKUP($B2190,DG!A:D,DG!$D$2,)</f>
        <v>bộ</v>
      </c>
      <c r="H2190" s="1713">
        <f>H2187*2</f>
        <v>0</v>
      </c>
      <c r="I2190" s="1192">
        <f t="shared" si="91"/>
        <v>0</v>
      </c>
      <c r="J2190" s="1041"/>
      <c r="K2190" s="1041"/>
      <c r="L2190" s="1015"/>
      <c r="M2190" s="934">
        <v>630</v>
      </c>
    </row>
    <row r="2191" spans="1:13" s="1016" customFormat="1" ht="25.2" hidden="1" customHeight="1">
      <c r="A2191" s="1086">
        <f t="shared" si="89"/>
        <v>0</v>
      </c>
      <c r="B2191" s="1226" t="s">
        <v>1610</v>
      </c>
      <c r="C2191" s="2841"/>
      <c r="D2191" s="1011"/>
      <c r="E2191" s="1024">
        <f>VLOOKUP($B2191,DG!A:D,DG!$B$2,)</f>
        <v>0</v>
      </c>
      <c r="F2191" s="1013" t="str">
        <f>VLOOKUP($B2191,DG!A:D,DG!$C$2,)</f>
        <v>Boulon 16x300+ 2 long đền vuông D18-50x50x3/Zn</v>
      </c>
      <c r="G2191" s="1024" t="str">
        <f>VLOOKUP($B2191,DG!A:D,DG!$D$2,)</f>
        <v>bộ</v>
      </c>
      <c r="H2191" s="1713">
        <f>H2187*2</f>
        <v>0</v>
      </c>
      <c r="I2191" s="1192">
        <f t="shared" si="91"/>
        <v>0</v>
      </c>
      <c r="J2191" s="1041"/>
      <c r="K2191" s="1041"/>
      <c r="L2191" s="1015"/>
      <c r="M2191" s="934">
        <v>630</v>
      </c>
    </row>
    <row r="2192" spans="1:13" s="1016" customFormat="1" ht="25.2" hidden="1" customHeight="1">
      <c r="A2192" s="1086">
        <f t="shared" si="89"/>
        <v>0</v>
      </c>
      <c r="B2192" s="1226" t="s">
        <v>1609</v>
      </c>
      <c r="C2192" s="2841"/>
      <c r="D2192" s="1011"/>
      <c r="E2192" s="1024">
        <f>VLOOKUP($B2192,DG!A:D,DG!$B$2,)</f>
        <v>0</v>
      </c>
      <c r="F2192" s="1013" t="str">
        <f>VLOOKUP($B2192,DG!A:D,DG!$C$2,)</f>
        <v>Boulon 16x250+ 2 long đền vuông D18-50x50x3/Zn</v>
      </c>
      <c r="G2192" s="1024" t="str">
        <f>VLOOKUP($B2192,DG!A:D,DG!$D$2,)</f>
        <v>bộ</v>
      </c>
      <c r="H2192" s="1713">
        <f>H2191</f>
        <v>0</v>
      </c>
      <c r="I2192" s="1192">
        <f t="shared" si="91"/>
        <v>0</v>
      </c>
      <c r="J2192" s="1041"/>
      <c r="K2192" s="1041"/>
      <c r="L2192" s="1015"/>
      <c r="M2192" s="934">
        <v>630</v>
      </c>
    </row>
    <row r="2193" spans="1:13" s="1016" customFormat="1" ht="25.2" hidden="1" customHeight="1">
      <c r="A2193" s="1086">
        <f t="shared" si="89"/>
        <v>0</v>
      </c>
      <c r="B2193" s="1226" t="s">
        <v>2242</v>
      </c>
      <c r="C2193" s="2841"/>
      <c r="D2193" s="1011"/>
      <c r="E2193" s="1024" t="str">
        <f>VLOOKUP($B2193,DG!A:D,DG!$B$2,)</f>
        <v>05.6044</v>
      </c>
      <c r="F2193" s="1013" t="str">
        <f>VLOOKUP($B2193,DG!A:D,DG!$C$2,)</f>
        <v>Lắp xà cột Pi loại ≤140kg/xà</v>
      </c>
      <c r="G2193" s="1024" t="str">
        <f>VLOOKUP($B2193,DG!A:D,DG!$D$2,)</f>
        <v>bộ</v>
      </c>
      <c r="H2193" s="1713">
        <f>H2187</f>
        <v>0</v>
      </c>
      <c r="I2193" s="1192">
        <f t="shared" si="91"/>
        <v>0</v>
      </c>
      <c r="J2193" s="1041"/>
      <c r="K2193" s="1041"/>
      <c r="L2193" s="1015"/>
      <c r="M2193" s="934">
        <v>630</v>
      </c>
    </row>
    <row r="2194" spans="1:13" s="1016" customFormat="1" ht="25.2" hidden="1" customHeight="1">
      <c r="A2194" s="1086">
        <f t="shared" si="89"/>
        <v>0</v>
      </c>
      <c r="B2194" s="1226"/>
      <c r="C2194" s="2841"/>
      <c r="D2194" s="1017">
        <f>IF(H2194&gt;0,D2187+1,D2187)</f>
        <v>0</v>
      </c>
      <c r="E2194" s="1018"/>
      <c r="F2194" s="1063" t="s">
        <v>3716</v>
      </c>
      <c r="G2194" s="1017" t="s">
        <v>2385</v>
      </c>
      <c r="H2194" s="1722">
        <f>H2150*2</f>
        <v>0</v>
      </c>
      <c r="I2194" s="1192">
        <f t="shared" si="91"/>
        <v>0</v>
      </c>
      <c r="J2194" s="1064"/>
      <c r="K2194" s="1064"/>
      <c r="L2194" s="1015"/>
      <c r="M2194" s="934">
        <v>630</v>
      </c>
    </row>
    <row r="2195" spans="1:13" s="1016" customFormat="1" ht="25.2" hidden="1" customHeight="1">
      <c r="A2195" s="1086">
        <f t="shared" si="89"/>
        <v>0</v>
      </c>
      <c r="B2195" s="1226"/>
      <c r="C2195" s="2841"/>
      <c r="D2195" s="1011"/>
      <c r="E2195" s="1021"/>
      <c r="F2195" s="1267" t="s">
        <v>2279</v>
      </c>
      <c r="G2195" s="1023"/>
      <c r="H2195" s="1713"/>
      <c r="I2195" s="1192">
        <f t="shared" si="91"/>
        <v>0</v>
      </c>
      <c r="J2195" s="1064"/>
      <c r="K2195" s="1064"/>
      <c r="L2195" s="1015"/>
      <c r="M2195" s="934">
        <v>630</v>
      </c>
    </row>
    <row r="2196" spans="1:13" s="1016" customFormat="1" ht="25.2" hidden="1" customHeight="1">
      <c r="A2196" s="1086">
        <f t="shared" si="89"/>
        <v>0</v>
      </c>
      <c r="B2196" s="1233" t="s">
        <v>2022</v>
      </c>
      <c r="C2196" s="2843"/>
      <c r="D2196" s="1011"/>
      <c r="E2196" s="1024">
        <f>VLOOKUP($B2196,DG!A:D,DG!$B$2,)</f>
        <v>0</v>
      </c>
      <c r="F2196" s="1013" t="str">
        <f>VLOOKUP($B2196,DG!A:D,DG!$C$2,)</f>
        <v>Sắt góc L75 x75 x8</v>
      </c>
      <c r="G2196" s="1024" t="str">
        <f>VLOOKUP($B2196,DG!A:D,DG!$D$2,)</f>
        <v>kg</v>
      </c>
      <c r="H2196" s="1713">
        <f>H2194*9.42*(2.6+3*0.07)</f>
        <v>0</v>
      </c>
      <c r="I2196" s="1192">
        <f t="shared" si="91"/>
        <v>0</v>
      </c>
      <c r="J2196" s="1041"/>
      <c r="K2196" s="1041"/>
      <c r="L2196" s="1015"/>
      <c r="M2196" s="934">
        <v>630</v>
      </c>
    </row>
    <row r="2197" spans="1:13" s="1016" customFormat="1" ht="25.2" hidden="1" customHeight="1">
      <c r="A2197" s="1086">
        <f t="shared" si="89"/>
        <v>0</v>
      </c>
      <c r="B2197" s="1226" t="s">
        <v>1609</v>
      </c>
      <c r="C2197" s="2841"/>
      <c r="D2197" s="1011"/>
      <c r="E2197" s="1024">
        <f>VLOOKUP($B2197,DG!A:D,DG!$B$2,)</f>
        <v>0</v>
      </c>
      <c r="F2197" s="1013" t="str">
        <f>VLOOKUP($B2197,DG!A:D,DG!$C$2,)</f>
        <v>Boulon 16x250+ 2 long đền vuông D18-50x50x3/Zn</v>
      </c>
      <c r="G2197" s="1024" t="str">
        <f>VLOOKUP($B2197,DG!A:D,DG!$D$2,)</f>
        <v>bộ</v>
      </c>
      <c r="H2197" s="1713">
        <f>H2194</f>
        <v>0</v>
      </c>
      <c r="I2197" s="1192">
        <f t="shared" si="91"/>
        <v>0</v>
      </c>
      <c r="J2197" s="1041"/>
      <c r="K2197" s="1041"/>
      <c r="L2197" s="1015"/>
      <c r="M2197" s="934">
        <v>630</v>
      </c>
    </row>
    <row r="2198" spans="1:13" s="1016" customFormat="1" ht="25.2" hidden="1" customHeight="1">
      <c r="A2198" s="1086">
        <f t="shared" si="89"/>
        <v>0</v>
      </c>
      <c r="B2198" s="1226" t="s">
        <v>1610</v>
      </c>
      <c r="C2198" s="2841"/>
      <c r="D2198" s="1011"/>
      <c r="E2198" s="1024">
        <f>VLOOKUP($B2198,DG!A:D,DG!$B$2,)</f>
        <v>0</v>
      </c>
      <c r="F2198" s="1013" t="str">
        <f>VLOOKUP($B2198,DG!A:D,DG!$C$2,)</f>
        <v>Boulon 16x300+ 2 long đền vuông D18-50x50x3/Zn</v>
      </c>
      <c r="G2198" s="1024" t="str">
        <f>VLOOKUP($B2198,DG!A:D,DG!$D$2,)</f>
        <v>bộ</v>
      </c>
      <c r="H2198" s="1713">
        <f>H2194</f>
        <v>0</v>
      </c>
      <c r="I2198" s="1192">
        <f t="shared" si="91"/>
        <v>0</v>
      </c>
      <c r="J2198" s="1041"/>
      <c r="K2198" s="1041"/>
      <c r="L2198" s="1015"/>
      <c r="M2198" s="934">
        <v>630</v>
      </c>
    </row>
    <row r="2199" spans="1:13" s="1016" customFormat="1" ht="25.2" hidden="1" customHeight="1">
      <c r="A2199" s="1086">
        <f t="shared" si="89"/>
        <v>0</v>
      </c>
      <c r="B2199" s="1226" t="s">
        <v>30</v>
      </c>
      <c r="C2199" s="2841"/>
      <c r="D2199" s="1011"/>
      <c r="E2199" s="1024">
        <f>VLOOKUP($B2199,DG!A:D,DG!$B$2,)</f>
        <v>0</v>
      </c>
      <c r="F2199" s="1013" t="str">
        <f>VLOOKUP($B2199,DG!A:D,DG!$C$2,)</f>
        <v>Bass LI bắt FCO</v>
      </c>
      <c r="G2199" s="1024" t="str">
        <f>VLOOKUP($B2199,DG!A:D,DG!$D$2,)</f>
        <v>Bộ</v>
      </c>
      <c r="H2199" s="1713">
        <f>H2151*2</f>
        <v>0</v>
      </c>
      <c r="I2199" s="1192">
        <f t="shared" si="91"/>
        <v>0</v>
      </c>
      <c r="J2199" s="1041"/>
      <c r="K2199" s="1041"/>
      <c r="L2199" s="1015"/>
      <c r="M2199" s="934">
        <v>630</v>
      </c>
    </row>
    <row r="2200" spans="1:13" s="1016" customFormat="1" ht="25.2" hidden="1" customHeight="1">
      <c r="A2200" s="1086">
        <f t="shared" si="89"/>
        <v>0</v>
      </c>
      <c r="B2200" s="1226" t="s">
        <v>2242</v>
      </c>
      <c r="C2200" s="2841"/>
      <c r="D2200" s="1011"/>
      <c r="E2200" s="1024" t="str">
        <f>VLOOKUP($B2200,DG!A:D,DG!$B$2,)</f>
        <v>05.6044</v>
      </c>
      <c r="F2200" s="1013" t="str">
        <f>VLOOKUP($B2200,DG!A:D,DG!$C$2,)</f>
        <v>Lắp xà cột Pi loại ≤140kg/xà</v>
      </c>
      <c r="G2200" s="1024" t="str">
        <f>VLOOKUP($B2200,DG!A:D,DG!$D$2,)</f>
        <v>bộ</v>
      </c>
      <c r="H2200" s="1713">
        <f>H2150</f>
        <v>0</v>
      </c>
      <c r="I2200" s="1192">
        <f t="shared" si="91"/>
        <v>0</v>
      </c>
      <c r="J2200" s="1041"/>
      <c r="K2200" s="1041"/>
      <c r="L2200" s="1015"/>
      <c r="M2200" s="934">
        <v>630</v>
      </c>
    </row>
    <row r="2201" spans="1:13" s="1016" customFormat="1" ht="25.2" hidden="1" customHeight="1">
      <c r="A2201" s="1086">
        <f t="shared" si="89"/>
        <v>0</v>
      </c>
      <c r="B2201" s="1226"/>
      <c r="C2201" s="2841"/>
      <c r="D2201" s="1017">
        <f>IF(H2201&gt;0,D2194+1,D2194)</f>
        <v>0</v>
      </c>
      <c r="E2201" s="1018"/>
      <c r="F2201" s="1063" t="s">
        <v>3717</v>
      </c>
      <c r="G2201" s="1017" t="s">
        <v>2385</v>
      </c>
      <c r="H2201" s="1722">
        <f>H2150*2</f>
        <v>0</v>
      </c>
      <c r="I2201" s="1192">
        <f t="shared" si="91"/>
        <v>0</v>
      </c>
      <c r="J2201" s="1064"/>
      <c r="K2201" s="1064"/>
      <c r="L2201" s="1015"/>
      <c r="M2201" s="934">
        <v>630</v>
      </c>
    </row>
    <row r="2202" spans="1:13" s="1016" customFormat="1" ht="25.2" hidden="1" customHeight="1">
      <c r="A2202" s="1086">
        <f t="shared" ref="A2202:A2265" si="92">IF(AND(M2202=$M$23,I2202&gt;0),1,0)</f>
        <v>0</v>
      </c>
      <c r="B2202" s="1226"/>
      <c r="C2202" s="2841"/>
      <c r="D2202" s="1011"/>
      <c r="E2202" s="1021"/>
      <c r="F2202" s="1267" t="s">
        <v>2279</v>
      </c>
      <c r="G2202" s="1023"/>
      <c r="H2202" s="1713"/>
      <c r="I2202" s="1192">
        <f t="shared" si="91"/>
        <v>0</v>
      </c>
      <c r="J2202" s="1064"/>
      <c r="K2202" s="1064"/>
      <c r="L2202" s="1015"/>
      <c r="M2202" s="934">
        <v>630</v>
      </c>
    </row>
    <row r="2203" spans="1:13" s="1016" customFormat="1" ht="25.2" hidden="1" customHeight="1">
      <c r="A2203" s="1086">
        <f t="shared" si="92"/>
        <v>0</v>
      </c>
      <c r="B2203" s="1226" t="s">
        <v>2022</v>
      </c>
      <c r="C2203" s="2841"/>
      <c r="D2203" s="1011"/>
      <c r="E2203" s="1024">
        <f>VLOOKUP($B2203,DG!A:D,DG!$B$2,)</f>
        <v>0</v>
      </c>
      <c r="F2203" s="1013" t="str">
        <f>VLOOKUP($B2203,DG!A:D,DG!$C$2,)</f>
        <v>Sắt góc L75 x75 x8</v>
      </c>
      <c r="G2203" s="1024" t="str">
        <f>VLOOKUP($B2203,DG!A:D,DG!$D$2,)</f>
        <v>kg</v>
      </c>
      <c r="H2203" s="1713">
        <f>H2201*9.42*2.6</f>
        <v>0</v>
      </c>
      <c r="I2203" s="1192">
        <f t="shared" si="91"/>
        <v>0</v>
      </c>
      <c r="J2203" s="1041"/>
      <c r="K2203" s="1041"/>
      <c r="L2203" s="1015"/>
      <c r="M2203" s="934">
        <v>630</v>
      </c>
    </row>
    <row r="2204" spans="1:13" s="1016" customFormat="1" ht="25.2" hidden="1" customHeight="1">
      <c r="A2204" s="1086">
        <f t="shared" si="92"/>
        <v>0</v>
      </c>
      <c r="B2204" s="1226" t="s">
        <v>1083</v>
      </c>
      <c r="C2204" s="2841"/>
      <c r="D2204" s="1011"/>
      <c r="E2204" s="1024">
        <f>VLOOKUP($B2204,DG!A:D,DG!$B$2,)</f>
        <v>0</v>
      </c>
      <c r="F2204" s="1013" t="str">
        <f>VLOOKUP($B2204,DG!A:D,DG!$C$2,)</f>
        <v>Boulon 16x400+ 2 long đền vuông D18-50x50x3/Zn</v>
      </c>
      <c r="G2204" s="1024" t="str">
        <f>VLOOKUP($B2204,DG!A:D,DG!$D$2,)</f>
        <v>bộ</v>
      </c>
      <c r="H2204" s="1713">
        <f>H2201*2</f>
        <v>0</v>
      </c>
      <c r="I2204" s="1192">
        <f t="shared" si="91"/>
        <v>0</v>
      </c>
      <c r="J2204" s="1041"/>
      <c r="K2204" s="1041"/>
      <c r="L2204" s="1015"/>
      <c r="M2204" s="934">
        <v>630</v>
      </c>
    </row>
    <row r="2205" spans="1:13" s="1016" customFormat="1" ht="25.2" hidden="1" customHeight="1">
      <c r="A2205" s="1086">
        <f t="shared" si="92"/>
        <v>0</v>
      </c>
      <c r="B2205" s="1226" t="s">
        <v>138</v>
      </c>
      <c r="C2205" s="2841"/>
      <c r="D2205" s="1011"/>
      <c r="E2205" s="1024">
        <f>VLOOKUP($B2205,DG!A:D,DG!$B$2,)</f>
        <v>0</v>
      </c>
      <c r="F2205" s="1013" t="str">
        <f>VLOOKUP($B2205,DG!A:D,DG!$C$2,)</f>
        <v>Boulon 12x40+ 2 long đền vuông D14-50x50x3/Zn</v>
      </c>
      <c r="G2205" s="1024" t="str">
        <f>VLOOKUP($B2205,DG!A:D,DG!$D$2,)</f>
        <v>bộ</v>
      </c>
      <c r="H2205" s="1713">
        <f>H2201*2</f>
        <v>0</v>
      </c>
      <c r="I2205" s="1192">
        <f t="shared" si="91"/>
        <v>0</v>
      </c>
      <c r="J2205" s="1041"/>
      <c r="K2205" s="1041"/>
      <c r="L2205" s="1015"/>
      <c r="M2205" s="934">
        <v>630</v>
      </c>
    </row>
    <row r="2206" spans="1:13" s="1016" customFormat="1" ht="25.2" hidden="1" customHeight="1">
      <c r="A2206" s="1086">
        <f t="shared" si="92"/>
        <v>0</v>
      </c>
      <c r="B2206" s="1226" t="s">
        <v>2242</v>
      </c>
      <c r="C2206" s="2841"/>
      <c r="D2206" s="1011"/>
      <c r="E2206" s="1024" t="str">
        <f>VLOOKUP($B2206,DG!A:D,DG!$B$2,)</f>
        <v>05.6044</v>
      </c>
      <c r="F2206" s="1013" t="str">
        <f>VLOOKUP($B2206,DG!A:D,DG!$C$2,)</f>
        <v>Lắp xà cột Pi loại ≤140kg/xà</v>
      </c>
      <c r="G2206" s="1024" t="str">
        <f>VLOOKUP($B2206,DG!A:D,DG!$D$2,)</f>
        <v>bộ</v>
      </c>
      <c r="H2206" s="1713">
        <f>H2201/2</f>
        <v>0</v>
      </c>
      <c r="I2206" s="1192">
        <f t="shared" si="91"/>
        <v>0</v>
      </c>
      <c r="J2206" s="1041"/>
      <c r="K2206" s="1041"/>
      <c r="L2206" s="1015"/>
      <c r="M2206" s="934">
        <v>630</v>
      </c>
    </row>
    <row r="2207" spans="1:13" s="1016" customFormat="1" ht="25.2" hidden="1" customHeight="1">
      <c r="A2207" s="1086">
        <f t="shared" si="92"/>
        <v>0</v>
      </c>
      <c r="B2207" s="1226" t="s">
        <v>217</v>
      </c>
      <c r="C2207" s="2841"/>
      <c r="D2207" s="1011"/>
      <c r="E2207" s="1024" t="str">
        <f>VLOOKUP($B2207,DG!A:D,DG!$B$2,)</f>
        <v>02.1115</v>
      </c>
      <c r="F2207" s="1013" t="str">
        <f>VLOOKUP($B2207,DG!A:D,DG!$C$2,)</f>
        <v>Bốc dỡ xà, thép thanh</v>
      </c>
      <c r="G2207" s="1024" t="str">
        <f>VLOOKUP($B2207,DG!A:D,DG!$D$2,)</f>
        <v>tấn</v>
      </c>
      <c r="H2207" s="1713">
        <f>0.05*0</f>
        <v>0</v>
      </c>
      <c r="I2207" s="1192">
        <f t="shared" si="91"/>
        <v>0</v>
      </c>
      <c r="J2207" s="1041"/>
      <c r="K2207" s="1041"/>
      <c r="L2207" s="1015"/>
      <c r="M2207" s="934">
        <v>630</v>
      </c>
    </row>
    <row r="2208" spans="1:13" s="1016" customFormat="1" ht="25.2" hidden="1" customHeight="1">
      <c r="A2208" s="1086">
        <f t="shared" si="92"/>
        <v>0</v>
      </c>
      <c r="B2208" s="1226" t="s">
        <v>1610</v>
      </c>
      <c r="C2208" s="2841"/>
      <c r="D2208" s="1011"/>
      <c r="E2208" s="1024">
        <f>VLOOKUP($B2208,DG!A:D,DG!$B$2,)</f>
        <v>0</v>
      </c>
      <c r="F2208" s="1013" t="str">
        <f>VLOOKUP($B2208,DG!A:D,DG!$C$2,)</f>
        <v>Boulon 16x300+ 2 long đền vuông D18-50x50x3/Zn</v>
      </c>
      <c r="G2208" s="1012" t="s">
        <v>2439</v>
      </c>
      <c r="H2208" s="1713">
        <f>H2201*2*0</f>
        <v>0</v>
      </c>
      <c r="I2208" s="1192">
        <f t="shared" si="91"/>
        <v>0</v>
      </c>
      <c r="J2208" s="1041"/>
      <c r="K2208" s="1041"/>
      <c r="L2208" s="1015"/>
      <c r="M2208" s="934">
        <v>630</v>
      </c>
    </row>
    <row r="2209" spans="1:13" s="1016" customFormat="1" ht="25.2" hidden="1" customHeight="1">
      <c r="A2209" s="1086">
        <f t="shared" si="92"/>
        <v>0</v>
      </c>
      <c r="B2209" s="1226" t="s">
        <v>1609</v>
      </c>
      <c r="C2209" s="2841"/>
      <c r="D2209" s="1011"/>
      <c r="E2209" s="1024">
        <f>VLOOKUP($B2209,DG!A:D,DG!$B$2,)</f>
        <v>0</v>
      </c>
      <c r="F2209" s="1013" t="str">
        <f>VLOOKUP($B2209,DG!A:D,DG!$C$2,)</f>
        <v>Boulon 16x250+ 2 long đền vuông D18-50x50x3/Zn</v>
      </c>
      <c r="G2209" s="1012" t="s">
        <v>2439</v>
      </c>
      <c r="H2209" s="1713">
        <f>2*H2201*2*0</f>
        <v>0</v>
      </c>
      <c r="I2209" s="1192">
        <f t="shared" si="91"/>
        <v>0</v>
      </c>
      <c r="J2209" s="1041"/>
      <c r="K2209" s="1041"/>
      <c r="L2209" s="1015"/>
      <c r="M2209" s="934">
        <v>630</v>
      </c>
    </row>
    <row r="2210" spans="1:13" s="1016" customFormat="1" ht="25.2" hidden="1" customHeight="1" collapsed="1">
      <c r="A2210" s="1086">
        <f t="shared" si="92"/>
        <v>0</v>
      </c>
      <c r="B2210" s="1226"/>
      <c r="C2210" s="2841"/>
      <c r="D2210" s="1017">
        <f>IF(H2210&gt;0,D2201+1,D2201)</f>
        <v>0</v>
      </c>
      <c r="E2210" s="1018"/>
      <c r="F2210" s="1063" t="s">
        <v>3718</v>
      </c>
      <c r="G2210" s="1017" t="s">
        <v>2385</v>
      </c>
      <c r="H2210" s="1722">
        <f>H2150*0</f>
        <v>0</v>
      </c>
      <c r="I2210" s="1192">
        <f t="shared" si="91"/>
        <v>0</v>
      </c>
      <c r="J2210" s="1014"/>
      <c r="K2210" s="1014"/>
      <c r="L2210" s="1043"/>
      <c r="M2210" s="934">
        <v>630</v>
      </c>
    </row>
    <row r="2211" spans="1:13" s="1016" customFormat="1" ht="25.2" hidden="1" customHeight="1">
      <c r="A2211" s="1086">
        <f t="shared" si="92"/>
        <v>0</v>
      </c>
      <c r="B2211" s="1226"/>
      <c r="C2211" s="2841"/>
      <c r="D2211" s="1011"/>
      <c r="E2211" s="1021"/>
      <c r="F2211" s="1267" t="s">
        <v>2279</v>
      </c>
      <c r="G2211" s="1023"/>
      <c r="H2211" s="1713"/>
      <c r="I2211" s="1192">
        <f t="shared" si="91"/>
        <v>0</v>
      </c>
      <c r="J2211" s="1014"/>
      <c r="K2211" s="1014"/>
      <c r="L2211" s="1043"/>
      <c r="M2211" s="934">
        <v>630</v>
      </c>
    </row>
    <row r="2212" spans="1:13" s="1016" customFormat="1" ht="25.2" hidden="1" customHeight="1">
      <c r="A2212" s="1086">
        <f t="shared" si="92"/>
        <v>0</v>
      </c>
      <c r="B2212" s="1226" t="s">
        <v>2022</v>
      </c>
      <c r="C2212" s="2841"/>
      <c r="D2212" s="1011"/>
      <c r="E2212" s="1024">
        <f>VLOOKUP($B2212,DG!A:D,DG!$B$2,)</f>
        <v>0</v>
      </c>
      <c r="F2212" s="1013" t="str">
        <f>VLOOKUP($B2212,DG!A:D,DG!$C$2,)</f>
        <v>Sắt góc L75 x75 x8</v>
      </c>
      <c r="G2212" s="1012" t="s">
        <v>2248</v>
      </c>
      <c r="H2212" s="1713">
        <f>H2210*9.02*(2.4+4*0.07)*2</f>
        <v>0</v>
      </c>
      <c r="I2212" s="1192">
        <f t="shared" si="91"/>
        <v>0</v>
      </c>
      <c r="J2212" s="1014"/>
      <c r="K2212" s="1014"/>
      <c r="L2212" s="1043"/>
      <c r="M2212" s="934">
        <v>630</v>
      </c>
    </row>
    <row r="2213" spans="1:13" s="1016" customFormat="1" ht="25.2" hidden="1" customHeight="1">
      <c r="A2213" s="1086">
        <f t="shared" si="92"/>
        <v>0</v>
      </c>
      <c r="B2213" s="1226" t="s">
        <v>1035</v>
      </c>
      <c r="C2213" s="2841"/>
      <c r="D2213" s="1011"/>
      <c r="E2213" s="1024">
        <f>VLOOKUP($B2213,DG!A:D,DG!$B$2,)</f>
        <v>0</v>
      </c>
      <c r="F2213" s="1013" t="str">
        <f>VLOOKUP($B2213,DG!A:D,DG!$C$2,)&amp;" (Thanh choáng 810)"</f>
        <v>Sắt góc L50 x50 x5 (Thanh choáng 810)</v>
      </c>
      <c r="G2213" s="1012" t="s">
        <v>2248</v>
      </c>
      <c r="H2213" s="1713">
        <f>H2210*3.77*0.81*4</f>
        <v>0</v>
      </c>
      <c r="I2213" s="1192">
        <f t="shared" si="91"/>
        <v>0</v>
      </c>
      <c r="J2213" s="1014"/>
      <c r="K2213" s="1014"/>
      <c r="L2213" s="1043"/>
      <c r="M2213" s="934">
        <v>630</v>
      </c>
    </row>
    <row r="2214" spans="1:13" s="1016" customFormat="1" ht="25.2" hidden="1" customHeight="1">
      <c r="A2214" s="1086">
        <f t="shared" si="92"/>
        <v>0</v>
      </c>
      <c r="B2214" s="1226" t="s">
        <v>1610</v>
      </c>
      <c r="C2214" s="2841"/>
      <c r="D2214" s="1011"/>
      <c r="E2214" s="1024">
        <f>VLOOKUP($B2214,DG!A:D,DG!$B$2,)</f>
        <v>0</v>
      </c>
      <c r="F2214" s="1013" t="str">
        <f>VLOOKUP($B2214,DG!A:D,DG!$C$2,)</f>
        <v>Boulon 16x300+ 2 long đền vuông D18-50x50x3/Zn</v>
      </c>
      <c r="G2214" s="1012" t="s">
        <v>2439</v>
      </c>
      <c r="H2214" s="1713">
        <f>H2210*2</f>
        <v>0</v>
      </c>
      <c r="I2214" s="1192">
        <f t="shared" si="91"/>
        <v>0</v>
      </c>
      <c r="J2214" s="1014"/>
      <c r="K2214" s="1014"/>
      <c r="L2214" s="1043"/>
      <c r="M2214" s="934">
        <v>630</v>
      </c>
    </row>
    <row r="2215" spans="1:13" s="1016" customFormat="1" ht="25.2" hidden="1" customHeight="1">
      <c r="A2215" s="1086">
        <f t="shared" si="92"/>
        <v>0</v>
      </c>
      <c r="B2215" s="1226" t="s">
        <v>1786</v>
      </c>
      <c r="C2215" s="2841"/>
      <c r="D2215" s="1011"/>
      <c r="E2215" s="1024">
        <f>VLOOKUP($B2215,DG!A:D,DG!$B$2,)</f>
        <v>0</v>
      </c>
      <c r="F2215" s="1013" t="str">
        <f>VLOOKUP($B2215,DG!A:D,DG!$C$2,)</f>
        <v>Boulon 16x50+ 2 long đền vuông D18-50x50x3/Zn</v>
      </c>
      <c r="G2215" s="1012" t="s">
        <v>2439</v>
      </c>
      <c r="H2215" s="1713">
        <f>H2210*4</f>
        <v>0</v>
      </c>
      <c r="I2215" s="1192">
        <f t="shared" si="91"/>
        <v>0</v>
      </c>
      <c r="J2215" s="1014"/>
      <c r="K2215" s="1014"/>
      <c r="L2215" s="1043"/>
      <c r="M2215" s="934">
        <v>630</v>
      </c>
    </row>
    <row r="2216" spans="1:13" s="1016" customFormat="1" ht="25.2" hidden="1" customHeight="1">
      <c r="A2216" s="1086">
        <f t="shared" si="92"/>
        <v>0</v>
      </c>
      <c r="B2216" s="1226" t="s">
        <v>1784</v>
      </c>
      <c r="C2216" s="2841"/>
      <c r="D2216" s="1011"/>
      <c r="E2216" s="1024">
        <f>VLOOKUP($B2216,DG!A:D,DG!$B$2,)</f>
        <v>0</v>
      </c>
      <c r="F2216" s="1013" t="str">
        <f>VLOOKUP($B2216,DG!A:D,DG!$C$2,)</f>
        <v>Boulon 16x300VRS+ 4 long đền vuông D18-50x50x3/Zn</v>
      </c>
      <c r="G2216" s="1012" t="s">
        <v>2439</v>
      </c>
      <c r="H2216" s="1713">
        <f>H2210*4</f>
        <v>0</v>
      </c>
      <c r="I2216" s="1192">
        <f t="shared" si="91"/>
        <v>0</v>
      </c>
      <c r="J2216" s="1014"/>
      <c r="K2216" s="1014"/>
      <c r="L2216" s="1043"/>
      <c r="M2216" s="934">
        <v>630</v>
      </c>
    </row>
    <row r="2217" spans="1:13" s="1016" customFormat="1" ht="25.2" hidden="1" customHeight="1">
      <c r="A2217" s="1086">
        <f t="shared" si="92"/>
        <v>0</v>
      </c>
      <c r="B2217" s="1226" t="s">
        <v>517</v>
      </c>
      <c r="C2217" s="2841"/>
      <c r="D2217" s="1011"/>
      <c r="E2217" s="1024" t="str">
        <f>VLOOKUP($B2217,DG!A:D,DG!$B$2,)</f>
        <v>05.6203</v>
      </c>
      <c r="F2217" s="1013" t="str">
        <f>VLOOKUP($B2217,DG!A:D,DG!$C$2,)</f>
        <v>Lắp xà néo ≤ 100kg</v>
      </c>
      <c r="G2217" s="1012" t="s">
        <v>2439</v>
      </c>
      <c r="H2217" s="1713">
        <f>H2210</f>
        <v>0</v>
      </c>
      <c r="I2217" s="1192">
        <f t="shared" si="91"/>
        <v>0</v>
      </c>
      <c r="J2217" s="1014"/>
      <c r="K2217" s="1014"/>
      <c r="L2217" s="1043"/>
      <c r="M2217" s="934">
        <v>630</v>
      </c>
    </row>
    <row r="2218" spans="1:13" s="1016" customFormat="1" ht="25.2" hidden="1" customHeight="1">
      <c r="A2218" s="1086">
        <f t="shared" si="92"/>
        <v>0</v>
      </c>
      <c r="B2218" s="1226"/>
      <c r="C2218" s="2841"/>
      <c r="D2218" s="1017">
        <f>IF(H2218&gt;0,D2210+1,D2210)</f>
        <v>0</v>
      </c>
      <c r="E2218" s="1018"/>
      <c r="F2218" s="1063" t="s">
        <v>3719</v>
      </c>
      <c r="G2218" s="1017" t="s">
        <v>2385</v>
      </c>
      <c r="H2218" s="1722">
        <f>H2150*1*0</f>
        <v>0</v>
      </c>
      <c r="I2218" s="1192">
        <f t="shared" si="91"/>
        <v>0</v>
      </c>
      <c r="J2218" s="1014"/>
      <c r="K2218" s="1014"/>
      <c r="L2218" s="1043"/>
      <c r="M2218" s="934">
        <v>630</v>
      </c>
    </row>
    <row r="2219" spans="1:13" s="1016" customFormat="1" ht="25.2" hidden="1" customHeight="1">
      <c r="A2219" s="1086">
        <f t="shared" si="92"/>
        <v>0</v>
      </c>
      <c r="B2219" s="1226"/>
      <c r="C2219" s="2841"/>
      <c r="D2219" s="1011"/>
      <c r="E2219" s="1021"/>
      <c r="F2219" s="1267" t="s">
        <v>2279</v>
      </c>
      <c r="G2219" s="1023"/>
      <c r="H2219" s="1713"/>
      <c r="I2219" s="1192">
        <f t="shared" si="91"/>
        <v>0</v>
      </c>
      <c r="J2219" s="1014"/>
      <c r="K2219" s="1014"/>
      <c r="L2219" s="1043"/>
      <c r="M2219" s="934">
        <v>630</v>
      </c>
    </row>
    <row r="2220" spans="1:13" s="1016" customFormat="1" ht="25.2" hidden="1" customHeight="1">
      <c r="A2220" s="1086">
        <f t="shared" si="92"/>
        <v>0</v>
      </c>
      <c r="B2220" s="1226" t="s">
        <v>2022</v>
      </c>
      <c r="C2220" s="2841"/>
      <c r="D2220" s="1011"/>
      <c r="E2220" s="1024">
        <f>VLOOKUP($B2220,DG!A:D,DG!$B$2,)</f>
        <v>0</v>
      </c>
      <c r="F2220" s="1013" t="str">
        <f>VLOOKUP($B2220,DG!A:D,DG!$C$2,)</f>
        <v>Sắt góc L75 x75 x8</v>
      </c>
      <c r="G2220" s="1012" t="s">
        <v>2248</v>
      </c>
      <c r="H2220" s="1713">
        <f>H2218*9.02*(2.4+4*0.07)</f>
        <v>0</v>
      </c>
      <c r="I2220" s="1192">
        <f t="shared" si="91"/>
        <v>0</v>
      </c>
      <c r="J2220" s="1014"/>
      <c r="K2220" s="1014"/>
      <c r="L2220" s="1043"/>
      <c r="M2220" s="934">
        <v>630</v>
      </c>
    </row>
    <row r="2221" spans="1:13" s="1016" customFormat="1" ht="25.2" hidden="1" customHeight="1">
      <c r="A2221" s="1086">
        <f t="shared" si="92"/>
        <v>0</v>
      </c>
      <c r="B2221" s="1226" t="s">
        <v>1035</v>
      </c>
      <c r="C2221" s="2841"/>
      <c r="D2221" s="1011"/>
      <c r="E2221" s="1024">
        <f>VLOOKUP($B2221,DG!A:D,DG!$B$2,)</f>
        <v>0</v>
      </c>
      <c r="F2221" s="1013" t="str">
        <f>VLOOKUP($B2221,DG!A:D,DG!$C$2,)&amp;" (Thanh choáng 810)"</f>
        <v>Sắt góc L50 x50 x5 (Thanh choáng 810)</v>
      </c>
      <c r="G2221" s="1012" t="s">
        <v>2248</v>
      </c>
      <c r="H2221" s="1713">
        <f>H2218*3.77*0.81*2</f>
        <v>0</v>
      </c>
      <c r="I2221" s="1192">
        <f t="shared" si="91"/>
        <v>0</v>
      </c>
      <c r="J2221" s="1014"/>
      <c r="K2221" s="1014"/>
      <c r="L2221" s="1043"/>
      <c r="M2221" s="934">
        <v>630</v>
      </c>
    </row>
    <row r="2222" spans="1:13" s="1016" customFormat="1" ht="25.2" hidden="1" customHeight="1">
      <c r="A2222" s="1086">
        <f t="shared" si="92"/>
        <v>0</v>
      </c>
      <c r="B2222" s="1226" t="s">
        <v>1079</v>
      </c>
      <c r="C2222" s="2841"/>
      <c r="D2222" s="1011"/>
      <c r="E2222" s="1024">
        <f>VLOOKUP($B2222,DG!A:D,DG!$B$2,)</f>
        <v>0</v>
      </c>
      <c r="F2222" s="1013" t="str">
        <f>VLOOKUP($B2222,DG!A:D,DG!$C$2,)</f>
        <v>Boulon 16x350+ 2 long đền vuông D18-50x50x3/Zn</v>
      </c>
      <c r="G2222" s="1012" t="s">
        <v>2439</v>
      </c>
      <c r="H2222" s="1713">
        <f>H2218*2</f>
        <v>0</v>
      </c>
      <c r="I2222" s="1192">
        <f t="shared" si="91"/>
        <v>0</v>
      </c>
      <c r="J2222" s="1014"/>
      <c r="K2222" s="1014"/>
      <c r="L2222" s="1043"/>
      <c r="M2222" s="934">
        <v>630</v>
      </c>
    </row>
    <row r="2223" spans="1:13" s="1016" customFormat="1" ht="25.2" hidden="1" customHeight="1">
      <c r="A2223" s="1086">
        <f t="shared" si="92"/>
        <v>0</v>
      </c>
      <c r="B2223" s="1226" t="s">
        <v>1786</v>
      </c>
      <c r="C2223" s="2841"/>
      <c r="D2223" s="1011"/>
      <c r="E2223" s="1024">
        <f>VLOOKUP($B2223,DG!A:D,DG!$B$2,)</f>
        <v>0</v>
      </c>
      <c r="F2223" s="1013" t="str">
        <f>VLOOKUP($B2223,DG!A:D,DG!$C$2,)</f>
        <v>Boulon 16x50+ 2 long đền vuông D18-50x50x3/Zn</v>
      </c>
      <c r="G2223" s="1012" t="s">
        <v>2439</v>
      </c>
      <c r="H2223" s="1713">
        <f>H2218*2</f>
        <v>0</v>
      </c>
      <c r="I2223" s="1192">
        <f t="shared" si="91"/>
        <v>0</v>
      </c>
      <c r="J2223" s="1014"/>
      <c r="K2223" s="1014"/>
      <c r="L2223" s="1043"/>
      <c r="M2223" s="934">
        <v>630</v>
      </c>
    </row>
    <row r="2224" spans="1:13" s="1016" customFormat="1" ht="25.2" hidden="1" customHeight="1">
      <c r="A2224" s="1086">
        <f t="shared" si="92"/>
        <v>0</v>
      </c>
      <c r="B2224" s="1226" t="s">
        <v>1735</v>
      </c>
      <c r="C2224" s="2841"/>
      <c r="D2224" s="1011"/>
      <c r="E2224" s="1024">
        <f>VLOOKUP($B2224,DG!A:D,DG!$B$2,)</f>
        <v>0</v>
      </c>
      <c r="F2224" s="1013" t="str">
        <f>VLOOKUP($B2224,DG!A:D,DG!$C$2,)</f>
        <v>Bass LI bắt FCO</v>
      </c>
      <c r="G2224" s="1012" t="s">
        <v>2439</v>
      </c>
      <c r="H2224" s="1713">
        <f>IF(H2218&gt;0,3,)</f>
        <v>0</v>
      </c>
      <c r="I2224" s="1192">
        <f t="shared" si="91"/>
        <v>0</v>
      </c>
      <c r="J2224" s="1014"/>
      <c r="K2224" s="1014"/>
      <c r="L2224" s="1043"/>
      <c r="M2224" s="934">
        <v>630</v>
      </c>
    </row>
    <row r="2225" spans="1:13" s="1016" customFormat="1" ht="25.2" hidden="1" customHeight="1">
      <c r="A2225" s="1086">
        <f t="shared" si="92"/>
        <v>0</v>
      </c>
      <c r="B2225" s="1226" t="s">
        <v>988</v>
      </c>
      <c r="C2225" s="2841"/>
      <c r="D2225" s="1011"/>
      <c r="E2225" s="1024" t="str">
        <f>VLOOKUP($B2225,DG!A:D,DG!$B$2,)</f>
        <v>06.3231</v>
      </c>
      <c r="F2225" s="1013" t="str">
        <f>VLOOKUP($B2225,DG!A:D,DG!$C$2,)</f>
        <v xml:space="preserve">Cổ dê chống lắc 8x80x800 </v>
      </c>
      <c r="G2225" s="1012" t="s">
        <v>2439</v>
      </c>
      <c r="H2225" s="1713">
        <f>H2218*0</f>
        <v>0</v>
      </c>
      <c r="I2225" s="1192">
        <f t="shared" si="91"/>
        <v>0</v>
      </c>
      <c r="J2225" s="1014"/>
      <c r="K2225" s="1014"/>
      <c r="L2225" s="1043"/>
      <c r="M2225" s="934">
        <v>630</v>
      </c>
    </row>
    <row r="2226" spans="1:13" s="1016" customFormat="1" ht="25.2" hidden="1" customHeight="1">
      <c r="A2226" s="1086">
        <f t="shared" si="92"/>
        <v>0</v>
      </c>
      <c r="B2226" s="1226" t="s">
        <v>1440</v>
      </c>
      <c r="C2226" s="2841"/>
      <c r="D2226" s="1011"/>
      <c r="E2226" s="1024" t="str">
        <f>VLOOKUP($B2226,DG!A:D,DG!$B$2,)</f>
        <v>05.6102</v>
      </c>
      <c r="F2226" s="1013" t="str">
        <f>VLOOKUP($B2226,DG!A:D,DG!$C$2,)</f>
        <v>Lắp xà đỡ ≤ 50kg</v>
      </c>
      <c r="G2226" s="1012" t="s">
        <v>2439</v>
      </c>
      <c r="H2226" s="1713">
        <f>H2218</f>
        <v>0</v>
      </c>
      <c r="I2226" s="1192">
        <f t="shared" si="91"/>
        <v>0</v>
      </c>
      <c r="J2226" s="1014"/>
      <c r="K2226" s="1014"/>
      <c r="L2226" s="1043"/>
      <c r="M2226" s="934">
        <v>630</v>
      </c>
    </row>
    <row r="2227" spans="1:13" s="1016" customFormat="1" ht="25.2" hidden="1" customHeight="1">
      <c r="A2227" s="1086">
        <f t="shared" si="92"/>
        <v>0</v>
      </c>
      <c r="B2227" s="1226"/>
      <c r="C2227" s="2841"/>
      <c r="D2227" s="1017">
        <f>IF(H2227&gt;0,D2218+1,D2218)</f>
        <v>0</v>
      </c>
      <c r="E2227" s="1018"/>
      <c r="F2227" s="1063" t="s">
        <v>3720</v>
      </c>
      <c r="G2227" s="1017" t="s">
        <v>2385</v>
      </c>
      <c r="H2227" s="1722">
        <f>H2150</f>
        <v>0</v>
      </c>
      <c r="I2227" s="1192">
        <f t="shared" si="91"/>
        <v>0</v>
      </c>
      <c r="J2227" s="1014"/>
      <c r="K2227" s="1014"/>
      <c r="L2227" s="1043"/>
      <c r="M2227" s="934">
        <v>630</v>
      </c>
    </row>
    <row r="2228" spans="1:13" s="1016" customFormat="1" ht="25.2" hidden="1" customHeight="1">
      <c r="A2228" s="1086">
        <f t="shared" si="92"/>
        <v>0</v>
      </c>
      <c r="B2228" s="1255"/>
      <c r="C2228" s="2841"/>
      <c r="D2228" s="1011"/>
      <c r="E2228" s="1021"/>
      <c r="F2228" s="1267" t="s">
        <v>2279</v>
      </c>
      <c r="G2228" s="1023"/>
      <c r="H2228" s="1713"/>
      <c r="I2228" s="1192">
        <f t="shared" si="91"/>
        <v>0</v>
      </c>
      <c r="J2228" s="1014"/>
      <c r="K2228" s="1014"/>
      <c r="L2228" s="1043"/>
      <c r="M2228" s="934">
        <v>630</v>
      </c>
    </row>
    <row r="2229" spans="1:13" s="1016" customFormat="1" ht="25.2" hidden="1" customHeight="1">
      <c r="A2229" s="1086">
        <f t="shared" si="92"/>
        <v>0</v>
      </c>
      <c r="B2229" s="1226" t="s">
        <v>1033</v>
      </c>
      <c r="C2229" s="2841"/>
      <c r="D2229" s="1011"/>
      <c r="E2229" s="1012">
        <f>VLOOKUP($B2229,DG!A:D,DG!$B$2,)</f>
        <v>0</v>
      </c>
      <c r="F2229" s="1013" t="str">
        <f>VLOOKUP($B2229,DG!A:D,DG!$C$2,)</f>
        <v>Cáp đồng trần M25mm2</v>
      </c>
      <c r="G2229" s="1024" t="str">
        <f>VLOOKUP($B2229,DG!A:D,DG!$D$2,)</f>
        <v>kg</v>
      </c>
      <c r="H2229" s="1713">
        <f>I3*0.224*H2227</f>
        <v>0</v>
      </c>
      <c r="I2229" s="1192">
        <f t="shared" si="91"/>
        <v>0</v>
      </c>
      <c r="J2229" s="1014"/>
      <c r="K2229" s="1014"/>
      <c r="L2229" s="1043"/>
      <c r="M2229" s="934">
        <v>630</v>
      </c>
    </row>
    <row r="2230" spans="1:13" s="1016" customFormat="1" ht="25.2" hidden="1" customHeight="1">
      <c r="A2230" s="1086">
        <f t="shared" si="92"/>
        <v>0</v>
      </c>
      <c r="B2230" s="1226" t="s">
        <v>1033</v>
      </c>
      <c r="C2230" s="2841"/>
      <c r="D2230" s="1011"/>
      <c r="E2230" s="1012">
        <f>VLOOKUP($B2230,DG!A:D,DG!$B$2,)</f>
        <v>0</v>
      </c>
      <c r="F2230" s="1013" t="str">
        <f>VLOOKUP($B2230,DG!A:D,DG!$C$2,)&amp;": 17m noái leân voû caùc thieát bò"</f>
        <v>Cáp đồng trần M25mm2: 17m noái leân voû caùc thieát bò</v>
      </c>
      <c r="G2230" s="1012" t="str">
        <f>VLOOKUP($B2230,DG!A:D,DG!$D$2,)</f>
        <v>kg</v>
      </c>
      <c r="H2230" s="1713">
        <f>17*0.224*H2227*0</f>
        <v>0</v>
      </c>
      <c r="I2230" s="1192">
        <f t="shared" si="91"/>
        <v>0</v>
      </c>
      <c r="J2230" s="1014"/>
      <c r="K2230" s="1014"/>
      <c r="L2230" s="1043"/>
      <c r="M2230" s="934">
        <v>630</v>
      </c>
    </row>
    <row r="2231" spans="1:13" s="1016" customFormat="1" ht="25.2" hidden="1" customHeight="1">
      <c r="A2231" s="1086">
        <f t="shared" si="92"/>
        <v>0</v>
      </c>
      <c r="B2231" s="1087" t="s">
        <v>1508</v>
      </c>
      <c r="C2231" s="2842"/>
      <c r="D2231" s="1011"/>
      <c r="E2231" s="1012">
        <f>VLOOKUP($B2231,DG!A:D,DG!$B$2,)</f>
        <v>0</v>
      </c>
      <c r="F2231" s="1013" t="str">
        <f>VLOOKUP($B2231,DG!A:D,DG!$C$2,)</f>
        <v>Cọc tiếp đất Þ 16- 2,4m + kẹp cọc mạ đồng</v>
      </c>
      <c r="G2231" s="1024" t="str">
        <f>VLOOKUP($B2231,DG!A:D,DG!$D$2,)</f>
        <v>bộ</v>
      </c>
      <c r="H2231" s="1713">
        <f>I2*H2227</f>
        <v>0</v>
      </c>
      <c r="I2231" s="1192">
        <f t="shared" si="91"/>
        <v>0</v>
      </c>
      <c r="J2231" s="1014"/>
      <c r="K2231" s="1014"/>
      <c r="L2231" s="1043"/>
      <c r="M2231" s="934">
        <v>630</v>
      </c>
    </row>
    <row r="2232" spans="1:13" s="1016" customFormat="1" ht="25.2" hidden="1" customHeight="1">
      <c r="A2232" s="1086">
        <f t="shared" si="92"/>
        <v>0</v>
      </c>
      <c r="B2232" s="1087" t="s">
        <v>1490</v>
      </c>
      <c r="C2232" s="2842"/>
      <c r="D2232" s="1011"/>
      <c r="E2232" s="1012" t="str">
        <f>VLOOKUP($B2232,DG!A:D,DG!$B$2,)</f>
        <v>07.2403</v>
      </c>
      <c r="F2232" s="1013" t="str">
        <f>VLOOKUP($B2232,DG!A:D,DG!$C$2,)</f>
        <v xml:space="preserve">Ống PVC D21x1,6mm </v>
      </c>
      <c r="G2232" s="1012" t="str">
        <f>VLOOKUP($B2232,DG!A:D,DG!$D$2,)</f>
        <v>m</v>
      </c>
      <c r="H2232" s="1713">
        <f>H2227*12</f>
        <v>0</v>
      </c>
      <c r="I2232" s="1192">
        <f t="shared" si="91"/>
        <v>0</v>
      </c>
      <c r="J2232" s="1014"/>
      <c r="K2232" s="1014"/>
      <c r="L2232" s="1015"/>
      <c r="M2232" s="934">
        <v>630</v>
      </c>
    </row>
    <row r="2233" spans="1:13" s="1016" customFormat="1" ht="25.2" hidden="1" customHeight="1">
      <c r="A2233" s="1086">
        <f t="shared" si="92"/>
        <v>0</v>
      </c>
      <c r="B2233" s="1231" t="s">
        <v>1579</v>
      </c>
      <c r="C2233" s="2844"/>
      <c r="D2233" s="1011"/>
      <c r="E2233" s="1012">
        <f>VLOOKUP($B2233,DG!A:D,DG!$B$2,)</f>
        <v>0</v>
      </c>
      <c r="F2233" s="1013" t="str">
        <f>VLOOKUP($B2233,DG!A:D,DG!$C$2,)&amp; " bắt dây trung tính "</f>
        <v xml:space="preserve">Kẹp ép WR cỡ dây 50mm2 bắt dây trung tính </v>
      </c>
      <c r="G2233" s="1024" t="str">
        <f>VLOOKUP($B2233,DG!A:D,DG!$D$2,)</f>
        <v>cái</v>
      </c>
      <c r="H2233" s="1713">
        <f>2*H2227</f>
        <v>0</v>
      </c>
      <c r="I2233" s="1192">
        <f t="shared" si="91"/>
        <v>0</v>
      </c>
      <c r="J2233" s="1014"/>
      <c r="K2233" s="1014"/>
      <c r="L2233" s="1043"/>
      <c r="M2233" s="934">
        <v>630</v>
      </c>
    </row>
    <row r="2234" spans="1:13" s="1016" customFormat="1" ht="25.2" hidden="1" customHeight="1">
      <c r="A2234" s="1086">
        <f t="shared" si="92"/>
        <v>0</v>
      </c>
      <c r="B2234" s="1231" t="s">
        <v>1395</v>
      </c>
      <c r="C2234" s="2844"/>
      <c r="D2234" s="1065"/>
      <c r="E2234" s="1012">
        <f>VLOOKUP($B2234,DG!A:D,DG!$B$2,)</f>
        <v>0</v>
      </c>
      <c r="F2234" s="1013" t="str">
        <f>VLOOKUP($B2234,DG!A:D,DG!$C$2,)&amp;":bắt lưới TĐ"</f>
        <v>Kẹp ép cỡ dây 25mm2:bắt lưới TĐ</v>
      </c>
      <c r="G2234" s="1024" t="str">
        <f>VLOOKUP($B2234,DG!A:D,DG!$D$2,)</f>
        <v>cái</v>
      </c>
      <c r="H2234" s="1744">
        <f>H2227*11</f>
        <v>0</v>
      </c>
      <c r="I2234" s="1192">
        <f t="shared" si="91"/>
        <v>0</v>
      </c>
      <c r="J2234" s="1014"/>
      <c r="K2234" s="1014"/>
      <c r="L2234" s="1043"/>
      <c r="M2234" s="934">
        <v>630</v>
      </c>
    </row>
    <row r="2235" spans="1:13" s="1016" customFormat="1" ht="25.2" hidden="1" customHeight="1">
      <c r="A2235" s="1086">
        <f t="shared" si="92"/>
        <v>0</v>
      </c>
      <c r="B2235" s="1087" t="s">
        <v>138</v>
      </c>
      <c r="C2235" s="2842"/>
      <c r="D2235" s="1011"/>
      <c r="E2235" s="1012">
        <f>VLOOKUP($B2235,DG!A:D,DG!$B$2,)</f>
        <v>0</v>
      </c>
      <c r="F2235" s="1013" t="str">
        <f>VLOOKUP($B2235,DG!A:D,DG!$C$2,)</f>
        <v>Boulon 12x40+ 2 long đền vuông D14-50x50x3/Zn</v>
      </c>
      <c r="G2235" s="1024" t="str">
        <f>VLOOKUP($B2235,DG!A:D,DG!$D$2,)</f>
        <v>bộ</v>
      </c>
      <c r="H2235" s="1713">
        <f>H2227*1</f>
        <v>0</v>
      </c>
      <c r="I2235" s="1192">
        <f t="shared" si="91"/>
        <v>0</v>
      </c>
      <c r="J2235" s="1014"/>
      <c r="K2235" s="1014"/>
      <c r="L2235" s="1043"/>
      <c r="M2235" s="934">
        <v>630</v>
      </c>
    </row>
    <row r="2236" spans="1:13" s="1016" customFormat="1" ht="25.2" hidden="1" customHeight="1">
      <c r="A2236" s="1086">
        <f t="shared" si="92"/>
        <v>0</v>
      </c>
      <c r="B2236" s="1087" t="s">
        <v>104</v>
      </c>
      <c r="C2236" s="2842"/>
      <c r="D2236" s="1011"/>
      <c r="E2236" s="1012" t="str">
        <f>VLOOKUP($B2236,DG!A:D,DG!$B$2,)</f>
        <v>03.4001</v>
      </c>
      <c r="F2236" s="1013" t="str">
        <f>VLOOKUP($B2236,DG!A:D,DG!$C$2,)</f>
        <v>Đầu cosse ép Cu 25mm2</v>
      </c>
      <c r="G2236" s="1024" t="str">
        <f>VLOOKUP($B2236,DG!A:D,DG!$D$2,)</f>
        <v>cái</v>
      </c>
      <c r="H2236" s="1713">
        <f>H2235*2</f>
        <v>0</v>
      </c>
      <c r="I2236" s="1192">
        <f t="shared" si="91"/>
        <v>0</v>
      </c>
      <c r="J2236" s="1014"/>
      <c r="K2236" s="1014"/>
      <c r="L2236" s="1043"/>
      <c r="M2236" s="934">
        <v>630</v>
      </c>
    </row>
    <row r="2237" spans="1:13" s="1016" customFormat="1" ht="25.2" hidden="1" customHeight="1">
      <c r="A2237" s="1086">
        <f t="shared" si="92"/>
        <v>0</v>
      </c>
      <c r="B2237" s="1087" t="s">
        <v>525</v>
      </c>
      <c r="C2237" s="2842"/>
      <c r="D2237" s="1011"/>
      <c r="E2237" s="1012" t="str">
        <f>VLOOKUP($B2237,DG!A:D,DG!$B$2,)</f>
        <v>06.3231</v>
      </c>
      <c r="F2237" s="1013" t="str">
        <f>VLOOKUP($B2237,DG!A:D,DG!$C$2,)&amp;": CD-250"</f>
        <v>Cổ dê kẹp ống PVC  21: CD-250</v>
      </c>
      <c r="G2237" s="1012" t="str">
        <f>VLOOKUP($B2237,DG!A:D,DG!$D$2,)</f>
        <v>bộ</v>
      </c>
      <c r="H2237" s="1713">
        <f>H2227*0.415</f>
        <v>0</v>
      </c>
      <c r="I2237" s="1192">
        <f t="shared" si="91"/>
        <v>0</v>
      </c>
      <c r="J2237" s="1014"/>
      <c r="K2237" s="1014"/>
      <c r="L2237" s="1015"/>
      <c r="M2237" s="934">
        <v>630</v>
      </c>
    </row>
    <row r="2238" spans="1:13" s="1016" customFormat="1" ht="25.2" hidden="1" customHeight="1">
      <c r="A2238" s="1086">
        <f t="shared" si="92"/>
        <v>0</v>
      </c>
      <c r="B2238" s="1087" t="s">
        <v>525</v>
      </c>
      <c r="C2238" s="2842"/>
      <c r="D2238" s="1011"/>
      <c r="E2238" s="1012" t="str">
        <f>VLOOKUP($B2238,DG!A:D,DG!$B$2,)</f>
        <v>06.3231</v>
      </c>
      <c r="F2238" s="1013" t="str">
        <f>VLOOKUP($B2238,DG!A:D,DG!$C$2,)&amp;": CD-280"</f>
        <v>Cổ dê kẹp ống PVC  21: CD-280</v>
      </c>
      <c r="G2238" s="1012" t="str">
        <f>VLOOKUP($B2238,DG!A:D,DG!$D$2,)</f>
        <v>bộ</v>
      </c>
      <c r="H2238" s="1713">
        <f>H2227*0.452</f>
        <v>0</v>
      </c>
      <c r="I2238" s="1192">
        <f t="shared" ref="I2238:I2301" si="93">IF(M2238=$M$23,H2238+J2238-K2238,0)</f>
        <v>0</v>
      </c>
      <c r="J2238" s="1014"/>
      <c r="K2238" s="1014"/>
      <c r="L2238" s="1015"/>
      <c r="M2238" s="934">
        <v>630</v>
      </c>
    </row>
    <row r="2239" spans="1:13" s="1016" customFormat="1" ht="25.2" hidden="1" customHeight="1">
      <c r="A2239" s="1086">
        <f t="shared" si="92"/>
        <v>0</v>
      </c>
      <c r="B2239" s="1087" t="s">
        <v>525</v>
      </c>
      <c r="C2239" s="2842"/>
      <c r="D2239" s="1011"/>
      <c r="E2239" s="1012" t="str">
        <f>VLOOKUP($B2239,DG!A:D,DG!$B$2,)</f>
        <v>06.3231</v>
      </c>
      <c r="F2239" s="1013" t="str">
        <f>VLOOKUP($B2239,DG!A:D,DG!$C$2,)&amp;": CD-320"</f>
        <v>Cổ dê kẹp ống PVC  21: CD-320</v>
      </c>
      <c r="G2239" s="1012" t="str">
        <f>VLOOKUP($B2239,DG!A:D,DG!$D$2,)</f>
        <v>bộ</v>
      </c>
      <c r="H2239" s="1713">
        <f>H2227*0.501</f>
        <v>0</v>
      </c>
      <c r="I2239" s="1192">
        <f t="shared" si="93"/>
        <v>0</v>
      </c>
      <c r="J2239" s="1014"/>
      <c r="K2239" s="1014"/>
      <c r="L2239" s="1015"/>
      <c r="M2239" s="934">
        <v>630</v>
      </c>
    </row>
    <row r="2240" spans="1:13" s="1016" customFormat="1" ht="25.2" hidden="1" customHeight="1">
      <c r="A2240" s="1086">
        <f t="shared" si="92"/>
        <v>0</v>
      </c>
      <c r="B2240" s="1087" t="s">
        <v>1131</v>
      </c>
      <c r="C2240" s="2842"/>
      <c r="D2240" s="1011"/>
      <c r="E2240" s="1012" t="str">
        <f>VLOOKUP($B2240,DG!A:D,DG!$B$2,)</f>
        <v>06.2110</v>
      </c>
      <c r="F2240" s="1013" t="str">
        <f>VLOOKUP($B2240,DG!A:D,DG!$C$2,)&amp;": CD-320"</f>
        <v>Lắp cổ dê: CD-320</v>
      </c>
      <c r="G2240" s="1012" t="str">
        <f>VLOOKUP($B2240,DG!A:D,DG!$D$2,)</f>
        <v>bộ</v>
      </c>
      <c r="H2240" s="1713">
        <f>H2228*0.501</f>
        <v>0</v>
      </c>
      <c r="I2240" s="1192">
        <f t="shared" si="93"/>
        <v>0</v>
      </c>
      <c r="J2240" s="1014"/>
      <c r="K2240" s="1014"/>
      <c r="L2240" s="1015"/>
      <c r="M2240" s="934">
        <v>630</v>
      </c>
    </row>
    <row r="2241" spans="1:16" s="1016" customFormat="1" ht="25.2" hidden="1" customHeight="1">
      <c r="A2241" s="1086">
        <f t="shared" si="92"/>
        <v>0</v>
      </c>
      <c r="B2241" s="1087" t="s">
        <v>138</v>
      </c>
      <c r="C2241" s="2842"/>
      <c r="D2241" s="1011"/>
      <c r="E2241" s="1012">
        <f>VLOOKUP($B2241,DG!A:D,DG!$B$2,)</f>
        <v>0</v>
      </c>
      <c r="F2241" s="1013" t="str">
        <f>VLOOKUP($B2241,DG!A:D,DG!$C$2,)</f>
        <v>Boulon 12x40+ 2 long đền vuông D14-50x50x3/Zn</v>
      </c>
      <c r="G2241" s="1012" t="str">
        <f>VLOOKUP($B2241,DG!A:D,DG!$D$2,)</f>
        <v>bộ</v>
      </c>
      <c r="H2241" s="1713">
        <f>H2227*6</f>
        <v>0</v>
      </c>
      <c r="I2241" s="1192">
        <f t="shared" si="93"/>
        <v>0</v>
      </c>
      <c r="J2241" s="1014"/>
      <c r="K2241" s="1014"/>
      <c r="L2241" s="1015"/>
      <c r="M2241" s="934">
        <v>630</v>
      </c>
    </row>
    <row r="2242" spans="1:16" s="1016" customFormat="1" ht="25.2" hidden="1" customHeight="1">
      <c r="A2242" s="1086">
        <f t="shared" si="92"/>
        <v>0</v>
      </c>
      <c r="B2242" s="1087" t="s">
        <v>1585</v>
      </c>
      <c r="C2242" s="2842"/>
      <c r="D2242" s="1011"/>
      <c r="E2242" s="1012">
        <f>VLOOKUP($B2242,DG!A:D,DG!$B$2,)</f>
        <v>0</v>
      </c>
      <c r="F2242" s="1013" t="str">
        <f>VLOOKUP($B2242,DG!A:D,DG!$C$2,)</f>
        <v>Giếng tiếp địa khoan đất</v>
      </c>
      <c r="G2242" s="1012" t="str">
        <f>VLOOKUP($B2242,DG!A:D,DG!$D$2,)</f>
        <v>Cái</v>
      </c>
      <c r="H2242" s="1713">
        <f>L3*H2227</f>
        <v>0</v>
      </c>
      <c r="I2242" s="1192">
        <f t="shared" si="93"/>
        <v>0</v>
      </c>
      <c r="J2242" s="1014"/>
      <c r="K2242" s="1014"/>
      <c r="L2242" s="1043"/>
      <c r="M2242" s="934">
        <v>630</v>
      </c>
    </row>
    <row r="2243" spans="1:16" s="1016" customFormat="1" ht="25.2" hidden="1" customHeight="1">
      <c r="A2243" s="1086">
        <f t="shared" si="92"/>
        <v>0</v>
      </c>
      <c r="B2243" s="1087" t="str">
        <f>"DTD"&amp;chitiet!G5</f>
        <v>DTD3</v>
      </c>
      <c r="C2243" s="2842"/>
      <c r="D2243" s="1023"/>
      <c r="E2243" s="1012" t="str">
        <f>VLOOKUP($B2243,DG!A:D,DG!$B$2,)</f>
        <v>03.3123</v>
      </c>
      <c r="F2243" s="1013" t="str">
        <f>VLOOKUP($B2243,DG!A:D,DG!$C$2,)</f>
        <v>Đào rãnh tiếp địa đất cấp 3</v>
      </c>
      <c r="G2243" s="1024" t="str">
        <f>VLOOKUP($B2243,DG!A:D,DG!$D$2,)</f>
        <v>m3</v>
      </c>
      <c r="H2243" s="1100">
        <f>I3*H2227</f>
        <v>0</v>
      </c>
      <c r="I2243" s="1192">
        <f t="shared" si="93"/>
        <v>0</v>
      </c>
      <c r="J2243" s="1014"/>
      <c r="K2243" s="1014"/>
      <c r="L2243" s="1043"/>
      <c r="M2243" s="934">
        <v>630</v>
      </c>
    </row>
    <row r="2244" spans="1:16" s="1016" customFormat="1" ht="25.2" hidden="1" customHeight="1">
      <c r="A2244" s="1086">
        <f t="shared" si="92"/>
        <v>0</v>
      </c>
      <c r="B2244" s="1087" t="str">
        <f>"DATD"&amp;chitiet!G5</f>
        <v>DATD3</v>
      </c>
      <c r="C2244" s="2842"/>
      <c r="D2244" s="1023"/>
      <c r="E2244" s="1012" t="str">
        <f>VLOOKUP($B2244,DG!A:D,DG!$B$2,)</f>
        <v>03.4123</v>
      </c>
      <c r="F2244" s="1013" t="str">
        <f>VLOOKUP($B2244,DG!A:D,DG!$C$2,)</f>
        <v>Đắp đất rãnh tiếp độ chặt k=0,85</v>
      </c>
      <c r="G2244" s="1024" t="str">
        <f>VLOOKUP($B2244,DG!A:D,DG!$D$2,)</f>
        <v>m3</v>
      </c>
      <c r="H2244" s="1100">
        <f>H2243</f>
        <v>0</v>
      </c>
      <c r="I2244" s="1192">
        <f t="shared" si="93"/>
        <v>0</v>
      </c>
      <c r="J2244" s="1014"/>
      <c r="K2244" s="1014"/>
      <c r="L2244" s="1043"/>
      <c r="M2244" s="934">
        <v>630</v>
      </c>
    </row>
    <row r="2245" spans="1:16" s="1016" customFormat="1" ht="25.2" hidden="1" customHeight="1">
      <c r="A2245" s="1086">
        <f t="shared" si="92"/>
        <v>0</v>
      </c>
      <c r="B2245" s="1087" t="s">
        <v>902</v>
      </c>
      <c r="C2245" s="2842"/>
      <c r="D2245" s="1023"/>
      <c r="E2245" s="1012" t="str">
        <f>VLOOKUP($B2245,DG!A:D,DG!$B$2,)</f>
        <v>04.7001</v>
      </c>
      <c r="F2245" s="1013" t="str">
        <f>VLOOKUP($B2245,DG!A:D,DG!$C$2,)</f>
        <v>Đóng cọc tiếp địa trong TBA</v>
      </c>
      <c r="G2245" s="1024" t="str">
        <f>VLOOKUP($B2245,DG!A:D,DG!$D$2,)</f>
        <v>cọc</v>
      </c>
      <c r="H2245" s="1100">
        <f>H2231</f>
        <v>0</v>
      </c>
      <c r="I2245" s="1192">
        <f t="shared" si="93"/>
        <v>0</v>
      </c>
      <c r="J2245" s="1014"/>
      <c r="K2245" s="1014"/>
      <c r="L2245" s="1043"/>
      <c r="M2245" s="934">
        <v>630</v>
      </c>
    </row>
    <row r="2246" spans="1:16" s="1016" customFormat="1" ht="25.2" hidden="1" customHeight="1">
      <c r="A2246" s="1086">
        <f t="shared" si="92"/>
        <v>0</v>
      </c>
      <c r="B2246" s="1087" t="s">
        <v>1437</v>
      </c>
      <c r="C2246" s="2842"/>
      <c r="D2246" s="1011"/>
      <c r="E2246" s="1012" t="str">
        <f>VLOOKUP($B2246,DG!A:D,DG!$B$2,)</f>
        <v>04.7002</v>
      </c>
      <c r="F2246" s="1013" t="str">
        <f>VLOOKUP($B2246,DG!A:D,DG!$C$2,)</f>
        <v>Kéo dây tiếp địa trong TBA</v>
      </c>
      <c r="G2246" s="1024" t="str">
        <f>VLOOKUP($B2246,DG!A:D,DG!$D$2,)</f>
        <v>kg</v>
      </c>
      <c r="H2246" s="1713">
        <f>H2227*I3</f>
        <v>0</v>
      </c>
      <c r="I2246" s="1192">
        <f t="shared" si="93"/>
        <v>0</v>
      </c>
      <c r="J2246" s="1014"/>
      <c r="K2246" s="1014"/>
      <c r="L2246" s="1043"/>
      <c r="M2246" s="934">
        <v>630</v>
      </c>
    </row>
    <row r="2247" spans="1:16" s="1016" customFormat="1" ht="25.2" hidden="1" customHeight="1">
      <c r="A2247" s="1086">
        <f t="shared" si="92"/>
        <v>0</v>
      </c>
      <c r="B2247" s="1226"/>
      <c r="C2247" s="2841"/>
      <c r="D2247" s="1017">
        <f>IF(H2247&gt;0,D2227+1,D2227)</f>
        <v>0</v>
      </c>
      <c r="E2247" s="1018"/>
      <c r="F2247" s="1019" t="s">
        <v>3721</v>
      </c>
      <c r="G2247" s="1017" t="s">
        <v>2385</v>
      </c>
      <c r="H2247" s="1722">
        <f>H2155</f>
        <v>0</v>
      </c>
      <c r="I2247" s="1192">
        <f t="shared" si="93"/>
        <v>0</v>
      </c>
      <c r="J2247" s="1014"/>
      <c r="K2247" s="1014"/>
      <c r="L2247" s="1015"/>
      <c r="M2247" s="934">
        <v>630</v>
      </c>
    </row>
    <row r="2248" spans="1:16" s="1016" customFormat="1" ht="25.2" hidden="1" customHeight="1">
      <c r="A2248" s="1086">
        <f t="shared" si="92"/>
        <v>0</v>
      </c>
      <c r="B2248" s="1226"/>
      <c r="C2248" s="2841"/>
      <c r="D2248" s="1011"/>
      <c r="E2248" s="1021"/>
      <c r="F2248" s="1267" t="s">
        <v>2279</v>
      </c>
      <c r="G2248" s="1023"/>
      <c r="H2248" s="1713"/>
      <c r="I2248" s="1192">
        <f t="shared" si="93"/>
        <v>0</v>
      </c>
      <c r="J2248" s="1014"/>
      <c r="K2248" s="1014"/>
      <c r="L2248" s="1015"/>
      <c r="M2248" s="934">
        <v>630</v>
      </c>
    </row>
    <row r="2249" spans="1:16" s="1016" customFormat="1" ht="25.2" hidden="1" customHeight="1">
      <c r="A2249" s="1086">
        <f t="shared" si="92"/>
        <v>0</v>
      </c>
      <c r="B2249" s="1226" t="s">
        <v>653</v>
      </c>
      <c r="C2249" s="2841"/>
      <c r="D2249" s="1023"/>
      <c r="E2249" s="1024">
        <f>VLOOKUP($B2249,DG!A:D,DG!$B$2,)</f>
        <v>0</v>
      </c>
      <c r="F2249" s="1025" t="str">
        <f>VLOOKUP($B2249,DG!A:D,DG!$C$2,)</f>
        <v>Ximăng (PC40)</v>
      </c>
      <c r="G2249" s="1024" t="str">
        <f>VLOOKUP($B2249,DG!A:D,DG!$D$2,)</f>
        <v>kg</v>
      </c>
      <c r="H2249" s="1713">
        <f>H2247*M2252</f>
        <v>0</v>
      </c>
      <c r="I2249" s="1192">
        <f t="shared" si="93"/>
        <v>0</v>
      </c>
      <c r="J2249" s="1014"/>
      <c r="K2249" s="1014"/>
      <c r="L2249" s="1015"/>
      <c r="M2249" s="934">
        <v>630</v>
      </c>
    </row>
    <row r="2250" spans="1:16" s="1016" customFormat="1" ht="25.2" hidden="1" customHeight="1">
      <c r="A2250" s="1086">
        <f t="shared" si="92"/>
        <v>0</v>
      </c>
      <c r="B2250" s="1226" t="s">
        <v>4414</v>
      </c>
      <c r="C2250" s="2841"/>
      <c r="D2250" s="1011"/>
      <c r="E2250" s="1024">
        <f>VLOOKUP($B2250,DG!A:D,DG!$B$2,)</f>
        <v>0</v>
      </c>
      <c r="F2250" s="1025" t="str">
        <f>VLOOKUP($B2250,DG!A:D,DG!$C$2,)</f>
        <v>Cát vàng</v>
      </c>
      <c r="G2250" s="1024" t="str">
        <f>VLOOKUP($B2250,DG!A:D,DG!$D$2,)</f>
        <v>m3</v>
      </c>
      <c r="H2250" s="1713">
        <f>H2247*N2252</f>
        <v>0</v>
      </c>
      <c r="I2250" s="1192">
        <f t="shared" si="93"/>
        <v>0</v>
      </c>
      <c r="J2250" s="1014"/>
      <c r="K2250" s="1014"/>
      <c r="L2250" s="1015"/>
      <c r="M2250" s="934">
        <v>630</v>
      </c>
    </row>
    <row r="2251" spans="1:16" s="1016" customFormat="1" ht="25.2" hidden="1" customHeight="1">
      <c r="A2251" s="1086">
        <f t="shared" si="92"/>
        <v>0</v>
      </c>
      <c r="B2251" s="1226" t="s">
        <v>216</v>
      </c>
      <c r="C2251" s="2841"/>
      <c r="D2251" s="1011"/>
      <c r="E2251" s="1024">
        <f>VLOOKUP($B2251,DG!A:D,DG!$B$2,)</f>
        <v>0</v>
      </c>
      <c r="F2251" s="1025" t="str">
        <f>VLOOKUP($B2251,DG!A:D,DG!$C$2,)</f>
        <v>Đá 1x2</v>
      </c>
      <c r="G2251" s="1024" t="str">
        <f>VLOOKUP($B2251,DG!A:D,DG!$D$2,)</f>
        <v>m3</v>
      </c>
      <c r="H2251" s="1713">
        <f>H2247*O2252</f>
        <v>0</v>
      </c>
      <c r="I2251" s="1192">
        <f t="shared" si="93"/>
        <v>0</v>
      </c>
      <c r="J2251" s="1014"/>
      <c r="K2251" s="1014"/>
      <c r="L2251" s="1015"/>
      <c r="M2251" s="934">
        <v>630</v>
      </c>
    </row>
    <row r="2252" spans="1:16" s="1016" customFormat="1" ht="25.2" hidden="1" customHeight="1">
      <c r="A2252" s="1086">
        <f t="shared" si="92"/>
        <v>0</v>
      </c>
      <c r="B2252" s="1226" t="s">
        <v>654</v>
      </c>
      <c r="C2252" s="2841"/>
      <c r="D2252" s="1023"/>
      <c r="E2252" s="1024" t="str">
        <f>VLOOKUP($B2252,DG!A:D,DG!$B$2,)</f>
        <v>04.1203c</v>
      </c>
      <c r="F2252" s="1025" t="str">
        <f>VLOOKUP($B2252,DG!A:D,DG!$C$2,)</f>
        <v>Đổ bê tông móng trụ &lt;=250cm-M200 đá 1x2</v>
      </c>
      <c r="G2252" s="1024" t="str">
        <f>VLOOKUP($B2252,DG!A:D,DG!$D$2,)</f>
        <v>m3</v>
      </c>
      <c r="H2252" s="1713">
        <f>H2247*(0.4*3*1-2*3.14*0.15^2*0.4)*1.025</f>
        <v>0</v>
      </c>
      <c r="I2252" s="1192">
        <f t="shared" si="93"/>
        <v>0</v>
      </c>
      <c r="J2252" s="1014"/>
      <c r="K2252" s="1014"/>
      <c r="L2252" s="1015"/>
      <c r="M2252" s="934">
        <v>630</v>
      </c>
      <c r="N2252" s="1026">
        <f>1.025*0.45</f>
        <v>0.46124999999999999</v>
      </c>
      <c r="O2252" s="1026">
        <f>1.025*0.866</f>
        <v>0.88764999999999994</v>
      </c>
      <c r="P2252" s="1170"/>
    </row>
    <row r="2253" spans="1:16" s="1016" customFormat="1" ht="25.2" hidden="1" customHeight="1">
      <c r="A2253" s="1086">
        <f t="shared" si="92"/>
        <v>0</v>
      </c>
      <c r="B2253" s="1226"/>
      <c r="C2253" s="2841"/>
      <c r="D2253" s="1017">
        <f>IF(H2253&gt;0,D2247+1,D2247)</f>
        <v>0</v>
      </c>
      <c r="E2253" s="1018"/>
      <c r="F2253" s="1019" t="s">
        <v>3722</v>
      </c>
      <c r="G2253" s="1017" t="s">
        <v>2385</v>
      </c>
      <c r="H2253" s="1722"/>
      <c r="I2253" s="1192">
        <f t="shared" si="93"/>
        <v>0</v>
      </c>
      <c r="J2253" s="1014"/>
      <c r="K2253" s="1014"/>
      <c r="L2253" s="1015"/>
      <c r="M2253" s="934">
        <v>630</v>
      </c>
    </row>
    <row r="2254" spans="1:16" s="1016" customFormat="1" ht="25.2" hidden="1" customHeight="1">
      <c r="A2254" s="1086">
        <f t="shared" si="92"/>
        <v>0</v>
      </c>
      <c r="B2254" s="1226"/>
      <c r="C2254" s="2841"/>
      <c r="D2254" s="1011"/>
      <c r="E2254" s="1021"/>
      <c r="F2254" s="1267" t="s">
        <v>2279</v>
      </c>
      <c r="G2254" s="1023"/>
      <c r="H2254" s="1713"/>
      <c r="I2254" s="1192">
        <f t="shared" si="93"/>
        <v>0</v>
      </c>
      <c r="J2254" s="1014"/>
      <c r="K2254" s="1014"/>
      <c r="L2254" s="1015"/>
      <c r="M2254" s="934">
        <v>630</v>
      </c>
    </row>
    <row r="2255" spans="1:16" s="1016" customFormat="1" ht="25.2" hidden="1" customHeight="1">
      <c r="A2255" s="1086">
        <f t="shared" si="92"/>
        <v>0</v>
      </c>
      <c r="B2255" s="1226" t="s">
        <v>653</v>
      </c>
      <c r="C2255" s="2841"/>
      <c r="D2255" s="1023"/>
      <c r="E2255" s="1024">
        <f>VLOOKUP($B2255,DG!A:D,DG!$B$2,)</f>
        <v>0</v>
      </c>
      <c r="F2255" s="1025" t="str">
        <f>VLOOKUP($B2255,DG!A:D,DG!$C$2,)</f>
        <v>Ximăng (PC40)</v>
      </c>
      <c r="G2255" s="1024" t="str">
        <f>VLOOKUP($B2255,DG!A:D,DG!$D$2,)</f>
        <v>kg</v>
      </c>
      <c r="H2255" s="1713">
        <f>H2258*M2258</f>
        <v>0</v>
      </c>
      <c r="I2255" s="1192">
        <f t="shared" si="93"/>
        <v>0</v>
      </c>
      <c r="J2255" s="1014"/>
      <c r="K2255" s="1014"/>
      <c r="L2255" s="1015"/>
      <c r="M2255" s="934">
        <v>630</v>
      </c>
    </row>
    <row r="2256" spans="1:16" s="1016" customFormat="1" ht="25.2" hidden="1" customHeight="1">
      <c r="A2256" s="1086">
        <f t="shared" si="92"/>
        <v>0</v>
      </c>
      <c r="B2256" s="1226" t="s">
        <v>4414</v>
      </c>
      <c r="C2256" s="2841"/>
      <c r="D2256" s="1011"/>
      <c r="E2256" s="1024">
        <f>VLOOKUP($B2256,DG!A:D,DG!$B$2,)</f>
        <v>0</v>
      </c>
      <c r="F2256" s="1025" t="str">
        <f>VLOOKUP($B2256,DG!A:D,DG!$C$2,)</f>
        <v>Cát vàng</v>
      </c>
      <c r="G2256" s="1024" t="str">
        <f>VLOOKUP($B2256,DG!A:D,DG!$D$2,)</f>
        <v>m3</v>
      </c>
      <c r="H2256" s="1723">
        <f>H2258*N2258</f>
        <v>0</v>
      </c>
      <c r="I2256" s="1192">
        <f t="shared" si="93"/>
        <v>0</v>
      </c>
      <c r="J2256" s="1014"/>
      <c r="K2256" s="1014"/>
      <c r="L2256" s="1015"/>
      <c r="M2256" s="934">
        <v>630</v>
      </c>
    </row>
    <row r="2257" spans="1:16" s="1016" customFormat="1" ht="25.2" hidden="1" customHeight="1">
      <c r="A2257" s="1086">
        <f t="shared" si="92"/>
        <v>0</v>
      </c>
      <c r="B2257" s="1226" t="s">
        <v>216</v>
      </c>
      <c r="C2257" s="2841"/>
      <c r="D2257" s="1011"/>
      <c r="E2257" s="1024">
        <f>VLOOKUP($B2257,DG!A:D,DG!$B$2,)</f>
        <v>0</v>
      </c>
      <c r="F2257" s="1025" t="str">
        <f>VLOOKUP($B2257,DG!A:D,DG!$C$2,)</f>
        <v>Đá 1x2</v>
      </c>
      <c r="G2257" s="1024" t="str">
        <f>VLOOKUP($B2257,DG!A:D,DG!$D$2,)</f>
        <v>m3</v>
      </c>
      <c r="H2257" s="1723">
        <f>H2258*O2258</f>
        <v>0</v>
      </c>
      <c r="I2257" s="1192">
        <f t="shared" si="93"/>
        <v>0</v>
      </c>
      <c r="J2257" s="1014"/>
      <c r="K2257" s="1014"/>
      <c r="L2257" s="1015"/>
      <c r="M2257" s="934">
        <v>630</v>
      </c>
    </row>
    <row r="2258" spans="1:16" s="1016" customFormat="1" ht="25.2" hidden="1" customHeight="1">
      <c r="A2258" s="1086">
        <f t="shared" si="92"/>
        <v>0</v>
      </c>
      <c r="B2258" s="1226" t="s">
        <v>654</v>
      </c>
      <c r="C2258" s="2841"/>
      <c r="D2258" s="1023"/>
      <c r="E2258" s="1024" t="str">
        <f>VLOOKUP($B2258,DG!A:D,DG!$B$2,)</f>
        <v>04.1203c</v>
      </c>
      <c r="F2258" s="1025" t="str">
        <f>VLOOKUP($B2258,DG!A:D,DG!$C$2,)</f>
        <v>Đổ bê tông móng trụ &lt;=250cm-M200 đá 1x2</v>
      </c>
      <c r="G2258" s="1024" t="str">
        <f>VLOOKUP($B2258,DG!A:D,DG!$D$2,)</f>
        <v>m3</v>
      </c>
      <c r="H2258" s="1713">
        <f>H2253*0.2*0.2*(0.2+0.2+0.8+0.8+2*4)</f>
        <v>0</v>
      </c>
      <c r="I2258" s="1192">
        <f t="shared" si="93"/>
        <v>0</v>
      </c>
      <c r="J2258" s="1014"/>
      <c r="K2258" s="1014"/>
      <c r="L2258" s="1015"/>
      <c r="M2258" s="934">
        <v>630</v>
      </c>
      <c r="N2258" s="1026">
        <f>1.025*0.45</f>
        <v>0.46124999999999999</v>
      </c>
      <c r="O2258" s="1026">
        <f>1.025*0.866</f>
        <v>0.88764999999999994</v>
      </c>
      <c r="P2258" s="1170"/>
    </row>
    <row r="2259" spans="1:16" s="1016" customFormat="1" ht="25.2" hidden="1" customHeight="1">
      <c r="A2259" s="1086">
        <f t="shared" si="92"/>
        <v>0</v>
      </c>
      <c r="B2259" s="1226"/>
      <c r="C2259" s="2841"/>
      <c r="D2259" s="1017">
        <f>IF(H2259&gt;0,D2253+1,D2253)</f>
        <v>0</v>
      </c>
      <c r="E2259" s="1018"/>
      <c r="F2259" s="1019" t="s">
        <v>3723</v>
      </c>
      <c r="G2259" s="1017" t="s">
        <v>2385</v>
      </c>
      <c r="H2259" s="1722">
        <f>H2150</f>
        <v>0</v>
      </c>
      <c r="I2259" s="1192">
        <f t="shared" si="93"/>
        <v>0</v>
      </c>
      <c r="J2259" s="1014"/>
      <c r="K2259" s="1014"/>
      <c r="L2259" s="1043"/>
      <c r="M2259" s="934">
        <v>630</v>
      </c>
    </row>
    <row r="2260" spans="1:16" s="1016" customFormat="1" ht="25.2" hidden="1" customHeight="1">
      <c r="A2260" s="1086">
        <f t="shared" si="92"/>
        <v>0</v>
      </c>
      <c r="B2260" s="1226"/>
      <c r="C2260" s="2841"/>
      <c r="D2260" s="1011"/>
      <c r="E2260" s="1021"/>
      <c r="F2260" s="1267" t="s">
        <v>2279</v>
      </c>
      <c r="G2260" s="1023"/>
      <c r="H2260" s="1713"/>
      <c r="I2260" s="1192">
        <f t="shared" si="93"/>
        <v>0</v>
      </c>
      <c r="J2260" s="1014"/>
      <c r="K2260" s="1014"/>
      <c r="L2260" s="1043"/>
      <c r="M2260" s="934">
        <v>630</v>
      </c>
    </row>
    <row r="2261" spans="1:16" s="1016" customFormat="1" ht="25.2" hidden="1" customHeight="1">
      <c r="A2261" s="1086">
        <f t="shared" si="92"/>
        <v>0</v>
      </c>
      <c r="B2261" s="1256" t="s">
        <v>2048</v>
      </c>
      <c r="C2261" s="2858"/>
      <c r="D2261" s="1023"/>
      <c r="E2261" s="1024" t="str">
        <f>VLOOKUP($B2261,DG!A:D,DG!$B$2,)</f>
        <v>05.1002</v>
      </c>
      <c r="F2261" s="1025" t="str">
        <f>VLOOKUP($B2261,DG!A:D,DG!$C$2,)</f>
        <v>Vỏ tủ trạm giàn 2 ngăn + khóa tủ</v>
      </c>
      <c r="G2261" s="1024" t="str">
        <f>VLOOKUP($B2261,DG!A:D,DG!$D$2,)</f>
        <v>cái</v>
      </c>
      <c r="H2261" s="1713">
        <f>H2259</f>
        <v>0</v>
      </c>
      <c r="I2261" s="1192">
        <f t="shared" si="93"/>
        <v>0</v>
      </c>
      <c r="J2261" s="1014"/>
      <c r="K2261" s="1014"/>
      <c r="L2261" s="1043"/>
      <c r="M2261" s="934">
        <v>630</v>
      </c>
    </row>
    <row r="2262" spans="1:16" s="1016" customFormat="1" ht="25.2" hidden="1" customHeight="1">
      <c r="A2262" s="1086">
        <f t="shared" si="92"/>
        <v>0</v>
      </c>
      <c r="B2262" s="1256" t="s">
        <v>1228</v>
      </c>
      <c r="C2262" s="2858"/>
      <c r="D2262" s="1023"/>
      <c r="E2262" s="1024" t="str">
        <f>VLOOKUP($B2262,DG!A:D,DG!$B$2,)</f>
        <v>05.1102</v>
      </c>
      <c r="F2262" s="1025" t="str">
        <f>VLOOKUP($B2262,DG!A:D,DG!$C$2,)</f>
        <v>Khung đỡ tủ MCCB và tủ bù</v>
      </c>
      <c r="G2262" s="1024" t="str">
        <f>VLOOKUP($B2262,DG!A:D,DG!$D$2,)</f>
        <v>trọn bộ</v>
      </c>
      <c r="H2262" s="1713"/>
      <c r="I2262" s="1192">
        <f t="shared" si="93"/>
        <v>0</v>
      </c>
      <c r="J2262" s="1014"/>
      <c r="K2262" s="1014"/>
      <c r="L2262" s="1043"/>
      <c r="M2262" s="934">
        <v>630</v>
      </c>
    </row>
    <row r="2263" spans="1:16" s="1016" customFormat="1" ht="25.2" hidden="1" customHeight="1">
      <c r="A2263" s="1086">
        <f t="shared" si="92"/>
        <v>0</v>
      </c>
      <c r="B2263" s="1226" t="s">
        <v>1535</v>
      </c>
      <c r="C2263" s="2841"/>
      <c r="D2263" s="1011"/>
      <c r="E2263" s="1024">
        <f>VLOOKUP($B2263,DG!A:D,DG!$B$2,)</f>
        <v>0</v>
      </c>
      <c r="F2263" s="1025" t="str">
        <f>VLOOKUP($B2263,DG!A:D,DG!$C$2,)</f>
        <v>Giá nới + Thanh cái tủ CB</v>
      </c>
      <c r="G2263" s="1024" t="str">
        <f>VLOOKUP($B2263,DG!A:D,DG!$D$2,)</f>
        <v>bộ</v>
      </c>
      <c r="H2263" s="1723">
        <f>H2259*0</f>
        <v>0</v>
      </c>
      <c r="I2263" s="1192">
        <f t="shared" si="93"/>
        <v>0</v>
      </c>
      <c r="J2263" s="1014"/>
      <c r="K2263" s="1014"/>
      <c r="L2263" s="1043"/>
      <c r="M2263" s="934">
        <v>630</v>
      </c>
    </row>
    <row r="2264" spans="1:16" s="1016" customFormat="1" ht="25.2" hidden="1" customHeight="1">
      <c r="A2264" s="1086">
        <f t="shared" si="92"/>
        <v>0</v>
      </c>
      <c r="B2264" s="1226" t="s">
        <v>880</v>
      </c>
      <c r="C2264" s="2841"/>
      <c r="D2264" s="1011"/>
      <c r="E2264" s="1024">
        <f>VLOOKUP($B2264,DG!A:D,DG!$B$2,)</f>
        <v>0</v>
      </c>
      <c r="F2264" s="1025" t="str">
        <f>VLOOKUP($B2264,DG!A:D,DG!$C$2,)</f>
        <v xml:space="preserve">Bakelit 550x450 dầy 10mm </v>
      </c>
      <c r="G2264" s="1024" t="str">
        <f>VLOOKUP($B2264,DG!A:D,DG!$D$2,)</f>
        <v>cái</v>
      </c>
      <c r="H2264" s="1723">
        <f>H2259*1</f>
        <v>0</v>
      </c>
      <c r="I2264" s="1192">
        <f t="shared" si="93"/>
        <v>0</v>
      </c>
      <c r="J2264" s="1014"/>
      <c r="K2264" s="1014"/>
      <c r="L2264" s="1043"/>
      <c r="M2264" s="934">
        <v>630</v>
      </c>
    </row>
    <row r="2265" spans="1:16" s="1016" customFormat="1" ht="25.2" hidden="1" customHeight="1">
      <c r="A2265" s="1086">
        <f t="shared" si="92"/>
        <v>0</v>
      </c>
      <c r="B2265" s="1226" t="s">
        <v>289</v>
      </c>
      <c r="C2265" s="2841"/>
      <c r="D2265" s="1023"/>
      <c r="E2265" s="1024" t="str">
        <f>VLOOKUP($B2265,DG!A:D,DG!$B$2,)</f>
        <v>06.3191</v>
      </c>
      <c r="F2265" s="1025" t="str">
        <f>VLOOKUP($B2265,DG!A:D,DG!$C$2,)</f>
        <v>Bảng tên trạm, bảng báo nguy hiểm + đinh vít</v>
      </c>
      <c r="G2265" s="1024" t="str">
        <f>VLOOKUP($B2265,DG!A:D,DG!$D$2,)</f>
        <v>bộ</v>
      </c>
      <c r="H2265" s="1713">
        <f>H2259</f>
        <v>0</v>
      </c>
      <c r="I2265" s="1192">
        <f t="shared" si="93"/>
        <v>0</v>
      </c>
      <c r="J2265" s="1014"/>
      <c r="K2265" s="1014"/>
      <c r="L2265" s="1043"/>
      <c r="M2265" s="934">
        <v>630</v>
      </c>
    </row>
    <row r="2266" spans="1:16" s="1016" customFormat="1" ht="25.2" hidden="1" customHeight="1">
      <c r="A2266" s="1086">
        <f t="shared" ref="A2266:A2329" si="94">IF(AND(M2266=$M$23,I2266&gt;0),1,0)</f>
        <v>0</v>
      </c>
      <c r="B2266" s="1226"/>
      <c r="C2266" s="2841"/>
      <c r="D2266" s="1017">
        <f>IF(H2266&gt;0,D2259+1,D2259)</f>
        <v>0</v>
      </c>
      <c r="E2266" s="1018"/>
      <c r="F2266" s="1019" t="s">
        <v>3724</v>
      </c>
      <c r="G2266" s="1017" t="s">
        <v>2532</v>
      </c>
      <c r="H2266" s="1722">
        <f>H2150*0</f>
        <v>0</v>
      </c>
      <c r="I2266" s="1192">
        <f t="shared" si="93"/>
        <v>0</v>
      </c>
      <c r="J2266" s="1014"/>
      <c r="K2266" s="1014"/>
      <c r="L2266" s="1015"/>
      <c r="M2266" s="934">
        <v>630</v>
      </c>
    </row>
    <row r="2267" spans="1:16" s="1016" customFormat="1" ht="25.2" hidden="1" customHeight="1">
      <c r="A2267" s="1086">
        <f t="shared" si="94"/>
        <v>0</v>
      </c>
      <c r="B2267" s="1226"/>
      <c r="C2267" s="2841"/>
      <c r="D2267" s="1011"/>
      <c r="E2267" s="1021"/>
      <c r="F2267" s="1267" t="s">
        <v>2279</v>
      </c>
      <c r="G2267" s="1023"/>
      <c r="H2267" s="1713"/>
      <c r="I2267" s="1192">
        <f t="shared" si="93"/>
        <v>0</v>
      </c>
      <c r="J2267" s="1014"/>
      <c r="K2267" s="1014"/>
      <c r="L2267" s="1015"/>
      <c r="M2267" s="934">
        <v>630</v>
      </c>
    </row>
    <row r="2268" spans="1:16" s="1016" customFormat="1" ht="25.2" hidden="1" customHeight="1">
      <c r="A2268" s="1086">
        <f t="shared" si="94"/>
        <v>0</v>
      </c>
      <c r="B2268" s="1226" t="s">
        <v>4414</v>
      </c>
      <c r="C2268" s="2841"/>
      <c r="D2268" s="1023"/>
      <c r="E2268" s="1024">
        <f>VLOOKUP($B2268,DG!A:D,DG!$B$2,)</f>
        <v>0</v>
      </c>
      <c r="F2268" s="1041" t="str">
        <f>VLOOKUP($B2268,DG!A:D,DG!$C$2,)&amp;": 0,315m3/m"</f>
        <v>Cát vàng: 0,315m3/m</v>
      </c>
      <c r="G2268" s="1024" t="str">
        <f>VLOOKUP($B2268,DG!A:D,DG!$D$2,)</f>
        <v>m3</v>
      </c>
      <c r="H2268" s="1713">
        <f>H2266*0.315</f>
        <v>0</v>
      </c>
      <c r="I2268" s="1192">
        <f t="shared" si="93"/>
        <v>0</v>
      </c>
      <c r="J2268" s="1014"/>
      <c r="K2268" s="1014"/>
      <c r="L2268" s="1015"/>
      <c r="M2268" s="934">
        <v>630</v>
      </c>
    </row>
    <row r="2269" spans="1:16" s="1016" customFormat="1" ht="25.2" hidden="1" customHeight="1">
      <c r="A2269" s="1086">
        <f t="shared" si="94"/>
        <v>0</v>
      </c>
      <c r="B2269" s="1228" t="s">
        <v>520</v>
      </c>
      <c r="C2269" s="2840"/>
      <c r="D2269" s="1023"/>
      <c r="E2269" s="1024">
        <f>VLOOKUP($B2269,DG!A:D,DG!$B$2,)</f>
        <v>0</v>
      </c>
      <c r="F2269" s="1041" t="str">
        <f>VLOOKUP($B2269,DG!A:D,DG!$C$2,)&amp;": 0,092m3/m"</f>
        <v>Đá 2x4: 0,092m3/m</v>
      </c>
      <c r="G2269" s="1024" t="str">
        <f>VLOOKUP($B2269,DG!A:D,DG!$D$2,)</f>
        <v>m3</v>
      </c>
      <c r="H2269" s="1713">
        <f>0.092*H2266</f>
        <v>0</v>
      </c>
      <c r="I2269" s="1192">
        <f t="shared" si="93"/>
        <v>0</v>
      </c>
      <c r="J2269" s="1014"/>
      <c r="K2269" s="1014"/>
      <c r="L2269" s="1015"/>
      <c r="M2269" s="934">
        <v>630</v>
      </c>
    </row>
    <row r="2270" spans="1:16" s="1016" customFormat="1" ht="25.2" hidden="1" customHeight="1">
      <c r="A2270" s="1086">
        <f t="shared" si="94"/>
        <v>0</v>
      </c>
      <c r="B2270" s="1228" t="s">
        <v>1675</v>
      </c>
      <c r="C2270" s="2840"/>
      <c r="D2270" s="1023"/>
      <c r="E2270" s="1024">
        <f>VLOOKUP($B2270,DG!A:D,DG!$B$2,)</f>
        <v>0</v>
      </c>
      <c r="F2270" s="1041" t="str">
        <f>VLOOKUP($B2270,DG!A:D,DG!$C$2,)&amp;": 3,3vieân/m"</f>
        <v>Gạch tàu: 3,3vieân/m</v>
      </c>
      <c r="G2270" s="1024" t="str">
        <f>VLOOKUP($B2270,DG!A:D,DG!$D$2,)</f>
        <v>viên</v>
      </c>
      <c r="H2270" s="1713">
        <f>3.3*H2266</f>
        <v>0</v>
      </c>
      <c r="I2270" s="1192">
        <f t="shared" si="93"/>
        <v>0</v>
      </c>
      <c r="J2270" s="1014"/>
      <c r="K2270" s="1014"/>
      <c r="L2270" s="1015"/>
      <c r="M2270" s="934">
        <v>630</v>
      </c>
    </row>
    <row r="2271" spans="1:16" s="1016" customFormat="1" ht="25.2" hidden="1" customHeight="1">
      <c r="A2271" s="1086">
        <f t="shared" si="94"/>
        <v>0</v>
      </c>
      <c r="B2271" s="1228" t="s">
        <v>1676</v>
      </c>
      <c r="C2271" s="2840"/>
      <c r="D2271" s="1023"/>
      <c r="E2271" s="1024">
        <f>VLOOKUP($B2271,DG!A:D,DG!$B$2,)</f>
        <v>0</v>
      </c>
      <c r="F2271" s="1041" t="str">
        <f>VLOOKUP($B2271,DG!A:D,DG!$C$2,)&amp;": 0,4m2/m"</f>
        <v>Tấm nilông màu cảnh báo: 0,4m2/m</v>
      </c>
      <c r="G2271" s="1024" t="str">
        <f>VLOOKUP($B2271,DG!A:D,DG!$D$2,)</f>
        <v>m2</v>
      </c>
      <c r="H2271" s="1713">
        <f>0.4*H2266</f>
        <v>0</v>
      </c>
      <c r="I2271" s="1192">
        <f t="shared" si="93"/>
        <v>0</v>
      </c>
      <c r="J2271" s="1014"/>
      <c r="K2271" s="1014"/>
      <c r="L2271" s="1015"/>
      <c r="M2271" s="934">
        <v>630</v>
      </c>
    </row>
    <row r="2272" spans="1:16" s="1016" customFormat="1" ht="25.2" hidden="1" customHeight="1">
      <c r="A2272" s="1086">
        <f t="shared" si="94"/>
        <v>0</v>
      </c>
      <c r="B2272" s="1228" t="s">
        <v>1518</v>
      </c>
      <c r="C2272" s="2840"/>
      <c r="D2272" s="1011"/>
      <c r="E2272" s="1024">
        <f>VLOOKUP($B2272,DG!A:D,DG!$B$2,)</f>
        <v>0</v>
      </c>
      <c r="F2272" s="1041" t="str">
        <f>VLOOKUP($B2272,DG!A:D,DG!$C$2,)</f>
        <v>Ống PVC D140x6,7mm</v>
      </c>
      <c r="G2272" s="1024" t="str">
        <f>VLOOKUP($B2272,DG!A:D,DG!$D$2,)</f>
        <v>m</v>
      </c>
      <c r="H2272" s="1713">
        <f>1*H2266</f>
        <v>0</v>
      </c>
      <c r="I2272" s="1192">
        <f t="shared" si="93"/>
        <v>0</v>
      </c>
      <c r="J2272" s="1014"/>
      <c r="K2272" s="1014"/>
      <c r="L2272" s="1015"/>
      <c r="M2272" s="934">
        <v>630</v>
      </c>
    </row>
    <row r="2273" spans="1:14" s="1016" customFormat="1" ht="25.2" hidden="1" customHeight="1">
      <c r="A2273" s="1086">
        <f t="shared" si="94"/>
        <v>0</v>
      </c>
      <c r="B2273" s="1228" t="s">
        <v>1678</v>
      </c>
      <c r="C2273" s="2840"/>
      <c r="D2273" s="1023"/>
      <c r="E2273" s="1024" t="str">
        <f>VLOOKUP($B2273,DG!A:D,DG!$B$2,)</f>
        <v>03.7000</v>
      </c>
      <c r="F2273" s="1041" t="str">
        <f>VLOOKUP($B2273,DG!A:D,DG!$C$2,)&amp;" + ñaép ñaù"</f>
        <v>Đắp cát  + ñaép ñaù</v>
      </c>
      <c r="G2273" s="1024" t="str">
        <f>VLOOKUP($B2273,DG!A:D,DG!$D$2,)</f>
        <v>m3</v>
      </c>
      <c r="H2273" s="1713">
        <f>H2268+H2269</f>
        <v>0</v>
      </c>
      <c r="I2273" s="1192">
        <f t="shared" si="93"/>
        <v>0</v>
      </c>
      <c r="J2273" s="1014"/>
      <c r="K2273" s="1014"/>
      <c r="L2273" s="1015"/>
      <c r="M2273" s="934">
        <v>630</v>
      </c>
    </row>
    <row r="2274" spans="1:14" s="1016" customFormat="1" ht="25.2" hidden="1" customHeight="1">
      <c r="A2274" s="1086">
        <f t="shared" si="94"/>
        <v>0</v>
      </c>
      <c r="B2274" s="1228" t="s">
        <v>144</v>
      </c>
      <c r="C2274" s="2840"/>
      <c r="D2274" s="1023"/>
      <c r="E2274" s="1024" t="str">
        <f>VLOOKUP($B2274,DG!A:D,DG!$B$2,)</f>
        <v>03.3103</v>
      </c>
      <c r="F2274" s="1041" t="str">
        <f>VLOOKUP($B2274,DG!A:D,DG!$C$2,)&amp;" : 0,48m3/m"</f>
        <v>Đào mương cáp ngầm đất cấp 3 : 0,48m3/m</v>
      </c>
      <c r="G2274" s="1024" t="str">
        <f>VLOOKUP($B2274,DG!A:D,DG!$D$2,)</f>
        <v>m3</v>
      </c>
      <c r="H2274" s="1713">
        <f>H2266*0.48</f>
        <v>0</v>
      </c>
      <c r="I2274" s="1192">
        <f t="shared" si="93"/>
        <v>0</v>
      </c>
      <c r="J2274" s="1014"/>
      <c r="K2274" s="1014"/>
      <c r="L2274" s="1015"/>
      <c r="M2274" s="934">
        <v>630</v>
      </c>
    </row>
    <row r="2275" spans="1:14" s="1016" customFormat="1" ht="25.2" hidden="1" customHeight="1">
      <c r="A2275" s="1086">
        <f t="shared" si="94"/>
        <v>0</v>
      </c>
      <c r="B2275" s="1228" t="s">
        <v>529</v>
      </c>
      <c r="C2275" s="2840"/>
      <c r="D2275" s="1023"/>
      <c r="E2275" s="1024" t="str">
        <f>VLOOKUP($B2275,DG!A:D,DG!$B$2,)</f>
        <v>03.3203</v>
      </c>
      <c r="F2275" s="1041" t="str">
        <f>VLOOKUP($B2275,DG!A:D,DG!$C$2,)&amp;" : 0,073m3/m"</f>
        <v>Đắp đất mương cáp ngầm, đất cấp 3 : 0,073m3/m</v>
      </c>
      <c r="G2275" s="1024" t="str">
        <f>VLOOKUP($B2275,DG!A:D,DG!$D$2,)</f>
        <v>m3</v>
      </c>
      <c r="H2275" s="1713">
        <f>H2266*0.073</f>
        <v>0</v>
      </c>
      <c r="I2275" s="1192">
        <f t="shared" si="93"/>
        <v>0</v>
      </c>
      <c r="J2275" s="1014"/>
      <c r="K2275" s="1014"/>
      <c r="L2275" s="1015"/>
      <c r="M2275" s="934">
        <v>630</v>
      </c>
      <c r="N2275" s="1066">
        <v>0.47499999999999998</v>
      </c>
    </row>
    <row r="2276" spans="1:14" s="1016" customFormat="1" ht="25.2" hidden="1" customHeight="1">
      <c r="A2276" s="1086">
        <f t="shared" si="94"/>
        <v>0</v>
      </c>
      <c r="B2276" s="1226"/>
      <c r="C2276" s="2841"/>
      <c r="D2276" s="1017">
        <f>IF(H2276&gt;0,D2266+1,D2266)</f>
        <v>0</v>
      </c>
      <c r="E2276" s="1018"/>
      <c r="F2276" s="1019" t="s">
        <v>3725</v>
      </c>
      <c r="G2276" s="1017" t="s">
        <v>2385</v>
      </c>
      <c r="H2276" s="1722">
        <f>H2285</f>
        <v>0</v>
      </c>
      <c r="I2276" s="1192">
        <f t="shared" si="93"/>
        <v>0</v>
      </c>
      <c r="J2276" s="1014"/>
      <c r="K2276" s="1014"/>
      <c r="L2276" s="1015"/>
      <c r="M2276" s="934">
        <v>630</v>
      </c>
      <c r="N2276" s="1066">
        <v>0.88100000000000001</v>
      </c>
    </row>
    <row r="2277" spans="1:14" s="1016" customFormat="1" ht="25.2" hidden="1" customHeight="1">
      <c r="A2277" s="1086">
        <f t="shared" si="94"/>
        <v>0</v>
      </c>
      <c r="B2277" s="1226"/>
      <c r="C2277" s="2841"/>
      <c r="D2277" s="1011"/>
      <c r="E2277" s="1021"/>
      <c r="F2277" s="1267" t="s">
        <v>2279</v>
      </c>
      <c r="G2277" s="1023"/>
      <c r="H2277" s="1713"/>
      <c r="I2277" s="1192">
        <f t="shared" si="93"/>
        <v>0</v>
      </c>
      <c r="J2277" s="1014"/>
      <c r="K2277" s="1014"/>
      <c r="L2277" s="1015"/>
      <c r="M2277" s="934">
        <v>630</v>
      </c>
    </row>
    <row r="2278" spans="1:14" s="1016" customFormat="1" ht="25.2" hidden="1" customHeight="1">
      <c r="A2278" s="1086">
        <f t="shared" si="94"/>
        <v>0</v>
      </c>
      <c r="B2278" s="1226" t="s">
        <v>623</v>
      </c>
      <c r="C2278" s="2841"/>
      <c r="D2278" s="1023"/>
      <c r="E2278" s="1024" t="str">
        <f>VLOOKUP($B2278,DG!A:D,DG!$B$2,)</f>
        <v>07.2204</v>
      </c>
      <c r="F2278" s="1025" t="str">
        <f>VLOOKUP($B2278,DG!A:D,DG!$C$2,)</f>
        <v>ÔÁng sắt tráng kẽm D140</v>
      </c>
      <c r="G2278" s="1024" t="str">
        <f>VLOOKUP($B2278,DG!A:D,DG!$D$2,)</f>
        <v>mét</v>
      </c>
      <c r="H2278" s="1713">
        <f>H2276*5*0</f>
        <v>0</v>
      </c>
      <c r="I2278" s="1192">
        <f t="shared" si="93"/>
        <v>0</v>
      </c>
      <c r="J2278" s="1014"/>
      <c r="K2278" s="1014"/>
      <c r="L2278" s="1015"/>
      <c r="M2278" s="934">
        <v>630</v>
      </c>
    </row>
    <row r="2279" spans="1:14" s="1016" customFormat="1" ht="25.2" hidden="1" customHeight="1">
      <c r="A2279" s="1086">
        <f t="shared" si="94"/>
        <v>0</v>
      </c>
      <c r="B2279" s="1228" t="s">
        <v>473</v>
      </c>
      <c r="C2279" s="2840"/>
      <c r="D2279" s="1011"/>
      <c r="E2279" s="1024">
        <f>VLOOKUP($B2279,DG!A:D,DG!$B$2,)</f>
        <v>0</v>
      </c>
      <c r="F2279" s="1025" t="str">
        <f>VLOOKUP($B2279,DG!A:D,DG!$C$2,)</f>
        <v>Co sừng 90 độ PVC 140</v>
      </c>
      <c r="G2279" s="1024" t="str">
        <f>VLOOKUP($B2279,DG!A:D,DG!$D$2,)</f>
        <v>cái</v>
      </c>
      <c r="H2279" s="1713">
        <f>H2276*0</f>
        <v>0</v>
      </c>
      <c r="I2279" s="1192">
        <f t="shared" si="93"/>
        <v>0</v>
      </c>
      <c r="J2279" s="1014"/>
      <c r="K2279" s="1014"/>
      <c r="L2279" s="1015"/>
      <c r="M2279" s="934">
        <v>630</v>
      </c>
    </row>
    <row r="2280" spans="1:14" s="1016" customFormat="1" ht="25.2" hidden="1" customHeight="1">
      <c r="A2280" s="1086">
        <f t="shared" si="94"/>
        <v>0</v>
      </c>
      <c r="B2280" s="1226" t="s">
        <v>120</v>
      </c>
      <c r="C2280" s="2841"/>
      <c r="D2280" s="1023"/>
      <c r="E2280" s="1024" t="str">
        <f>VLOOKUP($B2280,DG!A:D,DG!$B$2,)</f>
        <v>06.3231</v>
      </c>
      <c r="F2280" s="1025" t="str">
        <f>VLOOKUP($B2280,DG!A:D,DG!$C$2,)</f>
        <v>Cổ dê giữ ống STK D140 vào tường+Boulon+long đền+tắc ke sắt</v>
      </c>
      <c r="G2280" s="1024" t="str">
        <f>VLOOKUP($B2280,DG!A:D,DG!$D$2,)</f>
        <v>bộ</v>
      </c>
      <c r="H2280" s="1713">
        <f>H2276*2*0</f>
        <v>0</v>
      </c>
      <c r="I2280" s="1192">
        <f t="shared" si="93"/>
        <v>0</v>
      </c>
      <c r="J2280" s="1014"/>
      <c r="K2280" s="1014"/>
      <c r="L2280" s="1015"/>
      <c r="M2280" s="934">
        <v>630</v>
      </c>
    </row>
    <row r="2281" spans="1:14" s="1016" customFormat="1" ht="25.2" hidden="1" customHeight="1">
      <c r="A2281" s="1086">
        <f t="shared" si="94"/>
        <v>0</v>
      </c>
      <c r="B2281" s="1087" t="s">
        <v>1409</v>
      </c>
      <c r="C2281" s="2842"/>
      <c r="D2281" s="1023"/>
      <c r="E2281" s="1024">
        <f>VLOOKUP($B2281,DG!A:D,DG!$B$2,)</f>
        <v>0</v>
      </c>
      <c r="F2281" s="1025" t="str">
        <f>VLOOKUP($B2281,DG!A:D,DG!$C$2,)</f>
        <v>Giá đỡ cáp ngầm (V63x6)</v>
      </c>
      <c r="G2281" s="1024" t="str">
        <f>VLOOKUP($B2281,DG!A:D,DG!$D$2,)</f>
        <v>bộ</v>
      </c>
      <c r="H2281" s="1713">
        <f>H2276*0</f>
        <v>0</v>
      </c>
      <c r="I2281" s="1192">
        <f t="shared" si="93"/>
        <v>0</v>
      </c>
      <c r="J2281" s="1014"/>
      <c r="K2281" s="1014"/>
      <c r="L2281" s="1015"/>
      <c r="M2281" s="934">
        <v>630</v>
      </c>
    </row>
    <row r="2282" spans="1:14" s="1016" customFormat="1" ht="25.2" hidden="1" customHeight="1">
      <c r="A2282" s="1086">
        <f t="shared" si="94"/>
        <v>0</v>
      </c>
      <c r="B2282" s="1087" t="s">
        <v>2138</v>
      </c>
      <c r="C2282" s="2842"/>
      <c r="D2282" s="1023"/>
      <c r="E2282" s="1024">
        <f>VLOOKUP($B2282,DG!A:D,DG!$B$2,)</f>
        <v>0</v>
      </c>
      <c r="F2282" s="1025" t="str">
        <f>VLOOKUP($B2282,DG!A:D,DG!$C$2,)</f>
        <v>Giá đỡ cáp trung hạ thế</v>
      </c>
      <c r="G2282" s="1024" t="str">
        <f>VLOOKUP($B2282,DG!A:D,DG!$D$2,)</f>
        <v>bộ</v>
      </c>
      <c r="H2282" s="1713">
        <f>H2276</f>
        <v>0</v>
      </c>
      <c r="I2282" s="1192">
        <f t="shared" si="93"/>
        <v>0</v>
      </c>
      <c r="J2282" s="1014"/>
      <c r="K2282" s="1014"/>
      <c r="L2282" s="1015"/>
      <c r="M2282" s="934">
        <v>630</v>
      </c>
    </row>
    <row r="2283" spans="1:14" s="1016" customFormat="1" ht="25.2" hidden="1" customHeight="1">
      <c r="A2283" s="1086">
        <f t="shared" si="94"/>
        <v>0</v>
      </c>
      <c r="B2283" s="1226" t="s">
        <v>1410</v>
      </c>
      <c r="C2283" s="2841"/>
      <c r="D2283" s="1011"/>
      <c r="E2283" s="1024" t="str">
        <f>VLOOKUP($B2283,DG!A:D,DG!$B$2,)</f>
        <v>05.6101</v>
      </c>
      <c r="F2283" s="1025" t="str">
        <f>VLOOKUP($B2283,DG!A:D,DG!$C$2,)</f>
        <v>Lắp Giá đỡ cáp</v>
      </c>
      <c r="G2283" s="1024" t="str">
        <f>VLOOKUP($B2283,DG!A:D,DG!$D$2,)</f>
        <v>bộ</v>
      </c>
      <c r="H2283" s="1713">
        <f>H2281+H2282</f>
        <v>0</v>
      </c>
      <c r="I2283" s="1192">
        <f t="shared" si="93"/>
        <v>0</v>
      </c>
      <c r="J2283" s="1014"/>
      <c r="K2283" s="1014"/>
      <c r="L2283" s="1015"/>
      <c r="M2283" s="934">
        <v>630</v>
      </c>
    </row>
    <row r="2284" spans="1:14" s="1016" customFormat="1" ht="25.2" hidden="1" customHeight="1">
      <c r="A2284" s="1086">
        <f t="shared" si="94"/>
        <v>0</v>
      </c>
      <c r="B2284" s="1226" t="s">
        <v>289</v>
      </c>
      <c r="C2284" s="2841"/>
      <c r="D2284" s="1023"/>
      <c r="E2284" s="1024" t="str">
        <f>VLOOKUP($B2284,DG!A:D,DG!$B$2,)</f>
        <v>06.3191</v>
      </c>
      <c r="F2284" s="1025" t="str">
        <f>VLOOKUP($B2284,DG!A:D,DG!$C$2,)</f>
        <v>Bảng tên trạm, bảng báo nguy hiểm + đinh vít</v>
      </c>
      <c r="G2284" s="1024" t="str">
        <f>VLOOKUP($B2284,DG!A:D,DG!$D$2,)</f>
        <v>bộ</v>
      </c>
      <c r="H2284" s="1713">
        <f>H2276*0</f>
        <v>0</v>
      </c>
      <c r="I2284" s="1192">
        <f t="shared" si="93"/>
        <v>0</v>
      </c>
      <c r="J2284" s="1014"/>
      <c r="K2284" s="1014"/>
      <c r="L2284" s="1015"/>
      <c r="M2284" s="934">
        <v>630</v>
      </c>
    </row>
    <row r="2285" spans="1:14" s="1016" customFormat="1" ht="25.2" hidden="1" customHeight="1">
      <c r="A2285" s="1086">
        <f t="shared" si="94"/>
        <v>0</v>
      </c>
      <c r="B2285" s="1226"/>
      <c r="C2285" s="2841"/>
      <c r="D2285" s="1017">
        <f>IF(H2285&gt;0,D2276+1,D2276)</f>
        <v>0</v>
      </c>
      <c r="E2285" s="1018"/>
      <c r="F2285" s="1027" t="s">
        <v>3740</v>
      </c>
      <c r="G2285" s="1017" t="s">
        <v>2385</v>
      </c>
      <c r="H2285" s="1722">
        <f>H2150*0</f>
        <v>0</v>
      </c>
      <c r="I2285" s="1192">
        <f t="shared" si="93"/>
        <v>0</v>
      </c>
      <c r="J2285" s="1014"/>
      <c r="K2285" s="1014"/>
      <c r="L2285" s="1015"/>
      <c r="M2285" s="934">
        <v>630</v>
      </c>
    </row>
    <row r="2286" spans="1:14" s="1016" customFormat="1" ht="25.2" hidden="1" customHeight="1">
      <c r="A2286" s="1086">
        <f t="shared" si="94"/>
        <v>0</v>
      </c>
      <c r="B2286" s="1226"/>
      <c r="C2286" s="2841"/>
      <c r="D2286" s="1011"/>
      <c r="E2286" s="1021"/>
      <c r="F2286" s="1268" t="s">
        <v>2279</v>
      </c>
      <c r="G2286" s="1011"/>
      <c r="H2286" s="1723"/>
      <c r="I2286" s="1192">
        <f t="shared" si="93"/>
        <v>0</v>
      </c>
      <c r="J2286" s="1014"/>
      <c r="K2286" s="1014"/>
      <c r="L2286" s="1015"/>
      <c r="M2286" s="934">
        <v>630</v>
      </c>
    </row>
    <row r="2287" spans="1:14" s="1016" customFormat="1" ht="25.2" hidden="1" customHeight="1">
      <c r="A2287" s="1086">
        <f t="shared" si="94"/>
        <v>0</v>
      </c>
      <c r="B2287" s="1087" t="s">
        <v>470</v>
      </c>
      <c r="C2287" s="2842"/>
      <c r="D2287" s="1023"/>
      <c r="E2287" s="1012">
        <f>VLOOKUP($B2287,DG!A:D,DG!$B$2,)</f>
        <v>0</v>
      </c>
      <c r="F2287" s="1013" t="str">
        <f>VLOOKUP($B2287,DG!A:D,DG!$C$2,)&amp;": trong möông vaø leân MBA"</f>
        <v>Cáp 24kV C/XLPE/DSTA/PVC3x50: trong möông vaø leân MBA</v>
      </c>
      <c r="G2287" s="1012" t="str">
        <f>VLOOKUP($B2287,DG!A:D,DG!$D$2,)</f>
        <v>mét</v>
      </c>
      <c r="H2287" s="1713">
        <f>H2266+H2285*8</f>
        <v>0</v>
      </c>
      <c r="I2287" s="1192">
        <f t="shared" si="93"/>
        <v>0</v>
      </c>
      <c r="J2287" s="1014"/>
      <c r="K2287" s="1014"/>
      <c r="L2287" s="1015"/>
      <c r="M2287" s="934">
        <v>630</v>
      </c>
    </row>
    <row r="2288" spans="1:14" s="1016" customFormat="1" ht="25.2" hidden="1" customHeight="1">
      <c r="A2288" s="1086">
        <f t="shared" si="94"/>
        <v>0</v>
      </c>
      <c r="B2288" s="1087" t="s">
        <v>271</v>
      </c>
      <c r="C2288" s="2842"/>
      <c r="D2288" s="1023"/>
      <c r="E2288" s="1012">
        <f>VLOOKUP($B2288,DG!A:D,DG!$B$2,)</f>
        <v>0</v>
      </c>
      <c r="F2288" s="1013" t="str">
        <f>VLOOKUP($B2288,DG!A:D,DG!$C$2,)&amp;": trung tính"</f>
        <v>Cáp 24KV C/XLPE/PVC 50mm2: trung tính</v>
      </c>
      <c r="G2288" s="1012" t="str">
        <f>VLOOKUP($B2288,DG!A:D,DG!$D$2,)</f>
        <v>mét</v>
      </c>
      <c r="H2288" s="1713">
        <f>H2287</f>
        <v>0</v>
      </c>
      <c r="I2288" s="1192">
        <f t="shared" si="93"/>
        <v>0</v>
      </c>
      <c r="J2288" s="1014"/>
      <c r="K2288" s="1014"/>
      <c r="L2288" s="1015"/>
      <c r="M2288" s="934">
        <v>630</v>
      </c>
    </row>
    <row r="2289" spans="1:13" s="1016" customFormat="1" ht="25.2" hidden="1" customHeight="1">
      <c r="A2289" s="1086">
        <f t="shared" si="94"/>
        <v>0</v>
      </c>
      <c r="B2289" s="1087" t="s">
        <v>271</v>
      </c>
      <c r="C2289" s="2842"/>
      <c r="D2289" s="1023"/>
      <c r="E2289" s="1012">
        <f>VLOOKUP($B2289,DG!A:D,DG!$B$2,)</f>
        <v>0</v>
      </c>
      <c r="F2289" s="1013" t="str">
        <f>VLOOKUP($B2289,DG!A:D,DG!$C$2,)&amp;": 0,5m/pha töø FCO xuoáng MBA"</f>
        <v>Cáp 24KV C/XLPE/PVC 50mm2: 0,5m/pha töø FCO xuoáng MBA</v>
      </c>
      <c r="G2289" s="1012" t="str">
        <f>VLOOKUP($B2289,DG!A:D,DG!$D$2,)</f>
        <v>mét</v>
      </c>
      <c r="H2289" s="1713">
        <f>H2285*0.5*3*0</f>
        <v>0</v>
      </c>
      <c r="I2289" s="1192">
        <f t="shared" si="93"/>
        <v>0</v>
      </c>
      <c r="J2289" s="1014"/>
      <c r="K2289" s="1014"/>
      <c r="L2289" s="1015"/>
      <c r="M2289" s="934">
        <v>630</v>
      </c>
    </row>
    <row r="2290" spans="1:13" s="1016" customFormat="1" ht="25.2" hidden="1" customHeight="1">
      <c r="A2290" s="1086">
        <f t="shared" si="94"/>
        <v>0</v>
      </c>
      <c r="B2290" s="1087" t="s">
        <v>1352</v>
      </c>
      <c r="C2290" s="2842"/>
      <c r="D2290" s="1023"/>
      <c r="E2290" s="1012">
        <f>VLOOKUP($B2290,DG!A:D,DG!$B$2,)</f>
        <v>0</v>
      </c>
      <c r="F2290" s="1013" t="str">
        <f>VLOOKUP($B2290,DG!A:D,DG!$C$2,)</f>
        <v>Đầu cáp ngầm 24KV 3x50mm2 outdoor</v>
      </c>
      <c r="G2290" s="1012" t="str">
        <f>VLOOKUP($B2290,DG!A:D,DG!$D$2,)</f>
        <v>cái</v>
      </c>
      <c r="H2290" s="1713">
        <f>H2285</f>
        <v>0</v>
      </c>
      <c r="I2290" s="1192">
        <f t="shared" si="93"/>
        <v>0</v>
      </c>
      <c r="J2290" s="1014"/>
      <c r="K2290" s="1014"/>
      <c r="L2290" s="1015"/>
      <c r="M2290" s="934">
        <v>630</v>
      </c>
    </row>
    <row r="2291" spans="1:13" s="1016" customFormat="1" ht="25.2" hidden="1" customHeight="1">
      <c r="A2291" s="1086">
        <f t="shared" si="94"/>
        <v>0</v>
      </c>
      <c r="B2291" s="1087" t="s">
        <v>470</v>
      </c>
      <c r="C2291" s="2842"/>
      <c r="D2291" s="1023"/>
      <c r="E2291" s="1012">
        <f>VLOOKUP($B2291,DG!A:D,DG!$B$2,)</f>
        <v>0</v>
      </c>
      <c r="F2291" s="1013" t="str">
        <f>VLOOKUP($B2291,DG!A:D,DG!$C$2,)&amp;": töø tuû LBS ñeán MBA"</f>
        <v>Cáp 24kV C/XLPE/DSTA/PVC3x50: töø tuû LBS ñeán MBA</v>
      </c>
      <c r="G2291" s="1012" t="str">
        <f>VLOOKUP($B2291,DG!A:D,DG!$D$2,)</f>
        <v>mét</v>
      </c>
      <c r="H2291" s="1713">
        <f>(1.2+2.4)*H2285*0</f>
        <v>0</v>
      </c>
      <c r="I2291" s="1192">
        <f t="shared" si="93"/>
        <v>0</v>
      </c>
      <c r="J2291" s="1014"/>
      <c r="K2291" s="1014"/>
      <c r="L2291" s="1015"/>
      <c r="M2291" s="934">
        <v>630</v>
      </c>
    </row>
    <row r="2292" spans="1:13" s="1016" customFormat="1" ht="25.2" hidden="1" customHeight="1">
      <c r="A2292" s="1086">
        <f t="shared" si="94"/>
        <v>0</v>
      </c>
      <c r="B2292" s="1087" t="s">
        <v>271</v>
      </c>
      <c r="C2292" s="2842"/>
      <c r="D2292" s="1023"/>
      <c r="E2292" s="1012">
        <f>VLOOKUP($B2292,DG!A:D,DG!$B$2,)</f>
        <v>0</v>
      </c>
      <c r="F2292" s="1013" t="str">
        <f>VLOOKUP($B2292,DG!A:D,DG!$C$2,)&amp;": töø tuû LBS ñeán MBA"</f>
        <v>Cáp 24KV C/XLPE/PVC 50mm2: töø tuû LBS ñeán MBA</v>
      </c>
      <c r="G2292" s="1012" t="str">
        <f>VLOOKUP($B2292,DG!A:D,DG!$D$2,)</f>
        <v>mét</v>
      </c>
      <c r="H2292" s="1713">
        <f>H2285*1.2*0</f>
        <v>0</v>
      </c>
      <c r="I2292" s="1192">
        <f t="shared" si="93"/>
        <v>0</v>
      </c>
      <c r="J2292" s="1014"/>
      <c r="K2292" s="1014"/>
      <c r="L2292" s="1015"/>
      <c r="M2292" s="934">
        <v>630</v>
      </c>
    </row>
    <row r="2293" spans="1:13" s="1016" customFormat="1" ht="25.2" hidden="1" customHeight="1">
      <c r="A2293" s="1086">
        <f t="shared" si="94"/>
        <v>0</v>
      </c>
      <c r="B2293" s="1087" t="s">
        <v>1353</v>
      </c>
      <c r="C2293" s="2842"/>
      <c r="D2293" s="1023"/>
      <c r="E2293" s="1012">
        <f>VLOOKUP($B2293,DG!A:D,DG!$B$2,)</f>
        <v>0</v>
      </c>
      <c r="F2293" s="1013" t="str">
        <f>VLOOKUP($B2293,DG!A:D,DG!$C$2,)</f>
        <v>Đầu cáp ngầm 24KV 3x50mm2 indoor</v>
      </c>
      <c r="G2293" s="1012" t="str">
        <f>VLOOKUP($B2293,DG!A:D,DG!$D$2,)</f>
        <v>cái</v>
      </c>
      <c r="H2293" s="1713">
        <f>H2285</f>
        <v>0</v>
      </c>
      <c r="I2293" s="1192">
        <f t="shared" si="93"/>
        <v>0</v>
      </c>
      <c r="J2293" s="1014"/>
      <c r="K2293" s="1014"/>
      <c r="L2293" s="1015"/>
      <c r="M2293" s="934">
        <v>630</v>
      </c>
    </row>
    <row r="2294" spans="1:13" s="1016" customFormat="1" ht="25.2" hidden="1" customHeight="1">
      <c r="A2294" s="1086">
        <f t="shared" si="94"/>
        <v>0</v>
      </c>
      <c r="B2294" s="1087" t="s">
        <v>1674</v>
      </c>
      <c r="C2294" s="2842"/>
      <c r="D2294" s="1023"/>
      <c r="E2294" s="1012" t="str">
        <f>VLOOKUP($B2294,DG!A:D,DG!$B$2,)</f>
        <v>07.4312</v>
      </c>
      <c r="F2294" s="1013" t="str">
        <f>VLOOKUP($B2294,DG!A:D,DG!$C$2,)</f>
        <v>Lắp đầu cáp trung thế 3x50mm2, 70mm2</v>
      </c>
      <c r="G2294" s="1012" t="str">
        <f>VLOOKUP($B2294,DG!A:D,DG!$D$2,)</f>
        <v>cái</v>
      </c>
      <c r="H2294" s="1713">
        <f>H2290+H2293</f>
        <v>0</v>
      </c>
      <c r="I2294" s="1192">
        <f t="shared" si="93"/>
        <v>0</v>
      </c>
      <c r="J2294" s="1014"/>
      <c r="K2294" s="1014"/>
      <c r="L2294" s="1015"/>
      <c r="M2294" s="934">
        <v>630</v>
      </c>
    </row>
    <row r="2295" spans="1:13" s="1016" customFormat="1" ht="25.2" hidden="1" customHeight="1">
      <c r="A2295" s="1086">
        <f t="shared" si="94"/>
        <v>0</v>
      </c>
      <c r="B2295" s="1087" t="s">
        <v>1204</v>
      </c>
      <c r="C2295" s="2842"/>
      <c r="D2295" s="1023"/>
      <c r="E2295" s="1012" t="str">
        <f>VLOOKUP($B2295,DG!A:D,DG!$B$2,)</f>
        <v>03.1405</v>
      </c>
      <c r="F2295" s="1013" t="str">
        <f>VLOOKUP($B2295,DG!A:D,DG!$C$2,)</f>
        <v>Lắp cáp trong ống bảo vệ trong TBA loại &lt;=6kg</v>
      </c>
      <c r="G2295" s="1012" t="str">
        <f>VLOOKUP($B2295,DG!A:D,DG!$D$2,)</f>
        <v>mét</v>
      </c>
      <c r="H2295" s="1713">
        <f>H2287+H2291</f>
        <v>0</v>
      </c>
      <c r="I2295" s="1192">
        <f t="shared" si="93"/>
        <v>0</v>
      </c>
      <c r="J2295" s="1014"/>
      <c r="K2295" s="1014"/>
      <c r="L2295" s="1015"/>
      <c r="M2295" s="934">
        <v>630</v>
      </c>
    </row>
    <row r="2296" spans="1:13" s="1016" customFormat="1" ht="25.2" hidden="1" customHeight="1">
      <c r="A2296" s="1086">
        <f t="shared" si="94"/>
        <v>0</v>
      </c>
      <c r="B2296" s="1087" t="s">
        <v>1201</v>
      </c>
      <c r="C2296" s="2842"/>
      <c r="D2296" s="1023"/>
      <c r="E2296" s="1012" t="str">
        <f>VLOOKUP($B2296,DG!A:D,DG!$B$2,)</f>
        <v>03.1402</v>
      </c>
      <c r="F2296" s="1013" t="str">
        <f>VLOOKUP($B2296,DG!A:D,DG!$C$2,)</f>
        <v>Lắp cáp trong ống bảo vệ trong TBA loại &lt;=2kg</v>
      </c>
      <c r="G2296" s="1012" t="str">
        <f>VLOOKUP($B2296,DG!A:D,DG!$D$2,)</f>
        <v>mét</v>
      </c>
      <c r="H2296" s="1713">
        <f>H2288+H2292</f>
        <v>0</v>
      </c>
      <c r="I2296" s="1192">
        <f t="shared" si="93"/>
        <v>0</v>
      </c>
      <c r="J2296" s="1014"/>
      <c r="K2296" s="1014"/>
      <c r="L2296" s="1015"/>
      <c r="M2296" s="934">
        <v>630</v>
      </c>
    </row>
    <row r="2297" spans="1:13" s="1016" customFormat="1" ht="25.2" hidden="1" customHeight="1">
      <c r="A2297" s="1086">
        <f t="shared" si="94"/>
        <v>0</v>
      </c>
      <c r="B2297" s="1087" t="s">
        <v>1525</v>
      </c>
      <c r="C2297" s="2842"/>
      <c r="D2297" s="1023"/>
      <c r="E2297" s="1012" t="str">
        <f>VLOOKUP($B2297,DG!A:D,DG!$B$2,)</f>
        <v>04.4201</v>
      </c>
      <c r="F2297" s="1013" t="str">
        <f>VLOOKUP($B2297,DG!A:D,DG!$C$2,)</f>
        <v>Lắp cáp đồng xuống thiết bị D ≤ 95mm2</v>
      </c>
      <c r="G2297" s="1012" t="str">
        <f>VLOOKUP($B2297,DG!A:D,DG!$D$2,)</f>
        <v>m</v>
      </c>
      <c r="H2297" s="1713">
        <f>H2289</f>
        <v>0</v>
      </c>
      <c r="I2297" s="1192">
        <f t="shared" si="93"/>
        <v>0</v>
      </c>
      <c r="J2297" s="1014"/>
      <c r="K2297" s="1014"/>
      <c r="L2297" s="1015"/>
      <c r="M2297" s="934">
        <v>630</v>
      </c>
    </row>
    <row r="2298" spans="1:13" s="1016" customFormat="1" ht="25.2" hidden="1" customHeight="1">
      <c r="A2298" s="1086">
        <f t="shared" si="94"/>
        <v>0</v>
      </c>
      <c r="B2298" s="1087" t="s">
        <v>1349</v>
      </c>
      <c r="C2298" s="2842"/>
      <c r="D2298" s="1023"/>
      <c r="E2298" s="1012">
        <f>VLOOKUP($B2298,DG!A:D,DG!$B$2,)</f>
        <v>0</v>
      </c>
      <c r="F2298" s="1013" t="str">
        <f>VLOOKUP($B2298,DG!A:D,DG!$C$2,)</f>
        <v>Dây rút cáp</v>
      </c>
      <c r="G2298" s="1012" t="str">
        <f>VLOOKUP($B2298,DG!A:D,DG!$D$2,)</f>
        <v>bọc</v>
      </c>
      <c r="H2298" s="1713">
        <f>H2285*2</f>
        <v>0</v>
      </c>
      <c r="I2298" s="1192">
        <f t="shared" si="93"/>
        <v>0</v>
      </c>
      <c r="J2298" s="1014"/>
      <c r="K2298" s="1014"/>
      <c r="L2298" s="1015"/>
      <c r="M2298" s="934">
        <v>630</v>
      </c>
    </row>
    <row r="2299" spans="1:13" s="1016" customFormat="1" ht="25.2" hidden="1" customHeight="1">
      <c r="A2299" s="1086">
        <f t="shared" si="94"/>
        <v>0</v>
      </c>
      <c r="B2299" s="1226"/>
      <c r="C2299" s="2841"/>
      <c r="D2299" s="1017">
        <f>IF(H2299&gt;0,D2285+1,D2285)</f>
        <v>0</v>
      </c>
      <c r="E2299" s="1018"/>
      <c r="F2299" s="1027" t="s">
        <v>3744</v>
      </c>
      <c r="G2299" s="1017" t="s">
        <v>2385</v>
      </c>
      <c r="H2299" s="1722">
        <f>H2150</f>
        <v>0</v>
      </c>
      <c r="I2299" s="1192">
        <f t="shared" si="93"/>
        <v>0</v>
      </c>
      <c r="J2299" s="1014"/>
      <c r="K2299" s="1014"/>
      <c r="L2299" s="1043"/>
      <c r="M2299" s="934">
        <v>630</v>
      </c>
    </row>
    <row r="2300" spans="1:13" s="1016" customFormat="1" ht="25.2" hidden="1" customHeight="1">
      <c r="A2300" s="1086">
        <f t="shared" si="94"/>
        <v>0</v>
      </c>
      <c r="B2300" s="1226"/>
      <c r="C2300" s="2841"/>
      <c r="D2300" s="1011"/>
      <c r="E2300" s="1021"/>
      <c r="F2300" s="1268" t="s">
        <v>2279</v>
      </c>
      <c r="G2300" s="1011"/>
      <c r="H2300" s="1723"/>
      <c r="I2300" s="1192">
        <f t="shared" si="93"/>
        <v>0</v>
      </c>
      <c r="J2300" s="1014"/>
      <c r="K2300" s="1014"/>
      <c r="L2300" s="1043"/>
      <c r="M2300" s="934">
        <v>630</v>
      </c>
    </row>
    <row r="2301" spans="1:13" s="1016" customFormat="1" ht="25.2" hidden="1" customHeight="1">
      <c r="A2301" s="1086">
        <f t="shared" si="94"/>
        <v>0</v>
      </c>
      <c r="B2301" s="1087" t="s">
        <v>697</v>
      </c>
      <c r="C2301" s="2842"/>
      <c r="D2301" s="1023"/>
      <c r="E2301" s="1012">
        <f>VLOOKUP($B2301,DG!A:D,DG!$B$2,)</f>
        <v>0</v>
      </c>
      <c r="F2301" s="1013" t="str">
        <f>VLOOKUP($B2301,DG!A:D,DG!$C$2,)&amp;": 9m/1pha"</f>
        <v>Cáp 24KV C/XLPE/PVC 25mm2: 9m/1pha</v>
      </c>
      <c r="G2301" s="1012" t="str">
        <f>VLOOKUP($B2301,DG!A:D,DG!$D$2,)</f>
        <v>mét</v>
      </c>
      <c r="H2301" s="1713">
        <f>H2299*(9)*3</f>
        <v>0</v>
      </c>
      <c r="I2301" s="1192">
        <f t="shared" si="93"/>
        <v>0</v>
      </c>
      <c r="J2301" s="1014"/>
      <c r="K2301" s="1014"/>
      <c r="L2301" s="1043"/>
      <c r="M2301" s="934">
        <v>630</v>
      </c>
    </row>
    <row r="2302" spans="1:13" s="1016" customFormat="1" ht="25.2" hidden="1" customHeight="1">
      <c r="A2302" s="1086">
        <f t="shared" si="94"/>
        <v>0</v>
      </c>
      <c r="B2302" s="1087" t="s">
        <v>697</v>
      </c>
      <c r="C2302" s="2842"/>
      <c r="D2302" s="1023"/>
      <c r="E2302" s="1012">
        <f>VLOOKUP($B2302,DG!A:D,DG!$B$2,)</f>
        <v>0</v>
      </c>
      <c r="F2302" s="1013" t="str">
        <f>VLOOKUP($B2302,DG!A:D,DG!$C$2,)&amp;": 1m/1pha ñaáu noái  LA"</f>
        <v>Cáp 24KV C/XLPE/PVC 25mm2: 1m/1pha ñaáu noái  LA</v>
      </c>
      <c r="G2302" s="1012" t="str">
        <f>VLOOKUP($B2302,DG!A:D,DG!$D$2,)</f>
        <v>mét</v>
      </c>
      <c r="H2302" s="1744">
        <f>H2299*3*1</f>
        <v>0</v>
      </c>
      <c r="I2302" s="1192">
        <f t="shared" ref="I2302:I2365" si="95">IF(M2302=$M$23,H2302+J2302-K2302,0)</f>
        <v>0</v>
      </c>
      <c r="J2302" s="1014"/>
      <c r="K2302" s="1014"/>
      <c r="L2302" s="1043"/>
      <c r="M2302" s="934">
        <v>630</v>
      </c>
    </row>
    <row r="2303" spans="1:13" s="1016" customFormat="1" ht="25.2" hidden="1" customHeight="1">
      <c r="A2303" s="1086">
        <f t="shared" si="94"/>
        <v>0</v>
      </c>
      <c r="B2303" s="1087" t="s">
        <v>1115</v>
      </c>
      <c r="C2303" s="2842"/>
      <c r="D2303" s="1023"/>
      <c r="E2303" s="1012">
        <f>VLOOKUP($B2303,DG!A:D,DG!$B$2,)</f>
        <v>0</v>
      </c>
      <c r="F2303" s="1013" t="str">
        <f>VLOOKUP($B2303,DG!A:D,DG!$C$2,)</f>
        <v>Kẹp ép cỡ dây 25mm2</v>
      </c>
      <c r="G2303" s="1012" t="str">
        <f>VLOOKUP($B2303,DG!A:D,DG!$D$2,)</f>
        <v>cái</v>
      </c>
      <c r="H2303" s="1744">
        <f>H2299*3*2</f>
        <v>0</v>
      </c>
      <c r="I2303" s="1192">
        <f t="shared" si="95"/>
        <v>0</v>
      </c>
      <c r="J2303" s="1014"/>
      <c r="K2303" s="1014"/>
      <c r="L2303" s="1015"/>
      <c r="M2303" s="934">
        <v>630</v>
      </c>
    </row>
    <row r="2304" spans="1:13" s="1016" customFormat="1" ht="25.2" hidden="1" customHeight="1">
      <c r="A2304" s="1086">
        <f t="shared" si="94"/>
        <v>0</v>
      </c>
      <c r="B2304" s="1087" t="s">
        <v>550</v>
      </c>
      <c r="C2304" s="2842"/>
      <c r="D2304" s="1023"/>
      <c r="E2304" s="1012">
        <f>VLOOKUP($B2304,DG!A:D,DG!$B$2,)</f>
        <v>0</v>
      </c>
      <c r="F2304" s="1013" t="str">
        <f>VLOOKUP($B2304,DG!A:D,DG!$C$2,)&amp;" + LA"</f>
        <v>Bass LI bắt FCO + LA</v>
      </c>
      <c r="G2304" s="1012" t="str">
        <f>VLOOKUP($B2304,DG!A:D,DG!$D$2,)</f>
        <v>Bộ</v>
      </c>
      <c r="H2304" s="1744">
        <f>H2299*3*2</f>
        <v>0</v>
      </c>
      <c r="I2304" s="1192">
        <f t="shared" si="95"/>
        <v>0</v>
      </c>
      <c r="J2304" s="1014"/>
      <c r="K2304" s="1014"/>
      <c r="L2304" s="1015"/>
      <c r="M2304" s="934">
        <v>630</v>
      </c>
    </row>
    <row r="2305" spans="1:13" s="1016" customFormat="1" ht="25.2" hidden="1" customHeight="1">
      <c r="A2305" s="1086">
        <f t="shared" si="94"/>
        <v>0</v>
      </c>
      <c r="B2305" s="1087" t="s">
        <v>1479</v>
      </c>
      <c r="C2305" s="2842"/>
      <c r="D2305" s="1023"/>
      <c r="E2305" s="1012" t="str">
        <f>VLOOKUP($B2305,DG!A:D,DG!$B$2,)</f>
        <v>04.3007</v>
      </c>
      <c r="F2305" s="1013" t="str">
        <f>VLOOKUP($B2305,DG!A:D,DG!$C$2,)</f>
        <v>Kẹp quai 2/0</v>
      </c>
      <c r="G2305" s="1012" t="str">
        <f>VLOOKUP($B2305,DG!A:D,DG!$D$2,)</f>
        <v>cái</v>
      </c>
      <c r="H2305" s="1744">
        <f>H2299*3</f>
        <v>0</v>
      </c>
      <c r="I2305" s="1192">
        <f t="shared" si="95"/>
        <v>0</v>
      </c>
      <c r="J2305" s="1014"/>
      <c r="K2305" s="1014"/>
      <c r="L2305" s="1043"/>
      <c r="M2305" s="934">
        <v>630</v>
      </c>
    </row>
    <row r="2306" spans="1:13" s="1016" customFormat="1" ht="25.2" hidden="1" customHeight="1">
      <c r="A2306" s="1086">
        <f t="shared" si="94"/>
        <v>0</v>
      </c>
      <c r="B2306" s="1087" t="s">
        <v>1477</v>
      </c>
      <c r="C2306" s="2842"/>
      <c r="D2306" s="1023"/>
      <c r="E2306" s="1012" t="str">
        <f>VLOOKUP($B2306,DG!A:D,DG!$B$2,)</f>
        <v>04.3007</v>
      </c>
      <c r="F2306" s="1013" t="str">
        <f>VLOOKUP($B2306,DG!A:D,DG!$C$2,)&amp;": "</f>
        <v xml:space="preserve">Kẹp hotline 2/0: </v>
      </c>
      <c r="G2306" s="1012" t="str">
        <f>VLOOKUP($B2306,DG!A:D,DG!$D$2,)</f>
        <v>cái</v>
      </c>
      <c r="H2306" s="1713">
        <f>H2305</f>
        <v>0</v>
      </c>
      <c r="I2306" s="1192">
        <f t="shared" si="95"/>
        <v>0</v>
      </c>
      <c r="J2306" s="1014"/>
      <c r="K2306" s="1014"/>
      <c r="L2306" s="1043"/>
      <c r="M2306" s="934">
        <v>630</v>
      </c>
    </row>
    <row r="2307" spans="1:13" s="1016" customFormat="1" ht="25.2" hidden="1" customHeight="1">
      <c r="A2307" s="1086">
        <f t="shared" si="94"/>
        <v>0</v>
      </c>
      <c r="B2307" s="1087" t="s">
        <v>696</v>
      </c>
      <c r="C2307" s="2842"/>
      <c r="D2307" s="1043"/>
      <c r="E2307" s="1012">
        <f>VLOOKUP($B2307,DG!A:D,DG!$B$2,)</f>
        <v>0</v>
      </c>
      <c r="F2307" s="1013" t="str">
        <f>VLOOKUP($B2307,DG!A:D,DG!$C$2,)</f>
        <v xml:space="preserve">Sứ đứng 24KV </v>
      </c>
      <c r="G2307" s="1012" t="str">
        <f>VLOOKUP($B2307,DG!A:D,DG!$D$2,)</f>
        <v>cái</v>
      </c>
      <c r="H2307" s="1713">
        <f>H2299*9</f>
        <v>0</v>
      </c>
      <c r="I2307" s="1192">
        <f t="shared" si="95"/>
        <v>0</v>
      </c>
      <c r="J2307" s="1014"/>
      <c r="K2307" s="1014"/>
      <c r="L2307" s="1043"/>
      <c r="M2307" s="934">
        <v>630</v>
      </c>
    </row>
    <row r="2308" spans="1:13" s="1016" customFormat="1" ht="25.2" hidden="1" customHeight="1">
      <c r="A2308" s="1086">
        <f t="shared" si="94"/>
        <v>0</v>
      </c>
      <c r="B2308" s="1087" t="s">
        <v>1265</v>
      </c>
      <c r="C2308" s="2842"/>
      <c r="D2308" s="1023"/>
      <c r="E2308" s="1012">
        <f>VLOOKUP($B2308,DG!A:D,DG!$B$2,)</f>
        <v>0</v>
      </c>
      <c r="F2308" s="1013" t="str">
        <f>VLOOKUP($B2308,DG!A:D,DG!$C$2,)</f>
        <v>Chân sứ đứng D20</v>
      </c>
      <c r="G2308" s="1012" t="str">
        <f>VLOOKUP($B2308,DG!A:D,DG!$D$2,)</f>
        <v>cái</v>
      </c>
      <c r="H2308" s="1713">
        <f>H2307</f>
        <v>0</v>
      </c>
      <c r="I2308" s="1192">
        <f t="shared" si="95"/>
        <v>0</v>
      </c>
      <c r="J2308" s="1014"/>
      <c r="K2308" s="1014"/>
      <c r="L2308" s="1043"/>
      <c r="M2308" s="934">
        <v>630</v>
      </c>
    </row>
    <row r="2309" spans="1:13" s="1016" customFormat="1" ht="25.2" hidden="1" customHeight="1">
      <c r="A2309" s="1086">
        <f t="shared" si="94"/>
        <v>0</v>
      </c>
      <c r="B2309" s="1087" t="s">
        <v>439</v>
      </c>
      <c r="C2309" s="2842"/>
      <c r="D2309" s="1023"/>
      <c r="E2309" s="1012">
        <f>VLOOKUP($B2309,DG!A:D,DG!$B$2,)</f>
        <v>0</v>
      </c>
      <c r="F2309" s="1013" t="str">
        <f>VLOOKUP($B2309,DG!A:D,DG!$C$2,)</f>
        <v>Sứ treo polymer</v>
      </c>
      <c r="G2309" s="1012" t="str">
        <f>VLOOKUP($B2309,DG!A:D,DG!$D$2,)</f>
        <v>chuỗi</v>
      </c>
      <c r="H2309" s="1744">
        <f>H2299*6*0</f>
        <v>0</v>
      </c>
      <c r="I2309" s="1192">
        <f t="shared" si="95"/>
        <v>0</v>
      </c>
      <c r="J2309" s="1014"/>
      <c r="K2309" s="1014"/>
      <c r="L2309" s="1043"/>
      <c r="M2309" s="934">
        <v>630</v>
      </c>
    </row>
    <row r="2310" spans="1:13" s="1016" customFormat="1" ht="25.2" hidden="1" customHeight="1">
      <c r="A2310" s="1086">
        <f t="shared" si="94"/>
        <v>0</v>
      </c>
      <c r="B2310" s="1087" t="s">
        <v>1565</v>
      </c>
      <c r="C2310" s="2842"/>
      <c r="D2310" s="1023"/>
      <c r="E2310" s="1012" t="str">
        <f>VLOOKUP($B2310,DG!A:D,DG!$B$2,)</f>
        <v>06.1115</v>
      </c>
      <c r="F2310" s="1013" t="str">
        <f>VLOOKUP($B2310,DG!A:D,DG!$C$2,)</f>
        <v>Lắp sứ đứng 24KV</v>
      </c>
      <c r="G2310" s="1012" t="str">
        <f>VLOOKUP($B2310,DG!A:D,DG!$D$2,)</f>
        <v>bộ</v>
      </c>
      <c r="H2310" s="1713">
        <f>H2308</f>
        <v>0</v>
      </c>
      <c r="I2310" s="1192">
        <f t="shared" si="95"/>
        <v>0</v>
      </c>
      <c r="J2310" s="1014"/>
      <c r="K2310" s="1014"/>
      <c r="L2310" s="1043"/>
      <c r="M2310" s="934">
        <v>630</v>
      </c>
    </row>
    <row r="2311" spans="1:13" s="1016" customFormat="1" ht="25.2" hidden="1" customHeight="1">
      <c r="A2311" s="1086">
        <f t="shared" si="94"/>
        <v>0</v>
      </c>
      <c r="B2311" s="1087" t="s">
        <v>235</v>
      </c>
      <c r="C2311" s="2842"/>
      <c r="D2311" s="1023"/>
      <c r="E2311" s="1012" t="str">
        <f>VLOOKUP($B2311,DG!A:D,DG!$B$2,)</f>
        <v>06.1115</v>
      </c>
      <c r="F2311" s="1013" t="str">
        <f>VLOOKUP($B2311,DG!A:D,DG!$C$2,)</f>
        <v>Tháo sứ đứng 24KV</v>
      </c>
      <c r="G2311" s="1012" t="str">
        <f>VLOOKUP($B2311,DG!A:D,DG!$D$2,)</f>
        <v>bộ</v>
      </c>
      <c r="H2311" s="1713"/>
      <c r="I2311" s="1192">
        <f t="shared" si="95"/>
        <v>0</v>
      </c>
      <c r="J2311" s="1014"/>
      <c r="K2311" s="1014"/>
      <c r="L2311" s="1043"/>
      <c r="M2311" s="934">
        <v>630</v>
      </c>
    </row>
    <row r="2312" spans="1:13" s="1016" customFormat="1" ht="25.2" hidden="1" customHeight="1">
      <c r="A2312" s="1086">
        <f t="shared" si="94"/>
        <v>0</v>
      </c>
      <c r="B2312" s="1087" t="s">
        <v>1507</v>
      </c>
      <c r="C2312" s="2842"/>
      <c r="D2312" s="1023"/>
      <c r="E2312" s="1012" t="str">
        <f>VLOOKUP($B2312,DG!A:D,DG!$B$2,)</f>
        <v>06.2201</v>
      </c>
      <c r="F2312" s="1013" t="str">
        <f>VLOOKUP($B2312,DG!A:D,DG!$C$2,)</f>
        <v>Lắp chuỗi sứ néo Polymer</v>
      </c>
      <c r="G2312" s="1012" t="str">
        <f>VLOOKUP($B2312,DG!A:D,DG!$D$2,)</f>
        <v>chuỗi</v>
      </c>
      <c r="H2312" s="1713">
        <f>H2309</f>
        <v>0</v>
      </c>
      <c r="I2312" s="1192">
        <f t="shared" si="95"/>
        <v>0</v>
      </c>
      <c r="J2312" s="1014"/>
      <c r="K2312" s="1014"/>
      <c r="L2312" s="1043"/>
      <c r="M2312" s="934">
        <v>630</v>
      </c>
    </row>
    <row r="2313" spans="1:13" s="1016" customFormat="1" ht="25.2" hidden="1" customHeight="1">
      <c r="A2313" s="1086">
        <f t="shared" si="94"/>
        <v>0</v>
      </c>
      <c r="B2313" s="1087" t="s">
        <v>1525</v>
      </c>
      <c r="C2313" s="2842"/>
      <c r="D2313" s="1023"/>
      <c r="E2313" s="1012" t="str">
        <f>VLOOKUP($B2313,DG!A:D,DG!$B$2,)</f>
        <v>04.4201</v>
      </c>
      <c r="F2313" s="1013" t="str">
        <f>VLOOKUP($B2313,DG!A:D,DG!$C$2,)</f>
        <v>Lắp cáp đồng xuống thiết bị D ≤ 95mm2</v>
      </c>
      <c r="G2313" s="1012" t="str">
        <f>VLOOKUP($B2313,DG!A:D,DG!$D$2,)</f>
        <v>m</v>
      </c>
      <c r="H2313" s="1713">
        <f>H2301+H2302</f>
        <v>0</v>
      </c>
      <c r="I2313" s="1192">
        <f t="shared" si="95"/>
        <v>0</v>
      </c>
      <c r="J2313" s="1014"/>
      <c r="K2313" s="1014"/>
      <c r="L2313" s="1043"/>
      <c r="M2313" s="934">
        <v>630</v>
      </c>
    </row>
    <row r="2314" spans="1:13" s="1016" customFormat="1" ht="25.2" hidden="1" customHeight="1">
      <c r="A2314" s="1086">
        <f t="shared" si="94"/>
        <v>0</v>
      </c>
      <c r="B2314" s="1226"/>
      <c r="C2314" s="2841"/>
      <c r="D2314" s="1017">
        <f>IF(H2314&gt;0,D2299+1,D2299)</f>
        <v>0</v>
      </c>
      <c r="E2314" s="1018"/>
      <c r="F2314" s="1027" t="s">
        <v>3708</v>
      </c>
      <c r="G2314" s="1017" t="s">
        <v>2385</v>
      </c>
      <c r="H2314" s="1722">
        <f>H2179*0</f>
        <v>0</v>
      </c>
      <c r="I2314" s="1192">
        <f t="shared" si="95"/>
        <v>0</v>
      </c>
      <c r="J2314" s="1014"/>
      <c r="K2314" s="1014"/>
      <c r="L2314" s="1015"/>
      <c r="M2314" s="934">
        <v>630</v>
      </c>
    </row>
    <row r="2315" spans="1:13" s="1016" customFormat="1" ht="25.2" hidden="1" customHeight="1">
      <c r="A2315" s="1086">
        <f t="shared" si="94"/>
        <v>0</v>
      </c>
      <c r="B2315" s="1226"/>
      <c r="C2315" s="2841"/>
      <c r="D2315" s="1011"/>
      <c r="E2315" s="1021"/>
      <c r="F2315" s="1268" t="s">
        <v>2279</v>
      </c>
      <c r="G2315" s="1011"/>
      <c r="H2315" s="1723"/>
      <c r="I2315" s="1192">
        <f t="shared" si="95"/>
        <v>0</v>
      </c>
      <c r="J2315" s="1014"/>
      <c r="K2315" s="1014"/>
      <c r="L2315" s="1015"/>
      <c r="M2315" s="934">
        <v>630</v>
      </c>
    </row>
    <row r="2316" spans="1:13" s="1016" customFormat="1" ht="25.2" hidden="1" customHeight="1">
      <c r="A2316" s="1086">
        <f t="shared" si="94"/>
        <v>0</v>
      </c>
      <c r="B2316" s="1226" t="s">
        <v>1489</v>
      </c>
      <c r="C2316" s="2841"/>
      <c r="D2316" s="1023"/>
      <c r="E2316" s="1012" t="str">
        <f>VLOOKUP($B2316,DG!A:D,DG!$B$2,)</f>
        <v>04.8003</v>
      </c>
      <c r="F2316" s="1013" t="str">
        <f>VLOOKUP($B2316,DG!A:D,DG!$C$2,)</f>
        <v xml:space="preserve">Ống PVC D90x3,8mm </v>
      </c>
      <c r="G2316" s="1012" t="str">
        <f>VLOOKUP($B2316,DG!A:D,DG!$D$2,)</f>
        <v>m</v>
      </c>
      <c r="H2316" s="1713">
        <f>H2314*2</f>
        <v>0</v>
      </c>
      <c r="I2316" s="1192">
        <f t="shared" si="95"/>
        <v>0</v>
      </c>
      <c r="J2316" s="1014"/>
      <c r="K2316" s="1014"/>
      <c r="L2316" s="1015"/>
      <c r="M2316" s="934">
        <v>630</v>
      </c>
    </row>
    <row r="2317" spans="1:13" s="1016" customFormat="1" ht="25.2" hidden="1" customHeight="1">
      <c r="A2317" s="1086">
        <f t="shared" si="94"/>
        <v>0</v>
      </c>
      <c r="B2317" s="1226" t="s">
        <v>86</v>
      </c>
      <c r="C2317" s="2841"/>
      <c r="D2317" s="1023"/>
      <c r="E2317" s="1012">
        <f>VLOOKUP($B2317,DG!A:D,DG!$B$2,)</f>
        <v>0</v>
      </c>
      <c r="F2317" s="1013" t="str">
        <f>VLOOKUP($B2317,DG!A:D,DG!$C$2,)</f>
        <v>Co  90 độ PVC 90</v>
      </c>
      <c r="G2317" s="1012" t="str">
        <f>VLOOKUP($B2317,DG!A:D,DG!$D$2,)</f>
        <v>cái</v>
      </c>
      <c r="H2317" s="1713">
        <f>H2314</f>
        <v>0</v>
      </c>
      <c r="I2317" s="1192">
        <f t="shared" si="95"/>
        <v>0</v>
      </c>
      <c r="J2317" s="1014"/>
      <c r="K2317" s="1014"/>
      <c r="L2317" s="1015"/>
      <c r="M2317" s="934">
        <v>630</v>
      </c>
    </row>
    <row r="2318" spans="1:13" s="1016" customFormat="1" ht="25.2" hidden="1" customHeight="1">
      <c r="A2318" s="1086">
        <f t="shared" si="94"/>
        <v>0</v>
      </c>
      <c r="B2318" s="1226" t="s">
        <v>931</v>
      </c>
      <c r="C2318" s="2841"/>
      <c r="D2318" s="1023"/>
      <c r="E2318" s="1012">
        <f>VLOOKUP($B2318,DG!A:D,DG!$B$2,)</f>
        <v>0</v>
      </c>
      <c r="F2318" s="1013" t="str">
        <f>VLOOKUP($B2318,DG!A:D,DG!$C$2,)</f>
        <v>Khâu ven răng trong D90</v>
      </c>
      <c r="G2318" s="1012" t="str">
        <f>VLOOKUP($B2318,DG!A:D,DG!$D$2,)</f>
        <v>cái</v>
      </c>
      <c r="H2318" s="1713">
        <f>H2314*2</f>
        <v>0</v>
      </c>
      <c r="I2318" s="1192">
        <f t="shared" si="95"/>
        <v>0</v>
      </c>
      <c r="J2318" s="1014"/>
      <c r="K2318" s="1014"/>
      <c r="L2318" s="1015"/>
      <c r="M2318" s="934">
        <v>630</v>
      </c>
    </row>
    <row r="2319" spans="1:13" s="1016" customFormat="1" ht="25.2" hidden="1" customHeight="1">
      <c r="A2319" s="1086">
        <f t="shared" si="94"/>
        <v>0</v>
      </c>
      <c r="B2319" s="1226" t="s">
        <v>930</v>
      </c>
      <c r="C2319" s="2841"/>
      <c r="D2319" s="1023"/>
      <c r="E2319" s="1012">
        <f>VLOOKUP($B2319,DG!A:D,DG!$B$2,)</f>
        <v>0</v>
      </c>
      <c r="F2319" s="1013" t="str">
        <f>VLOOKUP($B2319,DG!A:D,DG!$C$2,)</f>
        <v>Khâu ven răng ngoài D90</v>
      </c>
      <c r="G2319" s="1012" t="str">
        <f>VLOOKUP($B2319,DG!A:D,DG!$D$2,)</f>
        <v>cái</v>
      </c>
      <c r="H2319" s="1713">
        <f>H2318</f>
        <v>0</v>
      </c>
      <c r="I2319" s="1192">
        <f t="shared" si="95"/>
        <v>0</v>
      </c>
      <c r="J2319" s="1014"/>
      <c r="K2319" s="1014"/>
      <c r="L2319" s="1015"/>
      <c r="M2319" s="934">
        <v>630</v>
      </c>
    </row>
    <row r="2320" spans="1:13" s="1016" customFormat="1" ht="25.2" hidden="1" customHeight="1">
      <c r="A2320" s="1086">
        <f t="shared" si="94"/>
        <v>0</v>
      </c>
      <c r="B2320" s="1087"/>
      <c r="C2320" s="2842"/>
      <c r="D2320" s="1017">
        <f>IF(H2320&gt;0,D2314+1,D2314)</f>
        <v>0</v>
      </c>
      <c r="E2320" s="1018"/>
      <c r="F2320" s="1027" t="s">
        <v>3728</v>
      </c>
      <c r="G2320" s="1017" t="s">
        <v>2385</v>
      </c>
      <c r="H2320" s="1743">
        <f>H2259</f>
        <v>0</v>
      </c>
      <c r="I2320" s="1192">
        <f t="shared" si="95"/>
        <v>0</v>
      </c>
      <c r="J2320" s="1014"/>
      <c r="K2320" s="1014"/>
      <c r="L2320" s="1043"/>
      <c r="M2320" s="934">
        <v>630</v>
      </c>
    </row>
    <row r="2321" spans="1:13" s="1016" customFormat="1" ht="25.2" hidden="1" customHeight="1">
      <c r="A2321" s="1086">
        <f t="shared" si="94"/>
        <v>0</v>
      </c>
      <c r="B2321" s="1087"/>
      <c r="C2321" s="2842"/>
      <c r="D2321" s="1011"/>
      <c r="E2321" s="1021"/>
      <c r="F2321" s="1268" t="s">
        <v>2279</v>
      </c>
      <c r="G2321" s="1011"/>
      <c r="H2321" s="1713"/>
      <c r="I2321" s="1192">
        <f t="shared" si="95"/>
        <v>0</v>
      </c>
      <c r="J2321" s="1014"/>
      <c r="K2321" s="1014"/>
      <c r="L2321" s="1043"/>
      <c r="M2321" s="934">
        <v>630</v>
      </c>
    </row>
    <row r="2322" spans="1:13" s="1016" customFormat="1" ht="25.2" hidden="1" customHeight="1">
      <c r="A2322" s="1086">
        <f t="shared" si="94"/>
        <v>0</v>
      </c>
      <c r="B2322" s="1256" t="s">
        <v>608</v>
      </c>
      <c r="C2322" s="2858"/>
      <c r="D2322" s="1023"/>
      <c r="E2322" s="1012">
        <f>VLOOKUP($B2322,DG!A:D,DG!$B$2,)</f>
        <v>0</v>
      </c>
      <c r="F2322" s="1013" t="e">
        <f>VLOOKUP($B2322,DG!A:D,DG!$C$2,)&amp;":  "&amp;#REF!&amp;" x 8m/pha "</f>
        <v>#REF!</v>
      </c>
      <c r="G2322" s="1012" t="str">
        <f>VLOOKUP($B2322,DG!A:D,DG!$D$2,)</f>
        <v>mét</v>
      </c>
      <c r="H2322" s="1713">
        <f>8*3*H2320*L15</f>
        <v>0</v>
      </c>
      <c r="I2322" s="1192">
        <f t="shared" si="95"/>
        <v>0</v>
      </c>
      <c r="J2322" s="1014"/>
      <c r="K2322" s="1014"/>
      <c r="L2322" s="1043"/>
      <c r="M2322" s="934">
        <v>630</v>
      </c>
    </row>
    <row r="2323" spans="1:13" s="1016" customFormat="1" ht="25.2" hidden="1" customHeight="1">
      <c r="A2323" s="1086">
        <f t="shared" si="94"/>
        <v>0</v>
      </c>
      <c r="B2323" s="1256" t="s">
        <v>34</v>
      </c>
      <c r="C2323" s="2858"/>
      <c r="D2323" s="1023"/>
      <c r="E2323" s="1012">
        <f>VLOOKUP($B2323,DG!A:D,DG!$B$2,)</f>
        <v>0</v>
      </c>
      <c r="F2323" s="1013" t="e">
        <f>VLOOKUP($B2323,DG!A:D,DG!$C$2,)&amp;":  "&amp;#REF!&amp;" x 8m/trung tính "</f>
        <v>#REF!</v>
      </c>
      <c r="G2323" s="1012" t="str">
        <f>VLOOKUP($B2323,DG!A:D,DG!$D$2,)</f>
        <v>mét</v>
      </c>
      <c r="H2323" s="1713">
        <f>8*H2320</f>
        <v>0</v>
      </c>
      <c r="I2323" s="1192">
        <f t="shared" si="95"/>
        <v>0</v>
      </c>
      <c r="J2323" s="1014"/>
      <c r="K2323" s="1014"/>
      <c r="L2323" s="1043"/>
      <c r="M2323" s="934">
        <v>630</v>
      </c>
    </row>
    <row r="2324" spans="1:13" s="1016" customFormat="1" ht="25.2" hidden="1" customHeight="1">
      <c r="A2324" s="1086">
        <f t="shared" si="94"/>
        <v>0</v>
      </c>
      <c r="B2324" s="1226" t="s">
        <v>447</v>
      </c>
      <c r="C2324" s="2841"/>
      <c r="D2324" s="1023"/>
      <c r="E2324" s="1012" t="str">
        <f>VLOOKUP($B2324,DG!A:D,DG!$B$2,)</f>
        <v>03.4008</v>
      </c>
      <c r="F2324" s="1013" t="str">
        <f>VLOOKUP($B2324,DG!A:D,DG!$C$2,)&amp;": "</f>
        <v xml:space="preserve">Đầu cosse ép Cu 200mm2: </v>
      </c>
      <c r="G2324" s="1012" t="str">
        <f>VLOOKUP($B2324,DG!A:D,DG!$D$2,)</f>
        <v>cái</v>
      </c>
      <c r="H2324" s="1749"/>
      <c r="I2324" s="1192">
        <f t="shared" si="95"/>
        <v>0</v>
      </c>
      <c r="J2324" s="1014"/>
      <c r="K2324" s="1014"/>
      <c r="L2324" s="1043"/>
      <c r="M2324" s="934">
        <v>630</v>
      </c>
    </row>
    <row r="2325" spans="1:13" s="1016" customFormat="1" ht="25.2" hidden="1" customHeight="1">
      <c r="A2325" s="1086">
        <f t="shared" si="94"/>
        <v>0</v>
      </c>
      <c r="B2325" s="1226" t="s">
        <v>2155</v>
      </c>
      <c r="C2325" s="2841"/>
      <c r="D2325" s="1023"/>
      <c r="E2325" s="1012" t="str">
        <f>VLOOKUP($B2325,DG!A:D,DG!$B$2,)</f>
        <v>03.4006</v>
      </c>
      <c r="F2325" s="1013" t="str">
        <f>VLOOKUP($B2325,DG!A:D,DG!$C$2,)&amp;": "</f>
        <v xml:space="preserve">Đầu cosse ép Cu 150mm2: </v>
      </c>
      <c r="G2325" s="1012" t="str">
        <f>VLOOKUP($B2325,DG!A:D,DG!$D$2,)</f>
        <v>cái</v>
      </c>
      <c r="H2325" s="1713">
        <f>H2320*2</f>
        <v>0</v>
      </c>
      <c r="I2325" s="1192">
        <f t="shared" si="95"/>
        <v>0</v>
      </c>
      <c r="J2325" s="1014"/>
      <c r="K2325" s="1014"/>
      <c r="L2325" s="1043"/>
      <c r="M2325" s="934">
        <v>630</v>
      </c>
    </row>
    <row r="2326" spans="1:13" s="1016" customFormat="1" ht="25.2" hidden="1" customHeight="1">
      <c r="A2326" s="1086">
        <f t="shared" si="94"/>
        <v>0</v>
      </c>
      <c r="B2326" s="1226" t="s">
        <v>610</v>
      </c>
      <c r="C2326" s="2841"/>
      <c r="D2326" s="1023"/>
      <c r="E2326" s="1012">
        <f>VLOOKUP($B2326,DG!A:D,DG!$B$2,)</f>
        <v>0</v>
      </c>
      <c r="F2326" s="1013" t="str">
        <f>VLOOKUP($B2326,DG!A:D,DG!$C$2,)&amp;": "</f>
        <v xml:space="preserve">Chụp đầu cosse  200mm2: </v>
      </c>
      <c r="G2326" s="1012" t="str">
        <f>VLOOKUP($B2326,DG!A:D,DG!$D$2,)</f>
        <v>cái</v>
      </c>
      <c r="H2326" s="1713">
        <f>H2324</f>
        <v>0</v>
      </c>
      <c r="I2326" s="1192">
        <f t="shared" si="95"/>
        <v>0</v>
      </c>
      <c r="J2326" s="1014"/>
      <c r="K2326" s="1014"/>
      <c r="L2326" s="1043"/>
      <c r="M2326" s="934">
        <v>630</v>
      </c>
    </row>
    <row r="2327" spans="1:13" s="1016" customFormat="1" ht="25.2" hidden="1" customHeight="1">
      <c r="A2327" s="1086">
        <f t="shared" si="94"/>
        <v>0</v>
      </c>
      <c r="B2327" s="1226" t="s">
        <v>91</v>
      </c>
      <c r="C2327" s="2841"/>
      <c r="D2327" s="1023"/>
      <c r="E2327" s="1012">
        <f>VLOOKUP($B2327,DG!A:D,DG!$B$2,)</f>
        <v>0</v>
      </c>
      <c r="F2327" s="1013" t="str">
        <f>VLOOKUP($B2327,DG!A:D,DG!$C$2,)&amp;": "</f>
        <v xml:space="preserve">Chụp đầu cosse  150mm2: </v>
      </c>
      <c r="G2327" s="1012" t="str">
        <f>VLOOKUP($B2327,DG!A:D,DG!$D$2,)</f>
        <v>cái</v>
      </c>
      <c r="H2327" s="1713">
        <f>H2325</f>
        <v>0</v>
      </c>
      <c r="I2327" s="1192">
        <f t="shared" si="95"/>
        <v>0</v>
      </c>
      <c r="J2327" s="1014"/>
      <c r="K2327" s="1014"/>
      <c r="L2327" s="1043"/>
      <c r="M2327" s="934">
        <v>630</v>
      </c>
    </row>
    <row r="2328" spans="1:13" s="1016" customFormat="1" ht="25.2" hidden="1" customHeight="1">
      <c r="A2328" s="1086">
        <f t="shared" si="94"/>
        <v>0</v>
      </c>
      <c r="B2328" s="1226" t="s">
        <v>1042</v>
      </c>
      <c r="C2328" s="2841"/>
      <c r="D2328" s="1023"/>
      <c r="E2328" s="1012">
        <f>VLOOKUP($B2328,DG!A:D,DG!$B$2,)</f>
        <v>0</v>
      </c>
      <c r="F2328" s="1013" t="str">
        <f>VLOOKUP($B2328,DG!A:D,DG!$C$2,)</f>
        <v xml:space="preserve">Ống PVC D114x4,9mm </v>
      </c>
      <c r="G2328" s="1012" t="str">
        <f>VLOOKUP($B2328,DG!A:D,DG!$D$2,)</f>
        <v>m</v>
      </c>
      <c r="H2328" s="1749"/>
      <c r="I2328" s="1192">
        <f t="shared" si="95"/>
        <v>0</v>
      </c>
      <c r="J2328" s="1014"/>
      <c r="K2328" s="1014"/>
      <c r="L2328" s="1043"/>
      <c r="M2328" s="934">
        <v>630</v>
      </c>
    </row>
    <row r="2329" spans="1:13" s="1016" customFormat="1" ht="25.2" hidden="1" customHeight="1">
      <c r="A2329" s="1086">
        <f t="shared" si="94"/>
        <v>0</v>
      </c>
      <c r="B2329" s="1087" t="s">
        <v>731</v>
      </c>
      <c r="C2329" s="2842"/>
      <c r="D2329" s="1023"/>
      <c r="E2329" s="1012" t="str">
        <f>VLOOKUP($B2329,DG!A:D,DG!$B$2,)</f>
        <v>06.3231</v>
      </c>
      <c r="F2329" s="1013" t="str">
        <f>VLOOKUP($B2329,DG!A:D,DG!$C$2,)&amp;": CD-250"</f>
        <v>Cổ dê kẹp ống PVC Ø 114: CD-250</v>
      </c>
      <c r="G2329" s="1012" t="str">
        <f>VLOOKUP($B2329,DG!A:D,DG!$D$2,)</f>
        <v>bộ</v>
      </c>
      <c r="H2329" s="1713">
        <f>H2320*1.031</f>
        <v>0</v>
      </c>
      <c r="I2329" s="1192">
        <f t="shared" si="95"/>
        <v>0</v>
      </c>
      <c r="J2329" s="1014"/>
      <c r="K2329" s="1014"/>
      <c r="L2329" s="1043"/>
      <c r="M2329" s="934">
        <v>630</v>
      </c>
    </row>
    <row r="2330" spans="1:13" s="1016" customFormat="1" ht="25.2" hidden="1" customHeight="1">
      <c r="A2330" s="1086">
        <f t="shared" ref="A2330:A2394" si="96">IF(AND(M2330=$M$23,I2330&gt;0),1,0)</f>
        <v>0</v>
      </c>
      <c r="B2330" s="1087" t="s">
        <v>731</v>
      </c>
      <c r="C2330" s="2842"/>
      <c r="D2330" s="1023"/>
      <c r="E2330" s="1012" t="str">
        <f>VLOOKUP($B2330,DG!A:D,DG!$B$2,)</f>
        <v>06.3231</v>
      </c>
      <c r="F2330" s="1013" t="str">
        <f>VLOOKUP($B2330,DG!A:D,DG!$C$2,)&amp;": CD-250"</f>
        <v>Cổ dê kẹp ống PVC Ø 114: CD-250</v>
      </c>
      <c r="G2330" s="1012" t="str">
        <f>VLOOKUP($B2330,DG!A:D,DG!$D$2,)</f>
        <v>bộ</v>
      </c>
      <c r="H2330" s="1713">
        <f>H2320*1.031</f>
        <v>0</v>
      </c>
      <c r="I2330" s="1192">
        <f t="shared" si="95"/>
        <v>0</v>
      </c>
      <c r="J2330" s="1014"/>
      <c r="K2330" s="1014"/>
      <c r="L2330" s="1043"/>
      <c r="M2330" s="934">
        <v>630</v>
      </c>
    </row>
    <row r="2331" spans="1:13" s="1016" customFormat="1" ht="25.2" hidden="1" customHeight="1">
      <c r="A2331" s="1086">
        <f t="shared" si="96"/>
        <v>0</v>
      </c>
      <c r="B2331" s="1087" t="s">
        <v>731</v>
      </c>
      <c r="C2331" s="2842"/>
      <c r="D2331" s="1023"/>
      <c r="E2331" s="1012" t="str">
        <f>VLOOKUP($B2331,DG!A:D,DG!$B$2,)</f>
        <v>06.3231</v>
      </c>
      <c r="F2331" s="1013" t="str">
        <f>VLOOKUP($B2331,DG!A:D,DG!$C$2,)&amp;": CD-280"</f>
        <v>Cổ dê kẹp ống PVC Ø 114: CD-280</v>
      </c>
      <c r="G2331" s="1012" t="str">
        <f>VLOOKUP($B2331,DG!A:D,DG!$D$2,)</f>
        <v>bộ</v>
      </c>
      <c r="H2331" s="1713">
        <f>H2320*1.031</f>
        <v>0</v>
      </c>
      <c r="I2331" s="1192">
        <f t="shared" si="95"/>
        <v>0</v>
      </c>
      <c r="J2331" s="1014"/>
      <c r="K2331" s="1014"/>
      <c r="L2331" s="1043"/>
      <c r="M2331" s="934">
        <v>630</v>
      </c>
    </row>
    <row r="2332" spans="1:13" s="1016" customFormat="1" ht="25.2" hidden="1" customHeight="1">
      <c r="A2332" s="1086">
        <f t="shared" si="96"/>
        <v>0</v>
      </c>
      <c r="B2332" s="1087" t="s">
        <v>1131</v>
      </c>
      <c r="C2332" s="2842"/>
      <c r="D2332" s="1023"/>
      <c r="E2332" s="1012" t="str">
        <f>VLOOKUP($B2332,DG!A:D,DG!$B$2,)</f>
        <v>06.2110</v>
      </c>
      <c r="F2332" s="1013" t="str">
        <f>VLOOKUP($B2332,DG!A:D,DG!$C$2,)&amp;": CD-280"</f>
        <v>Lắp cổ dê: CD-280</v>
      </c>
      <c r="G2332" s="1012" t="str">
        <f>VLOOKUP($B2332,DG!A:D,DG!$D$2,)</f>
        <v>bộ</v>
      </c>
      <c r="H2332" s="1713">
        <f>H2321*1.031</f>
        <v>0</v>
      </c>
      <c r="I2332" s="1192">
        <f t="shared" si="95"/>
        <v>0</v>
      </c>
      <c r="J2332" s="1014"/>
      <c r="K2332" s="1014"/>
      <c r="L2332" s="1043"/>
      <c r="M2332" s="934">
        <v>630</v>
      </c>
    </row>
    <row r="2333" spans="1:13" s="1016" customFormat="1" ht="25.2" hidden="1" customHeight="1">
      <c r="A2333" s="1086">
        <f t="shared" si="96"/>
        <v>0</v>
      </c>
      <c r="B2333" s="1246" t="s">
        <v>138</v>
      </c>
      <c r="C2333" s="2848"/>
      <c r="D2333" s="1023"/>
      <c r="E2333" s="1012">
        <f>VLOOKUP($B2333,DG!A:D,DG!$B$2,)</f>
        <v>0</v>
      </c>
      <c r="F2333" s="1013" t="str">
        <f>VLOOKUP($B2333,DG!A:D,DG!$C$2,)</f>
        <v>Boulon 12x40+ 2 long đền vuông D14-50x50x3/Zn</v>
      </c>
      <c r="G2333" s="1012" t="str">
        <f>VLOOKUP($B2333,DG!A:D,DG!$D$2,)</f>
        <v>bộ</v>
      </c>
      <c r="H2333" s="1713">
        <f>H2320*6</f>
        <v>0</v>
      </c>
      <c r="I2333" s="1192">
        <f t="shared" si="95"/>
        <v>0</v>
      </c>
      <c r="J2333" s="1014"/>
      <c r="K2333" s="1014"/>
      <c r="L2333" s="1043"/>
      <c r="M2333" s="934">
        <v>630</v>
      </c>
    </row>
    <row r="2334" spans="1:13" s="1016" customFormat="1" ht="25.2" hidden="1" customHeight="1">
      <c r="A2334" s="1086">
        <f t="shared" si="96"/>
        <v>0</v>
      </c>
      <c r="B2334" s="1226" t="s">
        <v>2167</v>
      </c>
      <c r="C2334" s="2841"/>
      <c r="D2334" s="1023"/>
      <c r="E2334" s="1012">
        <f>VLOOKUP($B2334,DG!A:D,DG!$B$2,)</f>
        <v>0</v>
      </c>
      <c r="F2334" s="1013" t="str">
        <f>VLOOKUP($B2334,DG!A:D,DG!$C$2,)</f>
        <v>Khâu ven răng trong D114</v>
      </c>
      <c r="G2334" s="1012" t="str">
        <f>VLOOKUP($B2334,DG!A:D,DG!$D$2,)</f>
        <v>cái</v>
      </c>
      <c r="H2334" s="1713">
        <f>IF(H2328&gt;0,H2320*#REF!,)</f>
        <v>0</v>
      </c>
      <c r="I2334" s="1192">
        <f t="shared" si="95"/>
        <v>0</v>
      </c>
      <c r="J2334" s="1014"/>
      <c r="K2334" s="1014"/>
      <c r="L2334" s="1043"/>
      <c r="M2334" s="934">
        <v>630</v>
      </c>
    </row>
    <row r="2335" spans="1:13" s="1016" customFormat="1" ht="25.2" hidden="1" customHeight="1">
      <c r="A2335" s="1086">
        <f t="shared" si="96"/>
        <v>0</v>
      </c>
      <c r="B2335" s="1226" t="s">
        <v>2168</v>
      </c>
      <c r="C2335" s="2841"/>
      <c r="D2335" s="1023"/>
      <c r="E2335" s="1012">
        <f>VLOOKUP($B2335,DG!A:D,DG!$B$2,)</f>
        <v>0</v>
      </c>
      <c r="F2335" s="1013" t="str">
        <f>VLOOKUP($B2335,DG!A:D,DG!$C$2,)&amp;": "</f>
        <v xml:space="preserve">Khâu ven răng ngoài D114: </v>
      </c>
      <c r="G2335" s="1012" t="str">
        <f>VLOOKUP($B2335,DG!A:D,DG!$D$2,)</f>
        <v>cái</v>
      </c>
      <c r="H2335" s="1713">
        <f>H2334</f>
        <v>0</v>
      </c>
      <c r="I2335" s="1192">
        <f t="shared" si="95"/>
        <v>0</v>
      </c>
      <c r="J2335" s="1014"/>
      <c r="K2335" s="1014"/>
      <c r="L2335" s="1043"/>
      <c r="M2335" s="934">
        <v>630</v>
      </c>
    </row>
    <row r="2336" spans="1:13" s="1016" customFormat="1" ht="25.2" hidden="1" customHeight="1">
      <c r="A2336" s="1086">
        <f t="shared" si="96"/>
        <v>0</v>
      </c>
      <c r="B2336" s="1226" t="s">
        <v>2074</v>
      </c>
      <c r="C2336" s="2841"/>
      <c r="D2336" s="1023"/>
      <c r="E2336" s="1012">
        <f>VLOOKUP($B2336,DG!A:D,DG!$B$2,)</f>
        <v>0</v>
      </c>
      <c r="F2336" s="1013" t="str">
        <f>VLOOKUP($B2336,DG!A:D,DG!$C$2,)&amp;": "</f>
        <v xml:space="preserve">Keo dán ống PVC (100gr): </v>
      </c>
      <c r="G2336" s="1012" t="str">
        <f>VLOOKUP($B2336,DG!A:D,DG!$D$2,)</f>
        <v>tuýp</v>
      </c>
      <c r="H2336" s="1713">
        <f>IF(H2328&gt;0,H2320*#REF!,)</f>
        <v>0</v>
      </c>
      <c r="I2336" s="1192">
        <f t="shared" si="95"/>
        <v>0</v>
      </c>
      <c r="J2336" s="1014"/>
      <c r="K2336" s="1014"/>
      <c r="L2336" s="1043"/>
      <c r="M2336" s="934">
        <v>630</v>
      </c>
    </row>
    <row r="2337" spans="1:13" s="1016" customFormat="1" ht="25.2" hidden="1" customHeight="1">
      <c r="A2337" s="1086">
        <f t="shared" si="96"/>
        <v>0</v>
      </c>
      <c r="B2337" s="1087" t="s">
        <v>6</v>
      </c>
      <c r="C2337" s="2842"/>
      <c r="D2337" s="1023"/>
      <c r="E2337" s="1012"/>
      <c r="F2337" s="1013" t="str">
        <f>VLOOKUP($B2337,DG!A:D,DG!$C$2,)&amp;":"</f>
        <v>Keo silicon bít miệng ống:</v>
      </c>
      <c r="G2337" s="1012" t="str">
        <f>VLOOKUP($B2337,DG!A:D,DG!$D$2,)</f>
        <v>ống</v>
      </c>
      <c r="H2337" s="1749"/>
      <c r="I2337" s="1192">
        <f t="shared" si="95"/>
        <v>0</v>
      </c>
      <c r="J2337" s="1014"/>
      <c r="K2337" s="1014"/>
      <c r="L2337" s="1015"/>
      <c r="M2337" s="934">
        <v>630</v>
      </c>
    </row>
    <row r="2338" spans="1:13" s="1016" customFormat="1" ht="25.2" hidden="1" customHeight="1">
      <c r="A2338" s="1086">
        <f t="shared" si="96"/>
        <v>0</v>
      </c>
      <c r="B2338" s="1226" t="s">
        <v>1822</v>
      </c>
      <c r="C2338" s="2841"/>
      <c r="D2338" s="1023"/>
      <c r="E2338" s="1012" t="str">
        <f>VLOOKUP($B2338,DG!A:D,DG!$B$2,)</f>
        <v>03.1401</v>
      </c>
      <c r="F2338" s="1013" t="str">
        <f>VLOOKUP($B2338,DG!A:D,DG!$C$2,)</f>
        <v xml:space="preserve">Cáp CVV 4x2,5mm2  </v>
      </c>
      <c r="G2338" s="1012" t="str">
        <f>VLOOKUP($B2338,DG!A:D,DG!$D$2,)</f>
        <v>mét</v>
      </c>
      <c r="H2338" s="1749"/>
      <c r="I2338" s="1192">
        <f t="shared" si="95"/>
        <v>0</v>
      </c>
      <c r="J2338" s="1014"/>
      <c r="K2338" s="1014"/>
      <c r="L2338" s="1015"/>
      <c r="M2338" s="934">
        <v>630</v>
      </c>
    </row>
    <row r="2339" spans="1:13" s="1016" customFormat="1" ht="25.2" hidden="1" customHeight="1">
      <c r="A2339" s="1086">
        <f t="shared" si="96"/>
        <v>0</v>
      </c>
      <c r="B2339" s="1226" t="s">
        <v>1348</v>
      </c>
      <c r="C2339" s="2841"/>
      <c r="D2339" s="1023"/>
      <c r="E2339" s="1012">
        <f>VLOOKUP($B2339,DG!A:D,DG!$B$2,)</f>
        <v>0</v>
      </c>
      <c r="F2339" s="1013" t="str">
        <f>VLOOKUP($B2339,DG!A:D,DG!$C$2,)</f>
        <v>Dây rút cáp</v>
      </c>
      <c r="G2339" s="1012" t="str">
        <f>VLOOKUP($B2339,DG!A:D,DG!$D$2,)</f>
        <v>bọc</v>
      </c>
      <c r="H2339" s="1749"/>
      <c r="I2339" s="1192">
        <f t="shared" si="95"/>
        <v>0</v>
      </c>
      <c r="J2339" s="1014"/>
      <c r="K2339" s="1014"/>
      <c r="L2339" s="1015"/>
      <c r="M2339" s="934">
        <v>630</v>
      </c>
    </row>
    <row r="2340" spans="1:13" s="1016" customFormat="1" ht="25.2" hidden="1" customHeight="1">
      <c r="A2340" s="1086">
        <f t="shared" si="96"/>
        <v>0</v>
      </c>
      <c r="B2340" s="1087" t="s">
        <v>672</v>
      </c>
      <c r="C2340" s="2842"/>
      <c r="D2340" s="1023"/>
      <c r="E2340" s="1012">
        <f>VLOOKUP($B2340,DG!A:D,DG!$B$2,)</f>
        <v>0</v>
      </c>
      <c r="F2340" s="1013" t="str">
        <f>VLOOKUP($B2340,DG!A:D,DG!$C$2,)&amp;":"</f>
        <v>Băng keo cách điện:</v>
      </c>
      <c r="G2340" s="1012" t="str">
        <f>VLOOKUP($B2340,DG!A:D,DG!$D$2,)</f>
        <v>cuộn</v>
      </c>
      <c r="H2340" s="1749"/>
      <c r="I2340" s="1192">
        <f t="shared" si="95"/>
        <v>0</v>
      </c>
      <c r="J2340" s="1014"/>
      <c r="K2340" s="1014"/>
      <c r="L2340" s="1043"/>
      <c r="M2340" s="934">
        <v>630</v>
      </c>
    </row>
    <row r="2341" spans="1:13" s="1016" customFormat="1" ht="25.2" hidden="1" customHeight="1">
      <c r="A2341" s="1086">
        <f t="shared" si="96"/>
        <v>0</v>
      </c>
      <c r="B2341" s="1087" t="s">
        <v>1410</v>
      </c>
      <c r="C2341" s="2842"/>
      <c r="D2341" s="1023"/>
      <c r="E2341" s="1012" t="str">
        <f>VLOOKUP($B2341,DG!A:D,DG!$B$2,)</f>
        <v>05.6101</v>
      </c>
      <c r="F2341" s="1013" t="str">
        <f>VLOOKUP($B2341,DG!A:D,DG!$C$2,)&amp;":"</f>
        <v>Lắp Giá đỡ cáp:</v>
      </c>
      <c r="G2341" s="1012" t="str">
        <f>VLOOKUP($B2341,DG!A:D,DG!$D$2,)</f>
        <v>bộ</v>
      </c>
      <c r="H2341" s="1713"/>
      <c r="I2341" s="1192">
        <f t="shared" si="95"/>
        <v>0</v>
      </c>
      <c r="J2341" s="1014"/>
      <c r="K2341" s="1014"/>
      <c r="L2341" s="1043"/>
      <c r="M2341" s="934">
        <v>630</v>
      </c>
    </row>
    <row r="2342" spans="1:13" s="1016" customFormat="1" ht="25.2" hidden="1" customHeight="1">
      <c r="A2342" s="1086">
        <f t="shared" si="96"/>
        <v>0</v>
      </c>
      <c r="B2342" s="1087" t="s">
        <v>247</v>
      </c>
      <c r="C2342" s="2842"/>
      <c r="D2342" s="1023"/>
      <c r="E2342" s="1012" t="str">
        <f>VLOOKUP($B2342,DG!A:D,DG!$B$2,)</f>
        <v>04.4203</v>
      </c>
      <c r="F2342" s="1013" t="str">
        <f>VLOOKUP($B2342,DG!A:D,DG!$C$2,)&amp;":"</f>
        <v>Lắp cáp đồng xuống thiết bị D &gt; 150mm2:</v>
      </c>
      <c r="G2342" s="1012" t="str">
        <f>VLOOKUP($B2342,DG!A:D,DG!$D$2,)</f>
        <v>m</v>
      </c>
      <c r="H2342" s="1713">
        <f>H2322+H2323</f>
        <v>0</v>
      </c>
      <c r="I2342" s="1192">
        <f t="shared" si="95"/>
        <v>0</v>
      </c>
      <c r="J2342" s="1014"/>
      <c r="K2342" s="1014"/>
      <c r="L2342" s="1043"/>
      <c r="M2342" s="934">
        <v>630</v>
      </c>
    </row>
    <row r="2343" spans="1:13" s="1016" customFormat="1" ht="25.2" hidden="1" customHeight="1">
      <c r="A2343" s="1086">
        <f t="shared" si="96"/>
        <v>0</v>
      </c>
      <c r="B2343" s="1087" t="s">
        <v>2006</v>
      </c>
      <c r="C2343" s="2842"/>
      <c r="D2343" s="1023"/>
      <c r="E2343" s="1012" t="str">
        <f>VLOOKUP($B2343,DG!A:D,DG!$B$2,)</f>
        <v>04.4202</v>
      </c>
      <c r="F2343" s="1013" t="str">
        <f>VLOOKUP($B2343,DG!A:D,DG!$C$2,)&amp;":"</f>
        <v>Lắp cáp đồng xuống thiết bị D ≤ 150mm2:</v>
      </c>
      <c r="G2343" s="1012" t="str">
        <f>VLOOKUP($B2343,DG!A:D,DG!$D$2,)</f>
        <v>m</v>
      </c>
      <c r="H2343" s="1713"/>
      <c r="I2343" s="1192">
        <f t="shared" si="95"/>
        <v>0</v>
      </c>
      <c r="J2343" s="1014"/>
      <c r="K2343" s="1014"/>
      <c r="L2343" s="1015"/>
      <c r="M2343" s="934">
        <v>630</v>
      </c>
    </row>
    <row r="2344" spans="1:13" s="1016" customFormat="1" ht="25.2" hidden="1" customHeight="1">
      <c r="A2344" s="1086">
        <f t="shared" si="96"/>
        <v>0</v>
      </c>
      <c r="B2344" s="1087" t="s">
        <v>242</v>
      </c>
      <c r="C2344" s="2842"/>
      <c r="D2344" s="1023"/>
      <c r="E2344" s="1012">
        <f>VLOOKUP($B2344,DG!A:D,DG!$B$2,)</f>
        <v>0</v>
      </c>
      <c r="F2344" s="1013" t="str">
        <f>VLOOKUP($B2344,DG!A:D,DG!$C$2,)&amp;":"</f>
        <v>Bộ móng tủ bù 0,2x0,2x0,4x4móng:</v>
      </c>
      <c r="G2344" s="1012" t="str">
        <f>VLOOKUP($B2344,DG!A:D,DG!$D$2,)</f>
        <v>trọn bộ</v>
      </c>
      <c r="H2344" s="1713">
        <f>H2320*1*0</f>
        <v>0</v>
      </c>
      <c r="I2344" s="1192">
        <f t="shared" si="95"/>
        <v>0</v>
      </c>
      <c r="J2344" s="1014"/>
      <c r="K2344" s="1014"/>
      <c r="L2344" s="1015"/>
      <c r="M2344" s="934">
        <v>630</v>
      </c>
    </row>
    <row r="2345" spans="1:13" s="1016" customFormat="1" ht="25.2" hidden="1" customHeight="1">
      <c r="A2345" s="1086">
        <f t="shared" si="96"/>
        <v>0</v>
      </c>
      <c r="B2345" s="1087"/>
      <c r="C2345" s="2842"/>
      <c r="D2345" s="1017">
        <f>IF(H2345&gt;0,D2320+1,D2320)</f>
        <v>0</v>
      </c>
      <c r="E2345" s="1018"/>
      <c r="F2345" s="1027" t="s">
        <v>3729</v>
      </c>
      <c r="G2345" s="1017" t="s">
        <v>2385</v>
      </c>
      <c r="H2345" s="1749"/>
      <c r="I2345" s="1192">
        <f t="shared" si="95"/>
        <v>0</v>
      </c>
      <c r="J2345" s="1014"/>
      <c r="K2345" s="1014"/>
      <c r="L2345" s="1043"/>
      <c r="M2345" s="934">
        <v>630</v>
      </c>
    </row>
    <row r="2346" spans="1:13" s="1067" customFormat="1" ht="25.2" hidden="1" customHeight="1">
      <c r="A2346" s="1086">
        <f t="shared" si="96"/>
        <v>0</v>
      </c>
      <c r="B2346" s="1257"/>
      <c r="C2346" s="2859"/>
      <c r="D2346" s="1011"/>
      <c r="E2346" s="1021"/>
      <c r="F2346" s="1268" t="s">
        <v>2279</v>
      </c>
      <c r="G2346" s="1011"/>
      <c r="H2346" s="1723"/>
      <c r="I2346" s="1192">
        <f t="shared" si="95"/>
        <v>0</v>
      </c>
      <c r="J2346" s="1014"/>
      <c r="K2346" s="1014"/>
      <c r="L2346" s="1043"/>
      <c r="M2346" s="934">
        <v>630</v>
      </c>
    </row>
    <row r="2347" spans="1:13" s="1016" customFormat="1" ht="25.2" hidden="1" customHeight="1">
      <c r="A2347" s="1086">
        <f t="shared" si="96"/>
        <v>0</v>
      </c>
      <c r="B2347" s="1226" t="s">
        <v>1822</v>
      </c>
      <c r="C2347" s="2841"/>
      <c r="D2347" s="1043"/>
      <c r="E2347" s="1012" t="str">
        <f>VLOOKUP($B2347,DG!A:D,DG!$B$2,)</f>
        <v>03.1401</v>
      </c>
      <c r="F2347" s="1041" t="str">
        <f>VLOOKUP($B2347,DG!A:D,DG!$C$2,)</f>
        <v xml:space="preserve">Cáp CVV 4x2,5mm2  </v>
      </c>
      <c r="G2347" s="1068" t="str">
        <f>VLOOKUP($B2347,DG!A:D,DG!$D$2,)</f>
        <v>mét</v>
      </c>
      <c r="H2347" s="1713">
        <f>H2345*26</f>
        <v>0</v>
      </c>
      <c r="I2347" s="1192">
        <f t="shared" si="95"/>
        <v>0</v>
      </c>
      <c r="J2347" s="1064"/>
      <c r="K2347" s="1064"/>
      <c r="L2347" s="1043"/>
      <c r="M2347" s="934">
        <v>630</v>
      </c>
    </row>
    <row r="2348" spans="1:13" s="1016" customFormat="1" ht="25.2" hidden="1" customHeight="1">
      <c r="A2348" s="1086">
        <f t="shared" si="96"/>
        <v>0</v>
      </c>
      <c r="B2348" s="1226" t="s">
        <v>246</v>
      </c>
      <c r="C2348" s="2841"/>
      <c r="D2348" s="1043"/>
      <c r="E2348" s="1012" t="str">
        <f>VLOOKUP($B2348,DG!A:D,DG!$B$2,)</f>
        <v>05.6101</v>
      </c>
      <c r="F2348" s="1041" t="str">
        <f>VLOOKUP($B2348,DG!A:D,DG!$C$2,)</f>
        <v>Xà kẹp TU, TI U50x32x4 350</v>
      </c>
      <c r="G2348" s="1068" t="str">
        <f>VLOOKUP($B2348,DG!A:D,DG!$D$2,)</f>
        <v>Bộ</v>
      </c>
      <c r="H2348" s="1713">
        <f>H2345*24</f>
        <v>0</v>
      </c>
      <c r="I2348" s="1192">
        <f t="shared" si="95"/>
        <v>0</v>
      </c>
      <c r="J2348" s="1064"/>
      <c r="K2348" s="1064"/>
      <c r="L2348" s="1043"/>
      <c r="M2348" s="934">
        <v>630</v>
      </c>
    </row>
    <row r="2349" spans="1:13" s="1016" customFormat="1" ht="25.2" hidden="1" customHeight="1">
      <c r="A2349" s="1086">
        <f t="shared" si="96"/>
        <v>0</v>
      </c>
      <c r="B2349" s="1226" t="s">
        <v>1865</v>
      </c>
      <c r="C2349" s="2841"/>
      <c r="D2349" s="1023"/>
      <c r="E2349" s="1012" t="str">
        <f>VLOOKUP($B2349,DG!A:D,DG!$B$2,)</f>
        <v>03.4001</v>
      </c>
      <c r="F2349" s="1041" t="str">
        <f>VLOOKUP($B2349,DG!A:D,DG!$C$2,)</f>
        <v xml:space="preserve">Đầu cosse ép Cu 2,5mm2 + bao PVC </v>
      </c>
      <c r="G2349" s="1068" t="str">
        <f>VLOOKUP($B2349,DG!A:D,DG!$D$2,)</f>
        <v>cái</v>
      </c>
      <c r="H2349" s="1713">
        <f>H2345*16</f>
        <v>0</v>
      </c>
      <c r="I2349" s="1192">
        <f t="shared" si="95"/>
        <v>0</v>
      </c>
      <c r="J2349" s="1064"/>
      <c r="K2349" s="1064"/>
      <c r="L2349" s="1043"/>
      <c r="M2349" s="934">
        <v>630</v>
      </c>
    </row>
    <row r="2350" spans="1:13" s="1016" customFormat="1" ht="25.2" hidden="1" customHeight="1">
      <c r="A2350" s="1086">
        <f t="shared" si="96"/>
        <v>0</v>
      </c>
      <c r="B2350" s="1226" t="s">
        <v>1510</v>
      </c>
      <c r="C2350" s="2841"/>
      <c r="D2350" s="1023"/>
      <c r="E2350" s="1012">
        <f>VLOOKUP($B2350,DG!A:D,DG!$B$2,)</f>
        <v>0</v>
      </c>
      <c r="F2350" s="1041" t="str">
        <f>VLOOKUP($B2350,DG!A:D,DG!$C$2,)</f>
        <v>Dây điện đôi 16/10</v>
      </c>
      <c r="G2350" s="1068" t="str">
        <f>VLOOKUP($B2350,DG!A:D,DG!$D$2,)</f>
        <v>mét</v>
      </c>
      <c r="H2350" s="1713">
        <f>2*H2345</f>
        <v>0</v>
      </c>
      <c r="I2350" s="1192">
        <f t="shared" si="95"/>
        <v>0</v>
      </c>
      <c r="J2350" s="1064"/>
      <c r="K2350" s="1064"/>
      <c r="L2350" s="1043"/>
      <c r="M2350" s="934">
        <v>630</v>
      </c>
    </row>
    <row r="2351" spans="1:13" s="1016" customFormat="1" ht="25.2" hidden="1" customHeight="1">
      <c r="A2351" s="1086">
        <f t="shared" si="96"/>
        <v>0</v>
      </c>
      <c r="B2351" s="1226" t="s">
        <v>1114</v>
      </c>
      <c r="C2351" s="2841"/>
      <c r="D2351" s="1023"/>
      <c r="E2351" s="1012">
        <f>VLOOKUP($B2351,DG!A:D,DG!$B$2,)</f>
        <v>0</v>
      </c>
      <c r="F2351" s="1041" t="str">
        <f>VLOOKUP($B2351,DG!A:D,DG!$C$2,)&amp;" (ñaáu TU )"</f>
        <v>Kẹp ép cỡ dây 25mm2 (ñaáu TU )</v>
      </c>
      <c r="G2351" s="1068" t="str">
        <f>VLOOKUP($B2351,DG!A:D,DG!$D$2,)</f>
        <v>cái</v>
      </c>
      <c r="H2351" s="1713">
        <f>+H2345*3</f>
        <v>0</v>
      </c>
      <c r="I2351" s="1192">
        <f t="shared" si="95"/>
        <v>0</v>
      </c>
      <c r="J2351" s="1064"/>
      <c r="K2351" s="1064"/>
      <c r="L2351" s="1043"/>
      <c r="M2351" s="934">
        <v>630</v>
      </c>
    </row>
    <row r="2352" spans="1:13" s="1016" customFormat="1" ht="25.2" hidden="1" customHeight="1">
      <c r="A2352" s="1086">
        <f t="shared" si="96"/>
        <v>0</v>
      </c>
      <c r="B2352" s="1226" t="s">
        <v>2141</v>
      </c>
      <c r="C2352" s="2841"/>
      <c r="D2352" s="1023"/>
      <c r="E2352" s="1012" t="str">
        <f>VLOOKUP($B2352,DG!A:D,DG!$B$2,)</f>
        <v>07.2403</v>
      </c>
      <c r="F2352" s="1041" t="str">
        <f>VLOOKUP($B2352,DG!A:D,DG!$C$2,)</f>
        <v>Ống PVC D42x2,1mm</v>
      </c>
      <c r="G2352" s="1068" t="str">
        <f>VLOOKUP($B2352,DG!A:D,DG!$D$2,)</f>
        <v>m</v>
      </c>
      <c r="H2352" s="1713">
        <f>H2345*16</f>
        <v>0</v>
      </c>
      <c r="I2352" s="1192">
        <f t="shared" si="95"/>
        <v>0</v>
      </c>
      <c r="J2352" s="1064"/>
      <c r="K2352" s="1064"/>
      <c r="L2352" s="1043"/>
      <c r="M2352" s="934">
        <v>630</v>
      </c>
    </row>
    <row r="2353" spans="1:13" s="1016" customFormat="1" ht="25.2" hidden="1" customHeight="1">
      <c r="A2353" s="1086">
        <f t="shared" si="96"/>
        <v>0</v>
      </c>
      <c r="B2353" s="1087" t="s">
        <v>204</v>
      </c>
      <c r="C2353" s="2842"/>
      <c r="D2353" s="1023"/>
      <c r="E2353" s="1012" t="str">
        <f>VLOOKUP($B2353,DG!A:D,DG!$B$2,)</f>
        <v>06.3231</v>
      </c>
      <c r="F2353" s="1041" t="str">
        <f>VLOOKUP($B2353,DG!A:D,DG!$C$2,)</f>
        <v>Cổ dê giữ ống PVC D42</v>
      </c>
      <c r="G2353" s="1068" t="str">
        <f>VLOOKUP($B2353,DG!A:D,DG!$D$2,)</f>
        <v>bộ</v>
      </c>
      <c r="H2353" s="1713">
        <f>H2345*4</f>
        <v>0</v>
      </c>
      <c r="I2353" s="1192">
        <f t="shared" si="95"/>
        <v>0</v>
      </c>
      <c r="J2353" s="1064"/>
      <c r="K2353" s="1064"/>
      <c r="L2353" s="1043"/>
      <c r="M2353" s="934">
        <v>630</v>
      </c>
    </row>
    <row r="2354" spans="1:13" s="1016" customFormat="1" ht="25.2" hidden="1" customHeight="1">
      <c r="A2354" s="1086">
        <f t="shared" si="96"/>
        <v>0</v>
      </c>
      <c r="B2354" s="1226" t="s">
        <v>1616</v>
      </c>
      <c r="C2354" s="2841"/>
      <c r="D2354" s="1023"/>
      <c r="E2354" s="1012">
        <f>VLOOKUP($B2354,DG!A:D,DG!$B$2,)</f>
        <v>0</v>
      </c>
      <c r="F2354" s="1041" t="str">
        <f>VLOOKUP($B2354,DG!A:D,DG!$C$2,)</f>
        <v>Co 90 độ PVC 42</v>
      </c>
      <c r="G2354" s="1068" t="str">
        <f>VLOOKUP($B2354,DG!A:D,DG!$D$2,)</f>
        <v>cái</v>
      </c>
      <c r="H2354" s="1713">
        <f>H2345*5</f>
        <v>0</v>
      </c>
      <c r="I2354" s="1192">
        <f t="shared" si="95"/>
        <v>0</v>
      </c>
      <c r="J2354" s="1064"/>
      <c r="K2354" s="1064"/>
      <c r="L2354" s="1043"/>
      <c r="M2354" s="934">
        <v>630</v>
      </c>
    </row>
    <row r="2355" spans="1:13" s="1016" customFormat="1" ht="25.2" hidden="1" customHeight="1">
      <c r="A2355" s="1086">
        <f t="shared" si="96"/>
        <v>0</v>
      </c>
      <c r="B2355" s="1226" t="s">
        <v>1050</v>
      </c>
      <c r="C2355" s="2841"/>
      <c r="D2355" s="1023"/>
      <c r="E2355" s="1012">
        <f>VLOOKUP($B2355,DG!A:D,DG!$B$2,)</f>
        <v>0</v>
      </c>
      <c r="F2355" s="1041" t="str">
        <f>VLOOKUP($B2355,DG!A:D,DG!$C$2,)</f>
        <v>Co chữ T ống PVC 42</v>
      </c>
      <c r="G2355" s="1068" t="str">
        <f>VLOOKUP($B2355,DG!A:D,DG!$D$2,)</f>
        <v>cái</v>
      </c>
      <c r="H2355" s="1713">
        <f>H2345*5</f>
        <v>0</v>
      </c>
      <c r="I2355" s="1192">
        <f t="shared" si="95"/>
        <v>0</v>
      </c>
      <c r="J2355" s="1064"/>
      <c r="K2355" s="1064"/>
      <c r="L2355" s="1043"/>
      <c r="M2355" s="934">
        <v>630</v>
      </c>
    </row>
    <row r="2356" spans="1:13" s="1016" customFormat="1" ht="25.2" hidden="1" customHeight="1">
      <c r="A2356" s="1086">
        <f t="shared" si="96"/>
        <v>0</v>
      </c>
      <c r="B2356" s="1226" t="s">
        <v>1913</v>
      </c>
      <c r="C2356" s="2841"/>
      <c r="D2356" s="1023"/>
      <c r="E2356" s="1012">
        <f>VLOOKUP($B2356,DG!A:D,DG!$B$2,)</f>
        <v>0</v>
      </c>
      <c r="F2356" s="1041" t="str">
        <f>VLOOKUP($B2356,DG!A:D,DG!$C$2,)</f>
        <v>Nối thẳng ống PVC 42</v>
      </c>
      <c r="G2356" s="1068" t="str">
        <f>VLOOKUP($B2356,DG!A:D,DG!$D$2,)</f>
        <v>cái</v>
      </c>
      <c r="H2356" s="1713">
        <f>H2345</f>
        <v>0</v>
      </c>
      <c r="I2356" s="1192">
        <f t="shared" si="95"/>
        <v>0</v>
      </c>
      <c r="J2356" s="1064"/>
      <c r="K2356" s="1064"/>
      <c r="L2356" s="1043"/>
      <c r="M2356" s="934">
        <v>630</v>
      </c>
    </row>
    <row r="2357" spans="1:13" s="1016" customFormat="1" ht="25.2" hidden="1" customHeight="1">
      <c r="A2357" s="1086">
        <f t="shared" si="96"/>
        <v>0</v>
      </c>
      <c r="B2357" s="1226" t="s">
        <v>697</v>
      </c>
      <c r="C2357" s="2841"/>
      <c r="D2357" s="1023"/>
      <c r="E2357" s="1012">
        <f>VLOOKUP($B2357,DG!A:D,DG!$B$2,)</f>
        <v>0</v>
      </c>
      <c r="F2357" s="1041" t="str">
        <f>VLOOKUP($B2357,DG!A:D,DG!$C$2,)&amp;" ñaáu TU"</f>
        <v>Cáp 24KV C/XLPE/PVC 25mm2 ñaáu TU</v>
      </c>
      <c r="G2357" s="1068" t="str">
        <f>VLOOKUP($B2357,DG!A:D,DG!$D$2,)</f>
        <v>mét</v>
      </c>
      <c r="H2357" s="1713">
        <f>H2345*2.5*3*0</f>
        <v>0</v>
      </c>
      <c r="I2357" s="1192">
        <f t="shared" si="95"/>
        <v>0</v>
      </c>
      <c r="J2357" s="1064"/>
      <c r="K2357" s="1064"/>
      <c r="L2357" s="1043"/>
      <c r="M2357" s="934">
        <v>630</v>
      </c>
    </row>
    <row r="2358" spans="1:13" s="1016" customFormat="1" ht="25.2" hidden="1" customHeight="1">
      <c r="A2358" s="1086">
        <f t="shared" si="96"/>
        <v>0</v>
      </c>
      <c r="B2358" s="1226" t="s">
        <v>726</v>
      </c>
      <c r="C2358" s="2841"/>
      <c r="D2358" s="1023"/>
      <c r="E2358" s="1012">
        <f>VLOOKUP($B2358,DG!A:D,DG!$B$2,)</f>
        <v>0</v>
      </c>
      <c r="F2358" s="1041" t="str">
        <f>VLOOKUP($B2358,DG!A:D,DG!$C$2,)</f>
        <v>Keo dán ống PVC (500gr)</v>
      </c>
      <c r="G2358" s="1068" t="str">
        <f>VLOOKUP($B2358,DG!A:D,DG!$D$2,)</f>
        <v>lon</v>
      </c>
      <c r="H2358" s="1713">
        <f>H2345</f>
        <v>0</v>
      </c>
      <c r="I2358" s="1192">
        <f t="shared" si="95"/>
        <v>0</v>
      </c>
      <c r="J2358" s="1064"/>
      <c r="K2358" s="1064"/>
      <c r="L2358" s="1043"/>
      <c r="M2358" s="934">
        <v>630</v>
      </c>
    </row>
    <row r="2359" spans="1:13" s="1016" customFormat="1" ht="25.2" hidden="1" customHeight="1">
      <c r="A2359" s="1086">
        <f t="shared" si="96"/>
        <v>0</v>
      </c>
      <c r="B2359" s="1087" t="s">
        <v>672</v>
      </c>
      <c r="C2359" s="2842"/>
      <c r="D2359" s="1023"/>
      <c r="E2359" s="1012">
        <f>VLOOKUP($B2359,DG!A:D,DG!$B$2,)</f>
        <v>0</v>
      </c>
      <c r="F2359" s="1041" t="str">
        <f>VLOOKUP($B2359,DG!A:D,DG!$C$2,)</f>
        <v>Băng keo cách điện</v>
      </c>
      <c r="G2359" s="1068" t="str">
        <f>VLOOKUP($B2359,DG!A:D,DG!$D$2,)</f>
        <v>cuộn</v>
      </c>
      <c r="H2359" s="1713">
        <f>H2345</f>
        <v>0</v>
      </c>
      <c r="I2359" s="1192">
        <f t="shared" si="95"/>
        <v>0</v>
      </c>
      <c r="J2359" s="1014"/>
      <c r="K2359" s="1014"/>
      <c r="L2359" s="1043"/>
      <c r="M2359" s="934">
        <v>630</v>
      </c>
    </row>
    <row r="2360" spans="1:13" s="1016" customFormat="1" ht="25.2" hidden="1" customHeight="1">
      <c r="A2360" s="1086">
        <f t="shared" si="96"/>
        <v>0</v>
      </c>
      <c r="B2360" s="1226" t="s">
        <v>2120</v>
      </c>
      <c r="C2360" s="2841"/>
      <c r="D2360" s="1023"/>
      <c r="E2360" s="1012">
        <f>VLOOKUP($B2360,DG!A:D,DG!$B$2,)</f>
        <v>0</v>
      </c>
      <c r="F2360" s="1041" t="str">
        <f>VLOOKUP($B2360,DG!A:D,DG!$C$2,)</f>
        <v>Khâu ven răng trong D42</v>
      </c>
      <c r="G2360" s="1068" t="str">
        <f>VLOOKUP($B2360,DG!A:D,DG!$D$2,)</f>
        <v>cái</v>
      </c>
      <c r="H2360" s="1713">
        <f>H2345</f>
        <v>0</v>
      </c>
      <c r="I2360" s="1192">
        <f t="shared" si="95"/>
        <v>0</v>
      </c>
      <c r="J2360" s="1014"/>
      <c r="K2360" s="1014"/>
      <c r="L2360" s="1043"/>
      <c r="M2360" s="934">
        <v>630</v>
      </c>
    </row>
    <row r="2361" spans="1:13" s="1016" customFormat="1" ht="25.2" hidden="1" customHeight="1">
      <c r="A2361" s="1086">
        <f t="shared" si="96"/>
        <v>0</v>
      </c>
      <c r="B2361" s="1087" t="s">
        <v>959</v>
      </c>
      <c r="C2361" s="2842"/>
      <c r="D2361" s="1023"/>
      <c r="E2361" s="1012">
        <f>VLOOKUP($B2361,DG!A:D,DG!$B$2,)</f>
        <v>0</v>
      </c>
      <c r="F2361" s="1041" t="str">
        <f>VLOOKUP($B2361,DG!A:D,DG!$C$2,)</f>
        <v>Khâu ven răng ngoài D42</v>
      </c>
      <c r="G2361" s="1068" t="str">
        <f>VLOOKUP($B2361,DG!A:D,DG!$D$2,)</f>
        <v>cái</v>
      </c>
      <c r="H2361" s="1713">
        <f>H2345</f>
        <v>0</v>
      </c>
      <c r="I2361" s="1192">
        <f t="shared" si="95"/>
        <v>0</v>
      </c>
      <c r="J2361" s="1014"/>
      <c r="K2361" s="1014"/>
      <c r="L2361" s="1043"/>
      <c r="M2361" s="934">
        <v>630</v>
      </c>
    </row>
    <row r="2362" spans="1:13" s="1016" customFormat="1" ht="25.2" hidden="1" customHeight="1">
      <c r="A2362" s="1086">
        <f t="shared" si="96"/>
        <v>0</v>
      </c>
      <c r="B2362" s="1087" t="s">
        <v>319</v>
      </c>
      <c r="C2362" s="2842"/>
      <c r="D2362" s="1023"/>
      <c r="E2362" s="1012" t="str">
        <f>VLOOKUP($B2362,DG!A:D,DG!$B$2,)</f>
        <v>06.3231</v>
      </c>
      <c r="F2362" s="1041" t="str">
        <f>VLOOKUP($B2362,DG!A:D,DG!$C$2,)</f>
        <v>Cổ dê CDĐKĐT( bắt thùng điện kế)</v>
      </c>
      <c r="G2362" s="1068" t="str">
        <f>VLOOKUP($B2362,DG!A:D,DG!$D$2,)</f>
        <v>bộ</v>
      </c>
      <c r="H2362" s="1744">
        <f>H2345*2*0</f>
        <v>0</v>
      </c>
      <c r="I2362" s="1192">
        <f t="shared" si="95"/>
        <v>0</v>
      </c>
      <c r="J2362" s="1014"/>
      <c r="K2362" s="1014"/>
      <c r="L2362" s="1015"/>
      <c r="M2362" s="934">
        <v>630</v>
      </c>
    </row>
    <row r="2363" spans="1:13" s="1016" customFormat="1" ht="25.2" hidden="1" customHeight="1">
      <c r="A2363" s="1086">
        <f t="shared" si="96"/>
        <v>0</v>
      </c>
      <c r="B2363" s="1087" t="s">
        <v>1915</v>
      </c>
      <c r="C2363" s="2842"/>
      <c r="D2363" s="1023"/>
      <c r="E2363" s="1012" t="str">
        <f>VLOOKUP($B2363,DG!A:D,DG!$B$2,)</f>
        <v>05.1101</v>
      </c>
      <c r="F2363" s="1041" t="str">
        <f>VLOOKUP($B2363,DG!A:D,DG!$C$2,)</f>
        <v>Thùng điện kế 450x300x200mm đo đếm trung thế</v>
      </c>
      <c r="G2363" s="1068" t="str">
        <f>VLOOKUP($B2363,DG!A:D,DG!$D$2,)</f>
        <v>cái</v>
      </c>
      <c r="H2363" s="1713">
        <f>H2345*0</f>
        <v>0</v>
      </c>
      <c r="I2363" s="1192">
        <f t="shared" si="95"/>
        <v>0</v>
      </c>
      <c r="J2363" s="1014"/>
      <c r="K2363" s="1014"/>
      <c r="L2363" s="1043"/>
      <c r="M2363" s="934">
        <v>630</v>
      </c>
    </row>
    <row r="2364" spans="1:13" s="1016" customFormat="1" ht="25.2" hidden="1" customHeight="1">
      <c r="A2364" s="1086">
        <f t="shared" si="96"/>
        <v>0</v>
      </c>
      <c r="B2364" s="1087" t="s">
        <v>6</v>
      </c>
      <c r="C2364" s="2842"/>
      <c r="D2364" s="1023"/>
      <c r="E2364" s="1012">
        <f>VLOOKUP($B2364,DG!A:D,DG!$B$2,)</f>
        <v>0</v>
      </c>
      <c r="F2364" s="1041" t="str">
        <f>VLOOKUP($B2364,DG!A:D,DG!$C$2,)</f>
        <v>Keo silicon bít miệng ống</v>
      </c>
      <c r="G2364" s="1068" t="str">
        <f>VLOOKUP($B2364,DG!A:D,DG!$D$2,)</f>
        <v>ống</v>
      </c>
      <c r="H2364" s="1713">
        <f>H2345</f>
        <v>0</v>
      </c>
      <c r="I2364" s="1192">
        <f t="shared" si="95"/>
        <v>0</v>
      </c>
      <c r="J2364" s="1014"/>
      <c r="K2364" s="1014"/>
      <c r="L2364" s="1043"/>
      <c r="M2364" s="934">
        <v>630</v>
      </c>
    </row>
    <row r="2365" spans="1:13" s="1016" customFormat="1" ht="25.2" hidden="1" customHeight="1">
      <c r="A2365" s="1086">
        <f t="shared" si="96"/>
        <v>0</v>
      </c>
      <c r="B2365" s="1087" t="s">
        <v>2139</v>
      </c>
      <c r="C2365" s="2842"/>
      <c r="D2365" s="1023"/>
      <c r="E2365" s="1012">
        <f>VLOOKUP($B2365,DG!A:D,DG!$B$2,)</f>
        <v>0</v>
      </c>
      <c r="F2365" s="1041" t="str">
        <f>VLOOKUP($B2365,DG!A:D,DG!$C$2,)</f>
        <v>Dây đồng trần mềm dẹt</v>
      </c>
      <c r="G2365" s="1068" t="str">
        <f>VLOOKUP($B2365,DG!A:D,DG!$D$2,)</f>
        <v>mét</v>
      </c>
      <c r="H2365" s="1713">
        <f>H2345*4</f>
        <v>0</v>
      </c>
      <c r="I2365" s="1192">
        <f t="shared" si="95"/>
        <v>0</v>
      </c>
      <c r="J2365" s="1014"/>
      <c r="K2365" s="1014"/>
      <c r="L2365" s="1043"/>
      <c r="M2365" s="934">
        <v>630</v>
      </c>
    </row>
    <row r="2366" spans="1:13" s="1016" customFormat="1" ht="25.2" hidden="1" customHeight="1">
      <c r="A2366" s="1086">
        <f t="shared" si="96"/>
        <v>0</v>
      </c>
      <c r="B2366" s="1087" t="s">
        <v>1219</v>
      </c>
      <c r="C2366" s="2842"/>
      <c r="D2366" s="1023"/>
      <c r="E2366" s="1012" t="str">
        <f>VLOOKUP($B2366,DG!A:D,DG!$B$2,)</f>
        <v>06.3191</v>
      </c>
      <c r="F2366" s="1041" t="str">
        <f>VLOOKUP($B2366,DG!A:D,DG!$C$2,)</f>
        <v>Bảng tên trạm, bảng báo nguy hiểm + đinh vít</v>
      </c>
      <c r="G2366" s="1068" t="str">
        <f>VLOOKUP($B2366,DG!A:D,DG!$D$2,)</f>
        <v>bộ</v>
      </c>
      <c r="H2366" s="1713">
        <f>H2345</f>
        <v>0</v>
      </c>
      <c r="I2366" s="1192">
        <f t="shared" ref="I2366:I2431" si="97">IF(M2366=$M$23,H2366+J2366-K2366,0)</f>
        <v>0</v>
      </c>
      <c r="J2366" s="1014"/>
      <c r="K2366" s="1014"/>
      <c r="L2366" s="1043"/>
      <c r="M2366" s="934">
        <v>630</v>
      </c>
    </row>
    <row r="2367" spans="1:13" s="1016" customFormat="1" ht="25.2" hidden="1" customHeight="1">
      <c r="A2367" s="1086">
        <f t="shared" si="96"/>
        <v>0</v>
      </c>
      <c r="B2367" s="1087" t="s">
        <v>1350</v>
      </c>
      <c r="C2367" s="2842"/>
      <c r="D2367" s="1023"/>
      <c r="E2367" s="1012">
        <f>VLOOKUP($B2367,DG!A:D,DG!$B$2,)</f>
        <v>0</v>
      </c>
      <c r="F2367" s="1041" t="str">
        <f>VLOOKUP($B2367,DG!A:D,DG!$C$2,)&amp;" baét thuøng ÑKÑT"</f>
        <v>Boulon 12x60+ 2 long đền vuông D14-50x50x3/Zn baét thuøng ÑKÑT</v>
      </c>
      <c r="G2367" s="1068" t="str">
        <f>VLOOKUP($B2367,DG!A:D,DG!$D$2,)</f>
        <v>bộ</v>
      </c>
      <c r="H2367" s="1713">
        <f>4*H2345*0</f>
        <v>0</v>
      </c>
      <c r="I2367" s="1192">
        <f t="shared" si="97"/>
        <v>0</v>
      </c>
      <c r="J2367" s="1014"/>
      <c r="K2367" s="1014"/>
      <c r="L2367" s="1043"/>
      <c r="M2367" s="934">
        <v>630</v>
      </c>
    </row>
    <row r="2368" spans="1:13" s="1016" customFormat="1" ht="25.2" hidden="1" customHeight="1">
      <c r="A2368" s="1086">
        <f t="shared" si="96"/>
        <v>0</v>
      </c>
      <c r="B2368" s="1087"/>
      <c r="C2368" s="2842"/>
      <c r="D2368" s="1048"/>
      <c r="E2368" s="1049"/>
      <c r="F2368" s="1038" t="s">
        <v>3730</v>
      </c>
      <c r="G2368" s="1038"/>
      <c r="H2368" s="1730"/>
      <c r="I2368" s="1192">
        <f t="shared" si="97"/>
        <v>0</v>
      </c>
      <c r="J2368" s="1038"/>
      <c r="K2368" s="1038"/>
      <c r="L2368" s="1069"/>
      <c r="M2368" s="934">
        <v>630</v>
      </c>
    </row>
    <row r="2369" spans="1:13" s="1016" customFormat="1" ht="25.2" hidden="1" customHeight="1">
      <c r="A2369" s="1086">
        <f t="shared" si="96"/>
        <v>0</v>
      </c>
      <c r="B2369" s="1087" t="s">
        <v>966</v>
      </c>
      <c r="C2369" s="2842"/>
      <c r="D2369" s="1023"/>
      <c r="E2369" s="1012" t="str">
        <f>VLOOKUP($B2369,DG!A:D,DG!$B$2,)</f>
        <v>02.5114</v>
      </c>
      <c r="F2369" s="1041" t="s">
        <v>3731</v>
      </c>
      <c r="G2369" s="1068" t="str">
        <f>VLOOKUP($B2369,DG!A:D,DG!$D$2,)</f>
        <v>cái</v>
      </c>
      <c r="H2369" s="1713"/>
      <c r="I2369" s="1192">
        <f t="shared" si="97"/>
        <v>0</v>
      </c>
      <c r="J2369" s="1014"/>
      <c r="K2369" s="1014"/>
      <c r="L2369" s="1043" t="s">
        <v>3732</v>
      </c>
      <c r="M2369" s="934">
        <v>630</v>
      </c>
    </row>
    <row r="2370" spans="1:13" s="1016" customFormat="1" ht="25.2" hidden="1" customHeight="1">
      <c r="A2370" s="1086">
        <f t="shared" si="96"/>
        <v>0</v>
      </c>
      <c r="B2370" s="1087" t="s">
        <v>1906</v>
      </c>
      <c r="C2370" s="2842"/>
      <c r="D2370" s="1023"/>
      <c r="E2370" s="1012" t="str">
        <f>VLOOKUP($B2370,DG!A:D,DG!$B$2,)</f>
        <v>05.6011</v>
      </c>
      <c r="F2370" s="1041" t="s">
        <v>2461</v>
      </c>
      <c r="G2370" s="1068" t="str">
        <f>VLOOKUP($B2370,DG!A:D,DG!$D$2,)</f>
        <v>bộ</v>
      </c>
      <c r="H2370" s="1713"/>
      <c r="I2370" s="1192">
        <f t="shared" si="97"/>
        <v>0</v>
      </c>
      <c r="J2370" s="1014"/>
      <c r="K2370" s="1014"/>
      <c r="L2370" s="1015"/>
      <c r="M2370" s="934">
        <v>630</v>
      </c>
    </row>
    <row r="2371" spans="1:13" s="1016" customFormat="1" ht="25.2" hidden="1" customHeight="1">
      <c r="A2371" s="1086">
        <f t="shared" si="96"/>
        <v>0</v>
      </c>
      <c r="B2371" s="1087"/>
      <c r="C2371" s="2842"/>
      <c r="D2371" s="1070"/>
      <c r="E2371" s="1071"/>
      <c r="F2371" s="1038"/>
      <c r="G2371" s="1072"/>
      <c r="H2371" s="1733"/>
      <c r="I2371" s="1192">
        <f t="shared" si="97"/>
        <v>0</v>
      </c>
      <c r="J2371" s="1073"/>
      <c r="K2371" s="1074"/>
      <c r="L2371" s="1040"/>
      <c r="M2371" s="934"/>
    </row>
    <row r="2372" spans="1:13" s="1016" customFormat="1" ht="25.2" hidden="1" customHeight="1">
      <c r="A2372" s="1086">
        <f t="shared" si="96"/>
        <v>0</v>
      </c>
      <c r="B2372" s="1087"/>
      <c r="C2372" s="2842"/>
      <c r="D2372" s="1075"/>
      <c r="F2372" s="1076"/>
      <c r="H2372" s="1735"/>
      <c r="I2372" s="1192">
        <f t="shared" si="97"/>
        <v>0</v>
      </c>
      <c r="M2372" s="934"/>
    </row>
    <row r="2373" spans="1:13" s="1016" customFormat="1" ht="25.2" hidden="1" customHeight="1">
      <c r="A2373" s="1086">
        <f t="shared" si="96"/>
        <v>0</v>
      </c>
      <c r="B2373" s="1250"/>
      <c r="C2373" s="2854"/>
      <c r="D2373" s="939" t="e">
        <f>"BAÛNG TOÅNG HÔÏP VAÄT LIEÄU, NHAÂN COÂNG, MAÙY THI COÂNG : "&amp;#REF!&amp;" TRAÏM 3P_1000KVA"</f>
        <v>#REF!</v>
      </c>
      <c r="E2373" s="939"/>
      <c r="F2373" s="939"/>
      <c r="G2373" s="939"/>
      <c r="H2373" s="1727"/>
      <c r="I2373" s="1192">
        <f t="shared" si="97"/>
        <v>0</v>
      </c>
      <c r="J2373" s="1077"/>
      <c r="K2373" s="1077"/>
      <c r="L2373" s="1078"/>
      <c r="M2373" s="934"/>
    </row>
    <row r="2374" spans="1:13" s="1016" customFormat="1" ht="25.2" hidden="1" customHeight="1">
      <c r="A2374" s="1086">
        <f t="shared" si="96"/>
        <v>0</v>
      </c>
      <c r="B2374" s="1221"/>
      <c r="C2374" s="2838"/>
      <c r="D2374" s="2884"/>
      <c r="E2374" s="2885"/>
      <c r="F2374" s="2667" t="s">
        <v>3672</v>
      </c>
      <c r="G2374" s="2886"/>
      <c r="H2374" s="2887"/>
      <c r="I2374" s="1752">
        <f t="shared" si="97"/>
        <v>0</v>
      </c>
      <c r="J2374" s="2886"/>
      <c r="K2374" s="2886"/>
      <c r="L2374" s="1136"/>
      <c r="M2374" s="934">
        <v>1000</v>
      </c>
    </row>
    <row r="2375" spans="1:13" s="1016" customFormat="1" ht="25.2" customHeight="1">
      <c r="A2375" s="1086">
        <f t="shared" si="96"/>
        <v>1</v>
      </c>
      <c r="B2375" s="2825" t="s">
        <v>4506</v>
      </c>
      <c r="C2375" s="2867">
        <v>1</v>
      </c>
      <c r="D2375" s="2798">
        <f>IF(H2375&gt;0,1,0)</f>
        <v>1</v>
      </c>
      <c r="E2375" s="2809" t="str">
        <f>VLOOKUP($B2375,DG!A:D,DG!$B$2,)</f>
        <v>01.1147</v>
      </c>
      <c r="F2375" s="2931" t="str">
        <f>VLOOKUP($B2375,DG!A:D,DG!$C$2,)</f>
        <v>Máy biến áp 22/0,4kV- 1000kVA</v>
      </c>
      <c r="G2375" s="2809" t="str">
        <f>VLOOKUP($B2375,DG!A:D,DG!$D$2,)</f>
        <v>máy</v>
      </c>
      <c r="H2375" s="2932">
        <f>C2375</f>
        <v>1</v>
      </c>
      <c r="I2375" s="2932">
        <f>D2375</f>
        <v>1</v>
      </c>
      <c r="J2375" s="2800"/>
      <c r="K2375" s="2800"/>
      <c r="L2375" s="2797"/>
      <c r="M2375" s="934">
        <v>1000</v>
      </c>
    </row>
    <row r="2376" spans="1:13" s="1016" customFormat="1" ht="25.2" hidden="1" customHeight="1">
      <c r="A2376" s="1086">
        <f t="shared" si="96"/>
        <v>0</v>
      </c>
      <c r="B2376" s="2825" t="s">
        <v>393</v>
      </c>
      <c r="C2376" s="2867"/>
      <c r="D2376" s="2890">
        <f t="shared" ref="D2376:D2383" si="98">IF(H2376&gt;0,D2375+1,D2375)</f>
        <v>1</v>
      </c>
      <c r="E2376" s="1875" t="str">
        <f>VLOOKUP($B2376,DG!A:D,DG!$B$2,)</f>
        <v>02.3302</v>
      </c>
      <c r="F2376" s="1874" t="str">
        <f>VLOOKUP($B2376,DG!A:D,DG!$C$2,)</f>
        <v xml:space="preserve">DS 3P - 24KV - 630A </v>
      </c>
      <c r="G2376" s="1875" t="str">
        <f>VLOOKUP($B2376,DG!A:D,DG!$D$2,)</f>
        <v>bộ</v>
      </c>
      <c r="H2376" s="1720">
        <f>$C2376*H$2375</f>
        <v>0</v>
      </c>
      <c r="I2376" s="1720">
        <f t="shared" ref="I2376:K2387" si="99">$C2376*I$2375</f>
        <v>0</v>
      </c>
      <c r="J2376" s="1720">
        <f t="shared" si="99"/>
        <v>0</v>
      </c>
      <c r="K2376" s="1720">
        <f t="shared" si="99"/>
        <v>0</v>
      </c>
      <c r="L2376" s="1129"/>
      <c r="M2376" s="934">
        <v>1000</v>
      </c>
    </row>
    <row r="2377" spans="1:13" s="1016" customFormat="1" ht="25.2" hidden="1" customHeight="1">
      <c r="A2377" s="1086">
        <f t="shared" si="96"/>
        <v>0</v>
      </c>
      <c r="B2377" s="1221" t="s">
        <v>1</v>
      </c>
      <c r="C2377" s="2838"/>
      <c r="D2377" s="1028">
        <f t="shared" si="98"/>
        <v>1</v>
      </c>
      <c r="E2377" s="1029" t="str">
        <f>VLOOKUP($B2377,DG!A:D,DG!$B$2,)</f>
        <v>05.2102</v>
      </c>
      <c r="F2377" s="1030" t="str">
        <f>VLOOKUP($B2377,DG!A:D,DG!$C$2,)</f>
        <v>Tủ LBS 3 pha 630-800A</v>
      </c>
      <c r="G2377" s="1029" t="str">
        <f>VLOOKUP($B2377,DG!A:D,DG!$D$2,)</f>
        <v>tủ</v>
      </c>
      <c r="H2377" s="1724">
        <f t="shared" ref="H2377:H2387" si="100">$C2377*H$2375</f>
        <v>0</v>
      </c>
      <c r="I2377" s="1724">
        <f t="shared" si="99"/>
        <v>0</v>
      </c>
      <c r="J2377" s="1724">
        <f t="shared" si="99"/>
        <v>0</v>
      </c>
      <c r="K2377" s="1724">
        <f t="shared" si="99"/>
        <v>0</v>
      </c>
      <c r="L2377" s="1105" t="s">
        <v>3750</v>
      </c>
      <c r="M2377" s="934">
        <v>1000</v>
      </c>
    </row>
    <row r="2378" spans="1:13" s="1016" customFormat="1" ht="25.2" customHeight="1">
      <c r="A2378" s="1086">
        <f t="shared" si="96"/>
        <v>1</v>
      </c>
      <c r="B2378" s="2825" t="s">
        <v>1652</v>
      </c>
      <c r="C2378" s="2867">
        <v>3</v>
      </c>
      <c r="D2378" s="2798">
        <f t="shared" si="98"/>
        <v>2</v>
      </c>
      <c r="E2378" s="2809" t="str">
        <f>VLOOKUP($B2378,DG!A:D,DG!$B$2,)</f>
        <v>02.3155</v>
      </c>
      <c r="F2378" s="2931" t="str">
        <f>VLOOKUP($B2378,DG!A:D,DG!$C$2,)</f>
        <v>FCO 24kV - 100A</v>
      </c>
      <c r="G2378" s="2809" t="str">
        <f>VLOOKUP($B2378,DG!A:D,DG!$D$2,)</f>
        <v>cái</v>
      </c>
      <c r="H2378" s="2810">
        <f t="shared" si="100"/>
        <v>3</v>
      </c>
      <c r="I2378" s="2810">
        <f t="shared" si="99"/>
        <v>3</v>
      </c>
      <c r="J2378" s="2810">
        <f t="shared" si="99"/>
        <v>0</v>
      </c>
      <c r="K2378" s="2810">
        <f t="shared" si="99"/>
        <v>0</v>
      </c>
      <c r="L2378" s="2797"/>
      <c r="M2378" s="934">
        <v>1000</v>
      </c>
    </row>
    <row r="2379" spans="1:13" s="1016" customFormat="1" ht="25.2" customHeight="1">
      <c r="A2379" s="1086">
        <f t="shared" si="96"/>
        <v>1</v>
      </c>
      <c r="B2379" s="2825" t="s">
        <v>2068</v>
      </c>
      <c r="C2379" s="2867">
        <v>3</v>
      </c>
      <c r="D2379" s="2798">
        <f t="shared" si="98"/>
        <v>3</v>
      </c>
      <c r="E2379" s="2809">
        <f>VLOOKUP($B2379,DG!A:D,DG!$B$2,)</f>
        <v>0</v>
      </c>
      <c r="F2379" s="2931" t="str">
        <f>VLOOKUP($B2379,DG!A:D,DG!$C$2,)</f>
        <v>Dây chảy 40K</v>
      </c>
      <c r="G2379" s="2809" t="str">
        <f>VLOOKUP($B2379,DG!A:D,DG!$D$2,)</f>
        <v>Sợi</v>
      </c>
      <c r="H2379" s="2810">
        <f t="shared" si="100"/>
        <v>3</v>
      </c>
      <c r="I2379" s="2810">
        <f t="shared" si="99"/>
        <v>3</v>
      </c>
      <c r="J2379" s="2810">
        <f t="shared" si="99"/>
        <v>0</v>
      </c>
      <c r="K2379" s="2810">
        <f t="shared" si="99"/>
        <v>0</v>
      </c>
      <c r="L2379" s="2797"/>
      <c r="M2379" s="934">
        <v>1000</v>
      </c>
    </row>
    <row r="2380" spans="1:13" s="1016" customFormat="1" ht="25.2" customHeight="1">
      <c r="A2380" s="1086">
        <f t="shared" si="96"/>
        <v>1</v>
      </c>
      <c r="B2380" s="1221" t="s">
        <v>1373</v>
      </c>
      <c r="C2380" s="2838">
        <v>6</v>
      </c>
      <c r="D2380" s="2798">
        <f t="shared" si="98"/>
        <v>4</v>
      </c>
      <c r="E2380" s="2809" t="str">
        <f>VLOOKUP($B2380,DG!A:D,DG!$B$2,)</f>
        <v>02.5114</v>
      </c>
      <c r="F2380" s="2931" t="str">
        <f>VLOOKUP($B2380,DG!A:D,DG!$C$2,)</f>
        <v>Chống sét van LA-18KV-10KA</v>
      </c>
      <c r="G2380" s="2809" t="str">
        <f>VLOOKUP($B2380,DG!A:D,DG!$D$2,)</f>
        <v>cái</v>
      </c>
      <c r="H2380" s="2810">
        <f t="shared" si="100"/>
        <v>6</v>
      </c>
      <c r="I2380" s="2810">
        <f t="shared" si="99"/>
        <v>6</v>
      </c>
      <c r="J2380" s="2810">
        <f t="shared" si="99"/>
        <v>0</v>
      </c>
      <c r="K2380" s="2810">
        <f t="shared" si="99"/>
        <v>0</v>
      </c>
      <c r="L2380" s="2797"/>
      <c r="M2380" s="934">
        <v>1000</v>
      </c>
    </row>
    <row r="2381" spans="1:13" s="1016" customFormat="1" ht="25.2" hidden="1" customHeight="1">
      <c r="A2381" s="1086">
        <f t="shared" ref="A2381" si="101">IF(AND(M2381=$M$23,I2381&gt;0),1,0)</f>
        <v>0</v>
      </c>
      <c r="B2381" s="2825" t="s">
        <v>6282</v>
      </c>
      <c r="C2381" s="2867"/>
      <c r="D2381" s="1153">
        <f>IF(H2381&gt;0,D2379+1,D2379)</f>
        <v>3</v>
      </c>
      <c r="E2381" s="1154" t="str">
        <f>VLOOKUP($B2381,DG!A:D,DG!$B$2,)</f>
        <v>02.8404</v>
      </c>
      <c r="F2381" s="2892" t="str">
        <f>VLOOKUP($B2381,DG!A:D,DG!$C$2,)</f>
        <v>MCCB 3 cực 400V -1600A - 85KA</v>
      </c>
      <c r="G2381" s="1154" t="str">
        <f>VLOOKUP($B2381,DG!A:D,DG!$D$2,)</f>
        <v>cái</v>
      </c>
      <c r="H2381" s="2893">
        <f t="shared" si="100"/>
        <v>0</v>
      </c>
      <c r="I2381" s="2893">
        <f t="shared" si="99"/>
        <v>0</v>
      </c>
      <c r="J2381" s="2893">
        <f t="shared" si="99"/>
        <v>0</v>
      </c>
      <c r="K2381" s="2893">
        <f t="shared" si="99"/>
        <v>0</v>
      </c>
      <c r="L2381" s="2894"/>
      <c r="M2381" s="934">
        <v>1000</v>
      </c>
    </row>
    <row r="2382" spans="1:13" s="1016" customFormat="1" ht="25.2" customHeight="1">
      <c r="A2382" s="1086">
        <f t="shared" si="96"/>
        <v>1</v>
      </c>
      <c r="B2382" s="2825" t="s">
        <v>6463</v>
      </c>
      <c r="C2382" s="2867">
        <v>1</v>
      </c>
      <c r="D2382" s="2798">
        <f>IF(H2382&gt;0,D2380+1,D2380)</f>
        <v>5</v>
      </c>
      <c r="E2382" s="2809" t="str">
        <f>VLOOKUP($B2382,DG!A:D,DG!$B$2,)</f>
        <v>02.8404</v>
      </c>
      <c r="F2382" s="2931" t="str">
        <f>VLOOKUP($B2382,DG!A:D,DG!$C$2,)</f>
        <v>ACB 3P - 1600A - 65KA (nạp lò xo bằng tay)</v>
      </c>
      <c r="G2382" s="2809" t="str">
        <f>VLOOKUP($B2382,DG!A:D,DG!$D$2,)</f>
        <v>cái</v>
      </c>
      <c r="H2382" s="2810">
        <f t="shared" si="100"/>
        <v>1</v>
      </c>
      <c r="I2382" s="2810">
        <f t="shared" si="99"/>
        <v>1</v>
      </c>
      <c r="J2382" s="2810">
        <f t="shared" si="99"/>
        <v>0</v>
      </c>
      <c r="K2382" s="2810">
        <f t="shared" si="99"/>
        <v>0</v>
      </c>
      <c r="L2382" s="2797"/>
      <c r="M2382" s="934">
        <v>1000</v>
      </c>
    </row>
    <row r="2383" spans="1:13" s="1016" customFormat="1" ht="25.2" customHeight="1">
      <c r="A2383" s="1086">
        <f t="shared" si="96"/>
        <v>1</v>
      </c>
      <c r="B2383" s="2825" t="s">
        <v>1464</v>
      </c>
      <c r="C2383" s="2867">
        <v>1</v>
      </c>
      <c r="D2383" s="2798">
        <f t="shared" si="98"/>
        <v>6</v>
      </c>
      <c r="E2383" s="2809" t="str">
        <f>VLOOKUP($B2383,DG!A:D,DG!$B$2,)</f>
        <v>02.8534</v>
      </c>
      <c r="F2383" s="2931" t="str">
        <f>VLOOKUP($B2383,DG!A:D,DG!$C$2,)</f>
        <v>Tủ tụ bù hạ thế 400kVAr</v>
      </c>
      <c r="G2383" s="2809" t="str">
        <f>VLOOKUP($B2383,DG!A:D,DG!$D$2,)</f>
        <v>tủ</v>
      </c>
      <c r="H2383" s="2810">
        <f t="shared" si="100"/>
        <v>1</v>
      </c>
      <c r="I2383" s="2810">
        <f t="shared" si="99"/>
        <v>1</v>
      </c>
      <c r="J2383" s="2810">
        <f t="shared" si="99"/>
        <v>0</v>
      </c>
      <c r="K2383" s="2810">
        <f t="shared" si="99"/>
        <v>0</v>
      </c>
      <c r="L2383" s="2797"/>
      <c r="M2383" s="934">
        <v>1000</v>
      </c>
    </row>
    <row r="2384" spans="1:13" s="1016" customFormat="1" ht="25.2" customHeight="1">
      <c r="A2384" s="1086">
        <f t="shared" si="96"/>
        <v>1</v>
      </c>
      <c r="B2384" s="2825" t="s">
        <v>901</v>
      </c>
      <c r="C2384" s="2867">
        <v>3</v>
      </c>
      <c r="D2384" s="2798">
        <f>IF(H2384&gt;0,D2382+1,D2382)</f>
        <v>6</v>
      </c>
      <c r="E2384" s="2809" t="str">
        <f>VLOOKUP($B2384,DG!A:D,DG!$B$2,)</f>
        <v>02.1124</v>
      </c>
      <c r="F2384" s="2931" t="str">
        <f>VLOOKUP($B2384,DG!A:D,DG!$C$2,)</f>
        <v>Biến dòng 24kV  30/5A</v>
      </c>
      <c r="G2384" s="2809" t="str">
        <f>VLOOKUP($B2384,DG!A:D,DG!$D$2,)</f>
        <v>cái</v>
      </c>
      <c r="H2384" s="2810">
        <f t="shared" si="100"/>
        <v>3</v>
      </c>
      <c r="I2384" s="2810">
        <f t="shared" si="99"/>
        <v>3</v>
      </c>
      <c r="J2384" s="2810">
        <f t="shared" si="99"/>
        <v>0</v>
      </c>
      <c r="K2384" s="2810">
        <f t="shared" si="99"/>
        <v>0</v>
      </c>
      <c r="L2384" s="2933" t="s">
        <v>2601</v>
      </c>
      <c r="M2384" s="934">
        <v>1000</v>
      </c>
    </row>
    <row r="2385" spans="1:13" s="1016" customFormat="1" ht="25.2" hidden="1" customHeight="1">
      <c r="A2385" s="1086">
        <f t="shared" si="96"/>
        <v>0</v>
      </c>
      <c r="B2385" s="2826" t="s">
        <v>1668</v>
      </c>
      <c r="C2385" s="2868"/>
      <c r="D2385" s="1153">
        <f>IF(H2385&gt;0,D2383+1,D2383)</f>
        <v>6</v>
      </c>
      <c r="E2385" s="1154">
        <f>VLOOKUP($B2385,DG!A:D,DG!$B$2,)</f>
        <v>0</v>
      </c>
      <c r="F2385" s="2892" t="str">
        <f>VLOOKUP($B2385,DG!A:D,DG!$C$2,)</f>
        <v>Biến dòng 600V - 250/5A</v>
      </c>
      <c r="G2385" s="1154" t="str">
        <f>VLOOKUP($B2385,DG!A:D,DG!$D$2,)</f>
        <v>cái</v>
      </c>
      <c r="H2385" s="2893">
        <f t="shared" si="100"/>
        <v>0</v>
      </c>
      <c r="I2385" s="2893">
        <f t="shared" si="99"/>
        <v>0</v>
      </c>
      <c r="J2385" s="2893">
        <f t="shared" si="99"/>
        <v>0</v>
      </c>
      <c r="K2385" s="2893">
        <f t="shared" si="99"/>
        <v>0</v>
      </c>
      <c r="L2385" s="2895" t="s">
        <v>2601</v>
      </c>
      <c r="M2385" s="934">
        <v>1000</v>
      </c>
    </row>
    <row r="2386" spans="1:13" s="1016" customFormat="1" ht="25.2" customHeight="1">
      <c r="A2386" s="1086">
        <f t="shared" si="96"/>
        <v>1</v>
      </c>
      <c r="B2386" s="2825" t="s">
        <v>4502</v>
      </c>
      <c r="C2386" s="2867">
        <v>3</v>
      </c>
      <c r="D2386" s="2798">
        <f>IF(H2386&gt;0,D2385+1,D2385)</f>
        <v>7</v>
      </c>
      <c r="E2386" s="2809" t="str">
        <f>VLOOKUP($B2386,DG!A:D,DG!$B$2,)</f>
        <v>02.1114</v>
      </c>
      <c r="F2386" s="2931" t="str">
        <f>VLOOKUP($B2386,DG!A:D,DG!$C$2,)</f>
        <v>Biến điện áp 22000/√3/100/√3 V</v>
      </c>
      <c r="G2386" s="2809" t="str">
        <f>VLOOKUP($B2386,DG!A:D,DG!$D$2,)</f>
        <v>cái</v>
      </c>
      <c r="H2386" s="2810">
        <f t="shared" si="100"/>
        <v>3</v>
      </c>
      <c r="I2386" s="2810">
        <f t="shared" si="99"/>
        <v>3</v>
      </c>
      <c r="J2386" s="2810">
        <f t="shared" si="99"/>
        <v>0</v>
      </c>
      <c r="K2386" s="2810">
        <f t="shared" si="99"/>
        <v>0</v>
      </c>
      <c r="L2386" s="2933" t="s">
        <v>2601</v>
      </c>
      <c r="M2386" s="934">
        <v>1000</v>
      </c>
    </row>
    <row r="2387" spans="1:13" s="1016" customFormat="1" ht="25.2" customHeight="1">
      <c r="A2387" s="1086">
        <f t="shared" si="96"/>
        <v>1</v>
      </c>
      <c r="B2387" s="2827" t="s">
        <v>1837</v>
      </c>
      <c r="C2387" s="2869">
        <v>1</v>
      </c>
      <c r="D2387" s="2798">
        <f>IF(H2387&gt;0,D2386+1,D2386)</f>
        <v>8</v>
      </c>
      <c r="E2387" s="2809">
        <f>VLOOKUP($B2387,DG!A:D,DG!$B$2,)</f>
        <v>0</v>
      </c>
      <c r="F2387" s="2931" t="str">
        <f>VLOOKUP($B2387,DG!A:D,DG!$C$2,)</f>
        <v>Điện kế 3 pha điện tử 600V-5A</v>
      </c>
      <c r="G2387" s="2809" t="str">
        <f>VLOOKUP($B2387,DG!A:D,DG!$D$2,)</f>
        <v>cái</v>
      </c>
      <c r="H2387" s="2810">
        <f t="shared" si="100"/>
        <v>1</v>
      </c>
      <c r="I2387" s="2810">
        <f t="shared" si="99"/>
        <v>1</v>
      </c>
      <c r="J2387" s="2810">
        <f t="shared" si="99"/>
        <v>0</v>
      </c>
      <c r="K2387" s="2810">
        <f t="shared" si="99"/>
        <v>0</v>
      </c>
      <c r="L2387" s="2933" t="s">
        <v>2601</v>
      </c>
      <c r="M2387" s="934">
        <v>1000</v>
      </c>
    </row>
    <row r="2388" spans="1:13" s="1016" customFormat="1" ht="25.2" hidden="1" customHeight="1">
      <c r="A2388" s="1086">
        <f t="shared" si="96"/>
        <v>0</v>
      </c>
      <c r="B2388" s="1221"/>
      <c r="C2388" s="2838"/>
      <c r="D2388" s="1153"/>
      <c r="E2388" s="2896"/>
      <c r="F2388" s="2897"/>
      <c r="G2388" s="1153"/>
      <c r="H2388" s="2893"/>
      <c r="I2388" s="2898">
        <f t="shared" si="97"/>
        <v>0</v>
      </c>
      <c r="J2388" s="2897"/>
      <c r="K2388" s="1153"/>
      <c r="L2388" s="2894"/>
      <c r="M2388" s="934">
        <v>1000</v>
      </c>
    </row>
    <row r="2389" spans="1:13" s="1016" customFormat="1" ht="25.2" customHeight="1">
      <c r="A2389" s="1086">
        <f>IF((M2389=$M$23),1,0)</f>
        <v>1</v>
      </c>
      <c r="B2389" s="1221"/>
      <c r="C2389" s="2838"/>
      <c r="D2389" s="2794"/>
      <c r="E2389" s="2794"/>
      <c r="F2389" s="2794" t="s">
        <v>3673</v>
      </c>
      <c r="G2389" s="2794"/>
      <c r="H2389" s="2802"/>
      <c r="I2389" s="2934">
        <f t="shared" si="97"/>
        <v>0</v>
      </c>
      <c r="J2389" s="2794"/>
      <c r="K2389" s="2794"/>
      <c r="L2389" s="2797"/>
      <c r="M2389" s="934">
        <v>1000</v>
      </c>
    </row>
    <row r="2390" spans="1:13" s="1016" customFormat="1" ht="25.2" hidden="1" customHeight="1">
      <c r="A2390" s="1086">
        <f t="shared" si="96"/>
        <v>0</v>
      </c>
      <c r="B2390" s="2828"/>
      <c r="C2390" s="2835"/>
      <c r="D2390" s="1050">
        <f>IF(H2390&gt;0,1,0)</f>
        <v>0</v>
      </c>
      <c r="E2390" s="2899"/>
      <c r="F2390" s="1052" t="s">
        <v>3712</v>
      </c>
      <c r="G2390" s="2900" t="s">
        <v>2277</v>
      </c>
      <c r="H2390" s="2901"/>
      <c r="I2390" s="1869">
        <f t="shared" si="97"/>
        <v>0</v>
      </c>
      <c r="J2390" s="2902"/>
      <c r="K2390" s="2902"/>
      <c r="L2390" s="1129"/>
      <c r="M2390" s="934">
        <v>1000</v>
      </c>
    </row>
    <row r="2391" spans="1:13" s="1016" customFormat="1" ht="25.2" hidden="1" customHeight="1">
      <c r="A2391" s="1086">
        <f t="shared" si="96"/>
        <v>0</v>
      </c>
      <c r="B2391" s="2826" t="s">
        <v>2233</v>
      </c>
      <c r="C2391" s="2868"/>
      <c r="D2391" s="1055"/>
      <c r="E2391" s="1012"/>
      <c r="F2391" s="1056" t="str">
        <f>VLOOKUP($B2391,DG!A:D,DG!$C$2,)</f>
        <v>Trụ BTLT 10,5m F350 dự ứng lực</v>
      </c>
      <c r="G2391" s="1012" t="str">
        <f>VLOOKUP($B2391,DG!A:D,DG!$D$2,)</f>
        <v>trụ</v>
      </c>
      <c r="H2391" s="1740">
        <f>H2390</f>
        <v>0</v>
      </c>
      <c r="I2391" s="1192">
        <f t="shared" si="97"/>
        <v>0</v>
      </c>
      <c r="J2391" s="1041"/>
      <c r="K2391" s="1011"/>
      <c r="L2391" s="1015"/>
      <c r="M2391" s="934">
        <v>1000</v>
      </c>
    </row>
    <row r="2392" spans="1:13" s="1016" customFormat="1" ht="25.2" hidden="1" customHeight="1">
      <c r="A2392" s="1086">
        <f t="shared" si="96"/>
        <v>0</v>
      </c>
      <c r="B2392" s="2826" t="s">
        <v>1814</v>
      </c>
      <c r="C2392" s="2868"/>
      <c r="D2392" s="1055"/>
      <c r="E2392" s="1012"/>
      <c r="F2392" s="1056" t="str">
        <f>VLOOKUP($B2392,DG!A:D,DG!$C$2,)</f>
        <v>Vật liệu dựng trụ</v>
      </c>
      <c r="G2392" s="1012" t="str">
        <f>VLOOKUP($B2392,DG!A:D,DG!$D$2,)</f>
        <v>trụ</v>
      </c>
      <c r="H2392" s="1740">
        <f>H2391</f>
        <v>0</v>
      </c>
      <c r="I2392" s="1192">
        <f t="shared" si="97"/>
        <v>0</v>
      </c>
      <c r="J2392" s="1011"/>
      <c r="K2392" s="1011"/>
      <c r="L2392" s="1015"/>
      <c r="M2392" s="934">
        <v>1000</v>
      </c>
    </row>
    <row r="2393" spans="1:13" s="1016" customFormat="1" ht="25.2" hidden="1" customHeight="1">
      <c r="A2393" s="1086">
        <f t="shared" si="96"/>
        <v>0</v>
      </c>
      <c r="B2393" s="2826" t="s">
        <v>1612</v>
      </c>
      <c r="C2393" s="2868"/>
      <c r="D2393" s="1055"/>
      <c r="E2393" s="1012" t="str">
        <f>VLOOKUP($B2393,DG!A:D,DG!$B$2,)</f>
        <v>05.5402</v>
      </c>
      <c r="F2393" s="1056" t="str">
        <f>VLOOKUP($B2393,DG!A:D,DG!$C$2,)</f>
        <v>Dựng trụ BTLT 10,5m thủ công + cơ giới</v>
      </c>
      <c r="G2393" s="1012" t="str">
        <f>VLOOKUP($B2393,DG!A:D,DG!$D$2,)</f>
        <v>trụ</v>
      </c>
      <c r="H2393" s="1740">
        <f>H2391</f>
        <v>0</v>
      </c>
      <c r="I2393" s="1192">
        <f t="shared" si="97"/>
        <v>0</v>
      </c>
      <c r="J2393" s="1041"/>
      <c r="K2393" s="1041"/>
      <c r="L2393" s="1015"/>
      <c r="M2393" s="934">
        <v>1000</v>
      </c>
    </row>
    <row r="2394" spans="1:13" s="1016" customFormat="1" ht="25.2" hidden="1" customHeight="1">
      <c r="A2394" s="1086">
        <f t="shared" si="96"/>
        <v>0</v>
      </c>
      <c r="B2394" s="2826" t="s">
        <v>2234</v>
      </c>
      <c r="C2394" s="2868"/>
      <c r="D2394" s="1055"/>
      <c r="E2394" s="1012"/>
      <c r="F2394" s="1056" t="str">
        <f>VLOOKUP($B2394,DG!A:D,DG!$C$2,)</f>
        <v>Đào hố móng đất cấp 3 sâu &gt;1m</v>
      </c>
      <c r="G2394" s="1012" t="str">
        <f>VLOOKUP($B2394,DG!A:D,DG!$D$2,)</f>
        <v>m3</v>
      </c>
      <c r="H2394" s="1740">
        <f>H2390*0.201</f>
        <v>0</v>
      </c>
      <c r="I2394" s="1192">
        <f t="shared" si="97"/>
        <v>0</v>
      </c>
      <c r="J2394" s="1041"/>
      <c r="K2394" s="1041"/>
      <c r="L2394" s="1015"/>
      <c r="M2394" s="934">
        <v>1000</v>
      </c>
    </row>
    <row r="2395" spans="1:13" s="1016" customFormat="1" ht="25.2" hidden="1" customHeight="1">
      <c r="A2395" s="1086">
        <f t="shared" ref="A2395:A2461" si="102">IF(AND(M2395=$M$23,I2395&gt;0),1,0)</f>
        <v>0</v>
      </c>
      <c r="B2395" s="2826" t="s">
        <v>21</v>
      </c>
      <c r="C2395" s="2868"/>
      <c r="D2395" s="1055"/>
      <c r="E2395" s="1012" t="str">
        <f>VLOOKUP($B2395,DG!A:D,DG!$B$2,)</f>
        <v>03.4113</v>
      </c>
      <c r="F2395" s="1056" t="str">
        <f>VLOOKUP($B2395,DG!A:D,DG!$C$2,)</f>
        <v>Đắp đất hố móng, độ chặt k=0,95</v>
      </c>
      <c r="G2395" s="1012" t="str">
        <f>VLOOKUP($B2395,DG!A:D,DG!$D$2,)</f>
        <v>m3</v>
      </c>
      <c r="H2395" s="1740">
        <f>H2390*0.182</f>
        <v>0</v>
      </c>
      <c r="I2395" s="1192">
        <f t="shared" si="97"/>
        <v>0</v>
      </c>
      <c r="J2395" s="1041"/>
      <c r="K2395" s="1041"/>
      <c r="L2395" s="1015"/>
      <c r="M2395" s="934">
        <v>1000</v>
      </c>
    </row>
    <row r="2396" spans="1:13" s="1016" customFormat="1" ht="25.2" hidden="1" customHeight="1">
      <c r="A2396" s="1086">
        <f t="shared" si="102"/>
        <v>0</v>
      </c>
      <c r="B2396" s="2829"/>
      <c r="C2396" s="2870"/>
      <c r="D2396" s="1017">
        <f>IF(H2396&gt;0,D2390+1,D2390)</f>
        <v>0</v>
      </c>
      <c r="E2396" s="1051"/>
      <c r="F2396" s="1052" t="s">
        <v>2334</v>
      </c>
      <c r="G2396" s="1053" t="s">
        <v>2327</v>
      </c>
      <c r="H2396" s="1739">
        <f>H2390*0</f>
        <v>0</v>
      </c>
      <c r="I2396" s="1192">
        <f t="shared" si="97"/>
        <v>0</v>
      </c>
      <c r="J2396" s="1011"/>
      <c r="K2396" s="1011"/>
      <c r="L2396" s="1015"/>
      <c r="M2396" s="934">
        <v>1000</v>
      </c>
    </row>
    <row r="2397" spans="1:13" s="1016" customFormat="1" ht="25.2" hidden="1" customHeight="1">
      <c r="A2397" s="1086">
        <f t="shared" si="102"/>
        <v>0</v>
      </c>
      <c r="B2397" s="2830" t="s">
        <v>636</v>
      </c>
      <c r="C2397" s="2871"/>
      <c r="D2397" s="1055"/>
      <c r="E2397" s="1012" t="str">
        <f>VLOOKUP($B2397,DG!A:D,DG!$B$2,)</f>
        <v>04.4001</v>
      </c>
      <c r="F2397" s="1057" t="str">
        <f>VLOOKUP($B2397,DG!A:D,DG!$C$2,)</f>
        <v>Đà cản BTCT 1,2m</v>
      </c>
      <c r="G2397" s="1012" t="str">
        <f>VLOOKUP($B2397,DG!A:D,DG!$D$2,)</f>
        <v>cái</v>
      </c>
      <c r="H2397" s="1740">
        <f>H2396</f>
        <v>0</v>
      </c>
      <c r="I2397" s="1192">
        <f t="shared" si="97"/>
        <v>0</v>
      </c>
      <c r="J2397" s="1041"/>
      <c r="K2397" s="1011"/>
      <c r="L2397" s="1015"/>
      <c r="M2397" s="934">
        <v>1000</v>
      </c>
    </row>
    <row r="2398" spans="1:13" s="1016" customFormat="1" ht="25.2" hidden="1" customHeight="1">
      <c r="A2398" s="1086">
        <f t="shared" si="102"/>
        <v>0</v>
      </c>
      <c r="B2398" s="2830" t="s">
        <v>566</v>
      </c>
      <c r="C2398" s="2871"/>
      <c r="D2398" s="1055"/>
      <c r="E2398" s="1024"/>
      <c r="F2398" s="1057" t="str">
        <f>VLOOKUP($B2398,DG!A:D,DG!$C$2,)</f>
        <v>Boulon 22x650+ 2 long đền vuông D24-50x50x3/Zn</v>
      </c>
      <c r="G2398" s="1012" t="str">
        <f>VLOOKUP($B2398,DG!A:D,DG!$D$2,)</f>
        <v>bộ</v>
      </c>
      <c r="H2398" s="1740">
        <f>H2397</f>
        <v>0</v>
      </c>
      <c r="I2398" s="1192">
        <f t="shared" si="97"/>
        <v>0</v>
      </c>
      <c r="J2398" s="1057"/>
      <c r="K2398" s="1011"/>
      <c r="L2398" s="1015"/>
      <c r="M2398" s="934">
        <v>1000</v>
      </c>
    </row>
    <row r="2399" spans="1:13" s="1016" customFormat="1" ht="25.2" hidden="1" customHeight="1">
      <c r="A2399" s="1086">
        <f t="shared" si="102"/>
        <v>0</v>
      </c>
      <c r="B2399" s="2830" t="str">
        <f>IF(chitiet!G5=1,"MDD1",IF(chitiet!G5=2,"MDD2",IF(chitiet!G5=3,"MDD3",IF(chitiet!G5=4,"MDD4"))))</f>
        <v>MDD3</v>
      </c>
      <c r="C2399" s="2871"/>
      <c r="D2399" s="1055"/>
      <c r="E2399" s="1024" t="str">
        <f>VLOOKUP($B2399,DG!A:D,DG!$B$2,)</f>
        <v>03.1013</v>
      </c>
      <c r="F2399" s="1057" t="str">
        <f>VLOOKUP($B2399,DG!A:D,DG!$C$2,)</f>
        <v>Đào hố móng đất cấp 3 sâu &gt;1m</v>
      </c>
      <c r="G2399" s="1012" t="str">
        <f>VLOOKUP($B2399,DG!A:D,DG!$D$2,)</f>
        <v>m3</v>
      </c>
      <c r="H2399" s="1741">
        <f>1.48*H2397</f>
        <v>0</v>
      </c>
      <c r="I2399" s="1192">
        <f t="shared" si="97"/>
        <v>0</v>
      </c>
      <c r="J2399" s="1058"/>
      <c r="K2399" s="1011"/>
      <c r="L2399" s="1015"/>
      <c r="M2399" s="934">
        <v>1000</v>
      </c>
    </row>
    <row r="2400" spans="1:13" s="1016" customFormat="1" ht="25.2" hidden="1" customHeight="1">
      <c r="A2400" s="1086">
        <f t="shared" si="102"/>
        <v>0</v>
      </c>
      <c r="B2400" s="2830" t="str">
        <f>IF(chitiet!G5=1,"MDAP1",IF(chitiet!G5=2,"MDAP2",IF(chitiet!G5=3,"MDAP3",IF(chitiet!G5=4,"MDAP4"))))</f>
        <v>MDAP3</v>
      </c>
      <c r="C2400" s="2871"/>
      <c r="D2400" s="1055"/>
      <c r="E2400" s="1024" t="str">
        <f>VLOOKUP($B2400,DG!A:D,DG!$B$2,)</f>
        <v>03.4113</v>
      </c>
      <c r="F2400" s="1057" t="str">
        <f>VLOOKUP($B2400,DG!A:D,DG!$C$2,)</f>
        <v>Đắp đất hố móng, độ chặt k=0,95</v>
      </c>
      <c r="G2400" s="1012" t="str">
        <f>VLOOKUP($B2400,DG!A:D,DG!$D$2,)</f>
        <v>m3</v>
      </c>
      <c r="H2400" s="1741">
        <f>1.39*H2396</f>
        <v>0</v>
      </c>
      <c r="I2400" s="1192">
        <f t="shared" si="97"/>
        <v>0</v>
      </c>
      <c r="J2400" s="1058"/>
      <c r="K2400" s="1011"/>
      <c r="L2400" s="1015"/>
      <c r="M2400" s="934">
        <v>1000</v>
      </c>
    </row>
    <row r="2401" spans="1:13" s="1016" customFormat="1" ht="25.2" hidden="1" customHeight="1">
      <c r="A2401" s="1086">
        <f t="shared" si="102"/>
        <v>0</v>
      </c>
      <c r="B2401" s="1221"/>
      <c r="C2401" s="2838"/>
      <c r="D2401" s="1017">
        <f>IF(H2401&gt;0,D2396+1,D2396)</f>
        <v>0</v>
      </c>
      <c r="E2401" s="1059"/>
      <c r="F2401" s="1052" t="s">
        <v>3714</v>
      </c>
      <c r="G2401" s="1050" t="s">
        <v>2385</v>
      </c>
      <c r="H2401" s="1742"/>
      <c r="I2401" s="1192">
        <f t="shared" si="97"/>
        <v>0</v>
      </c>
      <c r="J2401" s="1060"/>
      <c r="K2401" s="1060"/>
      <c r="L2401" s="1015"/>
      <c r="M2401" s="934">
        <v>1000</v>
      </c>
    </row>
    <row r="2402" spans="1:13" s="1016" customFormat="1" ht="25.2" hidden="1" customHeight="1">
      <c r="A2402" s="1086">
        <f t="shared" si="102"/>
        <v>0</v>
      </c>
      <c r="B2402" s="1221"/>
      <c r="C2402" s="2838"/>
      <c r="D2402" s="1011"/>
      <c r="E2402" s="1061"/>
      <c r="F2402" s="1267" t="s">
        <v>2279</v>
      </c>
      <c r="G2402" s="1023"/>
      <c r="H2402" s="1713"/>
      <c r="I2402" s="1192">
        <f t="shared" si="97"/>
        <v>0</v>
      </c>
      <c r="J2402" s="1062"/>
      <c r="K2402" s="1062"/>
      <c r="L2402" s="1015"/>
      <c r="M2402" s="934">
        <v>1000</v>
      </c>
    </row>
    <row r="2403" spans="1:13" s="1016" customFormat="1" ht="25.2" hidden="1" customHeight="1">
      <c r="A2403" s="1086">
        <f t="shared" si="102"/>
        <v>0</v>
      </c>
      <c r="B2403" s="2826" t="s">
        <v>1136</v>
      </c>
      <c r="C2403" s="2868"/>
      <c r="D2403" s="1011"/>
      <c r="E2403" s="1012" t="str">
        <f>VLOOKUP($B2403,DG!A:D,DG!$B$2,)</f>
        <v>05.6105</v>
      </c>
      <c r="F2403" s="1013" t="str">
        <f>VLOOKUP($B2403,DG!A:D,DG!$C$2,)</f>
        <v>Đà U160x68x5x2800 đỡ MBA</v>
      </c>
      <c r="G2403" s="1012" t="str">
        <f>VLOOKUP($B2403,DG!A:D,DG!$D$2,)</f>
        <v>cái</v>
      </c>
      <c r="H2403" s="1729">
        <f>2*H2401</f>
        <v>0</v>
      </c>
      <c r="I2403" s="1192">
        <f t="shared" si="97"/>
        <v>0</v>
      </c>
      <c r="J2403" s="1041"/>
      <c r="K2403" s="1041"/>
      <c r="L2403" s="1015"/>
      <c r="M2403" s="934">
        <v>1000</v>
      </c>
    </row>
    <row r="2404" spans="1:13" s="1016" customFormat="1" ht="25.2" hidden="1" customHeight="1">
      <c r="A2404" s="1086">
        <f t="shared" si="102"/>
        <v>0</v>
      </c>
      <c r="B2404" s="2826" t="s">
        <v>1137</v>
      </c>
      <c r="C2404" s="2868"/>
      <c r="D2404" s="1011"/>
      <c r="E2404" s="1012" t="str">
        <f>VLOOKUP($B2404,DG!A:D,DG!$B$2,)</f>
        <v>05.6101</v>
      </c>
      <c r="F2404" s="1013" t="str">
        <f>VLOOKUP($B2404,DG!A:D,DG!$C$2,)</f>
        <v xml:space="preserve">Đà U100x46x4.5x400 </v>
      </c>
      <c r="G2404" s="1012" t="str">
        <f>VLOOKUP($B2404,DG!A:D,DG!$D$2,)</f>
        <v>cái</v>
      </c>
      <c r="H2404" s="1729">
        <f>H2401*4</f>
        <v>0</v>
      </c>
      <c r="I2404" s="1192">
        <f t="shared" si="97"/>
        <v>0</v>
      </c>
      <c r="J2404" s="1041"/>
      <c r="K2404" s="1041"/>
      <c r="L2404" s="1015"/>
      <c r="M2404" s="934">
        <v>1000</v>
      </c>
    </row>
    <row r="2405" spans="1:13" s="1016" customFormat="1" ht="25.2" hidden="1" customHeight="1">
      <c r="A2405" s="1086">
        <f t="shared" si="102"/>
        <v>0</v>
      </c>
      <c r="B2405" s="2826" t="s">
        <v>1138</v>
      </c>
      <c r="C2405" s="2868"/>
      <c r="D2405" s="1011"/>
      <c r="E2405" s="1012" t="str">
        <f>VLOOKUP($B2405,DG!A:D,DG!$B$2,)</f>
        <v>05.6101</v>
      </c>
      <c r="F2405" s="1013" t="str">
        <f>VLOOKUP($B2405,DG!A:D,DG!$C$2,)</f>
        <v xml:space="preserve">Đà U100x46x5x800 </v>
      </c>
      <c r="G2405" s="1012" t="str">
        <f>VLOOKUP($B2405,DG!A:D,DG!$D$2,)</f>
        <v>cái</v>
      </c>
      <c r="H2405" s="1729">
        <f>H2401*2</f>
        <v>0</v>
      </c>
      <c r="I2405" s="1192">
        <f t="shared" si="97"/>
        <v>0</v>
      </c>
      <c r="J2405" s="1041"/>
      <c r="K2405" s="1041"/>
      <c r="L2405" s="1015"/>
      <c r="M2405" s="934">
        <v>1000</v>
      </c>
    </row>
    <row r="2406" spans="1:13" s="1016" customFormat="1" ht="25.2" hidden="1" customHeight="1">
      <c r="A2406" s="1086">
        <f t="shared" si="102"/>
        <v>0</v>
      </c>
      <c r="B2406" s="1221" t="s">
        <v>1781</v>
      </c>
      <c r="C2406" s="2838"/>
      <c r="D2406" s="1011"/>
      <c r="E2406" s="1012">
        <f>VLOOKUP($B2406,DG!A:D,DG!$B$2,)</f>
        <v>0</v>
      </c>
      <c r="F2406" s="1013" t="str">
        <f>VLOOKUP($B2406,DG!A:D,DG!$C$2,)</f>
        <v>Boulon 16x400VRS+ 4 long đền vuông D18-50x50x3/Zn</v>
      </c>
      <c r="G2406" s="1012" t="str">
        <f>VLOOKUP($B2406,DG!A:D,DG!$D$2,)</f>
        <v>bộ</v>
      </c>
      <c r="H2406" s="1713">
        <f>H2401*12</f>
        <v>0</v>
      </c>
      <c r="I2406" s="1192">
        <f t="shared" si="97"/>
        <v>0</v>
      </c>
      <c r="J2406" s="1041"/>
      <c r="K2406" s="1041"/>
      <c r="L2406" s="1015"/>
      <c r="M2406" s="934">
        <v>1000</v>
      </c>
    </row>
    <row r="2407" spans="1:13" s="1016" customFormat="1" ht="25.2" hidden="1" customHeight="1">
      <c r="A2407" s="1086">
        <f t="shared" si="102"/>
        <v>0</v>
      </c>
      <c r="B2407" s="1221" t="s">
        <v>1083</v>
      </c>
      <c r="C2407" s="2838"/>
      <c r="D2407" s="1011"/>
      <c r="E2407" s="1012">
        <f>VLOOKUP($B2407,DG!A:D,DG!$B$2,)</f>
        <v>0</v>
      </c>
      <c r="F2407" s="1013" t="str">
        <f>VLOOKUP($B2407,DG!A:D,DG!$C$2,)</f>
        <v>Boulon 16x400+ 2 long đền vuông D18-50x50x3/Zn</v>
      </c>
      <c r="G2407" s="1012" t="str">
        <f>VLOOKUP($B2407,DG!A:D,DG!$D$2,)</f>
        <v>bộ</v>
      </c>
      <c r="H2407" s="1713">
        <f>H2401*2</f>
        <v>0</v>
      </c>
      <c r="I2407" s="1192">
        <f t="shared" si="97"/>
        <v>0</v>
      </c>
      <c r="J2407" s="1041"/>
      <c r="K2407" s="1041"/>
      <c r="L2407" s="1015"/>
      <c r="M2407" s="934">
        <v>1000</v>
      </c>
    </row>
    <row r="2408" spans="1:13" s="1016" customFormat="1" ht="25.2" hidden="1" customHeight="1">
      <c r="A2408" s="1086">
        <f t="shared" si="102"/>
        <v>0</v>
      </c>
      <c r="B2408" s="1221" t="s">
        <v>1079</v>
      </c>
      <c r="C2408" s="2838"/>
      <c r="D2408" s="1011"/>
      <c r="E2408" s="1012">
        <f>VLOOKUP($B2408,DG!A:D,DG!$B$2,)</f>
        <v>0</v>
      </c>
      <c r="F2408" s="1013" t="str">
        <f>VLOOKUP($B2408,DG!A:D,DG!$C$2,)</f>
        <v>Boulon 16x350+ 2 long đền vuông D18-50x50x3/Zn</v>
      </c>
      <c r="G2408" s="1012" t="str">
        <f>VLOOKUP($B2408,DG!A:D,DG!$D$2,)</f>
        <v>bộ</v>
      </c>
      <c r="H2408" s="1713">
        <f>+H2401*4</f>
        <v>0</v>
      </c>
      <c r="I2408" s="1192">
        <f t="shared" si="97"/>
        <v>0</v>
      </c>
      <c r="J2408" s="1041"/>
      <c r="K2408" s="1041"/>
      <c r="L2408" s="1015"/>
      <c r="M2408" s="934">
        <v>1000</v>
      </c>
    </row>
    <row r="2409" spans="1:13" s="1016" customFormat="1" ht="25.2" hidden="1" customHeight="1">
      <c r="A2409" s="1086">
        <f t="shared" si="102"/>
        <v>0</v>
      </c>
      <c r="B2409" s="1221"/>
      <c r="C2409" s="2838"/>
      <c r="D2409" s="1017">
        <f>IF(H2409&gt;0,D2401+1,D2401)</f>
        <v>0</v>
      </c>
      <c r="E2409" s="1018"/>
      <c r="F2409" s="1063" t="s">
        <v>3715</v>
      </c>
      <c r="G2409" s="1017" t="s">
        <v>2385</v>
      </c>
      <c r="H2409" s="1722">
        <f>H2401*2</f>
        <v>0</v>
      </c>
      <c r="I2409" s="1192">
        <f t="shared" si="97"/>
        <v>0</v>
      </c>
      <c r="J2409" s="1064"/>
      <c r="K2409" s="1064"/>
      <c r="L2409" s="1015"/>
      <c r="M2409" s="934">
        <v>1000</v>
      </c>
    </row>
    <row r="2410" spans="1:13" s="1016" customFormat="1" ht="25.2" hidden="1" customHeight="1">
      <c r="A2410" s="1086">
        <f t="shared" si="102"/>
        <v>0</v>
      </c>
      <c r="B2410" s="1221"/>
      <c r="C2410" s="2838"/>
      <c r="D2410" s="1011"/>
      <c r="E2410" s="1021"/>
      <c r="F2410" s="1267" t="s">
        <v>2279</v>
      </c>
      <c r="G2410" s="1023"/>
      <c r="H2410" s="1713"/>
      <c r="I2410" s="1192">
        <f t="shared" si="97"/>
        <v>0</v>
      </c>
      <c r="J2410" s="1064"/>
      <c r="K2410" s="1064"/>
      <c r="L2410" s="1015"/>
      <c r="M2410" s="934">
        <v>1000</v>
      </c>
    </row>
    <row r="2411" spans="1:13" s="1016" customFormat="1" ht="25.2" hidden="1" customHeight="1">
      <c r="A2411" s="1086">
        <f t="shared" si="102"/>
        <v>0</v>
      </c>
      <c r="B2411" s="2830" t="s">
        <v>2022</v>
      </c>
      <c r="C2411" s="2871"/>
      <c r="D2411" s="1011"/>
      <c r="E2411" s="1012">
        <v>0</v>
      </c>
      <c r="F2411" s="1013" t="str">
        <f>VLOOKUP($B2411,DG!A:D,DG!$C$2,)</f>
        <v>Sắt góc L75 x75 x8</v>
      </c>
      <c r="G2411" s="1012" t="str">
        <f>VLOOKUP($B2411,DG!A:D,DG!$D$2,)</f>
        <v>kg</v>
      </c>
      <c r="H2411" s="1713">
        <f>H2409*9.02*(2.6+3*0.07)*2</f>
        <v>0</v>
      </c>
      <c r="I2411" s="1192">
        <f t="shared" si="97"/>
        <v>0</v>
      </c>
      <c r="J2411" s="1041"/>
      <c r="K2411" s="1041"/>
      <c r="L2411" s="1015"/>
      <c r="M2411" s="934">
        <v>1000</v>
      </c>
    </row>
    <row r="2412" spans="1:13" s="1016" customFormat="1" ht="25.2" hidden="1" customHeight="1">
      <c r="A2412" s="1086">
        <f t="shared" si="102"/>
        <v>0</v>
      </c>
      <c r="B2412" s="1221" t="s">
        <v>1784</v>
      </c>
      <c r="C2412" s="2838"/>
      <c r="D2412" s="1011"/>
      <c r="E2412" s="1012">
        <v>0</v>
      </c>
      <c r="F2412" s="1013" t="str">
        <f>VLOOKUP($B2412,DG!A:D,DG!$C$2,)</f>
        <v>Boulon 16x300VRS+ 4 long đền vuông D18-50x50x3/Zn</v>
      </c>
      <c r="G2412" s="1012" t="str">
        <f>VLOOKUP($B2412,DG!A:D,DG!$D$2,)</f>
        <v>bộ</v>
      </c>
      <c r="H2412" s="1713">
        <f>H2409*2</f>
        <v>0</v>
      </c>
      <c r="I2412" s="1192">
        <f t="shared" si="97"/>
        <v>0</v>
      </c>
      <c r="J2412" s="1041"/>
      <c r="K2412" s="1041"/>
      <c r="L2412" s="1015"/>
      <c r="M2412" s="934">
        <v>1000</v>
      </c>
    </row>
    <row r="2413" spans="1:13" s="1016" customFormat="1" ht="25.2" hidden="1" customHeight="1">
      <c r="A2413" s="1086">
        <f t="shared" si="102"/>
        <v>0</v>
      </c>
      <c r="B2413" s="1221" t="s">
        <v>1610</v>
      </c>
      <c r="C2413" s="2838"/>
      <c r="D2413" s="1011"/>
      <c r="E2413" s="1012">
        <v>0</v>
      </c>
      <c r="F2413" s="1013" t="str">
        <f>VLOOKUP($B2413,DG!A:D,DG!$C$2,)</f>
        <v>Boulon 16x300+ 2 long đền vuông D18-50x50x3/Zn</v>
      </c>
      <c r="G2413" s="1012" t="str">
        <f>VLOOKUP($B2413,DG!A:D,DG!$D$2,)</f>
        <v>bộ</v>
      </c>
      <c r="H2413" s="1713">
        <f>H2409*2</f>
        <v>0</v>
      </c>
      <c r="I2413" s="1192">
        <f t="shared" si="97"/>
        <v>0</v>
      </c>
      <c r="J2413" s="1041"/>
      <c r="K2413" s="1041"/>
      <c r="L2413" s="1015"/>
      <c r="M2413" s="934">
        <v>1000</v>
      </c>
    </row>
    <row r="2414" spans="1:13" s="1016" customFormat="1" ht="25.2" hidden="1" customHeight="1">
      <c r="A2414" s="1086">
        <f t="shared" si="102"/>
        <v>0</v>
      </c>
      <c r="B2414" s="1221" t="s">
        <v>1609</v>
      </c>
      <c r="C2414" s="2838"/>
      <c r="D2414" s="1011"/>
      <c r="E2414" s="1012">
        <v>0</v>
      </c>
      <c r="F2414" s="1013" t="str">
        <f>VLOOKUP($B2414,DG!A:D,DG!$C$2,)</f>
        <v>Boulon 16x250+ 2 long đền vuông D18-50x50x3/Zn</v>
      </c>
      <c r="G2414" s="1012" t="str">
        <f>VLOOKUP($B2414,DG!A:D,DG!$D$2,)</f>
        <v>bộ</v>
      </c>
      <c r="H2414" s="1713">
        <f>H2413</f>
        <v>0</v>
      </c>
      <c r="I2414" s="1192">
        <f t="shared" si="97"/>
        <v>0</v>
      </c>
      <c r="J2414" s="1041"/>
      <c r="K2414" s="1041"/>
      <c r="L2414" s="1015"/>
      <c r="M2414" s="934">
        <v>1000</v>
      </c>
    </row>
    <row r="2415" spans="1:13" s="1016" customFormat="1" ht="25.2" hidden="1" customHeight="1">
      <c r="A2415" s="1086">
        <f t="shared" si="102"/>
        <v>0</v>
      </c>
      <c r="B2415" s="1221" t="s">
        <v>2242</v>
      </c>
      <c r="C2415" s="2838"/>
      <c r="D2415" s="1187"/>
      <c r="E2415" s="1029" t="s">
        <v>730</v>
      </c>
      <c r="F2415" s="1030" t="str">
        <f>VLOOKUP($B2415,DG!A:D,DG!$C$2,)</f>
        <v>Lắp xà cột Pi loại ≤140kg/xà</v>
      </c>
      <c r="G2415" s="1029" t="str">
        <f>VLOOKUP($B2415,DG!A:D,DG!$D$2,)</f>
        <v>bộ</v>
      </c>
      <c r="H2415" s="1724">
        <f>H2409</f>
        <v>0</v>
      </c>
      <c r="I2415" s="1752">
        <f t="shared" si="97"/>
        <v>0</v>
      </c>
      <c r="J2415" s="1104"/>
      <c r="K2415" s="1104"/>
      <c r="L2415" s="1031"/>
      <c r="M2415" s="934">
        <v>1000</v>
      </c>
    </row>
    <row r="2416" spans="1:13" s="1016" customFormat="1" ht="25.2" customHeight="1">
      <c r="A2416" s="1086">
        <f t="shared" si="102"/>
        <v>1</v>
      </c>
      <c r="B2416" s="1221"/>
      <c r="C2416" s="2838"/>
      <c r="D2416" s="2935">
        <f>IF(H2416&gt;0,D2409+1,D2409)</f>
        <v>1</v>
      </c>
      <c r="E2416" s="2936"/>
      <c r="F2416" s="2937" t="s">
        <v>6464</v>
      </c>
      <c r="G2416" s="2935" t="s">
        <v>2385</v>
      </c>
      <c r="H2416" s="2938">
        <v>1</v>
      </c>
      <c r="I2416" s="2938">
        <f t="shared" si="97"/>
        <v>1</v>
      </c>
      <c r="J2416" s="2938"/>
      <c r="K2416" s="2938"/>
      <c r="L2416" s="2797"/>
      <c r="M2416" s="934">
        <v>1000</v>
      </c>
    </row>
    <row r="2417" spans="1:13" s="1016" customFormat="1" ht="25.2" hidden="1" customHeight="1">
      <c r="A2417" s="1086">
        <f t="shared" si="102"/>
        <v>0</v>
      </c>
      <c r="B2417" s="1221"/>
      <c r="C2417" s="2838"/>
      <c r="D2417" s="2897"/>
      <c r="E2417" s="2903"/>
      <c r="F2417" s="2904" t="s">
        <v>2279</v>
      </c>
      <c r="G2417" s="1153"/>
      <c r="H2417" s="2893"/>
      <c r="I2417" s="2893">
        <f t="shared" si="97"/>
        <v>0</v>
      </c>
      <c r="J2417" s="2893"/>
      <c r="K2417" s="2893"/>
      <c r="L2417" s="2894"/>
      <c r="M2417" s="934">
        <v>1000</v>
      </c>
    </row>
    <row r="2418" spans="1:13" s="1016" customFormat="1" ht="25.2" customHeight="1">
      <c r="A2418" s="1086">
        <f t="shared" ref="A2418" si="103">IF(AND(M2418=$M$23,I2418&gt;0),1,0)</f>
        <v>1</v>
      </c>
      <c r="B2418" s="2830" t="s">
        <v>4328</v>
      </c>
      <c r="C2418" s="2871">
        <v>1</v>
      </c>
      <c r="D2418" s="2794"/>
      <c r="E2418" s="2809">
        <v>0</v>
      </c>
      <c r="F2418" s="2931" t="str">
        <f>VLOOKUP($B2418,DG!A:D,DG!$C$2,)</f>
        <v>Xà composite 110x800x5 dài 2,4m</v>
      </c>
      <c r="G2418" s="2809" t="str">
        <f>VLOOKUP($B2418,DG!A:D,DG!$D$2,)</f>
        <v>cái</v>
      </c>
      <c r="H2418" s="2810">
        <f>$C2418*H$2416</f>
        <v>1</v>
      </c>
      <c r="I2418" s="2810">
        <f t="shared" ref="I2418:K2424" si="104">$C2418*I$2416</f>
        <v>1</v>
      </c>
      <c r="J2418" s="2810">
        <f t="shared" si="104"/>
        <v>0</v>
      </c>
      <c r="K2418" s="2810">
        <f t="shared" si="104"/>
        <v>0</v>
      </c>
      <c r="L2418" s="2797"/>
      <c r="M2418" s="934">
        <v>1000</v>
      </c>
    </row>
    <row r="2419" spans="1:13" s="1016" customFormat="1" ht="25.2" customHeight="1">
      <c r="A2419" s="1086">
        <f t="shared" si="102"/>
        <v>1</v>
      </c>
      <c r="B2419" s="2830" t="s">
        <v>363</v>
      </c>
      <c r="C2419" s="2871">
        <v>1</v>
      </c>
      <c r="D2419" s="2794"/>
      <c r="E2419" s="2809">
        <v>0</v>
      </c>
      <c r="F2419" s="2931" t="str">
        <f>VLOOKUP($B2419,DG!A:D,DG!$C$2,)</f>
        <v>Chống composite 40x10x920</v>
      </c>
      <c r="G2419" s="2809" t="str">
        <f>VLOOKUP($B2419,DG!A:D,DG!$D$2,)</f>
        <v>cái</v>
      </c>
      <c r="H2419" s="2810">
        <f>$C2419*H$2416</f>
        <v>1</v>
      </c>
      <c r="I2419" s="2810">
        <f t="shared" si="104"/>
        <v>1</v>
      </c>
      <c r="J2419" s="2810">
        <f t="shared" si="104"/>
        <v>0</v>
      </c>
      <c r="K2419" s="2810">
        <f t="shared" si="104"/>
        <v>0</v>
      </c>
      <c r="L2419" s="2797"/>
      <c r="M2419" s="934">
        <v>1000</v>
      </c>
    </row>
    <row r="2420" spans="1:13" s="1016" customFormat="1" ht="25.2" customHeight="1">
      <c r="A2420" s="1086">
        <f t="shared" si="102"/>
        <v>1</v>
      </c>
      <c r="B2420" s="1221" t="s">
        <v>1609</v>
      </c>
      <c r="C2420" s="2838">
        <v>2</v>
      </c>
      <c r="D2420" s="2794"/>
      <c r="E2420" s="2809">
        <v>0</v>
      </c>
      <c r="F2420" s="2931" t="str">
        <f>VLOOKUP($B2420,DG!A:D,DG!$C$2,)</f>
        <v>Boulon 16x250+ 2 long đền vuông D18-50x50x3/Zn</v>
      </c>
      <c r="G2420" s="2809" t="str">
        <f>VLOOKUP($B2420,DG!A:D,DG!$D$2,)</f>
        <v>bộ</v>
      </c>
      <c r="H2420" s="2810">
        <f t="shared" ref="H2420:H2424" si="105">$C2420*H$2416</f>
        <v>2</v>
      </c>
      <c r="I2420" s="2810">
        <f t="shared" si="104"/>
        <v>2</v>
      </c>
      <c r="J2420" s="2810">
        <f t="shared" si="104"/>
        <v>0</v>
      </c>
      <c r="K2420" s="2810">
        <f t="shared" si="104"/>
        <v>0</v>
      </c>
      <c r="L2420" s="2797"/>
      <c r="M2420" s="934">
        <v>1000</v>
      </c>
    </row>
    <row r="2421" spans="1:13" s="1016" customFormat="1" ht="25.2" customHeight="1">
      <c r="A2421" s="1086">
        <f t="shared" si="102"/>
        <v>1</v>
      </c>
      <c r="B2421" s="1221" t="s">
        <v>1079</v>
      </c>
      <c r="C2421" s="2838">
        <v>2</v>
      </c>
      <c r="D2421" s="2794"/>
      <c r="E2421" s="2809">
        <v>0</v>
      </c>
      <c r="F2421" s="2931" t="str">
        <f>VLOOKUP($B2421,DG!A:D,DG!$C$2,)</f>
        <v>Boulon 16x350+ 2 long đền vuông D18-50x50x3/Zn</v>
      </c>
      <c r="G2421" s="2809" t="str">
        <f>VLOOKUP($B2421,DG!A:D,DG!$D$2,)</f>
        <v>bộ</v>
      </c>
      <c r="H2421" s="2810">
        <f t="shared" si="105"/>
        <v>2</v>
      </c>
      <c r="I2421" s="2810">
        <f t="shared" si="104"/>
        <v>2</v>
      </c>
      <c r="J2421" s="2810">
        <f t="shared" si="104"/>
        <v>0</v>
      </c>
      <c r="K2421" s="2810">
        <f t="shared" si="104"/>
        <v>0</v>
      </c>
      <c r="L2421" s="2797"/>
      <c r="M2421" s="934">
        <v>1000</v>
      </c>
    </row>
    <row r="2422" spans="1:13" s="1016" customFormat="1" ht="25.2" customHeight="1">
      <c r="A2422" s="1086">
        <f t="shared" ref="A2422" si="106">IF(AND(M2422=$M$23,I2422&gt;0),1,0)</f>
        <v>1</v>
      </c>
      <c r="B2422" s="2830" t="s">
        <v>2271</v>
      </c>
      <c r="C2422" s="2871">
        <v>3</v>
      </c>
      <c r="D2422" s="2794"/>
      <c r="E2422" s="2809">
        <v>0</v>
      </c>
      <c r="F2422" s="2931" t="str">
        <f>VLOOKUP($B2422,DG!A:D,DG!$C$2,)</f>
        <v>Bass LL bắt FCO, LA</v>
      </c>
      <c r="G2422" s="2809" t="str">
        <f>VLOOKUP($B2422,DG!A:D,DG!$D$2,)</f>
        <v>bộ</v>
      </c>
      <c r="H2422" s="2810">
        <f t="shared" si="105"/>
        <v>3</v>
      </c>
      <c r="I2422" s="2810">
        <f t="shared" si="104"/>
        <v>3</v>
      </c>
      <c r="J2422" s="2810">
        <f t="shared" si="104"/>
        <v>0</v>
      </c>
      <c r="K2422" s="2810">
        <f t="shared" si="104"/>
        <v>0</v>
      </c>
      <c r="L2422" s="2797"/>
      <c r="M2422" s="934">
        <v>1000</v>
      </c>
    </row>
    <row r="2423" spans="1:13" s="1016" customFormat="1" ht="25.2" customHeight="1">
      <c r="A2423" s="1086">
        <f t="shared" si="102"/>
        <v>1</v>
      </c>
      <c r="B2423" s="2830" t="s">
        <v>1735</v>
      </c>
      <c r="C2423" s="2871">
        <v>3</v>
      </c>
      <c r="D2423" s="2794"/>
      <c r="E2423" s="2809">
        <v>0</v>
      </c>
      <c r="F2423" s="2931" t="str">
        <f>VLOOKUP($B2423,DG!A:D,DG!$C$2,)</f>
        <v>Bass LI bắt FCO</v>
      </c>
      <c r="G2423" s="2809" t="str">
        <f>VLOOKUP($B2423,DG!A:D,DG!$D$2,)</f>
        <v>Bộ</v>
      </c>
      <c r="H2423" s="2810">
        <f t="shared" si="105"/>
        <v>3</v>
      </c>
      <c r="I2423" s="2810">
        <f t="shared" si="104"/>
        <v>3</v>
      </c>
      <c r="J2423" s="2810">
        <f t="shared" si="104"/>
        <v>0</v>
      </c>
      <c r="K2423" s="2810">
        <f t="shared" si="104"/>
        <v>0</v>
      </c>
      <c r="L2423" s="2797"/>
      <c r="M2423" s="934">
        <v>1000</v>
      </c>
    </row>
    <row r="2424" spans="1:13" s="1016" customFormat="1" ht="25.2" customHeight="1">
      <c r="A2424" s="1086">
        <f t="shared" si="102"/>
        <v>1</v>
      </c>
      <c r="B2424" s="1221" t="s">
        <v>2242</v>
      </c>
      <c r="C2424" s="2838">
        <v>1</v>
      </c>
      <c r="D2424" s="2794"/>
      <c r="E2424" s="2809" t="s">
        <v>730</v>
      </c>
      <c r="F2424" s="2931" t="str">
        <f>VLOOKUP($B2424,DG!A:D,DG!$C$2,)</f>
        <v>Lắp xà cột Pi loại ≤140kg/xà</v>
      </c>
      <c r="G2424" s="2809" t="str">
        <f>VLOOKUP($B2424,DG!A:D,DG!$D$2,)</f>
        <v>bộ</v>
      </c>
      <c r="H2424" s="2810">
        <f t="shared" si="105"/>
        <v>1</v>
      </c>
      <c r="I2424" s="2810">
        <f t="shared" si="104"/>
        <v>1</v>
      </c>
      <c r="J2424" s="2810">
        <f t="shared" si="104"/>
        <v>0</v>
      </c>
      <c r="K2424" s="2810">
        <f t="shared" si="104"/>
        <v>0</v>
      </c>
      <c r="L2424" s="2797"/>
      <c r="M2424" s="934">
        <v>1000</v>
      </c>
    </row>
    <row r="2425" spans="1:13" s="1016" customFormat="1" ht="25.2" hidden="1" customHeight="1">
      <c r="A2425" s="1086">
        <f t="shared" si="102"/>
        <v>0</v>
      </c>
      <c r="B2425" s="1221"/>
      <c r="C2425" s="2838"/>
      <c r="D2425" s="1050">
        <f>IF(H2425&gt;0,D2416+1,D2416)</f>
        <v>1</v>
      </c>
      <c r="E2425" s="2905"/>
      <c r="F2425" s="1052" t="s">
        <v>3717</v>
      </c>
      <c r="G2425" s="1050" t="s">
        <v>2385</v>
      </c>
      <c r="H2425" s="1742">
        <f>H2401*2</f>
        <v>0</v>
      </c>
      <c r="I2425" s="1869">
        <f t="shared" si="97"/>
        <v>0</v>
      </c>
      <c r="J2425" s="2906"/>
      <c r="K2425" s="2906"/>
      <c r="L2425" s="1129"/>
      <c r="M2425" s="934">
        <v>1000</v>
      </c>
    </row>
    <row r="2426" spans="1:13" s="1016" customFormat="1" ht="25.2" hidden="1" customHeight="1">
      <c r="A2426" s="1086">
        <f t="shared" si="102"/>
        <v>0</v>
      </c>
      <c r="B2426" s="1221"/>
      <c r="C2426" s="2838"/>
      <c r="D2426" s="1011"/>
      <c r="E2426" s="1021"/>
      <c r="F2426" s="1267" t="s">
        <v>2279</v>
      </c>
      <c r="G2426" s="1023"/>
      <c r="H2426" s="1713"/>
      <c r="I2426" s="1192">
        <f t="shared" si="97"/>
        <v>0</v>
      </c>
      <c r="J2426" s="1064"/>
      <c r="K2426" s="1064"/>
      <c r="L2426" s="1015"/>
      <c r="M2426" s="934">
        <v>1000</v>
      </c>
    </row>
    <row r="2427" spans="1:13" s="1016" customFormat="1" ht="25.2" hidden="1" customHeight="1">
      <c r="A2427" s="1086">
        <f t="shared" si="102"/>
        <v>0</v>
      </c>
      <c r="B2427" s="1221" t="s">
        <v>2022</v>
      </c>
      <c r="C2427" s="2838"/>
      <c r="D2427" s="1011"/>
      <c r="E2427" s="1012">
        <v>0</v>
      </c>
      <c r="F2427" s="1013" t="str">
        <f>VLOOKUP($B2427,DG!A:D,DG!$C$2,)</f>
        <v>Sắt góc L75 x75 x8</v>
      </c>
      <c r="G2427" s="1012" t="str">
        <f>VLOOKUP($B2427,DG!A:D,DG!$D$2,)</f>
        <v>kg</v>
      </c>
      <c r="H2427" s="1713">
        <f>H2425*9.42*2.6</f>
        <v>0</v>
      </c>
      <c r="I2427" s="1192">
        <f t="shared" si="97"/>
        <v>0</v>
      </c>
      <c r="J2427" s="1041"/>
      <c r="K2427" s="1041"/>
      <c r="L2427" s="1015"/>
      <c r="M2427" s="934">
        <v>1000</v>
      </c>
    </row>
    <row r="2428" spans="1:13" s="1016" customFormat="1" ht="25.2" hidden="1" customHeight="1">
      <c r="A2428" s="1086">
        <f t="shared" si="102"/>
        <v>0</v>
      </c>
      <c r="B2428" s="1221" t="s">
        <v>1083</v>
      </c>
      <c r="C2428" s="2838"/>
      <c r="D2428" s="1011"/>
      <c r="E2428" s="1012">
        <v>0</v>
      </c>
      <c r="F2428" s="1013" t="str">
        <f>VLOOKUP($B2428,DG!A:D,DG!$C$2,)</f>
        <v>Boulon 16x400+ 2 long đền vuông D18-50x50x3/Zn</v>
      </c>
      <c r="G2428" s="1012" t="str">
        <f>VLOOKUP($B2428,DG!A:D,DG!$D$2,)</f>
        <v>bộ</v>
      </c>
      <c r="H2428" s="1713">
        <f>H2425*2</f>
        <v>0</v>
      </c>
      <c r="I2428" s="1192">
        <f t="shared" si="97"/>
        <v>0</v>
      </c>
      <c r="J2428" s="1041"/>
      <c r="K2428" s="1041"/>
      <c r="L2428" s="1015"/>
      <c r="M2428" s="934">
        <v>1000</v>
      </c>
    </row>
    <row r="2429" spans="1:13" s="1016" customFormat="1" ht="25.2" hidden="1" customHeight="1">
      <c r="A2429" s="1086">
        <f t="shared" si="102"/>
        <v>0</v>
      </c>
      <c r="B2429" s="1221" t="s">
        <v>2242</v>
      </c>
      <c r="C2429" s="2838"/>
      <c r="D2429" s="1011"/>
      <c r="E2429" s="1012" t="s">
        <v>730</v>
      </c>
      <c r="F2429" s="1013" t="str">
        <f>VLOOKUP($B2429,DG!A:D,DG!$C$2,)</f>
        <v>Lắp xà cột Pi loại ≤140kg/xà</v>
      </c>
      <c r="G2429" s="1012" t="str">
        <f>VLOOKUP($B2429,DG!A:D,DG!$D$2,)</f>
        <v>bộ</v>
      </c>
      <c r="H2429" s="1713">
        <f>H2425</f>
        <v>0</v>
      </c>
      <c r="I2429" s="1192">
        <f t="shared" si="97"/>
        <v>0</v>
      </c>
      <c r="J2429" s="1041"/>
      <c r="K2429" s="1041"/>
      <c r="L2429" s="1015"/>
      <c r="M2429" s="934">
        <v>1000</v>
      </c>
    </row>
    <row r="2430" spans="1:13" s="1016" customFormat="1" ht="25.2" hidden="1" customHeight="1">
      <c r="A2430" s="1086">
        <f t="shared" si="102"/>
        <v>0</v>
      </c>
      <c r="B2430" s="1221" t="s">
        <v>1610</v>
      </c>
      <c r="C2430" s="2838"/>
      <c r="D2430" s="1011"/>
      <c r="E2430" s="1012">
        <v>0</v>
      </c>
      <c r="F2430" s="1013" t="str">
        <f>VLOOKUP($B2430,DG!A:D,DG!$C$2,)</f>
        <v>Boulon 16x300+ 2 long đền vuông D18-50x50x3/Zn</v>
      </c>
      <c r="G2430" s="1012" t="str">
        <f>VLOOKUP($B2430,DG!A:D,DG!$D$2,)</f>
        <v>bộ</v>
      </c>
      <c r="H2430" s="1713">
        <f>H2425*2*0</f>
        <v>0</v>
      </c>
      <c r="I2430" s="1192">
        <f t="shared" si="97"/>
        <v>0</v>
      </c>
      <c r="J2430" s="1041"/>
      <c r="K2430" s="1041"/>
      <c r="L2430" s="1015"/>
      <c r="M2430" s="934">
        <v>1000</v>
      </c>
    </row>
    <row r="2431" spans="1:13" s="1016" customFormat="1" ht="25.2" hidden="1" customHeight="1">
      <c r="A2431" s="1086">
        <f t="shared" si="102"/>
        <v>0</v>
      </c>
      <c r="B2431" s="1221" t="s">
        <v>1609</v>
      </c>
      <c r="C2431" s="2838"/>
      <c r="D2431" s="1187"/>
      <c r="E2431" s="1029">
        <v>0</v>
      </c>
      <c r="F2431" s="1030" t="str">
        <f>VLOOKUP($B2431,DG!A:D,DG!$C$2,)</f>
        <v>Boulon 16x250+ 2 long đền vuông D18-50x50x3/Zn</v>
      </c>
      <c r="G2431" s="1029" t="str">
        <f>VLOOKUP($B2431,DG!A:D,DG!$D$2,)</f>
        <v>bộ</v>
      </c>
      <c r="H2431" s="1724">
        <f>2*H2425*2*0</f>
        <v>0</v>
      </c>
      <c r="I2431" s="1752">
        <f t="shared" si="97"/>
        <v>0</v>
      </c>
      <c r="J2431" s="1104"/>
      <c r="K2431" s="1104"/>
      <c r="L2431" s="1031"/>
      <c r="M2431" s="934">
        <v>1000</v>
      </c>
    </row>
    <row r="2432" spans="1:13" s="1016" customFormat="1" ht="25.2" customHeight="1" collapsed="1">
      <c r="A2432" s="1086">
        <f t="shared" si="102"/>
        <v>1</v>
      </c>
      <c r="B2432" s="1221"/>
      <c r="C2432" s="2838"/>
      <c r="D2432" s="2935">
        <f>IF(H2432&gt;0,D2425+1,D2425)</f>
        <v>2</v>
      </c>
      <c r="E2432" s="2936"/>
      <c r="F2432" s="2937" t="s">
        <v>3752</v>
      </c>
      <c r="G2432" s="2935" t="s">
        <v>2385</v>
      </c>
      <c r="H2432" s="2938">
        <v>1</v>
      </c>
      <c r="I2432" s="2938">
        <f t="shared" ref="I2432" si="107">IF(M2432=$M$23,H2432+J2432-K2432,0)</f>
        <v>1</v>
      </c>
      <c r="J2432" s="2938"/>
      <c r="K2432" s="2938"/>
      <c r="L2432" s="2797"/>
      <c r="M2432" s="934">
        <v>1000</v>
      </c>
    </row>
    <row r="2433" spans="1:13" s="1016" customFormat="1" ht="25.2" hidden="1" customHeight="1">
      <c r="A2433" s="1086">
        <f t="shared" si="102"/>
        <v>0</v>
      </c>
      <c r="B2433" s="1221"/>
      <c r="C2433" s="2838"/>
      <c r="D2433" s="2897"/>
      <c r="E2433" s="2903"/>
      <c r="F2433" s="2904" t="s">
        <v>2279</v>
      </c>
      <c r="G2433" s="1153"/>
      <c r="H2433" s="2893"/>
      <c r="I2433" s="2898">
        <f t="shared" ref="I2433:I2500" si="108">IF(M2433=$M$23,H2433+J2433-K2433,0)</f>
        <v>0</v>
      </c>
      <c r="J2433" s="2907"/>
      <c r="K2433" s="2907"/>
      <c r="L2433" s="2894"/>
      <c r="M2433" s="934">
        <v>1000</v>
      </c>
    </row>
    <row r="2434" spans="1:13" s="1016" customFormat="1" ht="25.2" customHeight="1">
      <c r="A2434" s="1086">
        <f t="shared" si="102"/>
        <v>1</v>
      </c>
      <c r="B2434" s="1221" t="s">
        <v>6409</v>
      </c>
      <c r="C2434" s="2838">
        <v>2</v>
      </c>
      <c r="D2434" s="2794"/>
      <c r="E2434" s="2809">
        <v>0</v>
      </c>
      <c r="F2434" s="2931" t="str">
        <f>VLOOKUP($B2434,DG!A:D,DG!$C$2,)</f>
        <v>Sắt góc L75 x75 x8 x2400</v>
      </c>
      <c r="G2434" s="2809" t="str">
        <f>VLOOKUP($B2434,DG!A:D,DG!$D$2,)</f>
        <v>cái</v>
      </c>
      <c r="H2434" s="2810">
        <f>$C2434*H$2432</f>
        <v>2</v>
      </c>
      <c r="I2434" s="2810">
        <f t="shared" ref="I2434:K2440" si="109">$C2434*I$2432</f>
        <v>2</v>
      </c>
      <c r="J2434" s="2810">
        <f t="shared" si="109"/>
        <v>0</v>
      </c>
      <c r="K2434" s="2810">
        <f t="shared" si="109"/>
        <v>0</v>
      </c>
      <c r="L2434" s="2797"/>
      <c r="M2434" s="934">
        <v>1000</v>
      </c>
    </row>
    <row r="2435" spans="1:13" s="1016" customFormat="1" ht="25.2" customHeight="1">
      <c r="A2435" s="1086">
        <f t="shared" si="102"/>
        <v>1</v>
      </c>
      <c r="B2435" s="1221" t="s">
        <v>6467</v>
      </c>
      <c r="C2435" s="2838">
        <v>2</v>
      </c>
      <c r="D2435" s="2794"/>
      <c r="E2435" s="2809" t="s">
        <v>554</v>
      </c>
      <c r="F2435" s="2931" t="str">
        <f>VLOOKUP($B2435,DG!A:D,DG!$C$2,)</f>
        <v>Sắt góc L50 x50 x5 x920</v>
      </c>
      <c r="G2435" s="2809" t="str">
        <f>VLOOKUP($B2435,DG!A:D,DG!$D$2,)</f>
        <v>cái</v>
      </c>
      <c r="H2435" s="2810">
        <f t="shared" ref="H2435:H2440" si="110">$C2435*H$2432</f>
        <v>2</v>
      </c>
      <c r="I2435" s="2810">
        <f t="shared" si="109"/>
        <v>2</v>
      </c>
      <c r="J2435" s="2810">
        <f t="shared" si="109"/>
        <v>0</v>
      </c>
      <c r="K2435" s="2810">
        <f t="shared" si="109"/>
        <v>0</v>
      </c>
      <c r="L2435" s="2797"/>
      <c r="M2435" s="934">
        <v>1000</v>
      </c>
    </row>
    <row r="2436" spans="1:13" s="1016" customFormat="1" ht="25.2" customHeight="1">
      <c r="A2436" s="1086">
        <f t="shared" si="102"/>
        <v>1</v>
      </c>
      <c r="B2436" s="1221" t="s">
        <v>1610</v>
      </c>
      <c r="C2436" s="2838">
        <v>4</v>
      </c>
      <c r="D2436" s="2794"/>
      <c r="E2436" s="2809">
        <v>0</v>
      </c>
      <c r="F2436" s="2931" t="str">
        <f>VLOOKUP($B2436,DG!A:D,DG!$C$2,)</f>
        <v>Boulon 16x300+ 2 long đền vuông D18-50x50x3/Zn</v>
      </c>
      <c r="G2436" s="2809" t="str">
        <f>VLOOKUP($B2436,DG!A:D,DG!$D$2,)</f>
        <v>bộ</v>
      </c>
      <c r="H2436" s="2810">
        <f t="shared" si="110"/>
        <v>4</v>
      </c>
      <c r="I2436" s="2810">
        <f t="shared" si="109"/>
        <v>4</v>
      </c>
      <c r="J2436" s="2810">
        <f t="shared" si="109"/>
        <v>0</v>
      </c>
      <c r="K2436" s="2810">
        <f t="shared" si="109"/>
        <v>0</v>
      </c>
      <c r="L2436" s="2797"/>
      <c r="M2436" s="934">
        <v>1000</v>
      </c>
    </row>
    <row r="2437" spans="1:13" s="1016" customFormat="1" ht="25.2" customHeight="1">
      <c r="A2437" s="1086">
        <f t="shared" si="102"/>
        <v>1</v>
      </c>
      <c r="B2437" s="1221" t="s">
        <v>1786</v>
      </c>
      <c r="C2437" s="2838">
        <v>8</v>
      </c>
      <c r="D2437" s="2794"/>
      <c r="E2437" s="2809">
        <v>0</v>
      </c>
      <c r="F2437" s="2931" t="str">
        <f>VLOOKUP($B2437,DG!A:D,DG!$C$2,)</f>
        <v>Boulon 16x50+ 2 long đền vuông D18-50x50x3/Zn</v>
      </c>
      <c r="G2437" s="2809" t="str">
        <f>VLOOKUP($B2437,DG!A:D,DG!$D$2,)</f>
        <v>bộ</v>
      </c>
      <c r="H2437" s="2810">
        <f t="shared" si="110"/>
        <v>8</v>
      </c>
      <c r="I2437" s="2810">
        <f t="shared" si="109"/>
        <v>8</v>
      </c>
      <c r="J2437" s="2810">
        <f t="shared" si="109"/>
        <v>0</v>
      </c>
      <c r="K2437" s="2810">
        <f t="shared" si="109"/>
        <v>0</v>
      </c>
      <c r="L2437" s="2797"/>
      <c r="M2437" s="934">
        <v>1000</v>
      </c>
    </row>
    <row r="2438" spans="1:13" s="1016" customFormat="1" ht="25.2" customHeight="1">
      <c r="A2438" s="1086">
        <f t="shared" si="102"/>
        <v>1</v>
      </c>
      <c r="B2438" s="1221" t="s">
        <v>1784</v>
      </c>
      <c r="C2438" s="2838">
        <v>8</v>
      </c>
      <c r="D2438" s="2794"/>
      <c r="E2438" s="2809">
        <v>0</v>
      </c>
      <c r="F2438" s="2931" t="str">
        <f>VLOOKUP($B2438,DG!A:D,DG!$C$2,)</f>
        <v>Boulon 16x300VRS+ 4 long đền vuông D18-50x50x3/Zn</v>
      </c>
      <c r="G2438" s="2809" t="str">
        <f>VLOOKUP($B2438,DG!A:D,DG!$D$2,)</f>
        <v>bộ</v>
      </c>
      <c r="H2438" s="2810">
        <f t="shared" si="110"/>
        <v>8</v>
      </c>
      <c r="I2438" s="2810">
        <f t="shared" si="109"/>
        <v>8</v>
      </c>
      <c r="J2438" s="2810">
        <f t="shared" si="109"/>
        <v>0</v>
      </c>
      <c r="K2438" s="2810">
        <f t="shared" si="109"/>
        <v>0</v>
      </c>
      <c r="L2438" s="2797"/>
      <c r="M2438" s="934">
        <v>1000</v>
      </c>
    </row>
    <row r="2439" spans="1:13" s="1016" customFormat="1" ht="25.2" hidden="1" customHeight="1">
      <c r="A2439" s="1086">
        <f t="shared" si="102"/>
        <v>0</v>
      </c>
      <c r="B2439" s="1221" t="s">
        <v>550</v>
      </c>
      <c r="C2439" s="2838"/>
      <c r="D2439" s="2897"/>
      <c r="E2439" s="1154">
        <v>0</v>
      </c>
      <c r="F2439" s="2892" t="str">
        <f>VLOOKUP($B2439,DG!A:D,DG!$C$2,)</f>
        <v>Bass LI bắt FCO</v>
      </c>
      <c r="G2439" s="1154" t="str">
        <f>VLOOKUP($B2439,DG!A:D,DG!$D$2,)</f>
        <v>Bộ</v>
      </c>
      <c r="H2439" s="2893">
        <f t="shared" si="110"/>
        <v>0</v>
      </c>
      <c r="I2439" s="2893">
        <f t="shared" si="109"/>
        <v>0</v>
      </c>
      <c r="J2439" s="2893">
        <f t="shared" si="109"/>
        <v>0</v>
      </c>
      <c r="K2439" s="2893">
        <f t="shared" si="109"/>
        <v>0</v>
      </c>
      <c r="L2439" s="2894"/>
      <c r="M2439" s="934">
        <v>1000</v>
      </c>
    </row>
    <row r="2440" spans="1:13" s="1016" customFormat="1" ht="25.2" customHeight="1">
      <c r="A2440" s="1086">
        <f t="shared" si="102"/>
        <v>1</v>
      </c>
      <c r="B2440" s="1221" t="s">
        <v>517</v>
      </c>
      <c r="C2440" s="2838">
        <v>1</v>
      </c>
      <c r="D2440" s="2794"/>
      <c r="E2440" s="2809" t="s">
        <v>1457</v>
      </c>
      <c r="F2440" s="2931" t="str">
        <f>VLOOKUP($B2440,DG!A:D,DG!$C$2,)</f>
        <v>Lắp xà néo ≤ 100kg</v>
      </c>
      <c r="G2440" s="2809" t="str">
        <f>VLOOKUP($B2440,DG!A:D,DG!$D$2,)</f>
        <v>bộ</v>
      </c>
      <c r="H2440" s="2810">
        <f t="shared" si="110"/>
        <v>1</v>
      </c>
      <c r="I2440" s="2810">
        <f t="shared" si="109"/>
        <v>1</v>
      </c>
      <c r="J2440" s="2810">
        <f t="shared" si="109"/>
        <v>0</v>
      </c>
      <c r="K2440" s="2810">
        <f t="shared" si="109"/>
        <v>0</v>
      </c>
      <c r="L2440" s="2797"/>
      <c r="M2440" s="934">
        <v>1000</v>
      </c>
    </row>
    <row r="2441" spans="1:13" s="1016" customFormat="1" ht="25.2" hidden="1" customHeight="1">
      <c r="A2441" s="1086">
        <f t="shared" si="102"/>
        <v>0</v>
      </c>
      <c r="B2441" s="1221"/>
      <c r="C2441" s="2838"/>
      <c r="D2441" s="1050">
        <f>IF(H2441&gt;0,D2432+1,D2432)</f>
        <v>2</v>
      </c>
      <c r="E2441" s="2905"/>
      <c r="F2441" s="1052" t="s">
        <v>3753</v>
      </c>
      <c r="G2441" s="1050" t="s">
        <v>2385</v>
      </c>
      <c r="H2441" s="1742"/>
      <c r="I2441" s="1869">
        <f t="shared" si="108"/>
        <v>0</v>
      </c>
      <c r="J2441" s="2908"/>
      <c r="K2441" s="2908"/>
      <c r="L2441" s="1129"/>
      <c r="M2441" s="934">
        <v>1000</v>
      </c>
    </row>
    <row r="2442" spans="1:13" s="1016" customFormat="1" ht="25.2" hidden="1" customHeight="1">
      <c r="A2442" s="1086">
        <f t="shared" si="102"/>
        <v>0</v>
      </c>
      <c r="B2442" s="1221"/>
      <c r="C2442" s="2838"/>
      <c r="D2442" s="1011"/>
      <c r="E2442" s="1021"/>
      <c r="F2442" s="1267" t="s">
        <v>2279</v>
      </c>
      <c r="G2442" s="1023"/>
      <c r="H2442" s="1713"/>
      <c r="I2442" s="1192">
        <f t="shared" si="108"/>
        <v>0</v>
      </c>
      <c r="J2442" s="1014"/>
      <c r="K2442" s="1014"/>
      <c r="L2442" s="1015"/>
      <c r="M2442" s="934">
        <v>1000</v>
      </c>
    </row>
    <row r="2443" spans="1:13" s="1016" customFormat="1" ht="25.2" hidden="1" customHeight="1">
      <c r="A2443" s="1086">
        <f t="shared" si="102"/>
        <v>0</v>
      </c>
      <c r="B2443" s="1221" t="s">
        <v>2022</v>
      </c>
      <c r="C2443" s="2838"/>
      <c r="D2443" s="1011"/>
      <c r="E2443" s="1012">
        <v>0</v>
      </c>
      <c r="F2443" s="1013" t="str">
        <f>VLOOKUP($B2443,DG!A:D,DG!$C$2,)</f>
        <v>Sắt góc L75 x75 x8</v>
      </c>
      <c r="G2443" s="1012" t="str">
        <f>VLOOKUP($B2443,DG!A:D,DG!$D$2,)</f>
        <v>kg</v>
      </c>
      <c r="H2443" s="1713">
        <f>H2441*9.02*(2.2+4*0.07)</f>
        <v>0</v>
      </c>
      <c r="I2443" s="1192">
        <f t="shared" si="108"/>
        <v>0</v>
      </c>
      <c r="J2443" s="1014"/>
      <c r="K2443" s="1014"/>
      <c r="L2443" s="1015"/>
      <c r="M2443" s="934">
        <v>1000</v>
      </c>
    </row>
    <row r="2444" spans="1:13" s="1016" customFormat="1" ht="25.2" hidden="1" customHeight="1">
      <c r="A2444" s="1086">
        <f t="shared" si="102"/>
        <v>0</v>
      </c>
      <c r="B2444" s="1221" t="s">
        <v>1035</v>
      </c>
      <c r="C2444" s="2838"/>
      <c r="D2444" s="1011"/>
      <c r="E2444" s="1012">
        <v>0</v>
      </c>
      <c r="F2444" s="1013" t="str">
        <f>VLOOKUP($B2444,DG!A:D,DG!$C$2,)&amp;" (Thanh choáng 920)"</f>
        <v>Sắt góc L50 x50 x5 (Thanh choáng 920)</v>
      </c>
      <c r="G2444" s="1012" t="str">
        <f>VLOOKUP($B2444,DG!A:D,DG!$D$2,)</f>
        <v>kg</v>
      </c>
      <c r="H2444" s="1744">
        <f>H2441*3.77*0.92*2</f>
        <v>0</v>
      </c>
      <c r="I2444" s="1192">
        <f t="shared" si="108"/>
        <v>0</v>
      </c>
      <c r="J2444" s="1014"/>
      <c r="K2444" s="1014"/>
      <c r="L2444" s="1015"/>
      <c r="M2444" s="934">
        <v>1000</v>
      </c>
    </row>
    <row r="2445" spans="1:13" s="1016" customFormat="1" ht="25.2" hidden="1" customHeight="1">
      <c r="A2445" s="1086">
        <f t="shared" si="102"/>
        <v>0</v>
      </c>
      <c r="B2445" s="1221" t="s">
        <v>1079</v>
      </c>
      <c r="C2445" s="2838"/>
      <c r="D2445" s="1011"/>
      <c r="E2445" s="1012">
        <v>0</v>
      </c>
      <c r="F2445" s="1013" t="str">
        <f>VLOOKUP($B2445,DG!A:D,DG!$C$2,)</f>
        <v>Boulon 16x350+ 2 long đền vuông D18-50x50x3/Zn</v>
      </c>
      <c r="G2445" s="1012" t="str">
        <f>VLOOKUP($B2445,DG!A:D,DG!$D$2,)</f>
        <v>bộ</v>
      </c>
      <c r="H2445" s="1713">
        <f>H2441*2</f>
        <v>0</v>
      </c>
      <c r="I2445" s="1192">
        <f t="shared" si="108"/>
        <v>0</v>
      </c>
      <c r="J2445" s="1014"/>
      <c r="K2445" s="1014"/>
      <c r="L2445" s="1015"/>
      <c r="M2445" s="934">
        <v>1000</v>
      </c>
    </row>
    <row r="2446" spans="1:13" s="1016" customFormat="1" ht="25.2" hidden="1" customHeight="1">
      <c r="A2446" s="1086">
        <f t="shared" si="102"/>
        <v>0</v>
      </c>
      <c r="B2446" s="1221" t="s">
        <v>1786</v>
      </c>
      <c r="C2446" s="2838"/>
      <c r="D2446" s="1011"/>
      <c r="E2446" s="1012">
        <v>0</v>
      </c>
      <c r="F2446" s="1013" t="str">
        <f>VLOOKUP($B2446,DG!A:D,DG!$C$2,)</f>
        <v>Boulon 16x50+ 2 long đền vuông D18-50x50x3/Zn</v>
      </c>
      <c r="G2446" s="1012" t="str">
        <f>VLOOKUP($B2446,DG!A:D,DG!$D$2,)</f>
        <v>bộ</v>
      </c>
      <c r="H2446" s="1713">
        <f>H2441*2</f>
        <v>0</v>
      </c>
      <c r="I2446" s="1192">
        <f t="shared" si="108"/>
        <v>0</v>
      </c>
      <c r="J2446" s="1014"/>
      <c r="K2446" s="1014"/>
      <c r="L2446" s="1015"/>
      <c r="M2446" s="934">
        <v>1000</v>
      </c>
    </row>
    <row r="2447" spans="1:13" s="1016" customFormat="1" ht="25.2" hidden="1" customHeight="1">
      <c r="A2447" s="1086">
        <f t="shared" si="102"/>
        <v>0</v>
      </c>
      <c r="B2447" s="1221" t="s">
        <v>1735</v>
      </c>
      <c r="C2447" s="2838"/>
      <c r="D2447" s="1011"/>
      <c r="E2447" s="1012">
        <v>0</v>
      </c>
      <c r="F2447" s="1013" t="str">
        <f>VLOOKUP($B2447,DG!A:D,DG!$C$2,)</f>
        <v>Bass LI bắt FCO</v>
      </c>
      <c r="G2447" s="1012" t="str">
        <f>VLOOKUP($B2447,DG!A:D,DG!$D$2,)</f>
        <v>Bộ</v>
      </c>
      <c r="H2447" s="1744">
        <f>H2441</f>
        <v>0</v>
      </c>
      <c r="I2447" s="1192">
        <f t="shared" si="108"/>
        <v>0</v>
      </c>
      <c r="J2447" s="1014"/>
      <c r="K2447" s="1014"/>
      <c r="L2447" s="1015"/>
      <c r="M2447" s="934">
        <v>1000</v>
      </c>
    </row>
    <row r="2448" spans="1:13" s="1016" customFormat="1" ht="25.2" hidden="1" customHeight="1">
      <c r="A2448" s="1086">
        <f t="shared" si="102"/>
        <v>0</v>
      </c>
      <c r="B2448" s="1221" t="s">
        <v>988</v>
      </c>
      <c r="C2448" s="2838"/>
      <c r="D2448" s="1011"/>
      <c r="E2448" s="1012">
        <v>0</v>
      </c>
      <c r="F2448" s="1013" t="str">
        <f>VLOOKUP($B2448,DG!A:D,DG!$C$2,)</f>
        <v xml:space="preserve">Cổ dê chống lắc 8x80x800 </v>
      </c>
      <c r="G2448" s="1012" t="str">
        <f>VLOOKUP($B2448,DG!A:D,DG!$D$2,)</f>
        <v>bộ</v>
      </c>
      <c r="H2448" s="1713">
        <f>H2441/3</f>
        <v>0</v>
      </c>
      <c r="I2448" s="1192">
        <f t="shared" si="108"/>
        <v>0</v>
      </c>
      <c r="J2448" s="1014"/>
      <c r="K2448" s="1014"/>
      <c r="L2448" s="1015"/>
      <c r="M2448" s="934">
        <v>1000</v>
      </c>
    </row>
    <row r="2449" spans="1:13" s="1016" customFormat="1" ht="25.2" hidden="1" customHeight="1">
      <c r="A2449" s="1086">
        <f t="shared" si="102"/>
        <v>0</v>
      </c>
      <c r="B2449" s="1221" t="s">
        <v>1998</v>
      </c>
      <c r="C2449" s="2838"/>
      <c r="D2449" s="1187"/>
      <c r="E2449" s="1029" t="s">
        <v>2265</v>
      </c>
      <c r="F2449" s="1030" t="str">
        <f>VLOOKUP($B2449,DG!A:D,DG!$C$2,)</f>
        <v>Lắp xà néo ≤ 50kg</v>
      </c>
      <c r="G2449" s="1029" t="str">
        <f>VLOOKUP($B2449,DG!A:D,DG!$D$2,)</f>
        <v>bộ</v>
      </c>
      <c r="H2449" s="1724">
        <f>H2441</f>
        <v>0</v>
      </c>
      <c r="I2449" s="1752">
        <f t="shared" si="108"/>
        <v>0</v>
      </c>
      <c r="J2449" s="1085"/>
      <c r="K2449" s="1085"/>
      <c r="L2449" s="1031"/>
      <c r="M2449" s="934">
        <v>1000</v>
      </c>
    </row>
    <row r="2450" spans="1:13" s="1016" customFormat="1" ht="25.2" customHeight="1">
      <c r="A2450" s="1086">
        <f t="shared" si="102"/>
        <v>1</v>
      </c>
      <c r="B2450" s="1221"/>
      <c r="C2450" s="2838"/>
      <c r="D2450" s="2935">
        <f>IF(H2450&gt;0,D2441+1,D2441)</f>
        <v>3</v>
      </c>
      <c r="E2450" s="2936"/>
      <c r="F2450" s="2937" t="s">
        <v>4377</v>
      </c>
      <c r="G2450" s="2935" t="s">
        <v>2385</v>
      </c>
      <c r="H2450" s="2938">
        <v>1</v>
      </c>
      <c r="I2450" s="2938">
        <f t="shared" si="108"/>
        <v>1</v>
      </c>
      <c r="J2450" s="2938"/>
      <c r="K2450" s="2938"/>
      <c r="L2450" s="2797"/>
      <c r="M2450" s="934">
        <v>1000</v>
      </c>
    </row>
    <row r="2451" spans="1:13" s="1016" customFormat="1" ht="25.2" hidden="1" customHeight="1">
      <c r="A2451" s="1086">
        <f t="shared" si="102"/>
        <v>0</v>
      </c>
      <c r="B2451" s="2831"/>
      <c r="C2451" s="2838"/>
      <c r="D2451" s="1872"/>
      <c r="E2451" s="2909"/>
      <c r="F2451" s="2910" t="s">
        <v>3755</v>
      </c>
      <c r="G2451" s="2890"/>
      <c r="H2451" s="1720"/>
      <c r="I2451" s="1869">
        <f t="shared" si="108"/>
        <v>0</v>
      </c>
      <c r="J2451" s="2908"/>
      <c r="K2451" s="2908"/>
      <c r="L2451" s="1129"/>
      <c r="M2451" s="934">
        <v>1000</v>
      </c>
    </row>
    <row r="2452" spans="1:13" s="1016" customFormat="1" ht="25.2" hidden="1" customHeight="1">
      <c r="A2452" s="1086">
        <f t="shared" si="102"/>
        <v>0</v>
      </c>
      <c r="B2452" s="1221" t="s">
        <v>1033</v>
      </c>
      <c r="C2452" s="2838"/>
      <c r="D2452" s="1187"/>
      <c r="E2452" s="1029">
        <f>VLOOKUP($B2452,DG!A:D,DG!$B$2,)</f>
        <v>0</v>
      </c>
      <c r="F2452" s="1030"/>
      <c r="G2452" s="1029" t="str">
        <f>VLOOKUP($B2452,DG!A:D,DG!$D$2,)</f>
        <v>kg</v>
      </c>
      <c r="H2452" s="1724">
        <f>$C2452*H$2450</f>
        <v>0</v>
      </c>
      <c r="I2452" s="1724">
        <f t="shared" ref="I2452:K2467" si="111">$C2452*I$2450</f>
        <v>0</v>
      </c>
      <c r="J2452" s="1724">
        <f t="shared" si="111"/>
        <v>0</v>
      </c>
      <c r="K2452" s="1724">
        <f t="shared" si="111"/>
        <v>0</v>
      </c>
      <c r="L2452" s="1031"/>
      <c r="M2452" s="934">
        <v>1000</v>
      </c>
    </row>
    <row r="2453" spans="1:13" s="1016" customFormat="1" ht="25.2" customHeight="1">
      <c r="A2453" s="1086">
        <f t="shared" si="102"/>
        <v>1</v>
      </c>
      <c r="B2453" s="1221" t="s">
        <v>1033</v>
      </c>
      <c r="C2453" s="2838">
        <v>11.87</v>
      </c>
      <c r="D2453" s="2794"/>
      <c r="E2453" s="2809">
        <f>VLOOKUP($B2453,DG!A:D,DG!$B$2,)</f>
        <v>0</v>
      </c>
      <c r="F2453" s="2931" t="str">
        <f>VLOOKUP($B2453,DG!A:D,DG!$C$2,)&amp;": 10m noái leân voû caùc thieát bò"</f>
        <v>Cáp đồng trần M25mm2: 10m noái leân voû caùc thieát bò</v>
      </c>
      <c r="G2453" s="2809" t="str">
        <f>VLOOKUP($B2453,DG!A:D,DG!$D$2,)</f>
        <v>kg</v>
      </c>
      <c r="H2453" s="2810">
        <f t="shared" ref="H2453:H2467" si="112">$C2453*H$2450</f>
        <v>11.87</v>
      </c>
      <c r="I2453" s="2810">
        <f t="shared" si="111"/>
        <v>11.87</v>
      </c>
      <c r="J2453" s="2810">
        <f t="shared" si="111"/>
        <v>0</v>
      </c>
      <c r="K2453" s="2810">
        <f t="shared" si="111"/>
        <v>0</v>
      </c>
      <c r="L2453" s="2797"/>
      <c r="M2453" s="934">
        <v>1000</v>
      </c>
    </row>
    <row r="2454" spans="1:13" s="1016" customFormat="1" ht="25.2" customHeight="1">
      <c r="A2454" s="1086">
        <f t="shared" si="102"/>
        <v>1</v>
      </c>
      <c r="B2454" s="2826" t="s">
        <v>1508</v>
      </c>
      <c r="C2454" s="2868">
        <v>10</v>
      </c>
      <c r="D2454" s="2794"/>
      <c r="E2454" s="2809">
        <f>VLOOKUP($B2454,DG!A:D,DG!$B$2,)</f>
        <v>0</v>
      </c>
      <c r="F2454" s="2931" t="str">
        <f>VLOOKUP($B2454,DG!A:D,DG!$C$2,)</f>
        <v>Cọc tiếp đất Þ 16- 2,4m + kẹp cọc mạ đồng</v>
      </c>
      <c r="G2454" s="2809" t="str">
        <f>VLOOKUP($B2454,DG!A:D,DG!$D$2,)</f>
        <v>bộ</v>
      </c>
      <c r="H2454" s="2810">
        <f t="shared" si="112"/>
        <v>10</v>
      </c>
      <c r="I2454" s="2810">
        <f t="shared" si="111"/>
        <v>10</v>
      </c>
      <c r="J2454" s="2810">
        <f t="shared" si="111"/>
        <v>0</v>
      </c>
      <c r="K2454" s="2810">
        <f t="shared" si="111"/>
        <v>0</v>
      </c>
      <c r="L2454" s="2797"/>
      <c r="M2454" s="934">
        <v>1000</v>
      </c>
    </row>
    <row r="2455" spans="1:13" s="1016" customFormat="1" ht="25.2" hidden="1" customHeight="1">
      <c r="A2455" s="1086">
        <f t="shared" si="102"/>
        <v>0</v>
      </c>
      <c r="B2455" s="2826" t="s">
        <v>1490</v>
      </c>
      <c r="C2455" s="2868"/>
      <c r="D2455" s="2897"/>
      <c r="E2455" s="1154" t="str">
        <f>VLOOKUP($B2455,DG!A:D,DG!$B$2,)</f>
        <v>07.2403</v>
      </c>
      <c r="F2455" s="2892" t="str">
        <f>VLOOKUP($B2455,DG!A:D,DG!$C$2,)</f>
        <v xml:space="preserve">Ống PVC D21x1,6mm </v>
      </c>
      <c r="G2455" s="1154" t="str">
        <f>VLOOKUP($B2455,DG!A:D,DG!$D$2,)</f>
        <v>m</v>
      </c>
      <c r="H2455" s="2893">
        <f t="shared" si="112"/>
        <v>0</v>
      </c>
      <c r="I2455" s="2893">
        <f t="shared" si="111"/>
        <v>0</v>
      </c>
      <c r="J2455" s="2893">
        <f t="shared" si="111"/>
        <v>0</v>
      </c>
      <c r="K2455" s="2893">
        <f t="shared" si="111"/>
        <v>0</v>
      </c>
      <c r="L2455" s="2894"/>
      <c r="M2455" s="934">
        <v>1000</v>
      </c>
    </row>
    <row r="2456" spans="1:13" s="1016" customFormat="1" ht="25.2" customHeight="1">
      <c r="A2456" s="1086">
        <f t="shared" si="102"/>
        <v>1</v>
      </c>
      <c r="B2456" s="1245" t="s">
        <v>1579</v>
      </c>
      <c r="C2456" s="2872">
        <v>2</v>
      </c>
      <c r="D2456" s="2794"/>
      <c r="E2456" s="2809">
        <f>VLOOKUP($B2456,DG!A:D,DG!$B$2,)</f>
        <v>0</v>
      </c>
      <c r="F2456" s="2931" t="str">
        <f>VLOOKUP($B2456,DG!A:D,DG!$C$2,)</f>
        <v>Kẹp ép WR cỡ dây 50mm2</v>
      </c>
      <c r="G2456" s="2809" t="str">
        <f>VLOOKUP($B2456,DG!A:D,DG!$D$2,)</f>
        <v>cái</v>
      </c>
      <c r="H2456" s="2810">
        <f t="shared" si="112"/>
        <v>2</v>
      </c>
      <c r="I2456" s="2810">
        <f t="shared" si="111"/>
        <v>2</v>
      </c>
      <c r="J2456" s="2810">
        <f t="shared" si="111"/>
        <v>0</v>
      </c>
      <c r="K2456" s="2810">
        <f t="shared" si="111"/>
        <v>0</v>
      </c>
      <c r="L2456" s="2797"/>
      <c r="M2456" s="934">
        <v>1000</v>
      </c>
    </row>
    <row r="2457" spans="1:13" s="1016" customFormat="1" ht="25.2" hidden="1" customHeight="1">
      <c r="A2457" s="1086">
        <f t="shared" ref="A2457" si="113">IF(AND(M2457=$M$23,I2457&gt;0),1,0)</f>
        <v>0</v>
      </c>
      <c r="B2457" s="1245" t="s">
        <v>1114</v>
      </c>
      <c r="C2457" s="2872"/>
      <c r="D2457" s="2897"/>
      <c r="E2457" s="1154">
        <f>VLOOKUP($B2457,DG!A:D,DG!$B$2,)</f>
        <v>0</v>
      </c>
      <c r="F2457" s="2892" t="str">
        <f>VLOOKUP($B2457,DG!A:D,DG!$C$2,)</f>
        <v>Kẹp ép cỡ dây 25mm2</v>
      </c>
      <c r="G2457" s="1154" t="str">
        <f>VLOOKUP($B2457,DG!A:D,DG!$D$2,)</f>
        <v>cái</v>
      </c>
      <c r="H2457" s="2893">
        <f t="shared" si="112"/>
        <v>0</v>
      </c>
      <c r="I2457" s="2893">
        <f t="shared" si="111"/>
        <v>0</v>
      </c>
      <c r="J2457" s="2893">
        <f t="shared" si="111"/>
        <v>0</v>
      </c>
      <c r="K2457" s="2893">
        <f t="shared" si="111"/>
        <v>0</v>
      </c>
      <c r="L2457" s="2894"/>
      <c r="M2457" s="934">
        <v>1000</v>
      </c>
    </row>
    <row r="2458" spans="1:13" s="1016" customFormat="1" ht="25.2" customHeight="1">
      <c r="A2458" s="1086">
        <f t="shared" si="102"/>
        <v>1</v>
      </c>
      <c r="B2458" s="1245" t="s">
        <v>816</v>
      </c>
      <c r="C2458" s="2872">
        <v>8</v>
      </c>
      <c r="D2458" s="2794"/>
      <c r="E2458" s="2809" t="str">
        <f>VLOOKUP($B2458,DG!A:D,DG!$B$2,)</f>
        <v>04.3107</v>
      </c>
      <c r="F2458" s="2931" t="str">
        <f>VLOOKUP($B2458,DG!A:D,DG!$C$2,)</f>
        <v>Ốc siết cáp cỡ 25mm2</v>
      </c>
      <c r="G2458" s="2809" t="str">
        <f>VLOOKUP($B2458,DG!A:D,DG!$D$2,)</f>
        <v>cái</v>
      </c>
      <c r="H2458" s="2810">
        <f t="shared" si="112"/>
        <v>8</v>
      </c>
      <c r="I2458" s="2810">
        <f t="shared" si="111"/>
        <v>8</v>
      </c>
      <c r="J2458" s="2810">
        <f t="shared" si="111"/>
        <v>0</v>
      </c>
      <c r="K2458" s="2810">
        <f t="shared" si="111"/>
        <v>0</v>
      </c>
      <c r="L2458" s="2797"/>
      <c r="M2458" s="934">
        <v>1000</v>
      </c>
    </row>
    <row r="2459" spans="1:13" s="1016" customFormat="1" ht="25.2" hidden="1" customHeight="1">
      <c r="A2459" s="1086">
        <f t="shared" si="102"/>
        <v>0</v>
      </c>
      <c r="B2459" s="2826" t="s">
        <v>138</v>
      </c>
      <c r="C2459" s="2868"/>
      <c r="D2459" s="1872"/>
      <c r="E2459" s="1875">
        <f>VLOOKUP($B2459,DG!A:D,DG!$B$2,)</f>
        <v>0</v>
      </c>
      <c r="F2459" s="1874" t="str">
        <f>VLOOKUP($B2459,DG!A:D,DG!$C$2,)</f>
        <v>Boulon 12x40+ 2 long đền vuông D14-50x50x3/Zn</v>
      </c>
      <c r="G2459" s="1875" t="str">
        <f>VLOOKUP($B2459,DG!A:D,DG!$D$2,)</f>
        <v>bộ</v>
      </c>
      <c r="H2459" s="1720">
        <f t="shared" si="112"/>
        <v>0</v>
      </c>
      <c r="I2459" s="1720">
        <f t="shared" si="111"/>
        <v>0</v>
      </c>
      <c r="J2459" s="1720">
        <f t="shared" si="111"/>
        <v>0</v>
      </c>
      <c r="K2459" s="1720">
        <f t="shared" si="111"/>
        <v>0</v>
      </c>
      <c r="L2459" s="1129"/>
      <c r="M2459" s="934">
        <v>1000</v>
      </c>
    </row>
    <row r="2460" spans="1:13" s="1016" customFormat="1" ht="25.2" hidden="1" customHeight="1">
      <c r="A2460" s="1086">
        <f t="shared" si="102"/>
        <v>0</v>
      </c>
      <c r="B2460" s="2826" t="s">
        <v>104</v>
      </c>
      <c r="C2460" s="2868"/>
      <c r="D2460" s="1011"/>
      <c r="E2460" s="1012" t="str">
        <f>VLOOKUP($B2460,DG!A:D,DG!$B$2,)</f>
        <v>03.4001</v>
      </c>
      <c r="F2460" s="1013" t="str">
        <f>VLOOKUP($B2460,DG!A:D,DG!$C$2,)</f>
        <v>Đầu cosse ép Cu 25mm2</v>
      </c>
      <c r="G2460" s="1012" t="str">
        <f>VLOOKUP($B2460,DG!A:D,DG!$D$2,)</f>
        <v>cái</v>
      </c>
      <c r="H2460" s="1713">
        <f t="shared" si="112"/>
        <v>0</v>
      </c>
      <c r="I2460" s="1713">
        <f t="shared" si="111"/>
        <v>0</v>
      </c>
      <c r="J2460" s="1713">
        <f t="shared" si="111"/>
        <v>0</v>
      </c>
      <c r="K2460" s="1713">
        <f t="shared" si="111"/>
        <v>0</v>
      </c>
      <c r="L2460" s="1015"/>
      <c r="M2460" s="934">
        <v>1000</v>
      </c>
    </row>
    <row r="2461" spans="1:13" s="1016" customFormat="1" ht="25.2" hidden="1" customHeight="1">
      <c r="A2461" s="1086">
        <f t="shared" si="102"/>
        <v>0</v>
      </c>
      <c r="B2461" s="2826" t="s">
        <v>525</v>
      </c>
      <c r="C2461" s="2868"/>
      <c r="D2461" s="1011"/>
      <c r="E2461" s="1012" t="str">
        <f>VLOOKUP($B2461,DG!A:D,DG!$B$2,)</f>
        <v>06.3231</v>
      </c>
      <c r="F2461" s="1013" t="str">
        <f>VLOOKUP($B2461,DG!A:D,DG!$C$2,)</f>
        <v>Cổ dê kẹp ống PVC  21</v>
      </c>
      <c r="G2461" s="1012" t="str">
        <f>VLOOKUP($B2461,DG!A:D,DG!$D$2,)</f>
        <v>bộ</v>
      </c>
      <c r="H2461" s="1713">
        <f t="shared" si="112"/>
        <v>0</v>
      </c>
      <c r="I2461" s="1713">
        <f t="shared" si="111"/>
        <v>0</v>
      </c>
      <c r="J2461" s="1713">
        <f t="shared" si="111"/>
        <v>0</v>
      </c>
      <c r="K2461" s="1713">
        <f t="shared" si="111"/>
        <v>0</v>
      </c>
      <c r="L2461" s="1015"/>
      <c r="M2461" s="934">
        <v>1000</v>
      </c>
    </row>
    <row r="2462" spans="1:13" s="1016" customFormat="1" ht="25.2" hidden="1" customHeight="1">
      <c r="A2462" s="1086">
        <f t="shared" ref="A2462:A2539" si="114">IF(AND(M2462=$M$23,I2462&gt;0),1,0)</f>
        <v>0</v>
      </c>
      <c r="B2462" s="2826" t="s">
        <v>1585</v>
      </c>
      <c r="C2462" s="2868"/>
      <c r="D2462" s="1011"/>
      <c r="E2462" s="1012">
        <f>VLOOKUP($B2462,DG!A:D,DG!$B$2,)</f>
        <v>0</v>
      </c>
      <c r="F2462" s="1013" t="str">
        <f>VLOOKUP($B2462,DG!A:D,DG!$C$2,)</f>
        <v>Giếng tiếp địa khoan đất</v>
      </c>
      <c r="G2462" s="1012" t="str">
        <f>VLOOKUP($B2462,DG!A:D,DG!$D$2,)</f>
        <v>Cái</v>
      </c>
      <c r="H2462" s="1713">
        <f t="shared" si="112"/>
        <v>0</v>
      </c>
      <c r="I2462" s="1713">
        <f t="shared" si="111"/>
        <v>0</v>
      </c>
      <c r="J2462" s="1713">
        <f t="shared" si="111"/>
        <v>0</v>
      </c>
      <c r="K2462" s="1713">
        <f t="shared" si="111"/>
        <v>0</v>
      </c>
      <c r="L2462" s="1015"/>
      <c r="M2462" s="934">
        <v>1000</v>
      </c>
    </row>
    <row r="2463" spans="1:13" s="1016" customFormat="1" ht="25.2" hidden="1" customHeight="1">
      <c r="A2463" s="1086">
        <f t="shared" si="114"/>
        <v>0</v>
      </c>
      <c r="B2463" s="2826" t="s">
        <v>453</v>
      </c>
      <c r="C2463" s="2868"/>
      <c r="D2463" s="1028"/>
      <c r="E2463" s="1029" t="str">
        <f>VLOOKUP($B2463,DG!A:D,DG!$B$2,)</f>
        <v>03.8133</v>
      </c>
      <c r="F2463" s="1104" t="str">
        <f>VLOOKUP($B2463,DG!A:D,DG!$C$2,)&amp;": (2m3/coïc)x"&amp;H2454&amp;" coïc"</f>
        <v>Phá đá chân hố móng, đá cấp II: (2m3/coïc)x10 coïc</v>
      </c>
      <c r="G2463" s="1029" t="str">
        <f>VLOOKUP($B2463,DG!A:D,DG!$D$2,)</f>
        <v>m3</v>
      </c>
      <c r="H2463" s="1724">
        <f t="shared" si="112"/>
        <v>0</v>
      </c>
      <c r="I2463" s="1724">
        <f t="shared" si="111"/>
        <v>0</v>
      </c>
      <c r="J2463" s="1724">
        <f t="shared" si="111"/>
        <v>0</v>
      </c>
      <c r="K2463" s="1724">
        <f t="shared" si="111"/>
        <v>0</v>
      </c>
      <c r="L2463" s="1031"/>
      <c r="M2463" s="934">
        <v>1000</v>
      </c>
    </row>
    <row r="2464" spans="1:13" s="1016" customFormat="1" ht="25.2" customHeight="1">
      <c r="A2464" s="1086">
        <f t="shared" si="114"/>
        <v>1</v>
      </c>
      <c r="B2464" s="2826" t="s">
        <v>794</v>
      </c>
      <c r="C2464" s="2868">
        <v>6.75</v>
      </c>
      <c r="D2464" s="2798"/>
      <c r="E2464" s="2809" t="str">
        <f>VLOOKUP($B2464,DG!A:D,DG!$B$2,)</f>
        <v>03.3123</v>
      </c>
      <c r="F2464" s="2931" t="str">
        <f>VLOOKUP($B2464,DG!A:D,DG!$C$2,)</f>
        <v>Đào rãnh tiếp địa đất cấp 3</v>
      </c>
      <c r="G2464" s="2809" t="str">
        <f>VLOOKUP($B2464,DG!A:D,DG!$D$2,)</f>
        <v>m3</v>
      </c>
      <c r="H2464" s="2810">
        <f t="shared" si="112"/>
        <v>6.75</v>
      </c>
      <c r="I2464" s="2810">
        <f t="shared" si="111"/>
        <v>6.75</v>
      </c>
      <c r="J2464" s="2810">
        <f t="shared" si="111"/>
        <v>0</v>
      </c>
      <c r="K2464" s="2810">
        <f t="shared" si="111"/>
        <v>0</v>
      </c>
      <c r="L2464" s="2797"/>
      <c r="M2464" s="934">
        <v>1000</v>
      </c>
    </row>
    <row r="2465" spans="1:13" s="1016" customFormat="1" ht="25.2" customHeight="1">
      <c r="A2465" s="1086">
        <f t="shared" si="114"/>
        <v>1</v>
      </c>
      <c r="B2465" s="2826" t="s">
        <v>798</v>
      </c>
      <c r="C2465" s="2868">
        <v>6.75</v>
      </c>
      <c r="D2465" s="2798"/>
      <c r="E2465" s="2809" t="str">
        <f>VLOOKUP($B2465,DG!A:D,DG!$B$2,)</f>
        <v>03.4123</v>
      </c>
      <c r="F2465" s="2931" t="str">
        <f>VLOOKUP($B2465,DG!A:D,DG!$C$2,)</f>
        <v>Đắp đất rãnh tiếp độ chặt k=0,85</v>
      </c>
      <c r="G2465" s="2809" t="str">
        <f>VLOOKUP($B2465,DG!A:D,DG!$D$2,)</f>
        <v>m3</v>
      </c>
      <c r="H2465" s="2810">
        <f t="shared" si="112"/>
        <v>6.75</v>
      </c>
      <c r="I2465" s="2810">
        <f t="shared" si="111"/>
        <v>6.75</v>
      </c>
      <c r="J2465" s="2810">
        <f t="shared" si="111"/>
        <v>0</v>
      </c>
      <c r="K2465" s="2810">
        <f t="shared" si="111"/>
        <v>0</v>
      </c>
      <c r="L2465" s="2797"/>
      <c r="M2465" s="934">
        <v>1000</v>
      </c>
    </row>
    <row r="2466" spans="1:13" s="1016" customFormat="1" ht="25.2" customHeight="1">
      <c r="A2466" s="1086">
        <f t="shared" si="114"/>
        <v>1</v>
      </c>
      <c r="B2466" s="2826" t="s">
        <v>902</v>
      </c>
      <c r="C2466" s="2868">
        <f>C2454</f>
        <v>10</v>
      </c>
      <c r="D2466" s="2798"/>
      <c r="E2466" s="2809" t="str">
        <f>VLOOKUP($B2466,DG!A:D,DG!$B$2,)</f>
        <v>04.7001</v>
      </c>
      <c r="F2466" s="2931" t="str">
        <f>VLOOKUP($B2466,DG!A:D,DG!$C$2,)</f>
        <v>Đóng cọc tiếp địa trong TBA</v>
      </c>
      <c r="G2466" s="2809" t="str">
        <f>VLOOKUP($B2466,DG!A:D,DG!$D$2,)</f>
        <v>cọc</v>
      </c>
      <c r="H2466" s="2810">
        <f t="shared" si="112"/>
        <v>10</v>
      </c>
      <c r="I2466" s="2810">
        <f t="shared" si="111"/>
        <v>10</v>
      </c>
      <c r="J2466" s="2810">
        <f t="shared" si="111"/>
        <v>0</v>
      </c>
      <c r="K2466" s="2810">
        <f t="shared" si="111"/>
        <v>0</v>
      </c>
      <c r="L2466" s="2797"/>
      <c r="M2466" s="934">
        <v>1000</v>
      </c>
    </row>
    <row r="2467" spans="1:13" s="1016" customFormat="1" ht="25.2" customHeight="1">
      <c r="A2467" s="1086">
        <f t="shared" si="114"/>
        <v>1</v>
      </c>
      <c r="B2467" s="2826" t="s">
        <v>1437</v>
      </c>
      <c r="C2467" s="2868">
        <f>C2453</f>
        <v>11.87</v>
      </c>
      <c r="D2467" s="2794"/>
      <c r="E2467" s="2809" t="str">
        <f>VLOOKUP($B2467,DG!A:D,DG!$B$2,)</f>
        <v>04.7002</v>
      </c>
      <c r="F2467" s="2931" t="str">
        <f>VLOOKUP($B2467,DG!A:D,DG!$C$2,)</f>
        <v>Kéo dây tiếp địa trong TBA</v>
      </c>
      <c r="G2467" s="2809" t="str">
        <f>VLOOKUP($B2467,DG!A:D,DG!$D$2,)</f>
        <v>kg</v>
      </c>
      <c r="H2467" s="2810">
        <f t="shared" si="112"/>
        <v>11.87</v>
      </c>
      <c r="I2467" s="2810">
        <f t="shared" si="111"/>
        <v>11.87</v>
      </c>
      <c r="J2467" s="2810">
        <f t="shared" si="111"/>
        <v>0</v>
      </c>
      <c r="K2467" s="2810">
        <f t="shared" si="111"/>
        <v>0</v>
      </c>
      <c r="L2467" s="2797"/>
      <c r="M2467" s="934">
        <v>1000</v>
      </c>
    </row>
    <row r="2468" spans="1:13" s="1016" customFormat="1" ht="25.2" hidden="1" customHeight="1">
      <c r="A2468" s="1086">
        <f t="shared" ref="A2468:A2473" si="115">IF(AND(M2468=$M$23,I2468&gt;0),1,0)</f>
        <v>0</v>
      </c>
      <c r="B2468" s="1221"/>
      <c r="C2468" s="2838"/>
      <c r="D2468" s="1050">
        <f>IF(H2468&gt;0,D2444+1,D2444)</f>
        <v>0</v>
      </c>
      <c r="E2468" s="2905"/>
      <c r="F2468" s="2911" t="s">
        <v>3756</v>
      </c>
      <c r="G2468" s="1050" t="s">
        <v>2385</v>
      </c>
      <c r="H2468" s="1742">
        <f>H2369</f>
        <v>0</v>
      </c>
      <c r="I2468" s="1869">
        <f t="shared" ref="I2468:I2474" si="116">IF(M2468=$M$23,H2468+J2468-K2468,0)</f>
        <v>0</v>
      </c>
      <c r="J2468" s="2908"/>
      <c r="K2468" s="2908"/>
      <c r="L2468" s="1129"/>
      <c r="M2468" s="934">
        <v>1000</v>
      </c>
    </row>
    <row r="2469" spans="1:13" s="1016" customFormat="1" ht="25.2" hidden="1" customHeight="1">
      <c r="A2469" s="1086">
        <f t="shared" si="115"/>
        <v>0</v>
      </c>
      <c r="B2469" s="1221"/>
      <c r="C2469" s="2838"/>
      <c r="D2469" s="1011"/>
      <c r="E2469" s="1021"/>
      <c r="F2469" s="1267" t="s">
        <v>2279</v>
      </c>
      <c r="G2469" s="1023"/>
      <c r="H2469" s="1713"/>
      <c r="I2469" s="1192">
        <f t="shared" si="116"/>
        <v>0</v>
      </c>
      <c r="J2469" s="1014"/>
      <c r="K2469" s="1014"/>
      <c r="L2469" s="1015"/>
      <c r="M2469" s="934">
        <v>1000</v>
      </c>
    </row>
    <row r="2470" spans="1:13" s="1016" customFormat="1" ht="25.2" hidden="1" customHeight="1">
      <c r="A2470" s="1086">
        <f t="shared" si="115"/>
        <v>0</v>
      </c>
      <c r="B2470" s="2832" t="s">
        <v>1192</v>
      </c>
      <c r="C2470" s="2873"/>
      <c r="D2470" s="1023"/>
      <c r="E2470" s="1024" t="str">
        <f>VLOOKUP($B2470,DG!A:D,DG!$B$2,)</f>
        <v>05.1002</v>
      </c>
      <c r="F2470" s="1025" t="str">
        <f>VLOOKUP($B2470,DG!A:D,DG!$C$2,)</f>
        <v>Tủ CB trạm 3 pha + khoá + bulon</v>
      </c>
      <c r="G2470" s="1024" t="str">
        <f>VLOOKUP($B2470,DG!A:D,DG!$D$2,)</f>
        <v>cái</v>
      </c>
      <c r="H2470" s="1713">
        <f>H2468</f>
        <v>0</v>
      </c>
      <c r="I2470" s="1192">
        <f t="shared" si="116"/>
        <v>0</v>
      </c>
      <c r="J2470" s="1014"/>
      <c r="K2470" s="1014"/>
      <c r="L2470" s="1015"/>
      <c r="M2470" s="934">
        <v>1000</v>
      </c>
    </row>
    <row r="2471" spans="1:13" s="1016" customFormat="1" ht="25.2" hidden="1" customHeight="1">
      <c r="A2471" s="1086">
        <f t="shared" si="115"/>
        <v>0</v>
      </c>
      <c r="B2471" s="1221" t="s">
        <v>1535</v>
      </c>
      <c r="C2471" s="2838"/>
      <c r="D2471" s="1011"/>
      <c r="E2471" s="1024">
        <f>VLOOKUP($B2471,DG!A:D,DG!$B$2,)</f>
        <v>0</v>
      </c>
      <c r="F2471" s="1025" t="str">
        <f>VLOOKUP($B2471,DG!A:D,DG!$C$2,)</f>
        <v>Giá nới + Thanh cái tủ CB</v>
      </c>
      <c r="G2471" s="1024" t="str">
        <f>VLOOKUP($B2471,DG!A:D,DG!$D$2,)</f>
        <v>bộ</v>
      </c>
      <c r="H2471" s="1723">
        <f>H2468</f>
        <v>0</v>
      </c>
      <c r="I2471" s="1192">
        <f t="shared" si="116"/>
        <v>0</v>
      </c>
      <c r="J2471" s="1014"/>
      <c r="K2471" s="1014"/>
      <c r="L2471" s="1015"/>
      <c r="M2471" s="934">
        <v>1000</v>
      </c>
    </row>
    <row r="2472" spans="1:13" s="1016" customFormat="1" ht="25.2" hidden="1" customHeight="1">
      <c r="A2472" s="1086">
        <f t="shared" si="115"/>
        <v>0</v>
      </c>
      <c r="B2472" s="1221" t="s">
        <v>880</v>
      </c>
      <c r="C2472" s="2838"/>
      <c r="D2472" s="1011"/>
      <c r="E2472" s="1024">
        <f>VLOOKUP($B2472,DG!A:D,DG!$B$2,)</f>
        <v>0</v>
      </c>
      <c r="F2472" s="1025" t="str">
        <f>VLOOKUP($B2472,DG!A:D,DG!$C$2,)</f>
        <v xml:space="preserve">Bakelit 550x450 dầy 10mm </v>
      </c>
      <c r="G2472" s="1024" t="str">
        <f>VLOOKUP($B2472,DG!A:D,DG!$D$2,)</f>
        <v>cái</v>
      </c>
      <c r="H2472" s="1723">
        <f>H2468*1</f>
        <v>0</v>
      </c>
      <c r="I2472" s="1192">
        <f t="shared" si="116"/>
        <v>0</v>
      </c>
      <c r="J2472" s="1014"/>
      <c r="K2472" s="1014"/>
      <c r="L2472" s="1015"/>
      <c r="M2472" s="934">
        <v>1000</v>
      </c>
    </row>
    <row r="2473" spans="1:13" s="1016" customFormat="1" ht="25.2" hidden="1" customHeight="1">
      <c r="A2473" s="1086">
        <f t="shared" si="115"/>
        <v>0</v>
      </c>
      <c r="B2473" s="1221" t="s">
        <v>289</v>
      </c>
      <c r="C2473" s="2838"/>
      <c r="D2473" s="1028"/>
      <c r="E2473" s="2888" t="str">
        <f>VLOOKUP($B2473,DG!A:D,DG!$B$2,)</f>
        <v>06.3191</v>
      </c>
      <c r="F2473" s="2889" t="str">
        <f>VLOOKUP($B2473,DG!A:D,DG!$C$2,)</f>
        <v>Bảng tên trạm, bảng báo nguy hiểm + đinh vít</v>
      </c>
      <c r="G2473" s="2888" t="str">
        <f>VLOOKUP($B2473,DG!A:D,DG!$D$2,)</f>
        <v>bộ</v>
      </c>
      <c r="H2473" s="1724">
        <f>H2468</f>
        <v>0</v>
      </c>
      <c r="I2473" s="1752">
        <f t="shared" si="116"/>
        <v>0</v>
      </c>
      <c r="J2473" s="1085"/>
      <c r="K2473" s="1085"/>
      <c r="L2473" s="1031"/>
      <c r="M2473" s="934">
        <v>1000</v>
      </c>
    </row>
    <row r="2474" spans="1:13" s="1016" customFormat="1" ht="25.2" customHeight="1">
      <c r="A2474" s="1086">
        <f t="shared" si="114"/>
        <v>1</v>
      </c>
      <c r="B2474" s="1221"/>
      <c r="C2474" s="2838"/>
      <c r="D2474" s="2935">
        <f>IF(H2474&gt;0,D2450+1,D2450)</f>
        <v>4</v>
      </c>
      <c r="E2474" s="2936"/>
      <c r="F2474" s="2939" t="s">
        <v>6209</v>
      </c>
      <c r="G2474" s="2935" t="s">
        <v>2385</v>
      </c>
      <c r="H2474" s="2938">
        <v>1</v>
      </c>
      <c r="I2474" s="2938">
        <f t="shared" si="116"/>
        <v>1</v>
      </c>
      <c r="J2474" s="2938"/>
      <c r="K2474" s="2938"/>
      <c r="L2474" s="2797"/>
      <c r="M2474" s="934">
        <v>1000</v>
      </c>
    </row>
    <row r="2475" spans="1:13" s="1016" customFormat="1" ht="25.2" hidden="1" customHeight="1">
      <c r="A2475" s="1086">
        <f t="shared" si="114"/>
        <v>0</v>
      </c>
      <c r="B2475" s="1221"/>
      <c r="C2475" s="2838"/>
      <c r="D2475" s="2897"/>
      <c r="E2475" s="2903"/>
      <c r="F2475" s="2904" t="s">
        <v>2279</v>
      </c>
      <c r="G2475" s="1153"/>
      <c r="H2475" s="2893"/>
      <c r="I2475" s="2898">
        <f t="shared" si="108"/>
        <v>0</v>
      </c>
      <c r="J2475" s="2907"/>
      <c r="K2475" s="2907"/>
      <c r="L2475" s="2894"/>
      <c r="M2475" s="934">
        <v>1000</v>
      </c>
    </row>
    <row r="2476" spans="1:13" s="1016" customFormat="1" ht="25.2" customHeight="1">
      <c r="A2476" s="1086">
        <f t="shared" si="114"/>
        <v>1</v>
      </c>
      <c r="B2476" s="2832" t="s">
        <v>5634</v>
      </c>
      <c r="C2476" s="2873">
        <v>1</v>
      </c>
      <c r="D2476" s="2798"/>
      <c r="E2476" s="2940" t="str">
        <f>VLOOKUP($B2476,DG!A:D,DG!$B$2,)</f>
        <v>T5.1002</v>
      </c>
      <c r="F2476" s="2941" t="str">
        <f>VLOOKUP($B2476,DG!A:D,DG!$C$2,)</f>
        <v>Tủ ACB + thanh cái 1600A</v>
      </c>
      <c r="G2476" s="2940" t="str">
        <f>VLOOKUP($B2476,DG!A:D,DG!$D$2,)</f>
        <v>cái</v>
      </c>
      <c r="H2476" s="2810">
        <f>$C2476*H$2474</f>
        <v>1</v>
      </c>
      <c r="I2476" s="2810">
        <f t="shared" ref="I2476:K2479" si="117">$C2476*I$2474</f>
        <v>1</v>
      </c>
      <c r="J2476" s="2810">
        <f t="shared" si="117"/>
        <v>0</v>
      </c>
      <c r="K2476" s="2810">
        <f t="shared" si="117"/>
        <v>0</v>
      </c>
      <c r="L2476" s="2797"/>
      <c r="M2476" s="934">
        <v>1000</v>
      </c>
    </row>
    <row r="2477" spans="1:13" s="1016" customFormat="1" ht="25.2" hidden="1" customHeight="1">
      <c r="A2477" s="1086">
        <f t="shared" si="114"/>
        <v>0</v>
      </c>
      <c r="B2477" s="1221" t="s">
        <v>1535</v>
      </c>
      <c r="C2477" s="2838"/>
      <c r="D2477" s="2897"/>
      <c r="E2477" s="2912">
        <f>VLOOKUP($B2477,DG!A:D,DG!$B$2,)</f>
        <v>0</v>
      </c>
      <c r="F2477" s="2913" t="str">
        <f>VLOOKUP($B2477,DG!A:D,DG!$C$2,)</f>
        <v>Giá nới + Thanh cái tủ CB</v>
      </c>
      <c r="G2477" s="2912" t="str">
        <f>VLOOKUP($B2477,DG!A:D,DG!$D$2,)</f>
        <v>bộ</v>
      </c>
      <c r="H2477" s="2893">
        <f t="shared" ref="H2477:H2479" si="118">$C2477*H$2474</f>
        <v>0</v>
      </c>
      <c r="I2477" s="2893">
        <f t="shared" si="117"/>
        <v>0</v>
      </c>
      <c r="J2477" s="2893">
        <f t="shared" si="117"/>
        <v>0</v>
      </c>
      <c r="K2477" s="2893">
        <f t="shared" si="117"/>
        <v>0</v>
      </c>
      <c r="L2477" s="2894"/>
      <c r="M2477" s="934">
        <v>1000</v>
      </c>
    </row>
    <row r="2478" spans="1:13" s="1016" customFormat="1" ht="25.2" customHeight="1">
      <c r="A2478" s="1086">
        <f t="shared" si="114"/>
        <v>1</v>
      </c>
      <c r="B2478" s="1221" t="s">
        <v>880</v>
      </c>
      <c r="C2478" s="2838">
        <v>1</v>
      </c>
      <c r="D2478" s="2794"/>
      <c r="E2478" s="2940">
        <f>VLOOKUP($B2478,DG!A:D,DG!$B$2,)</f>
        <v>0</v>
      </c>
      <c r="F2478" s="2941" t="str">
        <f>VLOOKUP($B2478,DG!A:D,DG!$C$2,)</f>
        <v xml:space="preserve">Bakelit 550x450 dầy 10mm </v>
      </c>
      <c r="G2478" s="2940" t="str">
        <f>VLOOKUP($B2478,DG!A:D,DG!$D$2,)</f>
        <v>cái</v>
      </c>
      <c r="H2478" s="2810">
        <f t="shared" si="118"/>
        <v>1</v>
      </c>
      <c r="I2478" s="2810">
        <f t="shared" si="117"/>
        <v>1</v>
      </c>
      <c r="J2478" s="2810">
        <f t="shared" si="117"/>
        <v>0</v>
      </c>
      <c r="K2478" s="2810">
        <f t="shared" si="117"/>
        <v>0</v>
      </c>
      <c r="L2478" s="2797"/>
      <c r="M2478" s="934">
        <v>1000</v>
      </c>
    </row>
    <row r="2479" spans="1:13" s="1016" customFormat="1" ht="25.2" customHeight="1">
      <c r="A2479" s="1086">
        <f t="shared" si="114"/>
        <v>1</v>
      </c>
      <c r="B2479" s="1221" t="s">
        <v>289</v>
      </c>
      <c r="C2479" s="2838">
        <v>1</v>
      </c>
      <c r="D2479" s="2798"/>
      <c r="E2479" s="2940" t="str">
        <f>VLOOKUP($B2479,DG!A:D,DG!$B$2,)</f>
        <v>06.3191</v>
      </c>
      <c r="F2479" s="2941" t="str">
        <f>VLOOKUP($B2479,DG!A:D,DG!$C$2,)</f>
        <v>Bảng tên trạm, bảng báo nguy hiểm + đinh vít</v>
      </c>
      <c r="G2479" s="2940" t="str">
        <f>VLOOKUP($B2479,DG!A:D,DG!$D$2,)</f>
        <v>bộ</v>
      </c>
      <c r="H2479" s="2810">
        <f t="shared" si="118"/>
        <v>1</v>
      </c>
      <c r="I2479" s="2810">
        <f t="shared" si="117"/>
        <v>1</v>
      </c>
      <c r="J2479" s="2810">
        <f t="shared" si="117"/>
        <v>0</v>
      </c>
      <c r="K2479" s="2810">
        <f t="shared" si="117"/>
        <v>0</v>
      </c>
      <c r="L2479" s="2797"/>
      <c r="M2479" s="934">
        <v>1000</v>
      </c>
    </row>
    <row r="2480" spans="1:13" s="1016" customFormat="1" ht="25.2" hidden="1" customHeight="1">
      <c r="A2480" s="1086">
        <f t="shared" si="114"/>
        <v>0</v>
      </c>
      <c r="B2480" s="1221"/>
      <c r="C2480" s="2838"/>
      <c r="D2480" s="1050">
        <f>IF(H2480&gt;0,D2474+1,D2474)</f>
        <v>4</v>
      </c>
      <c r="E2480" s="2905"/>
      <c r="F2480" s="2911" t="s">
        <v>3757</v>
      </c>
      <c r="G2480" s="1050" t="s">
        <v>2532</v>
      </c>
      <c r="H2480" s="1742"/>
      <c r="I2480" s="1869">
        <f t="shared" si="108"/>
        <v>0</v>
      </c>
      <c r="J2480" s="2908"/>
      <c r="K2480" s="2908"/>
      <c r="L2480" s="1129"/>
      <c r="M2480" s="934">
        <v>1000</v>
      </c>
    </row>
    <row r="2481" spans="1:14" s="1016" customFormat="1" ht="25.2" hidden="1" customHeight="1">
      <c r="A2481" s="1086">
        <f t="shared" si="114"/>
        <v>0</v>
      </c>
      <c r="B2481" s="1221"/>
      <c r="C2481" s="2838"/>
      <c r="D2481" s="1011"/>
      <c r="E2481" s="1021"/>
      <c r="F2481" s="1267" t="s">
        <v>2279</v>
      </c>
      <c r="G2481" s="1023"/>
      <c r="H2481" s="1713"/>
      <c r="I2481" s="1192">
        <f t="shared" si="108"/>
        <v>0</v>
      </c>
      <c r="J2481" s="1014"/>
      <c r="K2481" s="1014"/>
      <c r="L2481" s="1015"/>
      <c r="M2481" s="934">
        <v>1000</v>
      </c>
    </row>
    <row r="2482" spans="1:14" s="1016" customFormat="1" ht="25.2" hidden="1" customHeight="1">
      <c r="A2482" s="1086">
        <f t="shared" si="114"/>
        <v>0</v>
      </c>
      <c r="B2482" s="2833" t="s">
        <v>4414</v>
      </c>
      <c r="C2482" s="2867"/>
      <c r="D2482" s="1023"/>
      <c r="E2482" s="1024">
        <f>VLOOKUP($B2482,DG!A:D,DG!$B$2,)</f>
        <v>0</v>
      </c>
      <c r="F2482" s="1041" t="str">
        <f>VLOOKUP($B2482,DG!A:D,DG!$C$2,)&amp;": 0,38m3/m"</f>
        <v>Cát vàng: 0,38m3/m</v>
      </c>
      <c r="G2482" s="1024" t="str">
        <f>VLOOKUP($B2482,DG!A:D,DG!$D$2,)</f>
        <v>m3</v>
      </c>
      <c r="H2482" s="1713">
        <f>H2480*0.38</f>
        <v>0</v>
      </c>
      <c r="I2482" s="1192">
        <f t="shared" si="108"/>
        <v>0</v>
      </c>
      <c r="J2482" s="1014"/>
      <c r="K2482" s="1014"/>
      <c r="L2482" s="1015"/>
      <c r="M2482" s="934">
        <v>1000</v>
      </c>
    </row>
    <row r="2483" spans="1:14" s="1016" customFormat="1" ht="25.2" hidden="1" customHeight="1">
      <c r="A2483" s="1086">
        <f t="shared" si="114"/>
        <v>0</v>
      </c>
      <c r="B2483" s="2833" t="s">
        <v>867</v>
      </c>
      <c r="C2483" s="2867"/>
      <c r="D2483" s="1023"/>
      <c r="E2483" s="1024">
        <f>VLOOKUP($B2483,DG!A:D,DG!$B$2,)</f>
        <v>0</v>
      </c>
      <c r="F2483" s="1041" t="str">
        <f>VLOOKUP($B2483,DG!A:D,DG!$C$2,)&amp;": 0,12m3/m"</f>
        <v>Đá 1x2: 0,12m3/m</v>
      </c>
      <c r="G2483" s="1024" t="str">
        <f>VLOOKUP($B2483,DG!A:D,DG!$D$2,)</f>
        <v>m3</v>
      </c>
      <c r="H2483" s="1713">
        <f>0.12*H2480*0</f>
        <v>0</v>
      </c>
      <c r="I2483" s="1192">
        <f t="shared" si="108"/>
        <v>0</v>
      </c>
      <c r="J2483" s="1014"/>
      <c r="K2483" s="1014"/>
      <c r="L2483" s="1015"/>
      <c r="M2483" s="934">
        <v>1000</v>
      </c>
    </row>
    <row r="2484" spans="1:14" s="1016" customFormat="1" ht="25.2" hidden="1" customHeight="1">
      <c r="A2484" s="1086">
        <f t="shared" si="114"/>
        <v>0</v>
      </c>
      <c r="B2484" s="2833" t="s">
        <v>1675</v>
      </c>
      <c r="C2484" s="2867"/>
      <c r="D2484" s="1023"/>
      <c r="E2484" s="1024">
        <f>VLOOKUP($B2484,DG!A:D,DG!$B$2,)</f>
        <v>0</v>
      </c>
      <c r="F2484" s="1041" t="str">
        <f>VLOOKUP($B2484,DG!A:D,DG!$C$2,)&amp;": 3,3vieân/m"</f>
        <v>Gạch tàu: 3,3vieân/m</v>
      </c>
      <c r="G2484" s="1024" t="str">
        <f>VLOOKUP($B2484,DG!A:D,DG!$D$2,)</f>
        <v>viên</v>
      </c>
      <c r="H2484" s="1713">
        <f>3.3*H2480</f>
        <v>0</v>
      </c>
      <c r="I2484" s="1192">
        <f t="shared" si="108"/>
        <v>0</v>
      </c>
      <c r="J2484" s="1014"/>
      <c r="K2484" s="1014"/>
      <c r="L2484" s="1015"/>
      <c r="M2484" s="934">
        <v>1000</v>
      </c>
    </row>
    <row r="2485" spans="1:14" s="1016" customFormat="1" ht="25.2" hidden="1" customHeight="1">
      <c r="A2485" s="1086">
        <f t="shared" si="114"/>
        <v>0</v>
      </c>
      <c r="B2485" s="2833" t="s">
        <v>1676</v>
      </c>
      <c r="C2485" s="2867"/>
      <c r="D2485" s="1023"/>
      <c r="E2485" s="1024">
        <f>VLOOKUP($B2485,DG!A:D,DG!$B$2,)</f>
        <v>0</v>
      </c>
      <c r="F2485" s="1041" t="str">
        <f>VLOOKUP($B2485,DG!A:D,DG!$C$2,)&amp;": 0,4m2/m"</f>
        <v>Tấm nilông màu cảnh báo: 0,4m2/m</v>
      </c>
      <c r="G2485" s="1024" t="str">
        <f>VLOOKUP($B2485,DG!A:D,DG!$D$2,)</f>
        <v>m2</v>
      </c>
      <c r="H2485" s="1713">
        <f>0.4*H2480</f>
        <v>0</v>
      </c>
      <c r="I2485" s="1192">
        <f t="shared" si="108"/>
        <v>0</v>
      </c>
      <c r="J2485" s="1014"/>
      <c r="K2485" s="1014"/>
      <c r="L2485" s="1015"/>
      <c r="M2485" s="934">
        <v>1000</v>
      </c>
    </row>
    <row r="2486" spans="1:14" s="1016" customFormat="1" ht="25.2" hidden="1" customHeight="1">
      <c r="A2486" s="1086">
        <f t="shared" si="114"/>
        <v>0</v>
      </c>
      <c r="B2486" s="2833" t="s">
        <v>1518</v>
      </c>
      <c r="C2486" s="2867"/>
      <c r="D2486" s="1011"/>
      <c r="E2486" s="1024">
        <f>VLOOKUP($B2486,DG!A:D,DG!$B$2,)</f>
        <v>0</v>
      </c>
      <c r="F2486" s="1041" t="str">
        <f>VLOOKUP($B2486,DG!A:D,DG!$C$2,)</f>
        <v>Ống PVC D140x6,7mm</v>
      </c>
      <c r="G2486" s="1024" t="str">
        <f>VLOOKUP($B2486,DG!A:D,DG!$D$2,)</f>
        <v>m</v>
      </c>
      <c r="H2486" s="1713">
        <f>1*H2480</f>
        <v>0</v>
      </c>
      <c r="I2486" s="1192">
        <f t="shared" si="108"/>
        <v>0</v>
      </c>
      <c r="J2486" s="1014"/>
      <c r="K2486" s="1014"/>
      <c r="L2486" s="1015"/>
      <c r="M2486" s="934">
        <v>1000</v>
      </c>
    </row>
    <row r="2487" spans="1:14" s="1016" customFormat="1" ht="25.2" hidden="1" customHeight="1">
      <c r="A2487" s="1086">
        <f t="shared" si="114"/>
        <v>0</v>
      </c>
      <c r="B2487" s="2833" t="s">
        <v>1678</v>
      </c>
      <c r="C2487" s="2867"/>
      <c r="D2487" s="1023"/>
      <c r="E2487" s="1024" t="str">
        <f>VLOOKUP($B2487,DG!A:D,DG!$B$2,)</f>
        <v>03.7000</v>
      </c>
      <c r="F2487" s="1041" t="str">
        <f>VLOOKUP($B2487,DG!A:D,DG!$C$2,)&amp;" + ñaép ñaù"</f>
        <v>Đắp cát  + ñaép ñaù</v>
      </c>
      <c r="G2487" s="1024" t="str">
        <f>VLOOKUP($B2487,DG!A:D,DG!$D$2,)</f>
        <v>m3</v>
      </c>
      <c r="H2487" s="1713">
        <f>H2482+H2483</f>
        <v>0</v>
      </c>
      <c r="I2487" s="1192">
        <f t="shared" si="108"/>
        <v>0</v>
      </c>
      <c r="J2487" s="1014"/>
      <c r="K2487" s="1014"/>
      <c r="L2487" s="1015"/>
      <c r="M2487" s="934">
        <v>1000</v>
      </c>
    </row>
    <row r="2488" spans="1:14" s="1016" customFormat="1" ht="25.2" hidden="1" customHeight="1">
      <c r="A2488" s="1086">
        <f t="shared" si="114"/>
        <v>0</v>
      </c>
      <c r="B2488" s="2833" t="s">
        <v>144</v>
      </c>
      <c r="C2488" s="2867"/>
      <c r="D2488" s="1023"/>
      <c r="E2488" s="1024" t="str">
        <f>VLOOKUP($B2488,DG!A:D,DG!$B$2,)</f>
        <v>03.3103</v>
      </c>
      <c r="F2488" s="1041" t="str">
        <f>VLOOKUP($B2488,DG!A:D,DG!$C$2,)&amp;" : 0,48m3/m"</f>
        <v>Đào mương cáp ngầm đất cấp 3 : 0,48m3/m</v>
      </c>
      <c r="G2488" s="1024" t="str">
        <f>VLOOKUP($B2488,DG!A:D,DG!$D$2,)</f>
        <v>m3</v>
      </c>
      <c r="H2488" s="1713">
        <f>H2480*0.48</f>
        <v>0</v>
      </c>
      <c r="I2488" s="1192">
        <f t="shared" si="108"/>
        <v>0</v>
      </c>
      <c r="J2488" s="1014"/>
      <c r="K2488" s="1014"/>
      <c r="L2488" s="1015"/>
      <c r="M2488" s="934">
        <v>1000</v>
      </c>
    </row>
    <row r="2489" spans="1:14" s="1016" customFormat="1" ht="25.2" hidden="1" customHeight="1">
      <c r="A2489" s="1086">
        <f t="shared" si="114"/>
        <v>0</v>
      </c>
      <c r="B2489" s="2833" t="s">
        <v>529</v>
      </c>
      <c r="C2489" s="2867"/>
      <c r="D2489" s="1023"/>
      <c r="E2489" s="1024" t="str">
        <f>VLOOKUP($B2489,DG!A:D,DG!$B$2,)</f>
        <v>03.3203</v>
      </c>
      <c r="F2489" s="1041" t="str">
        <f>VLOOKUP($B2489,DG!A:D,DG!$C$2,)&amp;" : 0,16m3/m"</f>
        <v>Đắp đất mương cáp ngầm, đất cấp 3 : 0,16m3/m</v>
      </c>
      <c r="G2489" s="1024" t="str">
        <f>VLOOKUP($B2489,DG!A:D,DG!$D$2,)</f>
        <v>m3</v>
      </c>
      <c r="H2489" s="1713">
        <f>0.16*H2480</f>
        <v>0</v>
      </c>
      <c r="I2489" s="1192">
        <f t="shared" si="108"/>
        <v>0</v>
      </c>
      <c r="J2489" s="1014"/>
      <c r="K2489" s="1014"/>
      <c r="L2489" s="1015"/>
      <c r="M2489" s="934">
        <v>1000</v>
      </c>
      <c r="N2489" s="1066">
        <v>0.47499999999999998</v>
      </c>
    </row>
    <row r="2490" spans="1:14" s="1016" customFormat="1" ht="25.2" hidden="1" customHeight="1">
      <c r="A2490" s="1086">
        <f t="shared" si="114"/>
        <v>0</v>
      </c>
      <c r="B2490" s="1221"/>
      <c r="C2490" s="2838"/>
      <c r="D2490" s="1017">
        <f>IF(H2490&gt;0,D2480+1,D2480)</f>
        <v>4</v>
      </c>
      <c r="E2490" s="1018"/>
      <c r="F2490" s="1019" t="s">
        <v>3758</v>
      </c>
      <c r="G2490" s="1017" t="s">
        <v>2385</v>
      </c>
      <c r="H2490" s="1722"/>
      <c r="I2490" s="1192">
        <f t="shared" si="108"/>
        <v>0</v>
      </c>
      <c r="J2490" s="1014"/>
      <c r="K2490" s="1014"/>
      <c r="L2490" s="1015"/>
      <c r="M2490" s="934">
        <v>1000</v>
      </c>
      <c r="N2490" s="1066">
        <v>0.88100000000000001</v>
      </c>
    </row>
    <row r="2491" spans="1:14" s="1016" customFormat="1" ht="25.2" hidden="1" customHeight="1">
      <c r="A2491" s="1086">
        <f t="shared" si="114"/>
        <v>0</v>
      </c>
      <c r="B2491" s="1221"/>
      <c r="C2491" s="2838"/>
      <c r="D2491" s="1011"/>
      <c r="E2491" s="1021"/>
      <c r="F2491" s="1267" t="s">
        <v>2279</v>
      </c>
      <c r="G2491" s="1023"/>
      <c r="H2491" s="1713"/>
      <c r="I2491" s="1192">
        <f t="shared" si="108"/>
        <v>0</v>
      </c>
      <c r="J2491" s="1014"/>
      <c r="K2491" s="1014"/>
      <c r="L2491" s="1015"/>
      <c r="M2491" s="934">
        <v>1000</v>
      </c>
    </row>
    <row r="2492" spans="1:14" s="1016" customFormat="1" ht="25.2" hidden="1" customHeight="1">
      <c r="A2492" s="1086">
        <f t="shared" si="114"/>
        <v>0</v>
      </c>
      <c r="B2492" s="1221" t="s">
        <v>623</v>
      </c>
      <c r="C2492" s="2838"/>
      <c r="D2492" s="1023"/>
      <c r="E2492" s="1024" t="str">
        <f>VLOOKUP($B2492,DG!A:D,DG!$B$2,)</f>
        <v>07.2204</v>
      </c>
      <c r="F2492" s="1025" t="str">
        <f>VLOOKUP($B2492,DG!A:D,DG!$C$2,)</f>
        <v>ÔÁng sắt tráng kẽm D140</v>
      </c>
      <c r="G2492" s="1024" t="str">
        <f>VLOOKUP($B2492,DG!A:D,DG!$D$2,)</f>
        <v>mét</v>
      </c>
      <c r="H2492" s="1713">
        <f>H2490*4</f>
        <v>0</v>
      </c>
      <c r="I2492" s="1192">
        <f t="shared" si="108"/>
        <v>0</v>
      </c>
      <c r="J2492" s="1014"/>
      <c r="K2492" s="1014"/>
      <c r="L2492" s="1015"/>
      <c r="M2492" s="934">
        <v>1000</v>
      </c>
    </row>
    <row r="2493" spans="1:14" s="1016" customFormat="1" ht="25.2" hidden="1" customHeight="1">
      <c r="A2493" s="1086">
        <f t="shared" si="114"/>
        <v>0</v>
      </c>
      <c r="B2493" s="2833" t="s">
        <v>473</v>
      </c>
      <c r="C2493" s="2867"/>
      <c r="D2493" s="1011"/>
      <c r="E2493" s="1024">
        <f>VLOOKUP($B2493,DG!A:D,DG!$B$2,)</f>
        <v>0</v>
      </c>
      <c r="F2493" s="1025" t="str">
        <f>VLOOKUP($B2493,DG!A:D,DG!$C$2,)</f>
        <v>Co sừng 90 độ PVC 140</v>
      </c>
      <c r="G2493" s="1024" t="str">
        <f>VLOOKUP($B2493,DG!A:D,DG!$D$2,)</f>
        <v>cái</v>
      </c>
      <c r="H2493" s="1713">
        <f>H2490*1</f>
        <v>0</v>
      </c>
      <c r="I2493" s="1192">
        <f t="shared" si="108"/>
        <v>0</v>
      </c>
      <c r="J2493" s="1014"/>
      <c r="K2493" s="1014"/>
      <c r="L2493" s="1015"/>
      <c r="M2493" s="934">
        <v>1000</v>
      </c>
    </row>
    <row r="2494" spans="1:14" s="1016" customFormat="1" ht="25.2" hidden="1" customHeight="1">
      <c r="A2494" s="1086">
        <f t="shared" si="114"/>
        <v>0</v>
      </c>
      <c r="B2494" s="1221" t="s">
        <v>120</v>
      </c>
      <c r="C2494" s="2838"/>
      <c r="D2494" s="1023"/>
      <c r="E2494" s="1024" t="str">
        <f>VLOOKUP($B2494,DG!A:D,DG!$B$2,)</f>
        <v>06.3231</v>
      </c>
      <c r="F2494" s="1025" t="str">
        <f>VLOOKUP($B2494,DG!A:D,DG!$C$2,)</f>
        <v>Cổ dê giữ ống STK D140 vào tường+Boulon+long đền+tắc ke sắt</v>
      </c>
      <c r="G2494" s="1024" t="str">
        <f>VLOOKUP($B2494,DG!A:D,DG!$D$2,)</f>
        <v>bộ</v>
      </c>
      <c r="H2494" s="1713">
        <f>H2490*2</f>
        <v>0</v>
      </c>
      <c r="I2494" s="1192">
        <f t="shared" si="108"/>
        <v>0</v>
      </c>
      <c r="J2494" s="1014"/>
      <c r="K2494" s="1014"/>
      <c r="L2494" s="1015"/>
      <c r="M2494" s="934">
        <v>1000</v>
      </c>
    </row>
    <row r="2495" spans="1:14" s="1016" customFormat="1" ht="25.2" hidden="1" customHeight="1">
      <c r="A2495" s="1086">
        <f t="shared" si="114"/>
        <v>0</v>
      </c>
      <c r="B2495" s="2826" t="s">
        <v>1409</v>
      </c>
      <c r="C2495" s="2868"/>
      <c r="D2495" s="1023"/>
      <c r="E2495" s="1024">
        <f>VLOOKUP($B2495,DG!A:D,DG!$B$2,)</f>
        <v>0</v>
      </c>
      <c r="F2495" s="1025" t="str">
        <f>VLOOKUP($B2495,DG!A:D,DG!$C$2,)</f>
        <v>Giá đỡ cáp ngầm (V63x6)</v>
      </c>
      <c r="G2495" s="1024" t="str">
        <f>VLOOKUP($B2495,DG!A:D,DG!$D$2,)</f>
        <v>bộ</v>
      </c>
      <c r="H2495" s="1713">
        <f>H2490</f>
        <v>0</v>
      </c>
      <c r="I2495" s="1192">
        <f t="shared" si="108"/>
        <v>0</v>
      </c>
      <c r="J2495" s="1014"/>
      <c r="K2495" s="1014"/>
      <c r="L2495" s="1015"/>
      <c r="M2495" s="934">
        <v>1000</v>
      </c>
    </row>
    <row r="2496" spans="1:14" s="1016" customFormat="1" ht="25.2" hidden="1" customHeight="1">
      <c r="A2496" s="1086">
        <f t="shared" si="114"/>
        <v>0</v>
      </c>
      <c r="B2496" s="2826" t="s">
        <v>984</v>
      </c>
      <c r="C2496" s="2868"/>
      <c r="D2496" s="1023"/>
      <c r="E2496" s="1024">
        <f>VLOOKUP($B2496,DG!A:D,DG!$B$2,)</f>
        <v>0</v>
      </c>
      <c r="F2496" s="1025" t="str">
        <f>VLOOKUP($B2496,DG!A:D,DG!$C$2,)</f>
        <v>Giá đỡ cáp trung thế</v>
      </c>
      <c r="G2496" s="1024" t="str">
        <f>VLOOKUP($B2496,DG!A:D,DG!$D$2,)</f>
        <v>bộ</v>
      </c>
      <c r="H2496" s="1713">
        <f>H2490*0</f>
        <v>0</v>
      </c>
      <c r="I2496" s="1192">
        <f t="shared" si="108"/>
        <v>0</v>
      </c>
      <c r="J2496" s="1014"/>
      <c r="K2496" s="1014"/>
      <c r="L2496" s="1015"/>
      <c r="M2496" s="934">
        <v>1000</v>
      </c>
    </row>
    <row r="2497" spans="1:13" s="1016" customFormat="1" ht="25.2" hidden="1" customHeight="1">
      <c r="A2497" s="1086">
        <f t="shared" si="114"/>
        <v>0</v>
      </c>
      <c r="B2497" s="1221" t="s">
        <v>1410</v>
      </c>
      <c r="C2497" s="2838"/>
      <c r="D2497" s="1011"/>
      <c r="E2497" s="1024" t="str">
        <f>VLOOKUP($B2497,DG!A:D,DG!$B$2,)</f>
        <v>05.6101</v>
      </c>
      <c r="F2497" s="1025" t="str">
        <f>VLOOKUP($B2497,DG!A:D,DG!$C$2,)</f>
        <v>Lắp Giá đỡ cáp</v>
      </c>
      <c r="G2497" s="1024" t="str">
        <f>VLOOKUP($B2497,DG!A:D,DG!$D$2,)</f>
        <v>bộ</v>
      </c>
      <c r="H2497" s="1713">
        <f>H2495</f>
        <v>0</v>
      </c>
      <c r="I2497" s="1192">
        <f t="shared" si="108"/>
        <v>0</v>
      </c>
      <c r="J2497" s="1014"/>
      <c r="K2497" s="1014"/>
      <c r="L2497" s="1015"/>
      <c r="M2497" s="934">
        <v>1000</v>
      </c>
    </row>
    <row r="2498" spans="1:13" s="1016" customFormat="1" ht="25.2" hidden="1" customHeight="1">
      <c r="A2498" s="1086">
        <f t="shared" si="114"/>
        <v>0</v>
      </c>
      <c r="B2498" s="1221" t="s">
        <v>289</v>
      </c>
      <c r="C2498" s="2838"/>
      <c r="D2498" s="1023"/>
      <c r="E2498" s="1024" t="str">
        <f>VLOOKUP($B2498,DG!A:D,DG!$B$2,)</f>
        <v>06.3191</v>
      </c>
      <c r="F2498" s="1025" t="str">
        <f>VLOOKUP($B2498,DG!A:D,DG!$C$2,)</f>
        <v>Bảng tên trạm, bảng báo nguy hiểm + đinh vít</v>
      </c>
      <c r="G2498" s="1024" t="str">
        <f>VLOOKUP($B2498,DG!A:D,DG!$D$2,)</f>
        <v>bộ</v>
      </c>
      <c r="H2498" s="1713">
        <f>H2490</f>
        <v>0</v>
      </c>
      <c r="I2498" s="1192">
        <f t="shared" si="108"/>
        <v>0</v>
      </c>
      <c r="J2498" s="1014"/>
      <c r="K2498" s="1014"/>
      <c r="L2498" s="1015"/>
      <c r="M2498" s="934">
        <v>1000</v>
      </c>
    </row>
    <row r="2499" spans="1:13" s="1016" customFormat="1" ht="25.2" hidden="1" customHeight="1">
      <c r="A2499" s="1086">
        <f t="shared" si="114"/>
        <v>0</v>
      </c>
      <c r="B2499" s="1221"/>
      <c r="C2499" s="2838"/>
      <c r="D2499" s="1017">
        <f>IF(H2499&gt;0,D2490+1,D2490)</f>
        <v>4</v>
      </c>
      <c r="E2499" s="1018"/>
      <c r="F2499" s="1027" t="s">
        <v>3726</v>
      </c>
      <c r="G2499" s="1017" t="s">
        <v>2385</v>
      </c>
      <c r="H2499" s="1722"/>
      <c r="I2499" s="1192">
        <f t="shared" si="108"/>
        <v>0</v>
      </c>
      <c r="J2499" s="1014"/>
      <c r="K2499" s="1014"/>
      <c r="L2499" s="1015"/>
      <c r="M2499" s="934">
        <v>1000</v>
      </c>
    </row>
    <row r="2500" spans="1:13" s="1016" customFormat="1" ht="25.2" hidden="1" customHeight="1">
      <c r="A2500" s="1086">
        <f t="shared" si="114"/>
        <v>0</v>
      </c>
      <c r="B2500" s="1221"/>
      <c r="C2500" s="2838"/>
      <c r="D2500" s="1011"/>
      <c r="E2500" s="1021"/>
      <c r="F2500" s="1268" t="s">
        <v>2279</v>
      </c>
      <c r="G2500" s="1011"/>
      <c r="H2500" s="1723"/>
      <c r="I2500" s="1192">
        <f t="shared" si="108"/>
        <v>0</v>
      </c>
      <c r="J2500" s="1014"/>
      <c r="K2500" s="1014"/>
      <c r="L2500" s="1015"/>
      <c r="M2500" s="934">
        <v>1000</v>
      </c>
    </row>
    <row r="2501" spans="1:13" s="1016" customFormat="1" ht="25.2" hidden="1" customHeight="1">
      <c r="A2501" s="1086">
        <f t="shared" si="114"/>
        <v>0</v>
      </c>
      <c r="B2501" s="2826" t="s">
        <v>470</v>
      </c>
      <c r="C2501" s="2868"/>
      <c r="D2501" s="1023"/>
      <c r="E2501" s="1012">
        <f>VLOOKUP($B2501,DG!A:D,DG!$B$2,)</f>
        <v>0</v>
      </c>
      <c r="F2501" s="1013" t="str">
        <f>VLOOKUP($B2501,DG!A:D,DG!$C$2,)&amp;": töø trụ ño ñeám ñeán tuû LBSA"</f>
        <v>Cáp 24kV C/XLPE/DSTA/PVC3x50: töø trụ ño ñeám ñeán tuû LBSA</v>
      </c>
      <c r="G2501" s="1012" t="str">
        <f>VLOOKUP($B2501,DG!A:D,DG!$D$2,)</f>
        <v>mét</v>
      </c>
      <c r="H2501" s="1713">
        <f>$C2501*H$2499</f>
        <v>0</v>
      </c>
      <c r="I2501" s="1713">
        <f t="shared" ref="I2501:K2510" si="119">$C2501*I$2499</f>
        <v>0</v>
      </c>
      <c r="J2501" s="1713">
        <f t="shared" si="119"/>
        <v>0</v>
      </c>
      <c r="K2501" s="1713">
        <f t="shared" si="119"/>
        <v>0</v>
      </c>
      <c r="L2501" s="1015"/>
      <c r="M2501" s="934">
        <v>1000</v>
      </c>
    </row>
    <row r="2502" spans="1:13" s="1016" customFormat="1" ht="25.2" hidden="1" customHeight="1">
      <c r="A2502" s="1086">
        <f t="shared" si="114"/>
        <v>0</v>
      </c>
      <c r="B2502" s="2826" t="s">
        <v>271</v>
      </c>
      <c r="C2502" s="2868"/>
      <c r="D2502" s="1023"/>
      <c r="E2502" s="1012">
        <f>VLOOKUP($B2502,DG!A:D,DG!$B$2,)</f>
        <v>0</v>
      </c>
      <c r="F2502" s="1013" t="str">
        <f>VLOOKUP($B2502,DG!A:D,DG!$C$2,)&amp;": 0,5m/pha"</f>
        <v>Cáp 24KV C/XLPE/PVC 50mm2: 0,5m/pha</v>
      </c>
      <c r="G2502" s="1012" t="str">
        <f>VLOOKUP($B2502,DG!A:D,DG!$D$2,)</f>
        <v>mét</v>
      </c>
      <c r="H2502" s="1713">
        <f t="shared" ref="H2502:H2510" si="120">$C2502*H$2499</f>
        <v>0</v>
      </c>
      <c r="I2502" s="1713">
        <f t="shared" si="119"/>
        <v>0</v>
      </c>
      <c r="J2502" s="1713">
        <f t="shared" si="119"/>
        <v>0</v>
      </c>
      <c r="K2502" s="1713">
        <f t="shared" si="119"/>
        <v>0</v>
      </c>
      <c r="L2502" s="1015"/>
      <c r="M2502" s="934">
        <v>1000</v>
      </c>
    </row>
    <row r="2503" spans="1:13" s="1016" customFormat="1" ht="25.2" hidden="1" customHeight="1">
      <c r="A2503" s="1086">
        <f t="shared" si="114"/>
        <v>0</v>
      </c>
      <c r="B2503" s="2826" t="s">
        <v>1352</v>
      </c>
      <c r="C2503" s="2868"/>
      <c r="D2503" s="1023"/>
      <c r="E2503" s="1012">
        <f>VLOOKUP($B2503,DG!A:D,DG!$B$2,)</f>
        <v>0</v>
      </c>
      <c r="F2503" s="1013" t="str">
        <f>VLOOKUP($B2503,DG!A:D,DG!$C$2,)</f>
        <v>Đầu cáp ngầm 24KV 3x50mm2 outdoor</v>
      </c>
      <c r="G2503" s="1012" t="str">
        <f>VLOOKUP($B2503,DG!A:D,DG!$D$2,)</f>
        <v>cái</v>
      </c>
      <c r="H2503" s="1713">
        <f t="shared" si="120"/>
        <v>0</v>
      </c>
      <c r="I2503" s="1713">
        <f t="shared" si="119"/>
        <v>0</v>
      </c>
      <c r="J2503" s="1713">
        <f t="shared" si="119"/>
        <v>0</v>
      </c>
      <c r="K2503" s="1713">
        <f t="shared" si="119"/>
        <v>0</v>
      </c>
      <c r="L2503" s="1015"/>
      <c r="M2503" s="934">
        <v>1000</v>
      </c>
    </row>
    <row r="2504" spans="1:13" s="1016" customFormat="1" ht="25.2" hidden="1" customHeight="1">
      <c r="A2504" s="1086">
        <f t="shared" si="114"/>
        <v>0</v>
      </c>
      <c r="B2504" s="2826" t="s">
        <v>470</v>
      </c>
      <c r="C2504" s="2868"/>
      <c r="D2504" s="1023"/>
      <c r="E2504" s="1012">
        <f>VLOOKUP($B2504,DG!A:D,DG!$B$2,)</f>
        <v>0</v>
      </c>
      <c r="F2504" s="1013" t="str">
        <f>VLOOKUP($B2504,DG!A:D,DG!$C$2,)&amp;": töø tuû LBS ñeán MBA"</f>
        <v>Cáp 24kV C/XLPE/DSTA/PVC3x50: töø tuû LBS ñeán MBA</v>
      </c>
      <c r="G2504" s="1012" t="str">
        <f>VLOOKUP($B2504,DG!A:D,DG!$D$2,)</f>
        <v>mét</v>
      </c>
      <c r="H2504" s="1713">
        <f t="shared" si="120"/>
        <v>0</v>
      </c>
      <c r="I2504" s="1713">
        <f t="shared" si="119"/>
        <v>0</v>
      </c>
      <c r="J2504" s="1713">
        <f t="shared" si="119"/>
        <v>0</v>
      </c>
      <c r="K2504" s="1713">
        <f t="shared" si="119"/>
        <v>0</v>
      </c>
      <c r="L2504" s="1015"/>
      <c r="M2504" s="934">
        <v>1000</v>
      </c>
    </row>
    <row r="2505" spans="1:13" s="1016" customFormat="1" ht="25.2" hidden="1" customHeight="1">
      <c r="A2505" s="1086">
        <f t="shared" si="114"/>
        <v>0</v>
      </c>
      <c r="B2505" s="2826" t="s">
        <v>271</v>
      </c>
      <c r="C2505" s="2868"/>
      <c r="D2505" s="1023"/>
      <c r="E2505" s="1012">
        <f>VLOOKUP($B2505,DG!A:D,DG!$B$2,)</f>
        <v>0</v>
      </c>
      <c r="F2505" s="1013" t="str">
        <f>VLOOKUP($B2505,DG!A:D,DG!$C$2,)&amp;": töø tuû LBS ñeán MBA"</f>
        <v>Cáp 24KV C/XLPE/PVC 50mm2: töø tuû LBS ñeán MBA</v>
      </c>
      <c r="G2505" s="1012" t="str">
        <f>VLOOKUP($B2505,DG!A:D,DG!$D$2,)</f>
        <v>mét</v>
      </c>
      <c r="H2505" s="1713">
        <f t="shared" si="120"/>
        <v>0</v>
      </c>
      <c r="I2505" s="1713">
        <f t="shared" si="119"/>
        <v>0</v>
      </c>
      <c r="J2505" s="1713">
        <f t="shared" si="119"/>
        <v>0</v>
      </c>
      <c r="K2505" s="1713">
        <f t="shared" si="119"/>
        <v>0</v>
      </c>
      <c r="L2505" s="1015"/>
      <c r="M2505" s="934">
        <v>1000</v>
      </c>
    </row>
    <row r="2506" spans="1:13" s="1016" customFormat="1" ht="25.2" hidden="1" customHeight="1">
      <c r="A2506" s="1086">
        <f t="shared" si="114"/>
        <v>0</v>
      </c>
      <c r="B2506" s="2826" t="s">
        <v>1353</v>
      </c>
      <c r="C2506" s="2868"/>
      <c r="D2506" s="1023"/>
      <c r="E2506" s="1012">
        <f>VLOOKUP($B2506,DG!A:D,DG!$B$2,)</f>
        <v>0</v>
      </c>
      <c r="F2506" s="1013" t="str">
        <f>VLOOKUP($B2506,DG!A:D,DG!$C$2,)</f>
        <v>Đầu cáp ngầm 24KV 3x50mm2 indoor</v>
      </c>
      <c r="G2506" s="1012" t="str">
        <f>VLOOKUP($B2506,DG!A:D,DG!$D$2,)</f>
        <v>cái</v>
      </c>
      <c r="H2506" s="1713">
        <f t="shared" si="120"/>
        <v>0</v>
      </c>
      <c r="I2506" s="1713">
        <f t="shared" si="119"/>
        <v>0</v>
      </c>
      <c r="J2506" s="1713">
        <f t="shared" si="119"/>
        <v>0</v>
      </c>
      <c r="K2506" s="1713">
        <f t="shared" si="119"/>
        <v>0</v>
      </c>
      <c r="L2506" s="1015"/>
      <c r="M2506" s="934">
        <v>1000</v>
      </c>
    </row>
    <row r="2507" spans="1:13" s="1016" customFormat="1" ht="25.2" hidden="1" customHeight="1">
      <c r="A2507" s="1086">
        <f t="shared" si="114"/>
        <v>0</v>
      </c>
      <c r="B2507" s="2826" t="s">
        <v>1674</v>
      </c>
      <c r="C2507" s="2868"/>
      <c r="D2507" s="1023"/>
      <c r="E2507" s="1012" t="str">
        <f>VLOOKUP($B2507,DG!A:D,DG!$B$2,)</f>
        <v>07.4312</v>
      </c>
      <c r="F2507" s="1013" t="str">
        <f>VLOOKUP($B2507,DG!A:D,DG!$C$2,)</f>
        <v>Lắp đầu cáp trung thế 3x50mm2, 70mm2</v>
      </c>
      <c r="G2507" s="1012" t="str">
        <f>VLOOKUP($B2507,DG!A:D,DG!$D$2,)</f>
        <v>cái</v>
      </c>
      <c r="H2507" s="1713">
        <f t="shared" si="120"/>
        <v>0</v>
      </c>
      <c r="I2507" s="1713">
        <f t="shared" si="119"/>
        <v>0</v>
      </c>
      <c r="J2507" s="1713">
        <f t="shared" si="119"/>
        <v>0</v>
      </c>
      <c r="K2507" s="1713">
        <f t="shared" si="119"/>
        <v>0</v>
      </c>
      <c r="L2507" s="1015"/>
      <c r="M2507" s="934">
        <v>1000</v>
      </c>
    </row>
    <row r="2508" spans="1:13" s="1016" customFormat="1" ht="25.2" hidden="1" customHeight="1">
      <c r="A2508" s="1086">
        <f t="shared" si="114"/>
        <v>0</v>
      </c>
      <c r="B2508" s="2826" t="s">
        <v>1182</v>
      </c>
      <c r="C2508" s="2868"/>
      <c r="D2508" s="1023"/>
      <c r="E2508" s="1012" t="str">
        <f>VLOOKUP($B2508,DG!A:D,DG!$B$2,)</f>
        <v>07.3405</v>
      </c>
      <c r="F2508" s="1013" t="str">
        <f>VLOOKUP($B2508,DG!A:D,DG!$C$2,)</f>
        <v>Lắp cáp trong ống bảo vệ loại &lt;=6kg</v>
      </c>
      <c r="G2508" s="1012" t="str">
        <f>VLOOKUP($B2508,DG!A:D,DG!$D$2,)</f>
        <v>mét</v>
      </c>
      <c r="H2508" s="1713">
        <f t="shared" si="120"/>
        <v>0</v>
      </c>
      <c r="I2508" s="1713">
        <f t="shared" si="119"/>
        <v>0</v>
      </c>
      <c r="J2508" s="1713">
        <f t="shared" si="119"/>
        <v>0</v>
      </c>
      <c r="K2508" s="1713">
        <f t="shared" si="119"/>
        <v>0</v>
      </c>
      <c r="L2508" s="1015"/>
      <c r="M2508" s="934">
        <v>1000</v>
      </c>
    </row>
    <row r="2509" spans="1:13" s="1016" customFormat="1" ht="25.2" hidden="1" customHeight="1">
      <c r="A2509" s="1086">
        <f t="shared" si="114"/>
        <v>0</v>
      </c>
      <c r="B2509" s="2826" t="s">
        <v>1525</v>
      </c>
      <c r="C2509" s="2868"/>
      <c r="D2509" s="1023"/>
      <c r="E2509" s="1012" t="str">
        <f>VLOOKUP($B2509,DG!A:D,DG!$B$2,)</f>
        <v>04.4201</v>
      </c>
      <c r="F2509" s="1013" t="str">
        <f>VLOOKUP($B2509,DG!A:D,DG!$C$2,)</f>
        <v>Lắp cáp đồng xuống thiết bị D ≤ 95mm2</v>
      </c>
      <c r="G2509" s="1012" t="str">
        <f>VLOOKUP($B2509,DG!A:D,DG!$D$2,)</f>
        <v>m</v>
      </c>
      <c r="H2509" s="1713">
        <f t="shared" si="120"/>
        <v>0</v>
      </c>
      <c r="I2509" s="1713">
        <f t="shared" si="119"/>
        <v>0</v>
      </c>
      <c r="J2509" s="1713">
        <f t="shared" si="119"/>
        <v>0</v>
      </c>
      <c r="K2509" s="1713">
        <f t="shared" si="119"/>
        <v>0</v>
      </c>
      <c r="L2509" s="1015"/>
      <c r="M2509" s="934">
        <v>1000</v>
      </c>
    </row>
    <row r="2510" spans="1:13" s="1016" customFormat="1" ht="25.2" hidden="1" customHeight="1">
      <c r="A2510" s="1086">
        <f t="shared" si="114"/>
        <v>0</v>
      </c>
      <c r="B2510" s="2826" t="s">
        <v>1349</v>
      </c>
      <c r="C2510" s="2868"/>
      <c r="D2510" s="1028"/>
      <c r="E2510" s="1029">
        <f>VLOOKUP($B2510,DG!A:D,DG!$B$2,)</f>
        <v>0</v>
      </c>
      <c r="F2510" s="1030" t="str">
        <f>VLOOKUP($B2510,DG!A:D,DG!$C$2,)</f>
        <v>Dây rút cáp</v>
      </c>
      <c r="G2510" s="1029" t="str">
        <f>VLOOKUP($B2510,DG!A:D,DG!$D$2,)</f>
        <v>bọc</v>
      </c>
      <c r="H2510" s="1724">
        <f t="shared" si="120"/>
        <v>0</v>
      </c>
      <c r="I2510" s="1724">
        <f t="shared" si="119"/>
        <v>0</v>
      </c>
      <c r="J2510" s="1724">
        <f t="shared" si="119"/>
        <v>0</v>
      </c>
      <c r="K2510" s="1724">
        <f t="shared" si="119"/>
        <v>0</v>
      </c>
      <c r="L2510" s="1031"/>
      <c r="M2510" s="934">
        <v>1000</v>
      </c>
    </row>
    <row r="2511" spans="1:13" s="1016" customFormat="1" ht="25.2" customHeight="1">
      <c r="A2511" s="1086">
        <f t="shared" si="114"/>
        <v>1</v>
      </c>
      <c r="B2511" s="1221"/>
      <c r="C2511" s="2838"/>
      <c r="D2511" s="2935">
        <f>IF(H2511&gt;0,D2499+1,D2499)</f>
        <v>5</v>
      </c>
      <c r="E2511" s="2936"/>
      <c r="F2511" s="2942" t="s">
        <v>3727</v>
      </c>
      <c r="G2511" s="2935" t="s">
        <v>2385</v>
      </c>
      <c r="H2511" s="2938">
        <v>1</v>
      </c>
      <c r="I2511" s="2938">
        <f t="shared" ref="I2511" si="121">IF(M2511=$M$23,H2511+J2511-K2511,0)</f>
        <v>1</v>
      </c>
      <c r="J2511" s="2938"/>
      <c r="K2511" s="2938"/>
      <c r="L2511" s="2797"/>
      <c r="M2511" s="934">
        <v>1000</v>
      </c>
    </row>
    <row r="2512" spans="1:13" s="1016" customFormat="1" ht="25.2" hidden="1" customHeight="1">
      <c r="A2512" s="1086">
        <f t="shared" si="114"/>
        <v>0</v>
      </c>
      <c r="B2512" s="1221"/>
      <c r="C2512" s="2838"/>
      <c r="D2512" s="2897"/>
      <c r="E2512" s="2903"/>
      <c r="F2512" s="2914" t="s">
        <v>2279</v>
      </c>
      <c r="G2512" s="2897"/>
      <c r="H2512" s="2915"/>
      <c r="I2512" s="2898">
        <f t="shared" ref="I2512:I2579" si="122">IF(M2512=$M$23,H2512+J2512-K2512,0)</f>
        <v>0</v>
      </c>
      <c r="J2512" s="2907"/>
      <c r="K2512" s="2907"/>
      <c r="L2512" s="2894"/>
      <c r="M2512" s="934">
        <v>1000</v>
      </c>
    </row>
    <row r="2513" spans="1:13" s="1016" customFormat="1" ht="25.2" customHeight="1">
      <c r="A2513" s="1086">
        <f t="shared" si="114"/>
        <v>1</v>
      </c>
      <c r="B2513" s="2826" t="s">
        <v>4906</v>
      </c>
      <c r="C2513" s="2868">
        <v>36</v>
      </c>
      <c r="D2513" s="2798"/>
      <c r="E2513" s="2809">
        <f>VLOOKUP($B2513,DG!A:D,DG!$B$2,)</f>
        <v>0</v>
      </c>
      <c r="F2513" s="2931" t="str">
        <f>VLOOKUP($B2513,DG!A:D,DG!$C$2,)</f>
        <v>Cáp đồng bọc 24KV-CXV-25</v>
      </c>
      <c r="G2513" s="2809" t="str">
        <f>VLOOKUP($B2513,DG!A:D,DG!$D$2,)</f>
        <v>mét</v>
      </c>
      <c r="H2513" s="2810">
        <f>$C2513*H$2511</f>
        <v>36</v>
      </c>
      <c r="I2513" s="2810">
        <f t="shared" ref="I2513:K2526" si="123">$C2513*I$2511</f>
        <v>36</v>
      </c>
      <c r="J2513" s="2810">
        <f t="shared" si="123"/>
        <v>0</v>
      </c>
      <c r="K2513" s="2810">
        <f t="shared" si="123"/>
        <v>0</v>
      </c>
      <c r="L2513" s="2797"/>
      <c r="M2513" s="934">
        <v>1000</v>
      </c>
    </row>
    <row r="2514" spans="1:13" s="1016" customFormat="1" ht="25.2" hidden="1" customHeight="1">
      <c r="A2514" s="1086">
        <f t="shared" si="114"/>
        <v>0</v>
      </c>
      <c r="B2514" s="2826" t="s">
        <v>1115</v>
      </c>
      <c r="C2514" s="2868"/>
      <c r="D2514" s="1153"/>
      <c r="E2514" s="1154">
        <f>VLOOKUP($B2514,DG!A:D,DG!$B$2,)</f>
        <v>0</v>
      </c>
      <c r="F2514" s="2892" t="str">
        <f>VLOOKUP($B2514,DG!A:D,DG!$C$2,)</f>
        <v>Kẹp ép cỡ dây 25mm2</v>
      </c>
      <c r="G2514" s="1154" t="str">
        <f>VLOOKUP($B2514,DG!A:D,DG!$D$2,)</f>
        <v>cái</v>
      </c>
      <c r="H2514" s="2893">
        <f t="shared" ref="H2514:H2526" si="124">$C2514*H$2511</f>
        <v>0</v>
      </c>
      <c r="I2514" s="2893">
        <f t="shared" si="123"/>
        <v>0</v>
      </c>
      <c r="J2514" s="2893">
        <f t="shared" si="123"/>
        <v>0</v>
      </c>
      <c r="K2514" s="2893">
        <f t="shared" si="123"/>
        <v>0</v>
      </c>
      <c r="L2514" s="2894"/>
      <c r="M2514" s="934">
        <v>1000</v>
      </c>
    </row>
    <row r="2515" spans="1:13" s="1016" customFormat="1" ht="25.2" customHeight="1">
      <c r="A2515" s="1086">
        <f t="shared" si="114"/>
        <v>1</v>
      </c>
      <c r="B2515" s="2826" t="s">
        <v>236</v>
      </c>
      <c r="C2515" s="2868">
        <v>3</v>
      </c>
      <c r="D2515" s="2798"/>
      <c r="E2515" s="2809" t="str">
        <f>VLOOKUP($B2515,DG!A:D,DG!$B$2,)</f>
        <v>04.3007</v>
      </c>
      <c r="F2515" s="2931" t="str">
        <f>VLOOKUP($B2515,DG!A:D,DG!$C$2,)</f>
        <v>Kẹp quai 4/0</v>
      </c>
      <c r="G2515" s="2809" t="str">
        <f>VLOOKUP($B2515,DG!A:D,DG!$D$2,)</f>
        <v>cái</v>
      </c>
      <c r="H2515" s="2810">
        <f t="shared" si="124"/>
        <v>3</v>
      </c>
      <c r="I2515" s="2810">
        <f t="shared" si="123"/>
        <v>3</v>
      </c>
      <c r="J2515" s="2810">
        <f t="shared" si="123"/>
        <v>0</v>
      </c>
      <c r="K2515" s="2810">
        <f t="shared" si="123"/>
        <v>0</v>
      </c>
      <c r="L2515" s="2797"/>
      <c r="M2515" s="934">
        <v>1000</v>
      </c>
    </row>
    <row r="2516" spans="1:13" s="1016" customFormat="1" ht="25.2" customHeight="1">
      <c r="A2516" s="1086">
        <f t="shared" si="114"/>
        <v>1</v>
      </c>
      <c r="B2516" s="2826" t="s">
        <v>1049</v>
      </c>
      <c r="C2516" s="2868">
        <v>3</v>
      </c>
      <c r="D2516" s="2798"/>
      <c r="E2516" s="2809" t="str">
        <f>VLOOKUP($B2516,DG!A:D,DG!$B$2,)</f>
        <v>04.3007</v>
      </c>
      <c r="F2516" s="2931" t="str">
        <f>VLOOKUP($B2516,DG!A:D,DG!$C$2,)&amp;": "</f>
        <v xml:space="preserve">Kẹp hotline 4/0: </v>
      </c>
      <c r="G2516" s="2809" t="str">
        <f>VLOOKUP($B2516,DG!A:D,DG!$D$2,)</f>
        <v>cái</v>
      </c>
      <c r="H2516" s="2810">
        <f t="shared" si="124"/>
        <v>3</v>
      </c>
      <c r="I2516" s="2810">
        <f t="shared" si="123"/>
        <v>3</v>
      </c>
      <c r="J2516" s="2810">
        <f t="shared" si="123"/>
        <v>0</v>
      </c>
      <c r="K2516" s="2810">
        <f t="shared" si="123"/>
        <v>0</v>
      </c>
      <c r="L2516" s="2797"/>
      <c r="M2516" s="934">
        <v>1000</v>
      </c>
    </row>
    <row r="2517" spans="1:13" s="1016" customFormat="1" ht="25.2" customHeight="1">
      <c r="A2517" s="1086">
        <f t="shared" ref="A2517:A2520" si="125">IF(AND(M2517=$M$23,I2517&gt;0),1,0)</f>
        <v>1</v>
      </c>
      <c r="B2517" s="2826" t="s">
        <v>384</v>
      </c>
      <c r="C2517" s="2868">
        <v>3</v>
      </c>
      <c r="D2517" s="2943"/>
      <c r="E2517" s="2809">
        <f>VLOOKUP($B2517,DG!A:D,DG!$B$2,)</f>
        <v>0</v>
      </c>
      <c r="F2517" s="2931" t="str">
        <f>VLOOKUP($B2517,DG!A:D,DG!$C$2,)</f>
        <v>Chụp đầu MBA</v>
      </c>
      <c r="G2517" s="2809" t="str">
        <f>VLOOKUP($B2517,DG!A:D,DG!$D$2,)</f>
        <v>cái</v>
      </c>
      <c r="H2517" s="2810">
        <f t="shared" si="124"/>
        <v>3</v>
      </c>
      <c r="I2517" s="2810">
        <f t="shared" si="123"/>
        <v>3</v>
      </c>
      <c r="J2517" s="2810">
        <f t="shared" si="123"/>
        <v>0</v>
      </c>
      <c r="K2517" s="2810">
        <f t="shared" si="123"/>
        <v>0</v>
      </c>
      <c r="L2517" s="2797"/>
      <c r="M2517" s="934">
        <v>1000</v>
      </c>
    </row>
    <row r="2518" spans="1:13" s="1016" customFormat="1" ht="25.2" customHeight="1">
      <c r="A2518" s="1086">
        <f t="shared" si="125"/>
        <v>1</v>
      </c>
      <c r="B2518" s="2826" t="s">
        <v>383</v>
      </c>
      <c r="C2518" s="2868">
        <v>6</v>
      </c>
      <c r="D2518" s="2943"/>
      <c r="E2518" s="2809">
        <f>VLOOKUP($B2518,DG!A:D,DG!$B$2,)</f>
        <v>0</v>
      </c>
      <c r="F2518" s="2931" t="str">
        <f>VLOOKUP($B2518,DG!A:D,DG!$C$2,)</f>
        <v>Chụp đầu cực LA</v>
      </c>
      <c r="G2518" s="2809" t="str">
        <f>VLOOKUP($B2518,DG!A:D,DG!$D$2,)</f>
        <v>cái</v>
      </c>
      <c r="H2518" s="2810">
        <f t="shared" si="124"/>
        <v>6</v>
      </c>
      <c r="I2518" s="2810">
        <f t="shared" si="123"/>
        <v>6</v>
      </c>
      <c r="J2518" s="2810">
        <f t="shared" si="123"/>
        <v>0</v>
      </c>
      <c r="K2518" s="2810">
        <f t="shared" si="123"/>
        <v>0</v>
      </c>
      <c r="L2518" s="2797"/>
      <c r="M2518" s="934">
        <v>1000</v>
      </c>
    </row>
    <row r="2519" spans="1:13" s="1016" customFormat="1" ht="25.2" customHeight="1">
      <c r="A2519" s="1086">
        <f t="shared" si="125"/>
        <v>1</v>
      </c>
      <c r="B2519" s="2826" t="s">
        <v>382</v>
      </c>
      <c r="C2519" s="2868">
        <v>3</v>
      </c>
      <c r="D2519" s="2943"/>
      <c r="E2519" s="2809">
        <f>VLOOKUP($B2519,DG!A:D,DG!$B$2,)</f>
        <v>0</v>
      </c>
      <c r="F2519" s="2931" t="str">
        <f>VLOOKUP($B2519,DG!A:D,DG!$C$2,)</f>
        <v>Chụp đầu cực FCO (bộ 2 cái)</v>
      </c>
      <c r="G2519" s="2809" t="str">
        <f>VLOOKUP($B2519,DG!A:D,DG!$D$2,)</f>
        <v>bộ</v>
      </c>
      <c r="H2519" s="2810">
        <f t="shared" si="124"/>
        <v>3</v>
      </c>
      <c r="I2519" s="2810">
        <f t="shared" si="123"/>
        <v>3</v>
      </c>
      <c r="J2519" s="2810">
        <f t="shared" si="123"/>
        <v>0</v>
      </c>
      <c r="K2519" s="2810">
        <f t="shared" si="123"/>
        <v>0</v>
      </c>
      <c r="L2519" s="2797"/>
      <c r="M2519" s="934">
        <v>1000</v>
      </c>
    </row>
    <row r="2520" spans="1:13" s="1016" customFormat="1" ht="25.2" customHeight="1">
      <c r="A2520" s="1086">
        <f t="shared" si="125"/>
        <v>1</v>
      </c>
      <c r="B2520" s="2826" t="s">
        <v>6468</v>
      </c>
      <c r="C2520" s="2868">
        <v>9</v>
      </c>
      <c r="D2520" s="2943"/>
      <c r="E2520" s="2809">
        <f>VLOOKUP($B2520,DG!A:D,DG!$B$2,)</f>
        <v>0</v>
      </c>
      <c r="F2520" s="2931" t="str">
        <f>VLOOKUP($B2520,DG!A:D,DG!$C$2,)</f>
        <v>Chụp đầu cực TI, TU</v>
      </c>
      <c r="G2520" s="2809" t="str">
        <f>VLOOKUP($B2520,DG!A:D,DG!$D$2,)</f>
        <v>Cái</v>
      </c>
      <c r="H2520" s="2810">
        <f t="shared" si="124"/>
        <v>9</v>
      </c>
      <c r="I2520" s="2810">
        <f t="shared" si="123"/>
        <v>9</v>
      </c>
      <c r="J2520" s="2810">
        <f t="shared" si="123"/>
        <v>0</v>
      </c>
      <c r="K2520" s="2810">
        <f t="shared" si="123"/>
        <v>0</v>
      </c>
      <c r="L2520" s="2797"/>
      <c r="M2520" s="934">
        <v>1000</v>
      </c>
    </row>
    <row r="2521" spans="1:13" s="1016" customFormat="1" ht="25.2" customHeight="1">
      <c r="A2521" s="1086">
        <f t="shared" si="114"/>
        <v>1</v>
      </c>
      <c r="B2521" s="2826" t="s">
        <v>696</v>
      </c>
      <c r="C2521" s="2868">
        <v>6</v>
      </c>
      <c r="D2521" s="2943"/>
      <c r="E2521" s="2809">
        <f>VLOOKUP($B2521,DG!A:D,DG!$B$2,)</f>
        <v>0</v>
      </c>
      <c r="F2521" s="2931" t="str">
        <f>VLOOKUP($B2521,DG!A:D,DG!$C$2,)</f>
        <v xml:space="preserve">Sứ đứng 24KV </v>
      </c>
      <c r="G2521" s="2809" t="str">
        <f>VLOOKUP($B2521,DG!A:D,DG!$D$2,)</f>
        <v>cái</v>
      </c>
      <c r="H2521" s="2810">
        <f t="shared" si="124"/>
        <v>6</v>
      </c>
      <c r="I2521" s="2810">
        <f t="shared" si="123"/>
        <v>6</v>
      </c>
      <c r="J2521" s="2810">
        <f t="shared" si="123"/>
        <v>0</v>
      </c>
      <c r="K2521" s="2810">
        <f t="shared" si="123"/>
        <v>0</v>
      </c>
      <c r="L2521" s="2797"/>
      <c r="M2521" s="934">
        <v>1000</v>
      </c>
    </row>
    <row r="2522" spans="1:13" s="1016" customFormat="1" ht="25.2" customHeight="1">
      <c r="A2522" s="1086">
        <f t="shared" si="114"/>
        <v>1</v>
      </c>
      <c r="B2522" s="2826" t="s">
        <v>1265</v>
      </c>
      <c r="C2522" s="2868">
        <f>C2521</f>
        <v>6</v>
      </c>
      <c r="D2522" s="2798"/>
      <c r="E2522" s="2809">
        <f>VLOOKUP($B2522,DG!A:D,DG!$B$2,)</f>
        <v>0</v>
      </c>
      <c r="F2522" s="2931" t="str">
        <f>VLOOKUP($B2522,DG!A:D,DG!$C$2,)</f>
        <v>Chân sứ đứng D20</v>
      </c>
      <c r="G2522" s="2809" t="str">
        <f>VLOOKUP($B2522,DG!A:D,DG!$D$2,)</f>
        <v>cái</v>
      </c>
      <c r="H2522" s="2810">
        <f t="shared" si="124"/>
        <v>6</v>
      </c>
      <c r="I2522" s="2810">
        <f t="shared" si="123"/>
        <v>6</v>
      </c>
      <c r="J2522" s="2810">
        <f t="shared" si="123"/>
        <v>0</v>
      </c>
      <c r="K2522" s="2810">
        <f t="shared" si="123"/>
        <v>0</v>
      </c>
      <c r="L2522" s="2797"/>
      <c r="M2522" s="934">
        <v>1000</v>
      </c>
    </row>
    <row r="2523" spans="1:13" s="1016" customFormat="1" ht="25.2" customHeight="1">
      <c r="A2523" s="1086">
        <f t="shared" ref="A2523:A2525" si="126">IF(AND(M2523=$M$23,I2523&gt;0),1,0)</f>
        <v>1</v>
      </c>
      <c r="B2523" s="2826" t="s">
        <v>347</v>
      </c>
      <c r="C2523" s="2868">
        <f t="shared" ref="C2523" si="127">C2518</f>
        <v>6</v>
      </c>
      <c r="D2523" s="2798"/>
      <c r="E2523" s="2809" t="str">
        <f>VLOOKUP($B2523,DG!A:D,DG!$B$2,)</f>
        <v>06.1115</v>
      </c>
      <c r="F2523" s="2931" t="str">
        <f>VLOOKUP($B2523,DG!A:D,DG!$C$2,)</f>
        <v>Lắp sứ đứng 24KV</v>
      </c>
      <c r="G2523" s="2809" t="str">
        <f>VLOOKUP($B2523,DG!A:D,DG!$D$2,)</f>
        <v>bộ</v>
      </c>
      <c r="H2523" s="2810">
        <f t="shared" si="124"/>
        <v>6</v>
      </c>
      <c r="I2523" s="2810">
        <f t="shared" si="123"/>
        <v>6</v>
      </c>
      <c r="J2523" s="2810">
        <f t="shared" si="123"/>
        <v>0</v>
      </c>
      <c r="K2523" s="2810">
        <f t="shared" si="123"/>
        <v>0</v>
      </c>
      <c r="L2523" s="2797"/>
      <c r="M2523" s="934">
        <v>1000</v>
      </c>
    </row>
    <row r="2524" spans="1:13" s="1016" customFormat="1" ht="25.2" customHeight="1">
      <c r="A2524" s="1086">
        <f t="shared" si="126"/>
        <v>1</v>
      </c>
      <c r="B2524" s="2826" t="s">
        <v>6509</v>
      </c>
      <c r="C2524" s="2868">
        <v>6</v>
      </c>
      <c r="D2524" s="2798"/>
      <c r="E2524" s="2809">
        <f>VLOOKUP($B2524,DG!A:D,DG!$B$2,)</f>
        <v>0</v>
      </c>
      <c r="F2524" s="2931" t="str">
        <f>VLOOKUP($B2524,DG!A:D,DG!$C$2,)</f>
        <v>Dây buộc đầu sứ cỡ dây 50mm2</v>
      </c>
      <c r="G2524" s="2809" t="str">
        <f>VLOOKUP($B2524,DG!A:D,DG!$D$2,)</f>
        <v>cái</v>
      </c>
      <c r="H2524" s="2810">
        <f t="shared" si="124"/>
        <v>6</v>
      </c>
      <c r="I2524" s="2810">
        <f t="shared" si="123"/>
        <v>6</v>
      </c>
      <c r="J2524" s="2810">
        <f t="shared" si="123"/>
        <v>0</v>
      </c>
      <c r="K2524" s="2810">
        <f t="shared" si="123"/>
        <v>0</v>
      </c>
      <c r="L2524" s="2797"/>
      <c r="M2524" s="934">
        <v>1000</v>
      </c>
    </row>
    <row r="2525" spans="1:13" s="1016" customFormat="1" ht="25.2" hidden="1" customHeight="1">
      <c r="A2525" s="1086">
        <f t="shared" si="126"/>
        <v>0</v>
      </c>
      <c r="B2525" s="2826"/>
      <c r="C2525" s="2868"/>
      <c r="D2525" s="2890"/>
      <c r="E2525" s="1875" t="e">
        <f>VLOOKUP($B2525,DG!A:D,DG!$B$2,)</f>
        <v>#N/A</v>
      </c>
      <c r="F2525" s="1874" t="e">
        <f>VLOOKUP($B2525,DG!A:D,DG!$C$2,)</f>
        <v>#N/A</v>
      </c>
      <c r="G2525" s="1875" t="e">
        <f>VLOOKUP($B2525,DG!A:D,DG!$D$2,)</f>
        <v>#N/A</v>
      </c>
      <c r="H2525" s="1720">
        <f t="shared" si="124"/>
        <v>0</v>
      </c>
      <c r="I2525" s="1720">
        <f t="shared" si="123"/>
        <v>0</v>
      </c>
      <c r="J2525" s="1720">
        <f t="shared" si="123"/>
        <v>0</v>
      </c>
      <c r="K2525" s="1720">
        <f t="shared" si="123"/>
        <v>0</v>
      </c>
      <c r="L2525" s="1129"/>
      <c r="M2525" s="934">
        <v>1000</v>
      </c>
    </row>
    <row r="2526" spans="1:13" s="1016" customFormat="1" ht="25.2" hidden="1" customHeight="1">
      <c r="A2526" s="1086">
        <f t="shared" si="114"/>
        <v>0</v>
      </c>
      <c r="B2526" s="2826"/>
      <c r="C2526" s="2868"/>
      <c r="D2526" s="1023"/>
      <c r="E2526" s="1012" t="e">
        <f>VLOOKUP($B2526,DG!A:D,DG!$B$2,)</f>
        <v>#N/A</v>
      </c>
      <c r="F2526" s="1013" t="e">
        <f>VLOOKUP($B2526,DG!A:D,DG!$C$2,)</f>
        <v>#N/A</v>
      </c>
      <c r="G2526" s="1012" t="e">
        <f>VLOOKUP($B2526,DG!A:D,DG!$D$2,)</f>
        <v>#N/A</v>
      </c>
      <c r="H2526" s="1713">
        <f t="shared" si="124"/>
        <v>0</v>
      </c>
      <c r="I2526" s="1713">
        <f t="shared" si="123"/>
        <v>0</v>
      </c>
      <c r="J2526" s="1713">
        <f t="shared" si="123"/>
        <v>0</v>
      </c>
      <c r="K2526" s="1713">
        <f t="shared" si="123"/>
        <v>0</v>
      </c>
      <c r="L2526" s="1015"/>
      <c r="M2526" s="934">
        <v>1000</v>
      </c>
    </row>
    <row r="2527" spans="1:13" s="1016" customFormat="1" ht="25.2" hidden="1" customHeight="1">
      <c r="A2527" s="1086">
        <f t="shared" si="114"/>
        <v>0</v>
      </c>
      <c r="B2527" s="1221"/>
      <c r="C2527" s="2838"/>
      <c r="D2527" s="1017">
        <f>IF(H2527&gt;0,D2511+1,D2511)</f>
        <v>5</v>
      </c>
      <c r="E2527" s="1018"/>
      <c r="F2527" s="1019" t="s">
        <v>3759</v>
      </c>
      <c r="G2527" s="1017" t="s">
        <v>2385</v>
      </c>
      <c r="H2527" s="1722"/>
      <c r="I2527" s="1192">
        <f t="shared" si="122"/>
        <v>0</v>
      </c>
      <c r="J2527" s="1014"/>
      <c r="K2527" s="1014"/>
      <c r="L2527" s="1015"/>
      <c r="M2527" s="934">
        <v>1000</v>
      </c>
    </row>
    <row r="2528" spans="1:13" s="1016" customFormat="1" ht="25.2" hidden="1" customHeight="1">
      <c r="A2528" s="1086">
        <f t="shared" si="114"/>
        <v>0</v>
      </c>
      <c r="B2528" s="1221"/>
      <c r="C2528" s="2838"/>
      <c r="D2528" s="1011"/>
      <c r="E2528" s="1021"/>
      <c r="F2528" s="1268" t="s">
        <v>2279</v>
      </c>
      <c r="G2528" s="1011"/>
      <c r="H2528" s="1723"/>
      <c r="I2528" s="1192">
        <f t="shared" si="122"/>
        <v>0</v>
      </c>
      <c r="J2528" s="1014"/>
      <c r="K2528" s="1014"/>
      <c r="L2528" s="1015"/>
      <c r="M2528" s="934">
        <v>1000</v>
      </c>
    </row>
    <row r="2529" spans="1:14" s="1016" customFormat="1" ht="25.2" hidden="1" customHeight="1">
      <c r="A2529" s="1086">
        <f t="shared" si="114"/>
        <v>0</v>
      </c>
      <c r="B2529" s="1221" t="s">
        <v>1124</v>
      </c>
      <c r="C2529" s="2838"/>
      <c r="D2529" s="1023"/>
      <c r="E2529" s="1012">
        <f>VLOOKUP($B2529,DG!A:D,DG!$B$2,)</f>
        <v>0</v>
      </c>
      <c r="F2529" s="1013" t="str">
        <f>VLOOKUP($B2529,DG!A:D,DG!$C$2,)</f>
        <v xml:space="preserve">Giá đỡ cáp hạ thế </v>
      </c>
      <c r="G2529" s="1012" t="str">
        <f>VLOOKUP($B2529,DG!A:D,DG!$D$2,)</f>
        <v>bộ</v>
      </c>
      <c r="H2529" s="1713">
        <f>H2527</f>
        <v>0</v>
      </c>
      <c r="I2529" s="1192">
        <f t="shared" si="122"/>
        <v>0</v>
      </c>
      <c r="J2529" s="1014"/>
      <c r="K2529" s="1014"/>
      <c r="L2529" s="1015"/>
      <c r="M2529" s="934">
        <v>1000</v>
      </c>
    </row>
    <row r="2530" spans="1:14" s="1016" customFormat="1" ht="25.2" hidden="1" customHeight="1">
      <c r="A2530" s="1086">
        <f t="shared" si="114"/>
        <v>0</v>
      </c>
      <c r="B2530" s="1221" t="s">
        <v>1410</v>
      </c>
      <c r="C2530" s="2838"/>
      <c r="D2530" s="1028"/>
      <c r="E2530" s="1029" t="str">
        <f>VLOOKUP($B2530,DG!A:D,DG!$B$2,)</f>
        <v>05.6101</v>
      </c>
      <c r="F2530" s="1030" t="str">
        <f>VLOOKUP($B2530,DG!A:D,DG!$C$2,)</f>
        <v>Lắp Giá đỡ cáp</v>
      </c>
      <c r="G2530" s="1029" t="str">
        <f>VLOOKUP($B2530,DG!A:D,DG!$D$2,)</f>
        <v>bộ</v>
      </c>
      <c r="H2530" s="1724">
        <f>H2529</f>
        <v>0</v>
      </c>
      <c r="I2530" s="1752">
        <f t="shared" si="122"/>
        <v>0</v>
      </c>
      <c r="J2530" s="1085"/>
      <c r="K2530" s="1085"/>
      <c r="L2530" s="1031"/>
      <c r="M2530" s="934">
        <v>1000</v>
      </c>
    </row>
    <row r="2531" spans="1:14" s="1016" customFormat="1" ht="25.2" customHeight="1">
      <c r="A2531" s="1086">
        <f t="shared" si="114"/>
        <v>1</v>
      </c>
      <c r="B2531" s="2826"/>
      <c r="C2531" s="2868"/>
      <c r="D2531" s="2935">
        <f>IF(H2531&gt;0,D2527+1,D2527)</f>
        <v>6</v>
      </c>
      <c r="E2531" s="2936"/>
      <c r="F2531" s="2942" t="s">
        <v>3760</v>
      </c>
      <c r="G2531" s="2935" t="s">
        <v>2385</v>
      </c>
      <c r="H2531" s="2938">
        <v>1</v>
      </c>
      <c r="I2531" s="2938">
        <f t="shared" si="122"/>
        <v>1</v>
      </c>
      <c r="J2531" s="2938"/>
      <c r="K2531" s="2938"/>
      <c r="L2531" s="2797"/>
      <c r="M2531" s="934">
        <v>1000</v>
      </c>
    </row>
    <row r="2532" spans="1:14" s="1016" customFormat="1" ht="25.2" hidden="1" customHeight="1">
      <c r="A2532" s="1086">
        <f t="shared" si="114"/>
        <v>0</v>
      </c>
      <c r="B2532" s="2826"/>
      <c r="C2532" s="2868"/>
      <c r="D2532" s="2897"/>
      <c r="E2532" s="2903"/>
      <c r="F2532" s="2914" t="s">
        <v>2279</v>
      </c>
      <c r="G2532" s="2897"/>
      <c r="H2532" s="2893"/>
      <c r="I2532" s="2898">
        <f t="shared" si="122"/>
        <v>0</v>
      </c>
      <c r="J2532" s="2907"/>
      <c r="K2532" s="2907"/>
      <c r="L2532" s="2894"/>
      <c r="M2532" s="934">
        <v>1000</v>
      </c>
    </row>
    <row r="2533" spans="1:14" s="1016" customFormat="1" ht="25.2" customHeight="1">
      <c r="A2533" s="1086">
        <f t="shared" si="114"/>
        <v>1</v>
      </c>
      <c r="B2533" s="1221" t="s">
        <v>1571</v>
      </c>
      <c r="C2533" s="2838">
        <v>72</v>
      </c>
      <c r="D2533" s="2798"/>
      <c r="E2533" s="2809">
        <f>VLOOKUP($B2533,DG!A:D,DG!$B$2,)</f>
        <v>0</v>
      </c>
      <c r="F2533" s="2931" t="str">
        <f>VLOOKUP($B2533,DG!A:D,DG!$C$2,)</f>
        <v>Cáp đồng bọc CV240</v>
      </c>
      <c r="G2533" s="2809" t="str">
        <f>VLOOKUP($B2533,DG!A:D,DG!$D$2,)</f>
        <v>mét</v>
      </c>
      <c r="H2533" s="2810">
        <f>$C2533*H$2531</f>
        <v>72</v>
      </c>
      <c r="I2533" s="2810">
        <f t="shared" ref="I2533:K2549" si="128">$C2533*I$2531</f>
        <v>72</v>
      </c>
      <c r="J2533" s="2810">
        <f t="shared" si="128"/>
        <v>0</v>
      </c>
      <c r="K2533" s="2810">
        <f t="shared" si="128"/>
        <v>0</v>
      </c>
      <c r="L2533" s="2797"/>
      <c r="M2533" s="934">
        <v>1000</v>
      </c>
      <c r="N2533" s="1016">
        <f>48*(30+6)</f>
        <v>1728</v>
      </c>
    </row>
    <row r="2534" spans="1:14" s="1016" customFormat="1" ht="25.2" customHeight="1">
      <c r="A2534" s="1086">
        <f t="shared" ref="A2534" si="129">IF(AND(M2534=$M$23,I2534&gt;0),1,0)</f>
        <v>1</v>
      </c>
      <c r="B2534" s="1221" t="s">
        <v>2156</v>
      </c>
      <c r="C2534" s="2838">
        <v>28</v>
      </c>
      <c r="D2534" s="2798"/>
      <c r="E2534" s="2809" t="str">
        <f>VLOOKUP($B2534,DG!A:D,DG!$B$2,)</f>
        <v>03.4008</v>
      </c>
      <c r="F2534" s="2931" t="str">
        <f>VLOOKUP($B2534,DG!A:D,DG!$C$2,)</f>
        <v>Đầu cosse ép Cu 240mm2</v>
      </c>
      <c r="G2534" s="2809" t="str">
        <f>VLOOKUP($B2534,DG!A:D,DG!$D$2,)</f>
        <v>cái</v>
      </c>
      <c r="H2534" s="2810">
        <f t="shared" ref="H2534:H2549" si="130">$C2534*H$2531</f>
        <v>28</v>
      </c>
      <c r="I2534" s="2810">
        <f t="shared" si="128"/>
        <v>28</v>
      </c>
      <c r="J2534" s="2810">
        <f t="shared" si="128"/>
        <v>0</v>
      </c>
      <c r="K2534" s="2810">
        <f t="shared" si="128"/>
        <v>0</v>
      </c>
      <c r="L2534" s="2797"/>
      <c r="M2534" s="934">
        <v>1000</v>
      </c>
      <c r="N2534" s="1016">
        <f>8*(30+6)</f>
        <v>288</v>
      </c>
    </row>
    <row r="2535" spans="1:14" s="1016" customFormat="1" ht="25.2" customHeight="1">
      <c r="A2535" s="1086">
        <f t="shared" si="114"/>
        <v>1</v>
      </c>
      <c r="B2535" s="1221" t="s">
        <v>90</v>
      </c>
      <c r="C2535" s="2838">
        <f>C2534</f>
        <v>28</v>
      </c>
      <c r="D2535" s="2798"/>
      <c r="E2535" s="2809">
        <f>VLOOKUP($B2535,DG!A:D,DG!$B$2,)</f>
        <v>0</v>
      </c>
      <c r="F2535" s="2931" t="str">
        <f>VLOOKUP($B2535,DG!A:D,DG!$C$2,)</f>
        <v>Chụp đầu cosse  240mm2</v>
      </c>
      <c r="G2535" s="2809" t="str">
        <f>VLOOKUP($B2535,DG!A:D,DG!$D$2,)</f>
        <v>cái</v>
      </c>
      <c r="H2535" s="2810">
        <f t="shared" si="130"/>
        <v>28</v>
      </c>
      <c r="I2535" s="2810">
        <f t="shared" si="128"/>
        <v>28</v>
      </c>
      <c r="J2535" s="2810">
        <f t="shared" si="128"/>
        <v>0</v>
      </c>
      <c r="K2535" s="2810">
        <f t="shared" si="128"/>
        <v>0</v>
      </c>
      <c r="L2535" s="2797"/>
      <c r="M2535" s="934">
        <v>1000</v>
      </c>
      <c r="N2535" s="1016">
        <f>8*(30+6)</f>
        <v>288</v>
      </c>
    </row>
    <row r="2536" spans="1:14" s="1016" customFormat="1" ht="25.2" hidden="1" customHeight="1">
      <c r="A2536" s="1086">
        <f t="shared" si="114"/>
        <v>0</v>
      </c>
      <c r="B2536" s="1221" t="s">
        <v>448</v>
      </c>
      <c r="C2536" s="2838"/>
      <c r="D2536" s="2890"/>
      <c r="E2536" s="1875" t="str">
        <f>VLOOKUP($B2536,DG!A:D,DG!$B$2,)</f>
        <v>03.4009</v>
      </c>
      <c r="F2536" s="1874" t="str">
        <f>VLOOKUP($B2536,DG!A:D,DG!$C$2,)&amp;": "</f>
        <v xml:space="preserve">Đầu cosse ép Cu 250mm2: </v>
      </c>
      <c r="G2536" s="1875" t="str">
        <f>VLOOKUP($B2536,DG!A:D,DG!$D$2,)</f>
        <v>cái</v>
      </c>
      <c r="H2536" s="1720">
        <f t="shared" si="130"/>
        <v>0</v>
      </c>
      <c r="I2536" s="1720">
        <f t="shared" si="128"/>
        <v>0</v>
      </c>
      <c r="J2536" s="1720">
        <f t="shared" si="128"/>
        <v>0</v>
      </c>
      <c r="K2536" s="1720">
        <f t="shared" si="128"/>
        <v>0</v>
      </c>
      <c r="L2536" s="1129"/>
      <c r="M2536" s="934">
        <v>1000</v>
      </c>
    </row>
    <row r="2537" spans="1:14" s="1016" customFormat="1" ht="25.2" hidden="1" customHeight="1">
      <c r="A2537" s="1086">
        <f t="shared" si="114"/>
        <v>0</v>
      </c>
      <c r="B2537" s="1221" t="s">
        <v>448</v>
      </c>
      <c r="C2537" s="2838"/>
      <c r="D2537" s="1023"/>
      <c r="E2537" s="1012" t="str">
        <f>VLOOKUP($B2537,DG!A:D,DG!$B$2,)</f>
        <v>03.4009</v>
      </c>
      <c r="F2537" s="1013" t="str">
        <f>VLOOKUP($B2537,DG!A:D,DG!$C$2,)&amp;": "</f>
        <v xml:space="preserve">Đầu cosse ép Cu 250mm2: </v>
      </c>
      <c r="G2537" s="1012" t="str">
        <f>VLOOKUP($B2537,DG!A:D,DG!$D$2,)</f>
        <v>cái</v>
      </c>
      <c r="H2537" s="1713">
        <f t="shared" si="130"/>
        <v>0</v>
      </c>
      <c r="I2537" s="1713">
        <f t="shared" si="128"/>
        <v>0</v>
      </c>
      <c r="J2537" s="1713">
        <f t="shared" si="128"/>
        <v>0</v>
      </c>
      <c r="K2537" s="1713">
        <f t="shared" si="128"/>
        <v>0</v>
      </c>
      <c r="L2537" s="1015"/>
      <c r="M2537" s="934">
        <v>1000</v>
      </c>
    </row>
    <row r="2538" spans="1:14" s="1016" customFormat="1" ht="25.2" hidden="1" customHeight="1">
      <c r="A2538" s="1086">
        <f t="shared" si="114"/>
        <v>0</v>
      </c>
      <c r="B2538" s="1221" t="s">
        <v>1072</v>
      </c>
      <c r="C2538" s="2838"/>
      <c r="D2538" s="1023"/>
      <c r="E2538" s="1012">
        <f>VLOOKUP($B2538,DG!A:D,DG!$B$2,)</f>
        <v>0</v>
      </c>
      <c r="F2538" s="1013" t="str">
        <f>VLOOKUP($B2538,DG!A:D,DG!$C$2,)&amp;": "</f>
        <v xml:space="preserve">Chụp đầu cosse  250mm2: </v>
      </c>
      <c r="G2538" s="1012" t="str">
        <f>VLOOKUP($B2538,DG!A:D,DG!$D$2,)</f>
        <v>cái</v>
      </c>
      <c r="H2538" s="1713">
        <f t="shared" si="130"/>
        <v>0</v>
      </c>
      <c r="I2538" s="1713">
        <f t="shared" si="128"/>
        <v>0</v>
      </c>
      <c r="J2538" s="1713">
        <f t="shared" si="128"/>
        <v>0</v>
      </c>
      <c r="K2538" s="1713">
        <f t="shared" si="128"/>
        <v>0</v>
      </c>
      <c r="L2538" s="1015"/>
      <c r="M2538" s="934">
        <v>1000</v>
      </c>
    </row>
    <row r="2539" spans="1:14" s="1016" customFormat="1" ht="25.2" hidden="1" customHeight="1">
      <c r="A2539" s="1086">
        <f t="shared" si="114"/>
        <v>0</v>
      </c>
      <c r="B2539" s="1221" t="s">
        <v>1072</v>
      </c>
      <c r="C2539" s="2838"/>
      <c r="D2539" s="1028"/>
      <c r="E2539" s="1029">
        <f>VLOOKUP($B2539,DG!A:D,DG!$B$2,)</f>
        <v>0</v>
      </c>
      <c r="F2539" s="1030" t="str">
        <f>VLOOKUP($B2539,DG!A:D,DG!$C$2,)&amp;": "</f>
        <v xml:space="preserve">Chụp đầu cosse  250mm2: </v>
      </c>
      <c r="G2539" s="1029" t="str">
        <f>VLOOKUP($B2539,DG!A:D,DG!$D$2,)</f>
        <v>cái</v>
      </c>
      <c r="H2539" s="1724">
        <f t="shared" si="130"/>
        <v>0</v>
      </c>
      <c r="I2539" s="1724">
        <f t="shared" si="128"/>
        <v>0</v>
      </c>
      <c r="J2539" s="1724">
        <f t="shared" si="128"/>
        <v>0</v>
      </c>
      <c r="K2539" s="1724">
        <f t="shared" si="128"/>
        <v>0</v>
      </c>
      <c r="L2539" s="1031"/>
      <c r="M2539" s="934">
        <v>1000</v>
      </c>
    </row>
    <row r="2540" spans="1:14" s="1016" customFormat="1" ht="25.2" customHeight="1">
      <c r="A2540" s="1086">
        <f t="shared" ref="A2540:A2628" si="131">IF(AND(M2540=$M$23,I2540&gt;0),1,0)</f>
        <v>1</v>
      </c>
      <c r="B2540" s="1221" t="s">
        <v>1042</v>
      </c>
      <c r="C2540" s="2838">
        <v>8</v>
      </c>
      <c r="D2540" s="2798"/>
      <c r="E2540" s="2809">
        <f>VLOOKUP($B2540,DG!A:D,DG!$B$2,)</f>
        <v>0</v>
      </c>
      <c r="F2540" s="2931" t="str">
        <f>VLOOKUP($B2540,DG!A:D,DG!$C$2,)</f>
        <v xml:space="preserve">Ống PVC D114x4,9mm </v>
      </c>
      <c r="G2540" s="2809" t="str">
        <f>VLOOKUP($B2540,DG!A:D,DG!$D$2,)</f>
        <v>m</v>
      </c>
      <c r="H2540" s="2810">
        <f t="shared" si="130"/>
        <v>8</v>
      </c>
      <c r="I2540" s="2810">
        <f t="shared" si="128"/>
        <v>8</v>
      </c>
      <c r="J2540" s="2810">
        <f t="shared" si="128"/>
        <v>0</v>
      </c>
      <c r="K2540" s="2810">
        <f t="shared" si="128"/>
        <v>0</v>
      </c>
      <c r="L2540" s="2797"/>
      <c r="M2540" s="934">
        <v>1000</v>
      </c>
    </row>
    <row r="2541" spans="1:14" s="1016" customFormat="1" ht="25.2" hidden="1" customHeight="1">
      <c r="A2541" s="1086">
        <f t="shared" si="131"/>
        <v>0</v>
      </c>
      <c r="B2541" s="2826" t="s">
        <v>731</v>
      </c>
      <c r="C2541" s="2868"/>
      <c r="D2541" s="2890"/>
      <c r="E2541" s="1875" t="str">
        <f>VLOOKUP($B2541,DG!A:D,DG!$B$2,)</f>
        <v>06.3231</v>
      </c>
      <c r="F2541" s="1874" t="str">
        <f>VLOOKUP($B2541,DG!A:D,DG!$C$2,)</f>
        <v>Cổ dê kẹp ống PVC Ø 114</v>
      </c>
      <c r="G2541" s="1875" t="str">
        <f>VLOOKUP($B2541,DG!A:D,DG!$D$2,)</f>
        <v>bộ</v>
      </c>
      <c r="H2541" s="1720">
        <f t="shared" si="130"/>
        <v>0</v>
      </c>
      <c r="I2541" s="1720">
        <f t="shared" si="128"/>
        <v>0</v>
      </c>
      <c r="J2541" s="1720">
        <f t="shared" si="128"/>
        <v>0</v>
      </c>
      <c r="K2541" s="1720">
        <f t="shared" si="128"/>
        <v>0</v>
      </c>
      <c r="L2541" s="1129"/>
      <c r="M2541" s="934">
        <v>1000</v>
      </c>
    </row>
    <row r="2542" spans="1:14" s="1016" customFormat="1" ht="25.2" hidden="1" customHeight="1">
      <c r="A2542" s="1086">
        <f t="shared" si="131"/>
        <v>0</v>
      </c>
      <c r="B2542" s="1221" t="s">
        <v>1043</v>
      </c>
      <c r="C2542" s="2838"/>
      <c r="D2542" s="1023"/>
      <c r="E2542" s="1012">
        <f>VLOOKUP($B2542,DG!A:D,DG!$B$2,)</f>
        <v>0</v>
      </c>
      <c r="F2542" s="1013" t="str">
        <f>VLOOKUP($B2542,DG!A:D,DG!$C$2,)</f>
        <v>Co sừng 90 độ PVC 114</v>
      </c>
      <c r="G2542" s="1012" t="str">
        <f>VLOOKUP($B2542,DG!A:D,DG!$D$2,)</f>
        <v>cái</v>
      </c>
      <c r="H2542" s="1713">
        <f t="shared" si="130"/>
        <v>0</v>
      </c>
      <c r="I2542" s="1713">
        <f t="shared" si="128"/>
        <v>0</v>
      </c>
      <c r="J2542" s="1713">
        <f t="shared" si="128"/>
        <v>0</v>
      </c>
      <c r="K2542" s="1713">
        <f t="shared" si="128"/>
        <v>0</v>
      </c>
      <c r="L2542" s="1015"/>
      <c r="M2542" s="934">
        <v>1000</v>
      </c>
    </row>
    <row r="2543" spans="1:14" s="1016" customFormat="1" ht="25.2" hidden="1" customHeight="1">
      <c r="A2543" s="1086">
        <f t="shared" si="131"/>
        <v>0</v>
      </c>
      <c r="B2543" s="1221" t="s">
        <v>2167</v>
      </c>
      <c r="C2543" s="2838"/>
      <c r="D2543" s="1023"/>
      <c r="E2543" s="1012">
        <f>VLOOKUP($B2543,DG!A:D,DG!$B$2,)</f>
        <v>0</v>
      </c>
      <c r="F2543" s="1013" t="str">
        <f>VLOOKUP($B2543,DG!A:D,DG!$C$2,)</f>
        <v>Khâu ven răng trong D114</v>
      </c>
      <c r="G2543" s="1012" t="str">
        <f>VLOOKUP($B2543,DG!A:D,DG!$D$2,)</f>
        <v>cái</v>
      </c>
      <c r="H2543" s="1713">
        <f t="shared" si="130"/>
        <v>0</v>
      </c>
      <c r="I2543" s="1713">
        <f t="shared" si="128"/>
        <v>0</v>
      </c>
      <c r="J2543" s="1713">
        <f t="shared" si="128"/>
        <v>0</v>
      </c>
      <c r="K2543" s="1713">
        <f t="shared" si="128"/>
        <v>0</v>
      </c>
      <c r="L2543" s="1015"/>
      <c r="M2543" s="934">
        <v>1000</v>
      </c>
    </row>
    <row r="2544" spans="1:14" s="1016" customFormat="1" ht="25.2" hidden="1" customHeight="1">
      <c r="A2544" s="1086">
        <f t="shared" si="131"/>
        <v>0</v>
      </c>
      <c r="B2544" s="1221" t="s">
        <v>2168</v>
      </c>
      <c r="C2544" s="2838"/>
      <c r="D2544" s="1023"/>
      <c r="E2544" s="1012">
        <f>VLOOKUP($B2544,DG!A:D,DG!$B$2,)</f>
        <v>0</v>
      </c>
      <c r="F2544" s="1013" t="str">
        <f>VLOOKUP($B2544,DG!A:D,DG!$C$2,)&amp;": "</f>
        <v xml:space="preserve">Khâu ven răng ngoài D114: </v>
      </c>
      <c r="G2544" s="1012" t="str">
        <f>VLOOKUP($B2544,DG!A:D,DG!$D$2,)</f>
        <v>cái</v>
      </c>
      <c r="H2544" s="1713">
        <f t="shared" si="130"/>
        <v>0</v>
      </c>
      <c r="I2544" s="1713">
        <f t="shared" si="128"/>
        <v>0</v>
      </c>
      <c r="J2544" s="1713">
        <f t="shared" si="128"/>
        <v>0</v>
      </c>
      <c r="K2544" s="1713">
        <f t="shared" si="128"/>
        <v>0</v>
      </c>
      <c r="L2544" s="1015"/>
      <c r="M2544" s="934">
        <v>1000</v>
      </c>
    </row>
    <row r="2545" spans="1:13" s="1016" customFormat="1" ht="25.2" hidden="1" customHeight="1">
      <c r="A2545" s="1086">
        <f t="shared" si="131"/>
        <v>0</v>
      </c>
      <c r="B2545" s="1221" t="s">
        <v>726</v>
      </c>
      <c r="C2545" s="2838"/>
      <c r="D2545" s="1028"/>
      <c r="E2545" s="1029">
        <f>VLOOKUP($B2545,DG!A:D,DG!$B$2,)</f>
        <v>0</v>
      </c>
      <c r="F2545" s="1030" t="str">
        <f>VLOOKUP($B2545,DG!A:D,DG!$C$2,)&amp;": "</f>
        <v xml:space="preserve">Keo dán ống PVC (500gr): </v>
      </c>
      <c r="G2545" s="1029" t="str">
        <f>VLOOKUP($B2545,DG!A:D,DG!$D$2,)</f>
        <v>lon</v>
      </c>
      <c r="H2545" s="1724">
        <f t="shared" si="130"/>
        <v>0</v>
      </c>
      <c r="I2545" s="1724">
        <f t="shared" si="128"/>
        <v>0</v>
      </c>
      <c r="J2545" s="1724">
        <f t="shared" si="128"/>
        <v>0</v>
      </c>
      <c r="K2545" s="1724">
        <f t="shared" si="128"/>
        <v>0</v>
      </c>
      <c r="L2545" s="1031"/>
      <c r="M2545" s="934">
        <v>1000</v>
      </c>
    </row>
    <row r="2546" spans="1:13" s="1016" customFormat="1" ht="25.2" customHeight="1">
      <c r="A2546" s="1086">
        <f t="shared" si="131"/>
        <v>1</v>
      </c>
      <c r="B2546" s="2826" t="s">
        <v>6</v>
      </c>
      <c r="C2546" s="2868">
        <v>3</v>
      </c>
      <c r="D2546" s="2798"/>
      <c r="E2546" s="2809"/>
      <c r="F2546" s="2931" t="str">
        <f>VLOOKUP($B2546,DG!A:D,DG!$C$2,)&amp;":"</f>
        <v>Keo silicon bít miệng ống:</v>
      </c>
      <c r="G2546" s="2809" t="str">
        <f>VLOOKUP($B2546,DG!A:D,DG!$D$2,)</f>
        <v>ống</v>
      </c>
      <c r="H2546" s="2810">
        <f t="shared" si="130"/>
        <v>3</v>
      </c>
      <c r="I2546" s="2810">
        <f t="shared" si="128"/>
        <v>3</v>
      </c>
      <c r="J2546" s="2810">
        <f t="shared" si="128"/>
        <v>0</v>
      </c>
      <c r="K2546" s="2810">
        <f t="shared" si="128"/>
        <v>0</v>
      </c>
      <c r="L2546" s="2797"/>
      <c r="M2546" s="934">
        <v>1000</v>
      </c>
    </row>
    <row r="2547" spans="1:13" s="1016" customFormat="1" ht="25.2" customHeight="1">
      <c r="A2547" s="1086">
        <f t="shared" si="131"/>
        <v>1</v>
      </c>
      <c r="B2547" s="1221" t="s">
        <v>1348</v>
      </c>
      <c r="C2547" s="2838">
        <v>3</v>
      </c>
      <c r="D2547" s="2798"/>
      <c r="E2547" s="2809">
        <f>VLOOKUP($B2547,DG!A:D,DG!$B$2,)</f>
        <v>0</v>
      </c>
      <c r="F2547" s="2931" t="str">
        <f>VLOOKUP($B2547,DG!A:D,DG!$C$2,)</f>
        <v>Dây rút cáp</v>
      </c>
      <c r="G2547" s="2809" t="str">
        <f>VLOOKUP($B2547,DG!A:D,DG!$D$2,)</f>
        <v>bọc</v>
      </c>
      <c r="H2547" s="2810">
        <f t="shared" si="130"/>
        <v>3</v>
      </c>
      <c r="I2547" s="2810">
        <f t="shared" si="128"/>
        <v>3</v>
      </c>
      <c r="J2547" s="2810">
        <f t="shared" si="128"/>
        <v>0</v>
      </c>
      <c r="K2547" s="2810">
        <f t="shared" si="128"/>
        <v>0</v>
      </c>
      <c r="L2547" s="2797"/>
      <c r="M2547" s="934">
        <v>1000</v>
      </c>
    </row>
    <row r="2548" spans="1:13" s="1016" customFormat="1" ht="25.2" customHeight="1">
      <c r="A2548" s="1086">
        <f t="shared" si="131"/>
        <v>1</v>
      </c>
      <c r="B2548" s="2826" t="s">
        <v>672</v>
      </c>
      <c r="C2548" s="2868">
        <v>1</v>
      </c>
      <c r="D2548" s="2798"/>
      <c r="E2548" s="2809">
        <f>VLOOKUP($B2548,DG!A:D,DG!$B$2,)</f>
        <v>0</v>
      </c>
      <c r="F2548" s="2931" t="str">
        <f>VLOOKUP($B2548,DG!A:D,DG!$C$2,)</f>
        <v>Băng keo cách điện</v>
      </c>
      <c r="G2548" s="2809" t="str">
        <f>VLOOKUP($B2548,DG!A:D,DG!$D$2,)</f>
        <v>cuộn</v>
      </c>
      <c r="H2548" s="2810">
        <f t="shared" si="130"/>
        <v>1</v>
      </c>
      <c r="I2548" s="2810">
        <f t="shared" si="128"/>
        <v>1</v>
      </c>
      <c r="J2548" s="2810">
        <f t="shared" si="128"/>
        <v>0</v>
      </c>
      <c r="K2548" s="2810">
        <f t="shared" si="128"/>
        <v>0</v>
      </c>
      <c r="L2548" s="2797"/>
      <c r="M2548" s="934">
        <v>1000</v>
      </c>
    </row>
    <row r="2549" spans="1:13" s="1016" customFormat="1" ht="25.2" customHeight="1">
      <c r="A2549" s="1086">
        <f t="shared" si="131"/>
        <v>1</v>
      </c>
      <c r="B2549" s="2826" t="s">
        <v>247</v>
      </c>
      <c r="C2549" s="2868">
        <f>C2533</f>
        <v>72</v>
      </c>
      <c r="D2549" s="2798"/>
      <c r="E2549" s="2809"/>
      <c r="F2549" s="2931" t="str">
        <f>VLOOKUP($B2549,DG!A:D,DG!$C$2,)&amp;":"</f>
        <v>Lắp cáp đồng xuống thiết bị D &gt; 150mm2:</v>
      </c>
      <c r="G2549" s="2809" t="str">
        <f>VLOOKUP($B2549,DG!A:D,DG!$D$2,)</f>
        <v>m</v>
      </c>
      <c r="H2549" s="2810">
        <f t="shared" si="130"/>
        <v>72</v>
      </c>
      <c r="I2549" s="2810">
        <f t="shared" si="128"/>
        <v>72</v>
      </c>
      <c r="J2549" s="2810">
        <f t="shared" si="128"/>
        <v>0</v>
      </c>
      <c r="K2549" s="2810">
        <f t="shared" si="128"/>
        <v>0</v>
      </c>
      <c r="L2549" s="2797"/>
      <c r="M2549" s="934">
        <v>1000</v>
      </c>
    </row>
    <row r="2550" spans="1:13" s="1016" customFormat="1" ht="25.2" customHeight="1">
      <c r="A2550" s="1086">
        <f t="shared" si="131"/>
        <v>1</v>
      </c>
      <c r="B2550" s="1221" t="s">
        <v>6473</v>
      </c>
      <c r="C2550" s="2838"/>
      <c r="D2550" s="2935">
        <f>IF(H2550&gt;0,D2534+1,D2534)</f>
        <v>1</v>
      </c>
      <c r="E2550" s="2936"/>
      <c r="F2550" s="2939" t="s">
        <v>6469</v>
      </c>
      <c r="G2550" s="2935" t="s">
        <v>2385</v>
      </c>
      <c r="H2550" s="2938">
        <v>1</v>
      </c>
      <c r="I2550" s="2938">
        <f t="shared" ref="I2550" si="132">IF(M2550=$M$23,H2550+J2550-K2550,0)</f>
        <v>1</v>
      </c>
      <c r="J2550" s="2938"/>
      <c r="K2550" s="2938"/>
      <c r="L2550" s="2797"/>
      <c r="M2550" s="934">
        <v>1000</v>
      </c>
    </row>
    <row r="2551" spans="1:13" s="1016" customFormat="1" ht="25.2" hidden="1" customHeight="1">
      <c r="A2551" s="1086">
        <f t="shared" si="131"/>
        <v>0</v>
      </c>
      <c r="B2551" s="1221"/>
      <c r="C2551" s="2838"/>
      <c r="D2551" s="1872"/>
      <c r="E2551" s="2909"/>
      <c r="F2551" s="2916" t="s">
        <v>2279</v>
      </c>
      <c r="G2551" s="1872"/>
      <c r="H2551" s="1725"/>
      <c r="I2551" s="1725">
        <f t="shared" ref="I2551" si="133">IF(M2551=$M$23,H2551+J2551-K2551,0)</f>
        <v>0</v>
      </c>
      <c r="J2551" s="1725"/>
      <c r="K2551" s="1725"/>
      <c r="L2551" s="1129"/>
      <c r="M2551" s="934">
        <v>1000</v>
      </c>
    </row>
    <row r="2552" spans="1:13" s="1016" customFormat="1" ht="25.2" hidden="1" customHeight="1">
      <c r="A2552" s="1086">
        <f t="shared" ref="A2552:A2558" si="134">IF(AND(M2552=$M$23,I2552&gt;0),1,0)</f>
        <v>0</v>
      </c>
      <c r="B2552" s="1221" t="s">
        <v>1424</v>
      </c>
      <c r="C2552" s="2838"/>
      <c r="D2552" s="1028"/>
      <c r="E2552" s="1029">
        <f>VLOOKUP($B2552,DG!A:D,DG!$B$2,)</f>
        <v>0</v>
      </c>
      <c r="F2552" s="1030" t="str">
        <f>VLOOKUP($B2552,DG!A:D,DG!$C$2,)</f>
        <v>Sắt Ø8</v>
      </c>
      <c r="G2552" s="1029" t="str">
        <f>VLOOKUP($B2552,DG!A:D,DG!$D$2,)</f>
        <v>kg</v>
      </c>
      <c r="H2552" s="1724">
        <f>$C2552*H$2550</f>
        <v>0</v>
      </c>
      <c r="I2552" s="1724">
        <f t="shared" ref="I2552:K2552" si="135">$C2552*I$2550</f>
        <v>0</v>
      </c>
      <c r="J2552" s="1724">
        <f t="shared" si="135"/>
        <v>0</v>
      </c>
      <c r="K2552" s="1724">
        <f t="shared" si="135"/>
        <v>0</v>
      </c>
      <c r="L2552" s="1031"/>
      <c r="M2552" s="934">
        <v>1000</v>
      </c>
    </row>
    <row r="2553" spans="1:13" s="1016" customFormat="1" ht="25.2" customHeight="1">
      <c r="A2553" s="1086">
        <f t="shared" si="134"/>
        <v>1</v>
      </c>
      <c r="B2553" s="1221" t="s">
        <v>2008</v>
      </c>
      <c r="C2553" s="2838">
        <v>1.1399999999999999</v>
      </c>
      <c r="D2553" s="2798"/>
      <c r="E2553" s="2809">
        <f>VLOOKUP($B2553,DG!A:D,DG!$B$2,)</f>
        <v>0</v>
      </c>
      <c r="F2553" s="2931" t="str">
        <f>VLOOKUP($B2553,DG!A:D,DG!$C$2,)</f>
        <v>Sắt Ø10</v>
      </c>
      <c r="G2553" s="2809" t="str">
        <f>VLOOKUP($B2553,DG!A:D,DG!$D$2,)</f>
        <v>kg</v>
      </c>
      <c r="H2553" s="2810">
        <f t="shared" ref="H2553:K2560" si="136">$C2553*H$2550</f>
        <v>1.1399999999999999</v>
      </c>
      <c r="I2553" s="2810">
        <f t="shared" si="136"/>
        <v>1.1399999999999999</v>
      </c>
      <c r="J2553" s="2810">
        <f t="shared" si="136"/>
        <v>0</v>
      </c>
      <c r="K2553" s="2810">
        <f t="shared" si="136"/>
        <v>0</v>
      </c>
      <c r="L2553" s="2797"/>
      <c r="M2553" s="934">
        <v>1000</v>
      </c>
    </row>
    <row r="2554" spans="1:13" s="1016" customFormat="1" ht="25.2" customHeight="1">
      <c r="A2554" s="1086">
        <f t="shared" si="134"/>
        <v>1</v>
      </c>
      <c r="B2554" s="1221" t="s">
        <v>6243</v>
      </c>
      <c r="C2554" s="2838">
        <v>1.08</v>
      </c>
      <c r="D2554" s="2798"/>
      <c r="E2554" s="2809">
        <f>VLOOKUP($B2554,DG!A:D,DG!$B$2,)</f>
        <v>0</v>
      </c>
      <c r="F2554" s="2931" t="str">
        <f>VLOOKUP($B2554,DG!A:D,DG!$C$2,)</f>
        <v>Bêtông đá 1x2 mac 200</v>
      </c>
      <c r="G2554" s="2809" t="str">
        <f>VLOOKUP($B2554,DG!A:D,DG!$D$2,)</f>
        <v>m3</v>
      </c>
      <c r="H2554" s="2810">
        <f t="shared" si="136"/>
        <v>1.08</v>
      </c>
      <c r="I2554" s="2810">
        <f t="shared" si="136"/>
        <v>1.08</v>
      </c>
      <c r="J2554" s="2810">
        <f t="shared" si="136"/>
        <v>0</v>
      </c>
      <c r="K2554" s="2810">
        <f t="shared" si="136"/>
        <v>0</v>
      </c>
      <c r="L2554" s="2797"/>
      <c r="M2554" s="934">
        <v>1000</v>
      </c>
    </row>
    <row r="2555" spans="1:13" s="1016" customFormat="1" ht="25.2" customHeight="1">
      <c r="A2555" s="1086">
        <f t="shared" si="134"/>
        <v>1</v>
      </c>
      <c r="B2555" s="1221" t="s">
        <v>5485</v>
      </c>
      <c r="C2555" s="2838">
        <v>0.17</v>
      </c>
      <c r="D2555" s="2798"/>
      <c r="E2555" s="2809">
        <f>VLOOKUP($B2555,DG!A:D,DG!$B$2,)</f>
        <v>0</v>
      </c>
      <c r="F2555" s="2931" t="str">
        <f>VLOOKUP($B2555,DG!A:D,DG!$C$2,)</f>
        <v>Bêtông đá 4x6 mac 100</v>
      </c>
      <c r="G2555" s="2809" t="str">
        <f>VLOOKUP($B2555,DG!A:D,DG!$D$2,)</f>
        <v>m3</v>
      </c>
      <c r="H2555" s="2810">
        <f t="shared" si="136"/>
        <v>0.17</v>
      </c>
      <c r="I2555" s="2810">
        <f t="shared" si="136"/>
        <v>0.17</v>
      </c>
      <c r="J2555" s="2810">
        <f t="shared" si="136"/>
        <v>0</v>
      </c>
      <c r="K2555" s="2810">
        <f t="shared" si="136"/>
        <v>0</v>
      </c>
      <c r="L2555" s="2797"/>
      <c r="M2555" s="934">
        <v>1000</v>
      </c>
    </row>
    <row r="2556" spans="1:13" s="1016" customFormat="1" ht="25.2" hidden="1" customHeight="1">
      <c r="A2556" s="1086">
        <f t="shared" si="134"/>
        <v>0</v>
      </c>
      <c r="B2556" s="1221" t="s">
        <v>9</v>
      </c>
      <c r="C2556" s="2838"/>
      <c r="D2556" s="1153"/>
      <c r="E2556" s="1154" t="str">
        <f>VLOOKUP($B2556,DG!A:D,DG!$B$2,)</f>
        <v>04.5101</v>
      </c>
      <c r="F2556" s="2892" t="str">
        <f>VLOOKUP($B2556,DG!A:D,DG!$C$2,)</f>
        <v>Gia công và lắp dựng cốt thép D&lt;=10</v>
      </c>
      <c r="G2556" s="1154" t="str">
        <f>VLOOKUP($B2556,DG!A:D,DG!$D$2,)</f>
        <v>kg</v>
      </c>
      <c r="H2556" s="2893">
        <f t="shared" si="136"/>
        <v>0</v>
      </c>
      <c r="I2556" s="2893">
        <f t="shared" si="136"/>
        <v>0</v>
      </c>
      <c r="J2556" s="2893">
        <f t="shared" si="136"/>
        <v>0</v>
      </c>
      <c r="K2556" s="2893">
        <f t="shared" si="136"/>
        <v>0</v>
      </c>
      <c r="L2556" s="2894"/>
      <c r="M2556" s="934">
        <v>1000</v>
      </c>
    </row>
    <row r="2557" spans="1:13" s="1016" customFormat="1" ht="25.2" customHeight="1">
      <c r="A2557" s="1086">
        <f t="shared" si="134"/>
        <v>1</v>
      </c>
      <c r="B2557" s="1221" t="s">
        <v>585</v>
      </c>
      <c r="C2557" s="2838">
        <v>18.88</v>
      </c>
      <c r="D2557" s="2798"/>
      <c r="E2557" s="2809" t="str">
        <f>VLOOKUP($B2557,DG!A:D,DG!$B$2,)</f>
        <v>04.1102</v>
      </c>
      <c r="F2557" s="2931" t="str">
        <f>VLOOKUP($B2557,DG!A:D,DG!$C$2,)</f>
        <v>Gia công và lắp dựng cốt thép D&lt;=18</v>
      </c>
      <c r="G2557" s="2809" t="str">
        <f>VLOOKUP($B2557,DG!A:D,DG!$D$2,)</f>
        <v>kg</v>
      </c>
      <c r="H2557" s="2810">
        <f t="shared" si="136"/>
        <v>18.88</v>
      </c>
      <c r="I2557" s="2810">
        <f t="shared" si="136"/>
        <v>18.88</v>
      </c>
      <c r="J2557" s="2810">
        <f t="shared" si="136"/>
        <v>0</v>
      </c>
      <c r="K2557" s="2810">
        <f t="shared" si="136"/>
        <v>0</v>
      </c>
      <c r="L2557" s="2797"/>
      <c r="M2557" s="934">
        <v>1000</v>
      </c>
    </row>
    <row r="2558" spans="1:13" s="1016" customFormat="1" ht="25.2" customHeight="1">
      <c r="A2558" s="1086">
        <f t="shared" si="134"/>
        <v>1</v>
      </c>
      <c r="B2558" s="1221" t="s">
        <v>654</v>
      </c>
      <c r="C2558" s="2838">
        <f>C2554</f>
        <v>1.08</v>
      </c>
      <c r="D2558" s="2798"/>
      <c r="E2558" s="2809" t="str">
        <f>VLOOKUP($B2558,DG!A:D,DG!$B$2,)</f>
        <v>04.1203c</v>
      </c>
      <c r="F2558" s="2931" t="str">
        <f>VLOOKUP($B2558,DG!A:D,DG!$C$2,)</f>
        <v>Đổ bê tông móng trụ &lt;=250cm-M200 đá 1x2</v>
      </c>
      <c r="G2558" s="2809" t="str">
        <f>VLOOKUP($B2558,DG!A:D,DG!$D$2,)</f>
        <v>m3</v>
      </c>
      <c r="H2558" s="2810">
        <f t="shared" si="136"/>
        <v>1.08</v>
      </c>
      <c r="I2558" s="2810">
        <f t="shared" si="136"/>
        <v>1.08</v>
      </c>
      <c r="J2558" s="2810">
        <f t="shared" si="136"/>
        <v>0</v>
      </c>
      <c r="K2558" s="2810">
        <f t="shared" si="136"/>
        <v>0</v>
      </c>
      <c r="L2558" s="2797"/>
      <c r="M2558" s="934">
        <v>1000</v>
      </c>
    </row>
    <row r="2559" spans="1:13" s="1016" customFormat="1" ht="25.2" customHeight="1">
      <c r="A2559" s="1086">
        <f t="shared" si="131"/>
        <v>1</v>
      </c>
      <c r="B2559" s="1221" t="s">
        <v>1955</v>
      </c>
      <c r="C2559" s="2838">
        <f>C2555</f>
        <v>0.17</v>
      </c>
      <c r="D2559" s="2798"/>
      <c r="E2559" s="2809" t="str">
        <f>VLOOKUP($B2559,DG!A:D,DG!$B$2,)</f>
        <v>04.3112</v>
      </c>
      <c r="F2559" s="2931" t="str">
        <f>VLOOKUP($B2559,DG!A:D,DG!$C$2,)</f>
        <v>Đổ bê tông mác M100 đá 4x6</v>
      </c>
      <c r="G2559" s="2809" t="str">
        <f>VLOOKUP($B2559,DG!A:D,DG!$D$2,)</f>
        <v>m3</v>
      </c>
      <c r="H2559" s="2810">
        <f t="shared" si="136"/>
        <v>0.17</v>
      </c>
      <c r="I2559" s="2810">
        <f t="shared" si="136"/>
        <v>0.17</v>
      </c>
      <c r="J2559" s="2810">
        <f t="shared" si="136"/>
        <v>0</v>
      </c>
      <c r="K2559" s="2810">
        <f t="shared" si="136"/>
        <v>0</v>
      </c>
      <c r="L2559" s="2797"/>
      <c r="M2559" s="934">
        <v>1000</v>
      </c>
    </row>
    <row r="2560" spans="1:13" s="1016" customFormat="1" ht="25.2" hidden="1" customHeight="1">
      <c r="A2560" s="1086">
        <f t="shared" si="131"/>
        <v>0</v>
      </c>
      <c r="B2560" s="1221" t="s">
        <v>1410</v>
      </c>
      <c r="C2560" s="2838"/>
      <c r="D2560" s="1153"/>
      <c r="E2560" s="1154" t="str">
        <f>VLOOKUP($B2560,DG!A:D,DG!$B$2,)</f>
        <v>05.6101</v>
      </c>
      <c r="F2560" s="2892" t="str">
        <f>VLOOKUP($B2560,DG!A:D,DG!$C$2,)</f>
        <v>Lắp Giá đỡ cáp</v>
      </c>
      <c r="G2560" s="1154" t="str">
        <f>VLOOKUP($B2560,DG!A:D,DG!$D$2,)</f>
        <v>bộ</v>
      </c>
      <c r="H2560" s="2893">
        <f t="shared" si="136"/>
        <v>0</v>
      </c>
      <c r="I2560" s="2893">
        <f t="shared" si="136"/>
        <v>0</v>
      </c>
      <c r="J2560" s="2893">
        <f t="shared" si="136"/>
        <v>0</v>
      </c>
      <c r="K2560" s="2893">
        <f t="shared" si="136"/>
        <v>0</v>
      </c>
      <c r="L2560" s="2894"/>
      <c r="M2560" s="934">
        <v>1000</v>
      </c>
    </row>
    <row r="2561" spans="1:13" s="1016" customFormat="1" ht="25.2" customHeight="1">
      <c r="A2561" s="1086">
        <f t="shared" ref="A2561:A2577" si="137">IF(AND(M2561=$M$23,I2561&gt;0),1,0)</f>
        <v>1</v>
      </c>
      <c r="B2561" s="1221"/>
      <c r="C2561" s="2838"/>
      <c r="D2561" s="2935">
        <f>IF(H2561&gt;0,D2545+1,D2545)</f>
        <v>1</v>
      </c>
      <c r="E2561" s="2936"/>
      <c r="F2561" s="2939" t="s">
        <v>6244</v>
      </c>
      <c r="G2561" s="2935" t="s">
        <v>2385</v>
      </c>
      <c r="H2561" s="2938">
        <v>1</v>
      </c>
      <c r="I2561" s="2938">
        <f t="shared" ref="I2561" si="138">IF(M2561=$M$23,H2561+J2561-K2561,0)</f>
        <v>1</v>
      </c>
      <c r="J2561" s="2938"/>
      <c r="K2561" s="2938"/>
      <c r="L2561" s="2797"/>
      <c r="M2561" s="934">
        <v>1000</v>
      </c>
    </row>
    <row r="2562" spans="1:13" s="1016" customFormat="1" ht="25.2" hidden="1" customHeight="1">
      <c r="A2562" s="1086">
        <f t="shared" si="137"/>
        <v>0</v>
      </c>
      <c r="B2562" s="1221"/>
      <c r="C2562" s="2838"/>
      <c r="D2562" s="2897"/>
      <c r="E2562" s="2903"/>
      <c r="F2562" s="2914" t="s">
        <v>2279</v>
      </c>
      <c r="G2562" s="2897"/>
      <c r="H2562" s="2915"/>
      <c r="I2562" s="2915">
        <f t="shared" ref="I2562" si="139">IF(M2562=$M$23,H2562+J2562-K2562,0)</f>
        <v>0</v>
      </c>
      <c r="J2562" s="2915"/>
      <c r="K2562" s="2915"/>
      <c r="L2562" s="2894"/>
      <c r="M2562" s="934">
        <v>1000</v>
      </c>
    </row>
    <row r="2563" spans="1:13" s="1016" customFormat="1" ht="25.2" customHeight="1">
      <c r="A2563" s="1086">
        <f t="shared" si="137"/>
        <v>1</v>
      </c>
      <c r="B2563" s="1221" t="s">
        <v>5302</v>
      </c>
      <c r="C2563" s="2838">
        <v>18</v>
      </c>
      <c r="D2563" s="2798"/>
      <c r="E2563" s="2809" t="str">
        <f>VLOOKUP($B2563,DG!A:D,DG!$B$2,)</f>
        <v>D4.1204</v>
      </c>
      <c r="F2563" s="2931" t="str">
        <f>VLOOKUP($B2563,DG!A:D,DG!$C$2,)</f>
        <v>Ông sắt tráng kẽm D76</v>
      </c>
      <c r="G2563" s="2809" t="str">
        <f>VLOOKUP($B2563,DG!A:D,DG!$D$2,)</f>
        <v>mét</v>
      </c>
      <c r="H2563" s="2810">
        <f>$C2563*H$2550</f>
        <v>18</v>
      </c>
      <c r="I2563" s="2810">
        <f t="shared" ref="I2563:K2563" si="140">$C2563*I$2550</f>
        <v>18</v>
      </c>
      <c r="J2563" s="2810">
        <f t="shared" si="140"/>
        <v>0</v>
      </c>
      <c r="K2563" s="2810">
        <f t="shared" si="140"/>
        <v>0</v>
      </c>
      <c r="L2563" s="2797"/>
      <c r="M2563" s="934">
        <v>1000</v>
      </c>
    </row>
    <row r="2564" spans="1:13" s="1016" customFormat="1" ht="25.2" customHeight="1">
      <c r="A2564" s="1086">
        <f t="shared" si="137"/>
        <v>1</v>
      </c>
      <c r="B2564" s="1221" t="s">
        <v>5364</v>
      </c>
      <c r="C2564" s="2838">
        <v>9</v>
      </c>
      <c r="D2564" s="2798"/>
      <c r="E2564" s="2809" t="str">
        <f>VLOOKUP($B2564,DG!A:D,DG!$B$2,)</f>
        <v>AI.53111</v>
      </c>
      <c r="F2564" s="2931" t="str">
        <f>VLOOKUP($B2564,DG!A:D,DG!$C$2,)</f>
        <v>Mặt bích nối cột bêt tông loại 200x200x5, 04 lỗ D16</v>
      </c>
      <c r="G2564" s="2809" t="str">
        <f>VLOOKUP($B2564,DG!A:D,DG!$D$2,)</f>
        <v>mối</v>
      </c>
      <c r="H2564" s="2810">
        <f t="shared" ref="H2564:K2577" si="141">$C2564*H$2550</f>
        <v>9</v>
      </c>
      <c r="I2564" s="2810">
        <f t="shared" si="141"/>
        <v>9</v>
      </c>
      <c r="J2564" s="2810">
        <f t="shared" si="141"/>
        <v>0</v>
      </c>
      <c r="K2564" s="2810">
        <f t="shared" si="141"/>
        <v>0</v>
      </c>
      <c r="L2564" s="2797"/>
      <c r="M2564" s="934">
        <v>1000</v>
      </c>
    </row>
    <row r="2565" spans="1:13" s="1016" customFormat="1" ht="25.2" customHeight="1">
      <c r="A2565" s="1086">
        <f t="shared" si="137"/>
        <v>1</v>
      </c>
      <c r="B2565" s="1221" t="s">
        <v>5164</v>
      </c>
      <c r="C2565" s="2838">
        <v>128</v>
      </c>
      <c r="D2565" s="2798"/>
      <c r="E2565" s="2809">
        <f>VLOOKUP($B2565,DG!A:D,DG!$B$2,)</f>
        <v>0</v>
      </c>
      <c r="F2565" s="2931" t="str">
        <f>VLOOKUP($B2565,DG!A:D,DG!$C$2,)</f>
        <v>Thanh sắt V50x50x5-4000 - 16kg/thanh</v>
      </c>
      <c r="G2565" s="2809" t="str">
        <f>VLOOKUP($B2565,DG!A:D,DG!$D$2,)</f>
        <v>kg</v>
      </c>
      <c r="H2565" s="2810">
        <f t="shared" si="141"/>
        <v>128</v>
      </c>
      <c r="I2565" s="2810">
        <f t="shared" si="141"/>
        <v>128</v>
      </c>
      <c r="J2565" s="2810">
        <f t="shared" si="141"/>
        <v>0</v>
      </c>
      <c r="K2565" s="2810">
        <f t="shared" si="141"/>
        <v>0</v>
      </c>
      <c r="L2565" s="2797"/>
      <c r="M2565" s="934">
        <v>1000</v>
      </c>
    </row>
    <row r="2566" spans="1:13" s="1016" customFormat="1" ht="25.2" customHeight="1">
      <c r="A2566" s="1086">
        <f t="shared" si="137"/>
        <v>1</v>
      </c>
      <c r="B2566" s="1221" t="s">
        <v>5166</v>
      </c>
      <c r="C2566" s="2838">
        <v>47.2</v>
      </c>
      <c r="D2566" s="2798"/>
      <c r="E2566" s="2809">
        <f>VLOOKUP($B2566,DG!A:D,DG!$B$2,)</f>
        <v>0</v>
      </c>
      <c r="F2566" s="2931" t="str">
        <f>VLOOKUP($B2566,DG!A:D,DG!$C$2,)</f>
        <v>Thanh sắt V40x40x3-6000 - 17,7kg/thanh</v>
      </c>
      <c r="G2566" s="2809" t="str">
        <f>VLOOKUP($B2566,DG!A:D,DG!$D$2,)</f>
        <v>kg</v>
      </c>
      <c r="H2566" s="2810">
        <f t="shared" si="141"/>
        <v>47.2</v>
      </c>
      <c r="I2566" s="2810">
        <f t="shared" si="141"/>
        <v>47.2</v>
      </c>
      <c r="J2566" s="2810">
        <f t="shared" si="141"/>
        <v>0</v>
      </c>
      <c r="K2566" s="2810">
        <f t="shared" si="141"/>
        <v>0</v>
      </c>
      <c r="L2566" s="2797"/>
      <c r="M2566" s="934">
        <v>1000</v>
      </c>
    </row>
    <row r="2567" spans="1:13" s="1016" customFormat="1" ht="25.2" customHeight="1">
      <c r="A2567" s="1086">
        <f t="shared" si="137"/>
        <v>1</v>
      </c>
      <c r="B2567" s="1221" t="s">
        <v>279</v>
      </c>
      <c r="C2567" s="2838">
        <v>3</v>
      </c>
      <c r="D2567" s="2798"/>
      <c r="E2567" s="2809">
        <f>VLOOKUP($B2567,DG!A:D,DG!$B$2,)</f>
        <v>0</v>
      </c>
      <c r="F2567" s="2931" t="str">
        <f>VLOOKUP($B2567,DG!A:D,DG!$C$2,)</f>
        <v>Sắt dẹt 60 x 6</v>
      </c>
      <c r="G2567" s="2809" t="str">
        <f>VLOOKUP($B2567,DG!A:D,DG!$D$2,)</f>
        <v>kg</v>
      </c>
      <c r="H2567" s="2810">
        <f t="shared" si="141"/>
        <v>3</v>
      </c>
      <c r="I2567" s="2810">
        <f t="shared" si="141"/>
        <v>3</v>
      </c>
      <c r="J2567" s="2810">
        <f t="shared" si="141"/>
        <v>0</v>
      </c>
      <c r="K2567" s="2810">
        <f t="shared" si="141"/>
        <v>0</v>
      </c>
      <c r="L2567" s="2797"/>
      <c r="M2567" s="934">
        <v>1000</v>
      </c>
    </row>
    <row r="2568" spans="1:13" s="1016" customFormat="1" ht="25.2" customHeight="1">
      <c r="A2568" s="1086">
        <f t="shared" si="137"/>
        <v>1</v>
      </c>
      <c r="B2568" s="1221" t="s">
        <v>6245</v>
      </c>
      <c r="C2568" s="2838">
        <v>14.2</v>
      </c>
      <c r="D2568" s="2798"/>
      <c r="E2568" s="2809">
        <f>VLOOKUP($B2568,DG!A:D,DG!$B$2,)</f>
        <v>0</v>
      </c>
      <c r="F2568" s="2931" t="str">
        <f>VLOOKUP($B2568,DG!A:D,DG!$C$2,)</f>
        <v>Lưới B40 - 1800-3/Zn</v>
      </c>
      <c r="G2568" s="2809" t="str">
        <f>VLOOKUP($B2568,DG!A:D,DG!$D$2,)</f>
        <v>mét</v>
      </c>
      <c r="H2568" s="2810">
        <f t="shared" si="141"/>
        <v>14.2</v>
      </c>
      <c r="I2568" s="2810">
        <f t="shared" si="141"/>
        <v>14.2</v>
      </c>
      <c r="J2568" s="2810">
        <f t="shared" si="141"/>
        <v>0</v>
      </c>
      <c r="K2568" s="2810">
        <f t="shared" si="141"/>
        <v>0</v>
      </c>
      <c r="L2568" s="2797"/>
      <c r="M2568" s="934">
        <v>1000</v>
      </c>
    </row>
    <row r="2569" spans="1:13" s="1016" customFormat="1" ht="25.2" customHeight="1">
      <c r="A2569" s="1086">
        <f t="shared" si="137"/>
        <v>1</v>
      </c>
      <c r="B2569" s="1221" t="s">
        <v>745</v>
      </c>
      <c r="C2569" s="2838">
        <v>16</v>
      </c>
      <c r="D2569" s="2798"/>
      <c r="E2569" s="2809">
        <f>VLOOKUP($B2569,DG!A:D,DG!$B$2,)</f>
        <v>0</v>
      </c>
      <c r="F2569" s="2931" t="str">
        <f>VLOOKUP($B2569,DG!A:D,DG!$C$2,)</f>
        <v>Sắt Ø8</v>
      </c>
      <c r="G2569" s="2809" t="str">
        <f>VLOOKUP($B2569,DG!A:D,DG!$D$2,)</f>
        <v>kg</v>
      </c>
      <c r="H2569" s="2810">
        <f t="shared" si="141"/>
        <v>16</v>
      </c>
      <c r="I2569" s="2810">
        <f t="shared" si="141"/>
        <v>16</v>
      </c>
      <c r="J2569" s="2810">
        <f t="shared" si="141"/>
        <v>0</v>
      </c>
      <c r="K2569" s="2810">
        <f t="shared" si="141"/>
        <v>0</v>
      </c>
      <c r="L2569" s="2797"/>
      <c r="M2569" s="934">
        <v>1000</v>
      </c>
    </row>
    <row r="2570" spans="1:13" s="1016" customFormat="1" ht="25.2" customHeight="1">
      <c r="A2570" s="1086">
        <f t="shared" si="137"/>
        <v>1</v>
      </c>
      <c r="B2570" s="1221" t="s">
        <v>5058</v>
      </c>
      <c r="C2570" s="2838">
        <v>36</v>
      </c>
      <c r="D2570" s="2798"/>
      <c r="E2570" s="2809">
        <f>VLOOKUP($B2570,DG!A:D,DG!$B$2,)</f>
        <v>0</v>
      </c>
      <c r="F2570" s="2931" t="str">
        <f>VLOOKUP($B2570,DG!A:D,DG!$C$2,)</f>
        <v>Boulon 14x350+ 2 long đền vuông D16-50x50x3/Zn</v>
      </c>
      <c r="G2570" s="2809" t="str">
        <f>VLOOKUP($B2570,DG!A:D,DG!$D$2,)</f>
        <v>bộ</v>
      </c>
      <c r="H2570" s="2810">
        <f t="shared" si="141"/>
        <v>36</v>
      </c>
      <c r="I2570" s="2810">
        <f t="shared" si="141"/>
        <v>36</v>
      </c>
      <c r="J2570" s="2810">
        <f t="shared" si="141"/>
        <v>0</v>
      </c>
      <c r="K2570" s="2810">
        <f t="shared" si="141"/>
        <v>0</v>
      </c>
      <c r="L2570" s="2797"/>
      <c r="M2570" s="934">
        <v>1000</v>
      </c>
    </row>
    <row r="2571" spans="1:13" s="1016" customFormat="1" ht="25.2" customHeight="1">
      <c r="A2571" s="1086">
        <f t="shared" ref="A2571:A2576" si="142">IF(AND(M2571=$M$23,I2571&gt;0),1,0)</f>
        <v>1</v>
      </c>
      <c r="B2571" s="1221" t="s">
        <v>6243</v>
      </c>
      <c r="C2571" s="2838">
        <v>0.12</v>
      </c>
      <c r="D2571" s="2798"/>
      <c r="E2571" s="2809">
        <f>VLOOKUP($B2571,DG!A:D,DG!$B$2,)</f>
        <v>0</v>
      </c>
      <c r="F2571" s="2931" t="str">
        <f>VLOOKUP($B2571,DG!A:D,DG!$C$2,)</f>
        <v>Bêtông đá 1x2 mac 200</v>
      </c>
      <c r="G2571" s="2809" t="str">
        <f>VLOOKUP($B2571,DG!A:D,DG!$D$2,)</f>
        <v>m3</v>
      </c>
      <c r="H2571" s="2810">
        <f t="shared" si="141"/>
        <v>0.12</v>
      </c>
      <c r="I2571" s="2810">
        <f t="shared" si="141"/>
        <v>0.12</v>
      </c>
      <c r="J2571" s="2810">
        <f t="shared" si="141"/>
        <v>0</v>
      </c>
      <c r="K2571" s="2810">
        <f t="shared" si="141"/>
        <v>0</v>
      </c>
      <c r="L2571" s="2797"/>
      <c r="M2571" s="934">
        <v>1000</v>
      </c>
    </row>
    <row r="2572" spans="1:13" s="1016" customFormat="1" ht="25.2" customHeight="1">
      <c r="A2572" s="1086">
        <f t="shared" si="142"/>
        <v>1</v>
      </c>
      <c r="B2572" s="1221" t="s">
        <v>934</v>
      </c>
      <c r="C2572" s="2838">
        <v>350</v>
      </c>
      <c r="D2572" s="2798"/>
      <c r="E2572" s="2809">
        <f>VLOOKUP($B2572,DG!A:D,DG!$B$2,)</f>
        <v>0</v>
      </c>
      <c r="F2572" s="2931" t="str">
        <f>VLOOKUP($B2572,DG!A:D,DG!$C$2,)</f>
        <v>Gạch ống</v>
      </c>
      <c r="G2572" s="2809" t="str">
        <f>VLOOKUP($B2572,DG!A:D,DG!$D$2,)</f>
        <v>viên</v>
      </c>
      <c r="H2572" s="2810">
        <f t="shared" si="141"/>
        <v>350</v>
      </c>
      <c r="I2572" s="2810">
        <f t="shared" si="141"/>
        <v>350</v>
      </c>
      <c r="J2572" s="2810">
        <f t="shared" si="141"/>
        <v>0</v>
      </c>
      <c r="K2572" s="2810">
        <f t="shared" si="141"/>
        <v>0</v>
      </c>
      <c r="L2572" s="2797"/>
      <c r="M2572" s="934">
        <v>1000</v>
      </c>
    </row>
    <row r="2573" spans="1:13" s="1016" customFormat="1" ht="25.2" customHeight="1">
      <c r="A2573" s="1086">
        <f t="shared" si="142"/>
        <v>1</v>
      </c>
      <c r="B2573" s="1221" t="s">
        <v>5487</v>
      </c>
      <c r="C2573" s="2838">
        <v>1.4</v>
      </c>
      <c r="D2573" s="2798"/>
      <c r="E2573" s="2809" t="str">
        <f>VLOOKUP($B2573,DG!A:D,DG!$B$2,)</f>
        <v>AE.61210</v>
      </c>
      <c r="F2573" s="2931" t="str">
        <f>VLOOKUP($B2573,DG!A:D,DG!$C$2,)</f>
        <v>Xây tường gạch ống bề dày &lt;30cm</v>
      </c>
      <c r="G2573" s="2809" t="str">
        <f>VLOOKUP($B2573,DG!A:D,DG!$D$2,)</f>
        <v>m3</v>
      </c>
      <c r="H2573" s="2810">
        <f t="shared" si="141"/>
        <v>1.4</v>
      </c>
      <c r="I2573" s="2810">
        <f t="shared" si="141"/>
        <v>1.4</v>
      </c>
      <c r="J2573" s="2810">
        <f t="shared" si="141"/>
        <v>0</v>
      </c>
      <c r="K2573" s="2810">
        <f t="shared" si="141"/>
        <v>0</v>
      </c>
      <c r="L2573" s="2797"/>
      <c r="M2573" s="934">
        <v>1000</v>
      </c>
    </row>
    <row r="2574" spans="1:13" s="1016" customFormat="1" ht="25.2" customHeight="1">
      <c r="A2574" s="1086">
        <f t="shared" si="142"/>
        <v>1</v>
      </c>
      <c r="B2574" s="1221" t="s">
        <v>9</v>
      </c>
      <c r="C2574" s="2838">
        <f>C2569</f>
        <v>16</v>
      </c>
      <c r="D2574" s="2798"/>
      <c r="E2574" s="2809" t="str">
        <f>VLOOKUP($B2574,DG!A:D,DG!$B$2,)</f>
        <v>04.5101</v>
      </c>
      <c r="F2574" s="2931" t="str">
        <f>VLOOKUP($B2574,DG!A:D,DG!$C$2,)</f>
        <v>Gia công và lắp dựng cốt thép D&lt;=10</v>
      </c>
      <c r="G2574" s="2809" t="str">
        <f>VLOOKUP($B2574,DG!A:D,DG!$D$2,)</f>
        <v>kg</v>
      </c>
      <c r="H2574" s="2810">
        <f t="shared" si="141"/>
        <v>16</v>
      </c>
      <c r="I2574" s="2810">
        <f t="shared" si="141"/>
        <v>16</v>
      </c>
      <c r="J2574" s="2810">
        <f t="shared" si="141"/>
        <v>0</v>
      </c>
      <c r="K2574" s="2810">
        <f t="shared" si="141"/>
        <v>0</v>
      </c>
      <c r="L2574" s="2797"/>
      <c r="M2574" s="934">
        <v>1000</v>
      </c>
    </row>
    <row r="2575" spans="1:13" s="1016" customFormat="1" ht="25.2" customHeight="1">
      <c r="A2575" s="1086">
        <f t="shared" si="142"/>
        <v>1</v>
      </c>
      <c r="B2575" s="1221" t="s">
        <v>654</v>
      </c>
      <c r="C2575" s="2838">
        <f>C2571</f>
        <v>0.12</v>
      </c>
      <c r="D2575" s="2798"/>
      <c r="E2575" s="2809" t="str">
        <f>VLOOKUP($B2575,DG!A:D,DG!$B$2,)</f>
        <v>04.1203c</v>
      </c>
      <c r="F2575" s="2931" t="str">
        <f>VLOOKUP($B2575,DG!A:D,DG!$C$2,)</f>
        <v>Đổ bê tông móng trụ &lt;=250cm-M200 đá 1x2</v>
      </c>
      <c r="G2575" s="2809" t="str">
        <f>VLOOKUP($B2575,DG!A:D,DG!$D$2,)</f>
        <v>m3</v>
      </c>
      <c r="H2575" s="2810">
        <f t="shared" si="141"/>
        <v>0.12</v>
      </c>
      <c r="I2575" s="2810">
        <f t="shared" si="141"/>
        <v>0.12</v>
      </c>
      <c r="J2575" s="2810">
        <f t="shared" si="141"/>
        <v>0</v>
      </c>
      <c r="K2575" s="2810">
        <f t="shared" si="141"/>
        <v>0</v>
      </c>
      <c r="L2575" s="2797"/>
      <c r="M2575" s="934">
        <v>1000</v>
      </c>
    </row>
    <row r="2576" spans="1:13" s="1016" customFormat="1" ht="25.2" hidden="1" customHeight="1">
      <c r="A2576" s="1086">
        <f t="shared" si="142"/>
        <v>0</v>
      </c>
      <c r="B2576" s="1221" t="s">
        <v>1955</v>
      </c>
      <c r="C2576" s="2838"/>
      <c r="D2576" s="1153"/>
      <c r="E2576" s="1154" t="str">
        <f>VLOOKUP($B2576,DG!A:D,DG!$B$2,)</f>
        <v>04.3112</v>
      </c>
      <c r="F2576" s="2892" t="str">
        <f>VLOOKUP($B2576,DG!A:D,DG!$C$2,)</f>
        <v>Đổ bê tông mác M100 đá 4x6</v>
      </c>
      <c r="G2576" s="1154" t="str">
        <f>VLOOKUP($B2576,DG!A:D,DG!$D$2,)</f>
        <v>m3</v>
      </c>
      <c r="H2576" s="2893">
        <f t="shared" si="141"/>
        <v>0</v>
      </c>
      <c r="I2576" s="2893">
        <f t="shared" si="141"/>
        <v>0</v>
      </c>
      <c r="J2576" s="2893">
        <f t="shared" si="141"/>
        <v>0</v>
      </c>
      <c r="K2576" s="2893">
        <f t="shared" si="141"/>
        <v>0</v>
      </c>
      <c r="L2576" s="2894"/>
      <c r="M2576" s="934">
        <v>1000</v>
      </c>
    </row>
    <row r="2577" spans="1:13" s="1016" customFormat="1" ht="25.2" customHeight="1">
      <c r="A2577" s="1086">
        <f t="shared" si="137"/>
        <v>1</v>
      </c>
      <c r="B2577" s="1221" t="s">
        <v>5480</v>
      </c>
      <c r="C2577" s="2838">
        <v>24</v>
      </c>
      <c r="D2577" s="2798"/>
      <c r="E2577" s="2809" t="str">
        <f>VLOOKUP($B2577,DG!A:D,DG!$B$2,)</f>
        <v>AI.63121</v>
      </c>
      <c r="F2577" s="2931" t="str">
        <f>VLOOKUP($B2577,DG!A:D,DG!$C$2,)</f>
        <v>Gia công và lắp dựng khung cửa sắt</v>
      </c>
      <c r="G2577" s="2809" t="str">
        <f>VLOOKUP($B2577,DG!A:D,DG!$D$2,)</f>
        <v>m2</v>
      </c>
      <c r="H2577" s="2810">
        <f t="shared" si="141"/>
        <v>24</v>
      </c>
      <c r="I2577" s="2810">
        <f t="shared" si="141"/>
        <v>24</v>
      </c>
      <c r="J2577" s="2810">
        <f t="shared" si="141"/>
        <v>0</v>
      </c>
      <c r="K2577" s="2810">
        <f t="shared" si="141"/>
        <v>0</v>
      </c>
      <c r="L2577" s="2797"/>
      <c r="M2577" s="934">
        <v>1000</v>
      </c>
    </row>
    <row r="2578" spans="1:13" s="1016" customFormat="1" ht="25.2" customHeight="1">
      <c r="A2578" s="1086">
        <f t="shared" si="131"/>
        <v>1</v>
      </c>
      <c r="B2578" s="2826"/>
      <c r="C2578" s="2868"/>
      <c r="D2578" s="2935">
        <f>IF(H2578&gt;0,D2531+1,D2531)</f>
        <v>7</v>
      </c>
      <c r="E2578" s="2936"/>
      <c r="F2578" s="2942" t="s">
        <v>3729</v>
      </c>
      <c r="G2578" s="2935" t="s">
        <v>2385</v>
      </c>
      <c r="H2578" s="2938">
        <v>1</v>
      </c>
      <c r="I2578" s="2938">
        <f t="shared" ref="I2578" si="143">IF(M2578=$M$23,H2578+J2578-K2578,0)</f>
        <v>1</v>
      </c>
      <c r="J2578" s="2938"/>
      <c r="K2578" s="2938"/>
      <c r="L2578" s="2797"/>
      <c r="M2578" s="934">
        <v>1000</v>
      </c>
    </row>
    <row r="2579" spans="1:13" s="1067" customFormat="1" ht="25.2" hidden="1" customHeight="1">
      <c r="A2579" s="1086">
        <f t="shared" si="131"/>
        <v>0</v>
      </c>
      <c r="B2579" s="2834"/>
      <c r="C2579" s="2838"/>
      <c r="D2579" s="2897"/>
      <c r="E2579" s="2903"/>
      <c r="F2579" s="2914" t="s">
        <v>2279</v>
      </c>
      <c r="G2579" s="2897" t="s">
        <v>2439</v>
      </c>
      <c r="H2579" s="2917"/>
      <c r="I2579" s="2898">
        <f t="shared" si="122"/>
        <v>0</v>
      </c>
      <c r="J2579" s="2907"/>
      <c r="K2579" s="2907"/>
      <c r="L2579" s="2894"/>
      <c r="M2579" s="934">
        <v>1000</v>
      </c>
    </row>
    <row r="2580" spans="1:13" s="1016" customFormat="1" ht="25.2" customHeight="1">
      <c r="A2580" s="1086">
        <f t="shared" si="131"/>
        <v>1</v>
      </c>
      <c r="B2580" s="1221" t="s">
        <v>2276</v>
      </c>
      <c r="C2580" s="2838">
        <v>33</v>
      </c>
      <c r="D2580" s="2943"/>
      <c r="E2580" s="2809" t="str">
        <f>VLOOKUP($B2580,DG!A:D,DG!$B$2,)</f>
        <v>03.1401</v>
      </c>
      <c r="F2580" s="2800" t="str">
        <f>VLOOKUP($B2580,DG!A:D,DG!$C$2,)</f>
        <v xml:space="preserve">Cáp CVV 4x4mm2  </v>
      </c>
      <c r="G2580" s="2801" t="str">
        <f>VLOOKUP($B2580,DG!A:D,DG!$D$2,)</f>
        <v>mét</v>
      </c>
      <c r="H2580" s="2810">
        <f>$C2580*H$2578</f>
        <v>33</v>
      </c>
      <c r="I2580" s="2810">
        <f t="shared" ref="I2580:K2595" si="144">$C2580*I$2578</f>
        <v>33</v>
      </c>
      <c r="J2580" s="2810">
        <f t="shared" si="144"/>
        <v>0</v>
      </c>
      <c r="K2580" s="2810">
        <f t="shared" si="144"/>
        <v>0</v>
      </c>
      <c r="L2580" s="2797"/>
      <c r="M2580" s="934">
        <v>1000</v>
      </c>
    </row>
    <row r="2581" spans="1:13" s="1016" customFormat="1" ht="25.2" hidden="1" customHeight="1">
      <c r="A2581" s="1086">
        <f t="shared" si="131"/>
        <v>0</v>
      </c>
      <c r="B2581" s="1221" t="s">
        <v>6254</v>
      </c>
      <c r="C2581" s="2838"/>
      <c r="D2581" s="2918"/>
      <c r="E2581" s="1154">
        <f>VLOOKUP($B2581,DG!A:D,DG!$B$2,)</f>
        <v>0</v>
      </c>
      <c r="F2581" s="2919" t="str">
        <f>VLOOKUP($B2581,DG!A:D,DG!$C$2,)</f>
        <v>Boulon 10x150+ 2 long đền vuông D14-50x50x3/Zn</v>
      </c>
      <c r="G2581" s="2920" t="str">
        <f>VLOOKUP($B2581,DG!A:D,DG!$D$2,)</f>
        <v>bộ</v>
      </c>
      <c r="H2581" s="2893">
        <f t="shared" ref="H2581:K2600" si="145">$C2581*H$2578</f>
        <v>0</v>
      </c>
      <c r="I2581" s="2893">
        <f t="shared" si="144"/>
        <v>0</v>
      </c>
      <c r="J2581" s="2893">
        <f t="shared" si="144"/>
        <v>0</v>
      </c>
      <c r="K2581" s="2893">
        <f t="shared" si="144"/>
        <v>0</v>
      </c>
      <c r="L2581" s="2894"/>
      <c r="M2581" s="934">
        <v>1000</v>
      </c>
    </row>
    <row r="2582" spans="1:13" s="1016" customFormat="1" ht="25.2" customHeight="1">
      <c r="A2582" s="1086">
        <f t="shared" si="131"/>
        <v>1</v>
      </c>
      <c r="B2582" s="1221" t="s">
        <v>6255</v>
      </c>
      <c r="C2582" s="2838">
        <v>24</v>
      </c>
      <c r="D2582" s="2798"/>
      <c r="E2582" s="2809">
        <f>VLOOKUP($B2582,DG!A:D,DG!$B$2,)</f>
        <v>0</v>
      </c>
      <c r="F2582" s="2800" t="str">
        <f>VLOOKUP($B2582,DG!A:D,DG!$C$2,)</f>
        <v>Boulon 10x50+ 2 long đền vuông D12-50x50x3/Zn</v>
      </c>
      <c r="G2582" s="2801" t="str">
        <f>VLOOKUP($B2582,DG!A:D,DG!$D$2,)</f>
        <v>bộ</v>
      </c>
      <c r="H2582" s="2810">
        <f t="shared" si="145"/>
        <v>24</v>
      </c>
      <c r="I2582" s="2810">
        <f t="shared" si="144"/>
        <v>24</v>
      </c>
      <c r="J2582" s="2810">
        <f t="shared" si="144"/>
        <v>0</v>
      </c>
      <c r="K2582" s="2810">
        <f t="shared" si="144"/>
        <v>0</v>
      </c>
      <c r="L2582" s="2797"/>
      <c r="M2582" s="934">
        <v>1000</v>
      </c>
    </row>
    <row r="2583" spans="1:13" s="1016" customFormat="1" ht="25.2" customHeight="1">
      <c r="A2583" s="1086">
        <f t="shared" si="131"/>
        <v>1</v>
      </c>
      <c r="B2583" s="1221" t="s">
        <v>246</v>
      </c>
      <c r="C2583" s="2838">
        <v>24</v>
      </c>
      <c r="D2583" s="2798"/>
      <c r="E2583" s="2809" t="str">
        <f>VLOOKUP($B2583,DG!A:D,DG!$B$2,)</f>
        <v>05.6101</v>
      </c>
      <c r="F2583" s="2800" t="str">
        <f>VLOOKUP($B2583,DG!A:D,DG!$C$2,)</f>
        <v>Xà kẹp TU, TI U50x32x4 350</v>
      </c>
      <c r="G2583" s="2801" t="str">
        <f>VLOOKUP($B2583,DG!A:D,DG!$D$2,)</f>
        <v>Bộ</v>
      </c>
      <c r="H2583" s="2810">
        <f t="shared" si="145"/>
        <v>24</v>
      </c>
      <c r="I2583" s="2810">
        <f t="shared" si="144"/>
        <v>24</v>
      </c>
      <c r="J2583" s="2810">
        <f t="shared" si="144"/>
        <v>0</v>
      </c>
      <c r="K2583" s="2810">
        <f t="shared" si="144"/>
        <v>0</v>
      </c>
      <c r="L2583" s="2797"/>
      <c r="M2583" s="934">
        <v>1000</v>
      </c>
    </row>
    <row r="2584" spans="1:13" s="1016" customFormat="1" ht="25.2" customHeight="1">
      <c r="A2584" s="1086">
        <f t="shared" si="131"/>
        <v>1</v>
      </c>
      <c r="B2584" s="1221" t="s">
        <v>5734</v>
      </c>
      <c r="C2584" s="2838">
        <v>16</v>
      </c>
      <c r="D2584" s="2798"/>
      <c r="E2584" s="2809" t="str">
        <f>VLOOKUP($B2584,DG!A:D,DG!$B$2,)</f>
        <v>D4.5001</v>
      </c>
      <c r="F2584" s="2800" t="str">
        <f>VLOOKUP($B2584,DG!A:D,DG!$C$2,)&amp;" (ñaáu TU)"</f>
        <v>Đầu cosse ép Cu 4mm2 + bao PVC  (ñaáu TU)</v>
      </c>
      <c r="G2584" s="2801" t="str">
        <f>VLOOKUP($B2584,DG!A:D,DG!$D$2,)</f>
        <v>cái</v>
      </c>
      <c r="H2584" s="2810">
        <f t="shared" si="145"/>
        <v>16</v>
      </c>
      <c r="I2584" s="2810">
        <f t="shared" si="144"/>
        <v>16</v>
      </c>
      <c r="J2584" s="2810">
        <f t="shared" si="144"/>
        <v>0</v>
      </c>
      <c r="K2584" s="2810">
        <f t="shared" si="144"/>
        <v>0</v>
      </c>
      <c r="L2584" s="2797"/>
      <c r="M2584" s="934">
        <v>1000</v>
      </c>
    </row>
    <row r="2585" spans="1:13" s="1016" customFormat="1" ht="25.2" hidden="1" customHeight="1">
      <c r="A2585" s="1086">
        <f t="shared" si="131"/>
        <v>0</v>
      </c>
      <c r="B2585" s="1221" t="s">
        <v>1510</v>
      </c>
      <c r="C2585" s="2838"/>
      <c r="D2585" s="1153"/>
      <c r="E2585" s="1154">
        <f>VLOOKUP($B2585,DG!A:D,DG!$B$2,)</f>
        <v>0</v>
      </c>
      <c r="F2585" s="2919" t="str">
        <f>VLOOKUP($B2585,DG!A:D,DG!$C$2,)</f>
        <v>Dây điện đôi 16/10</v>
      </c>
      <c r="G2585" s="2920" t="str">
        <f>VLOOKUP($B2585,DG!A:D,DG!$D$2,)</f>
        <v>mét</v>
      </c>
      <c r="H2585" s="2893">
        <f t="shared" si="145"/>
        <v>0</v>
      </c>
      <c r="I2585" s="2893">
        <f t="shared" si="144"/>
        <v>0</v>
      </c>
      <c r="J2585" s="2893">
        <f t="shared" si="144"/>
        <v>0</v>
      </c>
      <c r="K2585" s="2893">
        <f t="shared" si="144"/>
        <v>0</v>
      </c>
      <c r="L2585" s="2894"/>
      <c r="M2585" s="934">
        <v>1000</v>
      </c>
    </row>
    <row r="2586" spans="1:13" s="1016" customFormat="1" ht="25.2" customHeight="1">
      <c r="A2586" s="1086">
        <f t="shared" si="131"/>
        <v>1</v>
      </c>
      <c r="B2586" s="2826" t="s">
        <v>816</v>
      </c>
      <c r="C2586" s="2868">
        <v>3</v>
      </c>
      <c r="D2586" s="2798"/>
      <c r="E2586" s="2809" t="str">
        <f>VLOOKUP($B2586,DG!A:D,DG!$B$2,)</f>
        <v>04.3107</v>
      </c>
      <c r="F2586" s="2800" t="str">
        <f>VLOOKUP($B2586,DG!A:D,DG!$C$2,)</f>
        <v>Ốc siết cáp cỡ 25mm2</v>
      </c>
      <c r="G2586" s="2801" t="str">
        <f>VLOOKUP($B2586,DG!A:D,DG!$D$2,)</f>
        <v>cái</v>
      </c>
      <c r="H2586" s="2810">
        <f t="shared" si="145"/>
        <v>3</v>
      </c>
      <c r="I2586" s="2810">
        <f t="shared" si="144"/>
        <v>3</v>
      </c>
      <c r="J2586" s="2810">
        <f t="shared" si="144"/>
        <v>0</v>
      </c>
      <c r="K2586" s="2810">
        <f t="shared" si="144"/>
        <v>0</v>
      </c>
      <c r="L2586" s="2797"/>
      <c r="M2586" s="934">
        <v>1000</v>
      </c>
    </row>
    <row r="2587" spans="1:13" s="1016" customFormat="1" ht="25.2" customHeight="1">
      <c r="A2587" s="1086">
        <f t="shared" si="131"/>
        <v>1</v>
      </c>
      <c r="B2587" s="1221" t="s">
        <v>2009</v>
      </c>
      <c r="C2587" s="2838">
        <v>18</v>
      </c>
      <c r="D2587" s="2798"/>
      <c r="E2587" s="2809" t="str">
        <f>VLOOKUP($B2587,DG!A:D,DG!$B$2,)</f>
        <v>07.2404</v>
      </c>
      <c r="F2587" s="2800" t="str">
        <f>VLOOKUP($B2587,DG!A:D,DG!$C$2,)</f>
        <v>Ống PVC D60x2,8mm</v>
      </c>
      <c r="G2587" s="2801" t="str">
        <f>VLOOKUP($B2587,DG!A:D,DG!$D$2,)</f>
        <v>m</v>
      </c>
      <c r="H2587" s="2810">
        <f t="shared" si="145"/>
        <v>18</v>
      </c>
      <c r="I2587" s="2810">
        <f t="shared" si="144"/>
        <v>18</v>
      </c>
      <c r="J2587" s="2810">
        <f t="shared" si="144"/>
        <v>0</v>
      </c>
      <c r="K2587" s="2810">
        <f t="shared" si="144"/>
        <v>0</v>
      </c>
      <c r="L2587" s="2797"/>
      <c r="M2587" s="934">
        <v>1000</v>
      </c>
    </row>
    <row r="2588" spans="1:13" s="1016" customFormat="1" ht="25.2" hidden="1" customHeight="1">
      <c r="A2588" s="1086">
        <f t="shared" si="131"/>
        <v>0</v>
      </c>
      <c r="B2588" s="1221" t="s">
        <v>1099</v>
      </c>
      <c r="C2588" s="2838"/>
      <c r="D2588" s="1153"/>
      <c r="E2588" s="1154" t="str">
        <f>VLOOKUP($B2588,DG!A:D,DG!$B$2,)</f>
        <v>07,2404</v>
      </c>
      <c r="F2588" s="2919" t="str">
        <f>VLOOKUP($B2588,DG!A:D,DG!$C$2,)</f>
        <v>Lắp ống nhựa PVC D60</v>
      </c>
      <c r="G2588" s="2920" t="str">
        <f>VLOOKUP($B2588,DG!A:D,DG!$D$2,)</f>
        <v>mét</v>
      </c>
      <c r="H2588" s="2893">
        <f t="shared" si="145"/>
        <v>0</v>
      </c>
      <c r="I2588" s="2893">
        <f t="shared" si="144"/>
        <v>0</v>
      </c>
      <c r="J2588" s="2893">
        <f t="shared" si="144"/>
        <v>0</v>
      </c>
      <c r="K2588" s="2893">
        <f t="shared" si="144"/>
        <v>0</v>
      </c>
      <c r="L2588" s="2894"/>
      <c r="M2588" s="934">
        <v>1000</v>
      </c>
    </row>
    <row r="2589" spans="1:13" s="1016" customFormat="1" ht="25.2" customHeight="1">
      <c r="A2589" s="1086">
        <f t="shared" si="131"/>
        <v>1</v>
      </c>
      <c r="B2589" s="1221" t="s">
        <v>1991</v>
      </c>
      <c r="C2589" s="2838">
        <v>4</v>
      </c>
      <c r="D2589" s="2798"/>
      <c r="E2589" s="2809" t="str">
        <f>VLOOKUP($B2589,DG!A:D,DG!$B$2,)</f>
        <v>06.3231</v>
      </c>
      <c r="F2589" s="2800" t="str">
        <f>VLOOKUP($B2589,DG!A:D,DG!$C$2,)</f>
        <v>Cổ dê kẹp ống PVC Ø 60</v>
      </c>
      <c r="G2589" s="2801" t="str">
        <f>VLOOKUP($B2589,DG!A:D,DG!$D$2,)</f>
        <v>bộ</v>
      </c>
      <c r="H2589" s="2810">
        <f t="shared" si="145"/>
        <v>4</v>
      </c>
      <c r="I2589" s="2810">
        <f t="shared" si="144"/>
        <v>4</v>
      </c>
      <c r="J2589" s="2810">
        <f t="shared" si="144"/>
        <v>0</v>
      </c>
      <c r="K2589" s="2810">
        <f t="shared" si="144"/>
        <v>0</v>
      </c>
      <c r="L2589" s="2797"/>
      <c r="M2589" s="934">
        <v>1000</v>
      </c>
    </row>
    <row r="2590" spans="1:13" s="1016" customFormat="1" ht="25.2" customHeight="1">
      <c r="A2590" s="1086">
        <f t="shared" si="131"/>
        <v>1</v>
      </c>
      <c r="B2590" s="1221" t="s">
        <v>1105</v>
      </c>
      <c r="C2590" s="2838">
        <v>6</v>
      </c>
      <c r="D2590" s="2798"/>
      <c r="E2590" s="2809">
        <f>VLOOKUP($B2590,DG!A:D,DG!$B$2,)</f>
        <v>0</v>
      </c>
      <c r="F2590" s="2800" t="str">
        <f>VLOOKUP($B2590,DG!A:D,DG!$C$2,)</f>
        <v>Co 90 độ PVC 60</v>
      </c>
      <c r="G2590" s="2801" t="str">
        <f>VLOOKUP($B2590,DG!A:D,DG!$D$2,)</f>
        <v>cái</v>
      </c>
      <c r="H2590" s="2810">
        <f t="shared" si="145"/>
        <v>6</v>
      </c>
      <c r="I2590" s="2810">
        <f t="shared" si="144"/>
        <v>6</v>
      </c>
      <c r="J2590" s="2810">
        <f t="shared" si="144"/>
        <v>0</v>
      </c>
      <c r="K2590" s="2810">
        <f t="shared" si="144"/>
        <v>0</v>
      </c>
      <c r="L2590" s="2797"/>
      <c r="M2590" s="934">
        <v>1000</v>
      </c>
    </row>
    <row r="2591" spans="1:13" s="1016" customFormat="1" ht="25.2" customHeight="1">
      <c r="A2591" s="1086">
        <f t="shared" si="131"/>
        <v>1</v>
      </c>
      <c r="B2591" s="1221" t="s">
        <v>6470</v>
      </c>
      <c r="C2591" s="2838">
        <v>5</v>
      </c>
      <c r="D2591" s="2798"/>
      <c r="E2591" s="2809">
        <f>VLOOKUP($B2591,DG!A:D,DG!$B$2,)</f>
        <v>0</v>
      </c>
      <c r="F2591" s="2800" t="str">
        <f>VLOOKUP($B2591,DG!A:D,DG!$C$2,)</f>
        <v>Nối ống PVC 60</v>
      </c>
      <c r="G2591" s="2801" t="str">
        <f>VLOOKUP($B2591,DG!A:D,DG!$D$2,)</f>
        <v>cái</v>
      </c>
      <c r="H2591" s="2810">
        <f t="shared" si="145"/>
        <v>5</v>
      </c>
      <c r="I2591" s="2810">
        <f t="shared" si="144"/>
        <v>5</v>
      </c>
      <c r="J2591" s="2810">
        <f t="shared" si="144"/>
        <v>0</v>
      </c>
      <c r="K2591" s="2810">
        <f t="shared" si="144"/>
        <v>0</v>
      </c>
      <c r="L2591" s="2797"/>
      <c r="M2591" s="934">
        <v>1000</v>
      </c>
    </row>
    <row r="2592" spans="1:13" s="1016" customFormat="1" ht="25.2" customHeight="1">
      <c r="A2592" s="1086">
        <f t="shared" si="131"/>
        <v>1</v>
      </c>
      <c r="B2592" s="2826" t="s">
        <v>726</v>
      </c>
      <c r="C2592" s="2868">
        <v>1</v>
      </c>
      <c r="D2592" s="2798"/>
      <c r="E2592" s="2809">
        <f>VLOOKUP($B2592,DG!A:D,DG!$B$2,)</f>
        <v>0</v>
      </c>
      <c r="F2592" s="2800" t="str">
        <f>VLOOKUP($B2592,DG!A:D,DG!$C$2,)</f>
        <v>Keo dán ống PVC (500gr)</v>
      </c>
      <c r="G2592" s="2801" t="str">
        <f>VLOOKUP($B2592,DG!A:D,DG!$D$2,)</f>
        <v>lon</v>
      </c>
      <c r="H2592" s="2810">
        <f t="shared" si="145"/>
        <v>1</v>
      </c>
      <c r="I2592" s="2810">
        <f t="shared" si="144"/>
        <v>1</v>
      </c>
      <c r="J2592" s="2810">
        <f t="shared" si="144"/>
        <v>0</v>
      </c>
      <c r="K2592" s="2810">
        <f t="shared" si="144"/>
        <v>0</v>
      </c>
      <c r="L2592" s="2797"/>
      <c r="M2592" s="934">
        <v>1000</v>
      </c>
    </row>
    <row r="2593" spans="1:13" s="1016" customFormat="1" ht="25.2" customHeight="1">
      <c r="A2593" s="1086">
        <f t="shared" si="131"/>
        <v>1</v>
      </c>
      <c r="B2593" s="1221" t="s">
        <v>672</v>
      </c>
      <c r="C2593" s="2838">
        <v>1</v>
      </c>
      <c r="D2593" s="2798"/>
      <c r="E2593" s="2809">
        <f>VLOOKUP($B2593,DG!A:D,DG!$B$2,)</f>
        <v>0</v>
      </c>
      <c r="F2593" s="2800" t="str">
        <f>VLOOKUP($B2593,DG!A:D,DG!$C$2,)</f>
        <v>Băng keo cách điện</v>
      </c>
      <c r="G2593" s="2801" t="str">
        <f>VLOOKUP($B2593,DG!A:D,DG!$D$2,)</f>
        <v>cuộn</v>
      </c>
      <c r="H2593" s="2810">
        <f t="shared" si="145"/>
        <v>1</v>
      </c>
      <c r="I2593" s="2810">
        <f t="shared" si="144"/>
        <v>1</v>
      </c>
      <c r="J2593" s="2810">
        <f t="shared" si="144"/>
        <v>0</v>
      </c>
      <c r="K2593" s="2810">
        <f t="shared" si="144"/>
        <v>0</v>
      </c>
      <c r="L2593" s="2797"/>
      <c r="M2593" s="934">
        <v>1000</v>
      </c>
    </row>
    <row r="2594" spans="1:13" s="1016" customFormat="1" ht="25.2" customHeight="1">
      <c r="A2594" s="1086">
        <f t="shared" si="131"/>
        <v>1</v>
      </c>
      <c r="B2594" s="2826" t="s">
        <v>5809</v>
      </c>
      <c r="C2594" s="2868">
        <v>1</v>
      </c>
      <c r="D2594" s="2798"/>
      <c r="E2594" s="2809">
        <f>VLOOKUP($B2594,DG!A:D,DG!$B$2,)</f>
        <v>0</v>
      </c>
      <c r="F2594" s="2800" t="str">
        <f>VLOOKUP($B2594,DG!A:D,DG!$C$2,)</f>
        <v>Khâu ven răng trong D60</v>
      </c>
      <c r="G2594" s="2801" t="str">
        <f>VLOOKUP($B2594,DG!A:D,DG!$D$2,)</f>
        <v>cái</v>
      </c>
      <c r="H2594" s="2810">
        <f t="shared" si="145"/>
        <v>1</v>
      </c>
      <c r="I2594" s="2810">
        <f t="shared" si="144"/>
        <v>1</v>
      </c>
      <c r="J2594" s="2810">
        <f t="shared" si="144"/>
        <v>0</v>
      </c>
      <c r="K2594" s="2810">
        <f t="shared" si="144"/>
        <v>0</v>
      </c>
      <c r="L2594" s="2797"/>
      <c r="M2594" s="934">
        <v>1000</v>
      </c>
    </row>
    <row r="2595" spans="1:13" s="1016" customFormat="1" ht="25.2" customHeight="1">
      <c r="A2595" s="1086">
        <f t="shared" si="131"/>
        <v>1</v>
      </c>
      <c r="B2595" s="2826" t="s">
        <v>5813</v>
      </c>
      <c r="C2595" s="2868">
        <v>1</v>
      </c>
      <c r="D2595" s="2798"/>
      <c r="E2595" s="2809">
        <f>VLOOKUP($B2595,DG!A:D,DG!$B$2,)</f>
        <v>0</v>
      </c>
      <c r="F2595" s="2800" t="str">
        <f>VLOOKUP($B2595,DG!A:D,DG!$C$2,)</f>
        <v>Khâu ven răng ngoài D60</v>
      </c>
      <c r="G2595" s="2801" t="str">
        <f>VLOOKUP($B2595,DG!A:D,DG!$D$2,)</f>
        <v>cái</v>
      </c>
      <c r="H2595" s="2810">
        <f t="shared" si="145"/>
        <v>1</v>
      </c>
      <c r="I2595" s="2810">
        <f t="shared" si="144"/>
        <v>1</v>
      </c>
      <c r="J2595" s="2810">
        <f t="shared" si="144"/>
        <v>0</v>
      </c>
      <c r="K2595" s="2810">
        <f t="shared" si="144"/>
        <v>0</v>
      </c>
      <c r="L2595" s="2797"/>
      <c r="M2595" s="934">
        <v>1000</v>
      </c>
    </row>
    <row r="2596" spans="1:13" s="1016" customFormat="1" ht="25.2" customHeight="1">
      <c r="A2596" s="1086">
        <f t="shared" si="131"/>
        <v>1</v>
      </c>
      <c r="B2596" s="2826" t="s">
        <v>319</v>
      </c>
      <c r="C2596" s="2868">
        <v>1</v>
      </c>
      <c r="D2596" s="2798"/>
      <c r="E2596" s="2809" t="str">
        <f>VLOOKUP($B2596,DG!A:D,DG!$B$2,)</f>
        <v>06.3231</v>
      </c>
      <c r="F2596" s="2800" t="str">
        <f>VLOOKUP($B2596,DG!A:D,DG!$C$2,)</f>
        <v>Cổ dê CDĐKĐT( bắt thùng điện kế)</v>
      </c>
      <c r="G2596" s="2801" t="str">
        <f>VLOOKUP($B2596,DG!A:D,DG!$D$2,)</f>
        <v>bộ</v>
      </c>
      <c r="H2596" s="2810">
        <f t="shared" si="145"/>
        <v>1</v>
      </c>
      <c r="I2596" s="2810">
        <f t="shared" si="145"/>
        <v>1</v>
      </c>
      <c r="J2596" s="2810">
        <f t="shared" si="145"/>
        <v>0</v>
      </c>
      <c r="K2596" s="2810">
        <f t="shared" si="145"/>
        <v>0</v>
      </c>
      <c r="L2596" s="2797"/>
      <c r="M2596" s="934">
        <v>1000</v>
      </c>
    </row>
    <row r="2597" spans="1:13" s="1016" customFormat="1" ht="25.2" customHeight="1">
      <c r="A2597" s="1086">
        <f t="shared" si="131"/>
        <v>1</v>
      </c>
      <c r="B2597" s="2826" t="s">
        <v>1915</v>
      </c>
      <c r="C2597" s="2868">
        <v>1</v>
      </c>
      <c r="D2597" s="2798"/>
      <c r="E2597" s="2809" t="str">
        <f>VLOOKUP($B2597,DG!A:D,DG!$B$2,)</f>
        <v>05.1101</v>
      </c>
      <c r="F2597" s="2800" t="str">
        <f>VLOOKUP($B2597,DG!A:D,DG!$C$2,)</f>
        <v>Thùng điện kế 450x300x200mm đo đếm trung thế</v>
      </c>
      <c r="G2597" s="2801" t="str">
        <f>VLOOKUP($B2597,DG!A:D,DG!$D$2,)</f>
        <v>cái</v>
      </c>
      <c r="H2597" s="2810">
        <f t="shared" si="145"/>
        <v>1</v>
      </c>
      <c r="I2597" s="2810">
        <f t="shared" si="145"/>
        <v>1</v>
      </c>
      <c r="J2597" s="2810">
        <f t="shared" si="145"/>
        <v>0</v>
      </c>
      <c r="K2597" s="2810">
        <f t="shared" si="145"/>
        <v>0</v>
      </c>
      <c r="L2597" s="2797"/>
      <c r="M2597" s="934">
        <v>1000</v>
      </c>
    </row>
    <row r="2598" spans="1:13" s="1016" customFormat="1" ht="25.2" customHeight="1">
      <c r="A2598" s="1086">
        <f t="shared" si="131"/>
        <v>1</v>
      </c>
      <c r="B2598" s="2826" t="s">
        <v>6</v>
      </c>
      <c r="C2598" s="2868">
        <v>2</v>
      </c>
      <c r="D2598" s="2798"/>
      <c r="E2598" s="2809">
        <f>VLOOKUP($B2598,DG!A:D,DG!$B$2,)</f>
        <v>0</v>
      </c>
      <c r="F2598" s="2800" t="str">
        <f>VLOOKUP($B2598,DG!A:D,DG!$C$2,)</f>
        <v>Keo silicon bít miệng ống</v>
      </c>
      <c r="G2598" s="2801" t="str">
        <f>VLOOKUP($B2598,DG!A:D,DG!$D$2,)</f>
        <v>ống</v>
      </c>
      <c r="H2598" s="2810">
        <f t="shared" si="145"/>
        <v>2</v>
      </c>
      <c r="I2598" s="2810">
        <f t="shared" si="145"/>
        <v>2</v>
      </c>
      <c r="J2598" s="2810">
        <f t="shared" si="145"/>
        <v>0</v>
      </c>
      <c r="K2598" s="2810">
        <f t="shared" si="145"/>
        <v>0</v>
      </c>
      <c r="L2598" s="2797"/>
      <c r="M2598" s="934">
        <v>1000</v>
      </c>
    </row>
    <row r="2599" spans="1:13" s="1016" customFormat="1" ht="25.2" customHeight="1">
      <c r="A2599" s="1086">
        <f t="shared" si="131"/>
        <v>1</v>
      </c>
      <c r="B2599" s="2826" t="s">
        <v>2139</v>
      </c>
      <c r="C2599" s="2868">
        <v>4</v>
      </c>
      <c r="D2599" s="2798"/>
      <c r="E2599" s="2809">
        <v>0</v>
      </c>
      <c r="F2599" s="2800" t="str">
        <f>VLOOKUP($B2599,DG!A:D,DG!$C$2,)</f>
        <v>Dây đồng trần mềm dẹt</v>
      </c>
      <c r="G2599" s="2801" t="str">
        <f>VLOOKUP($B2599,DG!A:D,DG!$D$2,)</f>
        <v>mét</v>
      </c>
      <c r="H2599" s="2810">
        <f t="shared" si="145"/>
        <v>4</v>
      </c>
      <c r="I2599" s="2810">
        <f t="shared" si="145"/>
        <v>4</v>
      </c>
      <c r="J2599" s="2810">
        <f t="shared" si="145"/>
        <v>0</v>
      </c>
      <c r="K2599" s="2810">
        <f t="shared" si="145"/>
        <v>0</v>
      </c>
      <c r="L2599" s="2797"/>
      <c r="M2599" s="934">
        <v>1000</v>
      </c>
    </row>
    <row r="2600" spans="1:13" s="1016" customFormat="1" ht="25.2" hidden="1" customHeight="1">
      <c r="A2600" s="1086">
        <f t="shared" si="131"/>
        <v>0</v>
      </c>
      <c r="B2600" s="2826" t="s">
        <v>1035</v>
      </c>
      <c r="C2600" s="2868"/>
      <c r="D2600" s="2890"/>
      <c r="E2600" s="1875">
        <v>0</v>
      </c>
      <c r="F2600" s="1164" t="str">
        <f>VLOOKUP($B2600,DG!A:D,DG!$C$2,)</f>
        <v>Sắt góc L50 x50 x5</v>
      </c>
      <c r="G2600" s="2921" t="str">
        <f>VLOOKUP($B2600,DG!A:D,DG!$D$2,)</f>
        <v>kg</v>
      </c>
      <c r="H2600" s="1720">
        <f t="shared" si="145"/>
        <v>0</v>
      </c>
      <c r="I2600" s="1720">
        <f t="shared" si="145"/>
        <v>0</v>
      </c>
      <c r="J2600" s="1720">
        <f t="shared" si="145"/>
        <v>0</v>
      </c>
      <c r="K2600" s="1720">
        <f t="shared" si="145"/>
        <v>0</v>
      </c>
      <c r="L2600" s="1129"/>
      <c r="M2600" s="934">
        <v>1000</v>
      </c>
    </row>
    <row r="2601" spans="1:13" s="1016" customFormat="1" ht="25.2" hidden="1" customHeight="1">
      <c r="A2601" s="1086">
        <f t="shared" si="131"/>
        <v>0</v>
      </c>
      <c r="B2601" s="2826" t="s">
        <v>6255</v>
      </c>
      <c r="C2601" s="2868"/>
      <c r="D2601" s="1048"/>
      <c r="E2601" s="1049"/>
      <c r="F2601" s="1041" t="str">
        <f>VLOOKUP($B2601,DG!A:D,DG!$C$2,)</f>
        <v>Boulon 10x50+ 2 long đền vuông D12-50x50x3/Zn</v>
      </c>
      <c r="G2601" s="1068" t="str">
        <f>VLOOKUP($B2601,DG!A:D,DG!$D$2,)</f>
        <v>bộ</v>
      </c>
      <c r="H2601" s="1713">
        <f t="shared" ref="H2601:K2601" si="146">$C2601*H$2578</f>
        <v>0</v>
      </c>
      <c r="I2601" s="1713">
        <f t="shared" si="146"/>
        <v>0</v>
      </c>
      <c r="J2601" s="1713">
        <f t="shared" si="146"/>
        <v>0</v>
      </c>
      <c r="K2601" s="1713">
        <f t="shared" si="146"/>
        <v>0</v>
      </c>
      <c r="L2601" s="1069"/>
      <c r="M2601" s="934">
        <v>1000</v>
      </c>
    </row>
    <row r="2602" spans="1:13" s="1016" customFormat="1" ht="25.2" hidden="1" customHeight="1">
      <c r="A2602" s="1086">
        <f t="shared" si="131"/>
        <v>0</v>
      </c>
      <c r="B2602" s="1087"/>
      <c r="C2602" s="2842"/>
      <c r="D2602" s="1082"/>
      <c r="E2602" s="1071"/>
      <c r="F2602" s="1038"/>
      <c r="G2602" s="1072"/>
      <c r="H2602" s="1733"/>
      <c r="I2602" s="1192">
        <f>IF(M2602=$M$23,H2602+J2602-K2602,0)</f>
        <v>0</v>
      </c>
      <c r="J2602" s="1073"/>
      <c r="K2602" s="1074"/>
      <c r="L2602" s="1069"/>
      <c r="M2602" s="934"/>
    </row>
    <row r="2603" spans="1:13" s="1016" customFormat="1" ht="25.2" hidden="1" customHeight="1">
      <c r="A2603" s="1086">
        <f t="shared" si="131"/>
        <v>0</v>
      </c>
      <c r="B2603" s="1087"/>
      <c r="C2603" s="2842"/>
      <c r="D2603" s="2665"/>
      <c r="E2603" s="2666"/>
      <c r="F2603" s="2667"/>
      <c r="G2603" s="2668"/>
      <c r="H2603" s="2669"/>
      <c r="I2603" s="1752"/>
      <c r="J2603" s="2664"/>
      <c r="K2603" s="2664"/>
      <c r="L2603" s="1075"/>
      <c r="M2603" s="934"/>
    </row>
    <row r="2604" spans="1:13" s="1016" customFormat="1" ht="25.2" hidden="1" customHeight="1">
      <c r="A2604" s="1086">
        <f t="shared" si="131"/>
        <v>0</v>
      </c>
      <c r="B2604" s="1087"/>
      <c r="C2604" s="2842"/>
      <c r="D2604" s="2755"/>
      <c r="E2604" s="2755"/>
      <c r="F2604" s="2756" t="s">
        <v>3672</v>
      </c>
      <c r="G2604" s="2755"/>
      <c r="H2604" s="2755"/>
      <c r="I2604" s="2670">
        <f>IF(M2604=$M$23,H2604+J2604-K2604,0)</f>
        <v>0</v>
      </c>
      <c r="J2604" s="1069"/>
      <c r="K2604" s="1069"/>
      <c r="L2604" s="1069"/>
      <c r="M2604" s="934">
        <v>1250</v>
      </c>
    </row>
    <row r="2605" spans="1:13" s="1016" customFormat="1" ht="25.2" hidden="1" customHeight="1">
      <c r="A2605" s="1086">
        <f t="shared" si="131"/>
        <v>0</v>
      </c>
      <c r="B2605" s="1087" t="s">
        <v>1413</v>
      </c>
      <c r="C2605" s="2842"/>
      <c r="D2605" s="2757">
        <f>IF(H2605&gt;0,1,0)</f>
        <v>1</v>
      </c>
      <c r="E2605" s="2758" t="s">
        <v>5594</v>
      </c>
      <c r="F2605" s="2759" t="str">
        <f>VLOOKUP(B2605,DonGia,3,0)</f>
        <v>Máy biến áp 22/0,4kV- 1250kVA</v>
      </c>
      <c r="G2605" s="2758" t="str">
        <f>VLOOKUP(B2605,DonGia,4,0)</f>
        <v>máy</v>
      </c>
      <c r="H2605" s="2760">
        <v>1</v>
      </c>
      <c r="I2605" s="2670">
        <f>H2605</f>
        <v>1</v>
      </c>
      <c r="J2605" s="1069"/>
      <c r="K2605" s="1069"/>
      <c r="L2605" s="1069"/>
      <c r="M2605" s="934">
        <v>1250</v>
      </c>
    </row>
    <row r="2606" spans="1:13" s="1016" customFormat="1" ht="25.2" hidden="1" customHeight="1">
      <c r="A2606" s="1086">
        <f t="shared" si="131"/>
        <v>0</v>
      </c>
      <c r="B2606" s="1087" t="s">
        <v>1652</v>
      </c>
      <c r="C2606" s="2842"/>
      <c r="D2606" s="2757">
        <f>IF(H2606&gt;0,D2605+1,D2605)</f>
        <v>2</v>
      </c>
      <c r="E2606" s="2758" t="s">
        <v>5598</v>
      </c>
      <c r="F2606" s="2759" t="str">
        <f>VLOOKUP(B2606,DonGia,3,0)</f>
        <v>FCO 24kV - 100A</v>
      </c>
      <c r="G2606" s="2758" t="str">
        <f>VLOOKUP(B2606,DonGia,4,0)</f>
        <v>cái</v>
      </c>
      <c r="H2606" s="2760">
        <f>H2605*3</f>
        <v>3</v>
      </c>
      <c r="I2606" s="2670">
        <f t="shared" ref="I2606:I2669" si="147">H2606</f>
        <v>3</v>
      </c>
      <c r="J2606" s="1069"/>
      <c r="K2606" s="1069"/>
      <c r="L2606" s="1069"/>
      <c r="M2606" s="934">
        <v>1250</v>
      </c>
    </row>
    <row r="2607" spans="1:13" s="1016" customFormat="1" ht="25.2" hidden="1" customHeight="1">
      <c r="A2607" s="1086">
        <f t="shared" si="131"/>
        <v>0</v>
      </c>
      <c r="B2607" s="1087" t="s">
        <v>6273</v>
      </c>
      <c r="C2607" s="2842"/>
      <c r="D2607" s="2757">
        <f>IF(H2607&gt;0,D2606+1,D2606)</f>
        <v>3</v>
      </c>
      <c r="E2607" s="2758">
        <v>0</v>
      </c>
      <c r="F2607" s="2759" t="str">
        <f>VLOOKUP(B2607,DonGia,3,0)</f>
        <v>Dây chảy 40K</v>
      </c>
      <c r="G2607" s="2758" t="str">
        <f>VLOOKUP(B2607,DonGia,4,0)</f>
        <v>Sợi</v>
      </c>
      <c r="H2607" s="2760">
        <f>H2606</f>
        <v>3</v>
      </c>
      <c r="I2607" s="2670">
        <f t="shared" si="147"/>
        <v>3</v>
      </c>
      <c r="J2607" s="1069"/>
      <c r="K2607" s="1069"/>
      <c r="L2607" s="1069"/>
      <c r="M2607" s="934">
        <v>1250</v>
      </c>
    </row>
    <row r="2608" spans="1:13" s="1016" customFormat="1" ht="25.2" hidden="1" customHeight="1">
      <c r="A2608" s="1086">
        <f t="shared" si="131"/>
        <v>0</v>
      </c>
      <c r="B2608" s="1087" t="s">
        <v>1373</v>
      </c>
      <c r="C2608" s="2842"/>
      <c r="D2608" s="2757">
        <f>IF(H2608&gt;0,D2607+1,D2607)</f>
        <v>4</v>
      </c>
      <c r="E2608" s="2758" t="s">
        <v>5602</v>
      </c>
      <c r="F2608" s="2759" t="str">
        <f>VLOOKUP(B2608,DonGia,3,0)</f>
        <v>Chống sét van LA-18KV-10KA</v>
      </c>
      <c r="G2608" s="2758" t="str">
        <f>VLOOKUP(B2608,DonGia,4,0)</f>
        <v>cái</v>
      </c>
      <c r="H2608" s="2760">
        <f>H2606</f>
        <v>3</v>
      </c>
      <c r="I2608" s="2670">
        <f t="shared" si="147"/>
        <v>3</v>
      </c>
      <c r="J2608" s="1069"/>
      <c r="K2608" s="1069"/>
      <c r="L2608" s="1069"/>
      <c r="M2608" s="934">
        <v>1250</v>
      </c>
    </row>
    <row r="2609" spans="1:13" s="1016" customFormat="1" ht="25.2" hidden="1" customHeight="1">
      <c r="A2609" s="1086">
        <f t="shared" si="131"/>
        <v>0</v>
      </c>
      <c r="B2609" s="1087" t="s">
        <v>6274</v>
      </c>
      <c r="C2609" s="2842"/>
      <c r="D2609" s="2757">
        <f>IF(H2609&gt;0,D2608+1,D2608)</f>
        <v>5</v>
      </c>
      <c r="E2609" s="2758">
        <v>0</v>
      </c>
      <c r="F2609" s="2759" t="str">
        <f>VLOOKUP(B2609,DonGia,3,0)</f>
        <v>ACB 3P - 2000A - 85KA (nạp lò xo bằng tay)</v>
      </c>
      <c r="G2609" s="2758" t="str">
        <f>VLOOKUP(B2609,DonGia,4,0)</f>
        <v>cái</v>
      </c>
      <c r="H2609" s="2760">
        <f>H2605</f>
        <v>1</v>
      </c>
      <c r="I2609" s="2670">
        <f t="shared" si="147"/>
        <v>1</v>
      </c>
      <c r="J2609" s="1069"/>
      <c r="K2609" s="1069"/>
      <c r="L2609" s="1069"/>
      <c r="M2609" s="934">
        <v>1250</v>
      </c>
    </row>
    <row r="2610" spans="1:13" s="1016" customFormat="1" ht="25.2" hidden="1" customHeight="1">
      <c r="A2610" s="1086">
        <f t="shared" si="131"/>
        <v>0</v>
      </c>
      <c r="B2610" s="1087" t="s">
        <v>710</v>
      </c>
      <c r="C2610" s="2842"/>
      <c r="D2610" s="2757">
        <f>IF(H2610&gt;0,D2608+1,D2608)</f>
        <v>4</v>
      </c>
      <c r="E2610" s="2758">
        <v>0</v>
      </c>
      <c r="F2610" s="2759" t="s">
        <v>5682</v>
      </c>
      <c r="G2610" s="2758" t="s">
        <v>2555</v>
      </c>
      <c r="H2610" s="2760"/>
      <c r="I2610" s="2670">
        <f t="shared" si="147"/>
        <v>0</v>
      </c>
      <c r="J2610" s="1069"/>
      <c r="K2610" s="1069"/>
      <c r="L2610" s="1069"/>
      <c r="M2610" s="934">
        <v>1250</v>
      </c>
    </row>
    <row r="2611" spans="1:13" s="1016" customFormat="1" ht="25.2" hidden="1" customHeight="1">
      <c r="A2611" s="1086">
        <f t="shared" si="131"/>
        <v>0</v>
      </c>
      <c r="B2611" s="1087" t="s">
        <v>710</v>
      </c>
      <c r="C2611" s="2842"/>
      <c r="D2611" s="2757">
        <f t="shared" ref="D2611:D2617" si="148">IF(H2611&gt;0,D2609+1,D2609)</f>
        <v>5</v>
      </c>
      <c r="E2611" s="2758">
        <v>0</v>
      </c>
      <c r="F2611" s="2759" t="s">
        <v>5682</v>
      </c>
      <c r="G2611" s="2758" t="s">
        <v>2555</v>
      </c>
      <c r="H2611" s="2760">
        <f>+H2605*1*0</f>
        <v>0</v>
      </c>
      <c r="I2611" s="2670">
        <f t="shared" si="147"/>
        <v>0</v>
      </c>
      <c r="J2611" s="1069"/>
      <c r="K2611" s="1069"/>
      <c r="L2611" s="1069"/>
      <c r="M2611" s="934">
        <v>1250</v>
      </c>
    </row>
    <row r="2612" spans="1:13" s="1016" customFormat="1" ht="25.2" hidden="1" customHeight="1">
      <c r="A2612" s="1086">
        <f t="shared" si="131"/>
        <v>0</v>
      </c>
      <c r="B2612" s="1087" t="s">
        <v>201</v>
      </c>
      <c r="C2612" s="2842"/>
      <c r="D2612" s="2757">
        <f t="shared" si="148"/>
        <v>4</v>
      </c>
      <c r="E2612" s="2758">
        <v>0</v>
      </c>
      <c r="F2612" s="2759" t="s">
        <v>3404</v>
      </c>
      <c r="G2612" s="2758" t="s">
        <v>2555</v>
      </c>
      <c r="H2612" s="2760"/>
      <c r="I2612" s="2670">
        <f t="shared" si="147"/>
        <v>0</v>
      </c>
      <c r="J2612" s="1069"/>
      <c r="K2612" s="1069"/>
      <c r="L2612" s="1069"/>
      <c r="M2612" s="934">
        <v>1250</v>
      </c>
    </row>
    <row r="2613" spans="1:13" s="1016" customFormat="1" ht="25.2" hidden="1" customHeight="1">
      <c r="A2613" s="1086">
        <f t="shared" si="131"/>
        <v>0</v>
      </c>
      <c r="B2613" s="1087" t="s">
        <v>936</v>
      </c>
      <c r="C2613" s="2842"/>
      <c r="D2613" s="2757">
        <f t="shared" si="148"/>
        <v>5</v>
      </c>
      <c r="E2613" s="2758">
        <v>0</v>
      </c>
      <c r="F2613" s="2759" t="s">
        <v>5679</v>
      </c>
      <c r="G2613" s="2758" t="s">
        <v>2555</v>
      </c>
      <c r="H2613" s="2760"/>
      <c r="I2613" s="2670">
        <f t="shared" si="147"/>
        <v>0</v>
      </c>
      <c r="J2613" s="1069"/>
      <c r="K2613" s="1069"/>
      <c r="L2613" s="1069"/>
      <c r="M2613" s="934">
        <v>1250</v>
      </c>
    </row>
    <row r="2614" spans="1:13" s="1016" customFormat="1" ht="25.2" hidden="1" customHeight="1">
      <c r="A2614" s="1086">
        <f t="shared" si="131"/>
        <v>0</v>
      </c>
      <c r="B2614" s="1087" t="s">
        <v>6275</v>
      </c>
      <c r="C2614" s="2842"/>
      <c r="D2614" s="2757">
        <f t="shared" si="148"/>
        <v>5</v>
      </c>
      <c r="E2614" s="2758" t="s">
        <v>1025</v>
      </c>
      <c r="F2614" s="2759" t="str">
        <f>VLOOKUP(B2614,DonGia,3,0)</f>
        <v>Tủ tụ bù hạ thế 500kVAr</v>
      </c>
      <c r="G2614" s="2758" t="str">
        <f>VLOOKUP(B2614,DonGia,4,0)</f>
        <v>tủ</v>
      </c>
      <c r="H2614" s="2760">
        <v>1</v>
      </c>
      <c r="I2614" s="2670">
        <f t="shared" si="147"/>
        <v>1</v>
      </c>
      <c r="J2614" s="1069"/>
      <c r="K2614" s="1069"/>
      <c r="L2614" s="1069"/>
      <c r="M2614" s="934">
        <v>1250</v>
      </c>
    </row>
    <row r="2615" spans="1:13" s="1016" customFormat="1" ht="25.2" hidden="1" customHeight="1">
      <c r="A2615" s="1086">
        <f t="shared" si="131"/>
        <v>0</v>
      </c>
      <c r="B2615" s="1087" t="s">
        <v>901</v>
      </c>
      <c r="C2615" s="2842"/>
      <c r="D2615" s="2757">
        <f t="shared" si="148"/>
        <v>6</v>
      </c>
      <c r="E2615" s="2758">
        <v>0</v>
      </c>
      <c r="F2615" s="2759" t="str">
        <f>VLOOKUP(B2615,DonGia,3,0)</f>
        <v>Biến dòng 24kV  30/5A</v>
      </c>
      <c r="G2615" s="2758" t="str">
        <f>VLOOKUP(B2615,DonGia,4,0)</f>
        <v>cái</v>
      </c>
      <c r="H2615" s="2760">
        <v>3</v>
      </c>
      <c r="I2615" s="2670">
        <f t="shared" si="147"/>
        <v>3</v>
      </c>
      <c r="J2615" s="1069"/>
      <c r="K2615" s="1069"/>
      <c r="L2615" s="1069"/>
      <c r="M2615" s="934">
        <v>1250</v>
      </c>
    </row>
    <row r="2616" spans="1:13" s="1016" customFormat="1" ht="25.2" hidden="1" customHeight="1">
      <c r="A2616" s="1086">
        <f t="shared" si="131"/>
        <v>0</v>
      </c>
      <c r="B2616" s="1087" t="s">
        <v>2187</v>
      </c>
      <c r="C2616" s="2842"/>
      <c r="D2616" s="2757">
        <f t="shared" si="148"/>
        <v>6</v>
      </c>
      <c r="E2616" s="2758">
        <v>0</v>
      </c>
      <c r="F2616" s="2759" t="str">
        <f>VLOOKUP(B2616,DonGia,3,0)</f>
        <v>Biến điện áp 22000/√3/100/√3 V</v>
      </c>
      <c r="G2616" s="2758" t="str">
        <f>VLOOKUP(B2616,DonGia,4,0)</f>
        <v>cái</v>
      </c>
      <c r="H2616" s="2760">
        <v>3</v>
      </c>
      <c r="I2616" s="2670">
        <f t="shared" si="147"/>
        <v>3</v>
      </c>
      <c r="J2616" s="1069"/>
      <c r="K2616" s="1069"/>
      <c r="L2616" s="1069"/>
      <c r="M2616" s="934">
        <v>1250</v>
      </c>
    </row>
    <row r="2617" spans="1:13" s="1016" customFormat="1" ht="25.2" hidden="1" customHeight="1">
      <c r="A2617" s="1086">
        <f t="shared" si="131"/>
        <v>0</v>
      </c>
      <c r="B2617" s="1087" t="s">
        <v>1837</v>
      </c>
      <c r="C2617" s="2842"/>
      <c r="D2617" s="2757">
        <f t="shared" si="148"/>
        <v>7</v>
      </c>
      <c r="E2617" s="2758">
        <v>0</v>
      </c>
      <c r="F2617" s="2759" t="str">
        <f>VLOOKUP(B2617,DonGia,3,0)</f>
        <v>Điện kế 3 pha điện tử 600V-5A</v>
      </c>
      <c r="G2617" s="2758" t="str">
        <f>VLOOKUP(B2617,DonGia,4,0)</f>
        <v>cái</v>
      </c>
      <c r="H2617" s="2760">
        <v>1</v>
      </c>
      <c r="I2617" s="2670">
        <f t="shared" si="147"/>
        <v>1</v>
      </c>
      <c r="J2617" s="1069"/>
      <c r="K2617" s="1069"/>
      <c r="L2617" s="1069"/>
      <c r="M2617" s="934">
        <v>1250</v>
      </c>
    </row>
    <row r="2618" spans="1:13" s="1016" customFormat="1" ht="25.2" hidden="1" customHeight="1">
      <c r="A2618" s="1086">
        <f t="shared" si="131"/>
        <v>0</v>
      </c>
      <c r="B2618" s="1087"/>
      <c r="C2618" s="2842"/>
      <c r="D2618" s="2757"/>
      <c r="E2618" s="2761"/>
      <c r="F2618" s="2762"/>
      <c r="G2618" s="2757"/>
      <c r="H2618" s="2760"/>
      <c r="I2618" s="2670">
        <f t="shared" si="147"/>
        <v>0</v>
      </c>
      <c r="J2618" s="1069"/>
      <c r="K2618" s="1069"/>
      <c r="L2618" s="1069"/>
      <c r="M2618" s="934">
        <v>1250</v>
      </c>
    </row>
    <row r="2619" spans="1:13" s="1016" customFormat="1" ht="25.2" hidden="1" customHeight="1">
      <c r="A2619" s="1086">
        <f t="shared" si="131"/>
        <v>0</v>
      </c>
      <c r="B2619" s="1087"/>
      <c r="C2619" s="2842"/>
      <c r="D2619" s="2762"/>
      <c r="E2619" s="2762"/>
      <c r="F2619" s="2762" t="s">
        <v>3673</v>
      </c>
      <c r="G2619" s="2762"/>
      <c r="H2619" s="2763"/>
      <c r="I2619" s="2670">
        <f t="shared" si="147"/>
        <v>0</v>
      </c>
      <c r="J2619" s="1069"/>
      <c r="K2619" s="1069"/>
      <c r="L2619" s="1069"/>
      <c r="M2619" s="934">
        <v>1250</v>
      </c>
    </row>
    <row r="2620" spans="1:13" s="1016" customFormat="1" ht="25.2" hidden="1" customHeight="1">
      <c r="A2620" s="1086">
        <f t="shared" si="131"/>
        <v>0</v>
      </c>
      <c r="B2620" s="1087"/>
      <c r="C2620" s="2842"/>
      <c r="D2620" s="2762">
        <f>IF(H2620&gt;0,1,0)</f>
        <v>0</v>
      </c>
      <c r="E2620" s="2758"/>
      <c r="F2620" s="2764" t="s">
        <v>6122</v>
      </c>
      <c r="G2620" s="2765" t="s">
        <v>2277</v>
      </c>
      <c r="H2620" s="2766"/>
      <c r="I2620" s="2670">
        <f t="shared" si="147"/>
        <v>0</v>
      </c>
      <c r="J2620" s="1069"/>
      <c r="K2620" s="1069"/>
      <c r="L2620" s="1069"/>
      <c r="M2620" s="934">
        <v>1250</v>
      </c>
    </row>
    <row r="2621" spans="1:13" s="1016" customFormat="1" ht="25.2" hidden="1" customHeight="1">
      <c r="A2621" s="1086">
        <f t="shared" si="131"/>
        <v>0</v>
      </c>
      <c r="B2621" s="1087" t="s">
        <v>5275</v>
      </c>
      <c r="C2621" s="2842"/>
      <c r="D2621" s="2767"/>
      <c r="E2621" s="2758"/>
      <c r="F2621" s="2768" t="s">
        <v>5276</v>
      </c>
      <c r="G2621" s="2758" t="s">
        <v>2831</v>
      </c>
      <c r="H2621" s="2769">
        <f>H2620</f>
        <v>0</v>
      </c>
      <c r="I2621" s="2670">
        <f t="shared" si="147"/>
        <v>0</v>
      </c>
      <c r="J2621" s="1069"/>
      <c r="K2621" s="1069"/>
      <c r="L2621" s="1069"/>
      <c r="M2621" s="934">
        <v>1250</v>
      </c>
    </row>
    <row r="2622" spans="1:13" s="1016" customFormat="1" ht="25.2" hidden="1" customHeight="1">
      <c r="A2622" s="1086">
        <f t="shared" si="131"/>
        <v>0</v>
      </c>
      <c r="B2622" s="1087" t="s">
        <v>1814</v>
      </c>
      <c r="C2622" s="2842"/>
      <c r="D2622" s="2767"/>
      <c r="E2622" s="2758"/>
      <c r="F2622" s="2768" t="s">
        <v>2830</v>
      </c>
      <c r="G2622" s="2758" t="s">
        <v>2831</v>
      </c>
      <c r="H2622" s="2769">
        <f>H2621</f>
        <v>0</v>
      </c>
      <c r="I2622" s="2670">
        <f t="shared" si="147"/>
        <v>0</v>
      </c>
      <c r="J2622" s="1069"/>
      <c r="K2622" s="1069"/>
      <c r="L2622" s="1069"/>
      <c r="M2622" s="934">
        <v>1250</v>
      </c>
    </row>
    <row r="2623" spans="1:13" s="1016" customFormat="1" ht="25.2" hidden="1" customHeight="1">
      <c r="A2623" s="1086">
        <f t="shared" si="131"/>
        <v>0</v>
      </c>
      <c r="B2623" s="1087" t="s">
        <v>643</v>
      </c>
      <c r="C2623" s="2842"/>
      <c r="D2623" s="2767"/>
      <c r="E2623" s="2758" t="s">
        <v>2127</v>
      </c>
      <c r="F2623" s="2768" t="s">
        <v>3167</v>
      </c>
      <c r="G2623" s="2758" t="s">
        <v>2831</v>
      </c>
      <c r="H2623" s="2769">
        <f>H2621</f>
        <v>0</v>
      </c>
      <c r="I2623" s="2670">
        <f t="shared" si="147"/>
        <v>0</v>
      </c>
      <c r="J2623" s="1069"/>
      <c r="K2623" s="1069"/>
      <c r="L2623" s="1069"/>
      <c r="M2623" s="934">
        <v>1250</v>
      </c>
    </row>
    <row r="2624" spans="1:13" s="1016" customFormat="1" ht="25.2" hidden="1" customHeight="1">
      <c r="A2624" s="1086">
        <f t="shared" si="131"/>
        <v>0</v>
      </c>
      <c r="B2624" s="1087"/>
      <c r="C2624" s="2842"/>
      <c r="D2624" s="2762">
        <f>IF(H2624&gt;0,1,0)</f>
        <v>0</v>
      </c>
      <c r="E2624" s="2758"/>
      <c r="F2624" s="2764" t="s">
        <v>6217</v>
      </c>
      <c r="G2624" s="2765" t="s">
        <v>2277</v>
      </c>
      <c r="H2624" s="2766"/>
      <c r="I2624" s="2670">
        <f t="shared" si="147"/>
        <v>0</v>
      </c>
      <c r="J2624" s="1069"/>
      <c r="K2624" s="1069"/>
      <c r="L2624" s="1069"/>
      <c r="M2624" s="934">
        <v>1250</v>
      </c>
    </row>
    <row r="2625" spans="1:13" s="1016" customFormat="1" ht="25.2" hidden="1" customHeight="1">
      <c r="A2625" s="1086">
        <f t="shared" si="131"/>
        <v>0</v>
      </c>
      <c r="B2625" s="1087" t="s">
        <v>114</v>
      </c>
      <c r="C2625" s="2842"/>
      <c r="D2625" s="2767"/>
      <c r="E2625" s="2758"/>
      <c r="F2625" s="2768" t="s">
        <v>2991</v>
      </c>
      <c r="G2625" s="2758" t="s">
        <v>2831</v>
      </c>
      <c r="H2625" s="2769">
        <f>H2624</f>
        <v>0</v>
      </c>
      <c r="I2625" s="2670">
        <f t="shared" si="147"/>
        <v>0</v>
      </c>
      <c r="J2625" s="1069"/>
      <c r="K2625" s="1069"/>
      <c r="L2625" s="1069"/>
      <c r="M2625" s="934">
        <v>1250</v>
      </c>
    </row>
    <row r="2626" spans="1:13" s="1016" customFormat="1" ht="25.2" hidden="1" customHeight="1">
      <c r="A2626" s="1086">
        <f t="shared" si="131"/>
        <v>0</v>
      </c>
      <c r="B2626" s="1087" t="s">
        <v>1814</v>
      </c>
      <c r="C2626" s="2842"/>
      <c r="D2626" s="2767"/>
      <c r="E2626" s="2758"/>
      <c r="F2626" s="2768" t="s">
        <v>2830</v>
      </c>
      <c r="G2626" s="2758" t="s">
        <v>2831</v>
      </c>
      <c r="H2626" s="2769">
        <f>H2625</f>
        <v>0</v>
      </c>
      <c r="I2626" s="2670">
        <f t="shared" si="147"/>
        <v>0</v>
      </c>
      <c r="J2626" s="1069"/>
      <c r="K2626" s="1069"/>
      <c r="L2626" s="1069"/>
      <c r="M2626" s="934">
        <v>1250</v>
      </c>
    </row>
    <row r="2627" spans="1:13" s="1016" customFormat="1" ht="25.2" hidden="1" customHeight="1">
      <c r="A2627" s="1086">
        <f t="shared" si="131"/>
        <v>0</v>
      </c>
      <c r="B2627" s="1087" t="s">
        <v>644</v>
      </c>
      <c r="C2627" s="2842"/>
      <c r="D2627" s="2767"/>
      <c r="E2627" s="2758" t="s">
        <v>2127</v>
      </c>
      <c r="F2627" s="2768" t="s">
        <v>3168</v>
      </c>
      <c r="G2627" s="2758" t="s">
        <v>2831</v>
      </c>
      <c r="H2627" s="2769">
        <f>H2625</f>
        <v>0</v>
      </c>
      <c r="I2627" s="2670">
        <f t="shared" si="147"/>
        <v>0</v>
      </c>
      <c r="J2627" s="1069"/>
      <c r="K2627" s="1069"/>
      <c r="L2627" s="1069"/>
      <c r="M2627" s="934">
        <v>1250</v>
      </c>
    </row>
    <row r="2628" spans="1:13" s="1016" customFormat="1" ht="25.2" hidden="1" customHeight="1">
      <c r="A2628" s="1086">
        <f t="shared" si="131"/>
        <v>0</v>
      </c>
      <c r="B2628" s="1087"/>
      <c r="C2628" s="2842"/>
      <c r="D2628" s="2762">
        <f>IF(H2628&gt;0,D2620+1,D2620)</f>
        <v>0</v>
      </c>
      <c r="E2628" s="2758"/>
      <c r="F2628" s="2770" t="s">
        <v>2364</v>
      </c>
      <c r="G2628" s="2771" t="s">
        <v>2327</v>
      </c>
      <c r="H2628" s="2766"/>
      <c r="I2628" s="2670">
        <f t="shared" si="147"/>
        <v>0</v>
      </c>
      <c r="J2628" s="1069"/>
      <c r="K2628" s="1069"/>
      <c r="L2628" s="1069"/>
      <c r="M2628" s="934">
        <v>1250</v>
      </c>
    </row>
    <row r="2629" spans="1:13" s="1016" customFormat="1" ht="25.2" hidden="1" customHeight="1">
      <c r="A2629" s="1086">
        <f t="shared" ref="A2629:A2692" si="149">IF(AND(M2629=$M$23,I2629&gt;0),1,0)</f>
        <v>0</v>
      </c>
      <c r="B2629" s="1087" t="s">
        <v>751</v>
      </c>
      <c r="C2629" s="2842"/>
      <c r="D2629" s="2767"/>
      <c r="E2629" s="2758">
        <v>0</v>
      </c>
      <c r="F2629" s="2768" t="s">
        <v>5289</v>
      </c>
      <c r="G2629" s="2758" t="s">
        <v>2248</v>
      </c>
      <c r="H2629" s="2769">
        <f>H2628*504</f>
        <v>0</v>
      </c>
      <c r="I2629" s="2670">
        <f t="shared" si="147"/>
        <v>0</v>
      </c>
      <c r="J2629" s="1069"/>
      <c r="K2629" s="1069"/>
      <c r="L2629" s="1069"/>
      <c r="M2629" s="934">
        <v>1250</v>
      </c>
    </row>
    <row r="2630" spans="1:13" s="1016" customFormat="1" ht="25.2" hidden="1" customHeight="1">
      <c r="A2630" s="1086">
        <f t="shared" si="149"/>
        <v>0</v>
      </c>
      <c r="B2630" s="1087" t="s">
        <v>752</v>
      </c>
      <c r="C2630" s="2842"/>
      <c r="D2630" s="2767"/>
      <c r="E2630" s="2758"/>
      <c r="F2630" s="2768" t="s">
        <v>3004</v>
      </c>
      <c r="G2630" s="2758" t="s">
        <v>856</v>
      </c>
      <c r="H2630" s="2769">
        <f>H2628*0.809</f>
        <v>0</v>
      </c>
      <c r="I2630" s="2670">
        <f t="shared" si="147"/>
        <v>0</v>
      </c>
      <c r="J2630" s="1069"/>
      <c r="K2630" s="1069"/>
      <c r="L2630" s="1069"/>
      <c r="M2630" s="934">
        <v>1250</v>
      </c>
    </row>
    <row r="2631" spans="1:13" s="1016" customFormat="1" ht="25.2" hidden="1" customHeight="1">
      <c r="A2631" s="1086">
        <f t="shared" si="149"/>
        <v>0</v>
      </c>
      <c r="B2631" s="1087" t="s">
        <v>867</v>
      </c>
      <c r="C2631" s="2842"/>
      <c r="D2631" s="2767"/>
      <c r="E2631" s="2758">
        <v>0</v>
      </c>
      <c r="F2631" s="2768" t="s">
        <v>3000</v>
      </c>
      <c r="G2631" s="2758" t="s">
        <v>856</v>
      </c>
      <c r="H2631" s="2769">
        <f>1.501*H2628</f>
        <v>0</v>
      </c>
      <c r="I2631" s="2670">
        <f t="shared" si="147"/>
        <v>0</v>
      </c>
      <c r="J2631" s="1069"/>
      <c r="K2631" s="1069"/>
      <c r="L2631" s="1069"/>
      <c r="M2631" s="934">
        <v>1250</v>
      </c>
    </row>
    <row r="2632" spans="1:13" s="1016" customFormat="1" ht="25.2" hidden="1" customHeight="1">
      <c r="A2632" s="1086">
        <f t="shared" si="149"/>
        <v>0</v>
      </c>
      <c r="B2632" s="1087" t="s">
        <v>6102</v>
      </c>
      <c r="C2632" s="2842"/>
      <c r="D2632" s="2767"/>
      <c r="E2632" s="2758">
        <v>0</v>
      </c>
      <c r="F2632" s="2768" t="s">
        <v>2666</v>
      </c>
      <c r="G2632" s="2758" t="s">
        <v>2439</v>
      </c>
      <c r="H2632" s="2769">
        <f>H2628</f>
        <v>0</v>
      </c>
      <c r="I2632" s="2670">
        <f t="shared" si="147"/>
        <v>0</v>
      </c>
      <c r="J2632" s="1069"/>
      <c r="K2632" s="1069"/>
      <c r="L2632" s="1069"/>
      <c r="M2632" s="934">
        <v>1250</v>
      </c>
    </row>
    <row r="2633" spans="1:13" s="1016" customFormat="1" ht="25.2" hidden="1" customHeight="1">
      <c r="A2633" s="1086">
        <f t="shared" si="149"/>
        <v>0</v>
      </c>
      <c r="B2633" s="1087" t="s">
        <v>4836</v>
      </c>
      <c r="C2633" s="2842"/>
      <c r="D2633" s="2767"/>
      <c r="E2633" s="2758"/>
      <c r="F2633" s="2768" t="s">
        <v>4641</v>
      </c>
      <c r="G2633" s="2758" t="s">
        <v>2439</v>
      </c>
      <c r="H2633" s="2769">
        <f>H2628</f>
        <v>0</v>
      </c>
      <c r="I2633" s="2670">
        <f t="shared" si="147"/>
        <v>0</v>
      </c>
      <c r="J2633" s="1069"/>
      <c r="K2633" s="1069"/>
      <c r="L2633" s="1069"/>
      <c r="M2633" s="934">
        <v>1250</v>
      </c>
    </row>
    <row r="2634" spans="1:13" s="1016" customFormat="1" ht="25.2" hidden="1" customHeight="1">
      <c r="A2634" s="1086">
        <f t="shared" si="149"/>
        <v>0</v>
      </c>
      <c r="B2634" s="1087" t="s">
        <v>5321</v>
      </c>
      <c r="C2634" s="2842"/>
      <c r="D2634" s="2767"/>
      <c r="E2634" s="2758"/>
      <c r="F2634" s="2768" t="s">
        <v>5323</v>
      </c>
      <c r="G2634" s="2758" t="s">
        <v>856</v>
      </c>
      <c r="H2634" s="2769">
        <f>H2628*1.93</f>
        <v>0</v>
      </c>
      <c r="I2634" s="2670">
        <f t="shared" si="147"/>
        <v>0</v>
      </c>
      <c r="J2634" s="1069"/>
      <c r="K2634" s="1069"/>
      <c r="L2634" s="1069"/>
      <c r="M2634" s="934">
        <v>1250</v>
      </c>
    </row>
    <row r="2635" spans="1:13" s="1016" customFormat="1" ht="25.2" hidden="1" customHeight="1">
      <c r="A2635" s="1086">
        <f t="shared" si="149"/>
        <v>0</v>
      </c>
      <c r="B2635" s="1087" t="s">
        <v>1835</v>
      </c>
      <c r="C2635" s="2842"/>
      <c r="D2635" s="2767"/>
      <c r="E2635" s="2758"/>
      <c r="F2635" s="2768" t="s">
        <v>5473</v>
      </c>
      <c r="G2635" s="2758" t="s">
        <v>856</v>
      </c>
      <c r="H2635" s="2769">
        <f>H2628*1.704</f>
        <v>0</v>
      </c>
      <c r="I2635" s="2670">
        <f t="shared" si="147"/>
        <v>0</v>
      </c>
      <c r="J2635" s="1069"/>
      <c r="K2635" s="1069"/>
      <c r="L2635" s="1069"/>
      <c r="M2635" s="934">
        <v>1250</v>
      </c>
    </row>
    <row r="2636" spans="1:13" s="1016" customFormat="1" ht="25.2" hidden="1" customHeight="1">
      <c r="A2636" s="1086">
        <f t="shared" si="149"/>
        <v>0</v>
      </c>
      <c r="B2636" s="1087"/>
      <c r="C2636" s="2842"/>
      <c r="D2636" s="2762">
        <f>IF(H2636&gt;0,D2625+1,D2625)</f>
        <v>0</v>
      </c>
      <c r="E2636" s="2758"/>
      <c r="F2636" s="2764" t="s">
        <v>3713</v>
      </c>
      <c r="G2636" s="2765" t="s">
        <v>2327</v>
      </c>
      <c r="H2636" s="2766"/>
      <c r="I2636" s="2670">
        <f t="shared" si="147"/>
        <v>0</v>
      </c>
      <c r="J2636" s="1069"/>
      <c r="K2636" s="1069"/>
      <c r="L2636" s="1069"/>
      <c r="M2636" s="934">
        <v>1250</v>
      </c>
    </row>
    <row r="2637" spans="1:13" s="1016" customFormat="1" ht="25.2" hidden="1" customHeight="1">
      <c r="A2637" s="1086">
        <f t="shared" si="149"/>
        <v>0</v>
      </c>
      <c r="B2637" s="1087" t="s">
        <v>636</v>
      </c>
      <c r="C2637" s="2842"/>
      <c r="D2637" s="2767"/>
      <c r="E2637" s="2758" t="s">
        <v>5047</v>
      </c>
      <c r="F2637" s="2768" t="s">
        <v>2607</v>
      </c>
      <c r="G2637" s="2758" t="s">
        <v>2555</v>
      </c>
      <c r="H2637" s="2769">
        <f>H2636</f>
        <v>0</v>
      </c>
      <c r="I2637" s="2670">
        <f t="shared" si="147"/>
        <v>0</v>
      </c>
      <c r="J2637" s="1069"/>
      <c r="K2637" s="1069"/>
      <c r="L2637" s="1069"/>
      <c r="M2637" s="934">
        <v>1250</v>
      </c>
    </row>
    <row r="2638" spans="1:13" s="1016" customFormat="1" ht="25.2" hidden="1" customHeight="1">
      <c r="A2638" s="1086">
        <f t="shared" si="149"/>
        <v>0</v>
      </c>
      <c r="B2638" s="1087" t="s">
        <v>566</v>
      </c>
      <c r="C2638" s="2842"/>
      <c r="D2638" s="2767"/>
      <c r="E2638" s="2758"/>
      <c r="F2638" s="2768" t="s">
        <v>5072</v>
      </c>
      <c r="G2638" s="2758" t="s">
        <v>2439</v>
      </c>
      <c r="H2638" s="2769">
        <f>H2637</f>
        <v>0</v>
      </c>
      <c r="I2638" s="2670">
        <f t="shared" si="147"/>
        <v>0</v>
      </c>
      <c r="J2638" s="1069"/>
      <c r="K2638" s="1069"/>
      <c r="L2638" s="1069"/>
      <c r="M2638" s="934">
        <v>1250</v>
      </c>
    </row>
    <row r="2639" spans="1:13" s="1016" customFormat="1" ht="25.2" hidden="1" customHeight="1">
      <c r="A2639" s="1086">
        <f t="shared" si="149"/>
        <v>0</v>
      </c>
      <c r="B2639" s="1087" t="s">
        <v>639</v>
      </c>
      <c r="C2639" s="2842"/>
      <c r="D2639" s="2767"/>
      <c r="E2639" s="2758" t="s">
        <v>1747</v>
      </c>
      <c r="F2639" s="2768" t="s">
        <v>5324</v>
      </c>
      <c r="G2639" s="2758" t="s">
        <v>856</v>
      </c>
      <c r="H2639" s="2769">
        <f>1.48*H2637</f>
        <v>0</v>
      </c>
      <c r="I2639" s="2670">
        <f t="shared" si="147"/>
        <v>0</v>
      </c>
      <c r="J2639" s="1069"/>
      <c r="K2639" s="1069"/>
      <c r="L2639" s="1069"/>
      <c r="M2639" s="934">
        <v>1250</v>
      </c>
    </row>
    <row r="2640" spans="1:13" s="1016" customFormat="1" ht="25.2" hidden="1" customHeight="1">
      <c r="A2640" s="1086">
        <f t="shared" si="149"/>
        <v>0</v>
      </c>
      <c r="B2640" s="1087" t="s">
        <v>21</v>
      </c>
      <c r="C2640" s="2842"/>
      <c r="D2640" s="2767"/>
      <c r="E2640" s="2758" t="s">
        <v>5325</v>
      </c>
      <c r="F2640" s="2768" t="s">
        <v>5326</v>
      </c>
      <c r="G2640" s="2758" t="s">
        <v>856</v>
      </c>
      <c r="H2640" s="2769">
        <f>1.39*H2636</f>
        <v>0</v>
      </c>
      <c r="I2640" s="2670">
        <f t="shared" si="147"/>
        <v>0</v>
      </c>
      <c r="J2640" s="1069"/>
      <c r="K2640" s="1069"/>
      <c r="L2640" s="1069"/>
      <c r="M2640" s="934">
        <v>1250</v>
      </c>
    </row>
    <row r="2641" spans="1:13" s="1016" customFormat="1" ht="25.2" hidden="1" customHeight="1">
      <c r="A2641" s="1086">
        <f t="shared" si="149"/>
        <v>0</v>
      </c>
      <c r="B2641" s="1087" t="s">
        <v>6414</v>
      </c>
      <c r="C2641" s="2842"/>
      <c r="D2641" s="2772">
        <f>IF(H2641&gt;0,D2636+1,D2636)</f>
        <v>1</v>
      </c>
      <c r="E2641" s="2773"/>
      <c r="F2641" s="2774" t="s">
        <v>6237</v>
      </c>
      <c r="G2641" s="2775" t="s">
        <v>2385</v>
      </c>
      <c r="H2641" s="2776">
        <f>+H2605*1</f>
        <v>1</v>
      </c>
      <c r="I2641" s="2670">
        <f t="shared" si="147"/>
        <v>1</v>
      </c>
      <c r="J2641" s="1069"/>
      <c r="K2641" s="1069"/>
      <c r="L2641" s="1069"/>
      <c r="M2641" s="934">
        <v>1250</v>
      </c>
    </row>
    <row r="2642" spans="1:13" s="1016" customFormat="1" ht="25.2" hidden="1" customHeight="1">
      <c r="A2642" s="1086">
        <f t="shared" si="149"/>
        <v>0</v>
      </c>
      <c r="B2642" s="1087"/>
      <c r="C2642" s="2842"/>
      <c r="D2642" s="2762"/>
      <c r="E2642" s="2777"/>
      <c r="F2642" s="2778" t="s">
        <v>6133</v>
      </c>
      <c r="G2642" s="2757"/>
      <c r="H2642" s="2760"/>
      <c r="I2642" s="2670">
        <f t="shared" si="147"/>
        <v>0</v>
      </c>
      <c r="J2642" s="1069"/>
      <c r="K2642" s="1069"/>
      <c r="L2642" s="1069"/>
      <c r="M2642" s="934">
        <v>1250</v>
      </c>
    </row>
    <row r="2643" spans="1:13" s="1016" customFormat="1" ht="25.2" hidden="1" customHeight="1">
      <c r="A2643" s="1086">
        <f t="shared" si="149"/>
        <v>0</v>
      </c>
      <c r="B2643" s="1087" t="s">
        <v>4328</v>
      </c>
      <c r="C2643" s="2842"/>
      <c r="D2643" s="2762"/>
      <c r="E2643" s="2758">
        <v>0</v>
      </c>
      <c r="F2643" s="2759" t="str">
        <f t="shared" ref="F2643:F2648" si="150">VLOOKUP(B2643,DonGia,3,0)</f>
        <v>Xà composite 110x800x5 dài 2,4m</v>
      </c>
      <c r="G2643" s="2758" t="str">
        <f t="shared" ref="G2643:G2648" si="151">VLOOKUP(B2643,DonGia,4,0)</f>
        <v>cái</v>
      </c>
      <c r="H2643" s="2760">
        <f>+H2641*1</f>
        <v>1</v>
      </c>
      <c r="I2643" s="2670">
        <f t="shared" si="147"/>
        <v>1</v>
      </c>
      <c r="J2643" s="1069"/>
      <c r="K2643" s="1069"/>
      <c r="L2643" s="1069"/>
      <c r="M2643" s="934">
        <v>1250</v>
      </c>
    </row>
    <row r="2644" spans="1:13" s="1016" customFormat="1" ht="25.2" hidden="1" customHeight="1">
      <c r="A2644" s="1086">
        <f t="shared" si="149"/>
        <v>0</v>
      </c>
      <c r="B2644" s="1087" t="s">
        <v>365</v>
      </c>
      <c r="C2644" s="2842"/>
      <c r="D2644" s="2762"/>
      <c r="E2644" s="2758">
        <v>0</v>
      </c>
      <c r="F2644" s="2759" t="str">
        <f t="shared" si="150"/>
        <v>Chống composite 40x10x920</v>
      </c>
      <c r="G2644" s="2758" t="str">
        <f t="shared" si="151"/>
        <v>cái</v>
      </c>
      <c r="H2644" s="2760">
        <f>H2643*2</f>
        <v>2</v>
      </c>
      <c r="I2644" s="2670">
        <f t="shared" si="147"/>
        <v>2</v>
      </c>
      <c r="J2644" s="1069"/>
      <c r="K2644" s="1069"/>
      <c r="L2644" s="1069"/>
      <c r="M2644" s="934">
        <v>1250</v>
      </c>
    </row>
    <row r="2645" spans="1:13" s="1016" customFormat="1" ht="25.2" hidden="1" customHeight="1">
      <c r="A2645" s="1086">
        <f t="shared" si="149"/>
        <v>0</v>
      </c>
      <c r="B2645" s="1087" t="s">
        <v>488</v>
      </c>
      <c r="C2645" s="2842"/>
      <c r="D2645" s="2762"/>
      <c r="E2645" s="2758">
        <v>0</v>
      </c>
      <c r="F2645" s="2759" t="str">
        <f t="shared" si="150"/>
        <v>Bass LL bắt FCO, LA</v>
      </c>
      <c r="G2645" s="2758" t="str">
        <f t="shared" si="151"/>
        <v>bộ</v>
      </c>
      <c r="H2645" s="2760">
        <f>+H2641*3</f>
        <v>3</v>
      </c>
      <c r="I2645" s="2670">
        <f t="shared" si="147"/>
        <v>3</v>
      </c>
      <c r="J2645" s="1069"/>
      <c r="K2645" s="1069"/>
      <c r="L2645" s="1069"/>
      <c r="M2645" s="934">
        <v>1250</v>
      </c>
    </row>
    <row r="2646" spans="1:13" s="1016" customFormat="1" ht="25.2" hidden="1" customHeight="1">
      <c r="A2646" s="1086">
        <f t="shared" si="149"/>
        <v>0</v>
      </c>
      <c r="B2646" s="1087" t="s">
        <v>1079</v>
      </c>
      <c r="C2646" s="2842"/>
      <c r="D2646" s="2762"/>
      <c r="E2646" s="2758">
        <v>0</v>
      </c>
      <c r="F2646" s="2759" t="str">
        <f t="shared" si="150"/>
        <v>Boulon 16x350+ 2 long đền vuông D18-50x50x3/Zn</v>
      </c>
      <c r="G2646" s="2758" t="str">
        <f t="shared" si="151"/>
        <v>bộ</v>
      </c>
      <c r="H2646" s="2760">
        <f>+H2641*2</f>
        <v>2</v>
      </c>
      <c r="I2646" s="2670">
        <f t="shared" si="147"/>
        <v>2</v>
      </c>
      <c r="J2646" s="1069"/>
      <c r="K2646" s="1069"/>
      <c r="L2646" s="1069"/>
      <c r="M2646" s="934">
        <v>1250</v>
      </c>
    </row>
    <row r="2647" spans="1:13" s="1016" customFormat="1" ht="25.2" hidden="1" customHeight="1">
      <c r="A2647" s="1086">
        <f t="shared" si="149"/>
        <v>0</v>
      </c>
      <c r="B2647" s="1087" t="s">
        <v>244</v>
      </c>
      <c r="C2647" s="2842"/>
      <c r="D2647" s="2762"/>
      <c r="E2647" s="2758">
        <v>0</v>
      </c>
      <c r="F2647" s="2759" t="str">
        <f t="shared" si="150"/>
        <v>Boulon 16x150+ 2 long đền vuông D18-50x50x3/Zn</v>
      </c>
      <c r="G2647" s="2758" t="str">
        <f t="shared" si="151"/>
        <v>bộ</v>
      </c>
      <c r="H2647" s="2760">
        <f>+H2641*2</f>
        <v>2</v>
      </c>
      <c r="I2647" s="2670">
        <f t="shared" si="147"/>
        <v>2</v>
      </c>
      <c r="J2647" s="1069"/>
      <c r="K2647" s="1069"/>
      <c r="L2647" s="1069"/>
      <c r="M2647" s="934">
        <v>1250</v>
      </c>
    </row>
    <row r="2648" spans="1:13" s="1016" customFormat="1" ht="25.2" hidden="1" customHeight="1">
      <c r="A2648" s="1086">
        <f t="shared" si="149"/>
        <v>0</v>
      </c>
      <c r="B2648" s="1087" t="s">
        <v>2242</v>
      </c>
      <c r="C2648" s="2842"/>
      <c r="D2648" s="2762"/>
      <c r="E2648" s="2758" t="s">
        <v>5444</v>
      </c>
      <c r="F2648" s="2759" t="str">
        <f t="shared" si="150"/>
        <v>Lắp xà cột Pi loại ≤140kg/xà</v>
      </c>
      <c r="G2648" s="2758" t="str">
        <f t="shared" si="151"/>
        <v>bộ</v>
      </c>
      <c r="H2648" s="2760">
        <f>+H2641</f>
        <v>1</v>
      </c>
      <c r="I2648" s="2670">
        <f t="shared" si="147"/>
        <v>1</v>
      </c>
      <c r="J2648" s="1069"/>
      <c r="K2648" s="1069"/>
      <c r="L2648" s="1069"/>
      <c r="M2648" s="934">
        <v>1250</v>
      </c>
    </row>
    <row r="2649" spans="1:13" s="1016" customFormat="1" ht="25.2" hidden="1" customHeight="1">
      <c r="A2649" s="1086">
        <f t="shared" si="149"/>
        <v>0</v>
      </c>
      <c r="B2649" s="1087" t="s">
        <v>6415</v>
      </c>
      <c r="C2649" s="2842"/>
      <c r="D2649" s="2772">
        <f>IF(H2649&gt;0,D2641+1,D2641)</f>
        <v>2</v>
      </c>
      <c r="E2649" s="2773"/>
      <c r="F2649" s="2774" t="s">
        <v>6276</v>
      </c>
      <c r="G2649" s="2775" t="s">
        <v>2385</v>
      </c>
      <c r="H2649" s="2776">
        <v>2</v>
      </c>
      <c r="I2649" s="2670">
        <f t="shared" si="147"/>
        <v>2</v>
      </c>
      <c r="J2649" s="1069"/>
      <c r="K2649" s="1069"/>
      <c r="L2649" s="1069"/>
      <c r="M2649" s="934">
        <v>1250</v>
      </c>
    </row>
    <row r="2650" spans="1:13" s="1016" customFormat="1" ht="25.2" hidden="1" customHeight="1">
      <c r="A2650" s="1086">
        <f t="shared" si="149"/>
        <v>0</v>
      </c>
      <c r="B2650" s="1087"/>
      <c r="C2650" s="2842"/>
      <c r="D2650" s="2762"/>
      <c r="E2650" s="2777"/>
      <c r="F2650" s="2778" t="s">
        <v>6133</v>
      </c>
      <c r="G2650" s="2757"/>
      <c r="H2650" s="2760"/>
      <c r="I2650" s="2670">
        <f t="shared" si="147"/>
        <v>0</v>
      </c>
      <c r="J2650" s="1069"/>
      <c r="K2650" s="1069"/>
      <c r="L2650" s="1069"/>
      <c r="M2650" s="934">
        <v>1250</v>
      </c>
    </row>
    <row r="2651" spans="1:13" s="1016" customFormat="1" ht="25.2" hidden="1" customHeight="1">
      <c r="A2651" s="1086">
        <f t="shared" si="149"/>
        <v>0</v>
      </c>
      <c r="B2651" s="1087" t="s">
        <v>6409</v>
      </c>
      <c r="C2651" s="2842"/>
      <c r="D2651" s="2762"/>
      <c r="E2651" s="2758">
        <v>0</v>
      </c>
      <c r="F2651" s="2759" t="str">
        <f t="shared" ref="F2651:F2656" si="152">VLOOKUP(B2651,DonGia,3,0)</f>
        <v>Sắt góc L75 x75 x8 x2400</v>
      </c>
      <c r="G2651" s="2758" t="str">
        <f t="shared" ref="G2651:G2656" si="153">VLOOKUP(B2651,DonGia,4,0)</f>
        <v>cái</v>
      </c>
      <c r="H2651" s="2760">
        <v>2</v>
      </c>
      <c r="I2651" s="2670">
        <f t="shared" si="147"/>
        <v>2</v>
      </c>
      <c r="J2651" s="1069"/>
      <c r="K2651" s="1069"/>
      <c r="L2651" s="1069"/>
      <c r="M2651" s="934">
        <v>1250</v>
      </c>
    </row>
    <row r="2652" spans="1:13" s="1016" customFormat="1" ht="25.2" hidden="1" customHeight="1">
      <c r="A2652" s="1086">
        <f t="shared" si="149"/>
        <v>0</v>
      </c>
      <c r="B2652" s="1087" t="s">
        <v>6408</v>
      </c>
      <c r="C2652" s="2842"/>
      <c r="D2652" s="2762"/>
      <c r="E2652" s="2758">
        <v>0</v>
      </c>
      <c r="F2652" s="2759" t="str">
        <f t="shared" si="152"/>
        <v>Sắt góc L50 x50 x5 - 810</v>
      </c>
      <c r="G2652" s="2758" t="str">
        <f t="shared" si="153"/>
        <v>cái</v>
      </c>
      <c r="H2652" s="2760">
        <v>2</v>
      </c>
      <c r="I2652" s="2670">
        <f t="shared" si="147"/>
        <v>2</v>
      </c>
      <c r="J2652" s="1069"/>
      <c r="K2652" s="1069"/>
      <c r="L2652" s="1069"/>
      <c r="M2652" s="934">
        <v>1250</v>
      </c>
    </row>
    <row r="2653" spans="1:13" s="1016" customFormat="1" ht="25.2" hidden="1" customHeight="1">
      <c r="A2653" s="1086">
        <f t="shared" si="149"/>
        <v>0</v>
      </c>
      <c r="B2653" s="1087" t="s">
        <v>1610</v>
      </c>
      <c r="C2653" s="2842"/>
      <c r="D2653" s="2762"/>
      <c r="E2653" s="2758">
        <v>0</v>
      </c>
      <c r="F2653" s="2759" t="str">
        <f t="shared" si="152"/>
        <v>Boulon 16x300+ 2 long đền vuông D18-50x50x3/Zn</v>
      </c>
      <c r="G2653" s="2758" t="str">
        <f t="shared" si="153"/>
        <v>bộ</v>
      </c>
      <c r="H2653" s="2760">
        <f>H2649*2</f>
        <v>4</v>
      </c>
      <c r="I2653" s="2670">
        <f t="shared" si="147"/>
        <v>4</v>
      </c>
      <c r="J2653" s="1069"/>
      <c r="K2653" s="1069"/>
      <c r="L2653" s="1069"/>
      <c r="M2653" s="934">
        <v>1250</v>
      </c>
    </row>
    <row r="2654" spans="1:13" s="1016" customFormat="1" ht="25.2" hidden="1" customHeight="1">
      <c r="A2654" s="1086">
        <f t="shared" si="149"/>
        <v>0</v>
      </c>
      <c r="B2654" s="1087" t="s">
        <v>1786</v>
      </c>
      <c r="C2654" s="2842"/>
      <c r="D2654" s="2762"/>
      <c r="E2654" s="2758">
        <v>0</v>
      </c>
      <c r="F2654" s="2759" t="str">
        <f t="shared" si="152"/>
        <v>Boulon 16x50+ 2 long đền vuông D18-50x50x3/Zn</v>
      </c>
      <c r="G2654" s="2758" t="str">
        <f t="shared" si="153"/>
        <v>bộ</v>
      </c>
      <c r="H2654" s="2760">
        <f>H2649*4</f>
        <v>8</v>
      </c>
      <c r="I2654" s="2670">
        <f t="shared" si="147"/>
        <v>8</v>
      </c>
      <c r="J2654" s="1069"/>
      <c r="K2654" s="1069"/>
      <c r="L2654" s="1069"/>
      <c r="M2654" s="934">
        <v>1250</v>
      </c>
    </row>
    <row r="2655" spans="1:13" s="1016" customFormat="1" ht="25.2" hidden="1" customHeight="1">
      <c r="A2655" s="1086">
        <f t="shared" si="149"/>
        <v>0</v>
      </c>
      <c r="B2655" s="1087" t="s">
        <v>1784</v>
      </c>
      <c r="C2655" s="2842"/>
      <c r="D2655" s="2762"/>
      <c r="E2655" s="2758">
        <v>0</v>
      </c>
      <c r="F2655" s="2759" t="str">
        <f t="shared" si="152"/>
        <v>Boulon 16x300VRS+ 4 long đền vuông D18-50x50x3/Zn</v>
      </c>
      <c r="G2655" s="2758" t="str">
        <f t="shared" si="153"/>
        <v>bộ</v>
      </c>
      <c r="H2655" s="2760">
        <f>H2649*4</f>
        <v>8</v>
      </c>
      <c r="I2655" s="2670">
        <f t="shared" si="147"/>
        <v>8</v>
      </c>
      <c r="J2655" s="1069"/>
      <c r="K2655" s="1069"/>
      <c r="L2655" s="1069"/>
      <c r="M2655" s="934">
        <v>1250</v>
      </c>
    </row>
    <row r="2656" spans="1:13" s="1016" customFormat="1" ht="25.2" hidden="1" customHeight="1">
      <c r="A2656" s="1086">
        <f t="shared" si="149"/>
        <v>0</v>
      </c>
      <c r="B2656" s="1087" t="s">
        <v>517</v>
      </c>
      <c r="C2656" s="2842"/>
      <c r="D2656" s="2762"/>
      <c r="E2656" s="2758" t="s">
        <v>5430</v>
      </c>
      <c r="F2656" s="2759" t="str">
        <f t="shared" si="152"/>
        <v>Lắp xà néo ≤ 100kg</v>
      </c>
      <c r="G2656" s="2758" t="str">
        <f t="shared" si="153"/>
        <v>bộ</v>
      </c>
      <c r="H2656" s="2760">
        <f>H2649</f>
        <v>2</v>
      </c>
      <c r="I2656" s="2670">
        <f t="shared" si="147"/>
        <v>2</v>
      </c>
      <c r="J2656" s="1069"/>
      <c r="K2656" s="1069"/>
      <c r="L2656" s="1069"/>
      <c r="M2656" s="934">
        <v>1250</v>
      </c>
    </row>
    <row r="2657" spans="1:13" s="1016" customFormat="1" ht="25.2" hidden="1" customHeight="1">
      <c r="A2657" s="1086">
        <f t="shared" si="149"/>
        <v>0</v>
      </c>
      <c r="B2657" s="1087" t="s">
        <v>6416</v>
      </c>
      <c r="C2657" s="2842"/>
      <c r="D2657" s="2772">
        <f>IF(H2657&gt;0,D2649+1,D2649)</f>
        <v>3</v>
      </c>
      <c r="E2657" s="2773"/>
      <c r="F2657" s="2774" t="s">
        <v>6277</v>
      </c>
      <c r="G2657" s="2775" t="s">
        <v>2385</v>
      </c>
      <c r="H2657" s="2776">
        <f>H2605*1</f>
        <v>1</v>
      </c>
      <c r="I2657" s="2670">
        <f t="shared" si="147"/>
        <v>1</v>
      </c>
      <c r="J2657" s="1069"/>
      <c r="K2657" s="1069"/>
      <c r="L2657" s="1069"/>
      <c r="M2657" s="934">
        <v>1250</v>
      </c>
    </row>
    <row r="2658" spans="1:13" s="1016" customFormat="1" ht="25.2" hidden="1" customHeight="1">
      <c r="A2658" s="1086">
        <f t="shared" si="149"/>
        <v>0</v>
      </c>
      <c r="B2658" s="1087"/>
      <c r="C2658" s="2842"/>
      <c r="D2658" s="2762"/>
      <c r="E2658" s="2777"/>
      <c r="F2658" s="2778" t="s">
        <v>6133</v>
      </c>
      <c r="G2658" s="2757"/>
      <c r="H2658" s="2760"/>
      <c r="I2658" s="2670">
        <f t="shared" si="147"/>
        <v>0</v>
      </c>
      <c r="J2658" s="1069"/>
      <c r="K2658" s="1069"/>
      <c r="L2658" s="1069"/>
      <c r="M2658" s="934">
        <v>1250</v>
      </c>
    </row>
    <row r="2659" spans="1:13" s="1016" customFormat="1" ht="25.2" hidden="1" customHeight="1">
      <c r="A2659" s="1086">
        <f t="shared" si="149"/>
        <v>0</v>
      </c>
      <c r="B2659" s="1087" t="s">
        <v>6407</v>
      </c>
      <c r="C2659" s="2842"/>
      <c r="D2659" s="2762"/>
      <c r="E2659" s="2758">
        <v>0</v>
      </c>
      <c r="F2659" s="2759" t="str">
        <f>VLOOKUP(B2659,DonGia,3,0)</f>
        <v>Sắt góc L75 x75 x8 x2200</v>
      </c>
      <c r="G2659" s="2758" t="str">
        <f>VLOOKUP(B2659,DonGia,4,0)</f>
        <v>cái</v>
      </c>
      <c r="H2659" s="2760">
        <v>1</v>
      </c>
      <c r="I2659" s="2670">
        <f t="shared" si="147"/>
        <v>1</v>
      </c>
      <c r="J2659" s="1069"/>
      <c r="K2659" s="1069"/>
      <c r="L2659" s="1069"/>
      <c r="M2659" s="934">
        <v>1250</v>
      </c>
    </row>
    <row r="2660" spans="1:13" s="1016" customFormat="1" ht="25.2" hidden="1" customHeight="1">
      <c r="A2660" s="1086">
        <f t="shared" si="149"/>
        <v>0</v>
      </c>
      <c r="B2660" s="1087" t="s">
        <v>6408</v>
      </c>
      <c r="C2660" s="2842"/>
      <c r="D2660" s="2762"/>
      <c r="E2660" s="2758">
        <v>0</v>
      </c>
      <c r="F2660" s="2759" t="str">
        <f>VLOOKUP(B2660,DonGia,3,0)</f>
        <v>Sắt góc L50 x50 x5 - 810</v>
      </c>
      <c r="G2660" s="2758" t="str">
        <f>VLOOKUP(B2660,DonGia,4,0)</f>
        <v>cái</v>
      </c>
      <c r="H2660" s="2760">
        <v>2</v>
      </c>
      <c r="I2660" s="2670">
        <f t="shared" si="147"/>
        <v>2</v>
      </c>
      <c r="J2660" s="1069"/>
      <c r="K2660" s="1069"/>
      <c r="L2660" s="1069"/>
      <c r="M2660" s="934">
        <v>1250</v>
      </c>
    </row>
    <row r="2661" spans="1:13" s="1016" customFormat="1" ht="25.2" hidden="1" customHeight="1">
      <c r="A2661" s="1086">
        <f t="shared" si="149"/>
        <v>0</v>
      </c>
      <c r="B2661" s="1087" t="s">
        <v>1079</v>
      </c>
      <c r="C2661" s="2842"/>
      <c r="D2661" s="2762"/>
      <c r="E2661" s="2758">
        <v>0</v>
      </c>
      <c r="F2661" s="2759" t="str">
        <f>VLOOKUP(B2661,DonGia,3,0)</f>
        <v>Boulon 16x350+ 2 long đền vuông D18-50x50x3/Zn</v>
      </c>
      <c r="G2661" s="2758" t="str">
        <f>VLOOKUP(B2661,DonGia,4,0)</f>
        <v>bộ</v>
      </c>
      <c r="H2661" s="2760">
        <f>H2657*2</f>
        <v>2</v>
      </c>
      <c r="I2661" s="2670">
        <f t="shared" si="147"/>
        <v>2</v>
      </c>
      <c r="J2661" s="1069"/>
      <c r="K2661" s="1069"/>
      <c r="L2661" s="1069"/>
      <c r="M2661" s="934">
        <v>1250</v>
      </c>
    </row>
    <row r="2662" spans="1:13" s="1016" customFormat="1" ht="25.2" hidden="1" customHeight="1">
      <c r="A2662" s="1086">
        <f t="shared" si="149"/>
        <v>0</v>
      </c>
      <c r="B2662" s="1087" t="s">
        <v>1786</v>
      </c>
      <c r="C2662" s="2842"/>
      <c r="D2662" s="2762"/>
      <c r="E2662" s="2758">
        <v>0</v>
      </c>
      <c r="F2662" s="2759" t="str">
        <f>VLOOKUP(B2662,DonGia,3,0)</f>
        <v>Boulon 16x50+ 2 long đền vuông D18-50x50x3/Zn</v>
      </c>
      <c r="G2662" s="2758" t="str">
        <f>VLOOKUP(B2662,DonGia,4,0)</f>
        <v>bộ</v>
      </c>
      <c r="H2662" s="2760">
        <f>H2657*2</f>
        <v>2</v>
      </c>
      <c r="I2662" s="2670">
        <f t="shared" si="147"/>
        <v>2</v>
      </c>
      <c r="J2662" s="1069"/>
      <c r="K2662" s="1069"/>
      <c r="L2662" s="1069"/>
      <c r="M2662" s="934">
        <v>1250</v>
      </c>
    </row>
    <row r="2663" spans="1:13" s="1016" customFormat="1" ht="25.2" hidden="1" customHeight="1">
      <c r="A2663" s="1086">
        <f t="shared" si="149"/>
        <v>0</v>
      </c>
      <c r="B2663" s="1087" t="s">
        <v>1735</v>
      </c>
      <c r="C2663" s="2842"/>
      <c r="D2663" s="2762"/>
      <c r="E2663" s="2758">
        <v>0</v>
      </c>
      <c r="F2663" s="2759" t="s">
        <v>2691</v>
      </c>
      <c r="G2663" s="2758" t="s">
        <v>2385</v>
      </c>
      <c r="H2663" s="2760"/>
      <c r="I2663" s="2670">
        <f t="shared" si="147"/>
        <v>0</v>
      </c>
      <c r="J2663" s="1069"/>
      <c r="K2663" s="1069"/>
      <c r="L2663" s="1069"/>
      <c r="M2663" s="934">
        <v>1250</v>
      </c>
    </row>
    <row r="2664" spans="1:13" s="1016" customFormat="1" ht="25.2" hidden="1" customHeight="1">
      <c r="A2664" s="1086">
        <f t="shared" si="149"/>
        <v>0</v>
      </c>
      <c r="B2664" s="1087" t="s">
        <v>988</v>
      </c>
      <c r="C2664" s="2842"/>
      <c r="D2664" s="2762"/>
      <c r="E2664" s="2758">
        <v>0</v>
      </c>
      <c r="F2664" s="2759" t="s">
        <v>5270</v>
      </c>
      <c r="G2664" s="2758" t="s">
        <v>2385</v>
      </c>
      <c r="H2664" s="2760"/>
      <c r="I2664" s="2670">
        <f t="shared" si="147"/>
        <v>0</v>
      </c>
      <c r="J2664" s="1069"/>
      <c r="K2664" s="1069"/>
      <c r="L2664" s="1069"/>
      <c r="M2664" s="934">
        <v>1250</v>
      </c>
    </row>
    <row r="2665" spans="1:13" s="1016" customFormat="1" ht="25.2" hidden="1" customHeight="1">
      <c r="A2665" s="1086">
        <f t="shared" si="149"/>
        <v>0</v>
      </c>
      <c r="B2665" s="1087" t="s">
        <v>1440</v>
      </c>
      <c r="C2665" s="2842"/>
      <c r="D2665" s="2762"/>
      <c r="E2665" s="2758" t="s">
        <v>5421</v>
      </c>
      <c r="F2665" s="2759" t="str">
        <f>VLOOKUP(B2665,DonGia,3,0)</f>
        <v>Lắp xà đỡ ≤ 50kg</v>
      </c>
      <c r="G2665" s="2758" t="str">
        <f>VLOOKUP(B2665,DonGia,4,0)</f>
        <v>bộ</v>
      </c>
      <c r="H2665" s="2760">
        <f>H2657</f>
        <v>1</v>
      </c>
      <c r="I2665" s="2670">
        <f t="shared" si="147"/>
        <v>1</v>
      </c>
      <c r="J2665" s="1069"/>
      <c r="K2665" s="1069"/>
      <c r="L2665" s="1069"/>
      <c r="M2665" s="934">
        <v>1250</v>
      </c>
    </row>
    <row r="2666" spans="1:13" s="1016" customFormat="1" ht="25.2" hidden="1" customHeight="1">
      <c r="A2666" s="1086">
        <f t="shared" si="149"/>
        <v>0</v>
      </c>
      <c r="B2666" s="1087"/>
      <c r="C2666" s="2842"/>
      <c r="D2666" s="2772">
        <f>IF(H2666&gt;0,D2657+1,D2657)</f>
        <v>4</v>
      </c>
      <c r="E2666" s="2773"/>
      <c r="F2666" s="2774" t="s">
        <v>3720</v>
      </c>
      <c r="G2666" s="2775" t="s">
        <v>2385</v>
      </c>
      <c r="H2666" s="2776">
        <f>H2605</f>
        <v>1</v>
      </c>
      <c r="I2666" s="2670">
        <f t="shared" si="147"/>
        <v>1</v>
      </c>
      <c r="J2666" s="1069"/>
      <c r="K2666" s="1069"/>
      <c r="L2666" s="1069"/>
      <c r="M2666" s="934">
        <v>1250</v>
      </c>
    </row>
    <row r="2667" spans="1:13" s="1016" customFormat="1" ht="25.2" hidden="1" customHeight="1">
      <c r="A2667" s="1086">
        <f t="shared" si="149"/>
        <v>0</v>
      </c>
      <c r="B2667" s="1087"/>
      <c r="C2667" s="2842"/>
      <c r="D2667" s="2762"/>
      <c r="E2667" s="2777"/>
      <c r="F2667" s="2778" t="s">
        <v>6133</v>
      </c>
      <c r="G2667" s="2757"/>
      <c r="H2667" s="2760"/>
      <c r="I2667" s="2670">
        <f t="shared" si="147"/>
        <v>0</v>
      </c>
      <c r="J2667" s="1069"/>
      <c r="K2667" s="1069"/>
      <c r="L2667" s="1069"/>
      <c r="M2667" s="934">
        <v>1250</v>
      </c>
    </row>
    <row r="2668" spans="1:13" s="1016" customFormat="1" ht="25.2" hidden="1" customHeight="1">
      <c r="A2668" s="1086">
        <f t="shared" si="149"/>
        <v>0</v>
      </c>
      <c r="B2668" s="1087" t="s">
        <v>1033</v>
      </c>
      <c r="C2668" s="2874">
        <f>$I$3*0.224*C2666</f>
        <v>0</v>
      </c>
      <c r="D2668" s="2762"/>
      <c r="E2668" s="2758">
        <v>0</v>
      </c>
      <c r="F2668" s="2759" t="s">
        <v>2700</v>
      </c>
      <c r="G2668" s="2758" t="s">
        <v>2248</v>
      </c>
      <c r="H2668" s="2779">
        <v>11.87</v>
      </c>
      <c r="I2668" s="2673">
        <f t="shared" si="147"/>
        <v>11.87</v>
      </c>
      <c r="J2668" s="1069"/>
      <c r="K2668" s="1069"/>
      <c r="L2668" s="1069"/>
      <c r="M2668" s="934">
        <v>1250</v>
      </c>
    </row>
    <row r="2669" spans="1:13" s="1016" customFormat="1" ht="25.2" hidden="1" customHeight="1">
      <c r="A2669" s="1086">
        <f t="shared" si="149"/>
        <v>0</v>
      </c>
      <c r="B2669" s="1087" t="s">
        <v>1508</v>
      </c>
      <c r="C2669" s="2842"/>
      <c r="D2669" s="2762"/>
      <c r="E2669" s="2758">
        <v>0</v>
      </c>
      <c r="F2669" s="2759" t="s">
        <v>5163</v>
      </c>
      <c r="G2669" s="2758" t="s">
        <v>2439</v>
      </c>
      <c r="H2669" s="2760">
        <f>($I$2+H2674)*H2666</f>
        <v>9</v>
      </c>
      <c r="I2669" s="2670">
        <f t="shared" si="147"/>
        <v>9</v>
      </c>
      <c r="J2669" s="1069"/>
      <c r="K2669" s="1069"/>
      <c r="L2669" s="1069"/>
      <c r="M2669" s="934">
        <v>1250</v>
      </c>
    </row>
    <row r="2670" spans="1:13" s="1016" customFormat="1" ht="25.2" hidden="1" customHeight="1">
      <c r="A2670" s="1086">
        <f t="shared" si="149"/>
        <v>0</v>
      </c>
      <c r="B2670" s="1087" t="s">
        <v>1490</v>
      </c>
      <c r="C2670" s="2842"/>
      <c r="D2670" s="2762"/>
      <c r="E2670" s="2758">
        <v>0</v>
      </c>
      <c r="F2670" s="2759" t="s">
        <v>3536</v>
      </c>
      <c r="G2670" s="2758" t="s">
        <v>1823</v>
      </c>
      <c r="H2670" s="2760">
        <f>H2666*4*0</f>
        <v>0</v>
      </c>
      <c r="I2670" s="2670">
        <f t="shared" ref="I2670:I2733" si="154">H2670</f>
        <v>0</v>
      </c>
      <c r="J2670" s="1069"/>
      <c r="K2670" s="1069"/>
      <c r="L2670" s="1069"/>
      <c r="M2670" s="934">
        <v>1250</v>
      </c>
    </row>
    <row r="2671" spans="1:13" s="1016" customFormat="1" ht="25.2" hidden="1" customHeight="1">
      <c r="A2671" s="1086">
        <f t="shared" si="149"/>
        <v>0</v>
      </c>
      <c r="B2671" s="1087" t="s">
        <v>1579</v>
      </c>
      <c r="C2671" s="2842"/>
      <c r="D2671" s="2762"/>
      <c r="E2671" s="2758">
        <v>0</v>
      </c>
      <c r="F2671" s="2759" t="str">
        <f>VLOOKUP(B2671,DonGia,3,0)</f>
        <v>Kẹp ép WR cỡ dây 50mm2</v>
      </c>
      <c r="G2671" s="2758" t="s">
        <v>2555</v>
      </c>
      <c r="H2671" s="2760">
        <f>2*H2666</f>
        <v>2</v>
      </c>
      <c r="I2671" s="2670">
        <f t="shared" si="154"/>
        <v>2</v>
      </c>
      <c r="J2671" s="1069"/>
      <c r="K2671" s="1069"/>
      <c r="L2671" s="1069"/>
      <c r="M2671" s="934">
        <v>1250</v>
      </c>
    </row>
    <row r="2672" spans="1:13" s="1016" customFormat="1" ht="25.2" hidden="1" customHeight="1">
      <c r="A2672" s="1086">
        <f t="shared" si="149"/>
        <v>0</v>
      </c>
      <c r="B2672" s="1087" t="s">
        <v>816</v>
      </c>
      <c r="C2672" s="2842"/>
      <c r="D2672" s="2762"/>
      <c r="E2672" s="2758">
        <v>0</v>
      </c>
      <c r="F2672" s="2759" t="str">
        <f>VLOOKUP(B2672,DonGia,3,0)</f>
        <v>Ốc siết cáp cỡ 25mm2</v>
      </c>
      <c r="G2672" s="2758" t="s">
        <v>2555</v>
      </c>
      <c r="H2672" s="2760">
        <v>8</v>
      </c>
      <c r="I2672" s="2670">
        <f t="shared" si="154"/>
        <v>8</v>
      </c>
      <c r="J2672" s="1069"/>
      <c r="K2672" s="1069"/>
      <c r="L2672" s="1069"/>
      <c r="M2672" s="934">
        <v>1250</v>
      </c>
    </row>
    <row r="2673" spans="1:13" s="1016" customFormat="1" ht="25.2" hidden="1" customHeight="1">
      <c r="A2673" s="1086">
        <f t="shared" si="149"/>
        <v>0</v>
      </c>
      <c r="B2673" s="1087" t="s">
        <v>525</v>
      </c>
      <c r="C2673" s="2842"/>
      <c r="D2673" s="2762"/>
      <c r="E2673" s="2758">
        <v>0</v>
      </c>
      <c r="F2673" s="2759" t="s">
        <v>5252</v>
      </c>
      <c r="G2673" s="2758" t="s">
        <v>2439</v>
      </c>
      <c r="H2673" s="2760">
        <f>+H2666*2*0</f>
        <v>0</v>
      </c>
      <c r="I2673" s="2670">
        <f t="shared" si="154"/>
        <v>0</v>
      </c>
      <c r="J2673" s="1069"/>
      <c r="K2673" s="1069"/>
      <c r="L2673" s="1069"/>
      <c r="M2673" s="934">
        <v>1250</v>
      </c>
    </row>
    <row r="2674" spans="1:13" s="1016" customFormat="1" ht="25.2" hidden="1" customHeight="1">
      <c r="A2674" s="1086">
        <f t="shared" si="149"/>
        <v>0</v>
      </c>
      <c r="B2674" s="1087" t="s">
        <v>1585</v>
      </c>
      <c r="C2674" s="2842"/>
      <c r="D2674" s="2762"/>
      <c r="E2674" s="2758">
        <v>0</v>
      </c>
      <c r="F2674" s="2759" t="s">
        <v>5713</v>
      </c>
      <c r="G2674" s="2758" t="s">
        <v>3445</v>
      </c>
      <c r="H2674" s="2760">
        <f>$L$3*H2666</f>
        <v>0</v>
      </c>
      <c r="I2674" s="2670">
        <f t="shared" si="154"/>
        <v>0</v>
      </c>
      <c r="J2674" s="1069"/>
      <c r="K2674" s="1069"/>
      <c r="L2674" s="1069"/>
      <c r="M2674" s="934">
        <v>1250</v>
      </c>
    </row>
    <row r="2675" spans="1:13" s="1016" customFormat="1" ht="25.2" hidden="1" customHeight="1">
      <c r="A2675" s="1086">
        <f t="shared" si="149"/>
        <v>0</v>
      </c>
      <c r="B2675" s="1087" t="s">
        <v>794</v>
      </c>
      <c r="C2675" s="2842"/>
      <c r="D2675" s="2757"/>
      <c r="E2675" s="2758" t="s">
        <v>5336</v>
      </c>
      <c r="F2675" s="2759" t="str">
        <f>VLOOKUP(B2675,DonGia,3,0)</f>
        <v>Đào rãnh tiếp địa đất cấp 3</v>
      </c>
      <c r="G2675" s="2758" t="s">
        <v>856</v>
      </c>
      <c r="H2675" s="2760">
        <f>H2666*45*0.3*0.5</f>
        <v>6.75</v>
      </c>
      <c r="I2675" s="2670">
        <f t="shared" si="154"/>
        <v>6.75</v>
      </c>
      <c r="J2675" s="1069"/>
      <c r="K2675" s="1069"/>
      <c r="L2675" s="1069"/>
      <c r="M2675" s="934">
        <v>1250</v>
      </c>
    </row>
    <row r="2676" spans="1:13" s="1016" customFormat="1" ht="25.2" hidden="1" customHeight="1">
      <c r="A2676" s="1086">
        <f t="shared" si="149"/>
        <v>0</v>
      </c>
      <c r="B2676" s="1087" t="s">
        <v>798</v>
      </c>
      <c r="C2676" s="2842"/>
      <c r="D2676" s="2757"/>
      <c r="E2676" s="2758" t="s">
        <v>5325</v>
      </c>
      <c r="F2676" s="2759" t="str">
        <f>VLOOKUP(B2676,DonGia,3,0)</f>
        <v>Đắp đất rãnh tiếp độ chặt k=0,85</v>
      </c>
      <c r="G2676" s="2758" t="s">
        <v>856</v>
      </c>
      <c r="H2676" s="2760">
        <f>H2675</f>
        <v>6.75</v>
      </c>
      <c r="I2676" s="2670">
        <f t="shared" si="154"/>
        <v>6.75</v>
      </c>
      <c r="J2676" s="1069"/>
      <c r="K2676" s="1069"/>
      <c r="L2676" s="1069"/>
      <c r="M2676" s="934">
        <v>1250</v>
      </c>
    </row>
    <row r="2677" spans="1:13" s="1016" customFormat="1" ht="25.2" hidden="1" customHeight="1">
      <c r="A2677" s="1086">
        <f t="shared" si="149"/>
        <v>0</v>
      </c>
      <c r="B2677" s="1087" t="s">
        <v>902</v>
      </c>
      <c r="C2677" s="2842"/>
      <c r="D2677" s="2757"/>
      <c r="E2677" s="2758" t="s">
        <v>5351</v>
      </c>
      <c r="F2677" s="2759" t="s">
        <v>5352</v>
      </c>
      <c r="G2677" s="2758" t="s">
        <v>2278</v>
      </c>
      <c r="H2677" s="2760">
        <f>H2669</f>
        <v>9</v>
      </c>
      <c r="I2677" s="2670">
        <f t="shared" si="154"/>
        <v>9</v>
      </c>
      <c r="J2677" s="1069"/>
      <c r="K2677" s="1069"/>
      <c r="L2677" s="1069"/>
      <c r="M2677" s="934">
        <v>1250</v>
      </c>
    </row>
    <row r="2678" spans="1:13" s="1016" customFormat="1" ht="25.2" hidden="1" customHeight="1">
      <c r="A2678" s="1086">
        <f t="shared" si="149"/>
        <v>0</v>
      </c>
      <c r="B2678" s="1087" t="s">
        <v>6278</v>
      </c>
      <c r="C2678" s="2842"/>
      <c r="D2678" s="2762"/>
      <c r="E2678" s="2758" t="s">
        <v>5345</v>
      </c>
      <c r="F2678" s="2759" t="s">
        <v>3151</v>
      </c>
      <c r="G2678" s="2758" t="s">
        <v>2248</v>
      </c>
      <c r="H2678" s="2760">
        <f>H2668</f>
        <v>11.87</v>
      </c>
      <c r="I2678" s="2670">
        <f t="shared" si="154"/>
        <v>11.87</v>
      </c>
      <c r="J2678" s="1069"/>
      <c r="K2678" s="1069"/>
      <c r="L2678" s="1069"/>
      <c r="M2678" s="934">
        <v>1250</v>
      </c>
    </row>
    <row r="2679" spans="1:13" s="1016" customFormat="1" ht="25.2" hidden="1" customHeight="1">
      <c r="A2679" s="1086">
        <f t="shared" si="149"/>
        <v>0</v>
      </c>
      <c r="B2679" s="1087"/>
      <c r="C2679" s="2842"/>
      <c r="D2679" s="2772">
        <f>IF(H2679&gt;0,D2666+1,D2666)</f>
        <v>5</v>
      </c>
      <c r="E2679" s="2773"/>
      <c r="F2679" s="2774" t="s">
        <v>6209</v>
      </c>
      <c r="G2679" s="2775" t="s">
        <v>2385</v>
      </c>
      <c r="H2679" s="2776">
        <f>H2605</f>
        <v>1</v>
      </c>
      <c r="I2679" s="2670">
        <f t="shared" si="154"/>
        <v>1</v>
      </c>
      <c r="J2679" s="1069"/>
      <c r="K2679" s="1069"/>
      <c r="L2679" s="1069"/>
      <c r="M2679" s="934">
        <v>1250</v>
      </c>
    </row>
    <row r="2680" spans="1:13" s="1016" customFormat="1" ht="25.2" hidden="1" customHeight="1">
      <c r="A2680" s="1086">
        <f t="shared" si="149"/>
        <v>0</v>
      </c>
      <c r="B2680" s="1087"/>
      <c r="C2680" s="2842"/>
      <c r="D2680" s="2762"/>
      <c r="E2680" s="2777"/>
      <c r="F2680" s="2778" t="s">
        <v>6133</v>
      </c>
      <c r="G2680" s="2757"/>
      <c r="H2680" s="2760"/>
      <c r="I2680" s="2670">
        <f t="shared" si="154"/>
        <v>0</v>
      </c>
      <c r="J2680" s="1069"/>
      <c r="K2680" s="1069"/>
      <c r="L2680" s="1069"/>
      <c r="M2680" s="934">
        <v>1250</v>
      </c>
    </row>
    <row r="2681" spans="1:13" s="1016" customFormat="1" ht="25.2" hidden="1" customHeight="1">
      <c r="A2681" s="1086">
        <f t="shared" si="149"/>
        <v>0</v>
      </c>
      <c r="B2681" s="1087" t="s">
        <v>6279</v>
      </c>
      <c r="C2681" s="2842"/>
      <c r="D2681" s="2757"/>
      <c r="E2681" s="2758" t="s">
        <v>5633</v>
      </c>
      <c r="F2681" s="2759" t="str">
        <f>VLOOKUP(B2681,DonGia,3,0)</f>
        <v>Tủ ACB + thanh cái 2000A</v>
      </c>
      <c r="G2681" s="2758" t="s">
        <v>2555</v>
      </c>
      <c r="H2681" s="2760">
        <f>H2679</f>
        <v>1</v>
      </c>
      <c r="I2681" s="2670">
        <f t="shared" si="154"/>
        <v>1</v>
      </c>
      <c r="J2681" s="1069"/>
      <c r="K2681" s="1069"/>
      <c r="L2681" s="1069"/>
      <c r="M2681" s="934">
        <v>1250</v>
      </c>
    </row>
    <row r="2682" spans="1:13" s="1016" customFormat="1" ht="25.2" hidden="1" customHeight="1">
      <c r="A2682" s="1086">
        <f t="shared" si="149"/>
        <v>0</v>
      </c>
      <c r="B2682" s="1087" t="s">
        <v>880</v>
      </c>
      <c r="C2682" s="2842"/>
      <c r="D2682" s="2762"/>
      <c r="E2682" s="2758">
        <v>0</v>
      </c>
      <c r="F2682" s="2759" t="str">
        <f>VLOOKUP(B2682,DonGia,3,0)</f>
        <v xml:space="preserve">Bakelit 550x450 dầy 10mm </v>
      </c>
      <c r="G2682" s="2758" t="s">
        <v>2555</v>
      </c>
      <c r="H2682" s="2760">
        <f>+H2679</f>
        <v>1</v>
      </c>
      <c r="I2682" s="2670">
        <f t="shared" si="154"/>
        <v>1</v>
      </c>
      <c r="J2682" s="1069"/>
      <c r="K2682" s="1069"/>
      <c r="L2682" s="1069"/>
      <c r="M2682" s="934">
        <v>1250</v>
      </c>
    </row>
    <row r="2683" spans="1:13" s="1016" customFormat="1" ht="25.2" hidden="1" customHeight="1">
      <c r="A2683" s="1086">
        <f t="shared" si="149"/>
        <v>0</v>
      </c>
      <c r="B2683" s="1087" t="s">
        <v>289</v>
      </c>
      <c r="C2683" s="2842"/>
      <c r="D2683" s="2757"/>
      <c r="E2683" s="2758">
        <v>0</v>
      </c>
      <c r="F2683" s="2759" t="str">
        <f>VLOOKUP(B2683,DonGia,3,0)</f>
        <v>Bảng tên trạm, bảng báo nguy hiểm + đinh vít</v>
      </c>
      <c r="G2683" s="2758" t="s">
        <v>2555</v>
      </c>
      <c r="H2683" s="2760">
        <f>H2679</f>
        <v>1</v>
      </c>
      <c r="I2683" s="2670">
        <f t="shared" si="154"/>
        <v>1</v>
      </c>
      <c r="J2683" s="1069"/>
      <c r="K2683" s="1069"/>
      <c r="L2683" s="1069"/>
      <c r="M2683" s="934">
        <v>1250</v>
      </c>
    </row>
    <row r="2684" spans="1:13" s="1016" customFormat="1" ht="25.2" hidden="1" customHeight="1">
      <c r="A2684" s="1086">
        <f t="shared" si="149"/>
        <v>0</v>
      </c>
      <c r="B2684" s="1087"/>
      <c r="C2684" s="2842"/>
      <c r="D2684" s="2772">
        <f>IF(H2684&gt;0,D2679+1,D2679)</f>
        <v>5</v>
      </c>
      <c r="E2684" s="2773"/>
      <c r="F2684" s="2774" t="s">
        <v>3724</v>
      </c>
      <c r="G2684" s="2775" t="s">
        <v>2532</v>
      </c>
      <c r="H2684" s="2776"/>
      <c r="I2684" s="2670">
        <f t="shared" si="154"/>
        <v>0</v>
      </c>
      <c r="J2684" s="1069"/>
      <c r="K2684" s="1069"/>
      <c r="L2684" s="1069"/>
      <c r="M2684" s="934">
        <v>1250</v>
      </c>
    </row>
    <row r="2685" spans="1:13" s="1016" customFormat="1" ht="25.2" hidden="1" customHeight="1">
      <c r="A2685" s="1086">
        <f t="shared" si="149"/>
        <v>0</v>
      </c>
      <c r="B2685" s="1087"/>
      <c r="C2685" s="2842"/>
      <c r="D2685" s="2762"/>
      <c r="E2685" s="2777"/>
      <c r="F2685" s="2778" t="s">
        <v>6133</v>
      </c>
      <c r="G2685" s="2757"/>
      <c r="H2685" s="2760"/>
      <c r="I2685" s="2670">
        <f t="shared" si="154"/>
        <v>0</v>
      </c>
      <c r="J2685" s="1069"/>
      <c r="K2685" s="1069"/>
      <c r="L2685" s="1069"/>
      <c r="M2685" s="934">
        <v>1250</v>
      </c>
    </row>
    <row r="2686" spans="1:13" s="1016" customFormat="1" ht="25.2" hidden="1" customHeight="1">
      <c r="A2686" s="1086">
        <f t="shared" si="149"/>
        <v>0</v>
      </c>
      <c r="B2686" s="1087" t="s">
        <v>752</v>
      </c>
      <c r="C2686" s="2842"/>
      <c r="D2686" s="2757"/>
      <c r="E2686" s="2758">
        <v>0</v>
      </c>
      <c r="F2686" s="2780" t="s">
        <v>6375</v>
      </c>
      <c r="G2686" s="2758" t="s">
        <v>856</v>
      </c>
      <c r="H2686" s="2760">
        <f>H2684*0.315</f>
        <v>0</v>
      </c>
      <c r="I2686" s="2670">
        <f t="shared" si="154"/>
        <v>0</v>
      </c>
      <c r="J2686" s="1069"/>
      <c r="K2686" s="1069"/>
      <c r="L2686" s="1069"/>
      <c r="M2686" s="934">
        <v>1250</v>
      </c>
    </row>
    <row r="2687" spans="1:13" s="1016" customFormat="1" ht="25.2" hidden="1" customHeight="1">
      <c r="A2687" s="1086">
        <f t="shared" si="149"/>
        <v>0</v>
      </c>
      <c r="B2687" s="1087" t="s">
        <v>520</v>
      </c>
      <c r="C2687" s="2842"/>
      <c r="D2687" s="2757"/>
      <c r="E2687" s="2758">
        <v>0</v>
      </c>
      <c r="F2687" s="2780" t="s">
        <v>6376</v>
      </c>
      <c r="G2687" s="2758" t="s">
        <v>856</v>
      </c>
      <c r="H2687" s="2760">
        <f>0.092*H2684</f>
        <v>0</v>
      </c>
      <c r="I2687" s="2670">
        <f t="shared" si="154"/>
        <v>0</v>
      </c>
      <c r="J2687" s="1069"/>
      <c r="K2687" s="1069"/>
      <c r="L2687" s="1069"/>
      <c r="M2687" s="934">
        <v>1250</v>
      </c>
    </row>
    <row r="2688" spans="1:13" s="1016" customFormat="1" ht="25.2" hidden="1" customHeight="1">
      <c r="A2688" s="1086">
        <f t="shared" si="149"/>
        <v>0</v>
      </c>
      <c r="B2688" s="1087" t="s">
        <v>1675</v>
      </c>
      <c r="C2688" s="2842"/>
      <c r="D2688" s="2757"/>
      <c r="E2688" s="2758">
        <v>0</v>
      </c>
      <c r="F2688" s="2780" t="s">
        <v>6377</v>
      </c>
      <c r="G2688" s="2758" t="s">
        <v>3006</v>
      </c>
      <c r="H2688" s="2760">
        <f>3.3*H2684</f>
        <v>0</v>
      </c>
      <c r="I2688" s="2670">
        <f t="shared" si="154"/>
        <v>0</v>
      </c>
      <c r="J2688" s="1069"/>
      <c r="K2688" s="1069"/>
      <c r="L2688" s="1069"/>
      <c r="M2688" s="934">
        <v>1250</v>
      </c>
    </row>
    <row r="2689" spans="1:13" s="1016" customFormat="1" ht="25.2" hidden="1" customHeight="1">
      <c r="A2689" s="1086">
        <f t="shared" si="149"/>
        <v>0</v>
      </c>
      <c r="B2689" s="1087" t="s">
        <v>1676</v>
      </c>
      <c r="C2689" s="2842"/>
      <c r="D2689" s="2757"/>
      <c r="E2689" s="2758" t="s">
        <v>5290</v>
      </c>
      <c r="F2689" s="2780" t="s">
        <v>6378</v>
      </c>
      <c r="G2689" s="2758" t="s">
        <v>1960</v>
      </c>
      <c r="H2689" s="2760">
        <f>0.4*H2684</f>
        <v>0</v>
      </c>
      <c r="I2689" s="2670">
        <f t="shared" si="154"/>
        <v>0</v>
      </c>
      <c r="J2689" s="1069"/>
      <c r="K2689" s="1069"/>
      <c r="L2689" s="1069"/>
      <c r="M2689" s="934">
        <v>1250</v>
      </c>
    </row>
    <row r="2690" spans="1:13" s="1016" customFormat="1" ht="25.2" hidden="1" customHeight="1">
      <c r="A2690" s="1086">
        <f t="shared" si="149"/>
        <v>0</v>
      </c>
      <c r="B2690" s="1087" t="s">
        <v>1518</v>
      </c>
      <c r="C2690" s="2842"/>
      <c r="D2690" s="2762"/>
      <c r="E2690" s="2758">
        <v>0</v>
      </c>
      <c r="F2690" s="2780" t="s">
        <v>3530</v>
      </c>
      <c r="G2690" s="2758" t="s">
        <v>1823</v>
      </c>
      <c r="H2690" s="2760">
        <f>1*H2684</f>
        <v>0</v>
      </c>
      <c r="I2690" s="2670">
        <f t="shared" si="154"/>
        <v>0</v>
      </c>
      <c r="J2690" s="1069"/>
      <c r="K2690" s="1069"/>
      <c r="L2690" s="1069"/>
      <c r="M2690" s="934">
        <v>1250</v>
      </c>
    </row>
    <row r="2691" spans="1:13" s="1016" customFormat="1" ht="25.2" hidden="1" customHeight="1">
      <c r="A2691" s="1086">
        <f t="shared" si="149"/>
        <v>0</v>
      </c>
      <c r="B2691" s="1087" t="s">
        <v>1678</v>
      </c>
      <c r="C2691" s="2842"/>
      <c r="D2691" s="2757"/>
      <c r="E2691" s="2758" t="s">
        <v>5333</v>
      </c>
      <c r="F2691" s="2780" t="s">
        <v>6379</v>
      </c>
      <c r="G2691" s="2758" t="s">
        <v>856</v>
      </c>
      <c r="H2691" s="2760">
        <f>H2686+H2687</f>
        <v>0</v>
      </c>
      <c r="I2691" s="2670">
        <f t="shared" si="154"/>
        <v>0</v>
      </c>
      <c r="J2691" s="1069"/>
      <c r="K2691" s="1069"/>
      <c r="L2691" s="1069"/>
      <c r="M2691" s="934">
        <v>1250</v>
      </c>
    </row>
    <row r="2692" spans="1:13" s="1016" customFormat="1" ht="25.2" hidden="1" customHeight="1">
      <c r="A2692" s="1086">
        <f t="shared" si="149"/>
        <v>0</v>
      </c>
      <c r="B2692" s="1087" t="s">
        <v>144</v>
      </c>
      <c r="C2692" s="2842"/>
      <c r="D2692" s="2757"/>
      <c r="E2692" s="2758" t="s">
        <v>5327</v>
      </c>
      <c r="F2692" s="2780" t="s">
        <v>6380</v>
      </c>
      <c r="G2692" s="2758" t="s">
        <v>856</v>
      </c>
      <c r="H2692" s="2760">
        <f>H2684*0.48</f>
        <v>0</v>
      </c>
      <c r="I2692" s="2670">
        <f t="shared" si="154"/>
        <v>0</v>
      </c>
      <c r="J2692" s="1069"/>
      <c r="K2692" s="1069"/>
      <c r="L2692" s="1069"/>
      <c r="M2692" s="934">
        <v>1250</v>
      </c>
    </row>
    <row r="2693" spans="1:13" s="1016" customFormat="1" ht="25.2" hidden="1" customHeight="1">
      <c r="A2693" s="1086">
        <f t="shared" ref="A2693:A2756" si="155">IF(AND(M2693=$M$23,I2693&gt;0),1,0)</f>
        <v>0</v>
      </c>
      <c r="B2693" s="1087" t="s">
        <v>529</v>
      </c>
      <c r="C2693" s="2842"/>
      <c r="D2693" s="2757"/>
      <c r="E2693" s="2758" t="s">
        <v>5332</v>
      </c>
      <c r="F2693" s="2780" t="s">
        <v>6381</v>
      </c>
      <c r="G2693" s="2758" t="s">
        <v>856</v>
      </c>
      <c r="H2693" s="2760">
        <f>H2684*0.073</f>
        <v>0</v>
      </c>
      <c r="I2693" s="2670">
        <f t="shared" si="154"/>
        <v>0</v>
      </c>
      <c r="J2693" s="1069"/>
      <c r="K2693" s="1069"/>
      <c r="L2693" s="1069"/>
      <c r="M2693" s="934">
        <v>1250</v>
      </c>
    </row>
    <row r="2694" spans="1:13" s="1016" customFormat="1" ht="25.2" hidden="1" customHeight="1">
      <c r="A2694" s="1086">
        <f t="shared" si="155"/>
        <v>0</v>
      </c>
      <c r="B2694" s="1087"/>
      <c r="C2694" s="2842"/>
      <c r="D2694" s="2772">
        <f>IF(H2694&gt;0,D2684+1,D2684)</f>
        <v>5</v>
      </c>
      <c r="E2694" s="2773"/>
      <c r="F2694" s="2774" t="s">
        <v>3725</v>
      </c>
      <c r="G2694" s="2775" t="s">
        <v>2385</v>
      </c>
      <c r="H2694" s="2776"/>
      <c r="I2694" s="2670">
        <f t="shared" si="154"/>
        <v>0</v>
      </c>
      <c r="J2694" s="1069"/>
      <c r="K2694" s="1069"/>
      <c r="L2694" s="1069"/>
      <c r="M2694" s="934">
        <v>1250</v>
      </c>
    </row>
    <row r="2695" spans="1:13" s="1016" customFormat="1" ht="25.2" hidden="1" customHeight="1">
      <c r="A2695" s="1086">
        <f t="shared" si="155"/>
        <v>0</v>
      </c>
      <c r="B2695" s="1087"/>
      <c r="C2695" s="2842"/>
      <c r="D2695" s="2762"/>
      <c r="E2695" s="2777"/>
      <c r="F2695" s="2778" t="s">
        <v>6133</v>
      </c>
      <c r="G2695" s="2757"/>
      <c r="H2695" s="2760"/>
      <c r="I2695" s="2670">
        <f t="shared" si="154"/>
        <v>0</v>
      </c>
      <c r="J2695" s="1069"/>
      <c r="K2695" s="1069"/>
      <c r="L2695" s="1069"/>
      <c r="M2695" s="934">
        <v>1250</v>
      </c>
    </row>
    <row r="2696" spans="1:13" s="1016" customFormat="1" ht="25.2" hidden="1" customHeight="1">
      <c r="A2696" s="1086">
        <f t="shared" si="155"/>
        <v>0</v>
      </c>
      <c r="B2696" s="1087" t="s">
        <v>623</v>
      </c>
      <c r="C2696" s="2842"/>
      <c r="D2696" s="2757"/>
      <c r="E2696" s="2758" t="s">
        <v>5305</v>
      </c>
      <c r="F2696" s="2759" t="s">
        <v>5306</v>
      </c>
      <c r="G2696" s="2758" t="s">
        <v>2532</v>
      </c>
      <c r="H2696" s="2760">
        <f>H2694*5</f>
        <v>0</v>
      </c>
      <c r="I2696" s="2670">
        <f t="shared" si="154"/>
        <v>0</v>
      </c>
      <c r="J2696" s="1069"/>
      <c r="K2696" s="1069"/>
      <c r="L2696" s="1069"/>
      <c r="M2696" s="934">
        <v>1250</v>
      </c>
    </row>
    <row r="2697" spans="1:13" s="1016" customFormat="1" ht="25.2" hidden="1" customHeight="1">
      <c r="A2697" s="1086">
        <f t="shared" si="155"/>
        <v>0</v>
      </c>
      <c r="B2697" s="1087" t="s">
        <v>473</v>
      </c>
      <c r="C2697" s="2842"/>
      <c r="D2697" s="2762"/>
      <c r="E2697" s="2758">
        <v>0</v>
      </c>
      <c r="F2697" s="2759" t="s">
        <v>3552</v>
      </c>
      <c r="G2697" s="2758" t="s">
        <v>2555</v>
      </c>
      <c r="H2697" s="2760">
        <f>H2694</f>
        <v>0</v>
      </c>
      <c r="I2697" s="2670">
        <f t="shared" si="154"/>
        <v>0</v>
      </c>
      <c r="J2697" s="1069"/>
      <c r="K2697" s="1069"/>
      <c r="L2697" s="1069"/>
      <c r="M2697" s="934">
        <v>1250</v>
      </c>
    </row>
    <row r="2698" spans="1:13" s="1016" customFormat="1" ht="25.2" hidden="1" customHeight="1">
      <c r="A2698" s="1086">
        <f t="shared" si="155"/>
        <v>0</v>
      </c>
      <c r="B2698" s="1087" t="s">
        <v>120</v>
      </c>
      <c r="C2698" s="2842"/>
      <c r="D2698" s="2757"/>
      <c r="E2698" s="2758">
        <v>0</v>
      </c>
      <c r="F2698" s="2759" t="s">
        <v>2981</v>
      </c>
      <c r="G2698" s="2758" t="s">
        <v>2439</v>
      </c>
      <c r="H2698" s="2760">
        <f>H2694*2</f>
        <v>0</v>
      </c>
      <c r="I2698" s="2670">
        <f t="shared" si="154"/>
        <v>0</v>
      </c>
      <c r="J2698" s="1069"/>
      <c r="K2698" s="1069"/>
      <c r="L2698" s="1069"/>
      <c r="M2698" s="934">
        <v>1250</v>
      </c>
    </row>
    <row r="2699" spans="1:13" s="1016" customFormat="1" ht="25.2" hidden="1" customHeight="1">
      <c r="A2699" s="1086">
        <f t="shared" si="155"/>
        <v>0</v>
      </c>
      <c r="B2699" s="1087" t="s">
        <v>1409</v>
      </c>
      <c r="C2699" s="2842"/>
      <c r="D2699" s="2757"/>
      <c r="E2699" s="2758">
        <v>0</v>
      </c>
      <c r="F2699" s="2759" t="s">
        <v>3449</v>
      </c>
      <c r="G2699" s="2758" t="s">
        <v>2439</v>
      </c>
      <c r="H2699" s="2760">
        <f>H2694</f>
        <v>0</v>
      </c>
      <c r="I2699" s="2670">
        <f t="shared" si="154"/>
        <v>0</v>
      </c>
      <c r="J2699" s="1069"/>
      <c r="K2699" s="1069"/>
      <c r="L2699" s="1069"/>
      <c r="M2699" s="934">
        <v>1250</v>
      </c>
    </row>
    <row r="2700" spans="1:13" s="1016" customFormat="1" ht="25.2" hidden="1" customHeight="1">
      <c r="A2700" s="1086">
        <f t="shared" si="155"/>
        <v>0</v>
      </c>
      <c r="B2700" s="1087" t="s">
        <v>2138</v>
      </c>
      <c r="C2700" s="2842"/>
      <c r="D2700" s="2757"/>
      <c r="E2700" s="2758">
        <v>0</v>
      </c>
      <c r="F2700" s="2759" t="s">
        <v>3455</v>
      </c>
      <c r="G2700" s="2758" t="s">
        <v>2439</v>
      </c>
      <c r="H2700" s="2760">
        <f>H2694</f>
        <v>0</v>
      </c>
      <c r="I2700" s="2670">
        <f t="shared" si="154"/>
        <v>0</v>
      </c>
      <c r="J2700" s="1069"/>
      <c r="K2700" s="1069"/>
      <c r="L2700" s="1069"/>
      <c r="M2700" s="934">
        <v>1250</v>
      </c>
    </row>
    <row r="2701" spans="1:13" s="1016" customFormat="1" ht="25.2" hidden="1" customHeight="1">
      <c r="A2701" s="1086">
        <f t="shared" si="155"/>
        <v>0</v>
      </c>
      <c r="B2701" s="1087" t="s">
        <v>1410</v>
      </c>
      <c r="C2701" s="2842"/>
      <c r="D2701" s="2762"/>
      <c r="E2701" s="2758" t="s">
        <v>5341</v>
      </c>
      <c r="F2701" s="2759" t="s">
        <v>5342</v>
      </c>
      <c r="G2701" s="2758" t="s">
        <v>2439</v>
      </c>
      <c r="H2701" s="2760">
        <f>H2699+H2700</f>
        <v>0</v>
      </c>
      <c r="I2701" s="2670">
        <f t="shared" si="154"/>
        <v>0</v>
      </c>
      <c r="J2701" s="1069"/>
      <c r="K2701" s="1069"/>
      <c r="L2701" s="1069"/>
      <c r="M2701" s="934">
        <v>1250</v>
      </c>
    </row>
    <row r="2702" spans="1:13" s="1016" customFormat="1" ht="25.2" hidden="1" customHeight="1">
      <c r="A2702" s="1086">
        <f t="shared" si="155"/>
        <v>0</v>
      </c>
      <c r="B2702" s="1087" t="s">
        <v>289</v>
      </c>
      <c r="C2702" s="2842"/>
      <c r="D2702" s="2757"/>
      <c r="E2702" s="2758">
        <v>0</v>
      </c>
      <c r="F2702" s="2759" t="s">
        <v>5712</v>
      </c>
      <c r="G2702" s="2758" t="s">
        <v>2555</v>
      </c>
      <c r="H2702" s="2760">
        <f>H2694</f>
        <v>0</v>
      </c>
      <c r="I2702" s="2670">
        <f t="shared" si="154"/>
        <v>0</v>
      </c>
      <c r="J2702" s="1069"/>
      <c r="K2702" s="1069"/>
      <c r="L2702" s="1069"/>
      <c r="M2702" s="934">
        <v>1250</v>
      </c>
    </row>
    <row r="2703" spans="1:13" s="1016" customFormat="1" ht="25.2" hidden="1" customHeight="1">
      <c r="A2703" s="1086">
        <f t="shared" si="155"/>
        <v>0</v>
      </c>
      <c r="B2703" s="1087"/>
      <c r="C2703" s="2842"/>
      <c r="D2703" s="2772">
        <f>IF(H2703&gt;0,D2694+1,D2694)</f>
        <v>5</v>
      </c>
      <c r="E2703" s="2773"/>
      <c r="F2703" s="2774" t="s">
        <v>3740</v>
      </c>
      <c r="G2703" s="2775" t="s">
        <v>2385</v>
      </c>
      <c r="H2703" s="2776"/>
      <c r="I2703" s="2670">
        <f t="shared" si="154"/>
        <v>0</v>
      </c>
      <c r="J2703" s="1069"/>
      <c r="K2703" s="1069"/>
      <c r="L2703" s="1069"/>
      <c r="M2703" s="934">
        <v>1250</v>
      </c>
    </row>
    <row r="2704" spans="1:13" s="1016" customFormat="1" ht="25.2" hidden="1" customHeight="1">
      <c r="A2704" s="1086">
        <f t="shared" si="155"/>
        <v>0</v>
      </c>
      <c r="B2704" s="1087"/>
      <c r="C2704" s="2842"/>
      <c r="D2704" s="2762"/>
      <c r="E2704" s="2777"/>
      <c r="F2704" s="2781" t="s">
        <v>6133</v>
      </c>
      <c r="G2704" s="2762"/>
      <c r="H2704" s="2763"/>
      <c r="I2704" s="2670">
        <f t="shared" si="154"/>
        <v>0</v>
      </c>
      <c r="J2704" s="1069"/>
      <c r="K2704" s="1069"/>
      <c r="L2704" s="1069"/>
      <c r="M2704" s="934">
        <v>1250</v>
      </c>
    </row>
    <row r="2705" spans="1:13" s="1016" customFormat="1" ht="25.2" hidden="1" customHeight="1">
      <c r="A2705" s="1086">
        <f t="shared" si="155"/>
        <v>0</v>
      </c>
      <c r="B2705" s="1087" t="s">
        <v>470</v>
      </c>
      <c r="C2705" s="2842"/>
      <c r="D2705" s="2757"/>
      <c r="E2705" s="2758">
        <v>0</v>
      </c>
      <c r="F2705" s="2759" t="s">
        <v>6382</v>
      </c>
      <c r="G2705" s="2758" t="s">
        <v>2532</v>
      </c>
      <c r="H2705" s="2760">
        <f>H2684+H2703*8</f>
        <v>0</v>
      </c>
      <c r="I2705" s="2670">
        <f t="shared" si="154"/>
        <v>0</v>
      </c>
      <c r="J2705" s="1069"/>
      <c r="K2705" s="1069"/>
      <c r="L2705" s="1069"/>
      <c r="M2705" s="934">
        <v>1250</v>
      </c>
    </row>
    <row r="2706" spans="1:13" s="1016" customFormat="1" ht="25.2" hidden="1" customHeight="1">
      <c r="A2706" s="1086">
        <f t="shared" si="155"/>
        <v>0</v>
      </c>
      <c r="B2706" s="1087" t="s">
        <v>271</v>
      </c>
      <c r="C2706" s="2842"/>
      <c r="D2706" s="2757"/>
      <c r="E2706" s="2758">
        <v>0</v>
      </c>
      <c r="F2706" s="2759" t="s">
        <v>6383</v>
      </c>
      <c r="G2706" s="2758" t="s">
        <v>2532</v>
      </c>
      <c r="H2706" s="2760">
        <f>H2705</f>
        <v>0</v>
      </c>
      <c r="I2706" s="2670">
        <f t="shared" si="154"/>
        <v>0</v>
      </c>
      <c r="J2706" s="1069"/>
      <c r="K2706" s="1069"/>
      <c r="L2706" s="1069"/>
      <c r="M2706" s="934">
        <v>1250</v>
      </c>
    </row>
    <row r="2707" spans="1:13" s="1016" customFormat="1" ht="25.2" hidden="1" customHeight="1">
      <c r="A2707" s="1086">
        <f t="shared" si="155"/>
        <v>0</v>
      </c>
      <c r="B2707" s="1087" t="s">
        <v>271</v>
      </c>
      <c r="C2707" s="2842"/>
      <c r="D2707" s="2757"/>
      <c r="E2707" s="2758">
        <v>0</v>
      </c>
      <c r="F2707" s="2759" t="s">
        <v>6384</v>
      </c>
      <c r="G2707" s="2758" t="s">
        <v>2532</v>
      </c>
      <c r="H2707" s="2760">
        <f>H2703*0.5*3</f>
        <v>0</v>
      </c>
      <c r="I2707" s="2670">
        <f t="shared" si="154"/>
        <v>0</v>
      </c>
      <c r="J2707" s="1069"/>
      <c r="K2707" s="1069"/>
      <c r="L2707" s="1069"/>
      <c r="M2707" s="934">
        <v>1250</v>
      </c>
    </row>
    <row r="2708" spans="1:13" s="1016" customFormat="1" ht="25.2" hidden="1" customHeight="1">
      <c r="A2708" s="1086">
        <f t="shared" si="155"/>
        <v>0</v>
      </c>
      <c r="B2708" s="1087" t="s">
        <v>1352</v>
      </c>
      <c r="C2708" s="2842"/>
      <c r="D2708" s="2757"/>
      <c r="E2708" s="2758">
        <v>0</v>
      </c>
      <c r="F2708" s="2759" t="s">
        <v>3014</v>
      </c>
      <c r="G2708" s="2758" t="s">
        <v>2555</v>
      </c>
      <c r="H2708" s="2760">
        <f>H2703</f>
        <v>0</v>
      </c>
      <c r="I2708" s="2670">
        <f t="shared" si="154"/>
        <v>0</v>
      </c>
      <c r="J2708" s="1069"/>
      <c r="K2708" s="1069"/>
      <c r="L2708" s="1069"/>
      <c r="M2708" s="934">
        <v>1250</v>
      </c>
    </row>
    <row r="2709" spans="1:13" s="1016" customFormat="1" ht="25.2" hidden="1" customHeight="1">
      <c r="A2709" s="1086">
        <f t="shared" si="155"/>
        <v>0</v>
      </c>
      <c r="B2709" s="1087" t="s">
        <v>470</v>
      </c>
      <c r="C2709" s="2842"/>
      <c r="D2709" s="2757"/>
      <c r="E2709" s="2758">
        <v>0</v>
      </c>
      <c r="F2709" s="2759" t="s">
        <v>6385</v>
      </c>
      <c r="G2709" s="2758" t="s">
        <v>2532</v>
      </c>
      <c r="H2709" s="2760">
        <f>(1.2+2.4)*H2703</f>
        <v>0</v>
      </c>
      <c r="I2709" s="2670">
        <f t="shared" si="154"/>
        <v>0</v>
      </c>
      <c r="J2709" s="1069"/>
      <c r="K2709" s="1069"/>
      <c r="L2709" s="1069"/>
      <c r="M2709" s="934">
        <v>1250</v>
      </c>
    </row>
    <row r="2710" spans="1:13" s="1016" customFormat="1" ht="25.2" hidden="1" customHeight="1">
      <c r="A2710" s="1086">
        <f t="shared" si="155"/>
        <v>0</v>
      </c>
      <c r="B2710" s="1087" t="s">
        <v>271</v>
      </c>
      <c r="C2710" s="2842"/>
      <c r="D2710" s="2757"/>
      <c r="E2710" s="2758">
        <v>0</v>
      </c>
      <c r="F2710" s="2759" t="s">
        <v>6386</v>
      </c>
      <c r="G2710" s="2758" t="s">
        <v>2532</v>
      </c>
      <c r="H2710" s="2760">
        <f>H2703*1.2</f>
        <v>0</v>
      </c>
      <c r="I2710" s="2670">
        <f t="shared" si="154"/>
        <v>0</v>
      </c>
      <c r="J2710" s="1069"/>
      <c r="K2710" s="1069"/>
      <c r="L2710" s="1069"/>
      <c r="M2710" s="934">
        <v>1250</v>
      </c>
    </row>
    <row r="2711" spans="1:13" s="1016" customFormat="1" ht="25.2" hidden="1" customHeight="1">
      <c r="A2711" s="1086">
        <f t="shared" si="155"/>
        <v>0</v>
      </c>
      <c r="B2711" s="1087" t="s">
        <v>1353</v>
      </c>
      <c r="C2711" s="2842"/>
      <c r="D2711" s="2757"/>
      <c r="E2711" s="2758">
        <v>0</v>
      </c>
      <c r="F2711" s="2759" t="s">
        <v>3021</v>
      </c>
      <c r="G2711" s="2758" t="s">
        <v>2555</v>
      </c>
      <c r="H2711" s="2760">
        <f>H2703</f>
        <v>0</v>
      </c>
      <c r="I2711" s="2670">
        <f t="shared" si="154"/>
        <v>0</v>
      </c>
      <c r="J2711" s="1069"/>
      <c r="K2711" s="1069"/>
      <c r="L2711" s="1069"/>
      <c r="M2711" s="934">
        <v>1250</v>
      </c>
    </row>
    <row r="2712" spans="1:13" s="1016" customFormat="1" ht="25.2" hidden="1" customHeight="1">
      <c r="A2712" s="1086">
        <f t="shared" si="155"/>
        <v>0</v>
      </c>
      <c r="B2712" s="1087" t="s">
        <v>1674</v>
      </c>
      <c r="C2712" s="2842"/>
      <c r="D2712" s="2757"/>
      <c r="E2712" s="2758" t="s">
        <v>5459</v>
      </c>
      <c r="F2712" s="2759" t="s">
        <v>3178</v>
      </c>
      <c r="G2712" s="2758" t="s">
        <v>2555</v>
      </c>
      <c r="H2712" s="2760">
        <f>H2708+H2711</f>
        <v>0</v>
      </c>
      <c r="I2712" s="2670">
        <f t="shared" si="154"/>
        <v>0</v>
      </c>
      <c r="J2712" s="1069"/>
      <c r="K2712" s="1069"/>
      <c r="L2712" s="1069"/>
      <c r="M2712" s="934">
        <v>1250</v>
      </c>
    </row>
    <row r="2713" spans="1:13" s="1016" customFormat="1" ht="25.2" hidden="1" customHeight="1">
      <c r="A2713" s="1086">
        <f t="shared" si="155"/>
        <v>0</v>
      </c>
      <c r="B2713" s="1087" t="s">
        <v>1204</v>
      </c>
      <c r="C2713" s="2842"/>
      <c r="D2713" s="2757"/>
      <c r="E2713" s="2758" t="s">
        <v>337</v>
      </c>
      <c r="F2713" s="2759" t="s">
        <v>3268</v>
      </c>
      <c r="G2713" s="2758" t="s">
        <v>2532</v>
      </c>
      <c r="H2713" s="2760">
        <f>H2705+H2709</f>
        <v>0</v>
      </c>
      <c r="I2713" s="2670">
        <f t="shared" si="154"/>
        <v>0</v>
      </c>
      <c r="J2713" s="1069"/>
      <c r="K2713" s="1069"/>
      <c r="L2713" s="1069"/>
      <c r="M2713" s="934">
        <v>1250</v>
      </c>
    </row>
    <row r="2714" spans="1:13" s="1016" customFormat="1" ht="25.2" hidden="1" customHeight="1">
      <c r="A2714" s="1086">
        <f t="shared" si="155"/>
        <v>0</v>
      </c>
      <c r="B2714" s="1087" t="s">
        <v>1201</v>
      </c>
      <c r="C2714" s="2842"/>
      <c r="D2714" s="2757"/>
      <c r="E2714" s="2758" t="s">
        <v>334</v>
      </c>
      <c r="F2714" s="2759" t="s">
        <v>3265</v>
      </c>
      <c r="G2714" s="2758" t="s">
        <v>2532</v>
      </c>
      <c r="H2714" s="2760">
        <f>H2706+H2710</f>
        <v>0</v>
      </c>
      <c r="I2714" s="2670">
        <f t="shared" si="154"/>
        <v>0</v>
      </c>
      <c r="J2714" s="1069"/>
      <c r="K2714" s="1069"/>
      <c r="L2714" s="1069"/>
      <c r="M2714" s="934">
        <v>1250</v>
      </c>
    </row>
    <row r="2715" spans="1:13" s="1016" customFormat="1" ht="25.2" hidden="1" customHeight="1">
      <c r="A2715" s="1086">
        <f t="shared" si="155"/>
        <v>0</v>
      </c>
      <c r="B2715" s="1087" t="s">
        <v>1525</v>
      </c>
      <c r="C2715" s="2842"/>
      <c r="D2715" s="2757"/>
      <c r="E2715" s="2758" t="s">
        <v>5571</v>
      </c>
      <c r="F2715" s="2759" t="s">
        <v>3292</v>
      </c>
      <c r="G2715" s="2758" t="s">
        <v>1823</v>
      </c>
      <c r="H2715" s="2760">
        <f>H2707</f>
        <v>0</v>
      </c>
      <c r="I2715" s="2670">
        <f t="shared" si="154"/>
        <v>0</v>
      </c>
      <c r="J2715" s="1069"/>
      <c r="K2715" s="1069"/>
      <c r="L2715" s="1069"/>
      <c r="M2715" s="934">
        <v>1250</v>
      </c>
    </row>
    <row r="2716" spans="1:13" s="1016" customFormat="1" ht="25.2" hidden="1" customHeight="1">
      <c r="A2716" s="1086">
        <f t="shared" si="155"/>
        <v>0</v>
      </c>
      <c r="B2716" s="1087" t="s">
        <v>1349</v>
      </c>
      <c r="C2716" s="2842"/>
      <c r="D2716" s="2757"/>
      <c r="E2716" s="2758">
        <v>0</v>
      </c>
      <c r="F2716" s="2759" t="s">
        <v>3518</v>
      </c>
      <c r="G2716" s="2758" t="s">
        <v>3519</v>
      </c>
      <c r="H2716" s="2760">
        <f>H2703*2</f>
        <v>0</v>
      </c>
      <c r="I2716" s="2670">
        <f t="shared" si="154"/>
        <v>0</v>
      </c>
      <c r="J2716" s="1069"/>
      <c r="K2716" s="1069"/>
      <c r="L2716" s="1069"/>
      <c r="M2716" s="934">
        <v>1250</v>
      </c>
    </row>
    <row r="2717" spans="1:13" s="1016" customFormat="1" ht="25.2" hidden="1" customHeight="1">
      <c r="A2717" s="1086">
        <f t="shared" si="155"/>
        <v>0</v>
      </c>
      <c r="B2717" s="1087"/>
      <c r="C2717" s="2842"/>
      <c r="D2717" s="2772">
        <f>IF(H2717&gt;0,D2703+1,D2703)</f>
        <v>6</v>
      </c>
      <c r="E2717" s="2773"/>
      <c r="F2717" s="2774" t="s">
        <v>6263</v>
      </c>
      <c r="G2717" s="2775" t="s">
        <v>2385</v>
      </c>
      <c r="H2717" s="2776">
        <f>H2605</f>
        <v>1</v>
      </c>
      <c r="I2717" s="2670">
        <f t="shared" si="154"/>
        <v>1</v>
      </c>
      <c r="J2717" s="1069"/>
      <c r="K2717" s="1069"/>
      <c r="L2717" s="1069"/>
      <c r="M2717" s="934">
        <v>1250</v>
      </c>
    </row>
    <row r="2718" spans="1:13" s="1016" customFormat="1" ht="25.2" hidden="1" customHeight="1">
      <c r="A2718" s="1086">
        <f t="shared" si="155"/>
        <v>0</v>
      </c>
      <c r="B2718" s="1087"/>
      <c r="C2718" s="2842"/>
      <c r="D2718" s="2762"/>
      <c r="E2718" s="2777"/>
      <c r="F2718" s="2778" t="s">
        <v>6133</v>
      </c>
      <c r="G2718" s="2762"/>
      <c r="H2718" s="2763"/>
      <c r="I2718" s="2670">
        <f t="shared" si="154"/>
        <v>0</v>
      </c>
      <c r="J2718" s="1069"/>
      <c r="K2718" s="1069"/>
      <c r="L2718" s="1069"/>
      <c r="M2718" s="934">
        <v>1250</v>
      </c>
    </row>
    <row r="2719" spans="1:13" s="1016" customFormat="1" ht="25.2" hidden="1" customHeight="1">
      <c r="A2719" s="1086">
        <f t="shared" si="155"/>
        <v>0</v>
      </c>
      <c r="B2719" s="1087" t="s">
        <v>697</v>
      </c>
      <c r="C2719" s="2842"/>
      <c r="D2719" s="2757"/>
      <c r="E2719" s="2758">
        <v>0</v>
      </c>
      <c r="F2719" s="2759" t="str">
        <f t="shared" ref="F2719:F2730" si="156">VLOOKUP(B2719,DonGia,3,0)</f>
        <v>Cáp 24KV C/XLPE/PVC 25mm2</v>
      </c>
      <c r="G2719" s="2758" t="s">
        <v>2532</v>
      </c>
      <c r="H2719" s="2760">
        <f>H2717*(12)*3</f>
        <v>36</v>
      </c>
      <c r="I2719" s="2670">
        <f t="shared" si="154"/>
        <v>36</v>
      </c>
      <c r="J2719" s="1069"/>
      <c r="K2719" s="1069"/>
      <c r="L2719" s="1069"/>
      <c r="M2719" s="934">
        <v>1250</v>
      </c>
    </row>
    <row r="2720" spans="1:13" s="1016" customFormat="1" ht="25.2" hidden="1" customHeight="1">
      <c r="A2720" s="1086">
        <f t="shared" si="155"/>
        <v>0</v>
      </c>
      <c r="B2720" s="1087" t="s">
        <v>5699</v>
      </c>
      <c r="C2720" s="2842"/>
      <c r="D2720" s="2757"/>
      <c r="E2720" s="2758">
        <v>0</v>
      </c>
      <c r="F2720" s="2759" t="str">
        <f t="shared" si="156"/>
        <v>Nắp che đầu cực FCO</v>
      </c>
      <c r="G2720" s="2758" t="s">
        <v>2555</v>
      </c>
      <c r="H2720" s="2760">
        <f>H2717*3</f>
        <v>3</v>
      </c>
      <c r="I2720" s="2670">
        <f t="shared" si="154"/>
        <v>3</v>
      </c>
      <c r="J2720" s="1069"/>
      <c r="K2720" s="1069"/>
      <c r="L2720" s="1069"/>
      <c r="M2720" s="934">
        <v>1250</v>
      </c>
    </row>
    <row r="2721" spans="1:13" s="1016" customFormat="1" ht="25.2" hidden="1" customHeight="1">
      <c r="A2721" s="1086">
        <f t="shared" si="155"/>
        <v>0</v>
      </c>
      <c r="B2721" s="1087" t="s">
        <v>5705</v>
      </c>
      <c r="C2721" s="2842"/>
      <c r="D2721" s="2757"/>
      <c r="E2721" s="2758">
        <v>0</v>
      </c>
      <c r="F2721" s="2759" t="str">
        <f t="shared" si="156"/>
        <v>Nắp che đầu cực LA</v>
      </c>
      <c r="G2721" s="2758" t="s">
        <v>2555</v>
      </c>
      <c r="H2721" s="2760">
        <f>H2717*3</f>
        <v>3</v>
      </c>
      <c r="I2721" s="2670">
        <f t="shared" si="154"/>
        <v>3</v>
      </c>
      <c r="J2721" s="1069"/>
      <c r="K2721" s="1069"/>
      <c r="L2721" s="1069"/>
      <c r="M2721" s="934">
        <v>1250</v>
      </c>
    </row>
    <row r="2722" spans="1:13" s="1016" customFormat="1" ht="25.2" hidden="1" customHeight="1">
      <c r="A2722" s="1086">
        <f t="shared" si="155"/>
        <v>0</v>
      </c>
      <c r="B2722" s="1087" t="s">
        <v>5707</v>
      </c>
      <c r="C2722" s="2842"/>
      <c r="D2722" s="2757"/>
      <c r="E2722" s="2758">
        <v>0</v>
      </c>
      <c r="F2722" s="2759" t="str">
        <f t="shared" si="156"/>
        <v>Nắp che đầu sứ MBA</v>
      </c>
      <c r="G2722" s="2758" t="s">
        <v>2555</v>
      </c>
      <c r="H2722" s="2760">
        <f>H2717*3</f>
        <v>3</v>
      </c>
      <c r="I2722" s="2670">
        <f t="shared" si="154"/>
        <v>3</v>
      </c>
      <c r="J2722" s="1069"/>
      <c r="K2722" s="1069"/>
      <c r="L2722" s="1069"/>
      <c r="M2722" s="934">
        <v>1250</v>
      </c>
    </row>
    <row r="2723" spans="1:13" s="1016" customFormat="1" ht="25.2" hidden="1" customHeight="1">
      <c r="A2723" s="1086">
        <f t="shared" si="155"/>
        <v>0</v>
      </c>
      <c r="B2723" s="1087" t="s">
        <v>5697</v>
      </c>
      <c r="C2723" s="2842"/>
      <c r="D2723" s="2757"/>
      <c r="E2723" s="2758"/>
      <c r="F2723" s="2759" t="e">
        <f t="shared" si="156"/>
        <v>#N/A</v>
      </c>
      <c r="G2723" s="2758" t="s">
        <v>3445</v>
      </c>
      <c r="H2723" s="2760">
        <f>H2615*2+H2616</f>
        <v>9</v>
      </c>
      <c r="I2723" s="2670">
        <f t="shared" si="154"/>
        <v>9</v>
      </c>
      <c r="J2723" s="1069"/>
      <c r="K2723" s="1069"/>
      <c r="L2723" s="1069"/>
      <c r="M2723" s="934">
        <v>1250</v>
      </c>
    </row>
    <row r="2724" spans="1:13" s="1016" customFormat="1" ht="25.2" hidden="1" customHeight="1">
      <c r="A2724" s="1086">
        <f t="shared" si="155"/>
        <v>0</v>
      </c>
      <c r="B2724" s="1087" t="s">
        <v>1479</v>
      </c>
      <c r="C2724" s="2842"/>
      <c r="D2724" s="2757"/>
      <c r="E2724" s="2758">
        <v>0</v>
      </c>
      <c r="F2724" s="2759" t="str">
        <f t="shared" si="156"/>
        <v>Kẹp quai 2/0</v>
      </c>
      <c r="G2724" s="2758" t="s">
        <v>2555</v>
      </c>
      <c r="H2724" s="2760">
        <v>3</v>
      </c>
      <c r="I2724" s="2670">
        <f t="shared" si="154"/>
        <v>3</v>
      </c>
      <c r="J2724" s="1069"/>
      <c r="K2724" s="1069"/>
      <c r="L2724" s="1069"/>
      <c r="M2724" s="934">
        <v>1250</v>
      </c>
    </row>
    <row r="2725" spans="1:13" s="1016" customFormat="1" ht="25.2" hidden="1" customHeight="1">
      <c r="A2725" s="1086">
        <f t="shared" si="155"/>
        <v>0</v>
      </c>
      <c r="B2725" s="1087" t="s">
        <v>1477</v>
      </c>
      <c r="C2725" s="2842"/>
      <c r="D2725" s="2757"/>
      <c r="E2725" s="2758">
        <v>0</v>
      </c>
      <c r="F2725" s="2759" t="str">
        <f t="shared" si="156"/>
        <v>Kẹp hotline 2/0</v>
      </c>
      <c r="G2725" s="2758" t="s">
        <v>2555</v>
      </c>
      <c r="H2725" s="2760">
        <v>3</v>
      </c>
      <c r="I2725" s="2670">
        <f t="shared" si="154"/>
        <v>3</v>
      </c>
      <c r="J2725" s="1069"/>
      <c r="K2725" s="1069"/>
      <c r="L2725" s="1069"/>
      <c r="M2725" s="934">
        <v>1250</v>
      </c>
    </row>
    <row r="2726" spans="1:13" s="1016" customFormat="1" ht="25.2" hidden="1" customHeight="1">
      <c r="A2726" s="1086">
        <f t="shared" si="155"/>
        <v>0</v>
      </c>
      <c r="B2726" s="1087" t="s">
        <v>696</v>
      </c>
      <c r="C2726" s="2842"/>
      <c r="D2726" s="2782"/>
      <c r="E2726" s="2758">
        <v>0</v>
      </c>
      <c r="F2726" s="2759" t="str">
        <f t="shared" si="156"/>
        <v xml:space="preserve">Sứ đứng 24KV </v>
      </c>
      <c r="G2726" s="2758" t="s">
        <v>2555</v>
      </c>
      <c r="H2726" s="2760">
        <v>9</v>
      </c>
      <c r="I2726" s="2670">
        <f t="shared" si="154"/>
        <v>9</v>
      </c>
      <c r="J2726" s="1069"/>
      <c r="K2726" s="1069"/>
      <c r="L2726" s="1069"/>
      <c r="M2726" s="934">
        <v>1250</v>
      </c>
    </row>
    <row r="2727" spans="1:13" s="1016" customFormat="1" ht="25.2" hidden="1" customHeight="1">
      <c r="A2727" s="1086">
        <f t="shared" si="155"/>
        <v>0</v>
      </c>
      <c r="B2727" s="1087" t="s">
        <v>1265</v>
      </c>
      <c r="C2727" s="2842"/>
      <c r="D2727" s="2757"/>
      <c r="E2727" s="2758">
        <v>0</v>
      </c>
      <c r="F2727" s="2759" t="str">
        <f t="shared" si="156"/>
        <v>Chân sứ đứng D20</v>
      </c>
      <c r="G2727" s="2758" t="s">
        <v>2555</v>
      </c>
      <c r="H2727" s="2760">
        <f>H2726</f>
        <v>9</v>
      </c>
      <c r="I2727" s="2670">
        <f t="shared" si="154"/>
        <v>9</v>
      </c>
      <c r="J2727" s="1069"/>
      <c r="K2727" s="1069"/>
      <c r="L2727" s="1069"/>
      <c r="M2727" s="934">
        <v>1250</v>
      </c>
    </row>
    <row r="2728" spans="1:13" s="1016" customFormat="1" ht="25.2" hidden="1" customHeight="1">
      <c r="A2728" s="1086">
        <f t="shared" si="155"/>
        <v>0</v>
      </c>
      <c r="B2728" s="1087" t="s">
        <v>6280</v>
      </c>
      <c r="C2728" s="2842"/>
      <c r="D2728" s="2757"/>
      <c r="E2728" s="2758">
        <v>0</v>
      </c>
      <c r="F2728" s="2759" t="e">
        <f t="shared" si="156"/>
        <v>#N/A</v>
      </c>
      <c r="G2728" s="2758" t="s">
        <v>2555</v>
      </c>
      <c r="H2728" s="2760">
        <f>H2727</f>
        <v>9</v>
      </c>
      <c r="I2728" s="2670">
        <f t="shared" si="154"/>
        <v>9</v>
      </c>
      <c r="J2728" s="1069"/>
      <c r="K2728" s="1069"/>
      <c r="L2728" s="1069"/>
      <c r="M2728" s="934">
        <v>1250</v>
      </c>
    </row>
    <row r="2729" spans="1:13" s="1016" customFormat="1" ht="25.2" hidden="1" customHeight="1">
      <c r="A2729" s="1086">
        <f t="shared" si="155"/>
        <v>0</v>
      </c>
      <c r="B2729" s="1087" t="s">
        <v>1565</v>
      </c>
      <c r="C2729" s="2842"/>
      <c r="D2729" s="2757"/>
      <c r="E2729" s="2758" t="s">
        <v>5560</v>
      </c>
      <c r="F2729" s="2759" t="str">
        <f t="shared" si="156"/>
        <v>Lắp sứ đứng 24KV</v>
      </c>
      <c r="G2729" s="2758" t="s">
        <v>2439</v>
      </c>
      <c r="H2729" s="2760">
        <f>H2727</f>
        <v>9</v>
      </c>
      <c r="I2729" s="2670">
        <f t="shared" si="154"/>
        <v>9</v>
      </c>
      <c r="J2729" s="1069"/>
      <c r="K2729" s="1069"/>
      <c r="L2729" s="1069"/>
      <c r="M2729" s="934">
        <v>1250</v>
      </c>
    </row>
    <row r="2730" spans="1:13" s="1016" customFormat="1" ht="25.2" hidden="1" customHeight="1">
      <c r="A2730" s="1086">
        <f t="shared" si="155"/>
        <v>0</v>
      </c>
      <c r="B2730" s="1087" t="s">
        <v>1525</v>
      </c>
      <c r="C2730" s="2842"/>
      <c r="D2730" s="2757"/>
      <c r="E2730" s="2758" t="s">
        <v>5571</v>
      </c>
      <c r="F2730" s="2759" t="str">
        <f t="shared" si="156"/>
        <v>Lắp cáp đồng xuống thiết bị D ≤ 95mm2</v>
      </c>
      <c r="G2730" s="2758" t="s">
        <v>1823</v>
      </c>
      <c r="H2730" s="2760">
        <f>H2719</f>
        <v>36</v>
      </c>
      <c r="I2730" s="2670">
        <f t="shared" si="154"/>
        <v>36</v>
      </c>
      <c r="J2730" s="1069"/>
      <c r="K2730" s="1069"/>
      <c r="L2730" s="1069"/>
      <c r="M2730" s="934">
        <v>1250</v>
      </c>
    </row>
    <row r="2731" spans="1:13" s="1016" customFormat="1" ht="25.2" hidden="1" customHeight="1">
      <c r="A2731" s="1086">
        <f t="shared" si="155"/>
        <v>0</v>
      </c>
      <c r="B2731" s="1087"/>
      <c r="C2731" s="2842"/>
      <c r="D2731" s="2772">
        <f>IF(H2731&gt;0,D2717+1,D2717)</f>
        <v>7</v>
      </c>
      <c r="E2731" s="2773"/>
      <c r="F2731" s="2774" t="s">
        <v>3728</v>
      </c>
      <c r="G2731" s="2775" t="s">
        <v>2385</v>
      </c>
      <c r="H2731" s="2776">
        <f>H2679</f>
        <v>1</v>
      </c>
      <c r="I2731" s="2670">
        <f t="shared" si="154"/>
        <v>1</v>
      </c>
      <c r="J2731" s="1069"/>
      <c r="K2731" s="1069"/>
      <c r="L2731" s="1069"/>
      <c r="M2731" s="934">
        <v>1250</v>
      </c>
    </row>
    <row r="2732" spans="1:13" s="1016" customFormat="1" ht="25.2" hidden="1" customHeight="1">
      <c r="A2732" s="1086">
        <f t="shared" si="155"/>
        <v>0</v>
      </c>
      <c r="B2732" s="1087"/>
      <c r="C2732" s="2842"/>
      <c r="D2732" s="2762"/>
      <c r="E2732" s="2777"/>
      <c r="F2732" s="2778" t="s">
        <v>6133</v>
      </c>
      <c r="G2732" s="2762"/>
      <c r="H2732" s="2760"/>
      <c r="I2732" s="2670">
        <f t="shared" si="154"/>
        <v>0</v>
      </c>
      <c r="J2732" s="1069"/>
      <c r="K2732" s="1069"/>
      <c r="L2732" s="1069"/>
      <c r="M2732" s="934">
        <v>1250</v>
      </c>
    </row>
    <row r="2733" spans="1:13" s="1016" customFormat="1" ht="25.2" hidden="1" customHeight="1">
      <c r="A2733" s="1086">
        <f t="shared" si="155"/>
        <v>0</v>
      </c>
      <c r="B2733" s="1087" t="s">
        <v>4757</v>
      </c>
      <c r="C2733" s="2842"/>
      <c r="D2733" s="2757"/>
      <c r="E2733" s="2758">
        <v>0</v>
      </c>
      <c r="F2733" s="2759" t="str">
        <f>VLOOKUP(B2733,DonGia,3,0)</f>
        <v>Cáp đồng bọc CV240</v>
      </c>
      <c r="G2733" s="2758" t="s">
        <v>2532</v>
      </c>
      <c r="H2733" s="2760">
        <f>+H2731*(5*4*3+6*2)</f>
        <v>72</v>
      </c>
      <c r="I2733" s="2670">
        <f t="shared" si="154"/>
        <v>72</v>
      </c>
      <c r="J2733" s="1069"/>
      <c r="K2733" s="1069"/>
      <c r="L2733" s="1069"/>
      <c r="M2733" s="934">
        <v>1250</v>
      </c>
    </row>
    <row r="2734" spans="1:13" s="1016" customFormat="1" ht="25.2" hidden="1" customHeight="1">
      <c r="A2734" s="1086">
        <f t="shared" si="155"/>
        <v>0</v>
      </c>
      <c r="B2734" s="1087" t="s">
        <v>2156</v>
      </c>
      <c r="C2734" s="2842"/>
      <c r="D2734" s="2757"/>
      <c r="E2734" s="2758" t="s">
        <v>5731</v>
      </c>
      <c r="F2734" s="2759" t="str">
        <f>VLOOKUP(B2734,DonGia,3,0)</f>
        <v>Đầu cosse ép Cu 240mm2</v>
      </c>
      <c r="G2734" s="2758" t="s">
        <v>2555</v>
      </c>
      <c r="H2734" s="2760">
        <f>+H2731*2*(4*3+2)</f>
        <v>28</v>
      </c>
      <c r="I2734" s="2670">
        <f t="shared" ref="I2734:I2796" si="157">H2734</f>
        <v>28</v>
      </c>
      <c r="J2734" s="1069"/>
      <c r="K2734" s="1069"/>
      <c r="L2734" s="1069"/>
      <c r="M2734" s="934">
        <v>1250</v>
      </c>
    </row>
    <row r="2735" spans="1:13" s="1016" customFormat="1" ht="25.2" hidden="1" customHeight="1">
      <c r="A2735" s="1086">
        <f t="shared" si="155"/>
        <v>0</v>
      </c>
      <c r="B2735" s="1087" t="s">
        <v>90</v>
      </c>
      <c r="C2735" s="2842"/>
      <c r="D2735" s="2757"/>
      <c r="E2735" s="2758">
        <v>0</v>
      </c>
      <c r="F2735" s="2759" t="str">
        <f>VLOOKUP(B2735,DonGia,3,0)</f>
        <v>Chụp đầu cosse  240mm2</v>
      </c>
      <c r="G2735" s="2758" t="s">
        <v>2555</v>
      </c>
      <c r="H2735" s="2760">
        <f>H2734</f>
        <v>28</v>
      </c>
      <c r="I2735" s="2670">
        <f t="shared" si="157"/>
        <v>28</v>
      </c>
      <c r="J2735" s="1069"/>
      <c r="K2735" s="1069"/>
      <c r="L2735" s="1069"/>
      <c r="M2735" s="934">
        <v>1250</v>
      </c>
    </row>
    <row r="2736" spans="1:13" s="1016" customFormat="1" ht="25.2" hidden="1" customHeight="1">
      <c r="A2736" s="1086">
        <f t="shared" si="155"/>
        <v>0</v>
      </c>
      <c r="B2736" s="1087" t="s">
        <v>1042</v>
      </c>
      <c r="C2736" s="2842"/>
      <c r="D2736" s="2757"/>
      <c r="E2736" s="2758">
        <v>0</v>
      </c>
      <c r="F2736" s="2759" t="str">
        <f>VLOOKUP(B2736,DonGia,3,0)</f>
        <v xml:space="preserve">Ống PVC D114x4,9mm </v>
      </c>
      <c r="G2736" s="2758" t="s">
        <v>1823</v>
      </c>
      <c r="H2736" s="2760">
        <f>+H2731*8</f>
        <v>8</v>
      </c>
      <c r="I2736" s="2670">
        <f t="shared" si="157"/>
        <v>8</v>
      </c>
      <c r="J2736" s="1069"/>
      <c r="K2736" s="1069"/>
      <c r="L2736" s="1069"/>
      <c r="M2736" s="934">
        <v>1250</v>
      </c>
    </row>
    <row r="2737" spans="1:13" s="1016" customFormat="1" ht="25.2" hidden="1" customHeight="1">
      <c r="A2737" s="1086">
        <f t="shared" si="155"/>
        <v>0</v>
      </c>
      <c r="B2737" s="1087" t="s">
        <v>2138</v>
      </c>
      <c r="C2737" s="2842"/>
      <c r="D2737" s="2757"/>
      <c r="E2737" s="2758">
        <v>0</v>
      </c>
      <c r="F2737" s="2759" t="s">
        <v>3455</v>
      </c>
      <c r="G2737" s="2758" t="s">
        <v>2439</v>
      </c>
      <c r="H2737" s="2760"/>
      <c r="I2737" s="2670">
        <f t="shared" si="157"/>
        <v>0</v>
      </c>
      <c r="J2737" s="1069"/>
      <c r="K2737" s="1069"/>
      <c r="L2737" s="1069"/>
      <c r="M2737" s="934">
        <v>1250</v>
      </c>
    </row>
    <row r="2738" spans="1:13" s="1016" customFormat="1" ht="25.2" hidden="1" customHeight="1">
      <c r="A2738" s="1086">
        <f t="shared" si="155"/>
        <v>0</v>
      </c>
      <c r="B2738" s="1087" t="s">
        <v>6</v>
      </c>
      <c r="C2738" s="2842"/>
      <c r="D2738" s="2757"/>
      <c r="E2738" s="2758"/>
      <c r="F2738" s="2759" t="str">
        <f>VLOOKUP(B2738,DonGia,3,0)</f>
        <v>Keo silicon bít miệng ống</v>
      </c>
      <c r="G2738" s="2758" t="s">
        <v>5806</v>
      </c>
      <c r="H2738" s="2760">
        <f>+H2731*3</f>
        <v>3</v>
      </c>
      <c r="I2738" s="2670">
        <f t="shared" si="157"/>
        <v>3</v>
      </c>
      <c r="J2738" s="1069"/>
      <c r="K2738" s="1069"/>
      <c r="L2738" s="1069"/>
      <c r="M2738" s="934">
        <v>1250</v>
      </c>
    </row>
    <row r="2739" spans="1:13" s="1016" customFormat="1" ht="25.2" hidden="1" customHeight="1">
      <c r="A2739" s="1086">
        <f t="shared" si="155"/>
        <v>0</v>
      </c>
      <c r="B2739" s="1087" t="s">
        <v>1348</v>
      </c>
      <c r="C2739" s="2842"/>
      <c r="D2739" s="2757"/>
      <c r="E2739" s="2758">
        <v>0</v>
      </c>
      <c r="F2739" s="2759" t="str">
        <f>VLOOKUP(B2739,DonGia,3,0)</f>
        <v>Dây rút cáp</v>
      </c>
      <c r="G2739" s="2758" t="s">
        <v>3519</v>
      </c>
      <c r="H2739" s="2760">
        <f>+H2738</f>
        <v>3</v>
      </c>
      <c r="I2739" s="2670">
        <f t="shared" si="157"/>
        <v>3</v>
      </c>
      <c r="J2739" s="1069"/>
      <c r="K2739" s="1069"/>
      <c r="L2739" s="1069"/>
      <c r="M2739" s="934">
        <v>1250</v>
      </c>
    </row>
    <row r="2740" spans="1:13" s="1016" customFormat="1" ht="25.2" hidden="1" customHeight="1">
      <c r="A2740" s="1086">
        <f t="shared" si="155"/>
        <v>0</v>
      </c>
      <c r="B2740" s="1087" t="s">
        <v>672</v>
      </c>
      <c r="C2740" s="2842"/>
      <c r="D2740" s="2757"/>
      <c r="E2740" s="2758">
        <v>0</v>
      </c>
      <c r="F2740" s="2759" t="str">
        <f>VLOOKUP(B2740,DonGia,3,0)</f>
        <v>Băng keo cách điện</v>
      </c>
      <c r="G2740" s="2758" t="s">
        <v>3566</v>
      </c>
      <c r="H2740" s="2760">
        <f>+H2731*1</f>
        <v>1</v>
      </c>
      <c r="I2740" s="2670">
        <f t="shared" si="157"/>
        <v>1</v>
      </c>
      <c r="J2740" s="1069"/>
      <c r="K2740" s="1069"/>
      <c r="L2740" s="1069"/>
      <c r="M2740" s="934">
        <v>1250</v>
      </c>
    </row>
    <row r="2741" spans="1:13" s="1016" customFormat="1" ht="25.2" hidden="1" customHeight="1">
      <c r="A2741" s="1086">
        <f t="shared" si="155"/>
        <v>0</v>
      </c>
      <c r="B2741" s="1087" t="s">
        <v>247</v>
      </c>
      <c r="C2741" s="2842"/>
      <c r="D2741" s="2757"/>
      <c r="E2741" s="2758" t="s">
        <v>5573</v>
      </c>
      <c r="F2741" s="2759" t="str">
        <f>VLOOKUP(B2741,DonGia,3,0)</f>
        <v>Lắp cáp đồng xuống thiết bị D &gt; 150mm2</v>
      </c>
      <c r="G2741" s="2758" t="s">
        <v>1823</v>
      </c>
      <c r="H2741" s="2760">
        <f>H2733</f>
        <v>72</v>
      </c>
      <c r="I2741" s="2670">
        <f t="shared" si="157"/>
        <v>72</v>
      </c>
      <c r="J2741" s="1069"/>
      <c r="K2741" s="1069"/>
      <c r="L2741" s="1069"/>
      <c r="M2741" s="934">
        <v>1250</v>
      </c>
    </row>
    <row r="2742" spans="1:13" s="1016" customFormat="1" ht="25.2" hidden="1" customHeight="1">
      <c r="A2742" s="1086">
        <f t="shared" si="155"/>
        <v>0</v>
      </c>
      <c r="B2742" s="1087"/>
      <c r="C2742" s="2842"/>
      <c r="D2742" s="2772">
        <f>IF(H2742&gt;0,D2731+1,D2731)</f>
        <v>7</v>
      </c>
      <c r="E2742" s="2773"/>
      <c r="F2742" s="2774" t="s">
        <v>6222</v>
      </c>
      <c r="G2742" s="2775" t="s">
        <v>2385</v>
      </c>
      <c r="H2742" s="2776"/>
      <c r="I2742" s="2670">
        <f t="shared" si="157"/>
        <v>0</v>
      </c>
      <c r="J2742" s="1069"/>
      <c r="K2742" s="1069"/>
      <c r="L2742" s="1069"/>
      <c r="M2742" s="934">
        <v>1250</v>
      </c>
    </row>
    <row r="2743" spans="1:13" s="1016" customFormat="1" ht="25.2" hidden="1" customHeight="1">
      <c r="A2743" s="1086">
        <f t="shared" si="155"/>
        <v>0</v>
      </c>
      <c r="B2743" s="1087"/>
      <c r="C2743" s="2842"/>
      <c r="D2743" s="2762"/>
      <c r="E2743" s="2777"/>
      <c r="F2743" s="2778" t="s">
        <v>6133</v>
      </c>
      <c r="G2743" s="2757"/>
      <c r="H2743" s="2760"/>
      <c r="I2743" s="2670">
        <f t="shared" si="157"/>
        <v>0</v>
      </c>
      <c r="J2743" s="1069"/>
      <c r="K2743" s="1069"/>
      <c r="L2743" s="1069"/>
      <c r="M2743" s="934">
        <v>1250</v>
      </c>
    </row>
    <row r="2744" spans="1:13" s="1016" customFormat="1" ht="25.2" hidden="1" customHeight="1">
      <c r="A2744" s="1086">
        <f t="shared" si="155"/>
        <v>0</v>
      </c>
      <c r="B2744" s="1087" t="s">
        <v>653</v>
      </c>
      <c r="C2744" s="2842"/>
      <c r="D2744" s="2757"/>
      <c r="E2744" s="2758">
        <v>0</v>
      </c>
      <c r="F2744" s="2759" t="s">
        <v>5289</v>
      </c>
      <c r="G2744" s="2758" t="s">
        <v>2248</v>
      </c>
      <c r="H2744" s="2760">
        <f>+H2747*296</f>
        <v>0</v>
      </c>
      <c r="I2744" s="2670">
        <f t="shared" si="157"/>
        <v>0</v>
      </c>
      <c r="J2744" s="1069"/>
      <c r="K2744" s="1069"/>
      <c r="L2744" s="1069"/>
      <c r="M2744" s="934">
        <v>1250</v>
      </c>
    </row>
    <row r="2745" spans="1:13" s="1016" customFormat="1" ht="25.2" hidden="1" customHeight="1">
      <c r="A2745" s="1086">
        <f t="shared" si="155"/>
        <v>0</v>
      </c>
      <c r="B2745" s="1087" t="s">
        <v>752</v>
      </c>
      <c r="C2745" s="2842"/>
      <c r="D2745" s="2757"/>
      <c r="E2745" s="2758">
        <v>0</v>
      </c>
      <c r="F2745" s="2759" t="s">
        <v>3004</v>
      </c>
      <c r="G2745" s="2758" t="s">
        <v>856</v>
      </c>
      <c r="H2745" s="2760">
        <f>H2747*0.475</f>
        <v>0</v>
      </c>
      <c r="I2745" s="2670">
        <f t="shared" si="157"/>
        <v>0</v>
      </c>
      <c r="J2745" s="1069"/>
      <c r="K2745" s="1069"/>
      <c r="L2745" s="1069"/>
      <c r="M2745" s="934">
        <v>1250</v>
      </c>
    </row>
    <row r="2746" spans="1:13" s="1016" customFormat="1" ht="25.2" hidden="1" customHeight="1">
      <c r="A2746" s="1086">
        <f t="shared" si="155"/>
        <v>0</v>
      </c>
      <c r="B2746" s="1087" t="s">
        <v>216</v>
      </c>
      <c r="C2746" s="2842"/>
      <c r="D2746" s="2757"/>
      <c r="E2746" s="2758">
        <v>0</v>
      </c>
      <c r="F2746" s="2759" t="s">
        <v>3000</v>
      </c>
      <c r="G2746" s="2758" t="s">
        <v>856</v>
      </c>
      <c r="H2746" s="2760">
        <f>H2747*0.881</f>
        <v>0</v>
      </c>
      <c r="I2746" s="2670">
        <f t="shared" si="157"/>
        <v>0</v>
      </c>
      <c r="J2746" s="1069"/>
      <c r="K2746" s="1069"/>
      <c r="L2746" s="1069"/>
      <c r="M2746" s="934">
        <v>1250</v>
      </c>
    </row>
    <row r="2747" spans="1:13" s="1016" customFormat="1" ht="25.2" hidden="1" customHeight="1">
      <c r="A2747" s="1086">
        <f t="shared" si="155"/>
        <v>0</v>
      </c>
      <c r="B2747" s="1087" t="s">
        <v>654</v>
      </c>
      <c r="C2747" s="2842"/>
      <c r="D2747" s="2757"/>
      <c r="E2747" s="2758" t="s">
        <v>5471</v>
      </c>
      <c r="F2747" s="2759" t="s">
        <v>5474</v>
      </c>
      <c r="G2747" s="2758" t="s">
        <v>856</v>
      </c>
      <c r="H2747" s="2760">
        <f>H2742*(0.4*3*1-2*3.14*0.15^2*0.4)</f>
        <v>0</v>
      </c>
      <c r="I2747" s="2670">
        <f t="shared" si="157"/>
        <v>0</v>
      </c>
      <c r="J2747" s="1069"/>
      <c r="K2747" s="1069"/>
      <c r="L2747" s="1069"/>
      <c r="M2747" s="934">
        <v>1250</v>
      </c>
    </row>
    <row r="2748" spans="1:13" s="1016" customFormat="1" ht="25.2" hidden="1" customHeight="1">
      <c r="A2748" s="1086">
        <f t="shared" si="155"/>
        <v>0</v>
      </c>
      <c r="B2748" s="1087"/>
      <c r="C2748" s="2842"/>
      <c r="D2748" s="2772">
        <f>IF(H2748&gt;0,D2742+1,D2742)</f>
        <v>8</v>
      </c>
      <c r="E2748" s="2783"/>
      <c r="F2748" s="2774" t="s">
        <v>6281</v>
      </c>
      <c r="G2748" s="2775" t="s">
        <v>2385</v>
      </c>
      <c r="H2748" s="2776">
        <f>H2605</f>
        <v>1</v>
      </c>
      <c r="I2748" s="2670">
        <f t="shared" si="157"/>
        <v>1</v>
      </c>
      <c r="J2748" s="1069"/>
      <c r="K2748" s="1069"/>
      <c r="L2748" s="1069"/>
      <c r="M2748" s="934">
        <v>1250</v>
      </c>
    </row>
    <row r="2749" spans="1:13" s="1016" customFormat="1" ht="25.2" hidden="1" customHeight="1">
      <c r="A2749" s="1086">
        <f t="shared" si="155"/>
        <v>0</v>
      </c>
      <c r="B2749" s="1087"/>
      <c r="C2749" s="2842"/>
      <c r="D2749" s="2762"/>
      <c r="E2749" s="2777"/>
      <c r="F2749" s="2778" t="s">
        <v>6133</v>
      </c>
      <c r="G2749" s="2757"/>
      <c r="H2749" s="2760"/>
      <c r="I2749" s="2670">
        <f t="shared" si="157"/>
        <v>0</v>
      </c>
      <c r="J2749" s="1069"/>
      <c r="K2749" s="1069"/>
      <c r="L2749" s="1069"/>
      <c r="M2749" s="934">
        <v>1250</v>
      </c>
    </row>
    <row r="2750" spans="1:13" s="1016" customFormat="1" ht="25.2" hidden="1" customHeight="1">
      <c r="A2750" s="1086">
        <f t="shared" si="155"/>
        <v>0</v>
      </c>
      <c r="B2750" s="1087"/>
      <c r="C2750" s="2842"/>
      <c r="D2750" s="2762"/>
      <c r="E2750" s="2777"/>
      <c r="F2750" s="2778" t="s">
        <v>6133</v>
      </c>
      <c r="G2750" s="2757"/>
      <c r="H2750" s="2760"/>
      <c r="I2750" s="2670">
        <f t="shared" si="157"/>
        <v>0</v>
      </c>
      <c r="J2750" s="1069"/>
      <c r="K2750" s="1069"/>
      <c r="L2750" s="1069"/>
      <c r="M2750" s="934">
        <v>1250</v>
      </c>
    </row>
    <row r="2751" spans="1:13" s="1016" customFormat="1" ht="25.2" hidden="1" customHeight="1">
      <c r="A2751" s="1086">
        <f t="shared" si="155"/>
        <v>0</v>
      </c>
      <c r="B2751" s="1087" t="s">
        <v>2008</v>
      </c>
      <c r="C2751" s="2842"/>
      <c r="D2751" s="2757"/>
      <c r="E2751" s="2758">
        <v>0</v>
      </c>
      <c r="F2751" s="2759" t="str">
        <f t="shared" ref="F2751:F2756" si="158">VLOOKUP(B2751,DonGia,3,0)</f>
        <v>Sắt Ø10</v>
      </c>
      <c r="G2751" s="2758" t="s">
        <v>2248</v>
      </c>
      <c r="H2751" s="2760">
        <f>H2748*(0.4*3*1-2*3.14*0.15^2*0.4)</f>
        <v>1.1434800000000003</v>
      </c>
      <c r="I2751" s="2670">
        <f t="shared" si="157"/>
        <v>1.1434800000000003</v>
      </c>
      <c r="J2751" s="1069"/>
      <c r="K2751" s="1069"/>
      <c r="L2751" s="1069"/>
      <c r="M2751" s="934">
        <v>1250</v>
      </c>
    </row>
    <row r="2752" spans="1:13" s="1016" customFormat="1" ht="25.2" hidden="1" customHeight="1">
      <c r="A2752" s="1086">
        <f t="shared" si="155"/>
        <v>0</v>
      </c>
      <c r="B2752" s="1087" t="s">
        <v>6243</v>
      </c>
      <c r="C2752" s="2842"/>
      <c r="D2752" s="2757"/>
      <c r="E2752" s="2758">
        <v>0</v>
      </c>
      <c r="F2752" s="2759" t="str">
        <f t="shared" si="158"/>
        <v>Bêtông đá 1x2 mac 200</v>
      </c>
      <c r="G2752" s="2758" t="s">
        <v>856</v>
      </c>
      <c r="H2752" s="2760">
        <v>1.08</v>
      </c>
      <c r="I2752" s="2670">
        <f t="shared" si="157"/>
        <v>1.08</v>
      </c>
      <c r="J2752" s="1069"/>
      <c r="K2752" s="1069"/>
      <c r="L2752" s="1069"/>
      <c r="M2752" s="934">
        <v>1250</v>
      </c>
    </row>
    <row r="2753" spans="1:13" s="1016" customFormat="1" ht="25.2" hidden="1" customHeight="1">
      <c r="A2753" s="1086">
        <f t="shared" si="155"/>
        <v>0</v>
      </c>
      <c r="B2753" s="1087" t="s">
        <v>5485</v>
      </c>
      <c r="C2753" s="2842"/>
      <c r="D2753" s="2757"/>
      <c r="E2753" s="2758">
        <v>0</v>
      </c>
      <c r="F2753" s="2759" t="str">
        <f t="shared" si="158"/>
        <v>Bêtông đá 4x6 mac 100</v>
      </c>
      <c r="G2753" s="2758" t="s">
        <v>856</v>
      </c>
      <c r="H2753" s="2760">
        <v>0.16799999999999998</v>
      </c>
      <c r="I2753" s="2670">
        <f t="shared" si="157"/>
        <v>0.16799999999999998</v>
      </c>
      <c r="J2753" s="1069"/>
      <c r="K2753" s="1069"/>
      <c r="L2753" s="1069"/>
      <c r="M2753" s="934">
        <v>1250</v>
      </c>
    </row>
    <row r="2754" spans="1:13" s="1016" customFormat="1" ht="25.2" hidden="1" customHeight="1">
      <c r="A2754" s="1086">
        <f t="shared" si="155"/>
        <v>0</v>
      </c>
      <c r="B2754" s="1087" t="s">
        <v>585</v>
      </c>
      <c r="C2754" s="2842"/>
      <c r="D2754" s="2757"/>
      <c r="E2754" s="2758" t="s">
        <v>5479</v>
      </c>
      <c r="F2754" s="2759" t="str">
        <f t="shared" si="158"/>
        <v>Gia công và lắp dựng cốt thép D&lt;=18</v>
      </c>
      <c r="G2754" s="2758" t="s">
        <v>2248</v>
      </c>
      <c r="H2754" s="2760">
        <v>18.880200000000002</v>
      </c>
      <c r="I2754" s="2670">
        <f t="shared" si="157"/>
        <v>18.880200000000002</v>
      </c>
      <c r="J2754" s="1069"/>
      <c r="K2754" s="1069"/>
      <c r="L2754" s="1069"/>
      <c r="M2754" s="934">
        <v>1250</v>
      </c>
    </row>
    <row r="2755" spans="1:13" s="1016" customFormat="1" ht="25.2" hidden="1" customHeight="1">
      <c r="A2755" s="1086">
        <f t="shared" si="155"/>
        <v>0</v>
      </c>
      <c r="B2755" s="1087" t="s">
        <v>654</v>
      </c>
      <c r="C2755" s="2842"/>
      <c r="D2755" s="2757"/>
      <c r="E2755" s="2758" t="s">
        <v>5471</v>
      </c>
      <c r="F2755" s="2759" t="str">
        <f t="shared" si="158"/>
        <v>Đổ bê tông móng trụ &lt;=250cm-M200 đá 1x2</v>
      </c>
      <c r="G2755" s="2758" t="s">
        <v>856</v>
      </c>
      <c r="H2755" s="2760">
        <v>1.08</v>
      </c>
      <c r="I2755" s="2670">
        <f t="shared" si="157"/>
        <v>1.08</v>
      </c>
      <c r="J2755" s="1069"/>
      <c r="K2755" s="1069"/>
      <c r="L2755" s="1069"/>
      <c r="M2755" s="934">
        <v>1250</v>
      </c>
    </row>
    <row r="2756" spans="1:13" s="1016" customFormat="1" ht="25.2" hidden="1" customHeight="1">
      <c r="A2756" s="1086">
        <f t="shared" si="155"/>
        <v>0</v>
      </c>
      <c r="B2756" s="1087" t="s">
        <v>1955</v>
      </c>
      <c r="C2756" s="2842"/>
      <c r="D2756" s="2757"/>
      <c r="E2756" s="2758" t="s">
        <v>5471</v>
      </c>
      <c r="F2756" s="2759" t="str">
        <f t="shared" si="158"/>
        <v>Đổ bê tông mác M100 đá 4x6</v>
      </c>
      <c r="G2756" s="2758" t="s">
        <v>856</v>
      </c>
      <c r="H2756" s="2760">
        <v>0.16799999999999998</v>
      </c>
      <c r="I2756" s="2670">
        <f t="shared" si="157"/>
        <v>0.16799999999999998</v>
      </c>
      <c r="J2756" s="1069"/>
      <c r="K2756" s="1069"/>
      <c r="L2756" s="1069"/>
      <c r="M2756" s="934">
        <v>1250</v>
      </c>
    </row>
    <row r="2757" spans="1:13" s="1016" customFormat="1" ht="25.2" hidden="1" customHeight="1">
      <c r="A2757" s="1086">
        <f t="shared" ref="A2757:A2820" si="159">IF(AND(M2757=$M$23,I2757&gt;0),1,0)</f>
        <v>0</v>
      </c>
      <c r="B2757" s="1087"/>
      <c r="C2757" s="2842"/>
      <c r="D2757" s="2772">
        <f>IF(H2757&gt;0,D2748+1,D2748)</f>
        <v>9</v>
      </c>
      <c r="E2757" s="2783"/>
      <c r="F2757" s="2774" t="s">
        <v>6244</v>
      </c>
      <c r="G2757" s="2775" t="s">
        <v>2385</v>
      </c>
      <c r="H2757" s="2776">
        <f>H2748</f>
        <v>1</v>
      </c>
      <c r="I2757" s="2670">
        <f t="shared" si="157"/>
        <v>1</v>
      </c>
      <c r="J2757" s="1069"/>
      <c r="K2757" s="1069"/>
      <c r="L2757" s="1069"/>
      <c r="M2757" s="934">
        <v>1250</v>
      </c>
    </row>
    <row r="2758" spans="1:13" s="1016" customFormat="1" ht="25.2" hidden="1" customHeight="1">
      <c r="A2758" s="1086">
        <f t="shared" si="159"/>
        <v>0</v>
      </c>
      <c r="B2758" s="1087"/>
      <c r="C2758" s="2842"/>
      <c r="D2758" s="2762"/>
      <c r="E2758" s="2777"/>
      <c r="F2758" s="2778" t="s">
        <v>6133</v>
      </c>
      <c r="G2758" s="2757"/>
      <c r="H2758" s="2760"/>
      <c r="I2758" s="2670">
        <f t="shared" si="157"/>
        <v>0</v>
      </c>
      <c r="J2758" s="1069"/>
      <c r="K2758" s="1069"/>
      <c r="L2758" s="1069"/>
      <c r="M2758" s="934">
        <v>1250</v>
      </c>
    </row>
    <row r="2759" spans="1:13" s="1016" customFormat="1" ht="25.2" hidden="1" customHeight="1">
      <c r="A2759" s="1086">
        <f t="shared" si="159"/>
        <v>0</v>
      </c>
      <c r="B2759" s="1087"/>
      <c r="C2759" s="2842"/>
      <c r="D2759" s="2762"/>
      <c r="E2759" s="2777"/>
      <c r="F2759" s="2778" t="s">
        <v>6133</v>
      </c>
      <c r="G2759" s="2757"/>
      <c r="H2759" s="2760"/>
      <c r="I2759" s="2670">
        <f t="shared" si="157"/>
        <v>0</v>
      </c>
      <c r="J2759" s="1069"/>
      <c r="K2759" s="1069"/>
      <c r="L2759" s="1069"/>
      <c r="M2759" s="934">
        <v>1250</v>
      </c>
    </row>
    <row r="2760" spans="1:13" s="1016" customFormat="1" ht="25.2" hidden="1" customHeight="1">
      <c r="A2760" s="1086">
        <f t="shared" si="159"/>
        <v>0</v>
      </c>
      <c r="B2760" s="1087" t="s">
        <v>5302</v>
      </c>
      <c r="C2760" s="2842"/>
      <c r="D2760" s="2757"/>
      <c r="E2760" s="2758" t="s">
        <v>5303</v>
      </c>
      <c r="F2760" s="2759" t="str">
        <f t="shared" ref="F2760:F2773" si="160">VLOOKUP(B2760,DonGia,3,0)</f>
        <v>Ông sắt tráng kẽm D76</v>
      </c>
      <c r="G2760" s="2758" t="s">
        <v>2532</v>
      </c>
      <c r="H2760" s="2760">
        <f>H2757*9*2</f>
        <v>18</v>
      </c>
      <c r="I2760" s="2670">
        <f t="shared" si="157"/>
        <v>18</v>
      </c>
      <c r="J2760" s="1069"/>
      <c r="K2760" s="1069"/>
      <c r="L2760" s="1069"/>
      <c r="M2760" s="934">
        <v>1250</v>
      </c>
    </row>
    <row r="2761" spans="1:13" s="1016" customFormat="1" ht="25.2" hidden="1" customHeight="1">
      <c r="A2761" s="1086">
        <f t="shared" si="159"/>
        <v>0</v>
      </c>
      <c r="B2761" s="1087" t="s">
        <v>5364</v>
      </c>
      <c r="C2761" s="2842"/>
      <c r="D2761" s="2757"/>
      <c r="E2761" s="2758" t="s">
        <v>5365</v>
      </c>
      <c r="F2761" s="2759" t="str">
        <f t="shared" si="160"/>
        <v>Mặt bích nối cột bêt tông loại 200x200x5, 04 lỗ D16</v>
      </c>
      <c r="G2761" s="2758" t="s">
        <v>5367</v>
      </c>
      <c r="H2761" s="2760">
        <f>H2760/2</f>
        <v>9</v>
      </c>
      <c r="I2761" s="2670">
        <f t="shared" si="157"/>
        <v>9</v>
      </c>
      <c r="J2761" s="1069"/>
      <c r="K2761" s="1069"/>
      <c r="L2761" s="1069"/>
      <c r="M2761" s="934">
        <v>1250</v>
      </c>
    </row>
    <row r="2762" spans="1:13" s="1016" customFormat="1" ht="25.2" hidden="1" customHeight="1">
      <c r="A2762" s="1086">
        <f t="shared" si="159"/>
        <v>0</v>
      </c>
      <c r="B2762" s="1087" t="s">
        <v>5164</v>
      </c>
      <c r="C2762" s="2842"/>
      <c r="D2762" s="2757"/>
      <c r="E2762" s="2758">
        <v>0</v>
      </c>
      <c r="F2762" s="2759" t="str">
        <f t="shared" si="160"/>
        <v>Thanh sắt V50x50x5-4000 - 16kg/thanh</v>
      </c>
      <c r="G2762" s="2758" t="s">
        <v>2248</v>
      </c>
      <c r="H2762" s="2760">
        <f>H2757*16*2/4*16</f>
        <v>128</v>
      </c>
      <c r="I2762" s="2670">
        <f t="shared" si="157"/>
        <v>128</v>
      </c>
      <c r="J2762" s="1069"/>
      <c r="K2762" s="1069"/>
      <c r="L2762" s="1069"/>
      <c r="M2762" s="934">
        <v>1250</v>
      </c>
    </row>
    <row r="2763" spans="1:13" s="1016" customFormat="1" ht="25.2" hidden="1" customHeight="1">
      <c r="A2763" s="1086">
        <f t="shared" si="159"/>
        <v>0</v>
      </c>
      <c r="B2763" s="1087" t="s">
        <v>5166</v>
      </c>
      <c r="C2763" s="2842"/>
      <c r="D2763" s="2757"/>
      <c r="E2763" s="2758">
        <v>0</v>
      </c>
      <c r="F2763" s="2759" t="str">
        <f t="shared" si="160"/>
        <v>Thanh sắt V40x40x3-6000 - 17,7kg/thanh</v>
      </c>
      <c r="G2763" s="2758" t="s">
        <v>2248</v>
      </c>
      <c r="H2763" s="2760">
        <f>H2757*16/6*17.7</f>
        <v>47.199999999999996</v>
      </c>
      <c r="I2763" s="2670">
        <f t="shared" si="157"/>
        <v>47.199999999999996</v>
      </c>
      <c r="J2763" s="1069"/>
      <c r="K2763" s="1069"/>
      <c r="L2763" s="1069"/>
      <c r="M2763" s="934">
        <v>1250</v>
      </c>
    </row>
    <row r="2764" spans="1:13" s="1016" customFormat="1" ht="25.2" hidden="1" customHeight="1">
      <c r="A2764" s="1086">
        <f t="shared" si="159"/>
        <v>0</v>
      </c>
      <c r="B2764" s="1087" t="s">
        <v>279</v>
      </c>
      <c r="C2764" s="2842"/>
      <c r="D2764" s="2757"/>
      <c r="E2764" s="2758">
        <v>0</v>
      </c>
      <c r="F2764" s="2759" t="str">
        <f t="shared" si="160"/>
        <v>Sắt dẹt 60 x 6</v>
      </c>
      <c r="G2764" s="2758" t="s">
        <v>2248</v>
      </c>
      <c r="H2764" s="2760">
        <f>H2757*3</f>
        <v>3</v>
      </c>
      <c r="I2764" s="2670">
        <f t="shared" si="157"/>
        <v>3</v>
      </c>
      <c r="J2764" s="1069"/>
      <c r="K2764" s="1069"/>
      <c r="L2764" s="1069"/>
      <c r="M2764" s="934">
        <v>1250</v>
      </c>
    </row>
    <row r="2765" spans="1:13" s="1016" customFormat="1" ht="25.2" hidden="1" customHeight="1">
      <c r="A2765" s="1086">
        <f t="shared" si="159"/>
        <v>0</v>
      </c>
      <c r="B2765" s="1087" t="s">
        <v>6245</v>
      </c>
      <c r="C2765" s="2842"/>
      <c r="D2765" s="2757"/>
      <c r="E2765" s="2758">
        <v>0</v>
      </c>
      <c r="F2765" s="2759" t="str">
        <f t="shared" si="160"/>
        <v>Lưới B40 - 1800-3/Zn</v>
      </c>
      <c r="G2765" s="2758" t="s">
        <v>2532</v>
      </c>
      <c r="H2765" s="2760">
        <f>H2757*(12+2.2)</f>
        <v>14.2</v>
      </c>
      <c r="I2765" s="2670">
        <f t="shared" si="157"/>
        <v>14.2</v>
      </c>
      <c r="J2765" s="1069"/>
      <c r="K2765" s="1069"/>
      <c r="L2765" s="1069"/>
      <c r="M2765" s="934">
        <v>1250</v>
      </c>
    </row>
    <row r="2766" spans="1:13" s="1016" customFormat="1" ht="25.2" hidden="1" customHeight="1">
      <c r="A2766" s="1086">
        <f t="shared" si="159"/>
        <v>0</v>
      </c>
      <c r="B2766" s="1087" t="s">
        <v>745</v>
      </c>
      <c r="C2766" s="2842"/>
      <c r="D2766" s="2757"/>
      <c r="E2766" s="2758">
        <v>0</v>
      </c>
      <c r="F2766" s="2759" t="str">
        <f t="shared" si="160"/>
        <v>Sắt Ø8</v>
      </c>
      <c r="G2766" s="2758" t="s">
        <v>2248</v>
      </c>
      <c r="H2766" s="2760">
        <f>H2757*16</f>
        <v>16</v>
      </c>
      <c r="I2766" s="2670">
        <f t="shared" si="157"/>
        <v>16</v>
      </c>
      <c r="J2766" s="1069"/>
      <c r="K2766" s="1069"/>
      <c r="L2766" s="1069"/>
      <c r="M2766" s="934">
        <v>1250</v>
      </c>
    </row>
    <row r="2767" spans="1:13" s="1016" customFormat="1" ht="25.2" hidden="1" customHeight="1">
      <c r="A2767" s="1086">
        <f t="shared" si="159"/>
        <v>0</v>
      </c>
      <c r="B2767" s="1087" t="s">
        <v>5058</v>
      </c>
      <c r="C2767" s="2842"/>
      <c r="D2767" s="2757"/>
      <c r="E2767" s="2758">
        <v>0</v>
      </c>
      <c r="F2767" s="2759" t="str">
        <f t="shared" si="160"/>
        <v>Boulon 14x350+ 2 long đền vuông D16-50x50x3/Zn</v>
      </c>
      <c r="G2767" s="2758" t="s">
        <v>2439</v>
      </c>
      <c r="H2767" s="2760">
        <f>H2757*9*4</f>
        <v>36</v>
      </c>
      <c r="I2767" s="2670">
        <f t="shared" si="157"/>
        <v>36</v>
      </c>
      <c r="J2767" s="1069"/>
      <c r="K2767" s="1069"/>
      <c r="L2767" s="1069"/>
      <c r="M2767" s="934">
        <v>1250</v>
      </c>
    </row>
    <row r="2768" spans="1:13" s="1016" customFormat="1" ht="25.2" hidden="1" customHeight="1">
      <c r="A2768" s="1086">
        <f t="shared" si="159"/>
        <v>0</v>
      </c>
      <c r="B2768" s="1087" t="s">
        <v>6243</v>
      </c>
      <c r="C2768" s="2842"/>
      <c r="D2768" s="2757"/>
      <c r="E2768" s="2758">
        <v>0</v>
      </c>
      <c r="F2768" s="2759" t="str">
        <f t="shared" si="160"/>
        <v>Bêtông đá 1x2 mac 200</v>
      </c>
      <c r="G2768" s="2758" t="s">
        <v>856</v>
      </c>
      <c r="H2768" s="2760">
        <f>H2757*0.12</f>
        <v>0.12</v>
      </c>
      <c r="I2768" s="2670">
        <f t="shared" si="157"/>
        <v>0.12</v>
      </c>
      <c r="J2768" s="1069"/>
      <c r="K2768" s="1069"/>
      <c r="L2768" s="1069"/>
      <c r="M2768" s="934">
        <v>1250</v>
      </c>
    </row>
    <row r="2769" spans="1:13" s="1016" customFormat="1" ht="25.2" hidden="1" customHeight="1">
      <c r="A2769" s="1086">
        <f t="shared" si="159"/>
        <v>0</v>
      </c>
      <c r="B2769" s="1087" t="s">
        <v>934</v>
      </c>
      <c r="C2769" s="2842"/>
      <c r="D2769" s="2757"/>
      <c r="E2769" s="2758">
        <v>0</v>
      </c>
      <c r="F2769" s="2759" t="str">
        <f t="shared" si="160"/>
        <v>Gạch ống</v>
      </c>
      <c r="G2769" s="2758" t="s">
        <v>3006</v>
      </c>
      <c r="H2769" s="2760">
        <f>H2757*350</f>
        <v>350</v>
      </c>
      <c r="I2769" s="2670">
        <f t="shared" si="157"/>
        <v>350</v>
      </c>
      <c r="J2769" s="1069"/>
      <c r="K2769" s="1069"/>
      <c r="L2769" s="1069"/>
      <c r="M2769" s="934">
        <v>1250</v>
      </c>
    </row>
    <row r="2770" spans="1:13" s="1016" customFormat="1" ht="25.2" hidden="1" customHeight="1">
      <c r="A2770" s="1086">
        <f t="shared" si="159"/>
        <v>0</v>
      </c>
      <c r="B2770" s="1087" t="s">
        <v>5487</v>
      </c>
      <c r="C2770" s="2842"/>
      <c r="D2770" s="2757"/>
      <c r="E2770" s="2758" t="s">
        <v>5488</v>
      </c>
      <c r="F2770" s="2759" t="str">
        <f t="shared" si="160"/>
        <v>Xây tường gạch ống bề dày &lt;30cm</v>
      </c>
      <c r="G2770" s="2758" t="s">
        <v>856</v>
      </c>
      <c r="H2770" s="2760">
        <f>H2757*1.4</f>
        <v>1.4</v>
      </c>
      <c r="I2770" s="2670">
        <f t="shared" si="157"/>
        <v>1.4</v>
      </c>
      <c r="J2770" s="1069"/>
      <c r="K2770" s="1069"/>
      <c r="L2770" s="1069"/>
      <c r="M2770" s="934">
        <v>1250</v>
      </c>
    </row>
    <row r="2771" spans="1:13" s="1016" customFormat="1" ht="25.2" hidden="1" customHeight="1">
      <c r="A2771" s="1086">
        <f t="shared" si="159"/>
        <v>0</v>
      </c>
      <c r="B2771" s="1087" t="s">
        <v>9</v>
      </c>
      <c r="C2771" s="2842"/>
      <c r="D2771" s="2757"/>
      <c r="E2771" s="2758" t="s">
        <v>5478</v>
      </c>
      <c r="F2771" s="2759" t="str">
        <f t="shared" si="160"/>
        <v>Gia công và lắp dựng cốt thép D&lt;=10</v>
      </c>
      <c r="G2771" s="2758" t="s">
        <v>2248</v>
      </c>
      <c r="H2771" s="2760">
        <f>H2766</f>
        <v>16</v>
      </c>
      <c r="I2771" s="2670">
        <f t="shared" si="157"/>
        <v>16</v>
      </c>
      <c r="J2771" s="1069"/>
      <c r="K2771" s="1069"/>
      <c r="L2771" s="1069"/>
      <c r="M2771" s="934">
        <v>1250</v>
      </c>
    </row>
    <row r="2772" spans="1:13" s="1016" customFormat="1" ht="25.2" hidden="1" customHeight="1">
      <c r="A2772" s="1086">
        <f t="shared" si="159"/>
        <v>0</v>
      </c>
      <c r="B2772" s="1087" t="s">
        <v>654</v>
      </c>
      <c r="C2772" s="2842"/>
      <c r="D2772" s="2757"/>
      <c r="E2772" s="2758" t="s">
        <v>5471</v>
      </c>
      <c r="F2772" s="2759" t="str">
        <f t="shared" si="160"/>
        <v>Đổ bê tông móng trụ &lt;=250cm-M200 đá 1x2</v>
      </c>
      <c r="G2772" s="2758" t="s">
        <v>856</v>
      </c>
      <c r="H2772" s="2760">
        <f>H2768</f>
        <v>0.12</v>
      </c>
      <c r="I2772" s="2670">
        <f t="shared" si="157"/>
        <v>0.12</v>
      </c>
      <c r="J2772" s="1069"/>
      <c r="K2772" s="1069"/>
      <c r="L2772" s="1069"/>
      <c r="M2772" s="934">
        <v>1250</v>
      </c>
    </row>
    <row r="2773" spans="1:13" s="1016" customFormat="1" ht="25.2" hidden="1" customHeight="1">
      <c r="A2773" s="1086">
        <f t="shared" si="159"/>
        <v>0</v>
      </c>
      <c r="B2773" s="1087" t="s">
        <v>5480</v>
      </c>
      <c r="C2773" s="2842"/>
      <c r="D2773" s="2757"/>
      <c r="E2773" s="2758" t="s">
        <v>5481</v>
      </c>
      <c r="F2773" s="2759" t="str">
        <f t="shared" si="160"/>
        <v>Gia công và lắp dựng khung cửa sắt</v>
      </c>
      <c r="G2773" s="2758" t="s">
        <v>1960</v>
      </c>
      <c r="H2773" s="2760">
        <f>H2757*12*2</f>
        <v>24</v>
      </c>
      <c r="I2773" s="2670">
        <f t="shared" si="157"/>
        <v>24</v>
      </c>
      <c r="J2773" s="1069"/>
      <c r="K2773" s="1069"/>
      <c r="L2773" s="1069"/>
      <c r="M2773" s="934">
        <v>1250</v>
      </c>
    </row>
    <row r="2774" spans="1:13" s="1016" customFormat="1" ht="25.2" hidden="1" customHeight="1">
      <c r="A2774" s="1086">
        <f t="shared" si="159"/>
        <v>0</v>
      </c>
      <c r="B2774" s="1087"/>
      <c r="C2774" s="2842"/>
      <c r="D2774" s="2772">
        <f>IF(H2774&gt;0,D2757+1,D2757)</f>
        <v>10</v>
      </c>
      <c r="E2774" s="2783"/>
      <c r="F2774" s="2774" t="s">
        <v>6253</v>
      </c>
      <c r="G2774" s="2775" t="s">
        <v>2385</v>
      </c>
      <c r="H2774" s="2776">
        <v>1</v>
      </c>
      <c r="I2774" s="2670">
        <f t="shared" si="157"/>
        <v>1</v>
      </c>
      <c r="J2774" s="1069"/>
      <c r="K2774" s="1069"/>
      <c r="L2774" s="1069"/>
      <c r="M2774" s="934">
        <v>1250</v>
      </c>
    </row>
    <row r="2775" spans="1:13" s="1016" customFormat="1" ht="25.2" hidden="1" customHeight="1">
      <c r="A2775" s="1086">
        <f t="shared" si="159"/>
        <v>0</v>
      </c>
      <c r="B2775" s="1087"/>
      <c r="C2775" s="2842"/>
      <c r="D2775" s="2762"/>
      <c r="E2775" s="2777"/>
      <c r="F2775" s="2781" t="s">
        <v>6133</v>
      </c>
      <c r="G2775" s="2762"/>
      <c r="H2775" s="2763"/>
      <c r="I2775" s="2670">
        <f t="shared" si="157"/>
        <v>0</v>
      </c>
      <c r="J2775" s="1069"/>
      <c r="K2775" s="1069"/>
      <c r="L2775" s="1069"/>
      <c r="M2775" s="934">
        <v>1250</v>
      </c>
    </row>
    <row r="2776" spans="1:13" s="1016" customFormat="1" ht="25.2" hidden="1" customHeight="1">
      <c r="A2776" s="1086">
        <f t="shared" si="159"/>
        <v>0</v>
      </c>
      <c r="B2776" s="1087" t="s">
        <v>2276</v>
      </c>
      <c r="C2776" s="2842"/>
      <c r="D2776" s="2782"/>
      <c r="E2776" s="2758">
        <v>0</v>
      </c>
      <c r="F2776" s="2759" t="str">
        <f>VLOOKUP(B2776,DonGia,3,0)</f>
        <v xml:space="preserve">Cáp CVV 4x4mm2  </v>
      </c>
      <c r="G2776" s="2784" t="s">
        <v>2532</v>
      </c>
      <c r="H2776" s="2760">
        <f>H2774*3*11</f>
        <v>33</v>
      </c>
      <c r="I2776" s="2670">
        <f t="shared" si="157"/>
        <v>33</v>
      </c>
      <c r="J2776" s="1069"/>
      <c r="K2776" s="1069"/>
      <c r="L2776" s="1069"/>
      <c r="M2776" s="934">
        <v>1250</v>
      </c>
    </row>
    <row r="2777" spans="1:13" s="1016" customFormat="1" ht="25.2" hidden="1" customHeight="1">
      <c r="A2777" s="1086">
        <f t="shared" si="159"/>
        <v>0</v>
      </c>
      <c r="B2777" s="1087" t="s">
        <v>6254</v>
      </c>
      <c r="C2777" s="2842"/>
      <c r="D2777" s="2757"/>
      <c r="E2777" s="2758">
        <v>0</v>
      </c>
      <c r="F2777" s="2780" t="s">
        <v>5053</v>
      </c>
      <c r="G2777" s="2784" t="s">
        <v>2439</v>
      </c>
      <c r="H2777" s="2760"/>
      <c r="I2777" s="2670">
        <f t="shared" si="157"/>
        <v>0</v>
      </c>
      <c r="J2777" s="1069"/>
      <c r="K2777" s="1069"/>
      <c r="L2777" s="1069"/>
      <c r="M2777" s="934">
        <v>1250</v>
      </c>
    </row>
    <row r="2778" spans="1:13" s="1016" customFormat="1" ht="25.2" hidden="1" customHeight="1">
      <c r="A2778" s="1086">
        <f t="shared" si="159"/>
        <v>0</v>
      </c>
      <c r="B2778" s="1087" t="s">
        <v>6255</v>
      </c>
      <c r="C2778" s="2842"/>
      <c r="D2778" s="2757"/>
      <c r="E2778" s="2758">
        <v>0</v>
      </c>
      <c r="F2778" s="2759" t="str">
        <f>VLOOKUP(B2778,DonGia,3,0)</f>
        <v>Boulon 10x50+ 2 long đền vuông D12-50x50x3/Zn</v>
      </c>
      <c r="G2778" s="2784" t="s">
        <v>2439</v>
      </c>
      <c r="H2778" s="2760">
        <v>24</v>
      </c>
      <c r="I2778" s="2670">
        <f t="shared" si="157"/>
        <v>24</v>
      </c>
      <c r="J2778" s="1069"/>
      <c r="K2778" s="1069"/>
      <c r="L2778" s="1069"/>
      <c r="M2778" s="934">
        <v>1250</v>
      </c>
    </row>
    <row r="2779" spans="1:13" s="1016" customFormat="1" ht="25.2" hidden="1" customHeight="1">
      <c r="A2779" s="1086">
        <f t="shared" si="159"/>
        <v>0</v>
      </c>
      <c r="B2779" s="1087" t="s">
        <v>246</v>
      </c>
      <c r="C2779" s="2842"/>
      <c r="D2779" s="2782"/>
      <c r="E2779" s="2758">
        <v>0</v>
      </c>
      <c r="F2779" s="2759" t="str">
        <f>VLOOKUP(B2779,DonGia,3,0)</f>
        <v>Xà kẹp TU, TI U50x32x4 350</v>
      </c>
      <c r="G2779" s="2784" t="s">
        <v>2555</v>
      </c>
      <c r="H2779" s="2760">
        <v>24</v>
      </c>
      <c r="I2779" s="2670">
        <f t="shared" si="157"/>
        <v>24</v>
      </c>
      <c r="J2779" s="1069"/>
      <c r="K2779" s="1069"/>
      <c r="L2779" s="1069"/>
      <c r="M2779" s="934">
        <v>1250</v>
      </c>
    </row>
    <row r="2780" spans="1:13" s="1016" customFormat="1" ht="25.2" hidden="1" customHeight="1">
      <c r="A2780" s="1086">
        <f t="shared" si="159"/>
        <v>0</v>
      </c>
      <c r="B2780" s="1087" t="s">
        <v>5734</v>
      </c>
      <c r="C2780" s="2842"/>
      <c r="D2780" s="2757"/>
      <c r="E2780" s="2758" t="s">
        <v>5724</v>
      </c>
      <c r="F2780" s="2759" t="str">
        <f>VLOOKUP(B2780,DonGia,3,0)</f>
        <v xml:space="preserve">Đầu cosse ép Cu 4mm2 + bao PVC </v>
      </c>
      <c r="G2780" s="2784" t="s">
        <v>2555</v>
      </c>
      <c r="H2780" s="2760">
        <f>H2774*16</f>
        <v>16</v>
      </c>
      <c r="I2780" s="2670">
        <f t="shared" si="157"/>
        <v>16</v>
      </c>
      <c r="J2780" s="1069"/>
      <c r="K2780" s="1069"/>
      <c r="L2780" s="1069"/>
      <c r="M2780" s="934">
        <v>1250</v>
      </c>
    </row>
    <row r="2781" spans="1:13" s="1016" customFormat="1" ht="25.2" hidden="1" customHeight="1">
      <c r="A2781" s="1086">
        <f t="shared" si="159"/>
        <v>0</v>
      </c>
      <c r="B2781" s="1087" t="s">
        <v>1510</v>
      </c>
      <c r="C2781" s="2842"/>
      <c r="D2781" s="2757"/>
      <c r="E2781" s="2758">
        <v>0</v>
      </c>
      <c r="F2781" s="2780" t="s">
        <v>3515</v>
      </c>
      <c r="G2781" s="2784" t="s">
        <v>2532</v>
      </c>
      <c r="H2781" s="2760"/>
      <c r="I2781" s="2670">
        <f t="shared" si="157"/>
        <v>0</v>
      </c>
      <c r="J2781" s="1069"/>
      <c r="K2781" s="1069"/>
      <c r="L2781" s="1069"/>
      <c r="M2781" s="934">
        <v>1250</v>
      </c>
    </row>
    <row r="2782" spans="1:13" s="1016" customFormat="1" ht="25.2" hidden="1" customHeight="1">
      <c r="A2782" s="1086">
        <f t="shared" si="159"/>
        <v>0</v>
      </c>
      <c r="B2782" s="1087" t="s">
        <v>816</v>
      </c>
      <c r="C2782" s="2842"/>
      <c r="D2782" s="2757"/>
      <c r="E2782" s="2758">
        <v>0</v>
      </c>
      <c r="F2782" s="2759" t="str">
        <f t="shared" ref="F2782:F2794" si="161">VLOOKUP(B2782,DonGia,3,0)</f>
        <v>Ốc siết cáp cỡ 25mm2</v>
      </c>
      <c r="G2782" s="2784" t="s">
        <v>2555</v>
      </c>
      <c r="H2782" s="2760">
        <v>3</v>
      </c>
      <c r="I2782" s="2670">
        <f t="shared" si="157"/>
        <v>3</v>
      </c>
      <c r="J2782" s="1069"/>
      <c r="K2782" s="1069"/>
      <c r="L2782" s="1069"/>
      <c r="M2782" s="934">
        <v>1250</v>
      </c>
    </row>
    <row r="2783" spans="1:13" s="1016" customFormat="1" ht="25.2" hidden="1" customHeight="1">
      <c r="A2783" s="1086">
        <f t="shared" si="159"/>
        <v>0</v>
      </c>
      <c r="B2783" s="1087" t="s">
        <v>2141</v>
      </c>
      <c r="C2783" s="2842"/>
      <c r="D2783" s="2757"/>
      <c r="E2783" s="2758">
        <v>0</v>
      </c>
      <c r="F2783" s="2759" t="str">
        <f t="shared" si="161"/>
        <v>Ống PVC D42x2,1mm</v>
      </c>
      <c r="G2783" s="2784" t="s">
        <v>1823</v>
      </c>
      <c r="H2783" s="2760">
        <f>H2792*18</f>
        <v>18</v>
      </c>
      <c r="I2783" s="2670">
        <f t="shared" si="157"/>
        <v>18</v>
      </c>
      <c r="J2783" s="1069"/>
      <c r="K2783" s="1069"/>
      <c r="L2783" s="1069"/>
      <c r="M2783" s="934">
        <v>1250</v>
      </c>
    </row>
    <row r="2784" spans="1:13" s="1016" customFormat="1" ht="25.2" hidden="1" customHeight="1">
      <c r="A2784" s="1086">
        <f t="shared" si="159"/>
        <v>0</v>
      </c>
      <c r="B2784" s="1087" t="s">
        <v>204</v>
      </c>
      <c r="C2784" s="2842"/>
      <c r="D2784" s="2757"/>
      <c r="E2784" s="2758">
        <v>0</v>
      </c>
      <c r="F2784" s="2759" t="str">
        <f t="shared" si="161"/>
        <v>Cổ dê giữ ống PVC D42</v>
      </c>
      <c r="G2784" s="2784" t="s">
        <v>2439</v>
      </c>
      <c r="H2784" s="2760">
        <f>H2774*4</f>
        <v>4</v>
      </c>
      <c r="I2784" s="2670">
        <f t="shared" si="157"/>
        <v>4</v>
      </c>
      <c r="J2784" s="1069"/>
      <c r="K2784" s="1069"/>
      <c r="L2784" s="1069"/>
      <c r="M2784" s="934">
        <v>1250</v>
      </c>
    </row>
    <row r="2785" spans="1:13" s="1016" customFormat="1" ht="25.2" hidden="1" customHeight="1">
      <c r="A2785" s="1086">
        <f t="shared" si="159"/>
        <v>0</v>
      </c>
      <c r="B2785" s="1087" t="s">
        <v>1616</v>
      </c>
      <c r="C2785" s="2842"/>
      <c r="D2785" s="2757"/>
      <c r="E2785" s="2758">
        <v>0</v>
      </c>
      <c r="F2785" s="2759" t="str">
        <f t="shared" si="161"/>
        <v>Co 90 độ PVC 42</v>
      </c>
      <c r="G2785" s="2784" t="s">
        <v>2555</v>
      </c>
      <c r="H2785" s="2760">
        <f>H2774*6</f>
        <v>6</v>
      </c>
      <c r="I2785" s="2670">
        <f t="shared" si="157"/>
        <v>6</v>
      </c>
      <c r="J2785" s="1069"/>
      <c r="K2785" s="1069"/>
      <c r="L2785" s="1069"/>
      <c r="M2785" s="934">
        <v>1250</v>
      </c>
    </row>
    <row r="2786" spans="1:13" s="1016" customFormat="1" ht="25.2" hidden="1" customHeight="1">
      <c r="A2786" s="1086">
        <f t="shared" si="159"/>
        <v>0</v>
      </c>
      <c r="B2786" s="1087" t="s">
        <v>1050</v>
      </c>
      <c r="C2786" s="2842"/>
      <c r="D2786" s="2757"/>
      <c r="E2786" s="2758">
        <v>0</v>
      </c>
      <c r="F2786" s="2759" t="str">
        <f t="shared" si="161"/>
        <v>Co chữ T ống PVC 42</v>
      </c>
      <c r="G2786" s="2784" t="s">
        <v>2555</v>
      </c>
      <c r="H2786" s="2760">
        <f>H2774*5</f>
        <v>5</v>
      </c>
      <c r="I2786" s="2670">
        <f t="shared" si="157"/>
        <v>5</v>
      </c>
      <c r="J2786" s="1069"/>
      <c r="K2786" s="1069"/>
      <c r="L2786" s="1069"/>
      <c r="M2786" s="934">
        <v>1250</v>
      </c>
    </row>
    <row r="2787" spans="1:13" s="1016" customFormat="1" ht="25.2" hidden="1" customHeight="1">
      <c r="A2787" s="1086">
        <f t="shared" si="159"/>
        <v>0</v>
      </c>
      <c r="B2787" s="1087" t="s">
        <v>726</v>
      </c>
      <c r="C2787" s="2842"/>
      <c r="D2787" s="2757"/>
      <c r="E2787" s="2758">
        <v>0</v>
      </c>
      <c r="F2787" s="2759" t="str">
        <f t="shared" si="161"/>
        <v>Keo dán ống PVC (500gr)</v>
      </c>
      <c r="G2787" s="2784" t="s">
        <v>388</v>
      </c>
      <c r="H2787" s="2760">
        <f>H2774</f>
        <v>1</v>
      </c>
      <c r="I2787" s="2670">
        <f t="shared" si="157"/>
        <v>1</v>
      </c>
      <c r="J2787" s="1069"/>
      <c r="K2787" s="1069"/>
      <c r="L2787" s="1069"/>
      <c r="M2787" s="934">
        <v>1250</v>
      </c>
    </row>
    <row r="2788" spans="1:13" s="1016" customFormat="1" ht="25.2" hidden="1" customHeight="1">
      <c r="A2788" s="1086">
        <f t="shared" si="159"/>
        <v>0</v>
      </c>
      <c r="B2788" s="1087" t="s">
        <v>672</v>
      </c>
      <c r="C2788" s="2842"/>
      <c r="D2788" s="2757"/>
      <c r="E2788" s="2758">
        <v>0</v>
      </c>
      <c r="F2788" s="2759" t="str">
        <f t="shared" si="161"/>
        <v>Băng keo cách điện</v>
      </c>
      <c r="G2788" s="2784" t="s">
        <v>3566</v>
      </c>
      <c r="H2788" s="2760">
        <f>H2774</f>
        <v>1</v>
      </c>
      <c r="I2788" s="2670">
        <f t="shared" si="157"/>
        <v>1</v>
      </c>
      <c r="J2788" s="1069"/>
      <c r="K2788" s="1069"/>
      <c r="L2788" s="1069"/>
      <c r="M2788" s="934">
        <v>1250</v>
      </c>
    </row>
    <row r="2789" spans="1:13" s="1016" customFormat="1" ht="25.2" hidden="1" customHeight="1">
      <c r="A2789" s="1086">
        <f t="shared" si="159"/>
        <v>0</v>
      </c>
      <c r="B2789" s="1087" t="s">
        <v>2120</v>
      </c>
      <c r="C2789" s="2842"/>
      <c r="D2789" s="2757"/>
      <c r="E2789" s="2758">
        <v>0</v>
      </c>
      <c r="F2789" s="2759" t="str">
        <f t="shared" si="161"/>
        <v>Khâu ven răng trong D42</v>
      </c>
      <c r="G2789" s="2784" t="s">
        <v>2555</v>
      </c>
      <c r="H2789" s="2760">
        <f>H2774</f>
        <v>1</v>
      </c>
      <c r="I2789" s="2670">
        <f t="shared" si="157"/>
        <v>1</v>
      </c>
      <c r="J2789" s="1069"/>
      <c r="K2789" s="1069"/>
      <c r="L2789" s="1069"/>
      <c r="M2789" s="934">
        <v>1250</v>
      </c>
    </row>
    <row r="2790" spans="1:13" s="1016" customFormat="1" ht="25.2" hidden="1" customHeight="1">
      <c r="A2790" s="1086">
        <f t="shared" si="159"/>
        <v>0</v>
      </c>
      <c r="B2790" s="1087" t="s">
        <v>959</v>
      </c>
      <c r="C2790" s="2842"/>
      <c r="D2790" s="2757"/>
      <c r="E2790" s="2758">
        <v>0</v>
      </c>
      <c r="F2790" s="2759" t="str">
        <f t="shared" si="161"/>
        <v>Khâu ven răng ngoài D42</v>
      </c>
      <c r="G2790" s="2784" t="s">
        <v>2555</v>
      </c>
      <c r="H2790" s="2760">
        <f>H2774</f>
        <v>1</v>
      </c>
      <c r="I2790" s="2670">
        <f t="shared" si="157"/>
        <v>1</v>
      </c>
      <c r="J2790" s="1069"/>
      <c r="K2790" s="1069"/>
      <c r="L2790" s="1069"/>
      <c r="M2790" s="934">
        <v>1250</v>
      </c>
    </row>
    <row r="2791" spans="1:13" s="1016" customFormat="1" ht="25.2" hidden="1" customHeight="1">
      <c r="A2791" s="1086">
        <f t="shared" si="159"/>
        <v>0</v>
      </c>
      <c r="B2791" s="1087" t="s">
        <v>319</v>
      </c>
      <c r="C2791" s="2842"/>
      <c r="D2791" s="2757"/>
      <c r="E2791" s="2758">
        <v>0</v>
      </c>
      <c r="F2791" s="2759" t="str">
        <f t="shared" si="161"/>
        <v>Cổ dê CDĐKĐT( bắt thùng điện kế)</v>
      </c>
      <c r="G2791" s="2784" t="s">
        <v>2439</v>
      </c>
      <c r="H2791" s="2760">
        <v>1</v>
      </c>
      <c r="I2791" s="2670">
        <f t="shared" si="157"/>
        <v>1</v>
      </c>
      <c r="J2791" s="1069"/>
      <c r="K2791" s="1069"/>
      <c r="L2791" s="1069"/>
      <c r="M2791" s="934">
        <v>1250</v>
      </c>
    </row>
    <row r="2792" spans="1:13" s="1016" customFormat="1" ht="25.2" hidden="1" customHeight="1">
      <c r="A2792" s="1086">
        <f t="shared" si="159"/>
        <v>0</v>
      </c>
      <c r="B2792" s="1087" t="s">
        <v>1915</v>
      </c>
      <c r="C2792" s="2842"/>
      <c r="D2792" s="2757"/>
      <c r="E2792" s="2758" t="s">
        <v>5655</v>
      </c>
      <c r="F2792" s="2759" t="str">
        <f t="shared" si="161"/>
        <v>Thùng điện kế 450x300x200mm đo đếm trung thế</v>
      </c>
      <c r="G2792" s="2784" t="s">
        <v>2555</v>
      </c>
      <c r="H2792" s="2760">
        <f>H2774</f>
        <v>1</v>
      </c>
      <c r="I2792" s="2670">
        <f t="shared" si="157"/>
        <v>1</v>
      </c>
      <c r="J2792" s="1069"/>
      <c r="K2792" s="1069"/>
      <c r="L2792" s="1069"/>
      <c r="M2792" s="934">
        <v>1250</v>
      </c>
    </row>
    <row r="2793" spans="1:13" s="1016" customFormat="1" ht="25.2" hidden="1" customHeight="1">
      <c r="A2793" s="1086">
        <f t="shared" si="159"/>
        <v>0</v>
      </c>
      <c r="B2793" s="1087" t="s">
        <v>6</v>
      </c>
      <c r="C2793" s="2842"/>
      <c r="D2793" s="2757"/>
      <c r="E2793" s="2758">
        <v>0</v>
      </c>
      <c r="F2793" s="2759" t="str">
        <f t="shared" si="161"/>
        <v>Keo silicon bít miệng ống</v>
      </c>
      <c r="G2793" s="2784" t="s">
        <v>5806</v>
      </c>
      <c r="H2793" s="2760">
        <f>H2774*2</f>
        <v>2</v>
      </c>
      <c r="I2793" s="2670">
        <f t="shared" si="157"/>
        <v>2</v>
      </c>
      <c r="J2793" s="1069"/>
      <c r="K2793" s="1069"/>
      <c r="L2793" s="1069"/>
      <c r="M2793" s="934">
        <v>1250</v>
      </c>
    </row>
    <row r="2794" spans="1:13" s="1016" customFormat="1" ht="25.2" hidden="1" customHeight="1">
      <c r="A2794" s="1086">
        <f t="shared" si="159"/>
        <v>0</v>
      </c>
      <c r="B2794" s="1087" t="s">
        <v>2139</v>
      </c>
      <c r="C2794" s="2842"/>
      <c r="D2794" s="2757"/>
      <c r="E2794" s="2758">
        <v>0</v>
      </c>
      <c r="F2794" s="2759" t="str">
        <f t="shared" si="161"/>
        <v>Dây đồng trần mềm dẹt</v>
      </c>
      <c r="G2794" s="2784" t="s">
        <v>2532</v>
      </c>
      <c r="H2794" s="2760">
        <f>H2774*4</f>
        <v>4</v>
      </c>
      <c r="I2794" s="2670">
        <f t="shared" si="157"/>
        <v>4</v>
      </c>
      <c r="J2794" s="1069"/>
      <c r="K2794" s="1069"/>
      <c r="L2794" s="1069"/>
      <c r="M2794" s="934">
        <v>1250</v>
      </c>
    </row>
    <row r="2795" spans="1:13" s="1016" customFormat="1" ht="25.2" hidden="1" customHeight="1">
      <c r="A2795" s="1086">
        <f t="shared" si="159"/>
        <v>0</v>
      </c>
      <c r="B2795" s="1087" t="s">
        <v>1035</v>
      </c>
      <c r="C2795" s="2842"/>
      <c r="D2795" s="2757"/>
      <c r="E2795" s="2758">
        <v>0</v>
      </c>
      <c r="F2795" s="2780" t="s">
        <v>6389</v>
      </c>
      <c r="G2795" s="2784" t="s">
        <v>2248</v>
      </c>
      <c r="H2795" s="2785"/>
      <c r="I2795" s="2670">
        <f t="shared" si="157"/>
        <v>0</v>
      </c>
      <c r="J2795" s="1069"/>
      <c r="K2795" s="1069"/>
      <c r="L2795" s="1069"/>
      <c r="M2795" s="934">
        <v>1250</v>
      </c>
    </row>
    <row r="2796" spans="1:13" s="1016" customFormat="1" ht="25.2" hidden="1" customHeight="1">
      <c r="A2796" s="1086">
        <f t="shared" si="159"/>
        <v>0</v>
      </c>
      <c r="B2796" s="1087" t="s">
        <v>6255</v>
      </c>
      <c r="C2796" s="2842"/>
      <c r="D2796" s="2757"/>
      <c r="E2796" s="2758">
        <v>0</v>
      </c>
      <c r="F2796" s="2780" t="s">
        <v>2624</v>
      </c>
      <c r="G2796" s="2784" t="s">
        <v>2439</v>
      </c>
      <c r="H2796" s="2785"/>
      <c r="I2796" s="2670">
        <f t="shared" si="157"/>
        <v>0</v>
      </c>
      <c r="J2796" s="1069"/>
      <c r="K2796" s="1069"/>
      <c r="L2796" s="1069"/>
      <c r="M2796" s="934">
        <v>1250</v>
      </c>
    </row>
    <row r="2797" spans="1:13" s="1016" customFormat="1" ht="25.2" hidden="1" customHeight="1">
      <c r="A2797" s="1086">
        <f t="shared" si="159"/>
        <v>0</v>
      </c>
      <c r="B2797" s="1087"/>
      <c r="C2797" s="2842"/>
      <c r="D2797" s="1075"/>
      <c r="F2797" s="1076"/>
      <c r="H2797" s="1735"/>
      <c r="I2797" s="1869"/>
      <c r="M2797" s="934"/>
    </row>
    <row r="2798" spans="1:13" s="1016" customFormat="1" ht="25.2" hidden="1" customHeight="1">
      <c r="A2798" s="1086">
        <f t="shared" si="159"/>
        <v>0</v>
      </c>
      <c r="B2798" s="1250"/>
      <c r="C2798" s="2854"/>
      <c r="D2798" s="939"/>
      <c r="E2798" s="939"/>
      <c r="F2798" s="939"/>
      <c r="G2798" s="939"/>
      <c r="H2798" s="1727"/>
      <c r="I2798" s="1192">
        <f t="shared" ref="I2798:I2829" si="162">IF(M2798=$M$23,H2798+J2798-K2798,0)</f>
        <v>0</v>
      </c>
      <c r="J2798" s="1077"/>
      <c r="K2798" s="1077"/>
      <c r="L2798" s="1078"/>
      <c r="M2798" s="934"/>
    </row>
    <row r="2799" spans="1:13" s="1016" customFormat="1" ht="25.2" hidden="1" customHeight="1">
      <c r="A2799" s="1086">
        <f t="shared" si="159"/>
        <v>0</v>
      </c>
      <c r="B2799" s="1226"/>
      <c r="C2799" s="2841"/>
      <c r="D2799" s="1036"/>
      <c r="E2799" s="1037"/>
      <c r="F2799" s="1038" t="s">
        <v>3672</v>
      </c>
      <c r="G2799" s="1039"/>
      <c r="H2799" s="1754"/>
      <c r="I2799" s="1192">
        <f t="shared" si="162"/>
        <v>0</v>
      </c>
      <c r="J2799" s="1039"/>
      <c r="K2799" s="1039"/>
      <c r="L2799" s="1069"/>
      <c r="M2799" s="934">
        <v>2000</v>
      </c>
    </row>
    <row r="2800" spans="1:13" s="1016" customFormat="1" ht="25.2" hidden="1" customHeight="1">
      <c r="A2800" s="1086">
        <f t="shared" si="159"/>
        <v>0</v>
      </c>
      <c r="B2800" s="1227" t="s">
        <v>4507</v>
      </c>
      <c r="C2800" s="2840"/>
      <c r="D2800" s="1023">
        <f>IF(H2800&gt;0,1,0)</f>
        <v>0</v>
      </c>
      <c r="E2800" s="1012" t="str">
        <f>VLOOKUP($B2800,DG!A:D,DG!$B$2,)</f>
        <v>01.1147</v>
      </c>
      <c r="F2800" s="1013" t="str">
        <f>VLOOKUP($B2800,DG!A:D,DG!$C$2,)</f>
        <v>Máy biến áp 22/0,4kV- 2000kVA</v>
      </c>
      <c r="G2800" s="1012" t="str">
        <f>VLOOKUP($B2800,DG!A:D,DG!$D$2,)</f>
        <v>máy</v>
      </c>
      <c r="H2800" s="1737">
        <f>L17</f>
        <v>0</v>
      </c>
      <c r="I2800" s="1192">
        <f t="shared" si="162"/>
        <v>0</v>
      </c>
      <c r="J2800" s="1041"/>
      <c r="K2800" s="1041"/>
      <c r="L2800" s="1080"/>
      <c r="M2800" s="934">
        <v>2000</v>
      </c>
    </row>
    <row r="2801" spans="1:13" s="1016" customFormat="1" ht="25.2" hidden="1" customHeight="1">
      <c r="A2801" s="1086">
        <f t="shared" si="159"/>
        <v>0</v>
      </c>
      <c r="B2801" s="1227" t="s">
        <v>393</v>
      </c>
      <c r="C2801" s="2840"/>
      <c r="D2801" s="1023">
        <f t="shared" ref="D2801:D2807" si="163">IF(H2801&gt;0,D2800+1,D2800)</f>
        <v>0</v>
      </c>
      <c r="E2801" s="1012" t="str">
        <f>VLOOKUP($B2801,DG!A:D,DG!$B$2,)</f>
        <v>02.3302</v>
      </c>
      <c r="F2801" s="1013" t="str">
        <f>VLOOKUP($B2801,DG!A:D,DG!$C$2,)</f>
        <v xml:space="preserve">DS 3P - 24KV - 630A </v>
      </c>
      <c r="G2801" s="1012" t="str">
        <f>VLOOKUP($B2801,DG!A:D,DG!$D$2,)</f>
        <v>bộ</v>
      </c>
      <c r="H2801" s="1713">
        <f>+H2800</f>
        <v>0</v>
      </c>
      <c r="I2801" s="1192">
        <f t="shared" si="162"/>
        <v>0</v>
      </c>
      <c r="J2801" s="1041"/>
      <c r="K2801" s="1041"/>
      <c r="L2801" s="1015"/>
      <c r="M2801" s="934">
        <v>2000</v>
      </c>
    </row>
    <row r="2802" spans="1:13" s="1016" customFormat="1" ht="25.2" hidden="1" customHeight="1">
      <c r="A2802" s="1086">
        <f t="shared" si="159"/>
        <v>0</v>
      </c>
      <c r="B2802" s="1226" t="s">
        <v>1</v>
      </c>
      <c r="C2802" s="2841"/>
      <c r="D2802" s="1023">
        <f t="shared" si="163"/>
        <v>0</v>
      </c>
      <c r="E2802" s="1012" t="str">
        <f>VLOOKUP($B2802,DG!A:D,DG!$B$2,)</f>
        <v>05.2102</v>
      </c>
      <c r="F2802" s="1013" t="str">
        <f>VLOOKUP($B2802,DG!A:D,DG!$C$2,)</f>
        <v>Tủ LBS 3 pha 630-800A</v>
      </c>
      <c r="G2802" s="1012" t="str">
        <f>VLOOKUP($B2802,DG!A:D,DG!$D$2,)</f>
        <v>tủ</v>
      </c>
      <c r="H2802" s="1713">
        <f>H2800</f>
        <v>0</v>
      </c>
      <c r="I2802" s="1192">
        <f t="shared" si="162"/>
        <v>0</v>
      </c>
      <c r="J2802" s="1041"/>
      <c r="K2802" s="1041"/>
      <c r="L2802" s="1043" t="s">
        <v>3750</v>
      </c>
      <c r="M2802" s="934">
        <v>2000</v>
      </c>
    </row>
    <row r="2803" spans="1:13" s="1016" customFormat="1" ht="25.2" hidden="1" customHeight="1">
      <c r="A2803" s="1086">
        <f t="shared" si="159"/>
        <v>0</v>
      </c>
      <c r="B2803" s="1227" t="s">
        <v>1652</v>
      </c>
      <c r="C2803" s="2840"/>
      <c r="D2803" s="1023">
        <f t="shared" si="163"/>
        <v>0</v>
      </c>
      <c r="E2803" s="1012" t="str">
        <f>VLOOKUP($B2803,DG!A:D,DG!$B$2,)</f>
        <v>02.3155</v>
      </c>
      <c r="F2803" s="1013" t="str">
        <f>VLOOKUP($B2803,DG!A:D,DG!$C$2,)</f>
        <v>FCO 24kV - 100A</v>
      </c>
      <c r="G2803" s="1012" t="str">
        <f>VLOOKUP($B2803,DG!A:D,DG!$D$2,)</f>
        <v>cái</v>
      </c>
      <c r="H2803" s="1713">
        <f>+H2800*3</f>
        <v>0</v>
      </c>
      <c r="I2803" s="1192">
        <f t="shared" si="162"/>
        <v>0</v>
      </c>
      <c r="J2803" s="1014"/>
      <c r="K2803" s="1014"/>
      <c r="L2803" s="1015"/>
      <c r="M2803" s="934">
        <v>2000</v>
      </c>
    </row>
    <row r="2804" spans="1:13" s="1016" customFormat="1" ht="25.2" hidden="1" customHeight="1">
      <c r="A2804" s="1086">
        <f t="shared" si="159"/>
        <v>0</v>
      </c>
      <c r="B2804" s="1226" t="s">
        <v>2067</v>
      </c>
      <c r="C2804" s="2841"/>
      <c r="D2804" s="1023">
        <f t="shared" si="163"/>
        <v>0</v>
      </c>
      <c r="E2804" s="1012">
        <f>VLOOKUP($B2804,DG!A:D,DG!$B$2,)</f>
        <v>0</v>
      </c>
      <c r="F2804" s="1013" t="str">
        <f>VLOOKUP($B2804,DG!A:D,DG!$C$2,)</f>
        <v>Dây chảy 30K</v>
      </c>
      <c r="G2804" s="1012" t="str">
        <f>VLOOKUP($B2804,DG!A:D,DG!$D$2,)</f>
        <v>Sợi</v>
      </c>
      <c r="H2804" s="1713">
        <f>H2803</f>
        <v>0</v>
      </c>
      <c r="I2804" s="1192">
        <f t="shared" si="162"/>
        <v>0</v>
      </c>
      <c r="J2804" s="1014"/>
      <c r="K2804" s="1014"/>
      <c r="L2804" s="1015"/>
      <c r="M2804" s="934">
        <v>2000</v>
      </c>
    </row>
    <row r="2805" spans="1:13" s="1016" customFormat="1" ht="25.2" hidden="1" customHeight="1">
      <c r="A2805" s="1086">
        <f t="shared" si="159"/>
        <v>0</v>
      </c>
      <c r="B2805" s="1226" t="s">
        <v>1373</v>
      </c>
      <c r="C2805" s="2841"/>
      <c r="D2805" s="1023">
        <f t="shared" si="163"/>
        <v>0</v>
      </c>
      <c r="E2805" s="1012" t="str">
        <f>VLOOKUP($B2805,DG!A:D,DG!$B$2,)</f>
        <v>02.5114</v>
      </c>
      <c r="F2805" s="1013" t="str">
        <f>VLOOKUP($B2805,DG!A:D,DG!$C$2,)</f>
        <v>Chống sét van LA-18KV-10KA</v>
      </c>
      <c r="G2805" s="1012" t="str">
        <f>VLOOKUP($B2805,DG!A:D,DG!$D$2,)</f>
        <v>cái</v>
      </c>
      <c r="H2805" s="1713">
        <f>H2800*3</f>
        <v>0</v>
      </c>
      <c r="I2805" s="1192">
        <f t="shared" si="162"/>
        <v>0</v>
      </c>
      <c r="J2805" s="1014"/>
      <c r="K2805" s="1014"/>
      <c r="L2805" s="1015"/>
      <c r="M2805" s="934">
        <v>2000</v>
      </c>
    </row>
    <row r="2806" spans="1:13" s="1016" customFormat="1" ht="25.2" hidden="1" customHeight="1">
      <c r="A2806" s="1086">
        <f t="shared" si="159"/>
        <v>0</v>
      </c>
      <c r="B2806" s="1227" t="s">
        <v>882</v>
      </c>
      <c r="C2806" s="2840"/>
      <c r="D2806" s="1023">
        <f t="shared" si="163"/>
        <v>0</v>
      </c>
      <c r="E2806" s="1012" t="str">
        <f>VLOOKUP($B2806,DG!A:D,DG!$B$2,)</f>
        <v>02.8404</v>
      </c>
      <c r="F2806" s="1013" t="str">
        <f>VLOOKUP($B2806,DG!A:D,DG!$C$2,)</f>
        <v>MCCB 3 cực 400V -1000A - 50KA</v>
      </c>
      <c r="G2806" s="1012" t="str">
        <f>VLOOKUP($B2806,DG!A:D,DG!$D$2,)</f>
        <v>cái</v>
      </c>
      <c r="H2806" s="1713">
        <f>H2800</f>
        <v>0</v>
      </c>
      <c r="I2806" s="1192">
        <f t="shared" si="162"/>
        <v>0</v>
      </c>
      <c r="J2806" s="1014"/>
      <c r="K2806" s="1014"/>
      <c r="L2806" s="1015"/>
      <c r="M2806" s="934">
        <v>2000</v>
      </c>
    </row>
    <row r="2807" spans="1:13" s="1016" customFormat="1" ht="25.2" hidden="1" customHeight="1">
      <c r="A2807" s="1086">
        <f t="shared" si="159"/>
        <v>0</v>
      </c>
      <c r="B2807" s="1227" t="s">
        <v>883</v>
      </c>
      <c r="C2807" s="2840"/>
      <c r="D2807" s="1023">
        <f t="shared" si="163"/>
        <v>0</v>
      </c>
      <c r="E2807" s="1012" t="str">
        <f>VLOOKUP($B2807,DG!A:D,DG!$B$2,)</f>
        <v>02.8534</v>
      </c>
      <c r="F2807" s="1013" t="str">
        <f>VLOOKUP($B2807,DG!A:D,DG!$C$2,)</f>
        <v>Tủ tụ bù hạ thế 220kVAr</v>
      </c>
      <c r="G2807" s="1012" t="str">
        <f>VLOOKUP($B2807,DG!A:D,DG!$D$2,)</f>
        <v>tủ</v>
      </c>
      <c r="H2807" s="1713">
        <f>H2806</f>
        <v>0</v>
      </c>
      <c r="I2807" s="1192">
        <f t="shared" si="162"/>
        <v>0</v>
      </c>
      <c r="J2807" s="1014"/>
      <c r="K2807" s="1014"/>
      <c r="L2807" s="1015"/>
      <c r="M2807" s="934">
        <v>2000</v>
      </c>
    </row>
    <row r="2808" spans="1:13" s="1016" customFormat="1" ht="25.2" hidden="1" customHeight="1">
      <c r="A2808" s="1086">
        <f t="shared" si="159"/>
        <v>0</v>
      </c>
      <c r="B2808" s="1087" t="s">
        <v>2042</v>
      </c>
      <c r="C2808" s="2842"/>
      <c r="D2808" s="1023">
        <f>IF(H2808&gt;0,D2806+1,D2806)</f>
        <v>0</v>
      </c>
      <c r="E2808" s="1012">
        <f>VLOOKUP($B2808,DG!A:D,DG!$B$2,)</f>
        <v>0</v>
      </c>
      <c r="F2808" s="1013" t="str">
        <f>VLOOKUP($B2808,DG!A:D,DG!$C$2,)</f>
        <v>Biến dòng 600V - 800/5A</v>
      </c>
      <c r="G2808" s="1012" t="str">
        <f>VLOOKUP($B2808,DG!A:D,DG!$D$2,)</f>
        <v>cái</v>
      </c>
      <c r="H2808" s="1738">
        <f>H2800*3</f>
        <v>0</v>
      </c>
      <c r="I2808" s="1192">
        <f t="shared" si="162"/>
        <v>0</v>
      </c>
      <c r="J2808" s="1014"/>
      <c r="K2808" s="1014"/>
      <c r="L2808" s="1044" t="s">
        <v>2601</v>
      </c>
      <c r="M2808" s="934">
        <v>2000</v>
      </c>
    </row>
    <row r="2809" spans="1:13" s="1016" customFormat="1" ht="25.2" hidden="1" customHeight="1">
      <c r="A2809" s="1086">
        <f t="shared" si="159"/>
        <v>0</v>
      </c>
      <c r="B2809" s="1087" t="s">
        <v>1668</v>
      </c>
      <c r="C2809" s="2842"/>
      <c r="D2809" s="1023">
        <f>IF(H2809&gt;0,D2807+1,D2807)</f>
        <v>0</v>
      </c>
      <c r="E2809" s="1012">
        <f>VLOOKUP($B2809,DG!A:D,DG!$B$2,)</f>
        <v>0</v>
      </c>
      <c r="F2809" s="1013" t="str">
        <f>VLOOKUP($B2809,DG!A:D,DG!$C$2,)</f>
        <v>Biến dòng 600V - 250/5A</v>
      </c>
      <c r="G2809" s="1012" t="str">
        <f>VLOOKUP($B2809,DG!A:D,DG!$D$2,)</f>
        <v>cái</v>
      </c>
      <c r="H2809" s="1738">
        <f>H2800*3</f>
        <v>0</v>
      </c>
      <c r="I2809" s="1192">
        <f t="shared" si="162"/>
        <v>0</v>
      </c>
      <c r="J2809" s="1014"/>
      <c r="K2809" s="1014"/>
      <c r="L2809" s="1044" t="s">
        <v>2601</v>
      </c>
      <c r="M2809" s="934">
        <v>2000</v>
      </c>
    </row>
    <row r="2810" spans="1:13" s="1016" customFormat="1" ht="25.2" hidden="1" customHeight="1">
      <c r="A2810" s="1086">
        <f t="shared" si="159"/>
        <v>0</v>
      </c>
      <c r="B2810" s="1087" t="s">
        <v>2187</v>
      </c>
      <c r="C2810" s="2842"/>
      <c r="D2810" s="1023">
        <f>IF(H2810&gt;0,D2809+1,D2809)</f>
        <v>0</v>
      </c>
      <c r="E2810" s="1012" t="str">
        <f>VLOOKUP($B2810,DG!A:D,DG!$B$2,)</f>
        <v>02.1114</v>
      </c>
      <c r="F2810" s="1013" t="str">
        <f>VLOOKUP($B2810,DG!A:D,DG!$C$2,)</f>
        <v>Biến điện áp 22000/√3/100/√3 V</v>
      </c>
      <c r="G2810" s="1012" t="str">
        <f>VLOOKUP($B2810,DG!A:D,DG!$D$2,)</f>
        <v>cái</v>
      </c>
      <c r="H2810" s="1750">
        <f>+H2809</f>
        <v>0</v>
      </c>
      <c r="I2810" s="1192">
        <f t="shared" si="162"/>
        <v>0</v>
      </c>
      <c r="J2810" s="1014"/>
      <c r="K2810" s="1014"/>
      <c r="L2810" s="1044" t="s">
        <v>2601</v>
      </c>
      <c r="M2810" s="934">
        <v>2000</v>
      </c>
    </row>
    <row r="2811" spans="1:13" s="1016" customFormat="1" ht="25.2" hidden="1" customHeight="1">
      <c r="A2811" s="1086">
        <f t="shared" si="159"/>
        <v>0</v>
      </c>
      <c r="B2811" s="1261" t="s">
        <v>288</v>
      </c>
      <c r="C2811" s="2875"/>
      <c r="D2811" s="1023">
        <f>IF(H2811&gt;0,D2810+1,D2810)</f>
        <v>0</v>
      </c>
      <c r="E2811" s="1012" t="str">
        <f>VLOOKUP($B2811,DG!A:D,DG!$B$2,)</f>
        <v>05.5104</v>
      </c>
      <c r="F2811" s="1013" t="str">
        <f>VLOOKUP($B2811,DG!A:D,DG!$C$2,)</f>
        <v>Điện kế 3 pha 4 dây 220/380V-5A</v>
      </c>
      <c r="G2811" s="1012" t="str">
        <f>VLOOKUP($B2811,DG!A:D,DG!$D$2,)</f>
        <v>cái</v>
      </c>
      <c r="H2811" s="1738">
        <f>H2800</f>
        <v>0</v>
      </c>
      <c r="I2811" s="1192">
        <f t="shared" si="162"/>
        <v>0</v>
      </c>
      <c r="J2811" s="1041"/>
      <c r="K2811" s="1041"/>
      <c r="L2811" s="1045" t="s">
        <v>2601</v>
      </c>
      <c r="M2811" s="934">
        <v>2000</v>
      </c>
    </row>
    <row r="2812" spans="1:13" s="1016" customFormat="1" ht="25.2" hidden="1" customHeight="1">
      <c r="A2812" s="1086">
        <f t="shared" si="159"/>
        <v>0</v>
      </c>
      <c r="B2812" s="1226"/>
      <c r="C2812" s="2841"/>
      <c r="D2812" s="1046"/>
      <c r="E2812" s="1047"/>
      <c r="F2812" s="1009"/>
      <c r="G2812" s="1046"/>
      <c r="H2812" s="1718"/>
      <c r="I2812" s="1192">
        <f t="shared" si="162"/>
        <v>0</v>
      </c>
      <c r="J2812" s="1009"/>
      <c r="K2812" s="1046"/>
      <c r="L2812" s="1069"/>
      <c r="M2812" s="934">
        <v>2000</v>
      </c>
    </row>
    <row r="2813" spans="1:13" s="1016" customFormat="1" ht="25.2" hidden="1" customHeight="1">
      <c r="A2813" s="1086">
        <f t="shared" si="159"/>
        <v>0</v>
      </c>
      <c r="B2813" s="1226"/>
      <c r="C2813" s="2841"/>
      <c r="D2813" s="1048"/>
      <c r="E2813" s="1049"/>
      <c r="F2813" s="1038" t="s">
        <v>3673</v>
      </c>
      <c r="G2813" s="1038"/>
      <c r="H2813" s="1730"/>
      <c r="I2813" s="1192">
        <f t="shared" si="162"/>
        <v>0</v>
      </c>
      <c r="J2813" s="1038"/>
      <c r="K2813" s="1038"/>
      <c r="L2813" s="1069"/>
      <c r="M2813" s="934">
        <v>2000</v>
      </c>
    </row>
    <row r="2814" spans="1:13" s="1016" customFormat="1" ht="25.2" hidden="1" customHeight="1">
      <c r="A2814" s="1086">
        <f t="shared" si="159"/>
        <v>0</v>
      </c>
      <c r="B2814" s="1253"/>
      <c r="C2814" s="2699"/>
      <c r="D2814" s="1050">
        <f>IF(H2814&gt;0,1,0)</f>
        <v>0</v>
      </c>
      <c r="E2814" s="1051"/>
      <c r="F2814" s="1052" t="s">
        <v>3712</v>
      </c>
      <c r="G2814" s="1053" t="s">
        <v>2277</v>
      </c>
      <c r="H2814" s="1739">
        <f>H2800</f>
        <v>0</v>
      </c>
      <c r="I2814" s="1192">
        <f t="shared" si="162"/>
        <v>0</v>
      </c>
      <c r="J2814" s="1054"/>
      <c r="K2814" s="1054"/>
      <c r="L2814" s="1015"/>
      <c r="M2814" s="934">
        <v>2000</v>
      </c>
    </row>
    <row r="2815" spans="1:13" s="1016" customFormat="1" ht="25.2" hidden="1" customHeight="1">
      <c r="A2815" s="1086">
        <f t="shared" si="159"/>
        <v>0</v>
      </c>
      <c r="B2815" s="1087" t="s">
        <v>2233</v>
      </c>
      <c r="C2815" s="2842"/>
      <c r="D2815" s="1055"/>
      <c r="E2815" s="1012"/>
      <c r="F2815" s="1056" t="str">
        <f>VLOOKUP($B2815,DG!A:D,DG!$C$2,)</f>
        <v>Trụ BTLT 10,5m F350 dự ứng lực</v>
      </c>
      <c r="G2815" s="1012" t="str">
        <f>VLOOKUP($B2815,DG!A:D,DG!$D$2,)</f>
        <v>trụ</v>
      </c>
      <c r="H2815" s="1740">
        <f>H2814</f>
        <v>0</v>
      </c>
      <c r="I2815" s="1192">
        <f t="shared" si="162"/>
        <v>0</v>
      </c>
      <c r="J2815" s="1041"/>
      <c r="K2815" s="1011"/>
      <c r="L2815" s="1015"/>
      <c r="M2815" s="934">
        <v>2000</v>
      </c>
    </row>
    <row r="2816" spans="1:13" s="1016" customFormat="1" ht="25.2" hidden="1" customHeight="1">
      <c r="A2816" s="1086">
        <f t="shared" si="159"/>
        <v>0</v>
      </c>
      <c r="B2816" s="1087" t="s">
        <v>1814</v>
      </c>
      <c r="C2816" s="2842"/>
      <c r="D2816" s="1055"/>
      <c r="E2816" s="1012"/>
      <c r="F2816" s="1056" t="str">
        <f>VLOOKUP($B2816,DG!A:D,DG!$C$2,)</f>
        <v>Vật liệu dựng trụ</v>
      </c>
      <c r="G2816" s="1012" t="str">
        <f>VLOOKUP($B2816,DG!A:D,DG!$D$2,)</f>
        <v>trụ</v>
      </c>
      <c r="H2816" s="1740">
        <f>H2815</f>
        <v>0</v>
      </c>
      <c r="I2816" s="1192">
        <f t="shared" si="162"/>
        <v>0</v>
      </c>
      <c r="J2816" s="1011"/>
      <c r="K2816" s="1011"/>
      <c r="L2816" s="1015"/>
      <c r="M2816" s="934">
        <v>2000</v>
      </c>
    </row>
    <row r="2817" spans="1:13" s="1016" customFormat="1" ht="25.2" hidden="1" customHeight="1">
      <c r="A2817" s="1086">
        <f t="shared" si="159"/>
        <v>0</v>
      </c>
      <c r="B2817" s="1087" t="s">
        <v>1612</v>
      </c>
      <c r="C2817" s="2842"/>
      <c r="D2817" s="1055"/>
      <c r="E2817" s="1012" t="str">
        <f>VLOOKUP($B2817,DG!A:D,DG!$B$2,)</f>
        <v>05.5402</v>
      </c>
      <c r="F2817" s="1056" t="str">
        <f>VLOOKUP($B2817,DG!A:D,DG!$C$2,)</f>
        <v>Dựng trụ BTLT 10,5m thủ công + cơ giới</v>
      </c>
      <c r="G2817" s="1012" t="str">
        <f>VLOOKUP($B2817,DG!A:D,DG!$D$2,)</f>
        <v>trụ</v>
      </c>
      <c r="H2817" s="1740">
        <f>H2815</f>
        <v>0</v>
      </c>
      <c r="I2817" s="1192">
        <f t="shared" si="162"/>
        <v>0</v>
      </c>
      <c r="J2817" s="1041"/>
      <c r="K2817" s="1041"/>
      <c r="L2817" s="1015"/>
      <c r="M2817" s="934">
        <v>2000</v>
      </c>
    </row>
    <row r="2818" spans="1:13" s="1016" customFormat="1" ht="25.2" hidden="1" customHeight="1">
      <c r="A2818" s="1086">
        <f t="shared" si="159"/>
        <v>0</v>
      </c>
      <c r="B2818" s="1087" t="s">
        <v>2234</v>
      </c>
      <c r="C2818" s="2842"/>
      <c r="D2818" s="1055"/>
      <c r="E2818" s="1012"/>
      <c r="F2818" s="1056" t="str">
        <f>VLOOKUP($B2818,DG!A:D,DG!$C$2,)</f>
        <v>Đào hố móng đất cấp 3 sâu &gt;1m</v>
      </c>
      <c r="G2818" s="1012" t="str">
        <f>VLOOKUP($B2818,DG!A:D,DG!$D$2,)</f>
        <v>m3</v>
      </c>
      <c r="H2818" s="1740">
        <f>H2814*0.201</f>
        <v>0</v>
      </c>
      <c r="I2818" s="1192">
        <f t="shared" si="162"/>
        <v>0</v>
      </c>
      <c r="J2818" s="1041"/>
      <c r="K2818" s="1041"/>
      <c r="L2818" s="1015"/>
      <c r="M2818" s="934">
        <v>2000</v>
      </c>
    </row>
    <row r="2819" spans="1:13" s="1016" customFormat="1" ht="25.2" hidden="1" customHeight="1">
      <c r="A2819" s="1086">
        <f t="shared" si="159"/>
        <v>0</v>
      </c>
      <c r="B2819" s="1087" t="s">
        <v>21</v>
      </c>
      <c r="C2819" s="2842"/>
      <c r="D2819" s="1055"/>
      <c r="E2819" s="1012" t="str">
        <f>VLOOKUP($B2819,DG!A:D,DG!$B$2,)</f>
        <v>03.4113</v>
      </c>
      <c r="F2819" s="1056" t="str">
        <f>VLOOKUP($B2819,DG!A:D,DG!$C$2,)</f>
        <v>Đắp đất hố móng, độ chặt k=0,95</v>
      </c>
      <c r="G2819" s="1012" t="str">
        <f>VLOOKUP($B2819,DG!A:D,DG!$D$2,)</f>
        <v>m3</v>
      </c>
      <c r="H2819" s="1740">
        <f>H2814*0.182</f>
        <v>0</v>
      </c>
      <c r="I2819" s="1192">
        <f t="shared" si="162"/>
        <v>0</v>
      </c>
      <c r="J2819" s="1041"/>
      <c r="K2819" s="1041"/>
      <c r="L2819" s="1015"/>
      <c r="M2819" s="934">
        <v>2000</v>
      </c>
    </row>
    <row r="2820" spans="1:13" s="1016" customFormat="1" ht="25.2" hidden="1" customHeight="1">
      <c r="A2820" s="1086">
        <f t="shared" si="159"/>
        <v>0</v>
      </c>
      <c r="B2820" s="1254"/>
      <c r="C2820" s="2857"/>
      <c r="D2820" s="1017">
        <f>IF(H2820&gt;0,D2814+1,D2814)</f>
        <v>0</v>
      </c>
      <c r="E2820" s="1051"/>
      <c r="F2820" s="1052" t="s">
        <v>2334</v>
      </c>
      <c r="G2820" s="1053" t="s">
        <v>2327</v>
      </c>
      <c r="H2820" s="1739">
        <f>H2814*0</f>
        <v>0</v>
      </c>
      <c r="I2820" s="1192">
        <f t="shared" si="162"/>
        <v>0</v>
      </c>
      <c r="J2820" s="1011"/>
      <c r="K2820" s="1011"/>
      <c r="L2820" s="1015"/>
      <c r="M2820" s="934">
        <v>2000</v>
      </c>
    </row>
    <row r="2821" spans="1:13" s="1016" customFormat="1" ht="25.2" hidden="1" customHeight="1">
      <c r="A2821" s="1086">
        <f t="shared" ref="A2821:A2884" si="164">IF(AND(M2821=$M$23,I2821&gt;0),1,0)</f>
        <v>0</v>
      </c>
      <c r="B2821" s="1233" t="s">
        <v>636</v>
      </c>
      <c r="C2821" s="2843"/>
      <c r="D2821" s="1055"/>
      <c r="E2821" s="1012" t="str">
        <f>VLOOKUP($B2821,DG!A:D,DG!$B$2,)</f>
        <v>04.4001</v>
      </c>
      <c r="F2821" s="1057" t="str">
        <f>VLOOKUP($B2821,DG!A:D,DG!$C$2,)</f>
        <v>Đà cản BTCT 1,2m</v>
      </c>
      <c r="G2821" s="1024" t="str">
        <f>VLOOKUP($B2821,DG!A:D,DG!$D$2,)</f>
        <v>cái</v>
      </c>
      <c r="H2821" s="1740">
        <f>H2820</f>
        <v>0</v>
      </c>
      <c r="I2821" s="1192">
        <f t="shared" si="162"/>
        <v>0</v>
      </c>
      <c r="J2821" s="1041"/>
      <c r="K2821" s="1011"/>
      <c r="L2821" s="1015"/>
      <c r="M2821" s="934">
        <v>2000</v>
      </c>
    </row>
    <row r="2822" spans="1:13" s="1016" customFormat="1" ht="25.2" hidden="1" customHeight="1">
      <c r="A2822" s="1086">
        <f t="shared" si="164"/>
        <v>0</v>
      </c>
      <c r="B2822" s="1233" t="s">
        <v>566</v>
      </c>
      <c r="C2822" s="2843"/>
      <c r="D2822" s="1055"/>
      <c r="E2822" s="1024"/>
      <c r="F2822" s="1057" t="str">
        <f>VLOOKUP($B2822,DG!A:D,DG!$C$2,)</f>
        <v>Boulon 22x650+ 2 long đền vuông D24-50x50x3/Zn</v>
      </c>
      <c r="G2822" s="1024" t="str">
        <f>VLOOKUP($B2822,DG!A:D,DG!$D$2,)</f>
        <v>bộ</v>
      </c>
      <c r="H2822" s="1740">
        <f>H2821</f>
        <v>0</v>
      </c>
      <c r="I2822" s="1192">
        <f t="shared" si="162"/>
        <v>0</v>
      </c>
      <c r="J2822" s="1057"/>
      <c r="K2822" s="1011"/>
      <c r="L2822" s="1015"/>
      <c r="M2822" s="934">
        <v>2000</v>
      </c>
    </row>
    <row r="2823" spans="1:13" s="1016" customFormat="1" ht="25.2" hidden="1" customHeight="1">
      <c r="A2823" s="1086">
        <f t="shared" si="164"/>
        <v>0</v>
      </c>
      <c r="B2823" s="1233" t="str">
        <f>IF(chitiet!G5=1,"MDD1",IF(chitiet!G5=2,"MDD2",IF(chitiet!G5=3,"MDD3",IF(chitiet!G5=4,"MDD4"))))</f>
        <v>MDD3</v>
      </c>
      <c r="C2823" s="2843"/>
      <c r="D2823" s="1055"/>
      <c r="E2823" s="1024" t="str">
        <f>VLOOKUP($B2823,DG!A:D,DG!$B$2,)</f>
        <v>03.1013</v>
      </c>
      <c r="F2823" s="1057" t="str">
        <f>VLOOKUP($B2823,DG!A:D,DG!$C$2,)</f>
        <v>Đào hố móng đất cấp 3 sâu &gt;1m</v>
      </c>
      <c r="G2823" s="1024" t="str">
        <f>VLOOKUP($B2823,DG!A:D,DG!$D$2,)</f>
        <v>m3</v>
      </c>
      <c r="H2823" s="1741">
        <f>1.48*H2821</f>
        <v>0</v>
      </c>
      <c r="I2823" s="1192">
        <f t="shared" si="162"/>
        <v>0</v>
      </c>
      <c r="J2823" s="1058"/>
      <c r="K2823" s="1011"/>
      <c r="L2823" s="1015"/>
      <c r="M2823" s="934">
        <v>2000</v>
      </c>
    </row>
    <row r="2824" spans="1:13" s="1016" customFormat="1" ht="25.2" hidden="1" customHeight="1">
      <c r="A2824" s="1086">
        <f t="shared" si="164"/>
        <v>0</v>
      </c>
      <c r="B2824" s="1233" t="str">
        <f>IF(chitiet!G5=1,"MDAP1",IF(chitiet!G5=2,"MDAP2",IF(chitiet!G5=3,"MDAP3",IF(chitiet!G5=4,"MDAP4"))))</f>
        <v>MDAP3</v>
      </c>
      <c r="C2824" s="2843"/>
      <c r="D2824" s="1055"/>
      <c r="E2824" s="1024" t="str">
        <f>VLOOKUP($B2824,DG!A:D,DG!$B$2,)</f>
        <v>03.4113</v>
      </c>
      <c r="F2824" s="1057" t="str">
        <f>VLOOKUP($B2824,DG!A:D,DG!$C$2,)</f>
        <v>Đắp đất hố móng, độ chặt k=0,95</v>
      </c>
      <c r="G2824" s="1024" t="str">
        <f>VLOOKUP($B2824,DG!A:D,DG!$D$2,)</f>
        <v>m3</v>
      </c>
      <c r="H2824" s="1741">
        <f>1.39*H2820</f>
        <v>0</v>
      </c>
      <c r="I2824" s="1192">
        <f t="shared" si="162"/>
        <v>0</v>
      </c>
      <c r="J2824" s="1058"/>
      <c r="K2824" s="1011"/>
      <c r="L2824" s="1015"/>
      <c r="M2824" s="934">
        <v>2000</v>
      </c>
    </row>
    <row r="2825" spans="1:13" s="1016" customFormat="1" ht="25.2" hidden="1" customHeight="1">
      <c r="A2825" s="1086">
        <f t="shared" si="164"/>
        <v>0</v>
      </c>
      <c r="B2825" s="1226"/>
      <c r="C2825" s="2841"/>
      <c r="D2825" s="1017">
        <f>IF(H2825&gt;0,D2820+1,D2820)</f>
        <v>0</v>
      </c>
      <c r="E2825" s="1059"/>
      <c r="F2825" s="1052" t="s">
        <v>3714</v>
      </c>
      <c r="G2825" s="1050" t="s">
        <v>2385</v>
      </c>
      <c r="H2825" s="1742">
        <f>H2800*0</f>
        <v>0</v>
      </c>
      <c r="I2825" s="1192">
        <f t="shared" si="162"/>
        <v>0</v>
      </c>
      <c r="J2825" s="1060"/>
      <c r="K2825" s="1060"/>
      <c r="L2825" s="1015"/>
      <c r="M2825" s="934">
        <v>2000</v>
      </c>
    </row>
    <row r="2826" spans="1:13" s="1016" customFormat="1" ht="25.2" hidden="1" customHeight="1">
      <c r="A2826" s="1086">
        <f t="shared" si="164"/>
        <v>0</v>
      </c>
      <c r="B2826" s="1226"/>
      <c r="C2826" s="2841"/>
      <c r="D2826" s="1011"/>
      <c r="E2826" s="1061"/>
      <c r="F2826" s="1267" t="s">
        <v>2279</v>
      </c>
      <c r="G2826" s="1023"/>
      <c r="H2826" s="1713"/>
      <c r="I2826" s="1192">
        <f t="shared" si="162"/>
        <v>0</v>
      </c>
      <c r="J2826" s="1062"/>
      <c r="K2826" s="1062"/>
      <c r="L2826" s="1015"/>
      <c r="M2826" s="934">
        <v>2000</v>
      </c>
    </row>
    <row r="2827" spans="1:13" s="1016" customFormat="1" ht="25.2" hidden="1" customHeight="1">
      <c r="A2827" s="1086">
        <f t="shared" si="164"/>
        <v>0</v>
      </c>
      <c r="B2827" s="1087" t="s">
        <v>1136</v>
      </c>
      <c r="C2827" s="2842"/>
      <c r="D2827" s="1011"/>
      <c r="E2827" s="1012" t="str">
        <f>VLOOKUP($B2827,DG!A:D,DG!$B$2,)</f>
        <v>05.6105</v>
      </c>
      <c r="F2827" s="1013" t="str">
        <f>VLOOKUP($B2827,DG!A:D,DG!$C$2,)</f>
        <v>Đà U160x68x5x2800 đỡ MBA</v>
      </c>
      <c r="G2827" s="1012" t="str">
        <f>VLOOKUP($B2827,DG!A:D,DG!$D$2,)</f>
        <v>cái</v>
      </c>
      <c r="H2827" s="1713">
        <f>2*H2825</f>
        <v>0</v>
      </c>
      <c r="I2827" s="1192">
        <f t="shared" si="162"/>
        <v>0</v>
      </c>
      <c r="J2827" s="1041"/>
      <c r="K2827" s="1041"/>
      <c r="L2827" s="1015"/>
      <c r="M2827" s="934">
        <v>2000</v>
      </c>
    </row>
    <row r="2828" spans="1:13" s="1016" customFormat="1" ht="25.2" hidden="1" customHeight="1">
      <c r="A2828" s="1086">
        <f t="shared" si="164"/>
        <v>0</v>
      </c>
      <c r="B2828" s="1087" t="s">
        <v>1137</v>
      </c>
      <c r="C2828" s="2842"/>
      <c r="D2828" s="1011"/>
      <c r="E2828" s="1012" t="str">
        <f>VLOOKUP($B2828,DG!A:D,DG!$B$2,)</f>
        <v>05.6101</v>
      </c>
      <c r="F2828" s="1013" t="str">
        <f>VLOOKUP($B2828,DG!A:D,DG!$C$2,)</f>
        <v xml:space="preserve">Đà U100x46x4.5x400 </v>
      </c>
      <c r="G2828" s="1012" t="str">
        <f>VLOOKUP($B2828,DG!A:D,DG!$D$2,)</f>
        <v>cái</v>
      </c>
      <c r="H2828" s="1713">
        <f>H2825*4</f>
        <v>0</v>
      </c>
      <c r="I2828" s="1192">
        <f t="shared" si="162"/>
        <v>0</v>
      </c>
      <c r="J2828" s="1041"/>
      <c r="K2828" s="1041"/>
      <c r="L2828" s="1015"/>
      <c r="M2828" s="934">
        <v>2000</v>
      </c>
    </row>
    <row r="2829" spans="1:13" s="1016" customFormat="1" ht="25.2" hidden="1" customHeight="1">
      <c r="A2829" s="1086">
        <f t="shared" si="164"/>
        <v>0</v>
      </c>
      <c r="B2829" s="1087" t="s">
        <v>1138</v>
      </c>
      <c r="C2829" s="2842"/>
      <c r="D2829" s="1011"/>
      <c r="E2829" s="1012" t="str">
        <f>VLOOKUP($B2829,DG!A:D,DG!$B$2,)</f>
        <v>05.6101</v>
      </c>
      <c r="F2829" s="1013" t="str">
        <f>VLOOKUP($B2829,DG!A:D,DG!$C$2,)</f>
        <v xml:space="preserve">Đà U100x46x5x800 </v>
      </c>
      <c r="G2829" s="1012" t="str">
        <f>VLOOKUP($B2829,DG!A:D,DG!$D$2,)</f>
        <v>cái</v>
      </c>
      <c r="H2829" s="1713">
        <f>H2825*2</f>
        <v>0</v>
      </c>
      <c r="I2829" s="1192">
        <f t="shared" si="162"/>
        <v>0</v>
      </c>
      <c r="J2829" s="1041"/>
      <c r="K2829" s="1041"/>
      <c r="L2829" s="1015"/>
      <c r="M2829" s="934">
        <v>2000</v>
      </c>
    </row>
    <row r="2830" spans="1:13" s="1016" customFormat="1" ht="25.2" hidden="1" customHeight="1">
      <c r="A2830" s="1086">
        <f t="shared" si="164"/>
        <v>0</v>
      </c>
      <c r="B2830" s="1226" t="s">
        <v>1781</v>
      </c>
      <c r="C2830" s="2841"/>
      <c r="D2830" s="1011"/>
      <c r="E2830" s="1012">
        <f>VLOOKUP($B2830,DG!A:D,DG!$B$2,)</f>
        <v>0</v>
      </c>
      <c r="F2830" s="1013" t="str">
        <f>VLOOKUP($B2830,DG!A:D,DG!$C$2,)</f>
        <v>Boulon 16x400VRS+ 4 long đền vuông D18-50x50x3/Zn</v>
      </c>
      <c r="G2830" s="1012" t="str">
        <f>VLOOKUP($B2830,DG!A:D,DG!$D$2,)</f>
        <v>bộ</v>
      </c>
      <c r="H2830" s="1713">
        <f>H2825*12</f>
        <v>0</v>
      </c>
      <c r="I2830" s="1192">
        <f t="shared" ref="I2830:I2858" si="165">IF(M2830=$M$23,H2830+J2830-K2830,0)</f>
        <v>0</v>
      </c>
      <c r="J2830" s="1041"/>
      <c r="K2830" s="1041"/>
      <c r="L2830" s="1015"/>
      <c r="M2830" s="934">
        <v>2000</v>
      </c>
    </row>
    <row r="2831" spans="1:13" s="1016" customFormat="1" ht="25.2" hidden="1" customHeight="1">
      <c r="A2831" s="1086">
        <f t="shared" si="164"/>
        <v>0</v>
      </c>
      <c r="B2831" s="1226" t="s">
        <v>1083</v>
      </c>
      <c r="C2831" s="2841"/>
      <c r="D2831" s="1011"/>
      <c r="E2831" s="1012">
        <f>VLOOKUP($B2831,DG!A:D,DG!$B$2,)</f>
        <v>0</v>
      </c>
      <c r="F2831" s="1013" t="str">
        <f>VLOOKUP($B2831,DG!A:D,DG!$C$2,)</f>
        <v>Boulon 16x400+ 2 long đền vuông D18-50x50x3/Zn</v>
      </c>
      <c r="G2831" s="1012" t="str">
        <f>VLOOKUP($B2831,DG!A:D,DG!$D$2,)</f>
        <v>bộ</v>
      </c>
      <c r="H2831" s="1713">
        <f>H2825*2</f>
        <v>0</v>
      </c>
      <c r="I2831" s="1192">
        <f t="shared" si="165"/>
        <v>0</v>
      </c>
      <c r="J2831" s="1041"/>
      <c r="K2831" s="1041"/>
      <c r="L2831" s="1015"/>
      <c r="M2831" s="934">
        <v>2000</v>
      </c>
    </row>
    <row r="2832" spans="1:13" s="1016" customFormat="1" ht="25.2" hidden="1" customHeight="1">
      <c r="A2832" s="1086">
        <f t="shared" si="164"/>
        <v>0</v>
      </c>
      <c r="B2832" s="1226" t="s">
        <v>1079</v>
      </c>
      <c r="C2832" s="2841"/>
      <c r="D2832" s="1011"/>
      <c r="E2832" s="1012">
        <f>VLOOKUP($B2832,DG!A:D,DG!$B$2,)</f>
        <v>0</v>
      </c>
      <c r="F2832" s="1013" t="str">
        <f>VLOOKUP($B2832,DG!A:D,DG!$C$2,)</f>
        <v>Boulon 16x350+ 2 long đền vuông D18-50x50x3/Zn</v>
      </c>
      <c r="G2832" s="1012" t="str">
        <f>VLOOKUP($B2832,DG!A:D,DG!$D$2,)</f>
        <v>bộ</v>
      </c>
      <c r="H2832" s="1713">
        <f>+H2825*4</f>
        <v>0</v>
      </c>
      <c r="I2832" s="1192">
        <f t="shared" si="165"/>
        <v>0</v>
      </c>
      <c r="J2832" s="1041"/>
      <c r="K2832" s="1041"/>
      <c r="L2832" s="1015"/>
      <c r="M2832" s="934">
        <v>2000</v>
      </c>
    </row>
    <row r="2833" spans="1:13" s="1016" customFormat="1" ht="25.2" hidden="1" customHeight="1">
      <c r="A2833" s="1086">
        <f t="shared" si="164"/>
        <v>0</v>
      </c>
      <c r="B2833" s="1226"/>
      <c r="C2833" s="2841"/>
      <c r="D2833" s="1017">
        <f>IF(H2833&gt;0,D2825+1,D2825)</f>
        <v>0</v>
      </c>
      <c r="E2833" s="1018"/>
      <c r="F2833" s="1063" t="s">
        <v>3715</v>
      </c>
      <c r="G2833" s="1017" t="s">
        <v>2385</v>
      </c>
      <c r="H2833" s="1722">
        <f>H2825*2*0</f>
        <v>0</v>
      </c>
      <c r="I2833" s="1192">
        <f t="shared" si="165"/>
        <v>0</v>
      </c>
      <c r="J2833" s="1064"/>
      <c r="K2833" s="1064"/>
      <c r="L2833" s="1015"/>
      <c r="M2833" s="934">
        <v>2000</v>
      </c>
    </row>
    <row r="2834" spans="1:13" s="1016" customFormat="1" ht="25.2" hidden="1" customHeight="1">
      <c r="A2834" s="1086">
        <f t="shared" si="164"/>
        <v>0</v>
      </c>
      <c r="B2834" s="1226"/>
      <c r="C2834" s="2841"/>
      <c r="D2834" s="1011"/>
      <c r="E2834" s="1021"/>
      <c r="F2834" s="1267" t="s">
        <v>2279</v>
      </c>
      <c r="G2834" s="1023"/>
      <c r="H2834" s="1713"/>
      <c r="I2834" s="1192">
        <f t="shared" si="165"/>
        <v>0</v>
      </c>
      <c r="J2834" s="1064"/>
      <c r="K2834" s="1064"/>
      <c r="L2834" s="1015"/>
      <c r="M2834" s="934">
        <v>2000</v>
      </c>
    </row>
    <row r="2835" spans="1:13" s="1016" customFormat="1" ht="25.2" hidden="1" customHeight="1">
      <c r="A2835" s="1086">
        <f t="shared" si="164"/>
        <v>0</v>
      </c>
      <c r="B2835" s="1233" t="s">
        <v>2022</v>
      </c>
      <c r="C2835" s="2843"/>
      <c r="D2835" s="1011"/>
      <c r="E2835" s="1012">
        <v>0</v>
      </c>
      <c r="F2835" s="1013" t="str">
        <f>VLOOKUP($B2835,DG!A:D,DG!$C$2,)</f>
        <v>Sắt góc L75 x75 x8</v>
      </c>
      <c r="G2835" s="1012" t="s">
        <v>2248</v>
      </c>
      <c r="H2835" s="1713">
        <f>H2833*9.02*(2.6+3*0.07)*2</f>
        <v>0</v>
      </c>
      <c r="I2835" s="1192">
        <f t="shared" si="165"/>
        <v>0</v>
      </c>
      <c r="J2835" s="1041"/>
      <c r="K2835" s="1041"/>
      <c r="L2835" s="1015"/>
      <c r="M2835" s="934">
        <v>2000</v>
      </c>
    </row>
    <row r="2836" spans="1:13" s="1016" customFormat="1" ht="25.2" hidden="1" customHeight="1">
      <c r="A2836" s="1086">
        <f t="shared" si="164"/>
        <v>0</v>
      </c>
      <c r="B2836" s="1226" t="s">
        <v>1784</v>
      </c>
      <c r="C2836" s="2841"/>
      <c r="D2836" s="1011"/>
      <c r="E2836" s="1012">
        <v>0</v>
      </c>
      <c r="F2836" s="1013" t="str">
        <f>VLOOKUP($B2836,DG!A:D,DG!$C$2,)</f>
        <v>Boulon 16x300VRS+ 4 long đền vuông D18-50x50x3/Zn</v>
      </c>
      <c r="G2836" s="1012" t="s">
        <v>2439</v>
      </c>
      <c r="H2836" s="1713">
        <f>H2833*2</f>
        <v>0</v>
      </c>
      <c r="I2836" s="1192">
        <f t="shared" si="165"/>
        <v>0</v>
      </c>
      <c r="J2836" s="1041"/>
      <c r="K2836" s="1041"/>
      <c r="L2836" s="1015"/>
      <c r="M2836" s="934">
        <v>2000</v>
      </c>
    </row>
    <row r="2837" spans="1:13" s="1016" customFormat="1" ht="25.2" hidden="1" customHeight="1">
      <c r="A2837" s="1086">
        <f t="shared" si="164"/>
        <v>0</v>
      </c>
      <c r="B2837" s="1226" t="s">
        <v>1610</v>
      </c>
      <c r="C2837" s="2841"/>
      <c r="D2837" s="1011"/>
      <c r="E2837" s="1012">
        <v>0</v>
      </c>
      <c r="F2837" s="1013" t="str">
        <f>VLOOKUP($B2837,DG!A:D,DG!$C$2,)</f>
        <v>Boulon 16x300+ 2 long đền vuông D18-50x50x3/Zn</v>
      </c>
      <c r="G2837" s="1012" t="s">
        <v>2439</v>
      </c>
      <c r="H2837" s="1713">
        <f>H2833*2</f>
        <v>0</v>
      </c>
      <c r="I2837" s="1192">
        <f t="shared" si="165"/>
        <v>0</v>
      </c>
      <c r="J2837" s="1041"/>
      <c r="K2837" s="1041"/>
      <c r="L2837" s="1015"/>
      <c r="M2837" s="934">
        <v>2000</v>
      </c>
    </row>
    <row r="2838" spans="1:13" s="1016" customFormat="1" ht="25.2" hidden="1" customHeight="1">
      <c r="A2838" s="1086">
        <f t="shared" si="164"/>
        <v>0</v>
      </c>
      <c r="B2838" s="1226" t="s">
        <v>1609</v>
      </c>
      <c r="C2838" s="2841"/>
      <c r="D2838" s="1011"/>
      <c r="E2838" s="1012">
        <v>0</v>
      </c>
      <c r="F2838" s="1013" t="str">
        <f>VLOOKUP($B2838,DG!A:D,DG!$C$2,)</f>
        <v>Boulon 16x250+ 2 long đền vuông D18-50x50x3/Zn</v>
      </c>
      <c r="G2838" s="1012" t="s">
        <v>2439</v>
      </c>
      <c r="H2838" s="1713">
        <f>H2837</f>
        <v>0</v>
      </c>
      <c r="I2838" s="1192">
        <f t="shared" si="165"/>
        <v>0</v>
      </c>
      <c r="J2838" s="1041"/>
      <c r="K2838" s="1041"/>
      <c r="L2838" s="1015"/>
      <c r="M2838" s="934">
        <v>2000</v>
      </c>
    </row>
    <row r="2839" spans="1:13" s="1016" customFormat="1" ht="25.2" hidden="1" customHeight="1">
      <c r="A2839" s="1086">
        <f t="shared" si="164"/>
        <v>0</v>
      </c>
      <c r="B2839" s="1226" t="s">
        <v>2242</v>
      </c>
      <c r="C2839" s="2841"/>
      <c r="D2839" s="1011"/>
      <c r="E2839" s="1012" t="s">
        <v>730</v>
      </c>
      <c r="F2839" s="1013" t="str">
        <f>VLOOKUP($B2839,DG!A:D,DG!$C$2,)</f>
        <v>Lắp xà cột Pi loại ≤140kg/xà</v>
      </c>
      <c r="G2839" s="1012" t="s">
        <v>2439</v>
      </c>
      <c r="H2839" s="1713">
        <f>H2833</f>
        <v>0</v>
      </c>
      <c r="I2839" s="1192">
        <f t="shared" si="165"/>
        <v>0</v>
      </c>
      <c r="J2839" s="1041"/>
      <c r="K2839" s="1041"/>
      <c r="L2839" s="1015"/>
      <c r="M2839" s="934">
        <v>2000</v>
      </c>
    </row>
    <row r="2840" spans="1:13" s="1016" customFormat="1" ht="25.2" hidden="1" customHeight="1">
      <c r="A2840" s="1086">
        <f t="shared" si="164"/>
        <v>0</v>
      </c>
      <c r="B2840" s="1226"/>
      <c r="C2840" s="2841"/>
      <c r="D2840" s="1017">
        <f>IF(H2840&gt;0,D2833+1,D2833)</f>
        <v>0</v>
      </c>
      <c r="E2840" s="1018"/>
      <c r="F2840" s="1063" t="s">
        <v>3751</v>
      </c>
      <c r="G2840" s="1017" t="s">
        <v>2385</v>
      </c>
      <c r="H2840" s="1722">
        <f>H2825*3</f>
        <v>0</v>
      </c>
      <c r="I2840" s="1192">
        <f t="shared" si="165"/>
        <v>0</v>
      </c>
      <c r="J2840" s="1064"/>
      <c r="K2840" s="1064"/>
      <c r="L2840" s="1015"/>
      <c r="M2840" s="934">
        <v>2000</v>
      </c>
    </row>
    <row r="2841" spans="1:13" s="1016" customFormat="1" ht="25.2" hidden="1" customHeight="1">
      <c r="A2841" s="1086">
        <f t="shared" si="164"/>
        <v>0</v>
      </c>
      <c r="B2841" s="1226"/>
      <c r="C2841" s="2841"/>
      <c r="D2841" s="1011"/>
      <c r="E2841" s="1021"/>
      <c r="F2841" s="1267" t="s">
        <v>2279</v>
      </c>
      <c r="G2841" s="1023"/>
      <c r="H2841" s="1713"/>
      <c r="I2841" s="1192">
        <f t="shared" si="165"/>
        <v>0</v>
      </c>
      <c r="J2841" s="1064"/>
      <c r="K2841" s="1064"/>
      <c r="L2841" s="1015"/>
      <c r="M2841" s="934">
        <v>2000</v>
      </c>
    </row>
    <row r="2842" spans="1:13" s="1016" customFormat="1" ht="25.2" hidden="1" customHeight="1">
      <c r="A2842" s="1086">
        <f t="shared" si="164"/>
        <v>0</v>
      </c>
      <c r="B2842" s="1233" t="s">
        <v>2022</v>
      </c>
      <c r="C2842" s="2843"/>
      <c r="D2842" s="1011"/>
      <c r="E2842" s="1012">
        <v>0</v>
      </c>
      <c r="F2842" s="1013" t="str">
        <f>VLOOKUP($B2842,DG!A:D,DG!$C$2,)</f>
        <v>Sắt góc L75 x75 x8</v>
      </c>
      <c r="G2842" s="1012" t="s">
        <v>2248</v>
      </c>
      <c r="H2842" s="1713">
        <f>H2840*9.02*(2.6+3*0.07)</f>
        <v>0</v>
      </c>
      <c r="I2842" s="1192">
        <f t="shared" si="165"/>
        <v>0</v>
      </c>
      <c r="J2842" s="1041"/>
      <c r="K2842" s="1041"/>
      <c r="L2842" s="1015"/>
      <c r="M2842" s="934">
        <v>2000</v>
      </c>
    </row>
    <row r="2843" spans="1:13" s="1016" customFormat="1" ht="25.2" hidden="1" customHeight="1">
      <c r="A2843" s="1086">
        <f t="shared" si="164"/>
        <v>0</v>
      </c>
      <c r="B2843" s="1226" t="s">
        <v>1609</v>
      </c>
      <c r="C2843" s="2841"/>
      <c r="D2843" s="1011"/>
      <c r="E2843" s="1012">
        <v>0</v>
      </c>
      <c r="F2843" s="1013" t="str">
        <f>VLOOKUP($B2843,DG!A:D,DG!$C$2,)</f>
        <v>Boulon 16x250+ 2 long đền vuông D18-50x50x3/Zn</v>
      </c>
      <c r="G2843" s="1012" t="s">
        <v>2439</v>
      </c>
      <c r="H2843" s="1713">
        <f>IF(H2840&gt;2,(H2840-1)*2,0)</f>
        <v>0</v>
      </c>
      <c r="I2843" s="1192">
        <f t="shared" si="165"/>
        <v>0</v>
      </c>
      <c r="J2843" s="1041"/>
      <c r="K2843" s="1041"/>
      <c r="L2843" s="1015"/>
      <c r="M2843" s="934">
        <v>2000</v>
      </c>
    </row>
    <row r="2844" spans="1:13" s="1016" customFormat="1" ht="25.2" hidden="1" customHeight="1">
      <c r="A2844" s="1086">
        <f t="shared" si="164"/>
        <v>0</v>
      </c>
      <c r="B2844" s="1226" t="s">
        <v>1610</v>
      </c>
      <c r="C2844" s="2841"/>
      <c r="D2844" s="1011"/>
      <c r="E2844" s="1012">
        <v>0</v>
      </c>
      <c r="F2844" s="1013" t="str">
        <f>VLOOKUP($B2844,DG!A:D,DG!$C$2,)</f>
        <v>Boulon 16x300+ 2 long đền vuông D18-50x50x3/Zn</v>
      </c>
      <c r="G2844" s="1012" t="s">
        <v>2439</v>
      </c>
      <c r="H2844" s="1713">
        <f>IF(H2840=0,0,2)</f>
        <v>0</v>
      </c>
      <c r="I2844" s="1192">
        <f t="shared" si="165"/>
        <v>0</v>
      </c>
      <c r="J2844" s="1041"/>
      <c r="K2844" s="1041"/>
      <c r="L2844" s="1015"/>
      <c r="M2844" s="934">
        <v>2000</v>
      </c>
    </row>
    <row r="2845" spans="1:13" s="1016" customFormat="1" ht="25.2" hidden="1" customHeight="1">
      <c r="A2845" s="1086">
        <f t="shared" si="164"/>
        <v>0</v>
      </c>
      <c r="B2845" s="1233" t="s">
        <v>2271</v>
      </c>
      <c r="C2845" s="2843"/>
      <c r="D2845" s="1011"/>
      <c r="E2845" s="1012">
        <v>0</v>
      </c>
      <c r="F2845" s="1013" t="str">
        <f>VLOOKUP($B2845,DG!A:D,DG!$C$2,)</f>
        <v>Bass LL bắt FCO, LA</v>
      </c>
      <c r="G2845" s="1012" t="s">
        <v>2385</v>
      </c>
      <c r="H2845" s="1713">
        <f>H2840*1</f>
        <v>0</v>
      </c>
      <c r="I2845" s="1192">
        <f t="shared" si="165"/>
        <v>0</v>
      </c>
      <c r="J2845" s="1041"/>
      <c r="K2845" s="1041"/>
      <c r="L2845" s="1015"/>
      <c r="M2845" s="934">
        <v>2000</v>
      </c>
    </row>
    <row r="2846" spans="1:13" s="1016" customFormat="1" ht="25.2" hidden="1" customHeight="1">
      <c r="A2846" s="1086">
        <f t="shared" si="164"/>
        <v>0</v>
      </c>
      <c r="B2846" s="1226" t="s">
        <v>2242</v>
      </c>
      <c r="C2846" s="2841"/>
      <c r="D2846" s="1011"/>
      <c r="E2846" s="1012" t="s">
        <v>730</v>
      </c>
      <c r="F2846" s="1013" t="str">
        <f>VLOOKUP($B2846,DG!A:D,DG!$C$2,)</f>
        <v>Lắp xà cột Pi loại ≤140kg/xà</v>
      </c>
      <c r="G2846" s="1012" t="s">
        <v>2439</v>
      </c>
      <c r="H2846" s="1713">
        <f>H2840</f>
        <v>0</v>
      </c>
      <c r="I2846" s="1192">
        <f t="shared" si="165"/>
        <v>0</v>
      </c>
      <c r="J2846" s="1041"/>
      <c r="K2846" s="1041"/>
      <c r="L2846" s="1015"/>
      <c r="M2846" s="934">
        <v>2000</v>
      </c>
    </row>
    <row r="2847" spans="1:13" s="1016" customFormat="1" ht="25.2" hidden="1" customHeight="1">
      <c r="A2847" s="1086">
        <f t="shared" si="164"/>
        <v>0</v>
      </c>
      <c r="B2847" s="1226"/>
      <c r="C2847" s="2841"/>
      <c r="D2847" s="1017">
        <f>IF(H2847&gt;0,D2840+1,D2840)</f>
        <v>0</v>
      </c>
      <c r="E2847" s="1018"/>
      <c r="F2847" s="1063" t="s">
        <v>3717</v>
      </c>
      <c r="G2847" s="1017" t="s">
        <v>2385</v>
      </c>
      <c r="H2847" s="1722">
        <f>H2825*2</f>
        <v>0</v>
      </c>
      <c r="I2847" s="1192">
        <f t="shared" si="165"/>
        <v>0</v>
      </c>
      <c r="J2847" s="1064"/>
      <c r="K2847" s="1064"/>
      <c r="L2847" s="1015"/>
      <c r="M2847" s="934">
        <v>2000</v>
      </c>
    </row>
    <row r="2848" spans="1:13" s="1016" customFormat="1" ht="25.2" hidden="1" customHeight="1">
      <c r="A2848" s="1086">
        <f t="shared" si="164"/>
        <v>0</v>
      </c>
      <c r="B2848" s="1226"/>
      <c r="C2848" s="2841"/>
      <c r="D2848" s="1011"/>
      <c r="E2848" s="1021"/>
      <c r="F2848" s="1267" t="s">
        <v>2279</v>
      </c>
      <c r="G2848" s="1023"/>
      <c r="H2848" s="1713"/>
      <c r="I2848" s="1192">
        <f t="shared" si="165"/>
        <v>0</v>
      </c>
      <c r="J2848" s="1064"/>
      <c r="K2848" s="1064"/>
      <c r="L2848" s="1015"/>
      <c r="M2848" s="934">
        <v>2000</v>
      </c>
    </row>
    <row r="2849" spans="1:13" s="1016" customFormat="1" ht="25.2" hidden="1" customHeight="1">
      <c r="A2849" s="1086">
        <f t="shared" si="164"/>
        <v>0</v>
      </c>
      <c r="B2849" s="1226" t="s">
        <v>2022</v>
      </c>
      <c r="C2849" s="2841"/>
      <c r="D2849" s="1011"/>
      <c r="E2849" s="1012">
        <v>0</v>
      </c>
      <c r="F2849" s="1013" t="str">
        <f>VLOOKUP($B2849,DG!A:D,DG!$C$2,)</f>
        <v>Sắt góc L75 x75 x8</v>
      </c>
      <c r="G2849" s="1012" t="s">
        <v>2248</v>
      </c>
      <c r="H2849" s="1713">
        <f>H2847*9.02*2.6</f>
        <v>0</v>
      </c>
      <c r="I2849" s="1192">
        <f t="shared" si="165"/>
        <v>0</v>
      </c>
      <c r="J2849" s="1041"/>
      <c r="K2849" s="1041"/>
      <c r="L2849" s="1015"/>
      <c r="M2849" s="934">
        <v>2000</v>
      </c>
    </row>
    <row r="2850" spans="1:13" s="1016" customFormat="1" ht="25.2" hidden="1" customHeight="1">
      <c r="A2850" s="1086">
        <f t="shared" si="164"/>
        <v>0</v>
      </c>
      <c r="B2850" s="1226" t="s">
        <v>1083</v>
      </c>
      <c r="C2850" s="2841"/>
      <c r="D2850" s="1011"/>
      <c r="E2850" s="1012">
        <v>0</v>
      </c>
      <c r="F2850" s="1013" t="str">
        <f>VLOOKUP($B2850,DG!A:D,DG!$C$2,)</f>
        <v>Boulon 16x400+ 2 long đền vuông D18-50x50x3/Zn</v>
      </c>
      <c r="G2850" s="1012" t="s">
        <v>2439</v>
      </c>
      <c r="H2850" s="1713">
        <f>H2847*2</f>
        <v>0</v>
      </c>
      <c r="I2850" s="1192">
        <f t="shared" si="165"/>
        <v>0</v>
      </c>
      <c r="J2850" s="1041"/>
      <c r="K2850" s="1041"/>
      <c r="L2850" s="1015"/>
      <c r="M2850" s="934">
        <v>2000</v>
      </c>
    </row>
    <row r="2851" spans="1:13" s="1016" customFormat="1" ht="25.2" hidden="1" customHeight="1">
      <c r="A2851" s="1086">
        <f t="shared" si="164"/>
        <v>0</v>
      </c>
      <c r="B2851" s="1226" t="s">
        <v>2242</v>
      </c>
      <c r="C2851" s="2841"/>
      <c r="D2851" s="1011"/>
      <c r="E2851" s="1012" t="s">
        <v>730</v>
      </c>
      <c r="F2851" s="1013" t="str">
        <f>VLOOKUP($B2851,DG!A:D,DG!$C$2,)</f>
        <v>Lắp xà cột Pi loại ≤140kg/xà</v>
      </c>
      <c r="G2851" s="1012" t="s">
        <v>2439</v>
      </c>
      <c r="H2851" s="1713">
        <f>H2847</f>
        <v>0</v>
      </c>
      <c r="I2851" s="1192">
        <f t="shared" si="165"/>
        <v>0</v>
      </c>
      <c r="J2851" s="1041"/>
      <c r="K2851" s="1041"/>
      <c r="L2851" s="1015"/>
      <c r="M2851" s="934">
        <v>2000</v>
      </c>
    </row>
    <row r="2852" spans="1:13" s="1016" customFormat="1" ht="25.2" hidden="1" customHeight="1">
      <c r="A2852" s="1086">
        <f t="shared" si="164"/>
        <v>0</v>
      </c>
      <c r="B2852" s="1226" t="s">
        <v>1610</v>
      </c>
      <c r="C2852" s="2841"/>
      <c r="D2852" s="1011"/>
      <c r="E2852" s="1012">
        <v>0</v>
      </c>
      <c r="F2852" s="1013" t="str">
        <f>VLOOKUP($B2852,DG!A:D,DG!$C$2,)</f>
        <v>Boulon 16x300+ 2 long đền vuông D18-50x50x3/Zn</v>
      </c>
      <c r="G2852" s="1012" t="s">
        <v>2439</v>
      </c>
      <c r="H2852" s="1713">
        <f>H2847*2*0</f>
        <v>0</v>
      </c>
      <c r="I2852" s="1192">
        <f t="shared" si="165"/>
        <v>0</v>
      </c>
      <c r="J2852" s="1041"/>
      <c r="K2852" s="1041"/>
      <c r="L2852" s="1015"/>
      <c r="M2852" s="934">
        <v>2000</v>
      </c>
    </row>
    <row r="2853" spans="1:13" s="1016" customFormat="1" ht="25.2" hidden="1" customHeight="1">
      <c r="A2853" s="1086">
        <f t="shared" si="164"/>
        <v>0</v>
      </c>
      <c r="B2853" s="1226" t="s">
        <v>1609</v>
      </c>
      <c r="C2853" s="2841"/>
      <c r="D2853" s="1011"/>
      <c r="E2853" s="1012">
        <v>0</v>
      </c>
      <c r="F2853" s="1013" t="str">
        <f>VLOOKUP($B2853,DG!A:D,DG!$C$2,)</f>
        <v>Boulon 16x250+ 2 long đền vuông D18-50x50x3/Zn</v>
      </c>
      <c r="G2853" s="1012" t="s">
        <v>2439</v>
      </c>
      <c r="H2853" s="1713">
        <f>2*H2847*2*0</f>
        <v>0</v>
      </c>
      <c r="I2853" s="1192">
        <f t="shared" si="165"/>
        <v>0</v>
      </c>
      <c r="J2853" s="1041"/>
      <c r="K2853" s="1041"/>
      <c r="L2853" s="1015"/>
      <c r="M2853" s="934">
        <v>2000</v>
      </c>
    </row>
    <row r="2854" spans="1:13" s="1016" customFormat="1" ht="25.2" hidden="1" customHeight="1" collapsed="1">
      <c r="A2854" s="1086">
        <f t="shared" si="164"/>
        <v>0</v>
      </c>
      <c r="B2854" s="1226"/>
      <c r="C2854" s="2841"/>
      <c r="D2854" s="1017">
        <f>IF(H2854&gt;0,D2847+1,D2847)</f>
        <v>0</v>
      </c>
      <c r="E2854" s="1018"/>
      <c r="F2854" s="1063" t="s">
        <v>3752</v>
      </c>
      <c r="G2854" s="1017" t="s">
        <v>2385</v>
      </c>
      <c r="H2854" s="1722">
        <f>H2800</f>
        <v>0</v>
      </c>
      <c r="I2854" s="1192">
        <f t="shared" si="165"/>
        <v>0</v>
      </c>
      <c r="J2854" s="1014"/>
      <c r="K2854" s="1014"/>
      <c r="L2854" s="1015"/>
      <c r="M2854" s="934">
        <v>2000</v>
      </c>
    </row>
    <row r="2855" spans="1:13" s="1016" customFormat="1" ht="25.2" hidden="1" customHeight="1">
      <c r="A2855" s="1086">
        <f t="shared" si="164"/>
        <v>0</v>
      </c>
      <c r="B2855" s="1226"/>
      <c r="C2855" s="2841"/>
      <c r="D2855" s="1011"/>
      <c r="E2855" s="1021"/>
      <c r="F2855" s="1267" t="s">
        <v>2279</v>
      </c>
      <c r="G2855" s="1023"/>
      <c r="H2855" s="1713"/>
      <c r="I2855" s="1192">
        <f t="shared" si="165"/>
        <v>0</v>
      </c>
      <c r="J2855" s="1014"/>
      <c r="K2855" s="1014"/>
      <c r="L2855" s="1015"/>
      <c r="M2855" s="934">
        <v>2000</v>
      </c>
    </row>
    <row r="2856" spans="1:13" s="1016" customFormat="1" ht="25.2" hidden="1" customHeight="1">
      <c r="A2856" s="1086">
        <f t="shared" si="164"/>
        <v>0</v>
      </c>
      <c r="B2856" s="1226" t="s">
        <v>2022</v>
      </c>
      <c r="C2856" s="2841"/>
      <c r="D2856" s="1011"/>
      <c r="E2856" s="1012">
        <v>0</v>
      </c>
      <c r="F2856" s="1013" t="str">
        <f>VLOOKUP($B2856,DG!A:D,DG!$C$2,)</f>
        <v>Sắt góc L75 x75 x8</v>
      </c>
      <c r="G2856" s="1012" t="s">
        <v>2248</v>
      </c>
      <c r="H2856" s="1713">
        <f>H2854*9.02*(2.4+4*0.07)*2</f>
        <v>0</v>
      </c>
      <c r="I2856" s="1192">
        <f t="shared" si="165"/>
        <v>0</v>
      </c>
      <c r="J2856" s="1014"/>
      <c r="K2856" s="1014"/>
      <c r="L2856" s="1015"/>
      <c r="M2856" s="934">
        <v>2000</v>
      </c>
    </row>
    <row r="2857" spans="1:13" s="1016" customFormat="1" ht="25.2" hidden="1" customHeight="1">
      <c r="A2857" s="1086">
        <f t="shared" si="164"/>
        <v>0</v>
      </c>
      <c r="B2857" s="1226" t="s">
        <v>1035</v>
      </c>
      <c r="C2857" s="2841"/>
      <c r="D2857" s="1011"/>
      <c r="E2857" s="1012" t="s">
        <v>554</v>
      </c>
      <c r="F2857" s="1013" t="str">
        <f>VLOOKUP($B2857,DG!A:D,DG!$C$2,)&amp;" (Thanh choáng 920)"</f>
        <v>Sắt góc L50 x50 x5 (Thanh choáng 920)</v>
      </c>
      <c r="G2857" s="1012" t="s">
        <v>2248</v>
      </c>
      <c r="H2857" s="1713">
        <f>H2854*3.77*0.92*4</f>
        <v>0</v>
      </c>
      <c r="I2857" s="1192">
        <f t="shared" si="165"/>
        <v>0</v>
      </c>
      <c r="J2857" s="1014"/>
      <c r="K2857" s="1014"/>
      <c r="L2857" s="1015"/>
      <c r="M2857" s="934">
        <v>2000</v>
      </c>
    </row>
    <row r="2858" spans="1:13" s="1016" customFormat="1" ht="25.2" hidden="1" customHeight="1">
      <c r="A2858" s="1086">
        <f t="shared" si="164"/>
        <v>0</v>
      </c>
      <c r="B2858" s="1226" t="s">
        <v>1610</v>
      </c>
      <c r="C2858" s="2841"/>
      <c r="D2858" s="1011"/>
      <c r="E2858" s="1012">
        <v>0</v>
      </c>
      <c r="F2858" s="1013" t="str">
        <f>VLOOKUP($B2858,DG!A:D,DG!$C$2,)</f>
        <v>Boulon 16x300+ 2 long đền vuông D18-50x50x3/Zn</v>
      </c>
      <c r="G2858" s="1012" t="s">
        <v>2439</v>
      </c>
      <c r="H2858" s="1713">
        <f>H2854*2</f>
        <v>0</v>
      </c>
      <c r="I2858" s="1192">
        <f t="shared" si="165"/>
        <v>0</v>
      </c>
      <c r="J2858" s="1014"/>
      <c r="K2858" s="1014"/>
      <c r="L2858" s="1015"/>
      <c r="M2858" s="934">
        <v>2000</v>
      </c>
    </row>
    <row r="2859" spans="1:13" s="1016" customFormat="1" ht="25.2" hidden="1" customHeight="1">
      <c r="A2859" s="1086">
        <f t="shared" si="164"/>
        <v>0</v>
      </c>
      <c r="B2859" s="1226" t="s">
        <v>1786</v>
      </c>
      <c r="C2859" s="2841"/>
      <c r="D2859" s="1011"/>
      <c r="E2859" s="1012">
        <v>0</v>
      </c>
      <c r="F2859" s="1013" t="str">
        <f>VLOOKUP($B2859,DG!A:D,DG!$C$2,)</f>
        <v>Boulon 16x50+ 2 long đền vuông D18-50x50x3/Zn</v>
      </c>
      <c r="G2859" s="1012" t="s">
        <v>2439</v>
      </c>
      <c r="H2859" s="1713">
        <f>H2854*4</f>
        <v>0</v>
      </c>
      <c r="I2859" s="1192">
        <f t="shared" ref="I2859:I2922" si="166">IF(M2859=$M$23,H2859+J2859-K2859,0)</f>
        <v>0</v>
      </c>
      <c r="J2859" s="1014"/>
      <c r="K2859" s="1014"/>
      <c r="L2859" s="1015"/>
      <c r="M2859" s="934">
        <v>2000</v>
      </c>
    </row>
    <row r="2860" spans="1:13" s="1016" customFormat="1" ht="25.2" hidden="1" customHeight="1">
      <c r="A2860" s="1086">
        <f t="shared" si="164"/>
        <v>0</v>
      </c>
      <c r="B2860" s="1226" t="s">
        <v>1784</v>
      </c>
      <c r="C2860" s="2841"/>
      <c r="D2860" s="1011"/>
      <c r="E2860" s="1012">
        <v>0</v>
      </c>
      <c r="F2860" s="1013" t="str">
        <f>VLOOKUP($B2860,DG!A:D,DG!$C$2,)</f>
        <v>Boulon 16x300VRS+ 4 long đền vuông D18-50x50x3/Zn</v>
      </c>
      <c r="G2860" s="1012" t="s">
        <v>2439</v>
      </c>
      <c r="H2860" s="1713">
        <f>H2854*4</f>
        <v>0</v>
      </c>
      <c r="I2860" s="1192">
        <f t="shared" si="166"/>
        <v>0</v>
      </c>
      <c r="J2860" s="1014"/>
      <c r="K2860" s="1014"/>
      <c r="L2860" s="1015"/>
      <c r="M2860" s="934">
        <v>2000</v>
      </c>
    </row>
    <row r="2861" spans="1:13" s="1016" customFormat="1" ht="25.2" hidden="1" customHeight="1">
      <c r="A2861" s="1086">
        <f t="shared" si="164"/>
        <v>0</v>
      </c>
      <c r="B2861" s="1226" t="s">
        <v>550</v>
      </c>
      <c r="C2861" s="2841"/>
      <c r="D2861" s="1011"/>
      <c r="E2861" s="1012">
        <v>0</v>
      </c>
      <c r="F2861" s="1013" t="str">
        <f>VLOOKUP($B2861,DG!A:D,DG!$C$2,)</f>
        <v>Bass LI bắt FCO</v>
      </c>
      <c r="G2861" s="1012" t="s">
        <v>2439</v>
      </c>
      <c r="H2861" s="1713">
        <f>H2854*3/2*0</f>
        <v>0</v>
      </c>
      <c r="I2861" s="1192">
        <f t="shared" si="166"/>
        <v>0</v>
      </c>
      <c r="J2861" s="1014"/>
      <c r="K2861" s="1014"/>
      <c r="L2861" s="1015"/>
      <c r="M2861" s="934">
        <v>2000</v>
      </c>
    </row>
    <row r="2862" spans="1:13" s="1016" customFormat="1" ht="25.2" hidden="1" customHeight="1">
      <c r="A2862" s="1086">
        <f t="shared" si="164"/>
        <v>0</v>
      </c>
      <c r="B2862" s="1226" t="s">
        <v>517</v>
      </c>
      <c r="C2862" s="2841"/>
      <c r="D2862" s="1011"/>
      <c r="E2862" s="1012" t="s">
        <v>1457</v>
      </c>
      <c r="F2862" s="1013" t="str">
        <f>VLOOKUP($B2862,DG!A:D,DG!$C$2,)</f>
        <v>Lắp xà néo ≤ 100kg</v>
      </c>
      <c r="G2862" s="1012" t="s">
        <v>2439</v>
      </c>
      <c r="H2862" s="1713">
        <f>H2854</f>
        <v>0</v>
      </c>
      <c r="I2862" s="1192">
        <f t="shared" si="166"/>
        <v>0</v>
      </c>
      <c r="J2862" s="1014"/>
      <c r="K2862" s="1014"/>
      <c r="L2862" s="1015"/>
      <c r="M2862" s="934">
        <v>2000</v>
      </c>
    </row>
    <row r="2863" spans="1:13" s="1016" customFormat="1" ht="25.2" hidden="1" customHeight="1">
      <c r="A2863" s="1086">
        <f t="shared" si="164"/>
        <v>0</v>
      </c>
      <c r="B2863" s="1226"/>
      <c r="C2863" s="2841"/>
      <c r="D2863" s="1017">
        <f>IF(H2863&gt;0,D2854+1,D2854)</f>
        <v>0</v>
      </c>
      <c r="E2863" s="1018"/>
      <c r="F2863" s="1063" t="s">
        <v>3753</v>
      </c>
      <c r="G2863" s="1017" t="s">
        <v>2385</v>
      </c>
      <c r="H2863" s="1722">
        <f>H2800*3</f>
        <v>0</v>
      </c>
      <c r="I2863" s="1192">
        <f t="shared" si="166"/>
        <v>0</v>
      </c>
      <c r="J2863" s="1014"/>
      <c r="K2863" s="1014"/>
      <c r="L2863" s="1015"/>
      <c r="M2863" s="934">
        <v>2000</v>
      </c>
    </row>
    <row r="2864" spans="1:13" s="1016" customFormat="1" ht="25.2" hidden="1" customHeight="1">
      <c r="A2864" s="1086">
        <f t="shared" si="164"/>
        <v>0</v>
      </c>
      <c r="B2864" s="1226"/>
      <c r="C2864" s="2841"/>
      <c r="D2864" s="1011"/>
      <c r="E2864" s="1021"/>
      <c r="F2864" s="1267" t="s">
        <v>2279</v>
      </c>
      <c r="G2864" s="1023"/>
      <c r="H2864" s="1713"/>
      <c r="I2864" s="1192">
        <f t="shared" si="166"/>
        <v>0</v>
      </c>
      <c r="J2864" s="1014"/>
      <c r="K2864" s="1014"/>
      <c r="L2864" s="1015"/>
      <c r="M2864" s="934">
        <v>2000</v>
      </c>
    </row>
    <row r="2865" spans="1:13" s="1016" customFormat="1" ht="25.2" hidden="1" customHeight="1">
      <c r="A2865" s="1086">
        <f t="shared" si="164"/>
        <v>0</v>
      </c>
      <c r="B2865" s="1226" t="s">
        <v>2022</v>
      </c>
      <c r="C2865" s="2841"/>
      <c r="D2865" s="1011"/>
      <c r="E2865" s="1012">
        <v>0</v>
      </c>
      <c r="F2865" s="1013" t="str">
        <f>VLOOKUP($B2865,DG!A:D,DG!$C$2,)</f>
        <v>Sắt góc L75 x75 x8</v>
      </c>
      <c r="G2865" s="1012" t="s">
        <v>2248</v>
      </c>
      <c r="H2865" s="1713">
        <f>H2863*9.02*(2.2+4*0.07)</f>
        <v>0</v>
      </c>
      <c r="I2865" s="1192">
        <f t="shared" si="166"/>
        <v>0</v>
      </c>
      <c r="J2865" s="1014"/>
      <c r="K2865" s="1014"/>
      <c r="L2865" s="1015"/>
      <c r="M2865" s="934">
        <v>2000</v>
      </c>
    </row>
    <row r="2866" spans="1:13" s="1016" customFormat="1" ht="25.2" hidden="1" customHeight="1">
      <c r="A2866" s="1086">
        <f t="shared" si="164"/>
        <v>0</v>
      </c>
      <c r="B2866" s="1226" t="s">
        <v>1035</v>
      </c>
      <c r="C2866" s="2841"/>
      <c r="D2866" s="1011"/>
      <c r="E2866" s="1012">
        <v>0</v>
      </c>
      <c r="F2866" s="1013" t="str">
        <f>VLOOKUP($B2866,DG!A:D,DG!$C$2,)&amp;" (Thanh choáng 920)"</f>
        <v>Sắt góc L50 x50 x5 (Thanh choáng 920)</v>
      </c>
      <c r="G2866" s="1012" t="s">
        <v>2248</v>
      </c>
      <c r="H2866" s="1744">
        <f>H2863*3.77*0.92*2</f>
        <v>0</v>
      </c>
      <c r="I2866" s="1192">
        <f t="shared" si="166"/>
        <v>0</v>
      </c>
      <c r="J2866" s="1014"/>
      <c r="K2866" s="1014"/>
      <c r="L2866" s="1015"/>
      <c r="M2866" s="934">
        <v>2000</v>
      </c>
    </row>
    <row r="2867" spans="1:13" s="1016" customFormat="1" ht="25.2" hidden="1" customHeight="1">
      <c r="A2867" s="1086">
        <f t="shared" si="164"/>
        <v>0</v>
      </c>
      <c r="B2867" s="1226" t="s">
        <v>1079</v>
      </c>
      <c r="C2867" s="2841"/>
      <c r="D2867" s="1011"/>
      <c r="E2867" s="1012">
        <v>0</v>
      </c>
      <c r="F2867" s="1013" t="str">
        <f>VLOOKUP($B2867,DG!A:D,DG!$C$2,)</f>
        <v>Boulon 16x350+ 2 long đền vuông D18-50x50x3/Zn</v>
      </c>
      <c r="G2867" s="1012" t="s">
        <v>2439</v>
      </c>
      <c r="H2867" s="1713">
        <f>H2863*2</f>
        <v>0</v>
      </c>
      <c r="I2867" s="1192">
        <f t="shared" si="166"/>
        <v>0</v>
      </c>
      <c r="J2867" s="1014"/>
      <c r="K2867" s="1014"/>
      <c r="L2867" s="1015"/>
      <c r="M2867" s="934">
        <v>2000</v>
      </c>
    </row>
    <row r="2868" spans="1:13" s="1016" customFormat="1" ht="25.2" hidden="1" customHeight="1">
      <c r="A2868" s="1086">
        <f t="shared" si="164"/>
        <v>0</v>
      </c>
      <c r="B2868" s="1226" t="s">
        <v>1786</v>
      </c>
      <c r="C2868" s="2841"/>
      <c r="D2868" s="1011"/>
      <c r="E2868" s="1012">
        <v>0</v>
      </c>
      <c r="F2868" s="1013" t="str">
        <f>VLOOKUP($B2868,DG!A:D,DG!$C$2,)</f>
        <v>Boulon 16x50+ 2 long đền vuông D18-50x50x3/Zn</v>
      </c>
      <c r="G2868" s="1012" t="s">
        <v>2439</v>
      </c>
      <c r="H2868" s="1713">
        <f>H2863*2</f>
        <v>0</v>
      </c>
      <c r="I2868" s="1192">
        <f t="shared" si="166"/>
        <v>0</v>
      </c>
      <c r="J2868" s="1014"/>
      <c r="K2868" s="1014"/>
      <c r="L2868" s="1015"/>
      <c r="M2868" s="934">
        <v>2000</v>
      </c>
    </row>
    <row r="2869" spans="1:13" s="1016" customFormat="1" ht="25.2" hidden="1" customHeight="1">
      <c r="A2869" s="1086">
        <f t="shared" si="164"/>
        <v>0</v>
      </c>
      <c r="B2869" s="1226" t="s">
        <v>1735</v>
      </c>
      <c r="C2869" s="2841"/>
      <c r="D2869" s="1011"/>
      <c r="E2869" s="1012">
        <v>0</v>
      </c>
      <c r="F2869" s="1013" t="str">
        <f>VLOOKUP($B2869,DG!A:D,DG!$C$2,)</f>
        <v>Bass LI bắt FCO</v>
      </c>
      <c r="G2869" s="1012" t="s">
        <v>2439</v>
      </c>
      <c r="H2869" s="1744">
        <f>H2863</f>
        <v>0</v>
      </c>
      <c r="I2869" s="1192">
        <f t="shared" si="166"/>
        <v>0</v>
      </c>
      <c r="J2869" s="1014"/>
      <c r="K2869" s="1014"/>
      <c r="L2869" s="1015"/>
      <c r="M2869" s="934">
        <v>2000</v>
      </c>
    </row>
    <row r="2870" spans="1:13" s="1016" customFormat="1" ht="25.2" hidden="1" customHeight="1">
      <c r="A2870" s="1086">
        <f t="shared" si="164"/>
        <v>0</v>
      </c>
      <c r="B2870" s="1226" t="s">
        <v>988</v>
      </c>
      <c r="C2870" s="2841"/>
      <c r="D2870" s="1011"/>
      <c r="E2870" s="1012">
        <v>0</v>
      </c>
      <c r="F2870" s="1013" t="str">
        <f>VLOOKUP($B2870,DG!A:D,DG!$C$2,)</f>
        <v xml:space="preserve">Cổ dê chống lắc 8x80x800 </v>
      </c>
      <c r="G2870" s="1012" t="s">
        <v>2439</v>
      </c>
      <c r="H2870" s="1713">
        <f>H2863/3</f>
        <v>0</v>
      </c>
      <c r="I2870" s="1192">
        <f t="shared" si="166"/>
        <v>0</v>
      </c>
      <c r="J2870" s="1014"/>
      <c r="K2870" s="1014"/>
      <c r="L2870" s="1015"/>
      <c r="M2870" s="934">
        <v>2000</v>
      </c>
    </row>
    <row r="2871" spans="1:13" s="1016" customFormat="1" ht="25.2" hidden="1" customHeight="1">
      <c r="A2871" s="1086">
        <f t="shared" si="164"/>
        <v>0</v>
      </c>
      <c r="B2871" s="1226" t="s">
        <v>1998</v>
      </c>
      <c r="C2871" s="2841"/>
      <c r="D2871" s="1011"/>
      <c r="E2871" s="1012" t="s">
        <v>2265</v>
      </c>
      <c r="F2871" s="1013" t="str">
        <f>VLOOKUP($B2871,DG!A:D,DG!$C$2,)</f>
        <v>Lắp xà néo ≤ 50kg</v>
      </c>
      <c r="G2871" s="1012" t="s">
        <v>2439</v>
      </c>
      <c r="H2871" s="1713">
        <f>H2863</f>
        <v>0</v>
      </c>
      <c r="I2871" s="1192">
        <f t="shared" si="166"/>
        <v>0</v>
      </c>
      <c r="J2871" s="1014"/>
      <c r="K2871" s="1014"/>
      <c r="L2871" s="1015"/>
      <c r="M2871" s="934">
        <v>2000</v>
      </c>
    </row>
    <row r="2872" spans="1:13" s="1016" customFormat="1" ht="25.2" hidden="1" customHeight="1">
      <c r="A2872" s="1086">
        <f t="shared" si="164"/>
        <v>0</v>
      </c>
      <c r="B2872" s="1226"/>
      <c r="C2872" s="2841"/>
      <c r="D2872" s="1017">
        <f>IF(H2872&gt;0,D2863+1,D2863)</f>
        <v>0</v>
      </c>
      <c r="E2872" s="1018"/>
      <c r="F2872" s="1063" t="s">
        <v>3754</v>
      </c>
      <c r="G2872" s="1017" t="s">
        <v>2385</v>
      </c>
      <c r="H2872" s="1722">
        <f>H2800</f>
        <v>0</v>
      </c>
      <c r="I2872" s="1192">
        <f t="shared" si="166"/>
        <v>0</v>
      </c>
      <c r="J2872" s="1014"/>
      <c r="K2872" s="1014"/>
      <c r="L2872" s="1015"/>
      <c r="M2872" s="934">
        <v>2000</v>
      </c>
    </row>
    <row r="2873" spans="1:13" s="1016" customFormat="1" ht="25.2" hidden="1" customHeight="1">
      <c r="A2873" s="1086">
        <f t="shared" si="164"/>
        <v>0</v>
      </c>
      <c r="B2873" s="1255"/>
      <c r="C2873" s="2841"/>
      <c r="D2873" s="1011"/>
      <c r="E2873" s="1021"/>
      <c r="F2873" s="1022" t="s">
        <v>3755</v>
      </c>
      <c r="G2873" s="1023"/>
      <c r="H2873" s="1713"/>
      <c r="I2873" s="1192">
        <f t="shared" si="166"/>
        <v>0</v>
      </c>
      <c r="J2873" s="1014"/>
      <c r="K2873" s="1014"/>
      <c r="L2873" s="1015"/>
      <c r="M2873" s="934">
        <v>2000</v>
      </c>
    </row>
    <row r="2874" spans="1:13" s="1016" customFormat="1" ht="25.2" hidden="1" customHeight="1">
      <c r="A2874" s="1086">
        <f t="shared" si="164"/>
        <v>0</v>
      </c>
      <c r="B2874" s="1226" t="s">
        <v>1033</v>
      </c>
      <c r="C2874" s="2841"/>
      <c r="D2874" s="1011"/>
      <c r="E2874" s="1012">
        <f>VLOOKUP($B2874,DG!A:D,DG!$B$2,)</f>
        <v>0</v>
      </c>
      <c r="F2874" s="1013" t="str">
        <f>VLOOKUP($B2874,DG!A:D,DG!$C$2,)&amp; ": "&amp;I3&amp;"m"</f>
        <v>Cáp đồng trần M25mm2: 54m</v>
      </c>
      <c r="G2874" s="1012" t="str">
        <f>VLOOKUP($B2874,DG!A:D,DG!$D$2,)</f>
        <v>kg</v>
      </c>
      <c r="H2874" s="1713">
        <f>I3*0.224*H2872*0</f>
        <v>0</v>
      </c>
      <c r="I2874" s="1192">
        <f t="shared" si="166"/>
        <v>0</v>
      </c>
      <c r="J2874" s="1014"/>
      <c r="K2874" s="1014"/>
      <c r="L2874" s="1015"/>
      <c r="M2874" s="934">
        <v>2000</v>
      </c>
    </row>
    <row r="2875" spans="1:13" s="1016" customFormat="1" ht="25.2" hidden="1" customHeight="1">
      <c r="A2875" s="1086">
        <f t="shared" si="164"/>
        <v>0</v>
      </c>
      <c r="B2875" s="1226" t="s">
        <v>1033</v>
      </c>
      <c r="C2875" s="2841"/>
      <c r="D2875" s="1011"/>
      <c r="E2875" s="1012">
        <f>VLOOKUP($B2875,DG!A:D,DG!$B$2,)</f>
        <v>0</v>
      </c>
      <c r="F2875" s="1013" t="str">
        <f>VLOOKUP($B2875,DG!A:D,DG!$C$2,)&amp;": 10m noái leân voû caùc thieát bò"</f>
        <v>Cáp đồng trần M25mm2: 10m noái leân voû caùc thieát bò</v>
      </c>
      <c r="G2875" s="1012" t="str">
        <f>VLOOKUP($B2875,DG!A:D,DG!$D$2,)</f>
        <v>kg</v>
      </c>
      <c r="H2875" s="1713">
        <f>10*0.224*H2872*0</f>
        <v>0</v>
      </c>
      <c r="I2875" s="1192">
        <f t="shared" si="166"/>
        <v>0</v>
      </c>
      <c r="J2875" s="1014"/>
      <c r="K2875" s="1014"/>
      <c r="L2875" s="1015"/>
      <c r="M2875" s="934">
        <v>2000</v>
      </c>
    </row>
    <row r="2876" spans="1:13" s="1016" customFormat="1" ht="25.2" hidden="1" customHeight="1">
      <c r="A2876" s="1086">
        <f t="shared" si="164"/>
        <v>0</v>
      </c>
      <c r="B2876" s="1087" t="s">
        <v>1508</v>
      </c>
      <c r="C2876" s="2842"/>
      <c r="D2876" s="1011"/>
      <c r="E2876" s="1012">
        <f>VLOOKUP($B2876,DG!A:D,DG!$B$2,)</f>
        <v>0</v>
      </c>
      <c r="F2876" s="1013" t="str">
        <f>VLOOKUP($B2876,DG!A:D,DG!$C$2,)</f>
        <v>Cọc tiếp đất Þ 16- 2,4m + kẹp cọc mạ đồng</v>
      </c>
      <c r="G2876" s="1012" t="str">
        <f>VLOOKUP($B2876,DG!A:D,DG!$D$2,)</f>
        <v>bộ</v>
      </c>
      <c r="H2876" s="1713">
        <f>I2*H2872</f>
        <v>0</v>
      </c>
      <c r="I2876" s="1192">
        <f t="shared" si="166"/>
        <v>0</v>
      </c>
      <c r="J2876" s="1014"/>
      <c r="K2876" s="1014"/>
      <c r="L2876" s="1015"/>
      <c r="M2876" s="934">
        <v>2000</v>
      </c>
    </row>
    <row r="2877" spans="1:13" s="1016" customFormat="1" ht="25.2" hidden="1" customHeight="1">
      <c r="A2877" s="1086">
        <f t="shared" si="164"/>
        <v>0</v>
      </c>
      <c r="B2877" s="1087" t="s">
        <v>1490</v>
      </c>
      <c r="C2877" s="2842"/>
      <c r="D2877" s="1011"/>
      <c r="E2877" s="1012" t="str">
        <f>VLOOKUP($B2877,DG!A:D,DG!$B$2,)</f>
        <v>07.2403</v>
      </c>
      <c r="F2877" s="1013" t="str">
        <f>VLOOKUP($B2877,DG!A:D,DG!$C$2,)</f>
        <v xml:space="preserve">Ống PVC D21x1,6mm </v>
      </c>
      <c r="G2877" s="1012" t="str">
        <f>VLOOKUP($B2877,DG!A:D,DG!$D$2,)</f>
        <v>m</v>
      </c>
      <c r="H2877" s="1713">
        <f>H2872*6*0</f>
        <v>0</v>
      </c>
      <c r="I2877" s="1192">
        <f t="shared" si="166"/>
        <v>0</v>
      </c>
      <c r="J2877" s="1014"/>
      <c r="K2877" s="1014"/>
      <c r="L2877" s="1015"/>
      <c r="M2877" s="934">
        <v>2000</v>
      </c>
    </row>
    <row r="2878" spans="1:13" s="1016" customFormat="1" ht="25.2" hidden="1" customHeight="1">
      <c r="A2878" s="1086">
        <f t="shared" si="164"/>
        <v>0</v>
      </c>
      <c r="B2878" s="1231" t="s">
        <v>1579</v>
      </c>
      <c r="C2878" s="2844"/>
      <c r="D2878" s="1011"/>
      <c r="E2878" s="1012">
        <f>VLOOKUP($B2878,DG!A:D,DG!$B$2,)</f>
        <v>0</v>
      </c>
      <c r="F2878" s="1013" t="str">
        <f>VLOOKUP($B2878,DG!A:D,DG!$C$2,)&amp; " baét trung tính löôùi"</f>
        <v>Kẹp ép WR cỡ dây 50mm2 baét trung tính löôùi</v>
      </c>
      <c r="G2878" s="1012" t="str">
        <f>VLOOKUP($B2878,DG!A:D,DG!$D$2,)</f>
        <v>cái</v>
      </c>
      <c r="H2878" s="1713">
        <f>2*H2872*0</f>
        <v>0</v>
      </c>
      <c r="I2878" s="1192">
        <f t="shared" si="166"/>
        <v>0</v>
      </c>
      <c r="J2878" s="1014"/>
      <c r="K2878" s="1014"/>
      <c r="L2878" s="1015"/>
      <c r="M2878" s="934">
        <v>2000</v>
      </c>
    </row>
    <row r="2879" spans="1:13" s="1016" customFormat="1" ht="25.2" hidden="1" customHeight="1">
      <c r="A2879" s="1086">
        <f t="shared" si="164"/>
        <v>0</v>
      </c>
      <c r="B2879" s="1231" t="s">
        <v>1114</v>
      </c>
      <c r="C2879" s="2844"/>
      <c r="D2879" s="1011"/>
      <c r="E2879" s="1012">
        <f>VLOOKUP($B2879,DG!A:D,DG!$B$2,)</f>
        <v>0</v>
      </c>
      <c r="F2879" s="1013" t="str">
        <f>VLOOKUP($B2879,DG!A:D,DG!$C$2,)</f>
        <v>Kẹp ép cỡ dây 25mm2</v>
      </c>
      <c r="G2879" s="1012" t="str">
        <f>VLOOKUP($B2879,DG!A:D,DG!$D$2,)</f>
        <v>cái</v>
      </c>
      <c r="H2879" s="1744">
        <f>H2872*11*0</f>
        <v>0</v>
      </c>
      <c r="I2879" s="1192">
        <f t="shared" si="166"/>
        <v>0</v>
      </c>
      <c r="J2879" s="1014"/>
      <c r="K2879" s="1014"/>
      <c r="L2879" s="1015"/>
      <c r="M2879" s="934">
        <v>2000</v>
      </c>
    </row>
    <row r="2880" spans="1:13" s="1016" customFormat="1" ht="25.2" hidden="1" customHeight="1">
      <c r="A2880" s="1086">
        <f t="shared" si="164"/>
        <v>0</v>
      </c>
      <c r="B2880" s="1087" t="s">
        <v>138</v>
      </c>
      <c r="C2880" s="2842"/>
      <c r="D2880" s="1011"/>
      <c r="E2880" s="1012">
        <f>VLOOKUP($B2880,DG!A:D,DG!$B$2,)</f>
        <v>0</v>
      </c>
      <c r="F2880" s="1013" t="str">
        <f>VLOOKUP($B2880,DG!A:D,DG!$C$2,)</f>
        <v>Boulon 12x40+ 2 long đền vuông D14-50x50x3/Zn</v>
      </c>
      <c r="G2880" s="1012" t="str">
        <f>VLOOKUP($B2880,DG!A:D,DG!$D$2,)</f>
        <v>bộ</v>
      </c>
      <c r="H2880" s="1713">
        <f>H2881/2</f>
        <v>0</v>
      </c>
      <c r="I2880" s="1192">
        <f t="shared" si="166"/>
        <v>0</v>
      </c>
      <c r="J2880" s="1014"/>
      <c r="K2880" s="1014"/>
      <c r="L2880" s="1015"/>
      <c r="M2880" s="934">
        <v>2000</v>
      </c>
    </row>
    <row r="2881" spans="1:13" s="1016" customFormat="1" ht="25.2" hidden="1" customHeight="1">
      <c r="A2881" s="1086">
        <f t="shared" si="164"/>
        <v>0</v>
      </c>
      <c r="B2881" s="1087" t="s">
        <v>104</v>
      </c>
      <c r="C2881" s="2842"/>
      <c r="D2881" s="1011"/>
      <c r="E2881" s="1012" t="str">
        <f>VLOOKUP($B2881,DG!A:D,DG!$B$2,)</f>
        <v>03.4001</v>
      </c>
      <c r="F2881" s="1013" t="str">
        <f>VLOOKUP($B2881,DG!A:D,DG!$C$2,)</f>
        <v>Đầu cosse ép Cu 25mm2</v>
      </c>
      <c r="G2881" s="1012" t="str">
        <f>VLOOKUP($B2881,DG!A:D,DG!$D$2,)</f>
        <v>cái</v>
      </c>
      <c r="H2881" s="1713">
        <f>+H2872*2*0</f>
        <v>0</v>
      </c>
      <c r="I2881" s="1192">
        <f t="shared" si="166"/>
        <v>0</v>
      </c>
      <c r="J2881" s="1014"/>
      <c r="K2881" s="1014"/>
      <c r="L2881" s="1015"/>
      <c r="M2881" s="934">
        <v>2000</v>
      </c>
    </row>
    <row r="2882" spans="1:13" s="1016" customFormat="1" ht="25.2" hidden="1" customHeight="1">
      <c r="A2882" s="1086">
        <f t="shared" si="164"/>
        <v>0</v>
      </c>
      <c r="B2882" s="1087" t="s">
        <v>525</v>
      </c>
      <c r="C2882" s="2842"/>
      <c r="D2882" s="1011"/>
      <c r="E2882" s="1012" t="str">
        <f>VLOOKUP($B2882,DG!A:D,DG!$B$2,)</f>
        <v>06.3231</v>
      </c>
      <c r="F2882" s="1013" t="str">
        <f>VLOOKUP($B2882,DG!A:D,DG!$C$2,)</f>
        <v>Cổ dê kẹp ống PVC  21</v>
      </c>
      <c r="G2882" s="1012" t="str">
        <f>VLOOKUP($B2882,DG!A:D,DG!$D$2,)</f>
        <v>bộ</v>
      </c>
      <c r="H2882" s="1713">
        <f>H2872*2*0</f>
        <v>0</v>
      </c>
      <c r="I2882" s="1192">
        <f t="shared" si="166"/>
        <v>0</v>
      </c>
      <c r="J2882" s="1014"/>
      <c r="K2882" s="1014"/>
      <c r="L2882" s="1015"/>
      <c r="M2882" s="934">
        <v>2000</v>
      </c>
    </row>
    <row r="2883" spans="1:13" s="1016" customFormat="1" ht="25.2" hidden="1" customHeight="1">
      <c r="A2883" s="1086">
        <f t="shared" si="164"/>
        <v>0</v>
      </c>
      <c r="B2883" s="1087" t="s">
        <v>1585</v>
      </c>
      <c r="C2883" s="2842"/>
      <c r="D2883" s="1011"/>
      <c r="E2883" s="1012">
        <f>VLOOKUP($B2883,DG!A:D,DG!$B$2,)</f>
        <v>0</v>
      </c>
      <c r="F2883" s="1013" t="str">
        <f>VLOOKUP($B2883,DG!A:D,DG!$C$2,)</f>
        <v>Giếng tiếp địa khoan đất</v>
      </c>
      <c r="G2883" s="1012" t="str">
        <f>VLOOKUP($B2883,DG!A:D,DG!$D$2,)</f>
        <v>Cái</v>
      </c>
      <c r="H2883" s="1713"/>
      <c r="I2883" s="1192">
        <f t="shared" si="166"/>
        <v>0</v>
      </c>
      <c r="J2883" s="1014"/>
      <c r="K2883" s="1014"/>
      <c r="L2883" s="1015"/>
      <c r="M2883" s="934">
        <v>2000</v>
      </c>
    </row>
    <row r="2884" spans="1:13" s="1016" customFormat="1" ht="25.2" hidden="1" customHeight="1">
      <c r="A2884" s="1086">
        <f t="shared" si="164"/>
        <v>0</v>
      </c>
      <c r="B2884" s="1087" t="s">
        <v>453</v>
      </c>
      <c r="C2884" s="2842"/>
      <c r="D2884" s="1023"/>
      <c r="E2884" s="1012" t="str">
        <f>VLOOKUP($B2884,DG!A:D,DG!$B$2,)</f>
        <v>03.8133</v>
      </c>
      <c r="F2884" s="1041" t="str">
        <f>VLOOKUP($B2884,DG!A:D,DG!$C$2,)&amp;": (2m3/cọc)x"&amp;H2876&amp;" cọc"</f>
        <v>Phá đá chân hố móng, đá cấp II: (2m3/cọc)x0 cọc</v>
      </c>
      <c r="G2884" s="1068" t="s">
        <v>856</v>
      </c>
      <c r="H2884" s="1100"/>
      <c r="I2884" s="1192">
        <f t="shared" si="166"/>
        <v>0</v>
      </c>
      <c r="J2884" s="1014"/>
      <c r="K2884" s="1014"/>
      <c r="L2884" s="1015"/>
      <c r="M2884" s="934">
        <v>2000</v>
      </c>
    </row>
    <row r="2885" spans="1:13" s="1016" customFormat="1" ht="25.2" hidden="1" customHeight="1">
      <c r="A2885" s="1086">
        <f t="shared" ref="A2885:A2948" si="167">IF(AND(M2885=$M$23,I2885&gt;0),1,0)</f>
        <v>0</v>
      </c>
      <c r="B2885" s="1087" t="s">
        <v>794</v>
      </c>
      <c r="C2885" s="2842"/>
      <c r="D2885" s="1023"/>
      <c r="E2885" s="1012" t="str">
        <f>VLOOKUP($B2885,DG!A:D,DG!$B$2,)</f>
        <v>03.3123</v>
      </c>
      <c r="F2885" s="1013" t="str">
        <f>VLOOKUP($B2885,DG!A:D,DG!$C$2,)</f>
        <v>Đào rãnh tiếp địa đất cấp 3</v>
      </c>
      <c r="G2885" s="1068" t="s">
        <v>856</v>
      </c>
      <c r="H2885" s="1100">
        <f>I3*H2872</f>
        <v>0</v>
      </c>
      <c r="I2885" s="1192">
        <f t="shared" si="166"/>
        <v>0</v>
      </c>
      <c r="J2885" s="1014"/>
      <c r="K2885" s="1014"/>
      <c r="L2885" s="1015"/>
      <c r="M2885" s="934">
        <v>2000</v>
      </c>
    </row>
    <row r="2886" spans="1:13" s="1016" customFormat="1" ht="25.2" hidden="1" customHeight="1">
      <c r="A2886" s="1086">
        <f t="shared" si="167"/>
        <v>0</v>
      </c>
      <c r="B2886" s="1087" t="s">
        <v>798</v>
      </c>
      <c r="C2886" s="2842"/>
      <c r="D2886" s="1023"/>
      <c r="E2886" s="1012" t="str">
        <f>VLOOKUP($B2886,DG!A:D,DG!$B$2,)</f>
        <v>03.4123</v>
      </c>
      <c r="F2886" s="1013" t="str">
        <f>VLOOKUP($B2886,DG!A:D,DG!$C$2,)</f>
        <v>Đắp đất rãnh tiếp độ chặt k=0,85</v>
      </c>
      <c r="G2886" s="1068" t="s">
        <v>856</v>
      </c>
      <c r="H2886" s="1100">
        <f>($H2885+H2884)*H2872</f>
        <v>0</v>
      </c>
      <c r="I2886" s="1192">
        <f t="shared" si="166"/>
        <v>0</v>
      </c>
      <c r="J2886" s="1014"/>
      <c r="K2886" s="1014"/>
      <c r="L2886" s="1015"/>
      <c r="M2886" s="934">
        <v>2000</v>
      </c>
    </row>
    <row r="2887" spans="1:13" s="1016" customFormat="1" ht="25.2" hidden="1" customHeight="1">
      <c r="A2887" s="1086">
        <f t="shared" si="167"/>
        <v>0</v>
      </c>
      <c r="B2887" s="1087" t="s">
        <v>902</v>
      </c>
      <c r="C2887" s="2842"/>
      <c r="D2887" s="1023"/>
      <c r="E2887" s="1012" t="str">
        <f>VLOOKUP($B2887,DG!A:D,DG!$B$2,)</f>
        <v>04.7001</v>
      </c>
      <c r="F2887" s="1013" t="str">
        <f>VLOOKUP($B2887,DG!A:D,DG!$C$2,)</f>
        <v>Đóng cọc tiếp địa trong TBA</v>
      </c>
      <c r="G2887" s="1068" t="s">
        <v>856</v>
      </c>
      <c r="H2887" s="1100">
        <f>H2876</f>
        <v>0</v>
      </c>
      <c r="I2887" s="1192">
        <f t="shared" si="166"/>
        <v>0</v>
      </c>
      <c r="J2887" s="1014"/>
      <c r="K2887" s="1014"/>
      <c r="L2887" s="1015"/>
      <c r="M2887" s="934">
        <v>2000</v>
      </c>
    </row>
    <row r="2888" spans="1:13" s="1016" customFormat="1" ht="25.2" hidden="1" customHeight="1">
      <c r="A2888" s="1086">
        <f t="shared" si="167"/>
        <v>0</v>
      </c>
      <c r="B2888" s="1087" t="s">
        <v>1437</v>
      </c>
      <c r="C2888" s="2842"/>
      <c r="D2888" s="1011"/>
      <c r="E2888" s="1012" t="str">
        <f>VLOOKUP($B2888,DG!A:D,DG!$B$2,)</f>
        <v>04.7002</v>
      </c>
      <c r="F2888" s="1013" t="str">
        <f>VLOOKUP($B2888,DG!A:D,DG!$C$2,)</f>
        <v>Kéo dây tiếp địa trong TBA</v>
      </c>
      <c r="G2888" s="1012" t="str">
        <f>VLOOKUP($B2888,DG!A:D,DG!$D$2,)</f>
        <v>kg</v>
      </c>
      <c r="H2888" s="1713">
        <f>H2872*I3*0</f>
        <v>0</v>
      </c>
      <c r="I2888" s="1192">
        <f t="shared" si="166"/>
        <v>0</v>
      </c>
      <c r="J2888" s="1014"/>
      <c r="K2888" s="1014"/>
      <c r="L2888" s="1015"/>
      <c r="M2888" s="934">
        <v>2000</v>
      </c>
    </row>
    <row r="2889" spans="1:13" s="1016" customFormat="1" ht="25.2" hidden="1" customHeight="1">
      <c r="A2889" s="1086">
        <f t="shared" si="167"/>
        <v>0</v>
      </c>
      <c r="B2889" s="1226"/>
      <c r="C2889" s="2841"/>
      <c r="D2889" s="1017">
        <f>IF(H2889&gt;0,D2872+1,D2872)</f>
        <v>0</v>
      </c>
      <c r="E2889" s="1018"/>
      <c r="F2889" s="1019" t="s">
        <v>3756</v>
      </c>
      <c r="G2889" s="1017" t="s">
        <v>2385</v>
      </c>
      <c r="H2889" s="1722">
        <f>H2800</f>
        <v>0</v>
      </c>
      <c r="I2889" s="1192">
        <f t="shared" si="166"/>
        <v>0</v>
      </c>
      <c r="J2889" s="1014"/>
      <c r="K2889" s="1014"/>
      <c r="L2889" s="1015"/>
      <c r="M2889" s="934">
        <v>2000</v>
      </c>
    </row>
    <row r="2890" spans="1:13" s="1016" customFormat="1" ht="25.2" hidden="1" customHeight="1">
      <c r="A2890" s="1086">
        <f t="shared" si="167"/>
        <v>0</v>
      </c>
      <c r="B2890" s="1226"/>
      <c r="C2890" s="2841"/>
      <c r="D2890" s="1011"/>
      <c r="E2890" s="1021"/>
      <c r="F2890" s="1267" t="s">
        <v>2279</v>
      </c>
      <c r="G2890" s="1023"/>
      <c r="H2890" s="1713"/>
      <c r="I2890" s="1192">
        <f t="shared" si="166"/>
        <v>0</v>
      </c>
      <c r="J2890" s="1014"/>
      <c r="K2890" s="1014"/>
      <c r="L2890" s="1015"/>
      <c r="M2890" s="934">
        <v>2000</v>
      </c>
    </row>
    <row r="2891" spans="1:13" s="1016" customFormat="1" ht="25.2" hidden="1" customHeight="1">
      <c r="A2891" s="1086">
        <f t="shared" si="167"/>
        <v>0</v>
      </c>
      <c r="B2891" s="1262" t="s">
        <v>1192</v>
      </c>
      <c r="C2891" s="2876"/>
      <c r="D2891" s="1023"/>
      <c r="E2891" s="1024" t="str">
        <f>VLOOKUP($B2891,DG!A:D,DG!$B$2,)</f>
        <v>05.1002</v>
      </c>
      <c r="F2891" s="1025" t="str">
        <f>VLOOKUP($B2891,DG!A:D,DG!$C$2,)</f>
        <v>Tủ CB trạm 3 pha + khoá + bulon</v>
      </c>
      <c r="G2891" s="1024" t="str">
        <f>VLOOKUP($B2891,DG!A:D,DG!$D$2,)</f>
        <v>cái</v>
      </c>
      <c r="H2891" s="1713">
        <f>H2889</f>
        <v>0</v>
      </c>
      <c r="I2891" s="1192">
        <f t="shared" si="166"/>
        <v>0</v>
      </c>
      <c r="J2891" s="1014"/>
      <c r="K2891" s="1014"/>
      <c r="L2891" s="1015"/>
      <c r="M2891" s="934">
        <v>2000</v>
      </c>
    </row>
    <row r="2892" spans="1:13" s="1016" customFormat="1" ht="25.2" hidden="1" customHeight="1">
      <c r="A2892" s="1086">
        <f t="shared" si="167"/>
        <v>0</v>
      </c>
      <c r="B2892" s="1226" t="s">
        <v>1535</v>
      </c>
      <c r="C2892" s="2841"/>
      <c r="D2892" s="1011"/>
      <c r="E2892" s="1024">
        <f>VLOOKUP($B2892,DG!A:D,DG!$B$2,)</f>
        <v>0</v>
      </c>
      <c r="F2892" s="1025" t="str">
        <f>VLOOKUP($B2892,DG!A:D,DG!$C$2,)</f>
        <v>Giá nới + Thanh cái tủ CB</v>
      </c>
      <c r="G2892" s="1024" t="str">
        <f>VLOOKUP($B2892,DG!A:D,DG!$D$2,)</f>
        <v>bộ</v>
      </c>
      <c r="H2892" s="1723">
        <f>H2889</f>
        <v>0</v>
      </c>
      <c r="I2892" s="1192">
        <f t="shared" si="166"/>
        <v>0</v>
      </c>
      <c r="J2892" s="1014"/>
      <c r="K2892" s="1014"/>
      <c r="L2892" s="1015"/>
      <c r="M2892" s="934">
        <v>2000</v>
      </c>
    </row>
    <row r="2893" spans="1:13" s="1016" customFormat="1" ht="25.2" hidden="1" customHeight="1">
      <c r="A2893" s="1086">
        <f t="shared" si="167"/>
        <v>0</v>
      </c>
      <c r="B2893" s="1226" t="s">
        <v>880</v>
      </c>
      <c r="C2893" s="2841"/>
      <c r="D2893" s="1011"/>
      <c r="E2893" s="1024">
        <f>VLOOKUP($B2893,DG!A:D,DG!$B$2,)</f>
        <v>0</v>
      </c>
      <c r="F2893" s="1025" t="str">
        <f>VLOOKUP($B2893,DG!A:D,DG!$C$2,)</f>
        <v xml:space="preserve">Bakelit 550x450 dầy 10mm </v>
      </c>
      <c r="G2893" s="1024" t="str">
        <f>VLOOKUP($B2893,DG!A:D,DG!$D$2,)</f>
        <v>cái</v>
      </c>
      <c r="H2893" s="1723">
        <f>H2889*1</f>
        <v>0</v>
      </c>
      <c r="I2893" s="1192">
        <f t="shared" si="166"/>
        <v>0</v>
      </c>
      <c r="J2893" s="1014"/>
      <c r="K2893" s="1014"/>
      <c r="L2893" s="1015"/>
      <c r="M2893" s="934">
        <v>2000</v>
      </c>
    </row>
    <row r="2894" spans="1:13" s="1016" customFormat="1" ht="25.2" hidden="1" customHeight="1">
      <c r="A2894" s="1086">
        <f t="shared" si="167"/>
        <v>0</v>
      </c>
      <c r="B2894" s="1226" t="s">
        <v>289</v>
      </c>
      <c r="C2894" s="2841"/>
      <c r="D2894" s="1023"/>
      <c r="E2894" s="1024" t="str">
        <f>VLOOKUP($B2894,DG!A:D,DG!$B$2,)</f>
        <v>06.3191</v>
      </c>
      <c r="F2894" s="1025" t="str">
        <f>VLOOKUP($B2894,DG!A:D,DG!$C$2,)</f>
        <v>Bảng tên trạm, bảng báo nguy hiểm + đinh vít</v>
      </c>
      <c r="G2894" s="1024" t="str">
        <f>VLOOKUP($B2894,DG!A:D,DG!$D$2,)</f>
        <v>bộ</v>
      </c>
      <c r="H2894" s="1713">
        <f>H2889</f>
        <v>0</v>
      </c>
      <c r="I2894" s="1192">
        <f t="shared" si="166"/>
        <v>0</v>
      </c>
      <c r="J2894" s="1014"/>
      <c r="K2894" s="1014"/>
      <c r="L2894" s="1015"/>
      <c r="M2894" s="934">
        <v>2000</v>
      </c>
    </row>
    <row r="2895" spans="1:13" s="1016" customFormat="1" ht="25.2" hidden="1" customHeight="1">
      <c r="A2895" s="1086">
        <f t="shared" si="167"/>
        <v>0</v>
      </c>
      <c r="B2895" s="1226"/>
      <c r="C2895" s="2841"/>
      <c r="D2895" s="1017">
        <f>IF(H2895&gt;0,D2889+1,D2889)</f>
        <v>0</v>
      </c>
      <c r="E2895" s="1018"/>
      <c r="F2895" s="1019" t="s">
        <v>3757</v>
      </c>
      <c r="G2895" s="1017" t="s">
        <v>2532</v>
      </c>
      <c r="H2895" s="1722"/>
      <c r="I2895" s="1192">
        <f t="shared" si="166"/>
        <v>0</v>
      </c>
      <c r="J2895" s="1014"/>
      <c r="K2895" s="1014"/>
      <c r="L2895" s="1015"/>
      <c r="M2895" s="934">
        <v>2000</v>
      </c>
    </row>
    <row r="2896" spans="1:13" s="1016" customFormat="1" ht="25.2" hidden="1" customHeight="1">
      <c r="A2896" s="1086">
        <f t="shared" si="167"/>
        <v>0</v>
      </c>
      <c r="B2896" s="1226"/>
      <c r="C2896" s="2841"/>
      <c r="D2896" s="1011"/>
      <c r="E2896" s="1021"/>
      <c r="F2896" s="1267" t="s">
        <v>2279</v>
      </c>
      <c r="G2896" s="1023"/>
      <c r="H2896" s="1713"/>
      <c r="I2896" s="1192">
        <f t="shared" si="166"/>
        <v>0</v>
      </c>
      <c r="J2896" s="1014"/>
      <c r="K2896" s="1014"/>
      <c r="L2896" s="1015"/>
      <c r="M2896" s="934">
        <v>2000</v>
      </c>
    </row>
    <row r="2897" spans="1:14" s="1016" customFormat="1" ht="25.2" hidden="1" customHeight="1">
      <c r="A2897" s="1086">
        <f t="shared" si="167"/>
        <v>0</v>
      </c>
      <c r="B2897" s="1228" t="s">
        <v>752</v>
      </c>
      <c r="C2897" s="2840"/>
      <c r="D2897" s="1023"/>
      <c r="E2897" s="1024">
        <f>VLOOKUP($B2897,DG!A:D,DG!$B$2,)</f>
        <v>0</v>
      </c>
      <c r="F2897" s="1041" t="str">
        <f>VLOOKUP($B2897,DG!A:D,DG!$C$2,)&amp;": 0,38m3/m"</f>
        <v>Cát vàng: 0,38m3/m</v>
      </c>
      <c r="G2897" s="1024" t="str">
        <f>VLOOKUP($B2897,DG!A:D,DG!$D$2,)</f>
        <v>m3</v>
      </c>
      <c r="H2897" s="1713">
        <f>H2895*0.38</f>
        <v>0</v>
      </c>
      <c r="I2897" s="1192">
        <f t="shared" si="166"/>
        <v>0</v>
      </c>
      <c r="J2897" s="1014"/>
      <c r="K2897" s="1014"/>
      <c r="L2897" s="1015"/>
      <c r="M2897" s="934">
        <v>2000</v>
      </c>
    </row>
    <row r="2898" spans="1:14" s="1016" customFormat="1" ht="25.2" hidden="1" customHeight="1">
      <c r="A2898" s="1086">
        <f t="shared" si="167"/>
        <v>0</v>
      </c>
      <c r="B2898" s="1228" t="s">
        <v>867</v>
      </c>
      <c r="C2898" s="2840"/>
      <c r="D2898" s="1023"/>
      <c r="E2898" s="1024">
        <f>VLOOKUP($B2898,DG!A:D,DG!$B$2,)</f>
        <v>0</v>
      </c>
      <c r="F2898" s="1041" t="str">
        <f>VLOOKUP($B2898,DG!A:D,DG!$C$2,)&amp;": 0,12m3/m"</f>
        <v>Đá 1x2: 0,12m3/m</v>
      </c>
      <c r="G2898" s="1024" t="str">
        <f>VLOOKUP($B2898,DG!A:D,DG!$D$2,)</f>
        <v>m3</v>
      </c>
      <c r="H2898" s="1713">
        <f>0.12*H2895*0</f>
        <v>0</v>
      </c>
      <c r="I2898" s="1192">
        <f t="shared" si="166"/>
        <v>0</v>
      </c>
      <c r="J2898" s="1014"/>
      <c r="K2898" s="1014"/>
      <c r="L2898" s="1015"/>
      <c r="M2898" s="934">
        <v>2000</v>
      </c>
    </row>
    <row r="2899" spans="1:14" s="1016" customFormat="1" ht="25.2" hidden="1" customHeight="1">
      <c r="A2899" s="1086">
        <f t="shared" si="167"/>
        <v>0</v>
      </c>
      <c r="B2899" s="1228" t="s">
        <v>1675</v>
      </c>
      <c r="C2899" s="2840"/>
      <c r="D2899" s="1023"/>
      <c r="E2899" s="1024">
        <f>VLOOKUP($B2899,DG!A:D,DG!$B$2,)</f>
        <v>0</v>
      </c>
      <c r="F2899" s="1041" t="str">
        <f>VLOOKUP($B2899,DG!A:D,DG!$C$2,)&amp;": 3,3vieân/m"</f>
        <v>Gạch tàu: 3,3vieân/m</v>
      </c>
      <c r="G2899" s="1024" t="str">
        <f>VLOOKUP($B2899,DG!A:D,DG!$D$2,)</f>
        <v>viên</v>
      </c>
      <c r="H2899" s="1713">
        <f>3.3*H2895</f>
        <v>0</v>
      </c>
      <c r="I2899" s="1192">
        <f t="shared" si="166"/>
        <v>0</v>
      </c>
      <c r="J2899" s="1014"/>
      <c r="K2899" s="1014"/>
      <c r="L2899" s="1015"/>
      <c r="M2899" s="934">
        <v>2000</v>
      </c>
    </row>
    <row r="2900" spans="1:14" s="1016" customFormat="1" ht="25.2" hidden="1" customHeight="1">
      <c r="A2900" s="1086">
        <f t="shared" si="167"/>
        <v>0</v>
      </c>
      <c r="B2900" s="1228" t="s">
        <v>1676</v>
      </c>
      <c r="C2900" s="2840"/>
      <c r="D2900" s="1023"/>
      <c r="E2900" s="1024">
        <f>VLOOKUP($B2900,DG!A:D,DG!$B$2,)</f>
        <v>0</v>
      </c>
      <c r="F2900" s="1041" t="str">
        <f>VLOOKUP($B2900,DG!A:D,DG!$C$2,)&amp;": 0,4m2/m"</f>
        <v>Tấm nilông màu cảnh báo: 0,4m2/m</v>
      </c>
      <c r="G2900" s="1024" t="str">
        <f>VLOOKUP($B2900,DG!A:D,DG!$D$2,)</f>
        <v>m2</v>
      </c>
      <c r="H2900" s="1713">
        <f>0.4*H2895</f>
        <v>0</v>
      </c>
      <c r="I2900" s="1192">
        <f t="shared" si="166"/>
        <v>0</v>
      </c>
      <c r="J2900" s="1014"/>
      <c r="K2900" s="1014"/>
      <c r="L2900" s="1015"/>
      <c r="M2900" s="934">
        <v>2000</v>
      </c>
    </row>
    <row r="2901" spans="1:14" s="1016" customFormat="1" ht="25.2" hidden="1" customHeight="1">
      <c r="A2901" s="1086">
        <f t="shared" si="167"/>
        <v>0</v>
      </c>
      <c r="B2901" s="1228" t="s">
        <v>1518</v>
      </c>
      <c r="C2901" s="2840"/>
      <c r="D2901" s="1011"/>
      <c r="E2901" s="1024">
        <f>VLOOKUP($B2901,DG!A:D,DG!$B$2,)</f>
        <v>0</v>
      </c>
      <c r="F2901" s="1041" t="str">
        <f>VLOOKUP($B2901,DG!A:D,DG!$C$2,)</f>
        <v>Ống PVC D140x6,7mm</v>
      </c>
      <c r="G2901" s="1024" t="str">
        <f>VLOOKUP($B2901,DG!A:D,DG!$D$2,)</f>
        <v>m</v>
      </c>
      <c r="H2901" s="1713">
        <f>1*H2895</f>
        <v>0</v>
      </c>
      <c r="I2901" s="1192">
        <f t="shared" si="166"/>
        <v>0</v>
      </c>
      <c r="J2901" s="1014"/>
      <c r="K2901" s="1014"/>
      <c r="L2901" s="1015"/>
      <c r="M2901" s="934">
        <v>2000</v>
      </c>
    </row>
    <row r="2902" spans="1:14" s="1016" customFormat="1" ht="25.2" hidden="1" customHeight="1">
      <c r="A2902" s="1086">
        <f t="shared" si="167"/>
        <v>0</v>
      </c>
      <c r="B2902" s="1228" t="s">
        <v>1678</v>
      </c>
      <c r="C2902" s="2840"/>
      <c r="D2902" s="1023"/>
      <c r="E2902" s="1024" t="str">
        <f>VLOOKUP($B2902,DG!A:D,DG!$B$2,)</f>
        <v>03.7000</v>
      </c>
      <c r="F2902" s="1041" t="str">
        <f>VLOOKUP($B2902,DG!A:D,DG!$C$2,)&amp;" + ñaép ñaù"</f>
        <v>Đắp cát  + ñaép ñaù</v>
      </c>
      <c r="G2902" s="1024" t="str">
        <f>VLOOKUP($B2902,DG!A:D,DG!$D$2,)</f>
        <v>m3</v>
      </c>
      <c r="H2902" s="1713">
        <f>H2897+H2898</f>
        <v>0</v>
      </c>
      <c r="I2902" s="1192">
        <f t="shared" si="166"/>
        <v>0</v>
      </c>
      <c r="J2902" s="1014"/>
      <c r="K2902" s="1014"/>
      <c r="L2902" s="1015"/>
      <c r="M2902" s="934">
        <v>2000</v>
      </c>
    </row>
    <row r="2903" spans="1:14" s="1016" customFormat="1" ht="25.2" hidden="1" customHeight="1">
      <c r="A2903" s="1086">
        <f t="shared" si="167"/>
        <v>0</v>
      </c>
      <c r="B2903" s="1228" t="s">
        <v>144</v>
      </c>
      <c r="C2903" s="2840"/>
      <c r="D2903" s="1023"/>
      <c r="E2903" s="1024" t="str">
        <f>VLOOKUP($B2903,DG!A:D,DG!$B$2,)</f>
        <v>03.3103</v>
      </c>
      <c r="F2903" s="1041" t="str">
        <f>VLOOKUP($B2903,DG!A:D,DG!$C$2,)&amp;" : 0,48m3/m"</f>
        <v>Đào mương cáp ngầm đất cấp 3 : 0,48m3/m</v>
      </c>
      <c r="G2903" s="1024" t="str">
        <f>VLOOKUP($B2903,DG!A:D,DG!$D$2,)</f>
        <v>m3</v>
      </c>
      <c r="H2903" s="1713">
        <f>H2895*0.48</f>
        <v>0</v>
      </c>
      <c r="I2903" s="1192">
        <f t="shared" si="166"/>
        <v>0</v>
      </c>
      <c r="J2903" s="1014"/>
      <c r="K2903" s="1014"/>
      <c r="L2903" s="1015"/>
      <c r="M2903" s="934">
        <v>2000</v>
      </c>
    </row>
    <row r="2904" spans="1:14" s="1016" customFormat="1" ht="25.2" hidden="1" customHeight="1">
      <c r="A2904" s="1086">
        <f t="shared" si="167"/>
        <v>0</v>
      </c>
      <c r="B2904" s="1228" t="s">
        <v>529</v>
      </c>
      <c r="C2904" s="2840"/>
      <c r="D2904" s="1023"/>
      <c r="E2904" s="1024" t="str">
        <f>VLOOKUP($B2904,DG!A:D,DG!$B$2,)</f>
        <v>03.3203</v>
      </c>
      <c r="F2904" s="1041" t="str">
        <f>VLOOKUP($B2904,DG!A:D,DG!$C$2,)&amp;" : 0,16m3/m"</f>
        <v>Đắp đất mương cáp ngầm, đất cấp 3 : 0,16m3/m</v>
      </c>
      <c r="G2904" s="1024" t="str">
        <f>VLOOKUP($B2904,DG!A:D,DG!$D$2,)</f>
        <v>m3</v>
      </c>
      <c r="H2904" s="1713">
        <f>0.16*H2895</f>
        <v>0</v>
      </c>
      <c r="I2904" s="1192">
        <f t="shared" si="166"/>
        <v>0</v>
      </c>
      <c r="J2904" s="1014"/>
      <c r="K2904" s="1014"/>
      <c r="L2904" s="1015"/>
      <c r="M2904" s="934">
        <v>2000</v>
      </c>
      <c r="N2904" s="1066">
        <v>0.47499999999999998</v>
      </c>
    </row>
    <row r="2905" spans="1:14" s="1016" customFormat="1" ht="25.2" hidden="1" customHeight="1">
      <c r="A2905" s="1086">
        <f t="shared" si="167"/>
        <v>0</v>
      </c>
      <c r="B2905" s="1226"/>
      <c r="C2905" s="2841"/>
      <c r="D2905" s="1017">
        <f>IF(H2905&gt;0,D2895+1,D2895)</f>
        <v>0</v>
      </c>
      <c r="E2905" s="1018"/>
      <c r="F2905" s="1019" t="s">
        <v>3758</v>
      </c>
      <c r="G2905" s="1017" t="s">
        <v>2385</v>
      </c>
      <c r="H2905" s="1722">
        <f>H2914</f>
        <v>0</v>
      </c>
      <c r="I2905" s="1192">
        <f t="shared" si="166"/>
        <v>0</v>
      </c>
      <c r="J2905" s="1014"/>
      <c r="K2905" s="1014"/>
      <c r="L2905" s="1015"/>
      <c r="M2905" s="934">
        <v>2000</v>
      </c>
      <c r="N2905" s="1066">
        <v>0.88100000000000001</v>
      </c>
    </row>
    <row r="2906" spans="1:14" s="1016" customFormat="1" ht="25.2" hidden="1" customHeight="1">
      <c r="A2906" s="1086">
        <f t="shared" si="167"/>
        <v>0</v>
      </c>
      <c r="B2906" s="1226"/>
      <c r="C2906" s="2841"/>
      <c r="D2906" s="1011"/>
      <c r="E2906" s="1021"/>
      <c r="F2906" s="1267" t="s">
        <v>2279</v>
      </c>
      <c r="G2906" s="1023"/>
      <c r="H2906" s="1713"/>
      <c r="I2906" s="1192">
        <f t="shared" si="166"/>
        <v>0</v>
      </c>
      <c r="J2906" s="1014"/>
      <c r="K2906" s="1014"/>
      <c r="L2906" s="1015"/>
      <c r="M2906" s="934">
        <v>2000</v>
      </c>
    </row>
    <row r="2907" spans="1:14" s="1016" customFormat="1" ht="25.2" hidden="1" customHeight="1">
      <c r="A2907" s="1086">
        <f t="shared" si="167"/>
        <v>0</v>
      </c>
      <c r="B2907" s="1226" t="s">
        <v>623</v>
      </c>
      <c r="C2907" s="2841"/>
      <c r="D2907" s="1023"/>
      <c r="E2907" s="1024" t="str">
        <f>VLOOKUP($B2907,DG!A:D,DG!$B$2,)</f>
        <v>07.2204</v>
      </c>
      <c r="F2907" s="1025" t="str">
        <f>VLOOKUP($B2907,DG!A:D,DG!$C$2,)</f>
        <v>ÔÁng sắt tráng kẽm D140</v>
      </c>
      <c r="G2907" s="1024" t="str">
        <f>VLOOKUP($B2907,DG!A:D,DG!$D$2,)</f>
        <v>mét</v>
      </c>
      <c r="H2907" s="1713">
        <f>H2905*4</f>
        <v>0</v>
      </c>
      <c r="I2907" s="1192">
        <f t="shared" si="166"/>
        <v>0</v>
      </c>
      <c r="J2907" s="1014"/>
      <c r="K2907" s="1014"/>
      <c r="L2907" s="1015"/>
      <c r="M2907" s="934">
        <v>2000</v>
      </c>
    </row>
    <row r="2908" spans="1:14" s="1016" customFormat="1" ht="25.2" hidden="1" customHeight="1">
      <c r="A2908" s="1086">
        <f t="shared" si="167"/>
        <v>0</v>
      </c>
      <c r="B2908" s="1228" t="s">
        <v>473</v>
      </c>
      <c r="C2908" s="2840"/>
      <c r="D2908" s="1011"/>
      <c r="E2908" s="1024">
        <f>VLOOKUP($B2908,DG!A:D,DG!$B$2,)</f>
        <v>0</v>
      </c>
      <c r="F2908" s="1025" t="str">
        <f>VLOOKUP($B2908,DG!A:D,DG!$C$2,)</f>
        <v>Co sừng 90 độ PVC 140</v>
      </c>
      <c r="G2908" s="1024" t="str">
        <f>VLOOKUP($B2908,DG!A:D,DG!$D$2,)</f>
        <v>cái</v>
      </c>
      <c r="H2908" s="1713">
        <f>H2905*1</f>
        <v>0</v>
      </c>
      <c r="I2908" s="1192">
        <f t="shared" si="166"/>
        <v>0</v>
      </c>
      <c r="J2908" s="1014"/>
      <c r="K2908" s="1014"/>
      <c r="L2908" s="1015"/>
      <c r="M2908" s="934">
        <v>2000</v>
      </c>
    </row>
    <row r="2909" spans="1:14" s="1016" customFormat="1" ht="25.2" hidden="1" customHeight="1">
      <c r="A2909" s="1086">
        <f t="shared" si="167"/>
        <v>0</v>
      </c>
      <c r="B2909" s="1226" t="s">
        <v>120</v>
      </c>
      <c r="C2909" s="2841"/>
      <c r="D2909" s="1023"/>
      <c r="E2909" s="1024" t="str">
        <f>VLOOKUP($B2909,DG!A:D,DG!$B$2,)</f>
        <v>06.3231</v>
      </c>
      <c r="F2909" s="1025" t="str">
        <f>VLOOKUP($B2909,DG!A:D,DG!$C$2,)</f>
        <v>Cổ dê giữ ống STK D140 vào tường+Boulon+long đền+tắc ke sắt</v>
      </c>
      <c r="G2909" s="1024" t="str">
        <f>VLOOKUP($B2909,DG!A:D,DG!$D$2,)</f>
        <v>bộ</v>
      </c>
      <c r="H2909" s="1713">
        <f>H2905*2</f>
        <v>0</v>
      </c>
      <c r="I2909" s="1192">
        <f t="shared" si="166"/>
        <v>0</v>
      </c>
      <c r="J2909" s="1014"/>
      <c r="K2909" s="1014"/>
      <c r="L2909" s="1015"/>
      <c r="M2909" s="934">
        <v>2000</v>
      </c>
    </row>
    <row r="2910" spans="1:14" s="1016" customFormat="1" ht="25.2" hidden="1" customHeight="1">
      <c r="A2910" s="1086">
        <f t="shared" si="167"/>
        <v>0</v>
      </c>
      <c r="B2910" s="1087" t="s">
        <v>1409</v>
      </c>
      <c r="C2910" s="2842"/>
      <c r="D2910" s="1023"/>
      <c r="E2910" s="1024">
        <f>VLOOKUP($B2910,DG!A:D,DG!$B$2,)</f>
        <v>0</v>
      </c>
      <c r="F2910" s="1025" t="str">
        <f>VLOOKUP($B2910,DG!A:D,DG!$C$2,)</f>
        <v>Giá đỡ cáp ngầm (V63x6)</v>
      </c>
      <c r="G2910" s="1024" t="str">
        <f>VLOOKUP($B2910,DG!A:D,DG!$D$2,)</f>
        <v>bộ</v>
      </c>
      <c r="H2910" s="1713">
        <f>H2905</f>
        <v>0</v>
      </c>
      <c r="I2910" s="1192">
        <f t="shared" si="166"/>
        <v>0</v>
      </c>
      <c r="J2910" s="1014"/>
      <c r="K2910" s="1014"/>
      <c r="L2910" s="1015"/>
      <c r="M2910" s="934">
        <v>2000</v>
      </c>
    </row>
    <row r="2911" spans="1:14" s="1016" customFormat="1" ht="25.2" hidden="1" customHeight="1">
      <c r="A2911" s="1086">
        <f t="shared" si="167"/>
        <v>0</v>
      </c>
      <c r="B2911" s="1087" t="s">
        <v>984</v>
      </c>
      <c r="C2911" s="2842"/>
      <c r="D2911" s="1023"/>
      <c r="E2911" s="1024">
        <f>VLOOKUP($B2911,DG!A:D,DG!$B$2,)</f>
        <v>0</v>
      </c>
      <c r="F2911" s="1025" t="str">
        <f>VLOOKUP($B2911,DG!A:D,DG!$C$2,)</f>
        <v>Giá đỡ cáp trung thế</v>
      </c>
      <c r="G2911" s="1024" t="str">
        <f>VLOOKUP($B2911,DG!A:D,DG!$D$2,)</f>
        <v>bộ</v>
      </c>
      <c r="H2911" s="1713">
        <f>H2905*0</f>
        <v>0</v>
      </c>
      <c r="I2911" s="1192">
        <f t="shared" si="166"/>
        <v>0</v>
      </c>
      <c r="J2911" s="1014"/>
      <c r="K2911" s="1014"/>
      <c r="L2911" s="1015"/>
      <c r="M2911" s="934">
        <v>2000</v>
      </c>
    </row>
    <row r="2912" spans="1:14" s="1016" customFormat="1" ht="25.2" hidden="1" customHeight="1">
      <c r="A2912" s="1086">
        <f t="shared" si="167"/>
        <v>0</v>
      </c>
      <c r="B2912" s="1226" t="s">
        <v>1410</v>
      </c>
      <c r="C2912" s="2841"/>
      <c r="D2912" s="1011"/>
      <c r="E2912" s="1024" t="str">
        <f>VLOOKUP($B2912,DG!A:D,DG!$B$2,)</f>
        <v>05.6101</v>
      </c>
      <c r="F2912" s="1025" t="str">
        <f>VLOOKUP($B2912,DG!A:D,DG!$C$2,)</f>
        <v>Lắp Giá đỡ cáp</v>
      </c>
      <c r="G2912" s="1024" t="str">
        <f>VLOOKUP($B2912,DG!A:D,DG!$D$2,)</f>
        <v>bộ</v>
      </c>
      <c r="H2912" s="1713">
        <f>H2910</f>
        <v>0</v>
      </c>
      <c r="I2912" s="1192">
        <f t="shared" si="166"/>
        <v>0</v>
      </c>
      <c r="J2912" s="1014"/>
      <c r="K2912" s="1014"/>
      <c r="L2912" s="1015"/>
      <c r="M2912" s="934">
        <v>2000</v>
      </c>
    </row>
    <row r="2913" spans="1:13" s="1016" customFormat="1" ht="25.2" hidden="1" customHeight="1">
      <c r="A2913" s="1086">
        <f t="shared" si="167"/>
        <v>0</v>
      </c>
      <c r="B2913" s="1226" t="s">
        <v>289</v>
      </c>
      <c r="C2913" s="2841"/>
      <c r="D2913" s="1023"/>
      <c r="E2913" s="1024" t="str">
        <f>VLOOKUP($B2913,DG!A:D,DG!$B$2,)</f>
        <v>06.3191</v>
      </c>
      <c r="F2913" s="1025" t="str">
        <f>VLOOKUP($B2913,DG!A:D,DG!$C$2,)</f>
        <v>Bảng tên trạm, bảng báo nguy hiểm + đinh vít</v>
      </c>
      <c r="G2913" s="1024" t="str">
        <f>VLOOKUP($B2913,DG!A:D,DG!$D$2,)</f>
        <v>bộ</v>
      </c>
      <c r="H2913" s="1713">
        <f>H2905</f>
        <v>0</v>
      </c>
      <c r="I2913" s="1192">
        <f t="shared" si="166"/>
        <v>0</v>
      </c>
      <c r="J2913" s="1014"/>
      <c r="K2913" s="1014"/>
      <c r="L2913" s="1015"/>
      <c r="M2913" s="934">
        <v>2000</v>
      </c>
    </row>
    <row r="2914" spans="1:13" s="1016" customFormat="1" ht="25.2" hidden="1" customHeight="1">
      <c r="A2914" s="1086">
        <f t="shared" si="167"/>
        <v>0</v>
      </c>
      <c r="B2914" s="1226"/>
      <c r="C2914" s="2841"/>
      <c r="D2914" s="1017">
        <f>IF(H2914&gt;0,D2905+1,D2905)</f>
        <v>0</v>
      </c>
      <c r="E2914" s="1018"/>
      <c r="F2914" s="1027" t="s">
        <v>3726</v>
      </c>
      <c r="G2914" s="1017" t="s">
        <v>2385</v>
      </c>
      <c r="H2914" s="1722">
        <f>H2800*0</f>
        <v>0</v>
      </c>
      <c r="I2914" s="1192">
        <f t="shared" si="166"/>
        <v>0</v>
      </c>
      <c r="J2914" s="1014"/>
      <c r="K2914" s="1014"/>
      <c r="L2914" s="1015"/>
      <c r="M2914" s="934">
        <v>2000</v>
      </c>
    </row>
    <row r="2915" spans="1:13" s="1016" customFormat="1" ht="25.2" hidden="1" customHeight="1">
      <c r="A2915" s="1086">
        <f t="shared" si="167"/>
        <v>0</v>
      </c>
      <c r="B2915" s="1226"/>
      <c r="C2915" s="2841"/>
      <c r="D2915" s="1011"/>
      <c r="E2915" s="1021"/>
      <c r="F2915" s="1268" t="s">
        <v>2279</v>
      </c>
      <c r="G2915" s="1011"/>
      <c r="H2915" s="1723"/>
      <c r="I2915" s="1192">
        <f t="shared" si="166"/>
        <v>0</v>
      </c>
      <c r="J2915" s="1014"/>
      <c r="K2915" s="1014"/>
      <c r="L2915" s="1015"/>
      <c r="M2915" s="934">
        <v>2000</v>
      </c>
    </row>
    <row r="2916" spans="1:13" s="1016" customFormat="1" ht="25.2" hidden="1" customHeight="1">
      <c r="A2916" s="1086">
        <f t="shared" si="167"/>
        <v>0</v>
      </c>
      <c r="B2916" s="1087" t="s">
        <v>470</v>
      </c>
      <c r="C2916" s="2842"/>
      <c r="D2916" s="1023"/>
      <c r="E2916" s="1012">
        <f>VLOOKUP($B2916,DG!A:D,DG!$B$2,)</f>
        <v>0</v>
      </c>
      <c r="F2916" s="1013" t="str">
        <f>VLOOKUP($B2916,DG!A:D,DG!$C$2,)&amp;": töø trụ ño ñeám ñeán tuû LBSA"</f>
        <v>Cáp 24kV C/XLPE/DSTA/PVC3x50: töø trụ ño ñeám ñeán tuû LBSA</v>
      </c>
      <c r="G2916" s="1012" t="str">
        <f>VLOOKUP($B2916,DG!A:D,DG!$D$2,)</f>
        <v>mét</v>
      </c>
      <c r="H2916" s="1713">
        <f>(3+10)*1.02*H2914*0</f>
        <v>0</v>
      </c>
      <c r="I2916" s="1192">
        <f t="shared" si="166"/>
        <v>0</v>
      </c>
      <c r="J2916" s="1014"/>
      <c r="K2916" s="1014"/>
      <c r="L2916" s="1015"/>
      <c r="M2916" s="934">
        <v>2000</v>
      </c>
    </row>
    <row r="2917" spans="1:13" s="1016" customFormat="1" ht="25.2" hidden="1" customHeight="1">
      <c r="A2917" s="1086">
        <f t="shared" si="167"/>
        <v>0</v>
      </c>
      <c r="B2917" s="1087" t="s">
        <v>271</v>
      </c>
      <c r="C2917" s="2842"/>
      <c r="D2917" s="1023"/>
      <c r="E2917" s="1012">
        <f>VLOOKUP($B2917,DG!A:D,DG!$B$2,)</f>
        <v>0</v>
      </c>
      <c r="F2917" s="1013" t="str">
        <f>VLOOKUP($B2917,DG!A:D,DG!$C$2,)&amp;": 0,5m/pha"</f>
        <v>Cáp 24KV C/XLPE/PVC 50mm2: 0,5m/pha</v>
      </c>
      <c r="G2917" s="1012" t="str">
        <f>VLOOKUP($B2917,DG!A:D,DG!$D$2,)</f>
        <v>mét</v>
      </c>
      <c r="H2917" s="1713">
        <f>H2914*0.5*3</f>
        <v>0</v>
      </c>
      <c r="I2917" s="1192">
        <f t="shared" si="166"/>
        <v>0</v>
      </c>
      <c r="J2917" s="1014"/>
      <c r="K2917" s="1014"/>
      <c r="L2917" s="1015"/>
      <c r="M2917" s="934">
        <v>2000</v>
      </c>
    </row>
    <row r="2918" spans="1:13" s="1016" customFormat="1" ht="25.2" hidden="1" customHeight="1">
      <c r="A2918" s="1086">
        <f t="shared" si="167"/>
        <v>0</v>
      </c>
      <c r="B2918" s="1087" t="s">
        <v>1352</v>
      </c>
      <c r="C2918" s="2842"/>
      <c r="D2918" s="1023"/>
      <c r="E2918" s="1012">
        <f>VLOOKUP($B2918,DG!A:D,DG!$B$2,)</f>
        <v>0</v>
      </c>
      <c r="F2918" s="1013" t="str">
        <f>VLOOKUP($B2918,DG!A:D,DG!$C$2,)</f>
        <v>Đầu cáp ngầm 24KV 3x50mm2 outdoor</v>
      </c>
      <c r="G2918" s="1012" t="str">
        <f>VLOOKUP($B2918,DG!A:D,DG!$D$2,)</f>
        <v>cái</v>
      </c>
      <c r="H2918" s="1713">
        <f>H2914*2*0</f>
        <v>0</v>
      </c>
      <c r="I2918" s="1192">
        <f t="shared" si="166"/>
        <v>0</v>
      </c>
      <c r="J2918" s="1014"/>
      <c r="K2918" s="1014"/>
      <c r="L2918" s="1015"/>
      <c r="M2918" s="934">
        <v>2000</v>
      </c>
    </row>
    <row r="2919" spans="1:13" s="1016" customFormat="1" ht="25.2" hidden="1" customHeight="1">
      <c r="A2919" s="1086">
        <f t="shared" si="167"/>
        <v>0</v>
      </c>
      <c r="B2919" s="1087" t="s">
        <v>470</v>
      </c>
      <c r="C2919" s="2842"/>
      <c r="D2919" s="1023"/>
      <c r="E2919" s="1012">
        <f>VLOOKUP($B2919,DG!A:D,DG!$B$2,)</f>
        <v>0</v>
      </c>
      <c r="F2919" s="1013" t="str">
        <f>VLOOKUP($B2919,DG!A:D,DG!$C$2,)&amp;": töø tuû LBS ñeán MBA"</f>
        <v>Cáp 24kV C/XLPE/DSTA/PVC3x50: töø tuû LBS ñeán MBA</v>
      </c>
      <c r="G2919" s="1012" t="str">
        <f>VLOOKUP($B2919,DG!A:D,DG!$D$2,)</f>
        <v>mét</v>
      </c>
      <c r="H2919" s="1713">
        <f>(1.2+2.4)*H2914*0</f>
        <v>0</v>
      </c>
      <c r="I2919" s="1192">
        <f t="shared" si="166"/>
        <v>0</v>
      </c>
      <c r="J2919" s="1014"/>
      <c r="K2919" s="1014"/>
      <c r="L2919" s="1015"/>
      <c r="M2919" s="934">
        <v>2000</v>
      </c>
    </row>
    <row r="2920" spans="1:13" s="1016" customFormat="1" ht="25.2" hidden="1" customHeight="1">
      <c r="A2920" s="1086">
        <f t="shared" si="167"/>
        <v>0</v>
      </c>
      <c r="B2920" s="1087" t="s">
        <v>271</v>
      </c>
      <c r="C2920" s="2842"/>
      <c r="D2920" s="1023"/>
      <c r="E2920" s="1012">
        <f>VLOOKUP($B2920,DG!A:D,DG!$B$2,)</f>
        <v>0</v>
      </c>
      <c r="F2920" s="1013" t="str">
        <f>VLOOKUP($B2920,DG!A:D,DG!$C$2,)&amp;": töø tuû LBS ñeán MBA"</f>
        <v>Cáp 24KV C/XLPE/PVC 50mm2: töø tuû LBS ñeán MBA</v>
      </c>
      <c r="G2920" s="1012" t="str">
        <f>VLOOKUP($B2920,DG!A:D,DG!$D$2,)</f>
        <v>mét</v>
      </c>
      <c r="H2920" s="1713">
        <f>H2919*0</f>
        <v>0</v>
      </c>
      <c r="I2920" s="1192">
        <f t="shared" si="166"/>
        <v>0</v>
      </c>
      <c r="J2920" s="1014"/>
      <c r="K2920" s="1014"/>
      <c r="L2920" s="1015"/>
      <c r="M2920" s="934">
        <v>2000</v>
      </c>
    </row>
    <row r="2921" spans="1:13" s="1016" customFormat="1" ht="25.2" hidden="1" customHeight="1">
      <c r="A2921" s="1086">
        <f t="shared" si="167"/>
        <v>0</v>
      </c>
      <c r="B2921" s="1087" t="s">
        <v>1353</v>
      </c>
      <c r="C2921" s="2842"/>
      <c r="D2921" s="1023"/>
      <c r="E2921" s="1012">
        <f>VLOOKUP($B2921,DG!A:D,DG!$B$2,)</f>
        <v>0</v>
      </c>
      <c r="F2921" s="1013" t="str">
        <f>VLOOKUP($B2921,DG!A:D,DG!$C$2,)</f>
        <v>Đầu cáp ngầm 24KV 3x50mm2 indoor</v>
      </c>
      <c r="G2921" s="1012" t="str">
        <f>VLOOKUP($B2921,DG!A:D,DG!$D$2,)</f>
        <v>cái</v>
      </c>
      <c r="H2921" s="1713">
        <f>H2914*3*0</f>
        <v>0</v>
      </c>
      <c r="I2921" s="1192">
        <f t="shared" si="166"/>
        <v>0</v>
      </c>
      <c r="J2921" s="1014"/>
      <c r="K2921" s="1014"/>
      <c r="L2921" s="1015"/>
      <c r="M2921" s="934">
        <v>2000</v>
      </c>
    </row>
    <row r="2922" spans="1:13" s="1016" customFormat="1" ht="25.2" hidden="1" customHeight="1">
      <c r="A2922" s="1086">
        <f t="shared" si="167"/>
        <v>0</v>
      </c>
      <c r="B2922" s="1087" t="s">
        <v>1674</v>
      </c>
      <c r="C2922" s="2842"/>
      <c r="D2922" s="1023"/>
      <c r="E2922" s="1012" t="str">
        <f>VLOOKUP($B2922,DG!A:D,DG!$B$2,)</f>
        <v>07.4312</v>
      </c>
      <c r="F2922" s="1013" t="str">
        <f>VLOOKUP($B2922,DG!A:D,DG!$C$2,)</f>
        <v>Lắp đầu cáp trung thế 3x50mm2, 70mm2</v>
      </c>
      <c r="G2922" s="1012" t="str">
        <f>VLOOKUP($B2922,DG!A:D,DG!$D$2,)</f>
        <v>cái</v>
      </c>
      <c r="H2922" s="1713">
        <f>H2918+H2921</f>
        <v>0</v>
      </c>
      <c r="I2922" s="1192">
        <f t="shared" si="166"/>
        <v>0</v>
      </c>
      <c r="J2922" s="1014"/>
      <c r="K2922" s="1014"/>
      <c r="L2922" s="1015"/>
      <c r="M2922" s="934">
        <v>2000</v>
      </c>
    </row>
    <row r="2923" spans="1:13" s="1016" customFormat="1" ht="25.2" hidden="1" customHeight="1">
      <c r="A2923" s="1086">
        <f t="shared" si="167"/>
        <v>0</v>
      </c>
      <c r="B2923" s="1087" t="s">
        <v>1182</v>
      </c>
      <c r="C2923" s="2842"/>
      <c r="D2923" s="1023"/>
      <c r="E2923" s="1012" t="str">
        <f>VLOOKUP($B2923,DG!A:D,DG!$B$2,)</f>
        <v>07.3405</v>
      </c>
      <c r="F2923" s="1013" t="str">
        <f>VLOOKUP($B2923,DG!A:D,DG!$C$2,)</f>
        <v>Lắp cáp trong ống bảo vệ loại &lt;=6kg</v>
      </c>
      <c r="G2923" s="1012" t="str">
        <f>VLOOKUP($B2923,DG!A:D,DG!$D$2,)</f>
        <v>mét</v>
      </c>
      <c r="H2923" s="1713">
        <f>H2916+H2919</f>
        <v>0</v>
      </c>
      <c r="I2923" s="1192">
        <f t="shared" ref="I2923:I2983" si="168">IF(M2923=$M$23,H2923+J2923-K2923,0)</f>
        <v>0</v>
      </c>
      <c r="J2923" s="1014"/>
      <c r="K2923" s="1014"/>
      <c r="L2923" s="1015"/>
      <c r="M2923" s="934">
        <v>2000</v>
      </c>
    </row>
    <row r="2924" spans="1:13" s="1016" customFormat="1" ht="25.2" hidden="1" customHeight="1">
      <c r="A2924" s="1086">
        <f t="shared" si="167"/>
        <v>0</v>
      </c>
      <c r="B2924" s="1087" t="s">
        <v>1525</v>
      </c>
      <c r="C2924" s="2842"/>
      <c r="D2924" s="1023"/>
      <c r="E2924" s="1012" t="str">
        <f>VLOOKUP($B2924,DG!A:D,DG!$B$2,)</f>
        <v>04.4201</v>
      </c>
      <c r="F2924" s="1013" t="str">
        <f>VLOOKUP($B2924,DG!A:D,DG!$C$2,)</f>
        <v>Lắp cáp đồng xuống thiết bị D ≤ 95mm2</v>
      </c>
      <c r="G2924" s="1012" t="str">
        <f>VLOOKUP($B2924,DG!A:D,DG!$D$2,)</f>
        <v>m</v>
      </c>
      <c r="H2924" s="1713">
        <f>H2917</f>
        <v>0</v>
      </c>
      <c r="I2924" s="1192">
        <f t="shared" si="168"/>
        <v>0</v>
      </c>
      <c r="J2924" s="1014"/>
      <c r="K2924" s="1014"/>
      <c r="L2924" s="1015"/>
      <c r="M2924" s="934">
        <v>2000</v>
      </c>
    </row>
    <row r="2925" spans="1:13" s="1016" customFormat="1" ht="25.2" hidden="1" customHeight="1">
      <c r="A2925" s="1086">
        <f t="shared" si="167"/>
        <v>0</v>
      </c>
      <c r="B2925" s="1087" t="s">
        <v>1349</v>
      </c>
      <c r="C2925" s="2842"/>
      <c r="D2925" s="1023"/>
      <c r="E2925" s="1012">
        <f>VLOOKUP($B2925,DG!A:D,DG!$B$2,)</f>
        <v>0</v>
      </c>
      <c r="F2925" s="1013" t="str">
        <f>VLOOKUP($B2925,DG!A:D,DG!$C$2,)</f>
        <v>Dây rút cáp</v>
      </c>
      <c r="G2925" s="1012" t="str">
        <f>VLOOKUP($B2925,DG!A:D,DG!$D$2,)</f>
        <v>bọc</v>
      </c>
      <c r="H2925" s="1713">
        <f>H2914*2*0</f>
        <v>0</v>
      </c>
      <c r="I2925" s="1192">
        <f t="shared" si="168"/>
        <v>0</v>
      </c>
      <c r="J2925" s="1014"/>
      <c r="K2925" s="1014"/>
      <c r="L2925" s="1015"/>
      <c r="M2925" s="934">
        <v>2000</v>
      </c>
    </row>
    <row r="2926" spans="1:13" s="1016" customFormat="1" ht="25.2" hidden="1" customHeight="1">
      <c r="A2926" s="1086">
        <f t="shared" si="167"/>
        <v>0</v>
      </c>
      <c r="B2926" s="1226"/>
      <c r="C2926" s="2841"/>
      <c r="D2926" s="1017">
        <f>IF(H2926&gt;0,D2914+1,D2914)</f>
        <v>0</v>
      </c>
      <c r="E2926" s="1018"/>
      <c r="F2926" s="1027" t="s">
        <v>3727</v>
      </c>
      <c r="G2926" s="1017" t="s">
        <v>2385</v>
      </c>
      <c r="H2926" s="1722">
        <f>H2800</f>
        <v>0</v>
      </c>
      <c r="I2926" s="1192">
        <f t="shared" si="168"/>
        <v>0</v>
      </c>
      <c r="J2926" s="1014"/>
      <c r="K2926" s="1014"/>
      <c r="L2926" s="1015"/>
      <c r="M2926" s="934">
        <v>2000</v>
      </c>
    </row>
    <row r="2927" spans="1:13" s="1016" customFormat="1" ht="25.2" hidden="1" customHeight="1">
      <c r="A2927" s="1086">
        <f t="shared" si="167"/>
        <v>0</v>
      </c>
      <c r="B2927" s="1226"/>
      <c r="C2927" s="2841"/>
      <c r="D2927" s="1011"/>
      <c r="E2927" s="1021"/>
      <c r="F2927" s="1268" t="s">
        <v>2279</v>
      </c>
      <c r="G2927" s="1011"/>
      <c r="H2927" s="1723"/>
      <c r="I2927" s="1192">
        <f t="shared" si="168"/>
        <v>0</v>
      </c>
      <c r="J2927" s="1014"/>
      <c r="K2927" s="1014"/>
      <c r="L2927" s="1015"/>
      <c r="M2927" s="934">
        <v>2000</v>
      </c>
    </row>
    <row r="2928" spans="1:13" s="1016" customFormat="1" ht="25.2" hidden="1" customHeight="1">
      <c r="A2928" s="1086">
        <f t="shared" si="167"/>
        <v>0</v>
      </c>
      <c r="B2928" s="1087" t="s">
        <v>697</v>
      </c>
      <c r="C2928" s="2842"/>
      <c r="D2928" s="1023"/>
      <c r="E2928" s="1012">
        <f>VLOOKUP($B2928,DG!A:D,DG!$B$2,)</f>
        <v>0</v>
      </c>
      <c r="F2928" s="1013" t="str">
        <f>VLOOKUP($B2928,DG!A:D,DG!$C$2,)&amp;": 7m/1pha"</f>
        <v>Cáp 24KV C/XLPE/PVC 25mm2: 7m/1pha</v>
      </c>
      <c r="G2928" s="1012" t="str">
        <f>VLOOKUP($B2928,DG!A:D,DG!$D$2,)</f>
        <v>mét</v>
      </c>
      <c r="H2928" s="1713">
        <f>H2926*7*3</f>
        <v>0</v>
      </c>
      <c r="I2928" s="1192">
        <f t="shared" si="168"/>
        <v>0</v>
      </c>
      <c r="J2928" s="1014"/>
      <c r="K2928" s="1014"/>
      <c r="L2928" s="1015"/>
      <c r="M2928" s="934">
        <v>2000</v>
      </c>
    </row>
    <row r="2929" spans="1:14" s="1016" customFormat="1" ht="25.2" hidden="1" customHeight="1">
      <c r="A2929" s="1086">
        <f t="shared" si="167"/>
        <v>0</v>
      </c>
      <c r="B2929" s="1087" t="s">
        <v>1115</v>
      </c>
      <c r="C2929" s="2842"/>
      <c r="D2929" s="1023"/>
      <c r="E2929" s="1012">
        <f>VLOOKUP($B2929,DG!A:D,DG!$B$2,)</f>
        <v>0</v>
      </c>
      <c r="F2929" s="1013" t="str">
        <f>VLOOKUP($B2929,DG!A:D,DG!$C$2,)</f>
        <v>Kẹp ép cỡ dây 25mm2</v>
      </c>
      <c r="G2929" s="1012" t="str">
        <f>VLOOKUP($B2929,DG!A:D,DG!$D$2,)</f>
        <v>cái</v>
      </c>
      <c r="H2929" s="1713">
        <f>H2926*3*2</f>
        <v>0</v>
      </c>
      <c r="I2929" s="1192">
        <f t="shared" si="168"/>
        <v>0</v>
      </c>
      <c r="J2929" s="1014"/>
      <c r="K2929" s="1014"/>
      <c r="L2929" s="1015"/>
      <c r="M2929" s="934">
        <v>2000</v>
      </c>
    </row>
    <row r="2930" spans="1:14" s="1016" customFormat="1" ht="25.2" hidden="1" customHeight="1">
      <c r="A2930" s="1086">
        <f t="shared" si="167"/>
        <v>0</v>
      </c>
      <c r="B2930" s="1087" t="s">
        <v>1479</v>
      </c>
      <c r="C2930" s="2842"/>
      <c r="D2930" s="1023"/>
      <c r="E2930" s="1012" t="str">
        <f>VLOOKUP($B2930,DG!A:D,DG!$B$2,)</f>
        <v>04.3007</v>
      </c>
      <c r="F2930" s="1013" t="str">
        <f>VLOOKUP($B2930,DG!A:D,DG!$C$2,)</f>
        <v>Kẹp quai 2/0</v>
      </c>
      <c r="G2930" s="1012" t="str">
        <f>VLOOKUP($B2930,DG!A:D,DG!$D$2,)</f>
        <v>cái</v>
      </c>
      <c r="H2930" s="1713">
        <f>H2926*3*0</f>
        <v>0</v>
      </c>
      <c r="I2930" s="1192">
        <f t="shared" si="168"/>
        <v>0</v>
      </c>
      <c r="J2930" s="1014"/>
      <c r="K2930" s="1014"/>
      <c r="L2930" s="1015"/>
      <c r="M2930" s="934">
        <v>2000</v>
      </c>
    </row>
    <row r="2931" spans="1:14" s="1016" customFormat="1" ht="25.2" hidden="1" customHeight="1">
      <c r="A2931" s="1086">
        <f t="shared" si="167"/>
        <v>0</v>
      </c>
      <c r="B2931" s="1087" t="s">
        <v>1477</v>
      </c>
      <c r="C2931" s="2842"/>
      <c r="D2931" s="1023"/>
      <c r="E2931" s="1012" t="str">
        <f>VLOOKUP($B2931,DG!A:D,DG!$B$2,)</f>
        <v>04.3007</v>
      </c>
      <c r="F2931" s="1013" t="str">
        <f>VLOOKUP($B2931,DG!A:D,DG!$C$2,)&amp;": "</f>
        <v xml:space="preserve">Kẹp hotline 2/0: </v>
      </c>
      <c r="G2931" s="1012" t="str">
        <f>VLOOKUP($B2931,DG!A:D,DG!$D$2,)</f>
        <v>cái</v>
      </c>
      <c r="H2931" s="1713">
        <f>H2930</f>
        <v>0</v>
      </c>
      <c r="I2931" s="1192">
        <f t="shared" si="168"/>
        <v>0</v>
      </c>
      <c r="J2931" s="1014"/>
      <c r="K2931" s="1014"/>
      <c r="L2931" s="1015"/>
      <c r="M2931" s="934">
        <v>2000</v>
      </c>
    </row>
    <row r="2932" spans="1:14" s="1016" customFormat="1" ht="25.2" hidden="1" customHeight="1">
      <c r="A2932" s="1086">
        <f t="shared" si="167"/>
        <v>0</v>
      </c>
      <c r="B2932" s="1087" t="s">
        <v>696</v>
      </c>
      <c r="C2932" s="2842"/>
      <c r="D2932" s="1043"/>
      <c r="E2932" s="1012">
        <f>VLOOKUP($B2932,DG!A:D,DG!$B$2,)</f>
        <v>0</v>
      </c>
      <c r="F2932" s="1013" t="str">
        <f>VLOOKUP($B2932,DG!A:D,DG!$C$2,)</f>
        <v xml:space="preserve">Sứ đứng 24KV </v>
      </c>
      <c r="G2932" s="1012" t="str">
        <f>VLOOKUP($B2932,DG!A:D,DG!$D$2,)</f>
        <v>cái</v>
      </c>
      <c r="H2932" s="1713">
        <f>+H2926*3*4</f>
        <v>0</v>
      </c>
      <c r="I2932" s="1192">
        <f t="shared" si="168"/>
        <v>0</v>
      </c>
      <c r="J2932" s="1014"/>
      <c r="K2932" s="1014"/>
      <c r="L2932" s="1015"/>
      <c r="M2932" s="934">
        <v>2000</v>
      </c>
    </row>
    <row r="2933" spans="1:14" s="1016" customFormat="1" ht="25.2" hidden="1" customHeight="1">
      <c r="A2933" s="1086">
        <f t="shared" si="167"/>
        <v>0</v>
      </c>
      <c r="B2933" s="1087" t="s">
        <v>1265</v>
      </c>
      <c r="C2933" s="2842"/>
      <c r="D2933" s="1023"/>
      <c r="E2933" s="1012">
        <f>VLOOKUP($B2933,DG!A:D,DG!$B$2,)</f>
        <v>0</v>
      </c>
      <c r="F2933" s="1013" t="str">
        <f>VLOOKUP($B2933,DG!A:D,DG!$C$2,)</f>
        <v>Chân sứ đứng D20</v>
      </c>
      <c r="G2933" s="1012" t="str">
        <f>VLOOKUP($B2933,DG!A:D,DG!$D$2,)</f>
        <v>cái</v>
      </c>
      <c r="H2933" s="1713">
        <f>+H2932</f>
        <v>0</v>
      </c>
      <c r="I2933" s="1192">
        <f t="shared" si="168"/>
        <v>0</v>
      </c>
      <c r="J2933" s="1014"/>
      <c r="K2933" s="1014"/>
      <c r="L2933" s="1015"/>
      <c r="M2933" s="934">
        <v>2000</v>
      </c>
    </row>
    <row r="2934" spans="1:14" s="1016" customFormat="1" ht="25.2" hidden="1" customHeight="1">
      <c r="A2934" s="1086">
        <f t="shared" si="167"/>
        <v>0</v>
      </c>
      <c r="B2934" s="1087" t="s">
        <v>347</v>
      </c>
      <c r="C2934" s="2842"/>
      <c r="D2934" s="1023"/>
      <c r="E2934" s="1012" t="str">
        <f>VLOOKUP($B2934,DG!A:D,DG!$B$2,)</f>
        <v>06.1115</v>
      </c>
      <c r="F2934" s="1013" t="str">
        <f>VLOOKUP($B2934,DG!A:D,DG!$C$2,)</f>
        <v>Lắp sứ đứng 24KV</v>
      </c>
      <c r="G2934" s="1012" t="str">
        <f>VLOOKUP($B2934,DG!A:D,DG!$D$2,)</f>
        <v>bộ</v>
      </c>
      <c r="H2934" s="1713">
        <f>H2932</f>
        <v>0</v>
      </c>
      <c r="I2934" s="1192">
        <f t="shared" si="168"/>
        <v>0</v>
      </c>
      <c r="J2934" s="1014"/>
      <c r="K2934" s="1014"/>
      <c r="L2934" s="1015"/>
      <c r="M2934" s="934">
        <v>2000</v>
      </c>
    </row>
    <row r="2935" spans="1:14" s="1016" customFormat="1" ht="25.2" hidden="1" customHeight="1">
      <c r="A2935" s="1086">
        <f t="shared" si="167"/>
        <v>0</v>
      </c>
      <c r="B2935" s="1226"/>
      <c r="C2935" s="2841"/>
      <c r="D2935" s="1017">
        <f>IF(H2935&gt;0,D2926+1,D2926)</f>
        <v>0</v>
      </c>
      <c r="E2935" s="1018"/>
      <c r="F2935" s="1019" t="s">
        <v>3759</v>
      </c>
      <c r="G2935" s="1017" t="s">
        <v>2385</v>
      </c>
      <c r="H2935" s="1722">
        <f>H2800*1</f>
        <v>0</v>
      </c>
      <c r="I2935" s="1192">
        <f t="shared" si="168"/>
        <v>0</v>
      </c>
      <c r="J2935" s="1014"/>
      <c r="K2935" s="1014"/>
      <c r="L2935" s="1015"/>
      <c r="M2935" s="934">
        <v>2000</v>
      </c>
    </row>
    <row r="2936" spans="1:14" s="1016" customFormat="1" ht="25.2" hidden="1" customHeight="1">
      <c r="A2936" s="1086">
        <f t="shared" si="167"/>
        <v>0</v>
      </c>
      <c r="B2936" s="1226"/>
      <c r="C2936" s="2841"/>
      <c r="D2936" s="1011"/>
      <c r="E2936" s="1021"/>
      <c r="F2936" s="1268" t="s">
        <v>2279</v>
      </c>
      <c r="G2936" s="1011"/>
      <c r="H2936" s="1723"/>
      <c r="I2936" s="1192">
        <f t="shared" si="168"/>
        <v>0</v>
      </c>
      <c r="J2936" s="1014"/>
      <c r="K2936" s="1014"/>
      <c r="L2936" s="1015"/>
      <c r="M2936" s="934">
        <v>2000</v>
      </c>
    </row>
    <row r="2937" spans="1:14" s="1016" customFormat="1" ht="25.2" hidden="1" customHeight="1">
      <c r="A2937" s="1086">
        <f t="shared" si="167"/>
        <v>0</v>
      </c>
      <c r="B2937" s="1226" t="s">
        <v>1124</v>
      </c>
      <c r="C2937" s="2841"/>
      <c r="D2937" s="1023"/>
      <c r="E2937" s="1012">
        <f>VLOOKUP($B2937,DG!A:D,DG!$B$2,)</f>
        <v>0</v>
      </c>
      <c r="F2937" s="1013" t="str">
        <f>VLOOKUP($B2937,DG!A:D,DG!$C$2,)</f>
        <v xml:space="preserve">Giá đỡ cáp hạ thế </v>
      </c>
      <c r="G2937" s="1012" t="str">
        <f>VLOOKUP($B2937,DG!A:D,DG!$D$2,)</f>
        <v>bộ</v>
      </c>
      <c r="H2937" s="1713">
        <f>H2935</f>
        <v>0</v>
      </c>
      <c r="I2937" s="1192">
        <f t="shared" si="168"/>
        <v>0</v>
      </c>
      <c r="J2937" s="1014"/>
      <c r="K2937" s="1014"/>
      <c r="L2937" s="1015"/>
      <c r="M2937" s="934">
        <v>2000</v>
      </c>
    </row>
    <row r="2938" spans="1:14" s="1016" customFormat="1" ht="25.2" hidden="1" customHeight="1">
      <c r="A2938" s="1086">
        <f t="shared" si="167"/>
        <v>0</v>
      </c>
      <c r="B2938" s="1226" t="s">
        <v>1410</v>
      </c>
      <c r="C2938" s="2841"/>
      <c r="D2938" s="1023"/>
      <c r="E2938" s="1012" t="str">
        <f>VLOOKUP($B2938,DG!A:D,DG!$B$2,)</f>
        <v>05.6101</v>
      </c>
      <c r="F2938" s="1013" t="str">
        <f>VLOOKUP($B2938,DG!A:D,DG!$C$2,)</f>
        <v>Lắp Giá đỡ cáp</v>
      </c>
      <c r="G2938" s="1012" t="str">
        <f>VLOOKUP($B2938,DG!A:D,DG!$D$2,)</f>
        <v>bộ</v>
      </c>
      <c r="H2938" s="1713">
        <f>H2937</f>
        <v>0</v>
      </c>
      <c r="I2938" s="1192">
        <f t="shared" si="168"/>
        <v>0</v>
      </c>
      <c r="J2938" s="1014"/>
      <c r="K2938" s="1014"/>
      <c r="L2938" s="1015"/>
      <c r="M2938" s="934">
        <v>2000</v>
      </c>
    </row>
    <row r="2939" spans="1:14" s="1016" customFormat="1" ht="25.2" hidden="1" customHeight="1">
      <c r="A2939" s="1086">
        <f t="shared" si="167"/>
        <v>0</v>
      </c>
      <c r="B2939" s="1087"/>
      <c r="C2939" s="2842"/>
      <c r="D2939" s="1017">
        <f>IF(H2939&gt;0,D2935+1,D2935)</f>
        <v>0</v>
      </c>
      <c r="E2939" s="1018"/>
      <c r="F2939" s="1027" t="s">
        <v>3760</v>
      </c>
      <c r="G2939" s="1017" t="s">
        <v>2385</v>
      </c>
      <c r="H2939" s="1743">
        <f>H2914+H2926</f>
        <v>0</v>
      </c>
      <c r="I2939" s="1192">
        <f t="shared" si="168"/>
        <v>0</v>
      </c>
      <c r="J2939" s="1014"/>
      <c r="K2939" s="1014"/>
      <c r="L2939" s="1015"/>
      <c r="M2939" s="934">
        <v>2000</v>
      </c>
    </row>
    <row r="2940" spans="1:14" s="1016" customFormat="1" ht="25.2" hidden="1" customHeight="1">
      <c r="A2940" s="1086">
        <f t="shared" si="167"/>
        <v>0</v>
      </c>
      <c r="B2940" s="1087"/>
      <c r="C2940" s="2842"/>
      <c r="D2940" s="1011"/>
      <c r="E2940" s="1021"/>
      <c r="F2940" s="1268" t="s">
        <v>2279</v>
      </c>
      <c r="G2940" s="1011"/>
      <c r="H2940" s="1713"/>
      <c r="I2940" s="1192">
        <f t="shared" si="168"/>
        <v>0</v>
      </c>
      <c r="J2940" s="1014"/>
      <c r="K2940" s="1014"/>
      <c r="L2940" s="1015"/>
      <c r="M2940" s="934">
        <v>2000</v>
      </c>
    </row>
    <row r="2941" spans="1:14" s="1016" customFormat="1" ht="25.2" hidden="1" customHeight="1">
      <c r="A2941" s="1086">
        <f t="shared" si="167"/>
        <v>0</v>
      </c>
      <c r="B2941" s="1226" t="s">
        <v>1238</v>
      </c>
      <c r="C2941" s="2841"/>
      <c r="D2941" s="1023"/>
      <c r="E2941" s="1012">
        <f>VLOOKUP($B2941,DG!A:D,DG!$B$2,)</f>
        <v>0</v>
      </c>
      <c r="F2941" s="1013" t="e">
        <f>VLOOKUP($B2941,DG!A:D,DG!$C$2,)&amp;": "&amp;#REF!&amp;"x 8m/pha "</f>
        <v>#REF!</v>
      </c>
      <c r="G2941" s="1012" t="str">
        <f>VLOOKUP($B2941,DG!A:D,DG!$D$2,)</f>
        <v>mét</v>
      </c>
      <c r="H2941" s="1749"/>
      <c r="I2941" s="1192">
        <f t="shared" si="168"/>
        <v>0</v>
      </c>
      <c r="J2941" s="1014"/>
      <c r="K2941" s="1014"/>
      <c r="L2941" s="1015"/>
      <c r="M2941" s="934">
        <v>2000</v>
      </c>
      <c r="N2941" s="1016">
        <f>48*(30+6)</f>
        <v>1728</v>
      </c>
    </row>
    <row r="2942" spans="1:14" s="1016" customFormat="1" ht="25.2" hidden="1" customHeight="1">
      <c r="A2942" s="1086">
        <f t="shared" si="167"/>
        <v>0</v>
      </c>
      <c r="B2942" s="1226" t="s">
        <v>1238</v>
      </c>
      <c r="C2942" s="2841"/>
      <c r="D2942" s="1023"/>
      <c r="E2942" s="1012">
        <f>VLOOKUP($B2942,DG!A:D,DG!$B$2,)</f>
        <v>0</v>
      </c>
      <c r="F2942" s="1013" t="e">
        <f>VLOOKUP($B2942,DG!A:D,DG!$C$2,)&amp;": "&amp;#REF!/2&amp;"x 8m/trung tính "</f>
        <v>#REF!</v>
      </c>
      <c r="G2942" s="1012" t="str">
        <f>VLOOKUP($B2942,DG!A:D,DG!$D$2,)</f>
        <v>mét</v>
      </c>
      <c r="H2942" s="1749"/>
      <c r="I2942" s="1192">
        <f t="shared" si="168"/>
        <v>0</v>
      </c>
      <c r="J2942" s="1014"/>
      <c r="K2942" s="1014"/>
      <c r="L2942" s="1015"/>
      <c r="M2942" s="934">
        <v>2000</v>
      </c>
      <c r="N2942" s="1016">
        <f>8*(30+6)</f>
        <v>288</v>
      </c>
    </row>
    <row r="2943" spans="1:14" s="1016" customFormat="1" ht="25.2" hidden="1" customHeight="1">
      <c r="A2943" s="1086">
        <f t="shared" si="167"/>
        <v>0</v>
      </c>
      <c r="B2943" s="1226" t="s">
        <v>448</v>
      </c>
      <c r="C2943" s="2841"/>
      <c r="D2943" s="1023"/>
      <c r="E2943" s="1012" t="str">
        <f>VLOOKUP($B2943,DG!A:D,DG!$B$2,)</f>
        <v>03.4009</v>
      </c>
      <c r="F2943" s="1013" t="str">
        <f>VLOOKUP($B2943,DG!A:D,DG!$C$2,)&amp;": "</f>
        <v xml:space="preserve">Đầu cosse ép Cu 250mm2: </v>
      </c>
      <c r="G2943" s="1012" t="str">
        <f>VLOOKUP($B2943,DG!A:D,DG!$D$2,)</f>
        <v>cái</v>
      </c>
      <c r="H2943" s="1749"/>
      <c r="I2943" s="1192">
        <f t="shared" si="168"/>
        <v>0</v>
      </c>
      <c r="J2943" s="1014"/>
      <c r="K2943" s="1014"/>
      <c r="L2943" s="1015"/>
      <c r="M2943" s="934">
        <v>2000</v>
      </c>
    </row>
    <row r="2944" spans="1:14" s="1016" customFormat="1" ht="25.2" hidden="1" customHeight="1">
      <c r="A2944" s="1086">
        <f t="shared" si="167"/>
        <v>0</v>
      </c>
      <c r="B2944" s="1226" t="s">
        <v>448</v>
      </c>
      <c r="C2944" s="2841"/>
      <c r="D2944" s="1023"/>
      <c r="E2944" s="1012" t="str">
        <f>VLOOKUP($B2944,DG!A:D,DG!$B$2,)</f>
        <v>03.4009</v>
      </c>
      <c r="F2944" s="1013" t="str">
        <f>VLOOKUP($B2944,DG!A:D,DG!$C$2,)&amp;": "</f>
        <v xml:space="preserve">Đầu cosse ép Cu 250mm2: </v>
      </c>
      <c r="G2944" s="1012" t="str">
        <f>VLOOKUP($B2944,DG!A:D,DG!$D$2,)</f>
        <v>cái</v>
      </c>
      <c r="H2944" s="1749"/>
      <c r="I2944" s="1192">
        <f t="shared" si="168"/>
        <v>0</v>
      </c>
      <c r="J2944" s="1014"/>
      <c r="K2944" s="1014"/>
      <c r="L2944" s="1015"/>
      <c r="M2944" s="934">
        <v>2000</v>
      </c>
    </row>
    <row r="2945" spans="1:13" s="1016" customFormat="1" ht="25.2" hidden="1" customHeight="1">
      <c r="A2945" s="1086">
        <f t="shared" si="167"/>
        <v>0</v>
      </c>
      <c r="B2945" s="1226" t="s">
        <v>1072</v>
      </c>
      <c r="C2945" s="2841"/>
      <c r="D2945" s="1023"/>
      <c r="E2945" s="1012">
        <f>VLOOKUP($B2945,DG!A:D,DG!$B$2,)</f>
        <v>0</v>
      </c>
      <c r="F2945" s="1013" t="str">
        <f>VLOOKUP($B2945,DG!A:D,DG!$C$2,)&amp;": "</f>
        <v xml:space="preserve">Chụp đầu cosse  250mm2: </v>
      </c>
      <c r="G2945" s="1012" t="str">
        <f>VLOOKUP($B2945,DG!A:D,DG!$D$2,)</f>
        <v>cái</v>
      </c>
      <c r="H2945" s="1749"/>
      <c r="I2945" s="1192">
        <f t="shared" si="168"/>
        <v>0</v>
      </c>
      <c r="J2945" s="1014"/>
      <c r="K2945" s="1014"/>
      <c r="L2945" s="1015"/>
      <c r="M2945" s="934">
        <v>2000</v>
      </c>
    </row>
    <row r="2946" spans="1:13" s="1016" customFormat="1" ht="25.2" hidden="1" customHeight="1">
      <c r="A2946" s="1086">
        <f t="shared" si="167"/>
        <v>0</v>
      </c>
      <c r="B2946" s="1226" t="s">
        <v>1072</v>
      </c>
      <c r="C2946" s="2841"/>
      <c r="D2946" s="1023"/>
      <c r="E2946" s="1012">
        <f>VLOOKUP($B2946,DG!A:D,DG!$B$2,)</f>
        <v>0</v>
      </c>
      <c r="F2946" s="1013" t="str">
        <f>VLOOKUP($B2946,DG!A:D,DG!$C$2,)&amp;": "</f>
        <v xml:space="preserve">Chụp đầu cosse  250mm2: </v>
      </c>
      <c r="G2946" s="1012" t="str">
        <f>VLOOKUP($B2946,DG!A:D,DG!$D$2,)</f>
        <v>cái</v>
      </c>
      <c r="H2946" s="1749"/>
      <c r="I2946" s="1192">
        <f t="shared" si="168"/>
        <v>0</v>
      </c>
      <c r="J2946" s="1014"/>
      <c r="K2946" s="1014"/>
      <c r="L2946" s="1015"/>
      <c r="M2946" s="934">
        <v>2000</v>
      </c>
    </row>
    <row r="2947" spans="1:13" s="1016" customFormat="1" ht="25.2" hidden="1" customHeight="1">
      <c r="A2947" s="1086">
        <f t="shared" si="167"/>
        <v>0</v>
      </c>
      <c r="B2947" s="1226" t="s">
        <v>1042</v>
      </c>
      <c r="C2947" s="2841"/>
      <c r="D2947" s="1023"/>
      <c r="E2947" s="1012">
        <f>VLOOKUP($B2947,DG!A:D,DG!$B$2,)</f>
        <v>0</v>
      </c>
      <c r="F2947" s="1013" t="str">
        <f>VLOOKUP($B2947,DG!A:D,DG!$C$2,)</f>
        <v xml:space="preserve">Ống PVC D114x4,9mm </v>
      </c>
      <c r="G2947" s="1012" t="str">
        <f>VLOOKUP($B2947,DG!A:D,DG!$D$2,)</f>
        <v>m</v>
      </c>
      <c r="H2947" s="1749"/>
      <c r="I2947" s="1192">
        <f t="shared" si="168"/>
        <v>0</v>
      </c>
      <c r="J2947" s="1014"/>
      <c r="K2947" s="1014"/>
      <c r="L2947" s="1015"/>
      <c r="M2947" s="934">
        <v>2000</v>
      </c>
    </row>
    <row r="2948" spans="1:13" s="1016" customFormat="1" ht="25.2" hidden="1" customHeight="1">
      <c r="A2948" s="1086">
        <f t="shared" si="167"/>
        <v>0</v>
      </c>
      <c r="B2948" s="1087" t="s">
        <v>731</v>
      </c>
      <c r="C2948" s="2842"/>
      <c r="D2948" s="1023"/>
      <c r="E2948" s="1012" t="str">
        <f>VLOOKUP($B2948,DG!A:D,DG!$B$2,)</f>
        <v>06.3231</v>
      </c>
      <c r="F2948" s="1013" t="str">
        <f>VLOOKUP($B2948,DG!A:D,DG!$C$2,)</f>
        <v>Cổ dê kẹp ống PVC Ø 114</v>
      </c>
      <c r="G2948" s="1012" t="str">
        <f>VLOOKUP($B2948,DG!A:D,DG!$D$2,)</f>
        <v>bộ</v>
      </c>
      <c r="H2948" s="1749"/>
      <c r="I2948" s="1192">
        <f t="shared" si="168"/>
        <v>0</v>
      </c>
      <c r="J2948" s="1014"/>
      <c r="K2948" s="1014"/>
      <c r="L2948" s="1015"/>
      <c r="M2948" s="934">
        <v>2000</v>
      </c>
    </row>
    <row r="2949" spans="1:13" s="1016" customFormat="1" ht="25.2" hidden="1" customHeight="1">
      <c r="A2949" s="1086">
        <f t="shared" ref="A2949:A3012" si="169">IF(AND(M2949=$M$23,I2949&gt;0),1,0)</f>
        <v>0</v>
      </c>
      <c r="B2949" s="1226" t="s">
        <v>1043</v>
      </c>
      <c r="C2949" s="2841"/>
      <c r="D2949" s="1023"/>
      <c r="E2949" s="1012">
        <f>VLOOKUP($B2949,DG!A:D,DG!$B$2,)</f>
        <v>0</v>
      </c>
      <c r="F2949" s="1013" t="str">
        <f>VLOOKUP($B2949,DG!A:D,DG!$C$2,)</f>
        <v>Co sừng 90 độ PVC 114</v>
      </c>
      <c r="G2949" s="1012" t="str">
        <f>VLOOKUP($B2949,DG!A:D,DG!$D$2,)</f>
        <v>cái</v>
      </c>
      <c r="H2949" s="1749"/>
      <c r="I2949" s="1192">
        <f t="shared" si="168"/>
        <v>0</v>
      </c>
      <c r="J2949" s="1014"/>
      <c r="K2949" s="1014"/>
      <c r="L2949" s="1015"/>
      <c r="M2949" s="934">
        <v>2000</v>
      </c>
    </row>
    <row r="2950" spans="1:13" s="1016" customFormat="1" ht="25.2" hidden="1" customHeight="1">
      <c r="A2950" s="1086">
        <f t="shared" si="169"/>
        <v>0</v>
      </c>
      <c r="B2950" s="1226" t="s">
        <v>2167</v>
      </c>
      <c r="C2950" s="2841"/>
      <c r="D2950" s="1023"/>
      <c r="E2950" s="1012">
        <f>VLOOKUP($B2950,DG!A:D,DG!$B$2,)</f>
        <v>0</v>
      </c>
      <c r="F2950" s="1013" t="str">
        <f>VLOOKUP($B2950,DG!A:D,DG!$C$2,)</f>
        <v>Khâu ven răng trong D114</v>
      </c>
      <c r="G2950" s="1012" t="str">
        <f>VLOOKUP($B2950,DG!A:D,DG!$D$2,)</f>
        <v>cái</v>
      </c>
      <c r="H2950" s="1749"/>
      <c r="I2950" s="1192">
        <f t="shared" si="168"/>
        <v>0</v>
      </c>
      <c r="J2950" s="1014"/>
      <c r="K2950" s="1014"/>
      <c r="L2950" s="1015"/>
      <c r="M2950" s="934">
        <v>2000</v>
      </c>
    </row>
    <row r="2951" spans="1:13" s="1016" customFormat="1" ht="25.2" hidden="1" customHeight="1">
      <c r="A2951" s="1086">
        <f t="shared" si="169"/>
        <v>0</v>
      </c>
      <c r="B2951" s="1226" t="s">
        <v>2168</v>
      </c>
      <c r="C2951" s="2841"/>
      <c r="D2951" s="1023"/>
      <c r="E2951" s="1012">
        <f>VLOOKUP($B2951,DG!A:D,DG!$B$2,)</f>
        <v>0</v>
      </c>
      <c r="F2951" s="1013" t="str">
        <f>VLOOKUP($B2951,DG!A:D,DG!$C$2,)&amp;": "</f>
        <v xml:space="preserve">Khâu ven răng ngoài D114: </v>
      </c>
      <c r="G2951" s="1012" t="str">
        <f>VLOOKUP($B2951,DG!A:D,DG!$D$2,)</f>
        <v>cái</v>
      </c>
      <c r="H2951" s="1749"/>
      <c r="I2951" s="1192">
        <f t="shared" si="168"/>
        <v>0</v>
      </c>
      <c r="J2951" s="1014"/>
      <c r="K2951" s="1014"/>
      <c r="L2951" s="1015"/>
      <c r="M2951" s="934">
        <v>2000</v>
      </c>
    </row>
    <row r="2952" spans="1:13" s="1016" customFormat="1" ht="25.2" hidden="1" customHeight="1">
      <c r="A2952" s="1086">
        <f t="shared" si="169"/>
        <v>0</v>
      </c>
      <c r="B2952" s="1226" t="s">
        <v>726</v>
      </c>
      <c r="C2952" s="2841"/>
      <c r="D2952" s="1023"/>
      <c r="E2952" s="1012">
        <f>VLOOKUP($B2952,DG!A:D,DG!$B$2,)</f>
        <v>0</v>
      </c>
      <c r="F2952" s="1013" t="str">
        <f>VLOOKUP($B2952,DG!A:D,DG!$C$2,)&amp;": "</f>
        <v xml:space="preserve">Keo dán ống PVC (500gr): </v>
      </c>
      <c r="G2952" s="1012" t="str">
        <f>VLOOKUP($B2952,DG!A:D,DG!$D$2,)</f>
        <v>lon</v>
      </c>
      <c r="H2952" s="1749"/>
      <c r="I2952" s="1192">
        <f t="shared" si="168"/>
        <v>0</v>
      </c>
      <c r="J2952" s="1014"/>
      <c r="K2952" s="1014"/>
      <c r="L2952" s="1015"/>
      <c r="M2952" s="934">
        <v>2000</v>
      </c>
    </row>
    <row r="2953" spans="1:13" s="1016" customFormat="1" ht="25.2" hidden="1" customHeight="1">
      <c r="A2953" s="1086">
        <f t="shared" si="169"/>
        <v>0</v>
      </c>
      <c r="B2953" s="1087" t="s">
        <v>6</v>
      </c>
      <c r="C2953" s="2842"/>
      <c r="D2953" s="1023"/>
      <c r="E2953" s="1012"/>
      <c r="F2953" s="1013" t="str">
        <f>VLOOKUP($B2953,DG!A:D,DG!$C$2,)&amp;":"</f>
        <v>Keo silicon bít miệng ống:</v>
      </c>
      <c r="G2953" s="1012" t="str">
        <f>VLOOKUP($B2953,DG!A:D,DG!$D$2,)</f>
        <v>ống</v>
      </c>
      <c r="H2953" s="1749"/>
      <c r="I2953" s="1192">
        <f t="shared" si="168"/>
        <v>0</v>
      </c>
      <c r="J2953" s="1014"/>
      <c r="K2953" s="1014"/>
      <c r="L2953" s="1015"/>
      <c r="M2953" s="934">
        <v>2000</v>
      </c>
    </row>
    <row r="2954" spans="1:13" s="1016" customFormat="1" ht="25.2" hidden="1" customHeight="1">
      <c r="A2954" s="1086">
        <f t="shared" si="169"/>
        <v>0</v>
      </c>
      <c r="B2954" s="1226" t="s">
        <v>1348</v>
      </c>
      <c r="C2954" s="2841"/>
      <c r="D2954" s="1023"/>
      <c r="E2954" s="1012">
        <f>VLOOKUP($B2954,DG!A:D,DG!$B$2,)</f>
        <v>0</v>
      </c>
      <c r="F2954" s="1013" t="str">
        <f>VLOOKUP($B2954,DG!A:D,DG!$C$2,)</f>
        <v>Dây rút cáp</v>
      </c>
      <c r="G2954" s="1012" t="str">
        <f>VLOOKUP($B2954,DG!A:D,DG!$D$2,)</f>
        <v>bọc</v>
      </c>
      <c r="H2954" s="1749"/>
      <c r="I2954" s="1192">
        <f t="shared" si="168"/>
        <v>0</v>
      </c>
      <c r="J2954" s="1014"/>
      <c r="K2954" s="1014"/>
      <c r="L2954" s="1015"/>
      <c r="M2954" s="934">
        <v>2000</v>
      </c>
    </row>
    <row r="2955" spans="1:13" s="1016" customFormat="1" ht="25.2" hidden="1" customHeight="1">
      <c r="A2955" s="1086">
        <f t="shared" si="169"/>
        <v>0</v>
      </c>
      <c r="B2955" s="1087" t="s">
        <v>672</v>
      </c>
      <c r="C2955" s="2842"/>
      <c r="D2955" s="1023"/>
      <c r="E2955" s="1012">
        <f>VLOOKUP($B2955,DG!A:D,DG!$B$2,)</f>
        <v>0</v>
      </c>
      <c r="F2955" s="1013" t="str">
        <f>VLOOKUP($B2955,DG!A:D,DG!$C$2,)</f>
        <v>Băng keo cách điện</v>
      </c>
      <c r="G2955" s="1012" t="str">
        <f>VLOOKUP($B2955,DG!A:D,DG!$D$2,)</f>
        <v>cuộn</v>
      </c>
      <c r="H2955" s="1749"/>
      <c r="I2955" s="1192">
        <f t="shared" si="168"/>
        <v>0</v>
      </c>
      <c r="J2955" s="1014"/>
      <c r="K2955" s="1014"/>
      <c r="L2955" s="1015"/>
      <c r="M2955" s="934">
        <v>2000</v>
      </c>
    </row>
    <row r="2956" spans="1:13" s="1016" customFormat="1" ht="25.2" hidden="1" customHeight="1">
      <c r="A2956" s="1086">
        <f t="shared" si="169"/>
        <v>0</v>
      </c>
      <c r="B2956" s="1087" t="s">
        <v>247</v>
      </c>
      <c r="C2956" s="2842"/>
      <c r="D2956" s="1028"/>
      <c r="E2956" s="1012"/>
      <c r="F2956" s="1013" t="str">
        <f>VLOOKUP($B2956,DG!A:D,DG!$C$2,)&amp;":"</f>
        <v>Lắp cáp đồng xuống thiết bị D &gt; 150mm2:</v>
      </c>
      <c r="G2956" s="1012" t="str">
        <f>VLOOKUP($B2956,DG!A:D,DG!$D$2,)</f>
        <v>m</v>
      </c>
      <c r="H2956" s="1749"/>
      <c r="I2956" s="1192">
        <f t="shared" si="168"/>
        <v>0</v>
      </c>
      <c r="J2956" s="1014"/>
      <c r="K2956" s="1014"/>
      <c r="L2956" s="1015"/>
      <c r="M2956" s="934">
        <v>2000</v>
      </c>
    </row>
    <row r="2957" spans="1:13" s="1016" customFormat="1" ht="25.2" hidden="1" customHeight="1">
      <c r="A2957" s="1086">
        <f t="shared" si="169"/>
        <v>0</v>
      </c>
      <c r="B2957" s="1087"/>
      <c r="C2957" s="2842"/>
      <c r="D2957" s="1017">
        <f>IF(H2957&gt;0,D2939+1,D2939)</f>
        <v>0</v>
      </c>
      <c r="E2957" s="1018"/>
      <c r="F2957" s="1027" t="s">
        <v>3729</v>
      </c>
      <c r="G2957" s="1017" t="s">
        <v>2385</v>
      </c>
      <c r="H2957" s="1743"/>
      <c r="I2957" s="1192">
        <f t="shared" si="168"/>
        <v>0</v>
      </c>
      <c r="J2957" s="1014"/>
      <c r="K2957" s="1014"/>
      <c r="L2957" s="1015"/>
      <c r="M2957" s="934">
        <v>2000</v>
      </c>
    </row>
    <row r="2958" spans="1:13" s="1067" customFormat="1" ht="25.2" hidden="1" customHeight="1">
      <c r="A2958" s="1086">
        <f t="shared" si="169"/>
        <v>0</v>
      </c>
      <c r="B2958" s="1257"/>
      <c r="C2958" s="2859"/>
      <c r="D2958" s="1011"/>
      <c r="E2958" s="1021"/>
      <c r="F2958" s="1268" t="s">
        <v>2279</v>
      </c>
      <c r="G2958" s="1011" t="s">
        <v>2439</v>
      </c>
      <c r="H2958" s="1723"/>
      <c r="I2958" s="1192">
        <f t="shared" si="168"/>
        <v>0</v>
      </c>
      <c r="J2958" s="1014"/>
      <c r="K2958" s="1014"/>
      <c r="L2958" s="1015"/>
      <c r="M2958" s="934">
        <v>2000</v>
      </c>
    </row>
    <row r="2959" spans="1:13" s="1016" customFormat="1" ht="25.2" hidden="1" customHeight="1">
      <c r="A2959" s="1086">
        <f t="shared" si="169"/>
        <v>0</v>
      </c>
      <c r="B2959" s="1226" t="s">
        <v>1822</v>
      </c>
      <c r="C2959" s="2841"/>
      <c r="D2959" s="1043"/>
      <c r="E2959" s="1012" t="str">
        <f>VLOOKUP($B2959,DG!A:D,DG!$B$2,)</f>
        <v>03.1401</v>
      </c>
      <c r="F2959" s="1041" t="str">
        <f>VLOOKUP($B2959,DG!A:D,DG!$C$2,)</f>
        <v xml:space="preserve">Cáp CVV 4x2,5mm2  </v>
      </c>
      <c r="G2959" s="1068" t="str">
        <f>VLOOKUP($B2959,DG!A:D,DG!$D$2,)</f>
        <v>mét</v>
      </c>
      <c r="H2959" s="1713">
        <f>H2957*12</f>
        <v>0</v>
      </c>
      <c r="I2959" s="1192">
        <f t="shared" si="168"/>
        <v>0</v>
      </c>
      <c r="J2959" s="1014"/>
      <c r="K2959" s="1014"/>
      <c r="L2959" s="1015"/>
      <c r="M2959" s="934">
        <v>2000</v>
      </c>
    </row>
    <row r="2960" spans="1:13" s="1016" customFormat="1" ht="25.2" hidden="1" customHeight="1">
      <c r="A2960" s="1086">
        <f t="shared" si="169"/>
        <v>0</v>
      </c>
      <c r="B2960" s="1226" t="s">
        <v>246</v>
      </c>
      <c r="C2960" s="2841"/>
      <c r="D2960" s="1043"/>
      <c r="E2960" s="1012" t="str">
        <f>VLOOKUP($B2960,DG!A:D,DG!$B$2,)</f>
        <v>05.6101</v>
      </c>
      <c r="F2960" s="1041" t="str">
        <f>VLOOKUP($B2960,DG!A:D,DG!$C$2,)</f>
        <v>Xà kẹp TU, TI U50x32x4 350</v>
      </c>
      <c r="G2960" s="1068" t="str">
        <f>VLOOKUP($B2960,DG!A:D,DG!$D$2,)</f>
        <v>Bộ</v>
      </c>
      <c r="H2960" s="1713">
        <f>H2957*24*0</f>
        <v>0</v>
      </c>
      <c r="I2960" s="1192">
        <f t="shared" si="168"/>
        <v>0</v>
      </c>
      <c r="J2960" s="1014"/>
      <c r="K2960" s="1014"/>
      <c r="L2960" s="1015"/>
      <c r="M2960" s="934">
        <v>2000</v>
      </c>
    </row>
    <row r="2961" spans="1:13" s="1016" customFormat="1" ht="25.2" hidden="1" customHeight="1">
      <c r="A2961" s="1086">
        <f t="shared" si="169"/>
        <v>0</v>
      </c>
      <c r="B2961" s="1226" t="s">
        <v>1865</v>
      </c>
      <c r="C2961" s="2841"/>
      <c r="D2961" s="1023"/>
      <c r="E2961" s="1012" t="str">
        <f>VLOOKUP($B2961,DG!A:D,DG!$B$2,)</f>
        <v>03.4001</v>
      </c>
      <c r="F2961" s="1041" t="str">
        <f>VLOOKUP($B2961,DG!A:D,DG!$C$2,)</f>
        <v xml:space="preserve">Đầu cosse ép Cu 2,5mm2 + bao PVC </v>
      </c>
      <c r="G2961" s="1068" t="str">
        <f>VLOOKUP($B2961,DG!A:D,DG!$D$2,)</f>
        <v>cái</v>
      </c>
      <c r="H2961" s="1713">
        <f>H2957*16*0</f>
        <v>0</v>
      </c>
      <c r="I2961" s="1192">
        <f t="shared" si="168"/>
        <v>0</v>
      </c>
      <c r="J2961" s="1014"/>
      <c r="K2961" s="1014"/>
      <c r="L2961" s="1015"/>
      <c r="M2961" s="934">
        <v>2000</v>
      </c>
    </row>
    <row r="2962" spans="1:13" s="1016" customFormat="1" ht="25.2" hidden="1" customHeight="1">
      <c r="A2962" s="1086">
        <f t="shared" si="169"/>
        <v>0</v>
      </c>
      <c r="B2962" s="1226" t="s">
        <v>1510</v>
      </c>
      <c r="C2962" s="2841"/>
      <c r="D2962" s="1023"/>
      <c r="E2962" s="1012">
        <f>VLOOKUP($B2962,DG!A:D,DG!$B$2,)</f>
        <v>0</v>
      </c>
      <c r="F2962" s="1041" t="str">
        <f>VLOOKUP($B2962,DG!A:D,DG!$C$2,)</f>
        <v>Dây điện đôi 16/10</v>
      </c>
      <c r="G2962" s="1068" t="str">
        <f>VLOOKUP($B2962,DG!A:D,DG!$D$2,)</f>
        <v>mét</v>
      </c>
      <c r="H2962" s="1713">
        <f>6*H2957*0</f>
        <v>0</v>
      </c>
      <c r="I2962" s="1192">
        <f t="shared" si="168"/>
        <v>0</v>
      </c>
      <c r="J2962" s="1014"/>
      <c r="K2962" s="1014"/>
      <c r="L2962" s="1015"/>
      <c r="M2962" s="934">
        <v>2000</v>
      </c>
    </row>
    <row r="2963" spans="1:13" s="1016" customFormat="1" ht="25.2" hidden="1" customHeight="1">
      <c r="A2963" s="1086">
        <f t="shared" si="169"/>
        <v>0</v>
      </c>
      <c r="B2963" s="1226" t="s">
        <v>1114</v>
      </c>
      <c r="C2963" s="2841"/>
      <c r="D2963" s="1023"/>
      <c r="E2963" s="1012">
        <f>VLOOKUP($B2963,DG!A:D,DG!$B$2,)</f>
        <v>0</v>
      </c>
      <c r="F2963" s="1041" t="str">
        <f>VLOOKUP($B2963,DG!A:D,DG!$C$2,)&amp;" (ñaáu TU)"</f>
        <v>Kẹp ép cỡ dây 25mm2 (ñaáu TU)</v>
      </c>
      <c r="G2963" s="1068" t="str">
        <f>VLOOKUP($B2963,DG!A:D,DG!$D$2,)</f>
        <v>cái</v>
      </c>
      <c r="H2963" s="1713">
        <f>+H2957*3*0</f>
        <v>0</v>
      </c>
      <c r="I2963" s="1192">
        <f t="shared" si="168"/>
        <v>0</v>
      </c>
      <c r="J2963" s="1014"/>
      <c r="K2963" s="1014"/>
      <c r="L2963" s="1015"/>
      <c r="M2963" s="934">
        <v>2000</v>
      </c>
    </row>
    <row r="2964" spans="1:13" s="1016" customFormat="1" ht="25.2" hidden="1" customHeight="1">
      <c r="A2964" s="1086">
        <f t="shared" si="169"/>
        <v>0</v>
      </c>
      <c r="B2964" s="1226" t="s">
        <v>2141</v>
      </c>
      <c r="C2964" s="2841"/>
      <c r="D2964" s="1023"/>
      <c r="E2964" s="1012" t="str">
        <f>VLOOKUP($B2964,DG!A:D,DG!$B$2,)</f>
        <v>07.2403</v>
      </c>
      <c r="F2964" s="1041" t="str">
        <f>VLOOKUP($B2964,DG!A:D,DG!$C$2,)</f>
        <v>Ống PVC D42x2,1mm</v>
      </c>
      <c r="G2964" s="1068" t="str">
        <f>VLOOKUP($B2964,DG!A:D,DG!$D$2,)</f>
        <v>m</v>
      </c>
      <c r="H2964" s="1713">
        <f>H2975*6</f>
        <v>0</v>
      </c>
      <c r="I2964" s="1192">
        <f t="shared" si="168"/>
        <v>0</v>
      </c>
      <c r="J2964" s="1014"/>
      <c r="K2964" s="1014"/>
      <c r="L2964" s="1015"/>
      <c r="M2964" s="934">
        <v>2000</v>
      </c>
    </row>
    <row r="2965" spans="1:13" s="1016" customFormat="1" ht="25.2" hidden="1" customHeight="1">
      <c r="A2965" s="1086">
        <f t="shared" si="169"/>
        <v>0</v>
      </c>
      <c r="B2965" s="1087" t="s">
        <v>204</v>
      </c>
      <c r="C2965" s="2842"/>
      <c r="D2965" s="1023"/>
      <c r="E2965" s="1012" t="str">
        <f>VLOOKUP($B2965,DG!A:D,DG!$B$2,)</f>
        <v>06.3231</v>
      </c>
      <c r="F2965" s="1041" t="str">
        <f>VLOOKUP($B2965,DG!A:D,DG!$C$2,)</f>
        <v>Cổ dê giữ ống PVC D42</v>
      </c>
      <c r="G2965" s="1068" t="str">
        <f>VLOOKUP($B2965,DG!A:D,DG!$D$2,)</f>
        <v>bộ</v>
      </c>
      <c r="H2965" s="1713">
        <f>H2957*4</f>
        <v>0</v>
      </c>
      <c r="I2965" s="1192">
        <f t="shared" si="168"/>
        <v>0</v>
      </c>
      <c r="J2965" s="1014"/>
      <c r="K2965" s="1014"/>
      <c r="L2965" s="1015"/>
      <c r="M2965" s="934">
        <v>2000</v>
      </c>
    </row>
    <row r="2966" spans="1:13" s="1016" customFormat="1" ht="25.2" hidden="1" customHeight="1">
      <c r="A2966" s="1086">
        <f t="shared" si="169"/>
        <v>0</v>
      </c>
      <c r="B2966" s="1226" t="s">
        <v>1616</v>
      </c>
      <c r="C2966" s="2841"/>
      <c r="D2966" s="1023"/>
      <c r="E2966" s="1012">
        <f>VLOOKUP($B2966,DG!A:D,DG!$B$2,)</f>
        <v>0</v>
      </c>
      <c r="F2966" s="1041" t="str">
        <f>VLOOKUP($B2966,DG!A:D,DG!$C$2,)</f>
        <v>Co 90 độ PVC 42</v>
      </c>
      <c r="G2966" s="1068" t="str">
        <f>VLOOKUP($B2966,DG!A:D,DG!$D$2,)</f>
        <v>cái</v>
      </c>
      <c r="H2966" s="1713">
        <f>H2957*4</f>
        <v>0</v>
      </c>
      <c r="I2966" s="1192">
        <f t="shared" si="168"/>
        <v>0</v>
      </c>
      <c r="J2966" s="1014"/>
      <c r="K2966" s="1014"/>
      <c r="L2966" s="1015"/>
      <c r="M2966" s="934">
        <v>2000</v>
      </c>
    </row>
    <row r="2967" spans="1:13" s="1016" customFormat="1" ht="25.2" hidden="1" customHeight="1">
      <c r="A2967" s="1086">
        <f t="shared" si="169"/>
        <v>0</v>
      </c>
      <c r="B2967" s="1226" t="s">
        <v>1050</v>
      </c>
      <c r="C2967" s="2841"/>
      <c r="D2967" s="1023"/>
      <c r="E2967" s="1012">
        <f>VLOOKUP($B2967,DG!A:D,DG!$B$2,)</f>
        <v>0</v>
      </c>
      <c r="F2967" s="1041" t="str">
        <f>VLOOKUP($B2967,DG!A:D,DG!$C$2,)</f>
        <v>Co chữ T ống PVC 42</v>
      </c>
      <c r="G2967" s="1068" t="str">
        <f>VLOOKUP($B2967,DG!A:D,DG!$D$2,)</f>
        <v>cái</v>
      </c>
      <c r="H2967" s="1713">
        <f>H2957*5*0</f>
        <v>0</v>
      </c>
      <c r="I2967" s="1192">
        <f t="shared" si="168"/>
        <v>0</v>
      </c>
      <c r="J2967" s="1014"/>
      <c r="K2967" s="1014"/>
      <c r="L2967" s="1015"/>
      <c r="M2967" s="934">
        <v>2000</v>
      </c>
    </row>
    <row r="2968" spans="1:13" s="1016" customFormat="1" ht="25.2" hidden="1" customHeight="1">
      <c r="A2968" s="1086">
        <f t="shared" si="169"/>
        <v>0</v>
      </c>
      <c r="B2968" s="1226" t="s">
        <v>1913</v>
      </c>
      <c r="C2968" s="2841"/>
      <c r="D2968" s="1023"/>
      <c r="E2968" s="1012">
        <f>VLOOKUP($B2968,DG!A:D,DG!$B$2,)</f>
        <v>0</v>
      </c>
      <c r="F2968" s="1041" t="str">
        <f>VLOOKUP($B2968,DG!A:D,DG!$C$2,)</f>
        <v>Nối thẳng ống PVC 42</v>
      </c>
      <c r="G2968" s="1068" t="str">
        <f>VLOOKUP($B2968,DG!A:D,DG!$D$2,)</f>
        <v>cái</v>
      </c>
      <c r="H2968" s="1713">
        <f>H2957*0</f>
        <v>0</v>
      </c>
      <c r="I2968" s="1192">
        <f t="shared" si="168"/>
        <v>0</v>
      </c>
      <c r="J2968" s="1014"/>
      <c r="K2968" s="1014"/>
      <c r="L2968" s="1015"/>
      <c r="M2968" s="934">
        <v>2000</v>
      </c>
    </row>
    <row r="2969" spans="1:13" s="1016" customFormat="1" ht="25.2" hidden="1" customHeight="1">
      <c r="A2969" s="1086">
        <f t="shared" si="169"/>
        <v>0</v>
      </c>
      <c r="B2969" s="1226" t="s">
        <v>697</v>
      </c>
      <c r="C2969" s="2841"/>
      <c r="D2969" s="1023"/>
      <c r="E2969" s="1012">
        <f>VLOOKUP($B2969,DG!A:D,DG!$B$2,)</f>
        <v>0</v>
      </c>
      <c r="F2969" s="1041" t="str">
        <f>VLOOKUP($B2969,DG!A:D,DG!$C$2,)&amp;" ñaáu TU"</f>
        <v>Cáp 24KV C/XLPE/PVC 25mm2 ñaáu TU</v>
      </c>
      <c r="G2969" s="1068" t="str">
        <f>VLOOKUP($B2969,DG!A:D,DG!$D$2,)</f>
        <v>mét</v>
      </c>
      <c r="H2969" s="1713">
        <f>H2957*2.5*3*0</f>
        <v>0</v>
      </c>
      <c r="I2969" s="1192">
        <f t="shared" si="168"/>
        <v>0</v>
      </c>
      <c r="J2969" s="1014"/>
      <c r="K2969" s="1014"/>
      <c r="L2969" s="1015"/>
      <c r="M2969" s="934">
        <v>2000</v>
      </c>
    </row>
    <row r="2970" spans="1:13" s="1016" customFormat="1" ht="25.2" hidden="1" customHeight="1">
      <c r="A2970" s="1086">
        <f t="shared" si="169"/>
        <v>0</v>
      </c>
      <c r="B2970" s="1226" t="s">
        <v>726</v>
      </c>
      <c r="C2970" s="2841"/>
      <c r="D2970" s="1023"/>
      <c r="E2970" s="1012">
        <f>VLOOKUP($B2970,DG!A:D,DG!$B$2,)</f>
        <v>0</v>
      </c>
      <c r="F2970" s="1041" t="str">
        <f>VLOOKUP($B2970,DG!A:D,DG!$C$2,)</f>
        <v>Keo dán ống PVC (500gr)</v>
      </c>
      <c r="G2970" s="1068" t="str">
        <f>VLOOKUP($B2970,DG!A:D,DG!$D$2,)</f>
        <v>lon</v>
      </c>
      <c r="H2970" s="1713">
        <f>H2957</f>
        <v>0</v>
      </c>
      <c r="I2970" s="1192">
        <f t="shared" si="168"/>
        <v>0</v>
      </c>
      <c r="J2970" s="1014"/>
      <c r="K2970" s="1014"/>
      <c r="L2970" s="1015"/>
      <c r="M2970" s="934">
        <v>2000</v>
      </c>
    </row>
    <row r="2971" spans="1:13" s="1016" customFormat="1" ht="25.2" hidden="1" customHeight="1">
      <c r="A2971" s="1086">
        <f t="shared" si="169"/>
        <v>0</v>
      </c>
      <c r="B2971" s="1087" t="s">
        <v>672</v>
      </c>
      <c r="C2971" s="2842"/>
      <c r="D2971" s="1023"/>
      <c r="E2971" s="1012">
        <f>VLOOKUP($B2971,DG!A:D,DG!$B$2,)</f>
        <v>0</v>
      </c>
      <c r="F2971" s="1041" t="str">
        <f>VLOOKUP($B2971,DG!A:D,DG!$C$2,)</f>
        <v>Băng keo cách điện</v>
      </c>
      <c r="G2971" s="1068" t="str">
        <f>VLOOKUP($B2971,DG!A:D,DG!$D$2,)</f>
        <v>cuộn</v>
      </c>
      <c r="H2971" s="1713">
        <f>H2957</f>
        <v>0</v>
      </c>
      <c r="I2971" s="1192">
        <f t="shared" si="168"/>
        <v>0</v>
      </c>
      <c r="J2971" s="1014"/>
      <c r="K2971" s="1014"/>
      <c r="L2971" s="1015"/>
      <c r="M2971" s="934">
        <v>2000</v>
      </c>
    </row>
    <row r="2972" spans="1:13" s="1016" customFormat="1" ht="25.2" hidden="1" customHeight="1">
      <c r="A2972" s="1086">
        <f t="shared" si="169"/>
        <v>0</v>
      </c>
      <c r="B2972" s="1226" t="s">
        <v>2120</v>
      </c>
      <c r="C2972" s="2841"/>
      <c r="D2972" s="1023"/>
      <c r="E2972" s="1012">
        <f>VLOOKUP($B2972,DG!A:D,DG!$B$2,)</f>
        <v>0</v>
      </c>
      <c r="F2972" s="1041" t="str">
        <f>VLOOKUP($B2972,DG!A:D,DG!$C$2,)</f>
        <v>Khâu ven răng trong D42</v>
      </c>
      <c r="G2972" s="1068" t="str">
        <f>VLOOKUP($B2972,DG!A:D,DG!$D$2,)</f>
        <v>cái</v>
      </c>
      <c r="H2972" s="1713">
        <f>H2957*2</f>
        <v>0</v>
      </c>
      <c r="I2972" s="1192">
        <f t="shared" si="168"/>
        <v>0</v>
      </c>
      <c r="J2972" s="1014"/>
      <c r="K2972" s="1014"/>
      <c r="L2972" s="1015"/>
      <c r="M2972" s="934">
        <v>2000</v>
      </c>
    </row>
    <row r="2973" spans="1:13" s="1016" customFormat="1" ht="25.2" hidden="1" customHeight="1">
      <c r="A2973" s="1086">
        <f t="shared" si="169"/>
        <v>0</v>
      </c>
      <c r="B2973" s="1087" t="s">
        <v>959</v>
      </c>
      <c r="C2973" s="2842"/>
      <c r="D2973" s="1023"/>
      <c r="E2973" s="1012">
        <f>VLOOKUP($B2973,DG!A:D,DG!$B$2,)</f>
        <v>0</v>
      </c>
      <c r="F2973" s="1041" t="str">
        <f>VLOOKUP($B2973,DG!A:D,DG!$C$2,)</f>
        <v>Khâu ven răng ngoài D42</v>
      </c>
      <c r="G2973" s="1068" t="str">
        <f>VLOOKUP($B2973,DG!A:D,DG!$D$2,)</f>
        <v>cái</v>
      </c>
      <c r="H2973" s="1713">
        <f>H2957*2</f>
        <v>0</v>
      </c>
      <c r="I2973" s="1192">
        <f t="shared" si="168"/>
        <v>0</v>
      </c>
      <c r="J2973" s="1014"/>
      <c r="K2973" s="1014"/>
      <c r="L2973" s="1015"/>
      <c r="M2973" s="934">
        <v>2000</v>
      </c>
    </row>
    <row r="2974" spans="1:13" s="1016" customFormat="1" ht="25.2" hidden="1" customHeight="1">
      <c r="A2974" s="1086">
        <f t="shared" si="169"/>
        <v>0</v>
      </c>
      <c r="B2974" s="1087" t="s">
        <v>319</v>
      </c>
      <c r="C2974" s="2842"/>
      <c r="D2974" s="1023"/>
      <c r="E2974" s="1012" t="str">
        <f>VLOOKUP($B2974,DG!A:D,DG!$B$2,)</f>
        <v>06.3231</v>
      </c>
      <c r="F2974" s="1041" t="str">
        <f>VLOOKUP($B2974,DG!A:D,DG!$C$2,)</f>
        <v>Cổ dê CDĐKĐT( bắt thùng điện kế)</v>
      </c>
      <c r="G2974" s="1068" t="str">
        <f>VLOOKUP($B2974,DG!A:D,DG!$D$2,)</f>
        <v>bộ</v>
      </c>
      <c r="H2974" s="1713">
        <f>H2957*2*0</f>
        <v>0</v>
      </c>
      <c r="I2974" s="1192">
        <f t="shared" si="168"/>
        <v>0</v>
      </c>
      <c r="J2974" s="1014"/>
      <c r="K2974" s="1014"/>
      <c r="L2974" s="1015"/>
      <c r="M2974" s="934">
        <v>2000</v>
      </c>
    </row>
    <row r="2975" spans="1:13" s="1016" customFormat="1" ht="25.2" hidden="1" customHeight="1">
      <c r="A2975" s="1086">
        <f t="shared" si="169"/>
        <v>0</v>
      </c>
      <c r="B2975" s="1087" t="s">
        <v>1915</v>
      </c>
      <c r="C2975" s="2842"/>
      <c r="D2975" s="1023"/>
      <c r="E2975" s="1012" t="str">
        <f>VLOOKUP($B2975,DG!A:D,DG!$B$2,)</f>
        <v>05.1101</v>
      </c>
      <c r="F2975" s="1041" t="str">
        <f>VLOOKUP($B2975,DG!A:D,DG!$C$2,)</f>
        <v>Thùng điện kế 450x300x200mm đo đếm trung thế</v>
      </c>
      <c r="G2975" s="1068" t="str">
        <f>VLOOKUP($B2975,DG!A:D,DG!$D$2,)</f>
        <v>cái</v>
      </c>
      <c r="H2975" s="1713">
        <f>H2957</f>
        <v>0</v>
      </c>
      <c r="I2975" s="1192">
        <f t="shared" si="168"/>
        <v>0</v>
      </c>
      <c r="J2975" s="1014"/>
      <c r="K2975" s="1014"/>
      <c r="L2975" s="1015"/>
      <c r="M2975" s="934">
        <v>2000</v>
      </c>
    </row>
    <row r="2976" spans="1:13" s="1016" customFormat="1" ht="25.2" hidden="1" customHeight="1">
      <c r="A2976" s="1086">
        <f t="shared" si="169"/>
        <v>0</v>
      </c>
      <c r="B2976" s="1087" t="s">
        <v>6</v>
      </c>
      <c r="C2976" s="2842"/>
      <c r="D2976" s="1023"/>
      <c r="E2976" s="1012">
        <f>VLOOKUP($B2976,DG!A:D,DG!$B$2,)</f>
        <v>0</v>
      </c>
      <c r="F2976" s="1041" t="str">
        <f>VLOOKUP($B2976,DG!A:D,DG!$C$2,)</f>
        <v>Keo silicon bít miệng ống</v>
      </c>
      <c r="G2976" s="1068" t="str">
        <f>VLOOKUP($B2976,DG!A:D,DG!$D$2,)</f>
        <v>ống</v>
      </c>
      <c r="H2976" s="1713">
        <f>H2957*2</f>
        <v>0</v>
      </c>
      <c r="I2976" s="1192">
        <f t="shared" si="168"/>
        <v>0</v>
      </c>
      <c r="J2976" s="1014"/>
      <c r="K2976" s="1014"/>
      <c r="L2976" s="1015"/>
      <c r="M2976" s="934">
        <v>2000</v>
      </c>
    </row>
    <row r="2977" spans="1:13" s="1016" customFormat="1" ht="25.2" hidden="1" customHeight="1">
      <c r="A2977" s="1086">
        <f t="shared" si="169"/>
        <v>0</v>
      </c>
      <c r="B2977" s="1087" t="s">
        <v>2139</v>
      </c>
      <c r="C2977" s="2842"/>
      <c r="D2977" s="1023"/>
      <c r="E2977" s="1012">
        <f>VLOOKUP($B2977,DG!A:D,DG!$B$2,)</f>
        <v>0</v>
      </c>
      <c r="F2977" s="1041" t="str">
        <f>VLOOKUP($B2977,DG!A:D,DG!$C$2,)</f>
        <v>Dây đồng trần mềm dẹt</v>
      </c>
      <c r="G2977" s="1068" t="str">
        <f>VLOOKUP($B2977,DG!A:D,DG!$D$2,)</f>
        <v>mét</v>
      </c>
      <c r="H2977" s="1713">
        <f>H2957*4</f>
        <v>0</v>
      </c>
      <c r="I2977" s="1192">
        <f t="shared" si="168"/>
        <v>0</v>
      </c>
      <c r="J2977" s="1014"/>
      <c r="K2977" s="1014"/>
      <c r="L2977" s="1015"/>
      <c r="M2977" s="934">
        <v>2000</v>
      </c>
    </row>
    <row r="2978" spans="1:13" s="1016" customFormat="1" ht="25.2" hidden="1" customHeight="1">
      <c r="A2978" s="1086">
        <f t="shared" si="169"/>
        <v>0</v>
      </c>
      <c r="B2978" s="1087" t="s">
        <v>1035</v>
      </c>
      <c r="C2978" s="2842"/>
      <c r="D2978" s="1023"/>
      <c r="E2978" s="1012">
        <v>0</v>
      </c>
      <c r="F2978" s="1041" t="str">
        <f>VLOOKUP($B2978,DG!A:D,DG!$C$2,)&amp;" : 2 thanh daøi 0,5m"</f>
        <v>Sắt góc L50 x50 x5 : 2 thanh daøi 0,5m</v>
      </c>
      <c r="G2978" s="1068" t="str">
        <f>VLOOKUP($B2978,DG!A:D,DG!$D$2,)</f>
        <v>kg</v>
      </c>
      <c r="H2978" s="1713">
        <f>3.77*H2957</f>
        <v>0</v>
      </c>
      <c r="I2978" s="1192">
        <f t="shared" si="168"/>
        <v>0</v>
      </c>
      <c r="J2978" s="1014"/>
      <c r="K2978" s="1014"/>
      <c r="L2978" s="1015"/>
      <c r="M2978" s="934">
        <v>2000</v>
      </c>
    </row>
    <row r="2979" spans="1:13" s="1016" customFormat="1" ht="25.2" hidden="1" customHeight="1">
      <c r="A2979" s="1086">
        <f t="shared" si="169"/>
        <v>0</v>
      </c>
      <c r="B2979" s="1087" t="s">
        <v>1350</v>
      </c>
      <c r="C2979" s="2842"/>
      <c r="D2979" s="1023"/>
      <c r="E2979" s="1012">
        <v>0</v>
      </c>
      <c r="F2979" s="1081" t="str">
        <f>VLOOKUP($B2979,DG!A:D,DG!$C$2,)&amp;" baét thuøng ÑKÑT"</f>
        <v>Boulon 12x60+ 2 long đền vuông D14-50x50x3/Zn baét thuøng ÑKÑT</v>
      </c>
      <c r="G2979" s="1068" t="str">
        <f>VLOOKUP($B2979,DG!A:D,DG!$D$2,)</f>
        <v>bộ</v>
      </c>
      <c r="H2979" s="1713">
        <f>4*H2957</f>
        <v>0</v>
      </c>
      <c r="I2979" s="1192">
        <f t="shared" si="168"/>
        <v>0</v>
      </c>
      <c r="J2979" s="1014"/>
      <c r="K2979" s="1014"/>
      <c r="L2979" s="1015"/>
      <c r="M2979" s="934">
        <v>2000</v>
      </c>
    </row>
    <row r="2980" spans="1:13" s="1016" customFormat="1" ht="25.2" hidden="1" customHeight="1">
      <c r="A2980" s="1086">
        <f t="shared" si="169"/>
        <v>0</v>
      </c>
      <c r="B2980" s="1087" t="s">
        <v>6</v>
      </c>
      <c r="C2980" s="2842"/>
      <c r="D2980" s="1048"/>
      <c r="E2980" s="1049"/>
      <c r="F2980" s="1038" t="s">
        <v>3761</v>
      </c>
      <c r="G2980" s="1038"/>
      <c r="H2980" s="1730"/>
      <c r="I2980" s="1192">
        <f t="shared" si="168"/>
        <v>0</v>
      </c>
      <c r="J2980" s="1038"/>
      <c r="K2980" s="1038"/>
      <c r="L2980" s="1069"/>
      <c r="M2980" s="934">
        <v>2000</v>
      </c>
    </row>
    <row r="2981" spans="1:13" s="1016" customFormat="1" ht="25.2" hidden="1" customHeight="1">
      <c r="A2981" s="1086">
        <f t="shared" si="169"/>
        <v>0</v>
      </c>
      <c r="B2981" s="1087" t="s">
        <v>1918</v>
      </c>
      <c r="C2981" s="2842"/>
      <c r="D2981" s="1023"/>
      <c r="E2981" s="1012" t="str">
        <f>VLOOKUP($B2981,DG!A:D,DG!$B$2,)</f>
        <v>06.3241</v>
      </c>
      <c r="F2981" s="1041" t="s">
        <v>2460</v>
      </c>
      <c r="G2981" s="1068" t="str">
        <f>VLOOKUP($B2981,DG!A:D,DG!$D$2,)</f>
        <v>bộ</v>
      </c>
      <c r="H2981" s="1713"/>
      <c r="I2981" s="1192">
        <f t="shared" si="168"/>
        <v>0</v>
      </c>
      <c r="J2981" s="1014"/>
      <c r="K2981" s="1014"/>
      <c r="L2981" s="1015"/>
      <c r="M2981" s="934">
        <v>2000</v>
      </c>
    </row>
    <row r="2982" spans="1:13" s="1016" customFormat="1" ht="25.2" hidden="1" customHeight="1">
      <c r="A2982" s="1086">
        <f t="shared" si="169"/>
        <v>0</v>
      </c>
      <c r="B2982" s="1087" t="s">
        <v>809</v>
      </c>
      <c r="C2982" s="2842"/>
      <c r="D2982" s="1023"/>
      <c r="E2982" s="1012" t="str">
        <f>VLOOKUP($B2982,DG!A:D,DG!$B$2,)</f>
        <v>05.6011</v>
      </c>
      <c r="F2982" s="1041" t="s">
        <v>2461</v>
      </c>
      <c r="G2982" s="1068" t="str">
        <f>VLOOKUP($B2982,DG!A:D,DG!$D$2,)</f>
        <v>bộ</v>
      </c>
      <c r="H2982" s="1713"/>
      <c r="I2982" s="1192">
        <f t="shared" si="168"/>
        <v>0</v>
      </c>
      <c r="J2982" s="1014"/>
      <c r="K2982" s="1014"/>
      <c r="L2982" s="1015"/>
      <c r="M2982" s="934">
        <v>2000</v>
      </c>
    </row>
    <row r="2983" spans="1:13" s="1016" customFormat="1" ht="25.2" hidden="1" customHeight="1">
      <c r="A2983" s="1086">
        <f t="shared" si="169"/>
        <v>0</v>
      </c>
      <c r="B2983" s="1087" t="s">
        <v>1350</v>
      </c>
      <c r="C2983" s="2842"/>
      <c r="D2983" s="1028"/>
      <c r="E2983" s="1029">
        <f>VLOOKUP($B2983,DG!A:D,DG!$B$2,)</f>
        <v>0</v>
      </c>
      <c r="F2983" s="1083" t="str">
        <f>VLOOKUP($B2983,DG!A:D,DG!$C$2,)&amp;" baét thuøng ÑKÑT"</f>
        <v>Boulon 12x60+ 2 long đền vuông D14-50x50x3/Zn baét thuøng ÑKÑT</v>
      </c>
      <c r="G2983" s="1084" t="str">
        <f>VLOOKUP($B2983,DG!A:D,DG!$D$2,)</f>
        <v>bộ</v>
      </c>
      <c r="H2983" s="1724">
        <f>4*H2961</f>
        <v>0</v>
      </c>
      <c r="I2983" s="1192">
        <f t="shared" si="168"/>
        <v>0</v>
      </c>
      <c r="J2983" s="1085"/>
      <c r="K2983" s="1085"/>
      <c r="L2983" s="1031"/>
      <c r="M2983" s="934">
        <v>2000</v>
      </c>
    </row>
    <row r="2984" spans="1:13" s="1016" customFormat="1" ht="25.2" hidden="1" customHeight="1">
      <c r="A2984" s="1086">
        <f t="shared" si="169"/>
        <v>0</v>
      </c>
      <c r="B2984" s="1087"/>
      <c r="C2984" s="2842"/>
      <c r="D2984" s="2692"/>
      <c r="E2984" s="2693"/>
      <c r="F2984" s="2694"/>
      <c r="G2984" s="2695"/>
      <c r="H2984" s="1726"/>
      <c r="I2984" s="2696"/>
      <c r="J2984" s="2697"/>
      <c r="K2984" s="2697"/>
      <c r="L2984" s="2698"/>
      <c r="M2984" s="934"/>
    </row>
    <row r="2985" spans="1:13" s="1016" customFormat="1" ht="25.2" hidden="1" customHeight="1">
      <c r="A2985" s="1086">
        <f t="shared" si="169"/>
        <v>0</v>
      </c>
      <c r="B2985" s="1087"/>
      <c r="C2985" s="2842"/>
      <c r="D2985" s="2793"/>
      <c r="E2985" s="2793"/>
      <c r="F2985" s="2794" t="s">
        <v>3672</v>
      </c>
      <c r="G2985" s="2793"/>
      <c r="H2985" s="2820"/>
      <c r="I2985" s="2796"/>
      <c r="J2985" s="2795"/>
      <c r="K2985" s="2795"/>
      <c r="L2985" s="2797"/>
      <c r="M2985" s="934" t="s">
        <v>6436</v>
      </c>
    </row>
    <row r="2986" spans="1:13" s="1016" customFormat="1" ht="25.2" hidden="1" customHeight="1">
      <c r="A2986" s="1086">
        <f t="shared" si="169"/>
        <v>0</v>
      </c>
      <c r="B2986" s="2786" t="s">
        <v>1841</v>
      </c>
      <c r="C2986" s="2842">
        <v>1</v>
      </c>
      <c r="D2986" s="2798"/>
      <c r="E2986" s="2799" t="s">
        <v>5592</v>
      </c>
      <c r="F2986" s="2800" t="str">
        <f>VLOOKUP($B2986,DG!A:D,DG!$C$2,)</f>
        <v>Máy biến áp 22/0,4kV- 320kVA</v>
      </c>
      <c r="G2986" s="2801" t="str">
        <f>VLOOKUP($B2986,DG!A:D,DG!$D$2,)</f>
        <v>máy</v>
      </c>
      <c r="H2986" s="2810">
        <f>C2986</f>
        <v>1</v>
      </c>
      <c r="I2986" s="2810">
        <f>H2986</f>
        <v>1</v>
      </c>
      <c r="J2986" s="2810">
        <f t="shared" ref="I2986:K2994" si="170">J$2985*$C2986</f>
        <v>0</v>
      </c>
      <c r="K2986" s="2810">
        <f t="shared" si="170"/>
        <v>0</v>
      </c>
      <c r="L2986" s="2797"/>
      <c r="M2986" s="934" t="s">
        <v>6436</v>
      </c>
    </row>
    <row r="2987" spans="1:13" s="1016" customFormat="1" ht="25.2" hidden="1" customHeight="1">
      <c r="A2987" s="1086">
        <f t="shared" si="169"/>
        <v>0</v>
      </c>
      <c r="B2987" s="2787" t="s">
        <v>1652</v>
      </c>
      <c r="C2987" s="2842">
        <v>3</v>
      </c>
      <c r="D2987" s="2798"/>
      <c r="E2987" s="2799" t="s">
        <v>5598</v>
      </c>
      <c r="F2987" s="2800" t="str">
        <f>VLOOKUP($B2987,DG!A:D,DG!$C$2,)</f>
        <v>FCO 24kV - 100A</v>
      </c>
      <c r="G2987" s="2801" t="str">
        <f>VLOOKUP($B2987,DG!A:D,DG!$D$2,)</f>
        <v>cái</v>
      </c>
      <c r="H2987" s="2810">
        <f>H$2986*$C2987</f>
        <v>3</v>
      </c>
      <c r="I2987" s="2810">
        <f t="shared" ref="I2987:K2995" si="171">I$2986*$C2987</f>
        <v>3</v>
      </c>
      <c r="J2987" s="2810">
        <f t="shared" si="171"/>
        <v>0</v>
      </c>
      <c r="K2987" s="2810">
        <f t="shared" si="171"/>
        <v>0</v>
      </c>
      <c r="L2987" s="2797"/>
      <c r="M2987" s="934" t="s">
        <v>6436</v>
      </c>
    </row>
    <row r="2988" spans="1:13" s="1016" customFormat="1" ht="25.2" hidden="1" customHeight="1">
      <c r="A2988" s="1086">
        <f t="shared" si="169"/>
        <v>0</v>
      </c>
      <c r="B2988" s="2786" t="s">
        <v>4499</v>
      </c>
      <c r="C2988" s="2842">
        <v>3</v>
      </c>
      <c r="D2988" s="2798"/>
      <c r="E2988" s="2799">
        <v>0</v>
      </c>
      <c r="F2988" s="2800" t="str">
        <f>VLOOKUP($B2988,DG!A:D,DG!$C$2,)</f>
        <v>Dây chảy 10K</v>
      </c>
      <c r="G2988" s="2801" t="str">
        <f>VLOOKUP($B2988,DG!A:D,DG!$D$2,)</f>
        <v>Sợi</v>
      </c>
      <c r="H2988" s="2810">
        <f t="shared" ref="H2988:H2990" si="172">H$2986*$C2988</f>
        <v>3</v>
      </c>
      <c r="I2988" s="2810">
        <f t="shared" si="171"/>
        <v>3</v>
      </c>
      <c r="J2988" s="2810">
        <f t="shared" si="171"/>
        <v>0</v>
      </c>
      <c r="K2988" s="2810">
        <f t="shared" si="171"/>
        <v>0</v>
      </c>
      <c r="L2988" s="2797"/>
      <c r="M2988" s="934" t="s">
        <v>6436</v>
      </c>
    </row>
    <row r="2989" spans="1:13" s="1016" customFormat="1" ht="25.2" hidden="1" customHeight="1">
      <c r="A2989" s="1086">
        <f t="shared" si="169"/>
        <v>0</v>
      </c>
      <c r="B2989" s="2788" t="s">
        <v>1373</v>
      </c>
      <c r="C2989" s="2842">
        <v>3</v>
      </c>
      <c r="D2989" s="2798"/>
      <c r="E2989" s="2799" t="s">
        <v>5602</v>
      </c>
      <c r="F2989" s="2800" t="str">
        <f>VLOOKUP($B2989,DG!A:D,DG!$C$2,)</f>
        <v>Chống sét van LA-18KV-10KA</v>
      </c>
      <c r="G2989" s="2801" t="str">
        <f>VLOOKUP($B2989,DG!A:D,DG!$D$2,)</f>
        <v>cái</v>
      </c>
      <c r="H2989" s="2810">
        <f t="shared" si="172"/>
        <v>3</v>
      </c>
      <c r="I2989" s="2810">
        <f t="shared" si="171"/>
        <v>3</v>
      </c>
      <c r="J2989" s="2810">
        <f t="shared" si="171"/>
        <v>0</v>
      </c>
      <c r="K2989" s="2810">
        <f t="shared" si="171"/>
        <v>0</v>
      </c>
      <c r="L2989" s="2797"/>
      <c r="M2989" s="934" t="s">
        <v>6436</v>
      </c>
    </row>
    <row r="2990" spans="1:13" s="1016" customFormat="1" ht="25.2" hidden="1" customHeight="1">
      <c r="A2990" s="1086">
        <f t="shared" si="169"/>
        <v>0</v>
      </c>
      <c r="B2990" s="2789" t="s">
        <v>1459</v>
      </c>
      <c r="C2990" s="2842">
        <v>1</v>
      </c>
      <c r="D2990" s="2798"/>
      <c r="E2990" s="2799" t="s">
        <v>5688</v>
      </c>
      <c r="F2990" s="2800" t="str">
        <f>VLOOKUP($B2990,DG!A:D,DG!$C$2,)</f>
        <v>MCCB 3 cực 400V -500A - 50KA</v>
      </c>
      <c r="G2990" s="2801" t="str">
        <f>VLOOKUP($B2990,DG!A:D,DG!$D$2,)</f>
        <v>cái</v>
      </c>
      <c r="H2990" s="2810">
        <f t="shared" si="172"/>
        <v>1</v>
      </c>
      <c r="I2990" s="2810">
        <f t="shared" si="171"/>
        <v>1</v>
      </c>
      <c r="J2990" s="2810">
        <f t="shared" si="171"/>
        <v>0</v>
      </c>
      <c r="K2990" s="2810">
        <f t="shared" si="171"/>
        <v>0</v>
      </c>
      <c r="L2990" s="2797"/>
      <c r="M2990" s="934" t="s">
        <v>6436</v>
      </c>
    </row>
    <row r="2991" spans="1:13" s="1016" customFormat="1" ht="25.2" hidden="1" customHeight="1">
      <c r="A2991" s="1086">
        <f t="shared" si="169"/>
        <v>0</v>
      </c>
      <c r="B2991" s="2789" t="s">
        <v>953</v>
      </c>
      <c r="C2991" s="2842">
        <v>0</v>
      </c>
      <c r="D2991" s="2798"/>
      <c r="E2991" s="2799" t="s">
        <v>5685</v>
      </c>
      <c r="F2991" s="2800" t="str">
        <f>VLOOKUP($B2991,DG!A:D,DG!$C$2,)</f>
        <v>MCCB 3 cực 690V - 400A - 50KA</v>
      </c>
      <c r="G2991" s="2801" t="str">
        <f>VLOOKUP($B2991,DG!A:D,DG!$D$2,)</f>
        <v>cái</v>
      </c>
      <c r="H2991" s="2810">
        <f t="shared" ref="H2991:H2994" si="173">H$2985*$C2991</f>
        <v>0</v>
      </c>
      <c r="I2991" s="2810">
        <f t="shared" si="170"/>
        <v>0</v>
      </c>
      <c r="J2991" s="2810">
        <f t="shared" si="170"/>
        <v>0</v>
      </c>
      <c r="K2991" s="2810">
        <f t="shared" si="170"/>
        <v>0</v>
      </c>
      <c r="L2991" s="2797"/>
      <c r="M2991" s="934" t="s">
        <v>6436</v>
      </c>
    </row>
    <row r="2992" spans="1:13" s="1016" customFormat="1" ht="25.2" hidden="1" customHeight="1">
      <c r="A2992" s="1086">
        <f t="shared" si="169"/>
        <v>0</v>
      </c>
      <c r="B2992" s="2789" t="s">
        <v>6437</v>
      </c>
      <c r="C2992" s="2842">
        <v>1</v>
      </c>
      <c r="D2992" s="2798"/>
      <c r="E2992" s="2799" t="s">
        <v>5621</v>
      </c>
      <c r="F2992" s="2800" t="str">
        <f>VLOOKUP($B2992,DG!A:D,DG!$C$2,)</f>
        <v>Tủ tụ bù hạ thế 130kVAr</v>
      </c>
      <c r="G2992" s="2801" t="str">
        <f>VLOOKUP($B2992,DG!A:D,DG!$D$2,)</f>
        <v>tủ</v>
      </c>
      <c r="H2992" s="2810">
        <f t="shared" ref="H2992:H2993" si="174">H$2986*$C2992</f>
        <v>1</v>
      </c>
      <c r="I2992" s="2810">
        <f t="shared" si="171"/>
        <v>1</v>
      </c>
      <c r="J2992" s="2810">
        <f t="shared" si="171"/>
        <v>0</v>
      </c>
      <c r="K2992" s="2810">
        <f t="shared" si="171"/>
        <v>0</v>
      </c>
      <c r="L2992" s="2797"/>
      <c r="M2992" s="934" t="s">
        <v>6436</v>
      </c>
    </row>
    <row r="2993" spans="1:13" s="1016" customFormat="1" ht="25.2" hidden="1" customHeight="1">
      <c r="A2993" s="1086">
        <f t="shared" si="169"/>
        <v>0</v>
      </c>
      <c r="B2993" s="2786" t="s">
        <v>2275</v>
      </c>
      <c r="C2993" s="2842">
        <v>3</v>
      </c>
      <c r="D2993" s="2798"/>
      <c r="E2993" s="2799">
        <v>0</v>
      </c>
      <c r="F2993" s="2800" t="str">
        <f>VLOOKUP($B2993,DG!A:D,DG!$C$2,)</f>
        <v>Biến dòng 600V - 500/5A</v>
      </c>
      <c r="G2993" s="2801" t="str">
        <f>VLOOKUP($B2993,DG!A:D,DG!$D$2,)</f>
        <v>cái</v>
      </c>
      <c r="H2993" s="2810">
        <f t="shared" si="174"/>
        <v>3</v>
      </c>
      <c r="I2993" s="2810">
        <f t="shared" si="171"/>
        <v>3</v>
      </c>
      <c r="J2993" s="2810">
        <f t="shared" si="171"/>
        <v>0</v>
      </c>
      <c r="K2993" s="2810">
        <f t="shared" si="171"/>
        <v>0</v>
      </c>
      <c r="L2993" s="2797"/>
      <c r="M2993" s="934" t="s">
        <v>6436</v>
      </c>
    </row>
    <row r="2994" spans="1:13" s="1016" customFormat="1" ht="25.2" hidden="1" customHeight="1">
      <c r="A2994" s="1086">
        <f t="shared" si="169"/>
        <v>0</v>
      </c>
      <c r="B2994" s="2786" t="s">
        <v>64</v>
      </c>
      <c r="C2994" s="2842">
        <v>0</v>
      </c>
      <c r="D2994" s="2798"/>
      <c r="E2994" s="2799">
        <v>0</v>
      </c>
      <c r="F2994" s="2800" t="str">
        <f>VLOOKUP($B2994,DG!A:D,DG!$C$2,)</f>
        <v>Biến dòng 600V - 600/5A</v>
      </c>
      <c r="G2994" s="2801" t="str">
        <f>VLOOKUP($B2994,DG!A:D,DG!$D$2,)</f>
        <v>cái</v>
      </c>
      <c r="H2994" s="2810">
        <f t="shared" si="173"/>
        <v>0</v>
      </c>
      <c r="I2994" s="2810">
        <f t="shared" si="170"/>
        <v>0</v>
      </c>
      <c r="J2994" s="2810">
        <f t="shared" si="170"/>
        <v>0</v>
      </c>
      <c r="K2994" s="2810">
        <f t="shared" si="170"/>
        <v>0</v>
      </c>
      <c r="L2994" s="2797"/>
      <c r="M2994" s="934" t="s">
        <v>6436</v>
      </c>
    </row>
    <row r="2995" spans="1:13" s="1016" customFormat="1" ht="25.2" hidden="1" customHeight="1">
      <c r="A2995" s="1086">
        <f t="shared" si="169"/>
        <v>0</v>
      </c>
      <c r="B2995" s="2790" t="s">
        <v>1460</v>
      </c>
      <c r="C2995" s="2842">
        <v>1</v>
      </c>
      <c r="D2995" s="2798"/>
      <c r="E2995" s="2799">
        <v>0</v>
      </c>
      <c r="F2995" s="2800" t="str">
        <f>VLOOKUP($B2995,DG!A:D,DG!$C$2,)</f>
        <v>Điện kế 3 pha 4 dây 220/380V-5A</v>
      </c>
      <c r="G2995" s="2801" t="str">
        <f>VLOOKUP($B2995,DG!A:D,DG!$D$2,)</f>
        <v>cái</v>
      </c>
      <c r="H2995" s="2810">
        <f>H$2986*$C2995</f>
        <v>1</v>
      </c>
      <c r="I2995" s="2810">
        <f t="shared" si="171"/>
        <v>1</v>
      </c>
      <c r="J2995" s="2810">
        <f t="shared" si="171"/>
        <v>0</v>
      </c>
      <c r="K2995" s="2810">
        <f t="shared" si="171"/>
        <v>0</v>
      </c>
      <c r="L2995" s="2797"/>
      <c r="M2995" s="934" t="s">
        <v>6436</v>
      </c>
    </row>
    <row r="2996" spans="1:13" s="1016" customFormat="1" ht="25.2" hidden="1" customHeight="1">
      <c r="A2996" s="1086">
        <f t="shared" si="169"/>
        <v>0</v>
      </c>
      <c r="B2996" s="1087"/>
      <c r="C2996" s="2842"/>
      <c r="D2996" s="2794"/>
      <c r="E2996" s="2794"/>
      <c r="F2996" s="2794" t="s">
        <v>3673</v>
      </c>
      <c r="G2996" s="2794"/>
      <c r="H2996" s="2802"/>
      <c r="I2996" s="2796">
        <v>1</v>
      </c>
      <c r="J2996" s="2795"/>
      <c r="K2996" s="2795"/>
      <c r="L2996" s="2797"/>
      <c r="M2996" s="934" t="s">
        <v>6436</v>
      </c>
    </row>
    <row r="2997" spans="1:13" s="1016" customFormat="1" ht="25.2" hidden="1" customHeight="1">
      <c r="A2997" s="1086">
        <f t="shared" si="169"/>
        <v>0</v>
      </c>
      <c r="B2997" s="1087" t="s">
        <v>301</v>
      </c>
      <c r="C2997" s="2842"/>
      <c r="D2997" s="2803"/>
      <c r="E2997" s="2804"/>
      <c r="F2997" s="2805" t="str">
        <f>VLOOKUP($B2997,DG!A:D,DG!$C$2,)</f>
        <v>Trụ bê tông ly tâm 12m trồng thủ công+cơ giới</v>
      </c>
      <c r="G2997" s="2806" t="str">
        <f>VLOOKUP($B2997,DG!A:D,DG!$D$2,)</f>
        <v>Trụ</v>
      </c>
      <c r="H2997" s="2807">
        <v>2</v>
      </c>
      <c r="I2997" s="2808">
        <f>H2997</f>
        <v>2</v>
      </c>
      <c r="J2997" s="2818"/>
      <c r="K2997" s="2818"/>
      <c r="L2997" s="2797"/>
      <c r="M2997" s="934" t="s">
        <v>6436</v>
      </c>
    </row>
    <row r="2998" spans="1:13" s="1016" customFormat="1" ht="25.2" hidden="1" customHeight="1">
      <c r="A2998" s="1086">
        <f t="shared" si="169"/>
        <v>0</v>
      </c>
      <c r="B2998" s="2791" t="s">
        <v>115</v>
      </c>
      <c r="C2998" s="2842">
        <v>1</v>
      </c>
      <c r="D2998" s="2798"/>
      <c r="E2998" s="2809"/>
      <c r="F2998" s="2800" t="str">
        <f>VLOOKUP($B2998,DG!A:D,DG!$C$2,)</f>
        <v>Trụ BTLT 12m F540 dự ứng lực</v>
      </c>
      <c r="G2998" s="2801" t="str">
        <f>VLOOKUP($B2998,DG!A:D,DG!$D$2,)</f>
        <v>trụ</v>
      </c>
      <c r="H2998" s="2810">
        <f>H$2997*$C2998</f>
        <v>2</v>
      </c>
      <c r="I2998" s="2810">
        <f t="shared" ref="I2998:K2998" si="175">I$2997*$C2998</f>
        <v>2</v>
      </c>
      <c r="J2998" s="2810">
        <f t="shared" si="175"/>
        <v>0</v>
      </c>
      <c r="K2998" s="2810">
        <f t="shared" si="175"/>
        <v>0</v>
      </c>
      <c r="L2998" s="2797"/>
      <c r="M2998" s="934" t="s">
        <v>6436</v>
      </c>
    </row>
    <row r="2999" spans="1:13" s="1016" customFormat="1" ht="25.2" hidden="1" customHeight="1">
      <c r="A2999" s="1086">
        <f t="shared" si="169"/>
        <v>0</v>
      </c>
      <c r="B2999" s="2791" t="s">
        <v>1814</v>
      </c>
      <c r="C2999" s="2842">
        <v>1</v>
      </c>
      <c r="D2999" s="2798"/>
      <c r="E2999" s="2809"/>
      <c r="F2999" s="2800" t="str">
        <f>VLOOKUP($B2999,DG!A:D,DG!$C$2,)</f>
        <v>Vật liệu dựng trụ</v>
      </c>
      <c r="G2999" s="2801" t="str">
        <f>VLOOKUP($B2999,DG!A:D,DG!$D$2,)</f>
        <v>trụ</v>
      </c>
      <c r="H2999" s="2810">
        <f t="shared" ref="H2999:K3000" si="176">H$2997*$C2999</f>
        <v>2</v>
      </c>
      <c r="I2999" s="2810">
        <f t="shared" si="176"/>
        <v>2</v>
      </c>
      <c r="J2999" s="2810">
        <f t="shared" si="176"/>
        <v>0</v>
      </c>
      <c r="K2999" s="2810">
        <f t="shared" si="176"/>
        <v>0</v>
      </c>
      <c r="L2999" s="2797"/>
      <c r="M2999" s="934" t="s">
        <v>6436</v>
      </c>
    </row>
    <row r="3000" spans="1:13" s="1016" customFormat="1" ht="25.2" hidden="1" customHeight="1">
      <c r="A3000" s="1086">
        <f t="shared" si="169"/>
        <v>0</v>
      </c>
      <c r="B3000" s="2791" t="s">
        <v>643</v>
      </c>
      <c r="C3000" s="2842">
        <v>1</v>
      </c>
      <c r="D3000" s="2798"/>
      <c r="E3000" s="2809">
        <v>4.9203000000000001</v>
      </c>
      <c r="F3000" s="2800" t="str">
        <f>VLOOKUP($B3000,DG!A:D,DG!$C$2,)</f>
        <v>Dựng trụ BTLT 12m trong TBA bằng thủ công + cơ giới</v>
      </c>
      <c r="G3000" s="2801" t="str">
        <f>VLOOKUP($B3000,DG!A:D,DG!$D$2,)</f>
        <v>trụ</v>
      </c>
      <c r="H3000" s="2810">
        <f t="shared" si="176"/>
        <v>2</v>
      </c>
      <c r="I3000" s="2810">
        <f t="shared" si="176"/>
        <v>2</v>
      </c>
      <c r="J3000" s="2810">
        <f t="shared" si="176"/>
        <v>0</v>
      </c>
      <c r="K3000" s="2810">
        <f t="shared" si="176"/>
        <v>0</v>
      </c>
      <c r="L3000" s="2797"/>
      <c r="M3000" s="934" t="s">
        <v>6436</v>
      </c>
    </row>
    <row r="3001" spans="1:13" s="1016" customFormat="1" ht="25.2" hidden="1" customHeight="1">
      <c r="A3001" s="1086">
        <f t="shared" si="169"/>
        <v>0</v>
      </c>
      <c r="B3001" s="1087" t="s">
        <v>2306</v>
      </c>
      <c r="C3001" s="2842"/>
      <c r="D3001" s="2803"/>
      <c r="E3001" s="2804"/>
      <c r="F3001" s="2805" t="str">
        <f>VLOOKUP($B3001,DG!A:D,DG!$C$2,)</f>
        <v>Móng bê tông trụ đôi 12m</v>
      </c>
      <c r="G3001" s="2806" t="str">
        <f>VLOOKUP($B3001,DG!A:D,DG!$D$2,)</f>
        <v>Móng</v>
      </c>
      <c r="H3001" s="2807">
        <v>1</v>
      </c>
      <c r="I3001" s="2811">
        <f>H3001</f>
        <v>1</v>
      </c>
      <c r="J3001" s="2818"/>
      <c r="K3001" s="2818"/>
      <c r="L3001" s="2797"/>
      <c r="M3001" s="934" t="s">
        <v>6436</v>
      </c>
    </row>
    <row r="3002" spans="1:13" s="1016" customFormat="1" ht="25.2" hidden="1" customHeight="1">
      <c r="A3002" s="1086">
        <f t="shared" si="169"/>
        <v>0</v>
      </c>
      <c r="B3002" s="1087" t="s">
        <v>751</v>
      </c>
      <c r="C3002" s="2842">
        <v>252.2</v>
      </c>
      <c r="D3002" s="2798"/>
      <c r="E3002" s="2809"/>
      <c r="F3002" s="2800" t="str">
        <f>VLOOKUP($B3002,DG!A:D,DG!$C$2,)</f>
        <v>Ximăng (PC40)</v>
      </c>
      <c r="G3002" s="2801" t="str">
        <f>VLOOKUP($B3002,DG!A:D,DG!$D$2,)</f>
        <v>kg</v>
      </c>
      <c r="H3002" s="2810">
        <f>H$3001*$C3002</f>
        <v>252.2</v>
      </c>
      <c r="I3002" s="2810">
        <f t="shared" ref="I3002:K3002" si="177">I$3001*$C3002</f>
        <v>252.2</v>
      </c>
      <c r="J3002" s="2810">
        <f t="shared" si="177"/>
        <v>0</v>
      </c>
      <c r="K3002" s="2810">
        <f t="shared" si="177"/>
        <v>0</v>
      </c>
      <c r="L3002" s="2797"/>
      <c r="M3002" s="934" t="s">
        <v>6436</v>
      </c>
    </row>
    <row r="3003" spans="1:13" s="1016" customFormat="1" ht="25.2" hidden="1" customHeight="1">
      <c r="A3003" s="1086">
        <f t="shared" si="169"/>
        <v>0</v>
      </c>
      <c r="B3003" s="1087" t="s">
        <v>4408</v>
      </c>
      <c r="C3003" s="2842">
        <v>0.50700000000000001</v>
      </c>
      <c r="D3003" s="2798"/>
      <c r="E3003" s="2809"/>
      <c r="F3003" s="2800" t="str">
        <f>VLOOKUP($B3003,DG!A:D,DG!$C$2,)</f>
        <v>Cát vàng</v>
      </c>
      <c r="G3003" s="2801" t="str">
        <f>VLOOKUP($B3003,DG!A:D,DG!$D$2,)</f>
        <v>m3</v>
      </c>
      <c r="H3003" s="2810">
        <f t="shared" ref="H3003:K3006" si="178">H$3001*$C3003</f>
        <v>0.50700000000000001</v>
      </c>
      <c r="I3003" s="2810">
        <f t="shared" si="178"/>
        <v>0.50700000000000001</v>
      </c>
      <c r="J3003" s="2810">
        <f t="shared" si="178"/>
        <v>0</v>
      </c>
      <c r="K3003" s="2810">
        <f t="shared" si="178"/>
        <v>0</v>
      </c>
      <c r="L3003" s="2797"/>
      <c r="M3003" s="934" t="s">
        <v>6436</v>
      </c>
    </row>
    <row r="3004" spans="1:13" s="1016" customFormat="1" ht="25.2" hidden="1" customHeight="1">
      <c r="A3004" s="1086">
        <f t="shared" si="169"/>
        <v>0</v>
      </c>
      <c r="B3004" s="1087" t="s">
        <v>867</v>
      </c>
      <c r="C3004" s="2842">
        <v>0.91300000000000003</v>
      </c>
      <c r="D3004" s="2798"/>
      <c r="E3004" s="2809"/>
      <c r="F3004" s="2800" t="str">
        <f>VLOOKUP($B3004,DG!A:D,DG!$C$2,)</f>
        <v>Đá 1x2</v>
      </c>
      <c r="G3004" s="2801" t="str">
        <f>VLOOKUP($B3004,DG!A:D,DG!$D$2,)</f>
        <v>m3</v>
      </c>
      <c r="H3004" s="2810">
        <f t="shared" si="178"/>
        <v>0.91300000000000003</v>
      </c>
      <c r="I3004" s="2810">
        <f t="shared" si="178"/>
        <v>0.91300000000000003</v>
      </c>
      <c r="J3004" s="2810">
        <f t="shared" si="178"/>
        <v>0</v>
      </c>
      <c r="K3004" s="2810">
        <f t="shared" si="178"/>
        <v>0</v>
      </c>
      <c r="L3004" s="2797"/>
      <c r="M3004" s="934" t="s">
        <v>6436</v>
      </c>
    </row>
    <row r="3005" spans="1:13" s="1016" customFormat="1" ht="25.2" hidden="1" customHeight="1">
      <c r="A3005" s="1086">
        <f t="shared" si="169"/>
        <v>0</v>
      </c>
      <c r="B3005" s="1087" t="s">
        <v>639</v>
      </c>
      <c r="C3005" s="2842">
        <v>0.193</v>
      </c>
      <c r="D3005" s="2798"/>
      <c r="E3005" s="2809"/>
      <c r="F3005" s="2800" t="str">
        <f>VLOOKUP($B3005,DG!A:D,DG!$C$2,)</f>
        <v>Đào hố móng đất cấp 3 sâu &gt;1m</v>
      </c>
      <c r="G3005" s="2801" t="str">
        <f>VLOOKUP($B3005,DG!A:D,DG!$D$2,)</f>
        <v>m3</v>
      </c>
      <c r="H3005" s="2810">
        <f t="shared" si="178"/>
        <v>0.193</v>
      </c>
      <c r="I3005" s="2810">
        <f t="shared" si="178"/>
        <v>0.193</v>
      </c>
      <c r="J3005" s="2810">
        <f t="shared" si="178"/>
        <v>0</v>
      </c>
      <c r="K3005" s="2810">
        <f t="shared" si="178"/>
        <v>0</v>
      </c>
      <c r="L3005" s="2797"/>
      <c r="M3005" s="934" t="s">
        <v>6436</v>
      </c>
    </row>
    <row r="3006" spans="1:13" s="1016" customFormat="1" ht="25.2" hidden="1" customHeight="1">
      <c r="A3006" s="1086">
        <f t="shared" si="169"/>
        <v>0</v>
      </c>
      <c r="B3006" s="1087" t="s">
        <v>1835</v>
      </c>
      <c r="C3006" s="2842">
        <v>1.1339999999999999</v>
      </c>
      <c r="D3006" s="2798"/>
      <c r="E3006" s="2809"/>
      <c r="F3006" s="2800" t="str">
        <f>VLOOKUP($B3006,DG!A:D,DG!$C$2,)</f>
        <v>Đổ bê tông mác M150 đá 1x2</v>
      </c>
      <c r="G3006" s="2801" t="str">
        <f>VLOOKUP($B3006,DG!A:D,DG!$D$2,)</f>
        <v>m3</v>
      </c>
      <c r="H3006" s="2810">
        <f t="shared" si="178"/>
        <v>1.1339999999999999</v>
      </c>
      <c r="I3006" s="2810">
        <f t="shared" si="178"/>
        <v>1.1339999999999999</v>
      </c>
      <c r="J3006" s="2810">
        <f t="shared" si="178"/>
        <v>0</v>
      </c>
      <c r="K3006" s="2810">
        <f t="shared" si="178"/>
        <v>0</v>
      </c>
      <c r="L3006" s="2797"/>
      <c r="M3006" s="934" t="s">
        <v>6436</v>
      </c>
    </row>
    <row r="3007" spans="1:13" s="1067" customFormat="1" ht="25.2" hidden="1" customHeight="1">
      <c r="A3007" s="2701">
        <f t="shared" si="169"/>
        <v>0</v>
      </c>
      <c r="B3007" s="2702" t="s">
        <v>6454</v>
      </c>
      <c r="C3007" s="2877"/>
      <c r="D3007" s="2821"/>
      <c r="E3007" s="2822"/>
      <c r="F3007" s="2812" t="s">
        <v>3714</v>
      </c>
      <c r="G3007" s="2806" t="s">
        <v>2385</v>
      </c>
      <c r="H3007" s="2807">
        <v>1</v>
      </c>
      <c r="I3007" s="2808">
        <f>H3007</f>
        <v>1</v>
      </c>
      <c r="J3007" s="2819"/>
      <c r="K3007" s="2819"/>
      <c r="L3007" s="2817"/>
      <c r="M3007" s="1033" t="s">
        <v>6436</v>
      </c>
    </row>
    <row r="3008" spans="1:13" s="1016" customFormat="1" ht="25.2" hidden="1" customHeight="1">
      <c r="A3008" s="1086">
        <f t="shared" si="169"/>
        <v>0</v>
      </c>
      <c r="B3008" s="1087" t="s">
        <v>4829</v>
      </c>
      <c r="C3008" s="2700">
        <v>2</v>
      </c>
      <c r="D3008" s="2798"/>
      <c r="E3008" s="2809"/>
      <c r="F3008" s="2800" t="str">
        <f>VLOOKUP($B3008,DG!A:D,DG!$C$2,)</f>
        <v>Đà U100x46x4.5x500</v>
      </c>
      <c r="G3008" s="2801" t="str">
        <f>VLOOKUP($B3008,DG!A:D,DG!$D$2,)</f>
        <v>cái</v>
      </c>
      <c r="H3008" s="2810">
        <f>H$3007*$C3008</f>
        <v>2</v>
      </c>
      <c r="I3008" s="2810">
        <f t="shared" ref="I3008:K3020" si="179">I$3007*$C3008</f>
        <v>2</v>
      </c>
      <c r="J3008" s="2810">
        <f t="shared" si="179"/>
        <v>0</v>
      </c>
      <c r="K3008" s="2810">
        <f t="shared" si="179"/>
        <v>0</v>
      </c>
      <c r="L3008" s="2797"/>
      <c r="M3008" s="934" t="s">
        <v>6436</v>
      </c>
    </row>
    <row r="3009" spans="1:13" s="1016" customFormat="1" ht="25.2" hidden="1" customHeight="1">
      <c r="A3009" s="1086">
        <f t="shared" si="169"/>
        <v>0</v>
      </c>
      <c r="B3009" s="1087" t="s">
        <v>4830</v>
      </c>
      <c r="C3009" s="2700">
        <v>3</v>
      </c>
      <c r="D3009" s="2798"/>
      <c r="E3009" s="2809"/>
      <c r="F3009" s="2800" t="str">
        <f>VLOOKUP($B3009,DG!A:D,DG!$C$2,)</f>
        <v>Đà U100x46x4.5x700</v>
      </c>
      <c r="G3009" s="2801" t="str">
        <f>VLOOKUP($B3009,DG!A:D,DG!$D$2,)</f>
        <v>cái</v>
      </c>
      <c r="H3009" s="2810">
        <f t="shared" ref="H3009:H3020" si="180">H$3007*$C3009</f>
        <v>3</v>
      </c>
      <c r="I3009" s="2810">
        <f t="shared" si="179"/>
        <v>3</v>
      </c>
      <c r="J3009" s="2810">
        <f t="shared" si="179"/>
        <v>0</v>
      </c>
      <c r="K3009" s="2810">
        <f t="shared" si="179"/>
        <v>0</v>
      </c>
      <c r="L3009" s="2797"/>
      <c r="M3009" s="934" t="s">
        <v>6436</v>
      </c>
    </row>
    <row r="3010" spans="1:13" s="1016" customFormat="1" ht="25.2" hidden="1" customHeight="1">
      <c r="A3010" s="1086">
        <f t="shared" si="169"/>
        <v>0</v>
      </c>
      <c r="B3010" s="1087" t="s">
        <v>4831</v>
      </c>
      <c r="C3010" s="2700">
        <v>1</v>
      </c>
      <c r="D3010" s="2798"/>
      <c r="E3010" s="2809"/>
      <c r="F3010" s="2800" t="str">
        <f>VLOOKUP($B3010,DG!A:D,DG!$C$2,)</f>
        <v>Đà U100x68x5x740</v>
      </c>
      <c r="G3010" s="2801" t="str">
        <f>VLOOKUP($B3010,DG!A:D,DG!$D$2,)</f>
        <v>cái</v>
      </c>
      <c r="H3010" s="2810">
        <f t="shared" si="180"/>
        <v>1</v>
      </c>
      <c r="I3010" s="2810">
        <f t="shared" si="179"/>
        <v>1</v>
      </c>
      <c r="J3010" s="2810">
        <f t="shared" si="179"/>
        <v>0</v>
      </c>
      <c r="K3010" s="2810">
        <f t="shared" si="179"/>
        <v>0</v>
      </c>
      <c r="L3010" s="2797"/>
      <c r="M3010" s="934" t="s">
        <v>6436</v>
      </c>
    </row>
    <row r="3011" spans="1:13" s="1016" customFormat="1" ht="25.2" hidden="1" customHeight="1">
      <c r="A3011" s="1086">
        <f t="shared" si="169"/>
        <v>0</v>
      </c>
      <c r="B3011" s="1087" t="s">
        <v>4832</v>
      </c>
      <c r="C3011" s="2700">
        <v>4</v>
      </c>
      <c r="D3011" s="2798"/>
      <c r="E3011" s="2809"/>
      <c r="F3011" s="2800" t="str">
        <f>VLOOKUP($B3011,DG!A:D,DG!$C$2,)</f>
        <v>Đà U100x68x5x1100</v>
      </c>
      <c r="G3011" s="2801" t="str">
        <f>VLOOKUP($B3011,DG!A:D,DG!$D$2,)</f>
        <v>cái</v>
      </c>
      <c r="H3011" s="2810">
        <f t="shared" si="180"/>
        <v>4</v>
      </c>
      <c r="I3011" s="2810">
        <f t="shared" si="179"/>
        <v>4</v>
      </c>
      <c r="J3011" s="2810">
        <f t="shared" si="179"/>
        <v>0</v>
      </c>
      <c r="K3011" s="2810">
        <f t="shared" si="179"/>
        <v>0</v>
      </c>
      <c r="L3011" s="2797"/>
      <c r="M3011" s="934" t="s">
        <v>6436</v>
      </c>
    </row>
    <row r="3012" spans="1:13" s="1016" customFormat="1" ht="25.2" hidden="1" customHeight="1">
      <c r="A3012" s="1086">
        <f t="shared" si="169"/>
        <v>0</v>
      </c>
      <c r="B3012" s="1087" t="s">
        <v>4833</v>
      </c>
      <c r="C3012" s="2700">
        <v>1</v>
      </c>
      <c r="D3012" s="2798"/>
      <c r="E3012" s="2809"/>
      <c r="F3012" s="2800" t="str">
        <f>VLOOKUP($B3012,DG!A:D,DG!$C$2,)</f>
        <v>Đà U100x68x5x1449</v>
      </c>
      <c r="G3012" s="2801" t="str">
        <f>VLOOKUP($B3012,DG!A:D,DG!$D$2,)</f>
        <v>cái</v>
      </c>
      <c r="H3012" s="2810">
        <f t="shared" si="180"/>
        <v>1</v>
      </c>
      <c r="I3012" s="2810">
        <f t="shared" si="179"/>
        <v>1</v>
      </c>
      <c r="J3012" s="2810">
        <f t="shared" si="179"/>
        <v>0</v>
      </c>
      <c r="K3012" s="2810">
        <f t="shared" si="179"/>
        <v>0</v>
      </c>
      <c r="L3012" s="2797"/>
      <c r="M3012" s="934" t="s">
        <v>6436</v>
      </c>
    </row>
    <row r="3013" spans="1:13" s="1016" customFormat="1" ht="25.2" hidden="1" customHeight="1">
      <c r="A3013" s="1086">
        <f t="shared" ref="A3013:A3076" si="181">IF(AND(M3013=$M$23,I3013&gt;0),1,0)</f>
        <v>0</v>
      </c>
      <c r="B3013" s="1087" t="s">
        <v>4834</v>
      </c>
      <c r="C3013" s="2700">
        <v>2</v>
      </c>
      <c r="D3013" s="2798"/>
      <c r="E3013" s="2809"/>
      <c r="F3013" s="2800" t="str">
        <f>VLOOKUP($B3013,DG!A:D,DG!$C$2,)</f>
        <v>Đà U100x68x5x1700</v>
      </c>
      <c r="G3013" s="2801" t="str">
        <f>VLOOKUP($B3013,DG!A:D,DG!$D$2,)</f>
        <v>cái</v>
      </c>
      <c r="H3013" s="2810">
        <f t="shared" si="180"/>
        <v>2</v>
      </c>
      <c r="I3013" s="2810">
        <f t="shared" si="179"/>
        <v>2</v>
      </c>
      <c r="J3013" s="2810">
        <f t="shared" si="179"/>
        <v>0</v>
      </c>
      <c r="K3013" s="2810">
        <f t="shared" si="179"/>
        <v>0</v>
      </c>
      <c r="L3013" s="2797"/>
      <c r="M3013" s="934" t="s">
        <v>6436</v>
      </c>
    </row>
    <row r="3014" spans="1:13" s="1016" customFormat="1" ht="25.2" hidden="1" customHeight="1">
      <c r="A3014" s="1086">
        <f t="shared" si="181"/>
        <v>0</v>
      </c>
      <c r="B3014" s="1087" t="s">
        <v>4835</v>
      </c>
      <c r="C3014" s="2700">
        <v>2</v>
      </c>
      <c r="D3014" s="2798"/>
      <c r="E3014" s="2809"/>
      <c r="F3014" s="2800" t="str">
        <f>VLOOKUP($B3014,DG!A:D,DG!$C$2,)</f>
        <v>Đà U100x68x5x2100</v>
      </c>
      <c r="G3014" s="2801" t="str">
        <f>VLOOKUP($B3014,DG!A:D,DG!$D$2,)</f>
        <v>cái</v>
      </c>
      <c r="H3014" s="2810">
        <f t="shared" si="180"/>
        <v>2</v>
      </c>
      <c r="I3014" s="2810">
        <f t="shared" si="179"/>
        <v>2</v>
      </c>
      <c r="J3014" s="2810">
        <f t="shared" si="179"/>
        <v>0</v>
      </c>
      <c r="K3014" s="2810">
        <f t="shared" si="179"/>
        <v>0</v>
      </c>
      <c r="L3014" s="2797"/>
      <c r="M3014" s="934" t="s">
        <v>6436</v>
      </c>
    </row>
    <row r="3015" spans="1:13" s="1016" customFormat="1" ht="25.2" hidden="1" customHeight="1">
      <c r="A3015" s="1086">
        <f t="shared" si="181"/>
        <v>0</v>
      </c>
      <c r="B3015" s="1087" t="s">
        <v>1786</v>
      </c>
      <c r="C3015" s="2842">
        <v>24</v>
      </c>
      <c r="D3015" s="2798"/>
      <c r="E3015" s="2809"/>
      <c r="F3015" s="2800" t="str">
        <f>VLOOKUP($B3015,DG!A:D,DG!$C$2,)</f>
        <v>Boulon 16x50+ 2 long đền vuông D18-50x50x3/Zn</v>
      </c>
      <c r="G3015" s="2801" t="str">
        <f>VLOOKUP($B3015,DG!A:D,DG!$D$2,)</f>
        <v>bộ</v>
      </c>
      <c r="H3015" s="2810">
        <f t="shared" si="180"/>
        <v>24</v>
      </c>
      <c r="I3015" s="2810">
        <f t="shared" si="179"/>
        <v>24</v>
      </c>
      <c r="J3015" s="2810">
        <f t="shared" si="179"/>
        <v>0</v>
      </c>
      <c r="K3015" s="2810">
        <f t="shared" si="179"/>
        <v>0</v>
      </c>
      <c r="L3015" s="2797"/>
      <c r="M3015" s="934" t="s">
        <v>6436</v>
      </c>
    </row>
    <row r="3016" spans="1:13" s="1016" customFormat="1" ht="25.2" hidden="1" customHeight="1">
      <c r="A3016" s="1086">
        <f t="shared" si="181"/>
        <v>0</v>
      </c>
      <c r="B3016" s="1087" t="s">
        <v>137</v>
      </c>
      <c r="C3016" s="2842">
        <v>4</v>
      </c>
      <c r="D3016" s="2798"/>
      <c r="E3016" s="2809"/>
      <c r="F3016" s="2800" t="str">
        <f>VLOOKUP($B3016,DG!A:D,DG!$C$2,)</f>
        <v>Boulon 16x200+ 2 long đền vuông D18-50x50x3/Zn</v>
      </c>
      <c r="G3016" s="2801" t="str">
        <f>VLOOKUP($B3016,DG!A:D,DG!$D$2,)</f>
        <v>bộ</v>
      </c>
      <c r="H3016" s="2810">
        <f t="shared" si="180"/>
        <v>4</v>
      </c>
      <c r="I3016" s="2810">
        <f t="shared" si="179"/>
        <v>4</v>
      </c>
      <c r="J3016" s="2810">
        <f t="shared" si="179"/>
        <v>0</v>
      </c>
      <c r="K3016" s="2810">
        <f t="shared" si="179"/>
        <v>0</v>
      </c>
      <c r="L3016" s="2797"/>
      <c r="M3016" s="934" t="s">
        <v>6436</v>
      </c>
    </row>
    <row r="3017" spans="1:13" s="1016" customFormat="1" ht="25.2" hidden="1" customHeight="1">
      <c r="A3017" s="1086">
        <f t="shared" si="181"/>
        <v>0</v>
      </c>
      <c r="B3017" s="1087" t="s">
        <v>4837</v>
      </c>
      <c r="C3017" s="2842">
        <v>4</v>
      </c>
      <c r="D3017" s="2798"/>
      <c r="E3017" s="2809"/>
      <c r="F3017" s="2800" t="str">
        <f>VLOOKUP($B3017,DG!A:D,DG!$C$2,)</f>
        <v>Boulon 16x350VRS+ 4 long đền vuông D18-50x50x3/Zn</v>
      </c>
      <c r="G3017" s="2801" t="str">
        <f>VLOOKUP($B3017,DG!A:D,DG!$D$2,)</f>
        <v>bộ</v>
      </c>
      <c r="H3017" s="2810">
        <f t="shared" si="180"/>
        <v>4</v>
      </c>
      <c r="I3017" s="2810">
        <f t="shared" si="179"/>
        <v>4</v>
      </c>
      <c r="J3017" s="2810">
        <f t="shared" si="179"/>
        <v>0</v>
      </c>
      <c r="K3017" s="2810">
        <f t="shared" si="179"/>
        <v>0</v>
      </c>
      <c r="L3017" s="2797"/>
      <c r="M3017" s="934" t="s">
        <v>6436</v>
      </c>
    </row>
    <row r="3018" spans="1:13" s="1016" customFormat="1" ht="25.2" hidden="1" customHeight="1">
      <c r="A3018" s="1086">
        <f t="shared" si="181"/>
        <v>0</v>
      </c>
      <c r="B3018" s="1087" t="s">
        <v>4836</v>
      </c>
      <c r="C3018" s="2842">
        <v>6</v>
      </c>
      <c r="D3018" s="2798"/>
      <c r="E3018" s="2809"/>
      <c r="F3018" s="2800" t="str">
        <f>VLOOKUP($B3018,DG!A:D,DG!$C$2,)</f>
        <v>Boulon 16x750VRS+ 4 long đền vuông D18-50x50x3/Zn</v>
      </c>
      <c r="G3018" s="2801" t="str">
        <f>VLOOKUP($B3018,DG!A:D,DG!$D$2,)</f>
        <v>bộ</v>
      </c>
      <c r="H3018" s="2810">
        <f t="shared" si="180"/>
        <v>6</v>
      </c>
      <c r="I3018" s="2810">
        <f t="shared" si="179"/>
        <v>6</v>
      </c>
      <c r="J3018" s="2810">
        <f t="shared" si="179"/>
        <v>0</v>
      </c>
      <c r="K3018" s="2810">
        <f t="shared" si="179"/>
        <v>0</v>
      </c>
      <c r="L3018" s="2797"/>
      <c r="M3018" s="934" t="s">
        <v>6436</v>
      </c>
    </row>
    <row r="3019" spans="1:13" s="1016" customFormat="1" ht="25.2" hidden="1" customHeight="1">
      <c r="A3019" s="1086">
        <f t="shared" si="181"/>
        <v>0</v>
      </c>
      <c r="B3019" s="1087" t="s">
        <v>4838</v>
      </c>
      <c r="C3019" s="2842">
        <v>4</v>
      </c>
      <c r="D3019" s="2798"/>
      <c r="E3019" s="2809"/>
      <c r="F3019" s="2800" t="str">
        <f>VLOOKUP($B3019,DG!A:D,DG!$C$2,)</f>
        <v>Boulon 16x800VRS+ 4 long đền vuông D18-50x50x3/Zn</v>
      </c>
      <c r="G3019" s="2801" t="str">
        <f>VLOOKUP($B3019,DG!A:D,DG!$D$2,)</f>
        <v>bộ</v>
      </c>
      <c r="H3019" s="2810">
        <f t="shared" si="180"/>
        <v>4</v>
      </c>
      <c r="I3019" s="2810">
        <f t="shared" si="179"/>
        <v>4</v>
      </c>
      <c r="J3019" s="2810">
        <f t="shared" si="179"/>
        <v>0</v>
      </c>
      <c r="K3019" s="2810">
        <f t="shared" si="179"/>
        <v>0</v>
      </c>
      <c r="L3019" s="2797"/>
      <c r="M3019" s="934" t="s">
        <v>6436</v>
      </c>
    </row>
    <row r="3020" spans="1:13" s="1016" customFormat="1" ht="25.2" hidden="1" customHeight="1">
      <c r="A3020" s="1086">
        <f t="shared" si="181"/>
        <v>0</v>
      </c>
      <c r="B3020" s="1087" t="s">
        <v>2242</v>
      </c>
      <c r="C3020" s="2842">
        <v>0.24</v>
      </c>
      <c r="D3020" s="2798"/>
      <c r="E3020" s="2809"/>
      <c r="F3020" s="2800" t="str">
        <f>VLOOKUP($B3020,DG!A:D,DG!$C$2,)</f>
        <v>Lắp xà cột Pi loại ≤140kg/xà</v>
      </c>
      <c r="G3020" s="2801" t="s">
        <v>2442</v>
      </c>
      <c r="H3020" s="2810">
        <f t="shared" si="180"/>
        <v>0.24</v>
      </c>
      <c r="I3020" s="2810">
        <f t="shared" si="179"/>
        <v>0.24</v>
      </c>
      <c r="J3020" s="2810">
        <f t="shared" si="179"/>
        <v>0</v>
      </c>
      <c r="K3020" s="2810">
        <f t="shared" si="179"/>
        <v>0</v>
      </c>
      <c r="L3020" s="2797"/>
      <c r="M3020" s="934" t="s">
        <v>6436</v>
      </c>
    </row>
    <row r="3021" spans="1:13" s="1016" customFormat="1" ht="25.2" hidden="1" customHeight="1">
      <c r="A3021" s="1086">
        <f t="shared" si="181"/>
        <v>0</v>
      </c>
      <c r="B3021" s="1087" t="s">
        <v>6414</v>
      </c>
      <c r="C3021" s="2842"/>
      <c r="D3021" s="2803"/>
      <c r="E3021" s="2804"/>
      <c r="F3021" s="2805" t="str">
        <f>VLOOKUP($B3021,DG!A:D,DG!$C$2,)</f>
        <v>Đà đơn Composite 2400 bắt FCO + LA</v>
      </c>
      <c r="G3021" s="2806" t="str">
        <f>VLOOKUP($B3021,DG!A:D,DG!$D$2,)</f>
        <v>Bộ</v>
      </c>
      <c r="H3021" s="2807">
        <v>1</v>
      </c>
      <c r="I3021" s="2808">
        <v>1</v>
      </c>
      <c r="J3021" s="2818"/>
      <c r="K3021" s="2818"/>
      <c r="L3021" s="2797"/>
      <c r="M3021" s="934" t="s">
        <v>6436</v>
      </c>
    </row>
    <row r="3022" spans="1:13" s="1016" customFormat="1" ht="25.2" hidden="1" customHeight="1">
      <c r="A3022" s="1086">
        <f t="shared" si="181"/>
        <v>0</v>
      </c>
      <c r="B3022" s="1087" t="s">
        <v>4328</v>
      </c>
      <c r="C3022" s="2842">
        <v>1</v>
      </c>
      <c r="D3022" s="2798"/>
      <c r="E3022" s="2809"/>
      <c r="F3022" s="2800" t="str">
        <f>VLOOKUP($B3022,DG!A:D,DG!$C$2,)</f>
        <v>Xà composite 110x800x5 dài 2,4m</v>
      </c>
      <c r="G3022" s="2801" t="str">
        <f>VLOOKUP($B3022,DG!A:D,DG!$D$2,)</f>
        <v>cái</v>
      </c>
      <c r="H3022" s="2810">
        <f t="shared" ref="H3022:K3027" si="182">H$3021*$C3022</f>
        <v>1</v>
      </c>
      <c r="I3022" s="2810">
        <f t="shared" si="182"/>
        <v>1</v>
      </c>
      <c r="J3022" s="2810">
        <f t="shared" si="182"/>
        <v>0</v>
      </c>
      <c r="K3022" s="2810">
        <f t="shared" si="182"/>
        <v>0</v>
      </c>
      <c r="L3022" s="2797"/>
      <c r="M3022" s="934" t="s">
        <v>6436</v>
      </c>
    </row>
    <row r="3023" spans="1:13" s="1016" customFormat="1" ht="25.2" hidden="1" customHeight="1">
      <c r="A3023" s="1086">
        <f t="shared" si="181"/>
        <v>0</v>
      </c>
      <c r="B3023" s="1087" t="s">
        <v>365</v>
      </c>
      <c r="C3023" s="2842">
        <v>2</v>
      </c>
      <c r="D3023" s="2798"/>
      <c r="E3023" s="2809"/>
      <c r="F3023" s="2800" t="str">
        <f>VLOOKUP($B3023,DG!A:D,DG!$C$2,)</f>
        <v>Chống composite 40x10x920</v>
      </c>
      <c r="G3023" s="2801" t="str">
        <f>VLOOKUP($B3023,DG!A:D,DG!$D$2,)</f>
        <v>cái</v>
      </c>
      <c r="H3023" s="2810">
        <f t="shared" si="182"/>
        <v>2</v>
      </c>
      <c r="I3023" s="2810">
        <f t="shared" si="182"/>
        <v>2</v>
      </c>
      <c r="J3023" s="2810">
        <f t="shared" si="182"/>
        <v>0</v>
      </c>
      <c r="K3023" s="2810">
        <f t="shared" si="182"/>
        <v>0</v>
      </c>
      <c r="L3023" s="2797"/>
      <c r="M3023" s="934" t="s">
        <v>6436</v>
      </c>
    </row>
    <row r="3024" spans="1:13" s="1016" customFormat="1" ht="25.2" hidden="1" customHeight="1">
      <c r="A3024" s="1086">
        <f t="shared" si="181"/>
        <v>0</v>
      </c>
      <c r="B3024" s="1087" t="s">
        <v>488</v>
      </c>
      <c r="C3024" s="2842">
        <v>3</v>
      </c>
      <c r="D3024" s="2798"/>
      <c r="E3024" s="2809"/>
      <c r="F3024" s="2800" t="str">
        <f>VLOOKUP($B3024,DG!A:D,DG!$C$2,)</f>
        <v>Bass LL bắt FCO, LA</v>
      </c>
      <c r="G3024" s="2801" t="str">
        <f>VLOOKUP($B3024,DG!A:D,DG!$D$2,)</f>
        <v>bộ</v>
      </c>
      <c r="H3024" s="2810">
        <f t="shared" si="182"/>
        <v>3</v>
      </c>
      <c r="I3024" s="2810">
        <f t="shared" si="182"/>
        <v>3</v>
      </c>
      <c r="J3024" s="2810">
        <f t="shared" si="182"/>
        <v>0</v>
      </c>
      <c r="K3024" s="2810">
        <f t="shared" si="182"/>
        <v>0</v>
      </c>
      <c r="L3024" s="2797"/>
      <c r="M3024" s="934" t="s">
        <v>6436</v>
      </c>
    </row>
    <row r="3025" spans="1:13" s="1016" customFormat="1" ht="25.2" hidden="1" customHeight="1">
      <c r="A3025" s="1086">
        <f t="shared" si="181"/>
        <v>0</v>
      </c>
      <c r="B3025" s="1087" t="s">
        <v>1079</v>
      </c>
      <c r="C3025" s="2842">
        <v>2</v>
      </c>
      <c r="D3025" s="2798"/>
      <c r="E3025" s="2809"/>
      <c r="F3025" s="2800" t="str">
        <f>VLOOKUP($B3025,DG!A:D,DG!$C$2,)</f>
        <v>Boulon 16x350+ 2 long đền vuông D18-50x50x3/Zn</v>
      </c>
      <c r="G3025" s="2801" t="str">
        <f>VLOOKUP($B3025,DG!A:D,DG!$D$2,)</f>
        <v>bộ</v>
      </c>
      <c r="H3025" s="2810">
        <f t="shared" si="182"/>
        <v>2</v>
      </c>
      <c r="I3025" s="2810">
        <f t="shared" si="182"/>
        <v>2</v>
      </c>
      <c r="J3025" s="2810">
        <f t="shared" si="182"/>
        <v>0</v>
      </c>
      <c r="K3025" s="2810">
        <f t="shared" si="182"/>
        <v>0</v>
      </c>
      <c r="L3025" s="2797"/>
      <c r="M3025" s="934" t="s">
        <v>6436</v>
      </c>
    </row>
    <row r="3026" spans="1:13" s="1016" customFormat="1" ht="25.2" hidden="1" customHeight="1">
      <c r="A3026" s="1086">
        <f t="shared" si="181"/>
        <v>0</v>
      </c>
      <c r="B3026" s="1087" t="s">
        <v>244</v>
      </c>
      <c r="C3026" s="2842">
        <v>2</v>
      </c>
      <c r="D3026" s="2798"/>
      <c r="E3026" s="2809"/>
      <c r="F3026" s="2800" t="str">
        <f>VLOOKUP($B3026,DG!A:D,DG!$C$2,)</f>
        <v>Boulon 16x150+ 2 long đền vuông D18-50x50x3/Zn</v>
      </c>
      <c r="G3026" s="2801" t="str">
        <f>VLOOKUP($B3026,DG!A:D,DG!$D$2,)</f>
        <v>bộ</v>
      </c>
      <c r="H3026" s="2810">
        <f t="shared" si="182"/>
        <v>2</v>
      </c>
      <c r="I3026" s="2810">
        <f t="shared" si="182"/>
        <v>2</v>
      </c>
      <c r="J3026" s="2810">
        <f t="shared" si="182"/>
        <v>0</v>
      </c>
      <c r="K3026" s="2810">
        <f t="shared" si="182"/>
        <v>0</v>
      </c>
      <c r="L3026" s="2797"/>
      <c r="M3026" s="934" t="s">
        <v>6436</v>
      </c>
    </row>
    <row r="3027" spans="1:13" s="1016" customFormat="1" ht="25.2" hidden="1" customHeight="1">
      <c r="A3027" s="1086">
        <f t="shared" si="181"/>
        <v>0</v>
      </c>
      <c r="B3027" s="1087" t="s">
        <v>2242</v>
      </c>
      <c r="C3027" s="2842">
        <v>1</v>
      </c>
      <c r="D3027" s="2798"/>
      <c r="E3027" s="2809"/>
      <c r="F3027" s="2800" t="str">
        <f>VLOOKUP($B3027,DG!A:D,DG!$C$2,)</f>
        <v>Lắp xà cột Pi loại ≤140kg/xà</v>
      </c>
      <c r="G3027" s="2801" t="str">
        <f>VLOOKUP($B3027,DG!A:D,DG!$D$2,)</f>
        <v>bộ</v>
      </c>
      <c r="H3027" s="2810">
        <f t="shared" si="182"/>
        <v>1</v>
      </c>
      <c r="I3027" s="2810">
        <f t="shared" si="182"/>
        <v>1</v>
      </c>
      <c r="J3027" s="2810">
        <f t="shared" si="182"/>
        <v>0</v>
      </c>
      <c r="K3027" s="2810">
        <f t="shared" si="182"/>
        <v>0</v>
      </c>
      <c r="L3027" s="2797"/>
      <c r="M3027" s="934" t="s">
        <v>6436</v>
      </c>
    </row>
    <row r="3028" spans="1:13" s="1016" customFormat="1" ht="25.2" hidden="1" customHeight="1">
      <c r="A3028" s="1086">
        <f t="shared" si="181"/>
        <v>0</v>
      </c>
      <c r="B3028" s="1087" t="s">
        <v>6416</v>
      </c>
      <c r="C3028" s="2842"/>
      <c r="D3028" s="2803">
        <f>IF(H3028&gt;0,D3020+1,D3020)</f>
        <v>1</v>
      </c>
      <c r="E3028" s="2804"/>
      <c r="F3028" s="2805" t="s">
        <v>6277</v>
      </c>
      <c r="G3028" s="2806" t="s">
        <v>2385</v>
      </c>
      <c r="H3028" s="2807">
        <v>1</v>
      </c>
      <c r="I3028" s="2808">
        <f t="shared" ref="I3028" si="183">H3028</f>
        <v>1</v>
      </c>
      <c r="J3028" s="2818"/>
      <c r="K3028" s="2818"/>
      <c r="L3028" s="2797"/>
      <c r="M3028" s="934" t="s">
        <v>6436</v>
      </c>
    </row>
    <row r="3029" spans="1:13" s="1016" customFormat="1" ht="25.2" hidden="1" customHeight="1">
      <c r="A3029" s="1086">
        <f t="shared" si="181"/>
        <v>0</v>
      </c>
      <c r="B3029" s="1087" t="s">
        <v>6407</v>
      </c>
      <c r="C3029" s="2842">
        <v>1</v>
      </c>
      <c r="D3029" s="2813"/>
      <c r="E3029" s="2814">
        <v>0</v>
      </c>
      <c r="F3029" s="2815" t="str">
        <f t="shared" ref="F3029:F3060" si="184">VLOOKUP(B3029,DonGia,3,0)</f>
        <v>Sắt góc L75 x75 x8 x2200</v>
      </c>
      <c r="G3029" s="2814" t="str">
        <f t="shared" ref="G3029:G3060" si="185">VLOOKUP(B3029,DonGia,4,0)</f>
        <v>cái</v>
      </c>
      <c r="H3029" s="2810">
        <f>H$3028*$C3029</f>
        <v>1</v>
      </c>
      <c r="I3029" s="2810">
        <f t="shared" ref="I3029:K3035" si="186">I$3028*$C3029</f>
        <v>1</v>
      </c>
      <c r="J3029" s="2810">
        <f t="shared" si="186"/>
        <v>0</v>
      </c>
      <c r="K3029" s="2810">
        <f t="shared" si="186"/>
        <v>0</v>
      </c>
      <c r="L3029" s="2797"/>
      <c r="M3029" s="934" t="s">
        <v>6436</v>
      </c>
    </row>
    <row r="3030" spans="1:13" s="1016" customFormat="1" ht="25.2" hidden="1" customHeight="1">
      <c r="A3030" s="1086">
        <f t="shared" si="181"/>
        <v>0</v>
      </c>
      <c r="B3030" s="1087" t="s">
        <v>6408</v>
      </c>
      <c r="C3030" s="2842"/>
      <c r="D3030" s="2813"/>
      <c r="E3030" s="2814">
        <v>0</v>
      </c>
      <c r="F3030" s="2815" t="str">
        <f t="shared" si="184"/>
        <v>Sắt góc L50 x50 x5 - 810</v>
      </c>
      <c r="G3030" s="2814" t="str">
        <f t="shared" si="185"/>
        <v>cái</v>
      </c>
      <c r="H3030" s="2810">
        <f t="shared" ref="H3030:H3035" si="187">H$3028*$C3030</f>
        <v>0</v>
      </c>
      <c r="I3030" s="2810">
        <f t="shared" si="186"/>
        <v>0</v>
      </c>
      <c r="J3030" s="2810">
        <f t="shared" si="186"/>
        <v>0</v>
      </c>
      <c r="K3030" s="2810">
        <f t="shared" si="186"/>
        <v>0</v>
      </c>
      <c r="L3030" s="2797"/>
      <c r="M3030" s="934" t="s">
        <v>6436</v>
      </c>
    </row>
    <row r="3031" spans="1:13" s="1016" customFormat="1" ht="25.2" hidden="1" customHeight="1">
      <c r="A3031" s="1086">
        <f t="shared" si="181"/>
        <v>0</v>
      </c>
      <c r="B3031" s="1087" t="s">
        <v>1079</v>
      </c>
      <c r="C3031" s="2842">
        <v>4</v>
      </c>
      <c r="D3031" s="2813"/>
      <c r="E3031" s="2814">
        <v>0</v>
      </c>
      <c r="F3031" s="2815" t="str">
        <f t="shared" si="184"/>
        <v>Boulon 16x350+ 2 long đền vuông D18-50x50x3/Zn</v>
      </c>
      <c r="G3031" s="2814" t="str">
        <f t="shared" si="185"/>
        <v>bộ</v>
      </c>
      <c r="H3031" s="2810">
        <f t="shared" si="187"/>
        <v>4</v>
      </c>
      <c r="I3031" s="2810">
        <f t="shared" si="186"/>
        <v>4</v>
      </c>
      <c r="J3031" s="2810">
        <f t="shared" si="186"/>
        <v>0</v>
      </c>
      <c r="K3031" s="2810">
        <f t="shared" si="186"/>
        <v>0</v>
      </c>
      <c r="L3031" s="2797"/>
      <c r="M3031" s="934" t="s">
        <v>6436</v>
      </c>
    </row>
    <row r="3032" spans="1:13" s="1016" customFormat="1" ht="25.2" hidden="1" customHeight="1">
      <c r="A3032" s="1086">
        <f t="shared" si="181"/>
        <v>0</v>
      </c>
      <c r="B3032" s="1087" t="s">
        <v>1786</v>
      </c>
      <c r="C3032" s="2842">
        <v>4</v>
      </c>
      <c r="D3032" s="2813"/>
      <c r="E3032" s="2814">
        <v>0</v>
      </c>
      <c r="F3032" s="2815" t="str">
        <f t="shared" si="184"/>
        <v>Boulon 16x50+ 2 long đền vuông D18-50x50x3/Zn</v>
      </c>
      <c r="G3032" s="2814" t="str">
        <f t="shared" si="185"/>
        <v>bộ</v>
      </c>
      <c r="H3032" s="2810">
        <f t="shared" si="187"/>
        <v>4</v>
      </c>
      <c r="I3032" s="2810">
        <f t="shared" si="186"/>
        <v>4</v>
      </c>
      <c r="J3032" s="2810">
        <f t="shared" si="186"/>
        <v>0</v>
      </c>
      <c r="K3032" s="2810">
        <f t="shared" si="186"/>
        <v>0</v>
      </c>
      <c r="L3032" s="2797"/>
      <c r="M3032" s="934" t="s">
        <v>6436</v>
      </c>
    </row>
    <row r="3033" spans="1:13" s="1016" customFormat="1" ht="25.2" hidden="1" customHeight="1">
      <c r="A3033" s="1086">
        <f t="shared" si="181"/>
        <v>0</v>
      </c>
      <c r="B3033" s="1087" t="s">
        <v>1735</v>
      </c>
      <c r="C3033" s="2842"/>
      <c r="D3033" s="2813"/>
      <c r="E3033" s="2814">
        <v>0</v>
      </c>
      <c r="F3033" s="2815" t="str">
        <f t="shared" si="184"/>
        <v>Bass LI bắt FCO</v>
      </c>
      <c r="G3033" s="2814" t="str">
        <f t="shared" si="185"/>
        <v>Bộ</v>
      </c>
      <c r="H3033" s="2810">
        <f t="shared" si="187"/>
        <v>0</v>
      </c>
      <c r="I3033" s="2810">
        <f t="shared" si="186"/>
        <v>0</v>
      </c>
      <c r="J3033" s="2810">
        <f t="shared" si="186"/>
        <v>0</v>
      </c>
      <c r="K3033" s="2810">
        <f t="shared" si="186"/>
        <v>0</v>
      </c>
      <c r="L3033" s="2797"/>
      <c r="M3033" s="934" t="s">
        <v>6436</v>
      </c>
    </row>
    <row r="3034" spans="1:13" s="1016" customFormat="1" ht="25.2" hidden="1" customHeight="1">
      <c r="A3034" s="1086">
        <f t="shared" si="181"/>
        <v>0</v>
      </c>
      <c r="B3034" s="1087" t="s">
        <v>988</v>
      </c>
      <c r="C3034" s="2842"/>
      <c r="D3034" s="2813"/>
      <c r="E3034" s="2814">
        <v>0</v>
      </c>
      <c r="F3034" s="2815" t="str">
        <f t="shared" si="184"/>
        <v xml:space="preserve">Cổ dê chống lắc 8x80x800 </v>
      </c>
      <c r="G3034" s="2814" t="str">
        <f t="shared" si="185"/>
        <v>bộ</v>
      </c>
      <c r="H3034" s="2810">
        <f t="shared" si="187"/>
        <v>0</v>
      </c>
      <c r="I3034" s="2810">
        <f t="shared" si="186"/>
        <v>0</v>
      </c>
      <c r="J3034" s="2810">
        <f t="shared" si="186"/>
        <v>0</v>
      </c>
      <c r="K3034" s="2810">
        <f t="shared" si="186"/>
        <v>0</v>
      </c>
      <c r="L3034" s="2797"/>
      <c r="M3034" s="934" t="s">
        <v>6436</v>
      </c>
    </row>
    <row r="3035" spans="1:13" s="1016" customFormat="1" ht="25.2" hidden="1" customHeight="1">
      <c r="A3035" s="1086">
        <f t="shared" si="181"/>
        <v>0</v>
      </c>
      <c r="B3035" s="1087" t="s">
        <v>1440</v>
      </c>
      <c r="C3035" s="2842">
        <v>1</v>
      </c>
      <c r="D3035" s="2813"/>
      <c r="E3035" s="2814" t="s">
        <v>5421</v>
      </c>
      <c r="F3035" s="2815" t="str">
        <f t="shared" si="184"/>
        <v>Lắp xà đỡ ≤ 50kg</v>
      </c>
      <c r="G3035" s="2814" t="str">
        <f t="shared" si="185"/>
        <v>bộ</v>
      </c>
      <c r="H3035" s="2810">
        <f t="shared" si="187"/>
        <v>1</v>
      </c>
      <c r="I3035" s="2810">
        <f t="shared" si="186"/>
        <v>1</v>
      </c>
      <c r="J3035" s="2810">
        <f t="shared" si="186"/>
        <v>0</v>
      </c>
      <c r="K3035" s="2810">
        <f t="shared" si="186"/>
        <v>0</v>
      </c>
      <c r="L3035" s="2797"/>
      <c r="M3035" s="934" t="s">
        <v>6436</v>
      </c>
    </row>
    <row r="3036" spans="1:13" s="1016" customFormat="1" ht="25.2" hidden="1" customHeight="1">
      <c r="A3036" s="1086">
        <f t="shared" si="181"/>
        <v>0</v>
      </c>
      <c r="B3036" s="1087" t="s">
        <v>6438</v>
      </c>
      <c r="C3036" s="2842"/>
      <c r="D3036" s="2803"/>
      <c r="E3036" s="2804"/>
      <c r="F3036" s="2805" t="str">
        <f t="shared" si="184"/>
        <v>Tiếp địa trạm biến áp</v>
      </c>
      <c r="G3036" s="2806" t="str">
        <f t="shared" si="185"/>
        <v>Bộ</v>
      </c>
      <c r="H3036" s="2807">
        <v>1</v>
      </c>
      <c r="I3036" s="2808">
        <v>1</v>
      </c>
      <c r="J3036" s="2818"/>
      <c r="K3036" s="2818"/>
      <c r="L3036" s="2797"/>
      <c r="M3036" s="934" t="s">
        <v>6436</v>
      </c>
    </row>
    <row r="3037" spans="1:13" s="1016" customFormat="1" ht="25.2" hidden="1" customHeight="1">
      <c r="A3037" s="1086">
        <f t="shared" si="181"/>
        <v>0</v>
      </c>
      <c r="B3037" s="1087" t="s">
        <v>1033</v>
      </c>
      <c r="C3037" s="2878">
        <f>C3048*0.22</f>
        <v>11.88</v>
      </c>
      <c r="D3037" s="2813"/>
      <c r="E3037" s="2814">
        <v>0</v>
      </c>
      <c r="F3037" s="2815" t="str">
        <f t="shared" si="184"/>
        <v>Cáp đồng trần M25mm2</v>
      </c>
      <c r="G3037" s="2814" t="str">
        <f t="shared" si="185"/>
        <v>kg</v>
      </c>
      <c r="H3037" s="2810">
        <f>H$3036*$C3037</f>
        <v>11.88</v>
      </c>
      <c r="I3037" s="2810">
        <f t="shared" ref="I3037:K3048" si="188">I$3036*$C3037</f>
        <v>11.88</v>
      </c>
      <c r="J3037" s="2810">
        <f t="shared" si="188"/>
        <v>0</v>
      </c>
      <c r="K3037" s="2810">
        <f t="shared" si="188"/>
        <v>0</v>
      </c>
      <c r="L3037" s="2797"/>
      <c r="M3037" s="934" t="s">
        <v>6436</v>
      </c>
    </row>
    <row r="3038" spans="1:13" s="1016" customFormat="1" ht="25.2" hidden="1" customHeight="1">
      <c r="A3038" s="1086">
        <f t="shared" si="181"/>
        <v>0</v>
      </c>
      <c r="B3038" s="1087" t="s">
        <v>1508</v>
      </c>
      <c r="C3038" s="2879">
        <v>10</v>
      </c>
      <c r="D3038" s="2813"/>
      <c r="E3038" s="2814">
        <v>0</v>
      </c>
      <c r="F3038" s="2815" t="str">
        <f t="shared" si="184"/>
        <v>Cọc tiếp đất Þ 16- 2,4m + kẹp cọc mạ đồng</v>
      </c>
      <c r="G3038" s="2814" t="str">
        <f t="shared" si="185"/>
        <v>bộ</v>
      </c>
      <c r="H3038" s="2810">
        <f t="shared" ref="H3038:H3048" si="189">H$3036*$C3038</f>
        <v>10</v>
      </c>
      <c r="I3038" s="2810">
        <f t="shared" si="188"/>
        <v>10</v>
      </c>
      <c r="J3038" s="2810">
        <f t="shared" si="188"/>
        <v>0</v>
      </c>
      <c r="K3038" s="2810">
        <f t="shared" si="188"/>
        <v>0</v>
      </c>
      <c r="L3038" s="2797"/>
      <c r="M3038" s="934" t="s">
        <v>6436</v>
      </c>
    </row>
    <row r="3039" spans="1:13" s="1016" customFormat="1" ht="25.2" hidden="1" customHeight="1">
      <c r="A3039" s="1086">
        <f t="shared" si="181"/>
        <v>0</v>
      </c>
      <c r="B3039" s="1087" t="s">
        <v>2107</v>
      </c>
      <c r="C3039" s="2842">
        <v>2</v>
      </c>
      <c r="D3039" s="2813"/>
      <c r="E3039" s="2814">
        <v>0</v>
      </c>
      <c r="F3039" s="2815" t="str">
        <f t="shared" si="184"/>
        <v>Cáp đồng bọc CV11</v>
      </c>
      <c r="G3039" s="2814" t="str">
        <f t="shared" si="185"/>
        <v>mét</v>
      </c>
      <c r="H3039" s="2810">
        <f t="shared" si="189"/>
        <v>2</v>
      </c>
      <c r="I3039" s="2810">
        <f t="shared" si="188"/>
        <v>2</v>
      </c>
      <c r="J3039" s="2810">
        <f t="shared" si="188"/>
        <v>0</v>
      </c>
      <c r="K3039" s="2810">
        <f t="shared" si="188"/>
        <v>0</v>
      </c>
      <c r="L3039" s="2797"/>
      <c r="M3039" s="934" t="s">
        <v>6436</v>
      </c>
    </row>
    <row r="3040" spans="1:13" s="1016" customFormat="1" ht="25.2" hidden="1" customHeight="1">
      <c r="A3040" s="1086">
        <f t="shared" si="181"/>
        <v>0</v>
      </c>
      <c r="B3040" s="1087" t="s">
        <v>1490</v>
      </c>
      <c r="C3040" s="2842">
        <v>2</v>
      </c>
      <c r="D3040" s="2813"/>
      <c r="E3040" s="2814">
        <v>0</v>
      </c>
      <c r="F3040" s="2815" t="str">
        <f t="shared" si="184"/>
        <v xml:space="preserve">Ống PVC D21x1,6mm </v>
      </c>
      <c r="G3040" s="2814" t="str">
        <f t="shared" si="185"/>
        <v>m</v>
      </c>
      <c r="H3040" s="2810">
        <f t="shared" si="189"/>
        <v>2</v>
      </c>
      <c r="I3040" s="2810">
        <f t="shared" si="188"/>
        <v>2</v>
      </c>
      <c r="J3040" s="2810">
        <f t="shared" si="188"/>
        <v>0</v>
      </c>
      <c r="K3040" s="2810">
        <f t="shared" si="188"/>
        <v>0</v>
      </c>
      <c r="L3040" s="2797"/>
      <c r="M3040" s="934" t="s">
        <v>6436</v>
      </c>
    </row>
    <row r="3041" spans="1:13" s="1016" customFormat="1" ht="25.2" hidden="1" customHeight="1">
      <c r="A3041" s="1086">
        <f t="shared" si="181"/>
        <v>0</v>
      </c>
      <c r="B3041" s="1087" t="s">
        <v>1579</v>
      </c>
      <c r="C3041" s="2842">
        <v>2</v>
      </c>
      <c r="D3041" s="2813"/>
      <c r="E3041" s="2814">
        <v>0</v>
      </c>
      <c r="F3041" s="2815" t="str">
        <f t="shared" si="184"/>
        <v>Kẹp ép WR cỡ dây 50mm2</v>
      </c>
      <c r="G3041" s="2814" t="str">
        <f t="shared" si="185"/>
        <v>cái</v>
      </c>
      <c r="H3041" s="2810">
        <f t="shared" si="189"/>
        <v>2</v>
      </c>
      <c r="I3041" s="2810">
        <f t="shared" si="188"/>
        <v>2</v>
      </c>
      <c r="J3041" s="2810">
        <f t="shared" si="188"/>
        <v>0</v>
      </c>
      <c r="K3041" s="2810">
        <f t="shared" si="188"/>
        <v>0</v>
      </c>
      <c r="L3041" s="2797"/>
      <c r="M3041" s="934" t="s">
        <v>6436</v>
      </c>
    </row>
    <row r="3042" spans="1:13" s="1016" customFormat="1" ht="25.2" hidden="1" customHeight="1">
      <c r="A3042" s="1086">
        <f t="shared" si="181"/>
        <v>0</v>
      </c>
      <c r="B3042" s="1087" t="s">
        <v>816</v>
      </c>
      <c r="C3042" s="2842">
        <v>6</v>
      </c>
      <c r="D3042" s="2813"/>
      <c r="E3042" s="2814">
        <v>0</v>
      </c>
      <c r="F3042" s="2815" t="str">
        <f t="shared" si="184"/>
        <v>Ốc siết cáp cỡ 25mm2</v>
      </c>
      <c r="G3042" s="2814" t="str">
        <f t="shared" si="185"/>
        <v>cái</v>
      </c>
      <c r="H3042" s="2810">
        <f t="shared" si="189"/>
        <v>6</v>
      </c>
      <c r="I3042" s="2810">
        <f t="shared" si="188"/>
        <v>6</v>
      </c>
      <c r="J3042" s="2810">
        <f t="shared" si="188"/>
        <v>0</v>
      </c>
      <c r="K3042" s="2810">
        <f t="shared" si="188"/>
        <v>0</v>
      </c>
      <c r="L3042" s="2797"/>
      <c r="M3042" s="934" t="s">
        <v>6436</v>
      </c>
    </row>
    <row r="3043" spans="1:13" s="1016" customFormat="1" ht="25.2" hidden="1" customHeight="1">
      <c r="A3043" s="1086">
        <f t="shared" si="181"/>
        <v>0</v>
      </c>
      <c r="B3043" s="1087" t="s">
        <v>525</v>
      </c>
      <c r="C3043" s="2842"/>
      <c r="D3043" s="2813"/>
      <c r="E3043" s="2814">
        <v>0</v>
      </c>
      <c r="F3043" s="2815" t="str">
        <f t="shared" si="184"/>
        <v>Cổ dê kẹp ống PVC  21</v>
      </c>
      <c r="G3043" s="2814" t="str">
        <f t="shared" si="185"/>
        <v>bộ</v>
      </c>
      <c r="H3043" s="2810">
        <f t="shared" si="189"/>
        <v>0</v>
      </c>
      <c r="I3043" s="2810">
        <f t="shared" si="188"/>
        <v>0</v>
      </c>
      <c r="J3043" s="2810">
        <f t="shared" si="188"/>
        <v>0</v>
      </c>
      <c r="K3043" s="2810">
        <f t="shared" si="188"/>
        <v>0</v>
      </c>
      <c r="L3043" s="2797"/>
      <c r="M3043" s="934" t="s">
        <v>6436</v>
      </c>
    </row>
    <row r="3044" spans="1:13" s="1016" customFormat="1" ht="25.2" hidden="1" customHeight="1">
      <c r="A3044" s="1086">
        <f t="shared" si="181"/>
        <v>0</v>
      </c>
      <c r="B3044" s="1087" t="s">
        <v>1585</v>
      </c>
      <c r="C3044" s="2842"/>
      <c r="D3044" s="2813"/>
      <c r="E3044" s="2814">
        <v>0</v>
      </c>
      <c r="F3044" s="2815" t="str">
        <f t="shared" si="184"/>
        <v>Giếng tiếp địa khoan đất</v>
      </c>
      <c r="G3044" s="2814" t="str">
        <f t="shared" si="185"/>
        <v>Cái</v>
      </c>
      <c r="H3044" s="2810">
        <f t="shared" si="189"/>
        <v>0</v>
      </c>
      <c r="I3044" s="2810">
        <f t="shared" si="188"/>
        <v>0</v>
      </c>
      <c r="J3044" s="2810">
        <f t="shared" si="188"/>
        <v>0</v>
      </c>
      <c r="K3044" s="2810">
        <f t="shared" si="188"/>
        <v>0</v>
      </c>
      <c r="L3044" s="2797"/>
      <c r="M3044" s="934" t="s">
        <v>6436</v>
      </c>
    </row>
    <row r="3045" spans="1:13" s="1016" customFormat="1" ht="25.2" hidden="1" customHeight="1">
      <c r="A3045" s="1086">
        <f t="shared" si="181"/>
        <v>0</v>
      </c>
      <c r="B3045" s="1087" t="s">
        <v>794</v>
      </c>
      <c r="C3045" s="2842"/>
      <c r="D3045" s="2816"/>
      <c r="E3045" s="2814" t="s">
        <v>5336</v>
      </c>
      <c r="F3045" s="2815" t="str">
        <f t="shared" si="184"/>
        <v>Đào rãnh tiếp địa đất cấp 3</v>
      </c>
      <c r="G3045" s="2814" t="str">
        <f t="shared" si="185"/>
        <v>m3</v>
      </c>
      <c r="H3045" s="2810">
        <f t="shared" si="189"/>
        <v>0</v>
      </c>
      <c r="I3045" s="2810">
        <f t="shared" si="188"/>
        <v>0</v>
      </c>
      <c r="J3045" s="2810">
        <f t="shared" si="188"/>
        <v>0</v>
      </c>
      <c r="K3045" s="2810">
        <f t="shared" si="188"/>
        <v>0</v>
      </c>
      <c r="L3045" s="2797"/>
      <c r="M3045" s="934" t="s">
        <v>6436</v>
      </c>
    </row>
    <row r="3046" spans="1:13" s="1016" customFormat="1" ht="25.2" hidden="1" customHeight="1">
      <c r="A3046" s="1086">
        <f t="shared" si="181"/>
        <v>0</v>
      </c>
      <c r="B3046" s="1087" t="s">
        <v>798</v>
      </c>
      <c r="C3046" s="2842"/>
      <c r="D3046" s="2816"/>
      <c r="E3046" s="2814" t="s">
        <v>5325</v>
      </c>
      <c r="F3046" s="2815" t="str">
        <f t="shared" si="184"/>
        <v>Đắp đất rãnh tiếp độ chặt k=0,85</v>
      </c>
      <c r="G3046" s="2814" t="str">
        <f t="shared" si="185"/>
        <v>m3</v>
      </c>
      <c r="H3046" s="2810">
        <f t="shared" si="189"/>
        <v>0</v>
      </c>
      <c r="I3046" s="2810">
        <f t="shared" si="188"/>
        <v>0</v>
      </c>
      <c r="J3046" s="2810">
        <f t="shared" si="188"/>
        <v>0</v>
      </c>
      <c r="K3046" s="2810">
        <f t="shared" si="188"/>
        <v>0</v>
      </c>
      <c r="L3046" s="2797"/>
      <c r="M3046" s="934" t="s">
        <v>6436</v>
      </c>
    </row>
    <row r="3047" spans="1:13" s="1016" customFormat="1" ht="25.2" hidden="1" customHeight="1">
      <c r="A3047" s="1086">
        <f t="shared" si="181"/>
        <v>0</v>
      </c>
      <c r="B3047" s="1087" t="s">
        <v>902</v>
      </c>
      <c r="C3047" s="2880">
        <f>C3038</f>
        <v>10</v>
      </c>
      <c r="D3047" s="2816"/>
      <c r="E3047" s="2814" t="s">
        <v>5351</v>
      </c>
      <c r="F3047" s="2815" t="str">
        <f t="shared" si="184"/>
        <v>Đóng cọc tiếp địa trong TBA</v>
      </c>
      <c r="G3047" s="2814" t="str">
        <f t="shared" si="185"/>
        <v>cọc</v>
      </c>
      <c r="H3047" s="2810">
        <f t="shared" si="189"/>
        <v>10</v>
      </c>
      <c r="I3047" s="2810">
        <f t="shared" si="188"/>
        <v>10</v>
      </c>
      <c r="J3047" s="2810">
        <f t="shared" si="188"/>
        <v>0</v>
      </c>
      <c r="K3047" s="2810">
        <f t="shared" si="188"/>
        <v>0</v>
      </c>
      <c r="L3047" s="2797"/>
      <c r="M3047" s="934" t="s">
        <v>6436</v>
      </c>
    </row>
    <row r="3048" spans="1:13" s="1016" customFormat="1" ht="25.2" hidden="1" customHeight="1">
      <c r="A3048" s="1086">
        <f t="shared" si="181"/>
        <v>0</v>
      </c>
      <c r="B3048" s="1087" t="s">
        <v>6278</v>
      </c>
      <c r="C3048" s="2879">
        <v>54</v>
      </c>
      <c r="D3048" s="2813"/>
      <c r="E3048" s="2814" t="s">
        <v>5345</v>
      </c>
      <c r="F3048" s="2815" t="str">
        <f t="shared" si="184"/>
        <v xml:space="preserve">Kéo dây tiếp địa </v>
      </c>
      <c r="G3048" s="2814" t="str">
        <f t="shared" si="185"/>
        <v>mét</v>
      </c>
      <c r="H3048" s="2810">
        <f t="shared" si="189"/>
        <v>54</v>
      </c>
      <c r="I3048" s="2810">
        <f t="shared" si="188"/>
        <v>54</v>
      </c>
      <c r="J3048" s="2810">
        <f t="shared" si="188"/>
        <v>0</v>
      </c>
      <c r="K3048" s="2810">
        <f t="shared" si="188"/>
        <v>0</v>
      </c>
      <c r="L3048" s="2797"/>
      <c r="M3048" s="934" t="s">
        <v>6436</v>
      </c>
    </row>
    <row r="3049" spans="1:13" s="1016" customFormat="1" ht="25.2" hidden="1" customHeight="1">
      <c r="A3049" s="1086">
        <f t="shared" si="181"/>
        <v>0</v>
      </c>
      <c r="B3049" s="1087" t="s">
        <v>6440</v>
      </c>
      <c r="C3049" s="2842"/>
      <c r="D3049" s="2803"/>
      <c r="E3049" s="2804"/>
      <c r="F3049" s="2805" t="str">
        <f t="shared" si="184"/>
        <v>Móng bê tông M200 nền tủ bù</v>
      </c>
      <c r="G3049" s="2806" t="str">
        <f t="shared" si="185"/>
        <v>Móng</v>
      </c>
      <c r="H3049" s="2807">
        <v>1</v>
      </c>
      <c r="I3049" s="2808">
        <v>1</v>
      </c>
      <c r="J3049" s="2818"/>
      <c r="K3049" s="2818"/>
      <c r="L3049" s="2797"/>
      <c r="M3049" s="934" t="s">
        <v>6436</v>
      </c>
    </row>
    <row r="3050" spans="1:13" s="1016" customFormat="1" ht="25.2" hidden="1" customHeight="1">
      <c r="A3050" s="1086">
        <f t="shared" si="181"/>
        <v>0</v>
      </c>
      <c r="B3050" s="1087" t="s">
        <v>751</v>
      </c>
      <c r="C3050" s="2842">
        <v>370.03</v>
      </c>
      <c r="D3050" s="2798"/>
      <c r="E3050" s="2809"/>
      <c r="F3050" s="2815" t="str">
        <f t="shared" si="184"/>
        <v>Ximăng (PC40)</v>
      </c>
      <c r="G3050" s="2814" t="str">
        <f t="shared" si="185"/>
        <v>kg</v>
      </c>
      <c r="H3050" s="2810">
        <f>H$3049*$C3050</f>
        <v>370.03</v>
      </c>
      <c r="I3050" s="2810">
        <f>I$3049*$C3050</f>
        <v>370.03</v>
      </c>
      <c r="J3050" s="2818"/>
      <c r="K3050" s="2818"/>
      <c r="L3050" s="2797"/>
      <c r="M3050" s="934" t="s">
        <v>6436</v>
      </c>
    </row>
    <row r="3051" spans="1:13" s="1016" customFormat="1" ht="25.2" hidden="1" customHeight="1">
      <c r="A3051" s="1086">
        <f t="shared" si="181"/>
        <v>0</v>
      </c>
      <c r="B3051" s="1087" t="s">
        <v>4408</v>
      </c>
      <c r="C3051" s="2842">
        <v>0.46</v>
      </c>
      <c r="D3051" s="2798"/>
      <c r="E3051" s="2809"/>
      <c r="F3051" s="2815" t="str">
        <f t="shared" si="184"/>
        <v>Cát vàng</v>
      </c>
      <c r="G3051" s="2814" t="str">
        <f t="shared" si="185"/>
        <v>m3</v>
      </c>
      <c r="H3051" s="2810">
        <f t="shared" ref="H3051:I3054" si="190">H$3049*$C3051</f>
        <v>0.46</v>
      </c>
      <c r="I3051" s="2810">
        <f t="shared" si="190"/>
        <v>0.46</v>
      </c>
      <c r="J3051" s="2818"/>
      <c r="K3051" s="2818"/>
      <c r="L3051" s="2797"/>
      <c r="M3051" s="934" t="s">
        <v>6436</v>
      </c>
    </row>
    <row r="3052" spans="1:13" s="1016" customFormat="1" ht="25.2" hidden="1" customHeight="1">
      <c r="A3052" s="1086">
        <f t="shared" si="181"/>
        <v>0</v>
      </c>
      <c r="B3052" s="1087" t="s">
        <v>867</v>
      </c>
      <c r="C3052" s="2842">
        <v>0.89</v>
      </c>
      <c r="D3052" s="2798"/>
      <c r="E3052" s="2809"/>
      <c r="F3052" s="2815" t="str">
        <f t="shared" si="184"/>
        <v>Đá 1x2</v>
      </c>
      <c r="G3052" s="2814" t="str">
        <f t="shared" si="185"/>
        <v>m3</v>
      </c>
      <c r="H3052" s="2810">
        <f t="shared" si="190"/>
        <v>0.89</v>
      </c>
      <c r="I3052" s="2810">
        <f t="shared" si="190"/>
        <v>0.89</v>
      </c>
      <c r="J3052" s="2818"/>
      <c r="K3052" s="2818"/>
      <c r="L3052" s="2797"/>
      <c r="M3052" s="934" t="s">
        <v>6436</v>
      </c>
    </row>
    <row r="3053" spans="1:13" s="1016" customFormat="1" ht="25.2" hidden="1" customHeight="1">
      <c r="A3053" s="1086">
        <f t="shared" si="181"/>
        <v>0</v>
      </c>
      <c r="B3053" s="1087" t="s">
        <v>639</v>
      </c>
      <c r="C3053" s="2842">
        <v>1.17</v>
      </c>
      <c r="D3053" s="2798"/>
      <c r="E3053" s="2809"/>
      <c r="F3053" s="2815" t="str">
        <f t="shared" si="184"/>
        <v>Đào hố móng đất cấp 3 sâu &gt;1m</v>
      </c>
      <c r="G3053" s="2814" t="str">
        <f t="shared" si="185"/>
        <v>m3</v>
      </c>
      <c r="H3053" s="2810"/>
      <c r="I3053" s="2810"/>
      <c r="J3053" s="2818"/>
      <c r="K3053" s="2818"/>
      <c r="L3053" s="2797"/>
      <c r="M3053" s="934" t="s">
        <v>6436</v>
      </c>
    </row>
    <row r="3054" spans="1:13" s="1016" customFormat="1" ht="25.2" hidden="1" customHeight="1">
      <c r="A3054" s="1086">
        <f t="shared" si="181"/>
        <v>0</v>
      </c>
      <c r="B3054" s="1087" t="s">
        <v>1835</v>
      </c>
      <c r="C3054" s="2842">
        <v>1.17</v>
      </c>
      <c r="D3054" s="2798"/>
      <c r="E3054" s="2809"/>
      <c r="F3054" s="2815" t="str">
        <f t="shared" si="184"/>
        <v>Đổ bê tông mác M150 đá 1x2</v>
      </c>
      <c r="G3054" s="2814" t="str">
        <f t="shared" si="185"/>
        <v>m3</v>
      </c>
      <c r="H3054" s="2810">
        <f t="shared" si="190"/>
        <v>1.17</v>
      </c>
      <c r="I3054" s="2810">
        <f t="shared" si="190"/>
        <v>1.17</v>
      </c>
      <c r="J3054" s="2818"/>
      <c r="K3054" s="2818"/>
      <c r="L3054" s="2797"/>
      <c r="M3054" s="934" t="s">
        <v>6436</v>
      </c>
    </row>
    <row r="3055" spans="1:13" s="1016" customFormat="1" ht="25.2" hidden="1" customHeight="1">
      <c r="A3055" s="1086">
        <f t="shared" si="181"/>
        <v>0</v>
      </c>
      <c r="B3055" s="1087" t="s">
        <v>6442</v>
      </c>
      <c r="C3055" s="2842"/>
      <c r="D3055" s="2803"/>
      <c r="E3055" s="2804"/>
      <c r="F3055" s="2805" t="str">
        <f t="shared" si="184"/>
        <v>Tủ MCCB trạm 3 pha</v>
      </c>
      <c r="G3055" s="2806" t="str">
        <f t="shared" si="185"/>
        <v>bộ</v>
      </c>
      <c r="H3055" s="2807">
        <v>1</v>
      </c>
      <c r="I3055" s="2808">
        <v>1</v>
      </c>
      <c r="J3055" s="2818"/>
      <c r="K3055" s="2818"/>
      <c r="L3055" s="2797"/>
      <c r="M3055" s="934" t="s">
        <v>6436</v>
      </c>
    </row>
    <row r="3056" spans="1:13" s="1016" customFormat="1" ht="25.2" hidden="1" customHeight="1">
      <c r="A3056" s="1086">
        <f t="shared" si="181"/>
        <v>0</v>
      </c>
      <c r="B3056" s="1087" t="s">
        <v>615</v>
      </c>
      <c r="C3056" s="2842">
        <v>1</v>
      </c>
      <c r="D3056" s="2798"/>
      <c r="E3056" s="2809"/>
      <c r="F3056" s="2815" t="str">
        <f t="shared" si="184"/>
        <v>Tủ CB trạm 3 pha + khoá + bulon</v>
      </c>
      <c r="G3056" s="2814" t="str">
        <f t="shared" si="185"/>
        <v>cái</v>
      </c>
      <c r="H3056" s="2810">
        <f>H$3055*$C3056</f>
        <v>1</v>
      </c>
      <c r="I3056" s="2810">
        <f t="shared" ref="I3056:K3071" si="191">I$3055*$C3056</f>
        <v>1</v>
      </c>
      <c r="J3056" s="2810">
        <f t="shared" si="191"/>
        <v>0</v>
      </c>
      <c r="K3056" s="2810">
        <f t="shared" si="191"/>
        <v>0</v>
      </c>
      <c r="L3056" s="2797"/>
      <c r="M3056" s="934" t="s">
        <v>6436</v>
      </c>
    </row>
    <row r="3057" spans="1:13" s="1016" customFormat="1" ht="25.2" hidden="1" customHeight="1">
      <c r="A3057" s="1086">
        <f t="shared" si="181"/>
        <v>0</v>
      </c>
      <c r="B3057" s="2792" t="s">
        <v>4843</v>
      </c>
      <c r="C3057" s="2842">
        <v>1</v>
      </c>
      <c r="D3057" s="2798"/>
      <c r="E3057" s="2809"/>
      <c r="F3057" s="2815" t="str">
        <f t="shared" si="184"/>
        <v>Cổ dê bắt tủ trạm trụ ghép D320/60x6</v>
      </c>
      <c r="G3057" s="2814" t="str">
        <f t="shared" si="185"/>
        <v>bộ</v>
      </c>
      <c r="H3057" s="2810">
        <f t="shared" ref="H3057:K3072" si="192">H$3055*$C3057</f>
        <v>1</v>
      </c>
      <c r="I3057" s="2810">
        <f t="shared" si="191"/>
        <v>1</v>
      </c>
      <c r="J3057" s="2810">
        <f t="shared" si="191"/>
        <v>0</v>
      </c>
      <c r="K3057" s="2810">
        <f t="shared" si="191"/>
        <v>0</v>
      </c>
      <c r="L3057" s="2797"/>
      <c r="M3057" s="934" t="s">
        <v>6436</v>
      </c>
    </row>
    <row r="3058" spans="1:13" s="1016" customFormat="1" ht="25.2" hidden="1" customHeight="1">
      <c r="A3058" s="1086">
        <f t="shared" si="181"/>
        <v>0</v>
      </c>
      <c r="B3058" s="1087" t="s">
        <v>880</v>
      </c>
      <c r="C3058" s="2842">
        <v>3</v>
      </c>
      <c r="D3058" s="2798"/>
      <c r="E3058" s="2809"/>
      <c r="F3058" s="2815" t="str">
        <f t="shared" si="184"/>
        <v xml:space="preserve">Bakelit 550x450 dầy 10mm </v>
      </c>
      <c r="G3058" s="2814" t="str">
        <f t="shared" si="185"/>
        <v>cái</v>
      </c>
      <c r="H3058" s="2810">
        <f t="shared" si="192"/>
        <v>3</v>
      </c>
      <c r="I3058" s="2810">
        <f t="shared" si="191"/>
        <v>3</v>
      </c>
      <c r="J3058" s="2810">
        <f t="shared" si="191"/>
        <v>0</v>
      </c>
      <c r="K3058" s="2810">
        <f t="shared" si="191"/>
        <v>0</v>
      </c>
      <c r="L3058" s="2797"/>
      <c r="M3058" s="934" t="s">
        <v>6436</v>
      </c>
    </row>
    <row r="3059" spans="1:13" s="1016" customFormat="1" ht="25.2" hidden="1" customHeight="1">
      <c r="A3059" s="1086">
        <f t="shared" si="181"/>
        <v>0</v>
      </c>
      <c r="B3059" s="1087" t="s">
        <v>289</v>
      </c>
      <c r="C3059" s="2842">
        <v>1</v>
      </c>
      <c r="D3059" s="2798"/>
      <c r="E3059" s="2809"/>
      <c r="F3059" s="2815" t="str">
        <f t="shared" si="184"/>
        <v>Bảng tên trạm, bảng báo nguy hiểm + đinh vít</v>
      </c>
      <c r="G3059" s="2814" t="str">
        <f t="shared" si="185"/>
        <v>bộ</v>
      </c>
      <c r="H3059" s="2810">
        <f t="shared" si="192"/>
        <v>1</v>
      </c>
      <c r="I3059" s="2810">
        <f t="shared" si="191"/>
        <v>1</v>
      </c>
      <c r="J3059" s="2810">
        <f t="shared" si="191"/>
        <v>0</v>
      </c>
      <c r="K3059" s="2810">
        <f t="shared" si="191"/>
        <v>0</v>
      </c>
      <c r="L3059" s="2797"/>
      <c r="M3059" s="934" t="s">
        <v>6436</v>
      </c>
    </row>
    <row r="3060" spans="1:13" s="1016" customFormat="1" ht="25.2" hidden="1" customHeight="1">
      <c r="A3060" s="1086">
        <f t="shared" si="181"/>
        <v>0</v>
      </c>
      <c r="B3060" s="1087" t="s">
        <v>6444</v>
      </c>
      <c r="C3060" s="2842"/>
      <c r="D3060" s="2803"/>
      <c r="E3060" s="2804"/>
      <c r="F3060" s="2805" t="str">
        <f t="shared" si="184"/>
        <v>Bộ dây dẫn trung thế 3 pha</v>
      </c>
      <c r="G3060" s="2806" t="str">
        <f t="shared" si="185"/>
        <v>Bộ</v>
      </c>
      <c r="H3060" s="2807">
        <v>1</v>
      </c>
      <c r="I3060" s="2808">
        <v>1</v>
      </c>
      <c r="J3060" s="2818">
        <f t="shared" si="191"/>
        <v>0</v>
      </c>
      <c r="K3060" s="2818">
        <f t="shared" si="191"/>
        <v>0</v>
      </c>
      <c r="L3060" s="2797"/>
      <c r="M3060" s="934" t="s">
        <v>6436</v>
      </c>
    </row>
    <row r="3061" spans="1:13" s="1016" customFormat="1" ht="25.2" hidden="1" customHeight="1">
      <c r="A3061" s="1086">
        <f t="shared" si="181"/>
        <v>0</v>
      </c>
      <c r="B3061" s="1087" t="s">
        <v>4449</v>
      </c>
      <c r="C3061" s="2842">
        <v>24</v>
      </c>
      <c r="D3061" s="2798"/>
      <c r="E3061" s="2809"/>
      <c r="F3061" s="2815" t="str">
        <f t="shared" ref="F3061:F3096" si="193">VLOOKUP(B3061,DonGia,3,0)</f>
        <v>Cáp 24KV C/XLPE/PVC 25mm2</v>
      </c>
      <c r="G3061" s="2814" t="str">
        <f t="shared" ref="G3061:G3096" si="194">VLOOKUP(B3061,DonGia,4,0)</f>
        <v>mét</v>
      </c>
      <c r="H3061" s="2810">
        <f t="shared" si="192"/>
        <v>24</v>
      </c>
      <c r="I3061" s="2810">
        <f t="shared" si="191"/>
        <v>24</v>
      </c>
      <c r="J3061" s="2810">
        <f t="shared" si="191"/>
        <v>0</v>
      </c>
      <c r="K3061" s="2810">
        <f t="shared" si="191"/>
        <v>0</v>
      </c>
      <c r="L3061" s="2797"/>
      <c r="M3061" s="934" t="s">
        <v>6436</v>
      </c>
    </row>
    <row r="3062" spans="1:13" s="1016" customFormat="1" ht="25.2" hidden="1" customHeight="1">
      <c r="A3062" s="1086">
        <f t="shared" si="181"/>
        <v>0</v>
      </c>
      <c r="B3062" s="1087" t="s">
        <v>6445</v>
      </c>
      <c r="C3062" s="2842">
        <v>3</v>
      </c>
      <c r="D3062" s="2798"/>
      <c r="E3062" s="2809"/>
      <c r="F3062" s="2815" t="str">
        <f t="shared" si="193"/>
        <v>Kẹp quai 2/0</v>
      </c>
      <c r="G3062" s="2814" t="str">
        <f t="shared" si="194"/>
        <v>cái</v>
      </c>
      <c r="H3062" s="2810">
        <f t="shared" si="192"/>
        <v>3</v>
      </c>
      <c r="I3062" s="2810">
        <f t="shared" si="191"/>
        <v>3</v>
      </c>
      <c r="J3062" s="2810">
        <f t="shared" si="191"/>
        <v>0</v>
      </c>
      <c r="K3062" s="2810">
        <f t="shared" si="191"/>
        <v>0</v>
      </c>
      <c r="L3062" s="2797"/>
      <c r="M3062" s="934" t="s">
        <v>6436</v>
      </c>
    </row>
    <row r="3063" spans="1:13" s="1016" customFormat="1" ht="25.2" hidden="1" customHeight="1">
      <c r="A3063" s="1086">
        <f t="shared" si="181"/>
        <v>0</v>
      </c>
      <c r="B3063" s="1087" t="s">
        <v>6446</v>
      </c>
      <c r="C3063" s="2842">
        <v>3</v>
      </c>
      <c r="D3063" s="2798"/>
      <c r="E3063" s="2809"/>
      <c r="F3063" s="2815" t="str">
        <f t="shared" si="193"/>
        <v>Kẹp hotline 2/0</v>
      </c>
      <c r="G3063" s="2814" t="str">
        <f t="shared" si="194"/>
        <v>cái</v>
      </c>
      <c r="H3063" s="2810">
        <f t="shared" si="192"/>
        <v>3</v>
      </c>
      <c r="I3063" s="2810">
        <f t="shared" si="191"/>
        <v>3</v>
      </c>
      <c r="J3063" s="2810">
        <f t="shared" si="191"/>
        <v>0</v>
      </c>
      <c r="K3063" s="2810">
        <f t="shared" si="191"/>
        <v>0</v>
      </c>
      <c r="L3063" s="2797"/>
      <c r="M3063" s="934" t="s">
        <v>6436</v>
      </c>
    </row>
    <row r="3064" spans="1:13" s="1016" customFormat="1" ht="25.2" hidden="1" customHeight="1">
      <c r="A3064" s="1086">
        <f t="shared" si="181"/>
        <v>0</v>
      </c>
      <c r="B3064" s="1087" t="s">
        <v>4560</v>
      </c>
      <c r="C3064" s="2842">
        <v>6</v>
      </c>
      <c r="D3064" s="2798"/>
      <c r="E3064" s="2809"/>
      <c r="F3064" s="2815" t="str">
        <f t="shared" si="193"/>
        <v xml:space="preserve">Sứ đứng 24KV </v>
      </c>
      <c r="G3064" s="2814" t="str">
        <f t="shared" si="194"/>
        <v>cái</v>
      </c>
      <c r="H3064" s="2810">
        <f t="shared" si="192"/>
        <v>6</v>
      </c>
      <c r="I3064" s="2810">
        <f t="shared" si="191"/>
        <v>6</v>
      </c>
      <c r="J3064" s="2810">
        <f t="shared" si="191"/>
        <v>0</v>
      </c>
      <c r="K3064" s="2810">
        <f t="shared" si="191"/>
        <v>0</v>
      </c>
      <c r="L3064" s="2797"/>
      <c r="M3064" s="934" t="s">
        <v>6436</v>
      </c>
    </row>
    <row r="3065" spans="1:13" s="1016" customFormat="1" ht="25.2" hidden="1" customHeight="1">
      <c r="A3065" s="1086">
        <f t="shared" si="181"/>
        <v>0</v>
      </c>
      <c r="B3065" s="1087" t="s">
        <v>4561</v>
      </c>
      <c r="C3065" s="2881">
        <f>C3064</f>
        <v>6</v>
      </c>
      <c r="D3065" s="2798"/>
      <c r="E3065" s="2809"/>
      <c r="F3065" s="2815" t="str">
        <f t="shared" si="193"/>
        <v>Chân sứ đứng D20</v>
      </c>
      <c r="G3065" s="2814" t="str">
        <f t="shared" si="194"/>
        <v>cái</v>
      </c>
      <c r="H3065" s="2810">
        <f t="shared" si="192"/>
        <v>6</v>
      </c>
      <c r="I3065" s="2810">
        <f t="shared" si="191"/>
        <v>6</v>
      </c>
      <c r="J3065" s="2810">
        <f t="shared" si="191"/>
        <v>0</v>
      </c>
      <c r="K3065" s="2810">
        <f t="shared" si="191"/>
        <v>0</v>
      </c>
      <c r="L3065" s="2797"/>
      <c r="M3065" s="934" t="s">
        <v>6436</v>
      </c>
    </row>
    <row r="3066" spans="1:13" s="1016" customFormat="1" ht="25.2" hidden="1" customHeight="1">
      <c r="A3066" s="1086">
        <f t="shared" si="181"/>
        <v>0</v>
      </c>
      <c r="B3066" s="1087" t="s">
        <v>384</v>
      </c>
      <c r="C3066" s="2842">
        <v>3</v>
      </c>
      <c r="D3066" s="2798"/>
      <c r="E3066" s="2809"/>
      <c r="F3066" s="2815" t="str">
        <f t="shared" si="193"/>
        <v>Chụp đầu MBA</v>
      </c>
      <c r="G3066" s="2814" t="str">
        <f t="shared" si="194"/>
        <v>cái</v>
      </c>
      <c r="H3066" s="2810">
        <f t="shared" si="192"/>
        <v>3</v>
      </c>
      <c r="I3066" s="2810">
        <f t="shared" si="191"/>
        <v>3</v>
      </c>
      <c r="J3066" s="2810">
        <f t="shared" si="191"/>
        <v>0</v>
      </c>
      <c r="K3066" s="2810">
        <f t="shared" si="191"/>
        <v>0</v>
      </c>
      <c r="L3066" s="2797"/>
      <c r="M3066" s="934" t="s">
        <v>6436</v>
      </c>
    </row>
    <row r="3067" spans="1:13" s="1016" customFormat="1" ht="25.2" hidden="1" customHeight="1">
      <c r="A3067" s="1086">
        <f t="shared" si="181"/>
        <v>0</v>
      </c>
      <c r="B3067" s="1087" t="s">
        <v>383</v>
      </c>
      <c r="C3067" s="2842">
        <v>3</v>
      </c>
      <c r="D3067" s="2798"/>
      <c r="E3067" s="2809"/>
      <c r="F3067" s="2815" t="str">
        <f t="shared" si="193"/>
        <v>Chụp đầu cực LA</v>
      </c>
      <c r="G3067" s="2814" t="str">
        <f t="shared" si="194"/>
        <v>cái</v>
      </c>
      <c r="H3067" s="2810">
        <f t="shared" si="192"/>
        <v>3</v>
      </c>
      <c r="I3067" s="2810">
        <f t="shared" si="191"/>
        <v>3</v>
      </c>
      <c r="J3067" s="2810">
        <f t="shared" si="191"/>
        <v>0</v>
      </c>
      <c r="K3067" s="2810">
        <f t="shared" si="191"/>
        <v>0</v>
      </c>
      <c r="L3067" s="2797"/>
      <c r="M3067" s="934" t="s">
        <v>6436</v>
      </c>
    </row>
    <row r="3068" spans="1:13" s="1016" customFormat="1" ht="25.2" hidden="1" customHeight="1">
      <c r="A3068" s="1086">
        <f t="shared" si="181"/>
        <v>0</v>
      </c>
      <c r="B3068" s="1087" t="s">
        <v>382</v>
      </c>
      <c r="C3068" s="2842">
        <v>3</v>
      </c>
      <c r="D3068" s="2798"/>
      <c r="E3068" s="2809"/>
      <c r="F3068" s="2815" t="str">
        <f t="shared" si="193"/>
        <v>Chụp đầu cực FCO (bộ 2 cái)</v>
      </c>
      <c r="G3068" s="2814" t="str">
        <f t="shared" si="194"/>
        <v>bộ</v>
      </c>
      <c r="H3068" s="2810">
        <f t="shared" si="192"/>
        <v>3</v>
      </c>
      <c r="I3068" s="2810">
        <f t="shared" si="191"/>
        <v>3</v>
      </c>
      <c r="J3068" s="2810">
        <f t="shared" si="191"/>
        <v>0</v>
      </c>
      <c r="K3068" s="2810">
        <f t="shared" si="191"/>
        <v>0</v>
      </c>
      <c r="L3068" s="2797"/>
      <c r="M3068" s="934" t="s">
        <v>6436</v>
      </c>
    </row>
    <row r="3069" spans="1:13" s="1016" customFormat="1" ht="25.2" hidden="1" customHeight="1">
      <c r="A3069" s="1086">
        <f t="shared" si="181"/>
        <v>0</v>
      </c>
      <c r="B3069" s="1087" t="s">
        <v>4462</v>
      </c>
      <c r="C3069" s="2842">
        <v>3</v>
      </c>
      <c r="D3069" s="2798"/>
      <c r="E3069" s="2809"/>
      <c r="F3069" s="2815" t="str">
        <f t="shared" si="193"/>
        <v>Nắp chụp kẹp quai + hotline</v>
      </c>
      <c r="G3069" s="2814" t="str">
        <f t="shared" si="194"/>
        <v>bộ</v>
      </c>
      <c r="H3069" s="2810">
        <f t="shared" si="192"/>
        <v>3</v>
      </c>
      <c r="I3069" s="2810">
        <f t="shared" si="191"/>
        <v>3</v>
      </c>
      <c r="J3069" s="2810">
        <f t="shared" si="191"/>
        <v>0</v>
      </c>
      <c r="K3069" s="2810">
        <f t="shared" si="191"/>
        <v>0</v>
      </c>
      <c r="L3069" s="2797"/>
      <c r="M3069" s="934" t="s">
        <v>6436</v>
      </c>
    </row>
    <row r="3070" spans="1:13" s="1016" customFormat="1" ht="25.2" hidden="1" customHeight="1">
      <c r="A3070" s="1086">
        <f t="shared" si="181"/>
        <v>0</v>
      </c>
      <c r="B3070" s="1087" t="s">
        <v>5144</v>
      </c>
      <c r="C3070" s="2842">
        <v>9</v>
      </c>
      <c r="D3070" s="2798"/>
      <c r="E3070" s="2809"/>
      <c r="F3070" s="2815" t="e">
        <f t="shared" si="193"/>
        <v>#N/A</v>
      </c>
      <c r="G3070" s="2814" t="e">
        <f t="shared" si="194"/>
        <v>#N/A</v>
      </c>
      <c r="H3070" s="2810">
        <f t="shared" si="192"/>
        <v>9</v>
      </c>
      <c r="I3070" s="2810">
        <f t="shared" si="191"/>
        <v>9</v>
      </c>
      <c r="J3070" s="2810">
        <f t="shared" si="191"/>
        <v>0</v>
      </c>
      <c r="K3070" s="2810">
        <f t="shared" si="191"/>
        <v>0</v>
      </c>
      <c r="L3070" s="2797"/>
      <c r="M3070" s="934" t="s">
        <v>6436</v>
      </c>
    </row>
    <row r="3071" spans="1:13" s="1016" customFormat="1" ht="25.2" hidden="1" customHeight="1">
      <c r="A3071" s="1086">
        <f t="shared" si="181"/>
        <v>0</v>
      </c>
      <c r="B3071" s="1087" t="s">
        <v>1565</v>
      </c>
      <c r="C3071" s="2881">
        <v>9</v>
      </c>
      <c r="D3071" s="2798"/>
      <c r="E3071" s="2809"/>
      <c r="F3071" s="2815" t="str">
        <f t="shared" si="193"/>
        <v>Lắp sứ đứng 24KV</v>
      </c>
      <c r="G3071" s="2814" t="str">
        <f t="shared" si="194"/>
        <v>bộ</v>
      </c>
      <c r="H3071" s="2810">
        <f t="shared" si="192"/>
        <v>9</v>
      </c>
      <c r="I3071" s="2810">
        <f t="shared" si="191"/>
        <v>9</v>
      </c>
      <c r="J3071" s="2810">
        <f t="shared" si="191"/>
        <v>0</v>
      </c>
      <c r="K3071" s="2810">
        <f t="shared" si="191"/>
        <v>0</v>
      </c>
      <c r="L3071" s="2797"/>
      <c r="M3071" s="934" t="s">
        <v>6436</v>
      </c>
    </row>
    <row r="3072" spans="1:13" s="1016" customFormat="1" ht="25.2" hidden="1" customHeight="1">
      <c r="A3072" s="1086">
        <f t="shared" si="181"/>
        <v>0</v>
      </c>
      <c r="B3072" s="1087" t="s">
        <v>848</v>
      </c>
      <c r="C3072" s="2842">
        <f>C3061</f>
        <v>24</v>
      </c>
      <c r="D3072" s="2798"/>
      <c r="E3072" s="2809"/>
      <c r="F3072" s="2815" t="str">
        <f t="shared" si="193"/>
        <v>Lắp cáp đồng xuống thiết bị D ≤ 95mm2</v>
      </c>
      <c r="G3072" s="2814" t="str">
        <f t="shared" si="194"/>
        <v>m</v>
      </c>
      <c r="H3072" s="2810">
        <f t="shared" si="192"/>
        <v>24</v>
      </c>
      <c r="I3072" s="2810">
        <f t="shared" si="192"/>
        <v>24</v>
      </c>
      <c r="J3072" s="2810">
        <f t="shared" si="192"/>
        <v>0</v>
      </c>
      <c r="K3072" s="2810">
        <f t="shared" si="192"/>
        <v>0</v>
      </c>
      <c r="L3072" s="2797"/>
      <c r="M3072" s="934" t="s">
        <v>6436</v>
      </c>
    </row>
    <row r="3073" spans="1:13" s="1016" customFormat="1" ht="25.2" hidden="1" customHeight="1">
      <c r="A3073" s="1086">
        <f t="shared" si="181"/>
        <v>0</v>
      </c>
      <c r="B3073" s="1087" t="s">
        <v>6448</v>
      </c>
      <c r="C3073" s="2842"/>
      <c r="D3073" s="2803"/>
      <c r="E3073" s="2804"/>
      <c r="F3073" s="2805" t="str">
        <f t="shared" si="193"/>
        <v>Bộ dây dẫn cáp vào tủ tụ bù</v>
      </c>
      <c r="G3073" s="2806" t="str">
        <f t="shared" si="194"/>
        <v>Bộ</v>
      </c>
      <c r="H3073" s="2807">
        <v>1</v>
      </c>
      <c r="I3073" s="2808">
        <v>1</v>
      </c>
      <c r="J3073" s="2818">
        <f t="shared" ref="J3073:K3073" si="195">J$3055*$C3073</f>
        <v>0</v>
      </c>
      <c r="K3073" s="2818">
        <f t="shared" si="195"/>
        <v>0</v>
      </c>
      <c r="L3073" s="2797"/>
      <c r="M3073" s="934" t="s">
        <v>6436</v>
      </c>
    </row>
    <row r="3074" spans="1:13" s="1016" customFormat="1" ht="25.2" hidden="1" customHeight="1">
      <c r="A3074" s="1086">
        <f t="shared" si="181"/>
        <v>0</v>
      </c>
      <c r="B3074" s="1087" t="s">
        <v>1489</v>
      </c>
      <c r="C3074" s="2842">
        <v>2</v>
      </c>
      <c r="D3074" s="2798"/>
      <c r="E3074" s="2809"/>
      <c r="F3074" s="2815" t="str">
        <f t="shared" si="193"/>
        <v xml:space="preserve">Ống PVC D90x3,8mm </v>
      </c>
      <c r="G3074" s="2814" t="str">
        <f t="shared" si="194"/>
        <v>m</v>
      </c>
      <c r="H3074" s="2810">
        <f>H$3073*$C3074</f>
        <v>2</v>
      </c>
      <c r="I3074" s="2810">
        <f t="shared" ref="I3074:K3082" si="196">I$3073*$C3074</f>
        <v>2</v>
      </c>
      <c r="J3074" s="2810">
        <f t="shared" si="196"/>
        <v>0</v>
      </c>
      <c r="K3074" s="2810">
        <f t="shared" si="196"/>
        <v>0</v>
      </c>
      <c r="L3074" s="2797"/>
      <c r="M3074" s="934" t="s">
        <v>6436</v>
      </c>
    </row>
    <row r="3075" spans="1:13" s="1016" customFormat="1" ht="25.2" hidden="1" customHeight="1">
      <c r="A3075" s="1086">
        <f t="shared" si="181"/>
        <v>0</v>
      </c>
      <c r="B3075" s="1087" t="s">
        <v>70</v>
      </c>
      <c r="C3075" s="2842">
        <v>2</v>
      </c>
      <c r="D3075" s="2798"/>
      <c r="E3075" s="2809"/>
      <c r="F3075" s="2815" t="str">
        <f t="shared" si="193"/>
        <v>Co  90 độ PVC 90</v>
      </c>
      <c r="G3075" s="2814" t="str">
        <f t="shared" si="194"/>
        <v>cái</v>
      </c>
      <c r="H3075" s="2810">
        <f t="shared" ref="H3075:H3081" si="197">H$3073*$C3075</f>
        <v>2</v>
      </c>
      <c r="I3075" s="2810">
        <f t="shared" si="196"/>
        <v>2</v>
      </c>
      <c r="J3075" s="2810">
        <f t="shared" si="196"/>
        <v>0</v>
      </c>
      <c r="K3075" s="2810">
        <f t="shared" si="196"/>
        <v>0</v>
      </c>
      <c r="L3075" s="2797"/>
      <c r="M3075" s="934" t="s">
        <v>6436</v>
      </c>
    </row>
    <row r="3076" spans="1:13" s="1016" customFormat="1" ht="25.2" hidden="1" customHeight="1">
      <c r="A3076" s="1086">
        <f t="shared" si="181"/>
        <v>0</v>
      </c>
      <c r="B3076" s="1087" t="s">
        <v>276</v>
      </c>
      <c r="C3076" s="2842">
        <v>1</v>
      </c>
      <c r="D3076" s="2798"/>
      <c r="E3076" s="2809"/>
      <c r="F3076" s="2815" t="str">
        <f t="shared" si="193"/>
        <v>Cổ dê kẹp ống PVC Ø 90</v>
      </c>
      <c r="G3076" s="2814" t="str">
        <f t="shared" si="194"/>
        <v>bộ</v>
      </c>
      <c r="H3076" s="2810">
        <f t="shared" si="197"/>
        <v>1</v>
      </c>
      <c r="I3076" s="2810">
        <f t="shared" si="196"/>
        <v>1</v>
      </c>
      <c r="J3076" s="2810">
        <f t="shared" si="196"/>
        <v>0</v>
      </c>
      <c r="K3076" s="2810">
        <f t="shared" si="196"/>
        <v>0</v>
      </c>
      <c r="L3076" s="2797"/>
      <c r="M3076" s="934" t="s">
        <v>6436</v>
      </c>
    </row>
    <row r="3077" spans="1:13" s="1016" customFormat="1" ht="25.2" hidden="1" customHeight="1">
      <c r="A3077" s="1086">
        <f t="shared" ref="A3077:A3096" si="198">IF(AND(M3077=$M$23,I3077&gt;0),1,0)</f>
        <v>0</v>
      </c>
      <c r="B3077" s="1087" t="s">
        <v>70</v>
      </c>
      <c r="C3077" s="2842">
        <v>3</v>
      </c>
      <c r="D3077" s="2798"/>
      <c r="E3077" s="2809"/>
      <c r="F3077" s="2815" t="str">
        <f t="shared" si="193"/>
        <v>Co  90 độ PVC 90</v>
      </c>
      <c r="G3077" s="2814" t="str">
        <f t="shared" si="194"/>
        <v>cái</v>
      </c>
      <c r="H3077" s="2810">
        <f t="shared" si="197"/>
        <v>3</v>
      </c>
      <c r="I3077" s="2810">
        <f t="shared" si="196"/>
        <v>3</v>
      </c>
      <c r="J3077" s="2810">
        <f t="shared" si="196"/>
        <v>0</v>
      </c>
      <c r="K3077" s="2810">
        <f t="shared" si="196"/>
        <v>0</v>
      </c>
      <c r="L3077" s="2797"/>
      <c r="M3077" s="934" t="s">
        <v>6436</v>
      </c>
    </row>
    <row r="3078" spans="1:13" s="1016" customFormat="1" ht="25.2" hidden="1" customHeight="1">
      <c r="A3078" s="1086">
        <f t="shared" si="198"/>
        <v>0</v>
      </c>
      <c r="B3078" s="1087" t="s">
        <v>2019</v>
      </c>
      <c r="C3078" s="2842">
        <v>2</v>
      </c>
      <c r="D3078" s="2798"/>
      <c r="E3078" s="2809"/>
      <c r="F3078" s="2815" t="str">
        <f t="shared" si="193"/>
        <v>Boulon 12x40+ 2 long đền vuông D14-50x50x3/Zn</v>
      </c>
      <c r="G3078" s="2814" t="str">
        <f t="shared" si="194"/>
        <v>bộ</v>
      </c>
      <c r="H3078" s="2810">
        <f t="shared" si="197"/>
        <v>2</v>
      </c>
      <c r="I3078" s="2810">
        <f t="shared" si="196"/>
        <v>2</v>
      </c>
      <c r="J3078" s="2810">
        <f t="shared" si="196"/>
        <v>0</v>
      </c>
      <c r="K3078" s="2810">
        <f t="shared" si="196"/>
        <v>0</v>
      </c>
      <c r="L3078" s="2797"/>
      <c r="M3078" s="934" t="s">
        <v>6436</v>
      </c>
    </row>
    <row r="3079" spans="1:13" s="1016" customFormat="1" ht="25.2" hidden="1" customHeight="1">
      <c r="A3079" s="1086">
        <f t="shared" si="198"/>
        <v>0</v>
      </c>
      <c r="B3079" s="1087" t="s">
        <v>1350</v>
      </c>
      <c r="C3079" s="2842">
        <v>2</v>
      </c>
      <c r="D3079" s="2798"/>
      <c r="E3079" s="2809"/>
      <c r="F3079" s="2815" t="str">
        <f t="shared" si="193"/>
        <v>Boulon 12x60+ 2 long đền vuông D14-50x50x3/Zn</v>
      </c>
      <c r="G3079" s="2814" t="str">
        <f t="shared" si="194"/>
        <v>bộ</v>
      </c>
      <c r="H3079" s="2810">
        <f t="shared" si="197"/>
        <v>2</v>
      </c>
      <c r="I3079" s="2810">
        <f t="shared" si="196"/>
        <v>2</v>
      </c>
      <c r="J3079" s="2810">
        <f t="shared" si="196"/>
        <v>0</v>
      </c>
      <c r="K3079" s="2810">
        <f t="shared" si="196"/>
        <v>0</v>
      </c>
      <c r="L3079" s="2797"/>
      <c r="M3079" s="934" t="s">
        <v>6436</v>
      </c>
    </row>
    <row r="3080" spans="1:13" s="1016" customFormat="1" ht="25.2" hidden="1" customHeight="1">
      <c r="A3080" s="1086">
        <f t="shared" si="198"/>
        <v>0</v>
      </c>
      <c r="B3080" s="1087" t="s">
        <v>2153</v>
      </c>
      <c r="C3080" s="2842">
        <v>2</v>
      </c>
      <c r="D3080" s="2798"/>
      <c r="E3080" s="2809"/>
      <c r="F3080" s="2815" t="str">
        <f t="shared" si="193"/>
        <v>Khâu ven răng trong D90</v>
      </c>
      <c r="G3080" s="2814" t="str">
        <f t="shared" si="194"/>
        <v>cái</v>
      </c>
      <c r="H3080" s="2810">
        <f t="shared" si="197"/>
        <v>2</v>
      </c>
      <c r="I3080" s="2810">
        <f t="shared" si="196"/>
        <v>2</v>
      </c>
      <c r="J3080" s="2810">
        <f t="shared" si="196"/>
        <v>0</v>
      </c>
      <c r="K3080" s="2810">
        <f t="shared" si="196"/>
        <v>0</v>
      </c>
      <c r="L3080" s="2797"/>
      <c r="M3080" s="934" t="s">
        <v>6436</v>
      </c>
    </row>
    <row r="3081" spans="1:13" s="1016" customFormat="1" ht="25.2" hidden="1" customHeight="1">
      <c r="A3081" s="1086">
        <f t="shared" si="198"/>
        <v>0</v>
      </c>
      <c r="B3081" s="1087" t="s">
        <v>2154</v>
      </c>
      <c r="C3081" s="2842">
        <v>2</v>
      </c>
      <c r="D3081" s="2798"/>
      <c r="E3081" s="2809"/>
      <c r="F3081" s="2815" t="str">
        <f t="shared" si="193"/>
        <v>Khâu ven răng ngoài D90</v>
      </c>
      <c r="G3081" s="2814" t="str">
        <f t="shared" si="194"/>
        <v>cái</v>
      </c>
      <c r="H3081" s="2810">
        <f t="shared" si="197"/>
        <v>2</v>
      </c>
      <c r="I3081" s="2810">
        <f t="shared" si="196"/>
        <v>2</v>
      </c>
      <c r="J3081" s="2810">
        <f t="shared" si="196"/>
        <v>0</v>
      </c>
      <c r="K3081" s="2810">
        <f t="shared" si="196"/>
        <v>0</v>
      </c>
      <c r="L3081" s="2797"/>
      <c r="M3081" s="934" t="s">
        <v>6436</v>
      </c>
    </row>
    <row r="3082" spans="1:13" s="1016" customFormat="1" ht="25.2" hidden="1" customHeight="1">
      <c r="A3082" s="1086">
        <f t="shared" si="198"/>
        <v>0</v>
      </c>
      <c r="B3082" s="1087" t="s">
        <v>6449</v>
      </c>
      <c r="C3082" s="2842"/>
      <c r="D3082" s="2803"/>
      <c r="E3082" s="2804"/>
      <c r="F3082" s="2805" t="str">
        <f t="shared" si="193"/>
        <v>Bộ dây dẫn cáp xuất MBA vào tủ CB</v>
      </c>
      <c r="G3082" s="2806" t="str">
        <f t="shared" si="194"/>
        <v>Bộ</v>
      </c>
      <c r="H3082" s="2807">
        <v>1</v>
      </c>
      <c r="I3082" s="2808">
        <v>1</v>
      </c>
      <c r="J3082" s="2818">
        <f t="shared" si="196"/>
        <v>0</v>
      </c>
      <c r="K3082" s="2818">
        <f t="shared" si="196"/>
        <v>0</v>
      </c>
      <c r="L3082" s="2797"/>
      <c r="M3082" s="934" t="s">
        <v>6436</v>
      </c>
    </row>
    <row r="3083" spans="1:13" s="1016" customFormat="1" ht="25.2" hidden="1" customHeight="1">
      <c r="A3083" s="1086">
        <f t="shared" si="198"/>
        <v>0</v>
      </c>
      <c r="B3083" s="1087" t="s">
        <v>608</v>
      </c>
      <c r="C3083" s="2842">
        <v>25.5</v>
      </c>
      <c r="D3083" s="2798"/>
      <c r="E3083" s="2809"/>
      <c r="F3083" s="2815" t="str">
        <f t="shared" si="193"/>
        <v>Cáp đồng bọc CV200</v>
      </c>
      <c r="G3083" s="2814" t="str">
        <f t="shared" si="194"/>
        <v>mét</v>
      </c>
      <c r="H3083" s="2810">
        <f>H$3082*$C3083</f>
        <v>25.5</v>
      </c>
      <c r="I3083" s="2810">
        <f t="shared" ref="I3083:K3096" si="199">I$3082*$C3083</f>
        <v>25.5</v>
      </c>
      <c r="J3083" s="2810">
        <f t="shared" si="199"/>
        <v>0</v>
      </c>
      <c r="K3083" s="2810">
        <f t="shared" si="199"/>
        <v>0</v>
      </c>
      <c r="L3083" s="2797"/>
      <c r="M3083" s="934" t="s">
        <v>6436</v>
      </c>
    </row>
    <row r="3084" spans="1:13" s="1016" customFormat="1" ht="25.2" hidden="1" customHeight="1">
      <c r="A3084" s="1086">
        <f t="shared" si="198"/>
        <v>0</v>
      </c>
      <c r="B3084" s="1087" t="s">
        <v>6450</v>
      </c>
      <c r="C3084" s="2842">
        <v>6</v>
      </c>
      <c r="D3084" s="2798"/>
      <c r="E3084" s="2809"/>
      <c r="F3084" s="2815" t="str">
        <f t="shared" si="193"/>
        <v>Đầu cosse ép Cu 200mm2</v>
      </c>
      <c r="G3084" s="2814" t="str">
        <f t="shared" si="194"/>
        <v>cái</v>
      </c>
      <c r="H3084" s="2810">
        <f t="shared" ref="H3084:H3096" si="200">H$3082*$C3084</f>
        <v>6</v>
      </c>
      <c r="I3084" s="2810">
        <f t="shared" si="199"/>
        <v>6</v>
      </c>
      <c r="J3084" s="2810">
        <f t="shared" si="199"/>
        <v>0</v>
      </c>
      <c r="K3084" s="2810">
        <f t="shared" si="199"/>
        <v>0</v>
      </c>
      <c r="L3084" s="2797"/>
      <c r="M3084" s="934" t="s">
        <v>6436</v>
      </c>
    </row>
    <row r="3085" spans="1:13" s="1016" customFormat="1" ht="25.2" hidden="1" customHeight="1">
      <c r="A3085" s="1086">
        <f t="shared" si="198"/>
        <v>0</v>
      </c>
      <c r="B3085" s="1087" t="s">
        <v>610</v>
      </c>
      <c r="C3085" s="2842">
        <v>6</v>
      </c>
      <c r="D3085" s="2798"/>
      <c r="E3085" s="2809"/>
      <c r="F3085" s="2815" t="str">
        <f t="shared" si="193"/>
        <v>Chụp đầu cosse  200mm2</v>
      </c>
      <c r="G3085" s="2814" t="str">
        <f t="shared" si="194"/>
        <v>cái</v>
      </c>
      <c r="H3085" s="2810">
        <f t="shared" si="200"/>
        <v>6</v>
      </c>
      <c r="I3085" s="2810">
        <f t="shared" si="199"/>
        <v>6</v>
      </c>
      <c r="J3085" s="2810">
        <f t="shared" si="199"/>
        <v>0</v>
      </c>
      <c r="K3085" s="2810">
        <f t="shared" si="199"/>
        <v>0</v>
      </c>
      <c r="L3085" s="2797"/>
      <c r="M3085" s="934" t="s">
        <v>6436</v>
      </c>
    </row>
    <row r="3086" spans="1:13" s="1016" customFormat="1" ht="25.2" hidden="1" customHeight="1">
      <c r="A3086" s="1086">
        <f t="shared" si="198"/>
        <v>0</v>
      </c>
      <c r="B3086" s="1087" t="s">
        <v>608</v>
      </c>
      <c r="C3086" s="2842">
        <v>8.5</v>
      </c>
      <c r="D3086" s="2798"/>
      <c r="E3086" s="2809"/>
      <c r="F3086" s="2815" t="str">
        <f t="shared" si="193"/>
        <v>Cáp đồng bọc CV200</v>
      </c>
      <c r="G3086" s="2814" t="str">
        <f t="shared" si="194"/>
        <v>mét</v>
      </c>
      <c r="H3086" s="2810">
        <f t="shared" si="200"/>
        <v>8.5</v>
      </c>
      <c r="I3086" s="2810">
        <f t="shared" si="199"/>
        <v>8.5</v>
      </c>
      <c r="J3086" s="2810">
        <f t="shared" si="199"/>
        <v>0</v>
      </c>
      <c r="K3086" s="2810">
        <f t="shared" si="199"/>
        <v>0</v>
      </c>
      <c r="L3086" s="2797"/>
      <c r="M3086" s="934" t="s">
        <v>6436</v>
      </c>
    </row>
    <row r="3087" spans="1:13" s="1016" customFormat="1" ht="25.2" hidden="1" customHeight="1">
      <c r="A3087" s="1086">
        <f t="shared" si="198"/>
        <v>0</v>
      </c>
      <c r="B3087" s="1087" t="s">
        <v>6450</v>
      </c>
      <c r="C3087" s="2842">
        <v>2</v>
      </c>
      <c r="D3087" s="2798"/>
      <c r="E3087" s="2809"/>
      <c r="F3087" s="2815" t="str">
        <f t="shared" si="193"/>
        <v>Đầu cosse ép Cu 200mm2</v>
      </c>
      <c r="G3087" s="2814" t="str">
        <f t="shared" si="194"/>
        <v>cái</v>
      </c>
      <c r="H3087" s="2810">
        <f t="shared" si="200"/>
        <v>2</v>
      </c>
      <c r="I3087" s="2810">
        <f t="shared" si="199"/>
        <v>2</v>
      </c>
      <c r="J3087" s="2810">
        <f t="shared" si="199"/>
        <v>0</v>
      </c>
      <c r="K3087" s="2810">
        <f t="shared" si="199"/>
        <v>0</v>
      </c>
      <c r="L3087" s="2797"/>
      <c r="M3087" s="934" t="s">
        <v>6436</v>
      </c>
    </row>
    <row r="3088" spans="1:13" s="1016" customFormat="1" ht="25.2" hidden="1" customHeight="1">
      <c r="A3088" s="1086">
        <f t="shared" si="198"/>
        <v>0</v>
      </c>
      <c r="B3088" s="1087" t="s">
        <v>610</v>
      </c>
      <c r="C3088" s="2842">
        <v>2</v>
      </c>
      <c r="D3088" s="2798"/>
      <c r="E3088" s="2809"/>
      <c r="F3088" s="2815" t="str">
        <f t="shared" si="193"/>
        <v>Chụp đầu cosse  200mm2</v>
      </c>
      <c r="G3088" s="2814" t="str">
        <f t="shared" si="194"/>
        <v>cái</v>
      </c>
      <c r="H3088" s="2810">
        <f t="shared" si="200"/>
        <v>2</v>
      </c>
      <c r="I3088" s="2810">
        <f t="shared" si="199"/>
        <v>2</v>
      </c>
      <c r="J3088" s="2810">
        <f t="shared" si="199"/>
        <v>0</v>
      </c>
      <c r="K3088" s="2810">
        <f t="shared" si="199"/>
        <v>0</v>
      </c>
      <c r="L3088" s="2797"/>
      <c r="M3088" s="934" t="s">
        <v>6436</v>
      </c>
    </row>
    <row r="3089" spans="1:13" s="1016" customFormat="1" ht="25.2" hidden="1" customHeight="1">
      <c r="A3089" s="1086">
        <f t="shared" si="198"/>
        <v>0</v>
      </c>
      <c r="B3089" s="1087" t="s">
        <v>584</v>
      </c>
      <c r="C3089" s="2842">
        <v>6</v>
      </c>
      <c r="D3089" s="2798"/>
      <c r="E3089" s="2809"/>
      <c r="F3089" s="2815" t="str">
        <f t="shared" si="193"/>
        <v xml:space="preserve">Ống PVC D114x4,9mm </v>
      </c>
      <c r="G3089" s="2814" t="str">
        <f t="shared" si="194"/>
        <v>m</v>
      </c>
      <c r="H3089" s="2810">
        <f t="shared" si="200"/>
        <v>6</v>
      </c>
      <c r="I3089" s="2810">
        <f t="shared" si="199"/>
        <v>6</v>
      </c>
      <c r="J3089" s="2810">
        <f t="shared" si="199"/>
        <v>0</v>
      </c>
      <c r="K3089" s="2810">
        <f t="shared" si="199"/>
        <v>0</v>
      </c>
      <c r="L3089" s="2797"/>
      <c r="M3089" s="934" t="s">
        <v>6436</v>
      </c>
    </row>
    <row r="3090" spans="1:13" s="1016" customFormat="1" ht="25.2" hidden="1" customHeight="1">
      <c r="A3090" s="1086">
        <f t="shared" si="198"/>
        <v>0</v>
      </c>
      <c r="B3090" s="1087" t="s">
        <v>1862</v>
      </c>
      <c r="C3090" s="2842">
        <v>2</v>
      </c>
      <c r="D3090" s="2798"/>
      <c r="E3090" s="2809"/>
      <c r="F3090" s="2815" t="str">
        <f t="shared" si="193"/>
        <v>Cổ dê kẹp ống PVC Ø 114</v>
      </c>
      <c r="G3090" s="2814" t="str">
        <f t="shared" si="194"/>
        <v>bộ</v>
      </c>
      <c r="H3090" s="2810">
        <f t="shared" si="200"/>
        <v>2</v>
      </c>
      <c r="I3090" s="2810">
        <f t="shared" si="199"/>
        <v>2</v>
      </c>
      <c r="J3090" s="2810">
        <f t="shared" si="199"/>
        <v>0</v>
      </c>
      <c r="K3090" s="2810">
        <f t="shared" si="199"/>
        <v>0</v>
      </c>
      <c r="L3090" s="2797"/>
      <c r="M3090" s="934" t="s">
        <v>6436</v>
      </c>
    </row>
    <row r="3091" spans="1:13" s="1016" customFormat="1" ht="25.2" hidden="1" customHeight="1">
      <c r="A3091" s="1086">
        <f t="shared" si="198"/>
        <v>0</v>
      </c>
      <c r="B3091" s="1087" t="s">
        <v>4766</v>
      </c>
      <c r="C3091" s="2842">
        <v>1</v>
      </c>
      <c r="D3091" s="2798"/>
      <c r="E3091" s="2809"/>
      <c r="F3091" s="2815" t="str">
        <f t="shared" si="193"/>
        <v>Co 135 độ PVC 114</v>
      </c>
      <c r="G3091" s="2814" t="str">
        <f t="shared" si="194"/>
        <v>cái</v>
      </c>
      <c r="H3091" s="2810">
        <f t="shared" si="200"/>
        <v>1</v>
      </c>
      <c r="I3091" s="2810">
        <f t="shared" si="199"/>
        <v>1</v>
      </c>
      <c r="J3091" s="2810">
        <f t="shared" si="199"/>
        <v>0</v>
      </c>
      <c r="K3091" s="2810">
        <f t="shared" si="199"/>
        <v>0</v>
      </c>
      <c r="L3091" s="2797"/>
      <c r="M3091" s="934" t="s">
        <v>6436</v>
      </c>
    </row>
    <row r="3092" spans="1:13" s="1016" customFormat="1" ht="25.2" hidden="1" customHeight="1">
      <c r="A3092" s="1086">
        <f t="shared" si="198"/>
        <v>0</v>
      </c>
      <c r="B3092" s="1087" t="s">
        <v>1043</v>
      </c>
      <c r="C3092" s="2842">
        <v>1</v>
      </c>
      <c r="D3092" s="2798"/>
      <c r="E3092" s="2809"/>
      <c r="F3092" s="2815" t="str">
        <f t="shared" si="193"/>
        <v>Co sừng 90 độ PVC 114</v>
      </c>
      <c r="G3092" s="2814" t="str">
        <f t="shared" si="194"/>
        <v>cái</v>
      </c>
      <c r="H3092" s="2810">
        <f t="shared" si="200"/>
        <v>1</v>
      </c>
      <c r="I3092" s="2810">
        <f t="shared" si="199"/>
        <v>1</v>
      </c>
      <c r="J3092" s="2810">
        <f t="shared" si="199"/>
        <v>0</v>
      </c>
      <c r="K3092" s="2810">
        <f t="shared" si="199"/>
        <v>0</v>
      </c>
      <c r="L3092" s="2797"/>
      <c r="M3092" s="934" t="s">
        <v>6436</v>
      </c>
    </row>
    <row r="3093" spans="1:13" s="1016" customFormat="1" ht="25.2" hidden="1" customHeight="1">
      <c r="A3093" s="1086">
        <f t="shared" si="198"/>
        <v>0</v>
      </c>
      <c r="B3093" s="1087" t="s">
        <v>6451</v>
      </c>
      <c r="C3093" s="2842">
        <v>1</v>
      </c>
      <c r="D3093" s="2798"/>
      <c r="E3093" s="2809"/>
      <c r="F3093" s="2815" t="str">
        <f t="shared" si="193"/>
        <v>Keo dán ống PVC (500gr)</v>
      </c>
      <c r="G3093" s="2814" t="str">
        <f t="shared" si="194"/>
        <v>lon</v>
      </c>
      <c r="H3093" s="2810">
        <f t="shared" si="200"/>
        <v>1</v>
      </c>
      <c r="I3093" s="2810">
        <f t="shared" si="199"/>
        <v>1</v>
      </c>
      <c r="J3093" s="2810">
        <f t="shared" si="199"/>
        <v>0</v>
      </c>
      <c r="K3093" s="2810">
        <f t="shared" si="199"/>
        <v>0</v>
      </c>
      <c r="L3093" s="2797"/>
      <c r="M3093" s="934" t="s">
        <v>6436</v>
      </c>
    </row>
    <row r="3094" spans="1:13" s="1016" customFormat="1" ht="25.2" hidden="1" customHeight="1">
      <c r="A3094" s="1086">
        <f t="shared" si="198"/>
        <v>0</v>
      </c>
      <c r="B3094" s="1087" t="s">
        <v>6</v>
      </c>
      <c r="C3094" s="2842">
        <v>1</v>
      </c>
      <c r="D3094" s="2798"/>
      <c r="E3094" s="2809"/>
      <c r="F3094" s="2815" t="str">
        <f t="shared" si="193"/>
        <v>Keo silicon bít miệng ống</v>
      </c>
      <c r="G3094" s="2814" t="str">
        <f t="shared" si="194"/>
        <v>ống</v>
      </c>
      <c r="H3094" s="2810">
        <f t="shared" si="200"/>
        <v>1</v>
      </c>
      <c r="I3094" s="2810">
        <f t="shared" si="199"/>
        <v>1</v>
      </c>
      <c r="J3094" s="2810">
        <f t="shared" si="199"/>
        <v>0</v>
      </c>
      <c r="K3094" s="2810">
        <f t="shared" si="199"/>
        <v>0</v>
      </c>
      <c r="L3094" s="2797"/>
      <c r="M3094" s="934" t="s">
        <v>6436</v>
      </c>
    </row>
    <row r="3095" spans="1:13" s="1016" customFormat="1" ht="25.2" hidden="1" customHeight="1">
      <c r="A3095" s="1086">
        <f t="shared" si="198"/>
        <v>0</v>
      </c>
      <c r="B3095" s="1087" t="s">
        <v>6452</v>
      </c>
      <c r="C3095" s="2842">
        <v>2</v>
      </c>
      <c r="D3095" s="2798"/>
      <c r="E3095" s="2809"/>
      <c r="F3095" s="2815" t="str">
        <f t="shared" si="193"/>
        <v xml:space="preserve">Cáp CVV 4x4mm2  </v>
      </c>
      <c r="G3095" s="2814" t="str">
        <f t="shared" si="194"/>
        <v>mét</v>
      </c>
      <c r="H3095" s="2810">
        <f t="shared" si="200"/>
        <v>2</v>
      </c>
      <c r="I3095" s="2810">
        <f t="shared" si="199"/>
        <v>2</v>
      </c>
      <c r="J3095" s="2810">
        <f t="shared" si="199"/>
        <v>0</v>
      </c>
      <c r="K3095" s="2810">
        <f t="shared" si="199"/>
        <v>0</v>
      </c>
      <c r="L3095" s="2797"/>
      <c r="M3095" s="934" t="s">
        <v>6436</v>
      </c>
    </row>
    <row r="3096" spans="1:13" s="1016" customFormat="1" ht="25.2" hidden="1" customHeight="1">
      <c r="A3096" s="1086">
        <f t="shared" si="198"/>
        <v>0</v>
      </c>
      <c r="B3096" s="1087" t="s">
        <v>1890</v>
      </c>
      <c r="C3096" s="2842">
        <f>C3083+C3086</f>
        <v>34</v>
      </c>
      <c r="D3096" s="2798"/>
      <c r="E3096" s="2809"/>
      <c r="F3096" s="2815" t="str">
        <f t="shared" si="193"/>
        <v>Lắp cáp đồng xuống thiết bị D &gt; 150mm2</v>
      </c>
      <c r="G3096" s="2814" t="str">
        <f t="shared" si="194"/>
        <v>m</v>
      </c>
      <c r="H3096" s="2810">
        <f t="shared" si="200"/>
        <v>34</v>
      </c>
      <c r="I3096" s="2810">
        <f t="shared" si="199"/>
        <v>34</v>
      </c>
      <c r="J3096" s="2810">
        <f t="shared" si="199"/>
        <v>0</v>
      </c>
      <c r="K3096" s="2810">
        <f t="shared" si="199"/>
        <v>0</v>
      </c>
      <c r="L3096" s="2797"/>
      <c r="M3096" s="934" t="s">
        <v>6436</v>
      </c>
    </row>
    <row r="3097" spans="1:13" s="1016" customFormat="1" ht="20.100000000000001" customHeight="1">
      <c r="A3097" s="1086">
        <v>1</v>
      </c>
      <c r="B3097" s="2826"/>
      <c r="C3097" s="2868"/>
      <c r="D3097" s="1082"/>
      <c r="E3097" s="1071"/>
      <c r="F3097" s="1038"/>
      <c r="G3097" s="1072"/>
      <c r="H3097" s="1733"/>
      <c r="I3097" s="1733"/>
      <c r="J3097" s="1073"/>
      <c r="K3097" s="1073"/>
      <c r="L3097" s="1088"/>
      <c r="M3097" s="934">
        <f>M23</f>
        <v>1000</v>
      </c>
    </row>
  </sheetData>
  <autoFilter ref="A24:N3097" xr:uid="{00000000-0009-0000-0000-00000F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34" priority="17"/>
  </conditionalFormatting>
  <conditionalFormatting sqref="B1320:C1320">
    <cfRule type="duplicateValues" dxfId="133" priority="16"/>
  </conditionalFormatting>
  <conditionalFormatting sqref="B1321:C1321">
    <cfRule type="duplicateValues" dxfId="132" priority="15"/>
  </conditionalFormatting>
  <conditionalFormatting sqref="B1321:C1321">
    <cfRule type="duplicateValues" dxfId="131" priority="14"/>
  </conditionalFormatting>
  <conditionalFormatting sqref="B1367:C1367">
    <cfRule type="duplicateValues" dxfId="130" priority="13"/>
  </conditionalFormatting>
  <conditionalFormatting sqref="B1367:C1367">
    <cfRule type="duplicateValues" dxfId="129" priority="12"/>
  </conditionalFormatting>
  <conditionalFormatting sqref="B1401:C1401">
    <cfRule type="duplicateValues" dxfId="128" priority="11"/>
  </conditionalFormatting>
  <conditionalFormatting sqref="B1401:C1401">
    <cfRule type="duplicateValues" dxfId="127" priority="10"/>
  </conditionalFormatting>
  <conditionalFormatting sqref="B1364:C1364">
    <cfRule type="duplicateValues" dxfId="126" priority="9"/>
  </conditionalFormatting>
  <conditionalFormatting sqref="B1364:C1364">
    <cfRule type="duplicateValues" dxfId="125" priority="8"/>
  </conditionalFormatting>
  <conditionalFormatting sqref="B1365:C1365">
    <cfRule type="duplicateValues" dxfId="124" priority="7"/>
  </conditionalFormatting>
  <conditionalFormatting sqref="B1365:C1365">
    <cfRule type="duplicateValues" dxfId="123" priority="6"/>
  </conditionalFormatting>
  <conditionalFormatting sqref="B1363:C1363">
    <cfRule type="duplicateValues" dxfId="122" priority="5"/>
  </conditionalFormatting>
  <conditionalFormatting sqref="B1363:C1363">
    <cfRule type="duplicateValues" dxfId="121" priority="4"/>
  </conditionalFormatting>
  <conditionalFormatting sqref="B3057">
    <cfRule type="duplicateValues" dxfId="120"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filterMode="1">
    <tabColor rgb="FFFFFF00"/>
  </sheetPr>
  <dimension ref="A1:U2865"/>
  <sheetViews>
    <sheetView showZeros="0" tabSelected="1" zoomScale="90" zoomScaleNormal="90" workbookViewId="0">
      <pane ySplit="10" topLeftCell="A2434" activePane="bottomLeft" state="frozen"/>
      <selection activeCell="D399" sqref="D399"/>
      <selection pane="bottomLeft" activeCell="F2447" sqref="F2447"/>
    </sheetView>
  </sheetViews>
  <sheetFormatPr defaultColWidth="8.90625" defaultRowHeight="13.2" outlineLevelRow="1" outlineLevelCol="1"/>
  <cols>
    <col min="1" max="1" width="8.1796875" style="1448" customWidth="1"/>
    <col min="2" max="2" width="9.453125" style="1447" customWidth="1"/>
    <col min="3" max="3" width="4.54296875" style="1700" customWidth="1"/>
    <col min="4" max="4" width="8.36328125" style="1404" customWidth="1"/>
    <col min="5" max="5" width="9.81640625" style="58" customWidth="1"/>
    <col min="6" max="6" width="48.36328125" style="955" customWidth="1"/>
    <col min="7" max="7" width="11.1796875" style="58" customWidth="1"/>
    <col min="8" max="8" width="10" style="1689" customWidth="1"/>
    <col min="9" max="15" width="10" style="1689" hidden="1" customWidth="1" outlineLevel="1"/>
    <col min="16" max="16" width="10" style="1690" customWidth="1" collapsed="1"/>
    <col min="17" max="17" width="10" style="2680" customWidth="1" outlineLevel="1"/>
    <col min="18" max="18" width="10" style="53" customWidth="1" outlineLevel="1"/>
    <col min="19" max="19" width="9.90625" style="53" customWidth="1"/>
    <col min="20" max="20" width="11.453125" style="1861" customWidth="1"/>
    <col min="21" max="16384" width="8.90625" style="53"/>
  </cols>
  <sheetData>
    <row r="1" spans="1:20" hidden="1" outlineLevel="1">
      <c r="A1" s="56"/>
      <c r="B1" s="1447">
        <v>1</v>
      </c>
      <c r="C1" s="969"/>
      <c r="F1" s="954" t="s">
        <v>2316</v>
      </c>
      <c r="G1" s="63">
        <v>1.5</v>
      </c>
      <c r="Q1" s="53"/>
      <c r="T1" s="53"/>
    </row>
    <row r="2" spans="1:20" hidden="1" outlineLevel="1">
      <c r="A2" s="56"/>
      <c r="B2" s="1447">
        <v>0</v>
      </c>
      <c r="C2" s="969"/>
      <c r="F2" s="954" t="s">
        <v>2317</v>
      </c>
      <c r="G2" s="63">
        <v>1.7</v>
      </c>
      <c r="Q2" s="53"/>
      <c r="T2" s="53"/>
    </row>
    <row r="3" spans="1:20" ht="16.5" hidden="1" customHeight="1" outlineLevel="1">
      <c r="A3" s="56"/>
      <c r="C3" s="969"/>
      <c r="F3" s="954" t="s">
        <v>2318</v>
      </c>
      <c r="G3" s="63">
        <v>0.7</v>
      </c>
      <c r="Q3" s="53"/>
      <c r="T3" s="53"/>
    </row>
    <row r="4" spans="1:20" hidden="1" outlineLevel="1">
      <c r="A4" s="56"/>
      <c r="C4" s="969"/>
      <c r="F4" s="954" t="s">
        <v>2319</v>
      </c>
      <c r="G4" s="63">
        <v>0.7</v>
      </c>
      <c r="Q4" s="53"/>
      <c r="T4" s="53"/>
    </row>
    <row r="5" spans="1:20" hidden="1" outlineLevel="1">
      <c r="A5" s="56"/>
      <c r="C5" s="969"/>
      <c r="F5" s="954" t="s">
        <v>2320</v>
      </c>
      <c r="G5" s="777">
        <v>3</v>
      </c>
      <c r="Q5" s="53"/>
      <c r="T5" s="53"/>
    </row>
    <row r="6" spans="1:20" ht="37.5" customHeight="1" collapsed="1">
      <c r="A6" s="1446"/>
      <c r="D6" s="1405"/>
      <c r="E6" s="3212" t="s">
        <v>4810</v>
      </c>
      <c r="F6" s="3212"/>
      <c r="G6" s="3212"/>
      <c r="H6" s="3212"/>
      <c r="I6" s="3212"/>
      <c r="J6" s="3212"/>
      <c r="K6" s="3212"/>
      <c r="L6" s="3212"/>
      <c r="M6" s="3212"/>
      <c r="N6" s="3212"/>
      <c r="O6" s="3212"/>
      <c r="P6" s="3212"/>
      <c r="Q6" s="3212"/>
      <c r="R6" s="3212"/>
      <c r="S6" s="3212"/>
    </row>
    <row r="7" spans="1:20" ht="21.75" customHeight="1">
      <c r="D7" s="1406"/>
      <c r="E7" s="3213" t="str">
        <f>CT_tram!D20</f>
        <v>Công trình: Đường dây 22kV &amp; TBA 3P-1000kVA Công ty TNHH Đầu tư Đồng Tâm Solar</v>
      </c>
      <c r="F7" s="3213"/>
      <c r="G7" s="3213"/>
      <c r="H7" s="3213"/>
      <c r="I7" s="3213"/>
      <c r="J7" s="3213"/>
      <c r="K7" s="3213"/>
      <c r="L7" s="3213"/>
      <c r="M7" s="3213"/>
      <c r="N7" s="3213"/>
      <c r="O7" s="3213"/>
      <c r="P7" s="3213"/>
      <c r="Q7" s="3213"/>
      <c r="R7" s="3213"/>
      <c r="S7" s="3213"/>
    </row>
    <row r="8" spans="1:20" ht="18.75" customHeight="1">
      <c r="D8" s="1405"/>
      <c r="E8" s="3214" t="str">
        <f>CT_tram!D21</f>
        <v>Địa điểm: Xã Xuân Hưng - Huyện Xuân Lộc - Tỉnh Đồng Nai</v>
      </c>
      <c r="F8" s="3214"/>
      <c r="G8" s="3214"/>
      <c r="H8" s="3214"/>
      <c r="I8" s="3214"/>
      <c r="J8" s="3214"/>
      <c r="K8" s="3214"/>
      <c r="L8" s="3214"/>
      <c r="M8" s="3214"/>
      <c r="N8" s="3214"/>
      <c r="O8" s="3214"/>
      <c r="P8" s="3214"/>
      <c r="Q8" s="3214"/>
      <c r="R8" s="3214"/>
      <c r="S8" s="3214"/>
    </row>
    <row r="9" spans="1:20" ht="21" customHeight="1">
      <c r="B9" s="1449" t="s">
        <v>2284</v>
      </c>
      <c r="C9" s="973" t="s">
        <v>512</v>
      </c>
      <c r="D9" s="1407" t="s">
        <v>4287</v>
      </c>
      <c r="E9" s="3210" t="s">
        <v>1708</v>
      </c>
      <c r="F9" s="3210" t="s">
        <v>2281</v>
      </c>
      <c r="G9" s="3210" t="s">
        <v>2593</v>
      </c>
      <c r="H9" s="1779" t="s">
        <v>4286</v>
      </c>
      <c r="I9" s="1681"/>
      <c r="J9" s="1681"/>
      <c r="K9" s="1681"/>
      <c r="L9" s="1681"/>
      <c r="M9" s="1681"/>
      <c r="N9" s="1681"/>
      <c r="O9" s="1681"/>
      <c r="P9" s="895"/>
      <c r="Q9" s="2681"/>
      <c r="R9" s="896"/>
      <c r="S9" s="3208" t="s">
        <v>2599</v>
      </c>
    </row>
    <row r="10" spans="1:20" ht="23.25" customHeight="1">
      <c r="B10" s="1450"/>
      <c r="C10" s="973" t="s">
        <v>512</v>
      </c>
      <c r="D10" s="1408" t="s">
        <v>4288</v>
      </c>
      <c r="E10" s="3211"/>
      <c r="F10" s="3211"/>
      <c r="G10" s="3211"/>
      <c r="H10" s="977" t="s">
        <v>4285</v>
      </c>
      <c r="I10" s="1682" t="s">
        <v>2322</v>
      </c>
      <c r="J10" s="1682" t="s">
        <v>2323</v>
      </c>
      <c r="K10" s="1682" t="s">
        <v>2324</v>
      </c>
      <c r="L10" s="1682" t="s">
        <v>190</v>
      </c>
      <c r="M10" s="1682" t="s">
        <v>191</v>
      </c>
      <c r="N10" s="1682" t="s">
        <v>2325</v>
      </c>
      <c r="O10" s="1682" t="s">
        <v>162</v>
      </c>
      <c r="P10" s="977" t="s">
        <v>4282</v>
      </c>
      <c r="Q10" s="977" t="s">
        <v>4466</v>
      </c>
      <c r="R10" s="1002" t="s">
        <v>4467</v>
      </c>
      <c r="S10" s="3209"/>
      <c r="T10" s="1863" t="s">
        <v>4171</v>
      </c>
    </row>
    <row r="11" spans="1:20" ht="22.2" hidden="1" customHeight="1">
      <c r="A11" s="56"/>
      <c r="B11" s="1463"/>
      <c r="C11" s="55"/>
      <c r="D11" s="1409">
        <v>4</v>
      </c>
      <c r="E11" s="1282">
        <v>1</v>
      </c>
      <c r="F11" s="1283">
        <v>2</v>
      </c>
      <c r="G11" s="1282">
        <v>3</v>
      </c>
      <c r="H11" s="1683"/>
      <c r="I11" s="1683"/>
      <c r="J11" s="1683"/>
      <c r="K11" s="1683"/>
      <c r="L11" s="1683"/>
      <c r="M11" s="1683"/>
      <c r="N11" s="1683"/>
      <c r="O11" s="1683"/>
      <c r="P11" s="1684"/>
      <c r="Q11" s="1281"/>
      <c r="R11" s="1281"/>
      <c r="S11" s="1281"/>
      <c r="T11" s="1281"/>
    </row>
    <row r="12" spans="1:20" ht="22.2" hidden="1" customHeight="1">
      <c r="A12" s="56">
        <v>1</v>
      </c>
      <c r="B12" s="1463">
        <v>2</v>
      </c>
      <c r="C12" s="55"/>
      <c r="D12" s="1410">
        <v>7</v>
      </c>
      <c r="E12" s="1284">
        <v>4</v>
      </c>
      <c r="F12" s="1285">
        <v>5</v>
      </c>
      <c r="G12" s="1284">
        <v>6</v>
      </c>
      <c r="H12" s="1685">
        <v>8</v>
      </c>
      <c r="I12" s="1685">
        <v>9</v>
      </c>
      <c r="J12" s="1685">
        <v>10</v>
      </c>
      <c r="K12" s="1685">
        <v>11</v>
      </c>
      <c r="L12" s="1685">
        <v>12</v>
      </c>
      <c r="M12" s="1685">
        <v>13</v>
      </c>
      <c r="N12" s="1685">
        <v>14</v>
      </c>
      <c r="O12" s="1685">
        <v>15</v>
      </c>
      <c r="P12" s="1684"/>
      <c r="Q12" s="1281"/>
      <c r="R12" s="1281"/>
      <c r="S12" s="1281"/>
      <c r="T12" s="1281"/>
    </row>
    <row r="13" spans="1:20" ht="22.2" customHeight="1">
      <c r="A13" s="1448">
        <f>COUNTIF($C$12:C13,"x")</f>
        <v>1</v>
      </c>
      <c r="B13" s="1451"/>
      <c r="C13" s="973" t="s">
        <v>1956</v>
      </c>
      <c r="D13" s="1411"/>
      <c r="E13" s="978" t="s">
        <v>501</v>
      </c>
      <c r="F13" s="979" t="s">
        <v>2288</v>
      </c>
      <c r="G13" s="980"/>
      <c r="H13" s="1686"/>
      <c r="I13" s="1686"/>
      <c r="J13" s="1686"/>
      <c r="K13" s="1686"/>
      <c r="L13" s="1686"/>
      <c r="M13" s="1686"/>
      <c r="N13" s="1686"/>
      <c r="O13" s="1686"/>
      <c r="P13" s="1686"/>
      <c r="Q13" s="1686"/>
      <c r="R13" s="980"/>
      <c r="S13" s="980"/>
      <c r="T13" s="1274"/>
    </row>
    <row r="14" spans="1:20" ht="22.2" hidden="1" customHeight="1">
      <c r="A14" s="1448">
        <f>COUNTIF($C$12:C14,"x")</f>
        <v>1</v>
      </c>
      <c r="B14" s="1452" t="s">
        <v>87</v>
      </c>
      <c r="C14" s="59" t="str">
        <f>IF(OR(P14&lt;&gt;0,H14&lt;&gt;0),"x"," ")</f>
        <v xml:space="preserve"> </v>
      </c>
      <c r="D14" s="1412"/>
      <c r="E14" s="981"/>
      <c r="F14" s="1276" t="s">
        <v>2326</v>
      </c>
      <c r="G14" s="982" t="s">
        <v>2327</v>
      </c>
      <c r="H14" s="1691">
        <f>SUM(I14:O14)</f>
        <v>0</v>
      </c>
      <c r="I14" s="1692"/>
      <c r="J14" s="1692"/>
      <c r="K14" s="1692">
        <f>IFERROR(HLOOKUP(B14,pp3p1m!$1:$3,2,0),0)</f>
        <v>0</v>
      </c>
      <c r="L14" s="1692">
        <f>IFERROR(HLOOKUP(chitiet!B14,pp1p!$1:$3,3,0),0)</f>
        <v>0</v>
      </c>
      <c r="M14" s="1692"/>
      <c r="N14" s="1692"/>
      <c r="O14" s="1692"/>
      <c r="P14" s="2674">
        <f>T14</f>
        <v>0</v>
      </c>
      <c r="Q14" s="983">
        <f>IF(P14&gt;H14,P14-H14,0)</f>
        <v>0</v>
      </c>
      <c r="R14" s="983">
        <f>IF(H14&gt;P14,H14-P14,0)</f>
        <v>0</v>
      </c>
      <c r="S14" s="983"/>
      <c r="T14" s="1862">
        <f>IFERROR(HLOOKUP(B14,pp1p!$1:$3,3,0),0)+IFERROR(HLOOKUP(B14,pp3p1m!$1:$3,3,0),0)</f>
        <v>0</v>
      </c>
    </row>
    <row r="15" spans="1:20" ht="22.2" hidden="1" customHeight="1">
      <c r="A15" s="1448">
        <f>COUNTIF($C$12:C15,"x")</f>
        <v>1</v>
      </c>
      <c r="B15" s="1455" t="s">
        <v>639</v>
      </c>
      <c r="C15" s="60" t="str">
        <f t="shared" ref="C15:C78" si="0">IF(OR(P15&lt;&gt;0,H15&lt;&gt;0),"x"," ")</f>
        <v xml:space="preserve"> </v>
      </c>
      <c r="D15" s="1413">
        <v>0.16300000000000001</v>
      </c>
      <c r="E15" s="980" t="str">
        <f>VLOOKUP($B15,DG!A:D,DG!$B$2,)</f>
        <v>03.1013</v>
      </c>
      <c r="F15" s="985" t="str">
        <f>VLOOKUP($B15,DG!A:D,DG!$C$2,)</f>
        <v>Đào hố móng đất cấp 3 sâu &gt;1m</v>
      </c>
      <c r="G15" s="980" t="str">
        <f>VLOOKUP($B15,DG!A:D,DG!$D$2,)</f>
        <v>m3</v>
      </c>
      <c r="H15" s="1693">
        <f>$H$14*D15</f>
        <v>0</v>
      </c>
      <c r="I15" s="1693"/>
      <c r="J15" s="1693"/>
      <c r="K15" s="1693"/>
      <c r="L15" s="1693"/>
      <c r="M15" s="1693"/>
      <c r="N15" s="1693"/>
      <c r="O15" s="1693"/>
      <c r="P15" s="1694">
        <f>H15+Q15-R15</f>
        <v>0</v>
      </c>
      <c r="Q15" s="994"/>
      <c r="R15" s="994"/>
      <c r="S15" s="994"/>
      <c r="T15" s="1862">
        <f t="shared" ref="T15:T77" si="1">IFERROR(HLOOKUP(B15,BangKeTru,3,0),0)</f>
        <v>0</v>
      </c>
    </row>
    <row r="16" spans="1:20" ht="22.2" hidden="1" customHeight="1">
      <c r="A16" s="1448">
        <f>COUNTIF($C$12:C16,"x")</f>
        <v>1</v>
      </c>
      <c r="B16" s="1455" t="s">
        <v>21</v>
      </c>
      <c r="C16" s="60" t="str">
        <f t="shared" si="0"/>
        <v xml:space="preserve"> </v>
      </c>
      <c r="D16" s="1413">
        <v>0.13100000000000001</v>
      </c>
      <c r="E16" s="980" t="str">
        <f>VLOOKUP($B16,DG!A:D,DG!$B$2,)</f>
        <v>03.4113</v>
      </c>
      <c r="F16" s="985" t="str">
        <f>VLOOKUP($B16,DG!A:D,DG!$C$2,)</f>
        <v>Đắp đất hố móng, độ chặt k=0,95</v>
      </c>
      <c r="G16" s="980" t="str">
        <f>VLOOKUP($B16,DG!A:D,DG!$D$2,)</f>
        <v>m3</v>
      </c>
      <c r="H16" s="1693">
        <f>$H$14*D16</f>
        <v>0</v>
      </c>
      <c r="I16" s="1693"/>
      <c r="J16" s="1693"/>
      <c r="K16" s="1693"/>
      <c r="L16" s="1693"/>
      <c r="M16" s="1693"/>
      <c r="N16" s="1693"/>
      <c r="O16" s="1693"/>
      <c r="P16" s="1694">
        <f>H16+Q16-R16</f>
        <v>0</v>
      </c>
      <c r="Q16" s="994"/>
      <c r="R16" s="994"/>
      <c r="S16" s="994"/>
      <c r="T16" s="1862">
        <f t="shared" si="1"/>
        <v>0</v>
      </c>
    </row>
    <row r="17" spans="1:20" ht="22.2" hidden="1" customHeight="1">
      <c r="A17" s="1448">
        <f>COUNTIF($C$12:C17,"x")</f>
        <v>1</v>
      </c>
      <c r="B17" s="1464" t="s">
        <v>635</v>
      </c>
      <c r="C17" s="60" t="str">
        <f t="shared" si="0"/>
        <v xml:space="preserve"> </v>
      </c>
      <c r="D17" s="1414"/>
      <c r="E17" s="980" t="str">
        <f>VLOOKUP($B17,DG!A:C,2,)</f>
        <v>02.1482</v>
      </c>
      <c r="F17" s="985" t="str">
        <f>VLOOKUP(B17,DG!A:C,3,0)</f>
        <v>V/c dụng cụ thi công vào vị trí (cự ly &lt;=100m)</v>
      </c>
      <c r="G17" s="980" t="str">
        <f>VLOOKUP($B17,DG!A:D,4,0)</f>
        <v>tấn</v>
      </c>
      <c r="H17" s="1693"/>
      <c r="I17" s="1693"/>
      <c r="J17" s="1693"/>
      <c r="K17" s="1693"/>
      <c r="L17" s="1693"/>
      <c r="M17" s="1693"/>
      <c r="N17" s="1693"/>
      <c r="O17" s="1693"/>
      <c r="P17" s="1693"/>
      <c r="Q17" s="994"/>
      <c r="R17" s="994"/>
      <c r="S17" s="994"/>
      <c r="T17" s="1862">
        <f t="shared" si="1"/>
        <v>0</v>
      </c>
    </row>
    <row r="18" spans="1:20" ht="22.2" hidden="1" customHeight="1">
      <c r="A18" s="1448">
        <f>COUNTIF($C$12:C18,"x")</f>
        <v>1</v>
      </c>
      <c r="B18" s="1452" t="s">
        <v>102</v>
      </c>
      <c r="C18" s="59" t="str">
        <f t="shared" si="0"/>
        <v xml:space="preserve"> </v>
      </c>
      <c r="D18" s="1412"/>
      <c r="E18" s="981"/>
      <c r="F18" s="1276" t="s">
        <v>2328</v>
      </c>
      <c r="G18" s="982" t="s">
        <v>2327</v>
      </c>
      <c r="H18" s="1691">
        <f>SUM(I18:O18)</f>
        <v>0</v>
      </c>
      <c r="I18" s="1692"/>
      <c r="J18" s="1692"/>
      <c r="K18" s="1692">
        <f>IFERROR(HLOOKUP(B18,pp3p1m!$1:$3,2,0),0)</f>
        <v>0</v>
      </c>
      <c r="L18" s="1692">
        <f>IFERROR(HLOOKUP(chitiet!B18,pp1p!$1:$3,3,0),0)</f>
        <v>0</v>
      </c>
      <c r="M18" s="1692"/>
      <c r="N18" s="1692"/>
      <c r="O18" s="1692"/>
      <c r="P18" s="2674">
        <f>T18</f>
        <v>0</v>
      </c>
      <c r="Q18" s="983">
        <f>IF(P18&gt;H18,P18-H18,0)</f>
        <v>0</v>
      </c>
      <c r="R18" s="983">
        <f>IF(H18&gt;P18,H18-P18,0)</f>
        <v>0</v>
      </c>
      <c r="S18" s="983"/>
      <c r="T18" s="1862">
        <f>IFERROR(HLOOKUP(B18,pp1p!$1:$3,3,0),0)+IFERROR(HLOOKUP(B18,pp3p1m!$1:$3,3,0),0)</f>
        <v>0</v>
      </c>
    </row>
    <row r="19" spans="1:20" ht="22.2" hidden="1" customHeight="1">
      <c r="A19" s="1448">
        <f>COUNTIF($C$12:C19,"x")</f>
        <v>1</v>
      </c>
      <c r="B19" s="1455" t="s">
        <v>636</v>
      </c>
      <c r="C19" s="60" t="str">
        <f t="shared" si="0"/>
        <v xml:space="preserve"> </v>
      </c>
      <c r="D19" s="1415">
        <v>1</v>
      </c>
      <c r="E19" s="980" t="str">
        <f>VLOOKUP($B19,DG!A:D,DG!$B$2,)</f>
        <v>04.4001</v>
      </c>
      <c r="F19" s="992" t="str">
        <f>VLOOKUP($B19,DG!A:D,DG!$C$2,)</f>
        <v>Đà cản BTCT 1,2m</v>
      </c>
      <c r="G19" s="980" t="str">
        <f>VLOOKUP($B19,DG!A:D,DG!$D$2,)</f>
        <v>cái</v>
      </c>
      <c r="H19" s="1693">
        <f t="shared" ref="H19:O20" si="2">H$18*$D19</f>
        <v>0</v>
      </c>
      <c r="I19" s="1693">
        <f t="shared" si="2"/>
        <v>0</v>
      </c>
      <c r="J19" s="1693">
        <f t="shared" si="2"/>
        <v>0</v>
      </c>
      <c r="K19" s="1693">
        <f t="shared" si="2"/>
        <v>0</v>
      </c>
      <c r="L19" s="1693">
        <f t="shared" si="2"/>
        <v>0</v>
      </c>
      <c r="M19" s="1693">
        <f t="shared" si="2"/>
        <v>0</v>
      </c>
      <c r="N19" s="1693">
        <f t="shared" si="2"/>
        <v>0</v>
      </c>
      <c r="O19" s="1693">
        <f t="shared" si="2"/>
        <v>0</v>
      </c>
      <c r="P19" s="1693"/>
      <c r="Q19" s="989"/>
      <c r="R19" s="989"/>
      <c r="S19" s="989"/>
      <c r="T19" s="1862">
        <f t="shared" si="1"/>
        <v>0</v>
      </c>
    </row>
    <row r="20" spans="1:20" ht="22.2" hidden="1" customHeight="1">
      <c r="A20" s="1448">
        <f>COUNTIF($C$12:C20,"x")</f>
        <v>1</v>
      </c>
      <c r="B20" s="1455" t="s">
        <v>719</v>
      </c>
      <c r="C20" s="60" t="str">
        <f t="shared" si="0"/>
        <v xml:space="preserve"> </v>
      </c>
      <c r="D20" s="1415">
        <v>1</v>
      </c>
      <c r="E20" s="980"/>
      <c r="F20" s="992" t="str">
        <f>VLOOKUP($B20,DG!A:D,DG!$C$2,)</f>
        <v>Boulon 22x550/100+ 2 long đền vuông D24-50x50x3/Zn</v>
      </c>
      <c r="G20" s="980" t="str">
        <f>VLOOKUP($B20,DG!A:D,DG!$D$2,)</f>
        <v>bộ</v>
      </c>
      <c r="H20" s="1693">
        <f t="shared" si="2"/>
        <v>0</v>
      </c>
      <c r="I20" s="1693">
        <f t="shared" si="2"/>
        <v>0</v>
      </c>
      <c r="J20" s="1693">
        <f t="shared" si="2"/>
        <v>0</v>
      </c>
      <c r="K20" s="1693">
        <f t="shared" si="2"/>
        <v>0</v>
      </c>
      <c r="L20" s="1693">
        <f t="shared" si="2"/>
        <v>0</v>
      </c>
      <c r="M20" s="1693">
        <f t="shared" si="2"/>
        <v>0</v>
      </c>
      <c r="N20" s="1693">
        <f t="shared" si="2"/>
        <v>0</v>
      </c>
      <c r="O20" s="1693">
        <f t="shared" si="2"/>
        <v>0</v>
      </c>
      <c r="P20" s="1693"/>
      <c r="Q20" s="989"/>
      <c r="R20" s="989"/>
      <c r="S20" s="989"/>
      <c r="T20" s="1862">
        <f t="shared" si="1"/>
        <v>0</v>
      </c>
    </row>
    <row r="21" spans="1:20" ht="22.2" hidden="1" customHeight="1">
      <c r="A21" s="1448">
        <f>COUNTIF($C$12:C21,"x")</f>
        <v>1</v>
      </c>
      <c r="B21" s="1455" t="s">
        <v>639</v>
      </c>
      <c r="C21" s="60" t="str">
        <f t="shared" si="0"/>
        <v xml:space="preserve"> </v>
      </c>
      <c r="D21" s="1414">
        <v>0.72</v>
      </c>
      <c r="E21" s="980" t="str">
        <f>VLOOKUP($B21,DG!A:D,DG!$B$2,)</f>
        <v>03.1013</v>
      </c>
      <c r="F21" s="985" t="str">
        <f>VLOOKUP($B21,DG!A:D,DG!$C$2,)</f>
        <v>Đào hố móng đất cấp 3 sâu &gt;1m</v>
      </c>
      <c r="G21" s="980" t="str">
        <f>VLOOKUP($B21,DG!A:D,DG!$D$2,)</f>
        <v>m3</v>
      </c>
      <c r="H21" s="1693"/>
      <c r="I21" s="1693"/>
      <c r="J21" s="1693"/>
      <c r="K21" s="1693"/>
      <c r="L21" s="1693"/>
      <c r="M21" s="1693"/>
      <c r="N21" s="1693"/>
      <c r="O21" s="1693"/>
      <c r="P21" s="1693"/>
      <c r="Q21" s="994"/>
      <c r="R21" s="994"/>
      <c r="S21" s="994"/>
      <c r="T21" s="1862">
        <f t="shared" si="1"/>
        <v>0</v>
      </c>
    </row>
    <row r="22" spans="1:20" ht="22.2" hidden="1" customHeight="1">
      <c r="A22" s="1448">
        <f>COUNTIF($C$12:C22,"x")</f>
        <v>1</v>
      </c>
      <c r="B22" s="1455" t="s">
        <v>21</v>
      </c>
      <c r="C22" s="60" t="str">
        <f t="shared" si="0"/>
        <v xml:space="preserve"> </v>
      </c>
      <c r="D22" s="1414">
        <f>+D21</f>
        <v>0.72</v>
      </c>
      <c r="E22" s="980" t="str">
        <f>VLOOKUP($B22,DG!A:D,DG!$B$2,)</f>
        <v>03.4113</v>
      </c>
      <c r="F22" s="985" t="str">
        <f>VLOOKUP($B22,DG!A:D,DG!$C$2,)</f>
        <v>Đắp đất hố móng, độ chặt k=0,95</v>
      </c>
      <c r="G22" s="980" t="str">
        <f>VLOOKUP($B22,DG!A:D,DG!$D$2,)</f>
        <v>m3</v>
      </c>
      <c r="H22" s="1693"/>
      <c r="I22" s="1693"/>
      <c r="J22" s="1693"/>
      <c r="K22" s="1693"/>
      <c r="L22" s="1693"/>
      <c r="M22" s="1693"/>
      <c r="N22" s="1693"/>
      <c r="O22" s="1693"/>
      <c r="P22" s="1693"/>
      <c r="Q22" s="994"/>
      <c r="R22" s="994"/>
      <c r="S22" s="994"/>
      <c r="T22" s="1862">
        <f t="shared" si="1"/>
        <v>0</v>
      </c>
    </row>
    <row r="23" spans="1:20" ht="22.2" hidden="1" customHeight="1">
      <c r="A23" s="1448">
        <f>COUNTIF($C$12:C23,"x")</f>
        <v>1</v>
      </c>
      <c r="B23" s="1455" t="s">
        <v>637</v>
      </c>
      <c r="C23" s="60" t="str">
        <f t="shared" si="0"/>
        <v xml:space="preserve"> </v>
      </c>
      <c r="D23" s="1414"/>
      <c r="E23" s="980" t="str">
        <f>VLOOKUP($B23,DG!A:D,DG!$B$2,)</f>
        <v>02.1123</v>
      </c>
      <c r="F23" s="985" t="str">
        <f>VLOOKUP($B23,DG!A:D,DG!$C$2,)</f>
        <v>Bốc dỡ đà cản, đế néo</v>
      </c>
      <c r="G23" s="980" t="str">
        <f>VLOOKUP($B23,DG!A:D,DG!$D$2,)</f>
        <v>tấn</v>
      </c>
      <c r="H23" s="1693"/>
      <c r="I23" s="1693"/>
      <c r="J23" s="1693"/>
      <c r="K23" s="1693"/>
      <c r="L23" s="1693"/>
      <c r="M23" s="1693"/>
      <c r="N23" s="1693"/>
      <c r="O23" s="1693"/>
      <c r="P23" s="1693"/>
      <c r="Q23" s="989"/>
      <c r="R23" s="989"/>
      <c r="S23" s="989"/>
      <c r="T23" s="1862">
        <f t="shared" si="1"/>
        <v>0</v>
      </c>
    </row>
    <row r="24" spans="1:20" ht="22.2" hidden="1" customHeight="1">
      <c r="A24" s="1448">
        <f>COUNTIF($C$12:C24,"x")</f>
        <v>1</v>
      </c>
      <c r="B24" s="1464" t="s">
        <v>2063</v>
      </c>
      <c r="C24" s="60" t="str">
        <f t="shared" si="0"/>
        <v xml:space="preserve"> </v>
      </c>
      <c r="D24" s="1414"/>
      <c r="E24" s="980" t="str">
        <f>VLOOKUP($B24,DG!A:C,2,)</f>
        <v>02.1451</v>
      </c>
      <c r="F24" s="985" t="str">
        <f>VLOOKUP($B24,DG!A:C,3,)</f>
        <v>V/c đà cản vào vị trí (cự ly &lt;=100m)</v>
      </c>
      <c r="G24" s="980" t="str">
        <f>VLOOKUP($B24,DG!A:D,4,0)</f>
        <v>tấn</v>
      </c>
      <c r="H24" s="1693"/>
      <c r="I24" s="1693"/>
      <c r="J24" s="1693"/>
      <c r="K24" s="1693"/>
      <c r="L24" s="1693"/>
      <c r="M24" s="1693"/>
      <c r="N24" s="1693"/>
      <c r="O24" s="1693"/>
      <c r="P24" s="1693"/>
      <c r="Q24" s="994"/>
      <c r="R24" s="994"/>
      <c r="S24" s="994"/>
      <c r="T24" s="1862">
        <f t="shared" si="1"/>
        <v>0</v>
      </c>
    </row>
    <row r="25" spans="1:20" ht="22.2" hidden="1" customHeight="1">
      <c r="A25" s="1448">
        <f>COUNTIF($C$12:C25,"x")</f>
        <v>1</v>
      </c>
      <c r="B25" s="1464" t="s">
        <v>674</v>
      </c>
      <c r="C25" s="60" t="str">
        <f t="shared" si="0"/>
        <v xml:space="preserve"> </v>
      </c>
      <c r="D25" s="1413"/>
      <c r="E25" s="980" t="str">
        <f>VLOOKUP($B25,DG!A:C,2,)</f>
        <v>02.1241</v>
      </c>
      <c r="F25" s="985" t="str">
        <f>VLOOKUP($B25,DG!A:C,3,)</f>
        <v>V/c đá dăm ( cự ly &lt;=100m)</v>
      </c>
      <c r="G25" s="980" t="str">
        <f>VLOOKUP($B25,DG!A:D,4,0)</f>
        <v>m3</v>
      </c>
      <c r="H25" s="1693"/>
      <c r="I25" s="1693"/>
      <c r="J25" s="1693"/>
      <c r="K25" s="1693"/>
      <c r="L25" s="1693"/>
      <c r="M25" s="1693"/>
      <c r="N25" s="1693"/>
      <c r="O25" s="1693"/>
      <c r="P25" s="1693"/>
      <c r="Q25" s="994"/>
      <c r="R25" s="994"/>
      <c r="S25" s="994"/>
      <c r="T25" s="1862">
        <f t="shared" si="1"/>
        <v>0</v>
      </c>
    </row>
    <row r="26" spans="1:20" ht="22.2" hidden="1" customHeight="1">
      <c r="A26" s="1448">
        <f>COUNTIF($C$12:C26,"x")</f>
        <v>1</v>
      </c>
      <c r="B26" s="1464" t="s">
        <v>635</v>
      </c>
      <c r="C26" s="60" t="str">
        <f t="shared" si="0"/>
        <v xml:space="preserve"> </v>
      </c>
      <c r="D26" s="1414"/>
      <c r="E26" s="980" t="str">
        <f>VLOOKUP($B26,DG!A:C,2,)</f>
        <v>02.1482</v>
      </c>
      <c r="F26" s="985" t="str">
        <f>VLOOKUP($B26,DG!A:C,3,)</f>
        <v>V/c dụng cụ thi công vào vị trí (cự ly &lt;=100m)</v>
      </c>
      <c r="G26" s="980" t="str">
        <f>VLOOKUP($B26,DG!A:D,4,0)</f>
        <v>tấn</v>
      </c>
      <c r="H26" s="1693"/>
      <c r="I26" s="1693"/>
      <c r="J26" s="1693"/>
      <c r="K26" s="1693"/>
      <c r="L26" s="1693"/>
      <c r="M26" s="1693"/>
      <c r="N26" s="1693"/>
      <c r="O26" s="1693"/>
      <c r="P26" s="1693"/>
      <c r="Q26" s="994"/>
      <c r="R26" s="994"/>
      <c r="S26" s="994"/>
      <c r="T26" s="1862">
        <f t="shared" si="1"/>
        <v>0</v>
      </c>
    </row>
    <row r="27" spans="1:20" ht="22.2" hidden="1" customHeight="1">
      <c r="A27" s="1448">
        <f>COUNTIF($C$12:C27,"x")</f>
        <v>1</v>
      </c>
      <c r="B27" s="1452" t="s">
        <v>762</v>
      </c>
      <c r="C27" s="59" t="str">
        <f t="shared" si="0"/>
        <v xml:space="preserve"> </v>
      </c>
      <c r="D27" s="1412"/>
      <c r="E27" s="981"/>
      <c r="F27" s="1276" t="s">
        <v>2329</v>
      </c>
      <c r="G27" s="982" t="s">
        <v>2327</v>
      </c>
      <c r="H27" s="1691">
        <f>SUM(I27:O27)</f>
        <v>0</v>
      </c>
      <c r="I27" s="1692"/>
      <c r="J27" s="1692"/>
      <c r="K27" s="1692">
        <f>IFERROR(HLOOKUP(B27,pp3p1m!$1:$3,2,0),0)</f>
        <v>0</v>
      </c>
      <c r="L27" s="1692">
        <f>IFERROR(HLOOKUP(chitiet!B27,pp1p!$1:$3,3,0),0)</f>
        <v>0</v>
      </c>
      <c r="M27" s="1692"/>
      <c r="N27" s="1692"/>
      <c r="O27" s="1692"/>
      <c r="P27" s="2674">
        <f>T27</f>
        <v>0</v>
      </c>
      <c r="Q27" s="983">
        <f>IF(P27&gt;H27,P27-H27,0)</f>
        <v>0</v>
      </c>
      <c r="R27" s="983">
        <f>IF(H27&gt;P27,H27-P27,0)</f>
        <v>0</v>
      </c>
      <c r="S27" s="983"/>
      <c r="T27" s="1862">
        <f>IFERROR(HLOOKUP(B27,pp1p!$1:$3,3,0),0)+IFERROR(HLOOKUP(B27,pp3p1m!$1:$3,3,0),0)</f>
        <v>0</v>
      </c>
    </row>
    <row r="28" spans="1:20" ht="22.2" hidden="1" customHeight="1">
      <c r="A28" s="1448">
        <f>COUNTIF($C$12:C28,"x")</f>
        <v>1</v>
      </c>
      <c r="B28" s="1455" t="s">
        <v>1575</v>
      </c>
      <c r="C28" s="60" t="str">
        <f t="shared" si="0"/>
        <v xml:space="preserve"> </v>
      </c>
      <c r="D28" s="1415">
        <v>1</v>
      </c>
      <c r="E28" s="980" t="str">
        <f>VLOOKUP($B28,DG!A:D,DG!$B$2,)</f>
        <v>04.3801</v>
      </c>
      <c r="F28" s="992" t="str">
        <f>VLOOKUP($B28,DG!A:D,DG!$C$2,)</f>
        <v>Đà cản BTCT 1,5m</v>
      </c>
      <c r="G28" s="980" t="str">
        <f>VLOOKUP($B28,DG!A:D,DG!$D$2,)</f>
        <v>cái</v>
      </c>
      <c r="H28" s="1693">
        <f t="shared" ref="H28:O29" si="3">H$27*$D28</f>
        <v>0</v>
      </c>
      <c r="I28" s="1693">
        <f t="shared" si="3"/>
        <v>0</v>
      </c>
      <c r="J28" s="1693">
        <f t="shared" si="3"/>
        <v>0</v>
      </c>
      <c r="K28" s="1693">
        <f t="shared" si="3"/>
        <v>0</v>
      </c>
      <c r="L28" s="1693">
        <f t="shared" si="3"/>
        <v>0</v>
      </c>
      <c r="M28" s="1693">
        <f t="shared" si="3"/>
        <v>0</v>
      </c>
      <c r="N28" s="1693">
        <f t="shared" si="3"/>
        <v>0</v>
      </c>
      <c r="O28" s="1693">
        <f t="shared" si="3"/>
        <v>0</v>
      </c>
      <c r="P28" s="1693"/>
      <c r="Q28" s="989"/>
      <c r="R28" s="989"/>
      <c r="S28" s="989"/>
      <c r="T28" s="1862">
        <f t="shared" si="1"/>
        <v>0</v>
      </c>
    </row>
    <row r="29" spans="1:20" ht="22.2" hidden="1" customHeight="1">
      <c r="A29" s="1448">
        <f>COUNTIF($C$12:C29,"x")</f>
        <v>1</v>
      </c>
      <c r="B29" s="1455" t="s">
        <v>719</v>
      </c>
      <c r="C29" s="60" t="str">
        <f t="shared" si="0"/>
        <v xml:space="preserve"> </v>
      </c>
      <c r="D29" s="1415">
        <v>1</v>
      </c>
      <c r="E29" s="980"/>
      <c r="F29" s="992" t="str">
        <f>VLOOKUP($B29,DG!A:D,DG!$C$2,)</f>
        <v>Boulon 22x550/100+ 2 long đền vuông D24-50x50x3/Zn</v>
      </c>
      <c r="G29" s="980" t="str">
        <f>VLOOKUP($B29,DG!A:D,DG!$D$2,)</f>
        <v>bộ</v>
      </c>
      <c r="H29" s="1693">
        <f t="shared" si="3"/>
        <v>0</v>
      </c>
      <c r="I29" s="1693">
        <f t="shared" si="3"/>
        <v>0</v>
      </c>
      <c r="J29" s="1693">
        <f t="shared" si="3"/>
        <v>0</v>
      </c>
      <c r="K29" s="1693">
        <f t="shared" si="3"/>
        <v>0</v>
      </c>
      <c r="L29" s="1693">
        <f t="shared" si="3"/>
        <v>0</v>
      </c>
      <c r="M29" s="1693">
        <f t="shared" si="3"/>
        <v>0</v>
      </c>
      <c r="N29" s="1693">
        <f t="shared" si="3"/>
        <v>0</v>
      </c>
      <c r="O29" s="1693">
        <f t="shared" si="3"/>
        <v>0</v>
      </c>
      <c r="P29" s="1693"/>
      <c r="Q29" s="989"/>
      <c r="R29" s="989"/>
      <c r="S29" s="989"/>
      <c r="T29" s="1862">
        <f t="shared" si="1"/>
        <v>0</v>
      </c>
    </row>
    <row r="30" spans="1:20" ht="22.2" hidden="1" customHeight="1">
      <c r="A30" s="1448">
        <f>COUNTIF($C$12:C30,"x")</f>
        <v>1</v>
      </c>
      <c r="B30" s="1455" t="s">
        <v>1812</v>
      </c>
      <c r="C30" s="60" t="str">
        <f t="shared" si="0"/>
        <v xml:space="preserve"> </v>
      </c>
      <c r="D30" s="1413">
        <v>0.155</v>
      </c>
      <c r="E30" s="980">
        <f>VLOOKUP($B30,DG!A:D,DG!$B$2,)</f>
        <v>0</v>
      </c>
      <c r="F30" s="985" t="str">
        <f>VLOOKUP($B30,DG!A:D,DG!$C$2,)</f>
        <v>Đá 2x4</v>
      </c>
      <c r="G30" s="980" t="str">
        <f>VLOOKUP($B30,DG!A:D,DG!$D$2,)</f>
        <v>m3</v>
      </c>
      <c r="H30" s="1693">
        <f t="shared" ref="H30:O30" si="4">H$18*$D30</f>
        <v>0</v>
      </c>
      <c r="I30" s="1693">
        <f t="shared" si="4"/>
        <v>0</v>
      </c>
      <c r="J30" s="1693">
        <f t="shared" si="4"/>
        <v>0</v>
      </c>
      <c r="K30" s="1693">
        <f t="shared" si="4"/>
        <v>0</v>
      </c>
      <c r="L30" s="1693">
        <f t="shared" si="4"/>
        <v>0</v>
      </c>
      <c r="M30" s="1693">
        <f t="shared" si="4"/>
        <v>0</v>
      </c>
      <c r="N30" s="1693">
        <f t="shared" si="4"/>
        <v>0</v>
      </c>
      <c r="O30" s="1693">
        <f t="shared" si="4"/>
        <v>0</v>
      </c>
      <c r="P30" s="1693"/>
      <c r="Q30" s="989"/>
      <c r="R30" s="989"/>
      <c r="S30" s="989"/>
      <c r="T30" s="1862">
        <f t="shared" si="1"/>
        <v>0</v>
      </c>
    </row>
    <row r="31" spans="1:20" ht="22.2" hidden="1" customHeight="1">
      <c r="A31" s="1448">
        <f>COUNTIF($C$12:C31,"x")</f>
        <v>1</v>
      </c>
      <c r="B31" s="1455" t="s">
        <v>639</v>
      </c>
      <c r="C31" s="60" t="str">
        <f t="shared" si="0"/>
        <v xml:space="preserve"> </v>
      </c>
      <c r="D31" s="1414">
        <v>1.77</v>
      </c>
      <c r="E31" s="980" t="str">
        <f>VLOOKUP($B31,DG!A:D,DG!$B$2,)</f>
        <v>03.1013</v>
      </c>
      <c r="F31" s="985" t="str">
        <f>VLOOKUP($B31,DG!A:D,DG!$C$2,)</f>
        <v>Đào hố móng đất cấp 3 sâu &gt;1m</v>
      </c>
      <c r="G31" s="980" t="str">
        <f>VLOOKUP($B31,DG!A:D,DG!$D$2,)</f>
        <v>m3</v>
      </c>
      <c r="H31" s="1693"/>
      <c r="I31" s="1693"/>
      <c r="J31" s="1693"/>
      <c r="K31" s="1693"/>
      <c r="L31" s="1693"/>
      <c r="M31" s="1693"/>
      <c r="N31" s="1693"/>
      <c r="O31" s="1693"/>
      <c r="P31" s="1693"/>
      <c r="Q31" s="994"/>
      <c r="R31" s="994"/>
      <c r="S31" s="994"/>
      <c r="T31" s="1862">
        <f t="shared" si="1"/>
        <v>0</v>
      </c>
    </row>
    <row r="32" spans="1:20" ht="22.2" hidden="1" customHeight="1">
      <c r="A32" s="1448">
        <f>COUNTIF($C$12:C32,"x")</f>
        <v>1</v>
      </c>
      <c r="B32" s="1455" t="s">
        <v>21</v>
      </c>
      <c r="C32" s="60" t="str">
        <f t="shared" si="0"/>
        <v xml:space="preserve"> </v>
      </c>
      <c r="D32" s="1414">
        <v>2.0099999999999998</v>
      </c>
      <c r="E32" s="980" t="str">
        <f>VLOOKUP($B32,DG!A:D,DG!$B$2,)</f>
        <v>03.4113</v>
      </c>
      <c r="F32" s="985" t="str">
        <f>VLOOKUP($B32,DG!A:D,DG!$C$2,)</f>
        <v>Đắp đất hố móng, độ chặt k=0,95</v>
      </c>
      <c r="G32" s="980" t="str">
        <f>VLOOKUP($B32,DG!A:D,DG!$D$2,)</f>
        <v>m3</v>
      </c>
      <c r="H32" s="1693"/>
      <c r="I32" s="1693"/>
      <c r="J32" s="1693"/>
      <c r="K32" s="1693"/>
      <c r="L32" s="1693"/>
      <c r="M32" s="1693"/>
      <c r="N32" s="1693"/>
      <c r="O32" s="1693"/>
      <c r="P32" s="1693"/>
      <c r="Q32" s="994"/>
      <c r="R32" s="994"/>
      <c r="S32" s="994"/>
      <c r="T32" s="1862">
        <f t="shared" si="1"/>
        <v>0</v>
      </c>
    </row>
    <row r="33" spans="1:20" ht="22.2" hidden="1" customHeight="1">
      <c r="A33" s="1448">
        <f>COUNTIF($C$12:C33,"x")</f>
        <v>1</v>
      </c>
      <c r="B33" s="1455" t="s">
        <v>637</v>
      </c>
      <c r="C33" s="60" t="str">
        <f t="shared" si="0"/>
        <v xml:space="preserve"> </v>
      </c>
      <c r="D33" s="1414">
        <v>0.1</v>
      </c>
      <c r="E33" s="980" t="str">
        <f>VLOOKUP($B33,DG!A:D,DG!$B$2,)</f>
        <v>02.1123</v>
      </c>
      <c r="F33" s="985" t="str">
        <f>VLOOKUP($B33,DG!A:D,DG!$C$2,)</f>
        <v>Bốc dỡ đà cản, đế néo</v>
      </c>
      <c r="G33" s="980" t="str">
        <f>VLOOKUP($B33,DG!A:D,DG!$D$2,)</f>
        <v>tấn</v>
      </c>
      <c r="H33" s="1693"/>
      <c r="I33" s="1693"/>
      <c r="J33" s="1693"/>
      <c r="K33" s="1693"/>
      <c r="L33" s="1693"/>
      <c r="M33" s="1693"/>
      <c r="N33" s="1693"/>
      <c r="O33" s="1693"/>
      <c r="P33" s="1693"/>
      <c r="Q33" s="989"/>
      <c r="R33" s="989"/>
      <c r="S33" s="989"/>
      <c r="T33" s="1862">
        <f t="shared" si="1"/>
        <v>0</v>
      </c>
    </row>
    <row r="34" spans="1:20" ht="22.2" hidden="1" customHeight="1">
      <c r="A34" s="1448">
        <f>COUNTIF($C$12:C34,"x")</f>
        <v>1</v>
      </c>
      <c r="B34" s="1464" t="s">
        <v>2063</v>
      </c>
      <c r="C34" s="60" t="str">
        <f t="shared" si="0"/>
        <v xml:space="preserve"> </v>
      </c>
      <c r="D34" s="1414">
        <f>D33</f>
        <v>0.1</v>
      </c>
      <c r="E34" s="980" t="str">
        <f>VLOOKUP($B34,DG!A:C,2,)</f>
        <v>02.1451</v>
      </c>
      <c r="F34" s="985" t="str">
        <f>VLOOKUP($B34,DG!A:C,3,)</f>
        <v>V/c đà cản vào vị trí (cự ly &lt;=100m)</v>
      </c>
      <c r="G34" s="980" t="str">
        <f>VLOOKUP($B34,DG!A:D,4,0)</f>
        <v>tấn</v>
      </c>
      <c r="H34" s="1693"/>
      <c r="I34" s="1693"/>
      <c r="J34" s="1693"/>
      <c r="K34" s="1693"/>
      <c r="L34" s="1693"/>
      <c r="M34" s="1693"/>
      <c r="N34" s="1693"/>
      <c r="O34" s="1693"/>
      <c r="P34" s="1693"/>
      <c r="Q34" s="994"/>
      <c r="R34" s="994"/>
      <c r="S34" s="994"/>
      <c r="T34" s="1862">
        <f t="shared" si="1"/>
        <v>0</v>
      </c>
    </row>
    <row r="35" spans="1:20" ht="22.2" hidden="1" customHeight="1">
      <c r="A35" s="1448">
        <f>COUNTIF($C$12:C35,"x")</f>
        <v>1</v>
      </c>
      <c r="B35" s="1464" t="s">
        <v>674</v>
      </c>
      <c r="C35" s="60" t="str">
        <f t="shared" si="0"/>
        <v xml:space="preserve"> </v>
      </c>
      <c r="D35" s="1413">
        <f>D30</f>
        <v>0.155</v>
      </c>
      <c r="E35" s="980" t="str">
        <f>VLOOKUP($B35,DG!A:C,2,)</f>
        <v>02.1241</v>
      </c>
      <c r="F35" s="985" t="str">
        <f>VLOOKUP($B35,DG!A:C,3,)</f>
        <v>V/c đá dăm ( cự ly &lt;=100m)</v>
      </c>
      <c r="G35" s="980" t="str">
        <f>VLOOKUP($B35,DG!A:D,4,0)</f>
        <v>m3</v>
      </c>
      <c r="H35" s="1693"/>
      <c r="I35" s="1693"/>
      <c r="J35" s="1693"/>
      <c r="K35" s="1693"/>
      <c r="L35" s="1693"/>
      <c r="M35" s="1693"/>
      <c r="N35" s="1693"/>
      <c r="O35" s="1693"/>
      <c r="P35" s="1693"/>
      <c r="Q35" s="994"/>
      <c r="R35" s="994"/>
      <c r="S35" s="994"/>
      <c r="T35" s="1862">
        <f t="shared" si="1"/>
        <v>0</v>
      </c>
    </row>
    <row r="36" spans="1:20" ht="22.2" hidden="1" customHeight="1">
      <c r="A36" s="1448">
        <f>COUNTIF($C$12:C36,"x")</f>
        <v>1</v>
      </c>
      <c r="B36" s="1464" t="s">
        <v>635</v>
      </c>
      <c r="C36" s="60" t="str">
        <f t="shared" si="0"/>
        <v xml:space="preserve"> </v>
      </c>
      <c r="D36" s="1414">
        <v>0.2</v>
      </c>
      <c r="E36" s="980" t="str">
        <f>VLOOKUP($B36,DG!A:C,2,)</f>
        <v>02.1482</v>
      </c>
      <c r="F36" s="985" t="str">
        <f>VLOOKUP($B36,DG!A:C,3,)</f>
        <v>V/c dụng cụ thi công vào vị trí (cự ly &lt;=100m)</v>
      </c>
      <c r="G36" s="980" t="str">
        <f>VLOOKUP($B36,DG!A:D,4,0)</f>
        <v>tấn</v>
      </c>
      <c r="H36" s="1693"/>
      <c r="I36" s="1693"/>
      <c r="J36" s="1693"/>
      <c r="K36" s="1693"/>
      <c r="L36" s="1693"/>
      <c r="M36" s="1693"/>
      <c r="N36" s="1693"/>
      <c r="O36" s="1693"/>
      <c r="P36" s="1693"/>
      <c r="Q36" s="994"/>
      <c r="R36" s="994"/>
      <c r="S36" s="994"/>
      <c r="T36" s="1862">
        <f t="shared" si="1"/>
        <v>0</v>
      </c>
    </row>
    <row r="37" spans="1:20" ht="22.2" hidden="1" customHeight="1">
      <c r="A37" s="1448">
        <f>COUNTIF($C$12:C37,"x")</f>
        <v>1</v>
      </c>
      <c r="B37" s="1452" t="s">
        <v>761</v>
      </c>
      <c r="C37" s="59" t="str">
        <f t="shared" si="0"/>
        <v xml:space="preserve"> </v>
      </c>
      <c r="D37" s="1412"/>
      <c r="E37" s="981"/>
      <c r="F37" s="1276" t="s">
        <v>2330</v>
      </c>
      <c r="G37" s="982" t="s">
        <v>2327</v>
      </c>
      <c r="H37" s="1691">
        <f>SUM(I37:O37)</f>
        <v>0</v>
      </c>
      <c r="I37" s="1692"/>
      <c r="J37" s="1692"/>
      <c r="K37" s="1692">
        <f>IFERROR(HLOOKUP(B37,pp3p1m!$1:$3,2,0),0)</f>
        <v>0</v>
      </c>
      <c r="L37" s="1692">
        <f>IFERROR(HLOOKUP(chitiet!B37,pp1p!$1:$3,3,0),0)</f>
        <v>0</v>
      </c>
      <c r="M37" s="1692"/>
      <c r="N37" s="1692"/>
      <c r="O37" s="1692"/>
      <c r="P37" s="2674">
        <f>T37</f>
        <v>0</v>
      </c>
      <c r="Q37" s="983">
        <f>IF(P37&gt;H37,P37-H37,0)</f>
        <v>0</v>
      </c>
      <c r="R37" s="983">
        <f>IF(H37&gt;P37,H37-P37,0)</f>
        <v>0</v>
      </c>
      <c r="S37" s="983"/>
      <c r="T37" s="1862">
        <f>IFERROR(HLOOKUP(B37,pp1p!$1:$3,3,0),0)+IFERROR(HLOOKUP(B37,pp3p1m!$1:$3,3,0),0)</f>
        <v>0</v>
      </c>
    </row>
    <row r="38" spans="1:20" ht="22.2" hidden="1" customHeight="1">
      <c r="A38" s="1448">
        <f>COUNTIF($C$12:C38,"x")</f>
        <v>1</v>
      </c>
      <c r="B38" s="1455" t="s">
        <v>636</v>
      </c>
      <c r="C38" s="60" t="str">
        <f t="shared" si="0"/>
        <v xml:space="preserve"> </v>
      </c>
      <c r="D38" s="1415">
        <v>2</v>
      </c>
      <c r="E38" s="980" t="str">
        <f>VLOOKUP($B38,DG!A:D,DG!$B$2,)</f>
        <v>04.4001</v>
      </c>
      <c r="F38" s="992" t="str">
        <f>VLOOKUP($B38,DG!A:D,DG!$C$2,)</f>
        <v>Đà cản BTCT 1,2m</v>
      </c>
      <c r="G38" s="980" t="str">
        <f>VLOOKUP($B38,DG!A:D,DG!$D$2,)</f>
        <v>cái</v>
      </c>
      <c r="H38" s="1693">
        <f t="shared" ref="H38:N39" si="5">H$37*$D38</f>
        <v>0</v>
      </c>
      <c r="I38" s="1693">
        <f t="shared" si="5"/>
        <v>0</v>
      </c>
      <c r="J38" s="1693">
        <f t="shared" si="5"/>
        <v>0</v>
      </c>
      <c r="K38" s="1693">
        <f t="shared" si="5"/>
        <v>0</v>
      </c>
      <c r="L38" s="1693">
        <f t="shared" si="5"/>
        <v>0</v>
      </c>
      <c r="M38" s="1693">
        <f t="shared" si="5"/>
        <v>0</v>
      </c>
      <c r="N38" s="1693">
        <f t="shared" si="5"/>
        <v>0</v>
      </c>
      <c r="O38" s="1693"/>
      <c r="P38" s="1693"/>
      <c r="Q38" s="989"/>
      <c r="R38" s="989"/>
      <c r="S38" s="989"/>
      <c r="T38" s="1862">
        <f t="shared" si="1"/>
        <v>0</v>
      </c>
    </row>
    <row r="39" spans="1:20" ht="22.2" hidden="1" customHeight="1">
      <c r="A39" s="1448">
        <f>COUNTIF($C$12:C39,"x")</f>
        <v>1</v>
      </c>
      <c r="B39" s="1455" t="s">
        <v>719</v>
      </c>
      <c r="C39" s="60" t="str">
        <f t="shared" si="0"/>
        <v xml:space="preserve"> </v>
      </c>
      <c r="D39" s="1415">
        <v>2</v>
      </c>
      <c r="E39" s="980"/>
      <c r="F39" s="992" t="str">
        <f>VLOOKUP($B39,DG!A:D,DG!$C$2,)</f>
        <v>Boulon 22x550/100+ 2 long đền vuông D24-50x50x3/Zn</v>
      </c>
      <c r="G39" s="980" t="str">
        <f>VLOOKUP($B39,DG!A:D,DG!$D$2,)</f>
        <v>bộ</v>
      </c>
      <c r="H39" s="1693">
        <f t="shared" si="5"/>
        <v>0</v>
      </c>
      <c r="I39" s="1693">
        <f t="shared" si="5"/>
        <v>0</v>
      </c>
      <c r="J39" s="1693">
        <f t="shared" si="5"/>
        <v>0</v>
      </c>
      <c r="K39" s="1693">
        <f t="shared" si="5"/>
        <v>0</v>
      </c>
      <c r="L39" s="1693">
        <f t="shared" si="5"/>
        <v>0</v>
      </c>
      <c r="M39" s="1693">
        <f t="shared" si="5"/>
        <v>0</v>
      </c>
      <c r="N39" s="1693">
        <f t="shared" si="5"/>
        <v>0</v>
      </c>
      <c r="O39" s="1693"/>
      <c r="P39" s="1693"/>
      <c r="Q39" s="989"/>
      <c r="R39" s="989"/>
      <c r="S39" s="989"/>
      <c r="T39" s="1862">
        <f t="shared" si="1"/>
        <v>0</v>
      </c>
    </row>
    <row r="40" spans="1:20" ht="22.2" hidden="1" customHeight="1">
      <c r="A40" s="1448">
        <f>COUNTIF($C$12:C40,"x")</f>
        <v>1</v>
      </c>
      <c r="B40" s="1455" t="s">
        <v>639</v>
      </c>
      <c r="C40" s="60" t="str">
        <f t="shared" si="0"/>
        <v xml:space="preserve"> </v>
      </c>
      <c r="D40" s="1414">
        <v>3.65</v>
      </c>
      <c r="E40" s="980" t="str">
        <f>VLOOKUP($B40,DG!A:D,DG!$B$2,)</f>
        <v>03.1013</v>
      </c>
      <c r="F40" s="985" t="str">
        <f>VLOOKUP($B40,DG!A:D,DG!$C$2,)</f>
        <v>Đào hố móng đất cấp 3 sâu &gt;1m</v>
      </c>
      <c r="G40" s="980" t="str">
        <f>VLOOKUP($B40,DG!A:D,DG!$D$2,)</f>
        <v>m3</v>
      </c>
      <c r="H40" s="1693"/>
      <c r="I40" s="1693"/>
      <c r="J40" s="1693"/>
      <c r="K40" s="1693"/>
      <c r="L40" s="1693"/>
      <c r="M40" s="1693"/>
      <c r="N40" s="1693"/>
      <c r="O40" s="1693"/>
      <c r="P40" s="1693"/>
      <c r="Q40" s="994"/>
      <c r="R40" s="994"/>
      <c r="S40" s="994"/>
      <c r="T40" s="1862">
        <f t="shared" si="1"/>
        <v>0</v>
      </c>
    </row>
    <row r="41" spans="1:20" ht="22.2" hidden="1" customHeight="1">
      <c r="A41" s="1448">
        <f>COUNTIF($C$12:C41,"x")</f>
        <v>1</v>
      </c>
      <c r="B41" s="1455" t="s">
        <v>21</v>
      </c>
      <c r="C41" s="60" t="str">
        <f t="shared" si="0"/>
        <v xml:space="preserve"> </v>
      </c>
      <c r="D41" s="1414">
        <v>4.41</v>
      </c>
      <c r="E41" s="980" t="str">
        <f>VLOOKUP($B41,DG!A:D,DG!$B$2,)</f>
        <v>03.4113</v>
      </c>
      <c r="F41" s="985" t="str">
        <f>VLOOKUP($B41,DG!A:D,DG!$C$2,)</f>
        <v>Đắp đất hố móng, độ chặt k=0,95</v>
      </c>
      <c r="G41" s="980" t="str">
        <f>VLOOKUP($B41,DG!A:D,DG!$D$2,)</f>
        <v>m3</v>
      </c>
      <c r="H41" s="1693"/>
      <c r="I41" s="1693"/>
      <c r="J41" s="1693"/>
      <c r="K41" s="1693"/>
      <c r="L41" s="1693"/>
      <c r="M41" s="1693"/>
      <c r="N41" s="1693"/>
      <c r="O41" s="1693"/>
      <c r="P41" s="1693"/>
      <c r="Q41" s="994"/>
      <c r="R41" s="994"/>
      <c r="S41" s="994"/>
      <c r="T41" s="1862">
        <f t="shared" si="1"/>
        <v>0</v>
      </c>
    </row>
    <row r="42" spans="1:20" ht="22.2" hidden="1" customHeight="1">
      <c r="A42" s="1448">
        <f>COUNTIF($C$12:C42,"x")</f>
        <v>1</v>
      </c>
      <c r="B42" s="1455" t="s">
        <v>637</v>
      </c>
      <c r="C42" s="60" t="str">
        <f t="shared" si="0"/>
        <v xml:space="preserve"> </v>
      </c>
      <c r="D42" s="1414">
        <f>0.1*D38</f>
        <v>0.2</v>
      </c>
      <c r="E42" s="980" t="str">
        <f>VLOOKUP($B42,DG!A:D,DG!$B$2,)</f>
        <v>02.1123</v>
      </c>
      <c r="F42" s="985" t="str">
        <f>VLOOKUP($B42,DG!A:D,DG!$C$2,)</f>
        <v>Bốc dỡ đà cản, đế néo</v>
      </c>
      <c r="G42" s="980" t="str">
        <f>VLOOKUP($B42,DG!A:D,DG!$D$2,)</f>
        <v>tấn</v>
      </c>
      <c r="H42" s="1693"/>
      <c r="I42" s="1693"/>
      <c r="J42" s="1693"/>
      <c r="K42" s="1693"/>
      <c r="L42" s="1693"/>
      <c r="M42" s="1693"/>
      <c r="N42" s="1693"/>
      <c r="O42" s="1693"/>
      <c r="P42" s="1693"/>
      <c r="Q42" s="989"/>
      <c r="R42" s="989"/>
      <c r="S42" s="989"/>
      <c r="T42" s="1862">
        <f t="shared" si="1"/>
        <v>0</v>
      </c>
    </row>
    <row r="43" spans="1:20" ht="22.2" hidden="1" customHeight="1">
      <c r="A43" s="1448">
        <f>COUNTIF($C$12:C43,"x")</f>
        <v>1</v>
      </c>
      <c r="B43" s="1464" t="s">
        <v>2063</v>
      </c>
      <c r="C43" s="60" t="str">
        <f t="shared" si="0"/>
        <v xml:space="preserve"> </v>
      </c>
      <c r="D43" s="1414">
        <f>D42</f>
        <v>0.2</v>
      </c>
      <c r="E43" s="980" t="str">
        <f>VLOOKUP($B43,DG!A:C,2,)</f>
        <v>02.1451</v>
      </c>
      <c r="F43" s="985" t="str">
        <f>VLOOKUP($B43,DG!A:C,3,)</f>
        <v>V/c đà cản vào vị trí (cự ly &lt;=100m)</v>
      </c>
      <c r="G43" s="980" t="str">
        <f>VLOOKUP($B43,DG!A:D,4,0)</f>
        <v>tấn</v>
      </c>
      <c r="H43" s="1693"/>
      <c r="I43" s="1693"/>
      <c r="J43" s="1693"/>
      <c r="K43" s="1693"/>
      <c r="L43" s="1693"/>
      <c r="M43" s="1693"/>
      <c r="N43" s="1693"/>
      <c r="O43" s="1693"/>
      <c r="P43" s="1693"/>
      <c r="Q43" s="994"/>
      <c r="R43" s="994"/>
      <c r="S43" s="994"/>
      <c r="T43" s="1862">
        <f t="shared" si="1"/>
        <v>0</v>
      </c>
    </row>
    <row r="44" spans="1:20" ht="22.2" hidden="1" customHeight="1">
      <c r="A44" s="1448">
        <f>COUNTIF($C$12:C44,"x")</f>
        <v>1</v>
      </c>
      <c r="B44" s="1464" t="s">
        <v>635</v>
      </c>
      <c r="C44" s="60" t="str">
        <f t="shared" si="0"/>
        <v xml:space="preserve"> </v>
      </c>
      <c r="D44" s="1414">
        <v>0.2</v>
      </c>
      <c r="E44" s="980" t="str">
        <f>VLOOKUP($B44,DG!A:C,2,)</f>
        <v>02.1482</v>
      </c>
      <c r="F44" s="985" t="str">
        <f>VLOOKUP($B44,DG!A:C,3,)</f>
        <v>V/c dụng cụ thi công vào vị trí (cự ly &lt;=100m)</v>
      </c>
      <c r="G44" s="980" t="str">
        <f>VLOOKUP($B44,DG!A:D,4,0)</f>
        <v>tấn</v>
      </c>
      <c r="H44" s="1693"/>
      <c r="I44" s="1693"/>
      <c r="J44" s="1693"/>
      <c r="K44" s="1693"/>
      <c r="L44" s="1693"/>
      <c r="M44" s="1693"/>
      <c r="N44" s="1693"/>
      <c r="O44" s="1693"/>
      <c r="P44" s="1693"/>
      <c r="Q44" s="994"/>
      <c r="R44" s="994"/>
      <c r="S44" s="994"/>
      <c r="T44" s="1862">
        <f t="shared" si="1"/>
        <v>0</v>
      </c>
    </row>
    <row r="45" spans="1:20" ht="22.2" hidden="1" customHeight="1">
      <c r="A45" s="1448">
        <f>COUNTIF($C$12:C45,"x")</f>
        <v>1</v>
      </c>
      <c r="B45" s="1452" t="s">
        <v>443</v>
      </c>
      <c r="C45" s="59" t="str">
        <f t="shared" si="0"/>
        <v xml:space="preserve"> </v>
      </c>
      <c r="D45" s="1412"/>
      <c r="E45" s="981"/>
      <c r="F45" s="1276" t="s">
        <v>2331</v>
      </c>
      <c r="G45" s="982" t="s">
        <v>2327</v>
      </c>
      <c r="H45" s="1691">
        <f>SUM(I45:O45)</f>
        <v>0</v>
      </c>
      <c r="I45" s="1692"/>
      <c r="J45" s="1692"/>
      <c r="K45" s="1692">
        <f>IFERROR(HLOOKUP(B45,pp3p1m!$1:$3,2,0),0)</f>
        <v>0</v>
      </c>
      <c r="L45" s="1692">
        <f>IFERROR(HLOOKUP(chitiet!B45,pp1p!$1:$3,3,0),0)</f>
        <v>0</v>
      </c>
      <c r="M45" s="1692"/>
      <c r="N45" s="1692"/>
      <c r="O45" s="1692"/>
      <c r="P45" s="2674">
        <f>T45</f>
        <v>0</v>
      </c>
      <c r="Q45" s="983">
        <f>IF(P45&gt;H45,P45-H45,0)</f>
        <v>0</v>
      </c>
      <c r="R45" s="983">
        <f>IF(H45&gt;P45,H45-P45,0)</f>
        <v>0</v>
      </c>
      <c r="S45" s="983"/>
      <c r="T45" s="1862">
        <f>IFERROR(HLOOKUP(B45,pp1p!$1:$3,3,0),0)+IFERROR(HLOOKUP(B45,pp3p1m!$1:$3,3,0),0)</f>
        <v>0</v>
      </c>
    </row>
    <row r="46" spans="1:20" ht="22.2" hidden="1" customHeight="1">
      <c r="A46" s="1448">
        <f>COUNTIF($C$12:C46,"x")</f>
        <v>1</v>
      </c>
      <c r="B46" s="1455" t="s">
        <v>636</v>
      </c>
      <c r="C46" s="60" t="str">
        <f t="shared" si="0"/>
        <v xml:space="preserve"> </v>
      </c>
      <c r="D46" s="1415">
        <v>2</v>
      </c>
      <c r="E46" s="980" t="str">
        <f>VLOOKUP($B46,DG!A:D,DG!$B$2,)</f>
        <v>04.4001</v>
      </c>
      <c r="F46" s="992" t="str">
        <f>VLOOKUP($B46,DG!A:D,DG!$C$2,)</f>
        <v>Đà cản BTCT 1,2m</v>
      </c>
      <c r="G46" s="980" t="str">
        <f>VLOOKUP($B46,DG!A:D,DG!$D$2,)</f>
        <v>cái</v>
      </c>
      <c r="H46" s="1693">
        <f t="shared" ref="H46:N47" si="6">H$45*$D46</f>
        <v>0</v>
      </c>
      <c r="I46" s="1693">
        <f t="shared" si="6"/>
        <v>0</v>
      </c>
      <c r="J46" s="1693">
        <f t="shared" si="6"/>
        <v>0</v>
      </c>
      <c r="K46" s="1693">
        <f t="shared" si="6"/>
        <v>0</v>
      </c>
      <c r="L46" s="1693">
        <f t="shared" si="6"/>
        <v>0</v>
      </c>
      <c r="M46" s="1693">
        <f t="shared" si="6"/>
        <v>0</v>
      </c>
      <c r="N46" s="1693">
        <f t="shared" si="6"/>
        <v>0</v>
      </c>
      <c r="O46" s="1693"/>
      <c r="P46" s="1693"/>
      <c r="Q46" s="989"/>
      <c r="R46" s="989"/>
      <c r="S46" s="989"/>
      <c r="T46" s="1862">
        <f t="shared" si="1"/>
        <v>0</v>
      </c>
    </row>
    <row r="47" spans="1:20" ht="22.2" hidden="1" customHeight="1">
      <c r="A47" s="1448">
        <f>COUNTIF($C$12:C47,"x")</f>
        <v>1</v>
      </c>
      <c r="B47" s="1455" t="s">
        <v>719</v>
      </c>
      <c r="C47" s="60" t="str">
        <f t="shared" si="0"/>
        <v xml:space="preserve"> </v>
      </c>
      <c r="D47" s="1415">
        <v>2</v>
      </c>
      <c r="E47" s="980"/>
      <c r="F47" s="992" t="str">
        <f>VLOOKUP($B47,DG!A:D,DG!$C$2,)</f>
        <v>Boulon 22x550/100+ 2 long đền vuông D24-50x50x3/Zn</v>
      </c>
      <c r="G47" s="980" t="str">
        <f>VLOOKUP($B47,DG!A:D,DG!$D$2,)</f>
        <v>bộ</v>
      </c>
      <c r="H47" s="1693">
        <f t="shared" si="6"/>
        <v>0</v>
      </c>
      <c r="I47" s="1693">
        <f t="shared" si="6"/>
        <v>0</v>
      </c>
      <c r="J47" s="1693">
        <f t="shared" si="6"/>
        <v>0</v>
      </c>
      <c r="K47" s="1693">
        <f t="shared" si="6"/>
        <v>0</v>
      </c>
      <c r="L47" s="1693">
        <f t="shared" si="6"/>
        <v>0</v>
      </c>
      <c r="M47" s="1693">
        <f t="shared" si="6"/>
        <v>0</v>
      </c>
      <c r="N47" s="1693">
        <f t="shared" si="6"/>
        <v>0</v>
      </c>
      <c r="O47" s="1693"/>
      <c r="P47" s="1693"/>
      <c r="Q47" s="989"/>
      <c r="R47" s="989"/>
      <c r="S47" s="989"/>
      <c r="T47" s="1862">
        <f t="shared" si="1"/>
        <v>0</v>
      </c>
    </row>
    <row r="48" spans="1:20" ht="22.2" hidden="1" customHeight="1">
      <c r="A48" s="1448">
        <f>COUNTIF($C$12:C48,"x")</f>
        <v>1</v>
      </c>
      <c r="B48" s="1455" t="s">
        <v>639</v>
      </c>
      <c r="C48" s="60" t="str">
        <f t="shared" si="0"/>
        <v xml:space="preserve"> </v>
      </c>
      <c r="D48" s="1414">
        <v>3.81</v>
      </c>
      <c r="E48" s="980" t="str">
        <f>VLOOKUP($B48,DG!A:D,DG!$B$2,)</f>
        <v>03.1013</v>
      </c>
      <c r="F48" s="985" t="str">
        <f>VLOOKUP($B48,DG!A:D,DG!$C$2,)</f>
        <v>Đào hố móng đất cấp 3 sâu &gt;1m</v>
      </c>
      <c r="G48" s="980" t="str">
        <f>VLOOKUP($B48,DG!A:D,DG!$D$2,)</f>
        <v>m3</v>
      </c>
      <c r="H48" s="1693"/>
      <c r="I48" s="1693"/>
      <c r="J48" s="1693"/>
      <c r="K48" s="1693"/>
      <c r="L48" s="1693"/>
      <c r="M48" s="1693"/>
      <c r="N48" s="1693"/>
      <c r="O48" s="1693"/>
      <c r="P48" s="1693"/>
      <c r="Q48" s="994"/>
      <c r="R48" s="994"/>
      <c r="S48" s="994"/>
      <c r="T48" s="1862">
        <f t="shared" si="1"/>
        <v>0</v>
      </c>
    </row>
    <row r="49" spans="1:20" ht="22.2" hidden="1" customHeight="1">
      <c r="A49" s="1448">
        <f>COUNTIF($C$12:C49,"x")</f>
        <v>1</v>
      </c>
      <c r="B49" s="1455" t="s">
        <v>21</v>
      </c>
      <c r="C49" s="60" t="str">
        <f t="shared" si="0"/>
        <v xml:space="preserve"> </v>
      </c>
      <c r="D49" s="1414">
        <v>4.63</v>
      </c>
      <c r="E49" s="980" t="str">
        <f>VLOOKUP($B49,DG!A:D,DG!$B$2,)</f>
        <v>03.4113</v>
      </c>
      <c r="F49" s="985" t="str">
        <f>VLOOKUP($B49,DG!A:D,DG!$C$2,)</f>
        <v>Đắp đất hố móng, độ chặt k=0,95</v>
      </c>
      <c r="G49" s="980" t="str">
        <f>VLOOKUP($B49,DG!A:D,DG!$D$2,)</f>
        <v>m3</v>
      </c>
      <c r="H49" s="1693"/>
      <c r="I49" s="1693"/>
      <c r="J49" s="1693"/>
      <c r="K49" s="1693"/>
      <c r="L49" s="1693"/>
      <c r="M49" s="1693"/>
      <c r="N49" s="1693"/>
      <c r="O49" s="1693"/>
      <c r="P49" s="1693"/>
      <c r="Q49" s="994"/>
      <c r="R49" s="994"/>
      <c r="S49" s="994"/>
      <c r="T49" s="1862">
        <f t="shared" si="1"/>
        <v>0</v>
      </c>
    </row>
    <row r="50" spans="1:20" ht="22.2" hidden="1" customHeight="1">
      <c r="A50" s="1448">
        <f>COUNTIF($C$12:C50,"x")</f>
        <v>1</v>
      </c>
      <c r="B50" s="1455" t="s">
        <v>637</v>
      </c>
      <c r="C50" s="60" t="str">
        <f t="shared" si="0"/>
        <v xml:space="preserve"> </v>
      </c>
      <c r="D50" s="1414">
        <f>0.1*D46</f>
        <v>0.2</v>
      </c>
      <c r="E50" s="980" t="str">
        <f>VLOOKUP($B50,DG!A:D,DG!$B$2,)</f>
        <v>02.1123</v>
      </c>
      <c r="F50" s="985" t="str">
        <f>VLOOKUP($B50,DG!A:D,DG!$C$2,)</f>
        <v>Bốc dỡ đà cản, đế néo</v>
      </c>
      <c r="G50" s="980" t="str">
        <f>VLOOKUP($B50,DG!A:D,DG!$D$2,)</f>
        <v>tấn</v>
      </c>
      <c r="H50" s="1693"/>
      <c r="I50" s="1693"/>
      <c r="J50" s="1693"/>
      <c r="K50" s="1693"/>
      <c r="L50" s="1693"/>
      <c r="M50" s="1693"/>
      <c r="N50" s="1693"/>
      <c r="O50" s="1693"/>
      <c r="P50" s="1693"/>
      <c r="Q50" s="989"/>
      <c r="R50" s="989"/>
      <c r="S50" s="989"/>
      <c r="T50" s="1862">
        <f t="shared" si="1"/>
        <v>0</v>
      </c>
    </row>
    <row r="51" spans="1:20" ht="22.2" hidden="1" customHeight="1">
      <c r="A51" s="1448">
        <f>COUNTIF($C$12:C51,"x")</f>
        <v>1</v>
      </c>
      <c r="B51" s="1464" t="s">
        <v>2063</v>
      </c>
      <c r="C51" s="60" t="str">
        <f t="shared" si="0"/>
        <v xml:space="preserve"> </v>
      </c>
      <c r="D51" s="1414">
        <f>D50</f>
        <v>0.2</v>
      </c>
      <c r="E51" s="980" t="str">
        <f>VLOOKUP($B51,DG!A:C,2,)</f>
        <v>02.1451</v>
      </c>
      <c r="F51" s="985" t="str">
        <f>VLOOKUP($B51,DG!A:C,3,)</f>
        <v>V/c đà cản vào vị trí (cự ly &lt;=100m)</v>
      </c>
      <c r="G51" s="980" t="str">
        <f>VLOOKUP($B51,DG!A:D,4,0)</f>
        <v>tấn</v>
      </c>
      <c r="H51" s="1693"/>
      <c r="I51" s="1693"/>
      <c r="J51" s="1693"/>
      <c r="K51" s="1693"/>
      <c r="L51" s="1693"/>
      <c r="M51" s="1693"/>
      <c r="N51" s="1693"/>
      <c r="O51" s="1693"/>
      <c r="P51" s="1693"/>
      <c r="Q51" s="994"/>
      <c r="R51" s="994"/>
      <c r="S51" s="994"/>
      <c r="T51" s="1862">
        <f t="shared" si="1"/>
        <v>0</v>
      </c>
    </row>
    <row r="52" spans="1:20" ht="22.2" hidden="1" customHeight="1">
      <c r="A52" s="1448">
        <f>COUNTIF($C$12:C52,"x")</f>
        <v>1</v>
      </c>
      <c r="B52" s="1464" t="s">
        <v>635</v>
      </c>
      <c r="C52" s="60" t="str">
        <f t="shared" si="0"/>
        <v xml:space="preserve"> </v>
      </c>
      <c r="D52" s="1414">
        <v>0.2</v>
      </c>
      <c r="E52" s="980" t="str">
        <f>VLOOKUP($B52,DG!A:C,2,)</f>
        <v>02.1482</v>
      </c>
      <c r="F52" s="985" t="str">
        <f>VLOOKUP($B52,DG!A:C,3,)</f>
        <v>V/c dụng cụ thi công vào vị trí (cự ly &lt;=100m)</v>
      </c>
      <c r="G52" s="980" t="str">
        <f>VLOOKUP($B52,DG!A:D,4,0)</f>
        <v>tấn</v>
      </c>
      <c r="H52" s="1693"/>
      <c r="I52" s="1693"/>
      <c r="J52" s="1693"/>
      <c r="K52" s="1693"/>
      <c r="L52" s="1693"/>
      <c r="M52" s="1693"/>
      <c r="N52" s="1693"/>
      <c r="O52" s="1693"/>
      <c r="P52" s="1693"/>
      <c r="Q52" s="994"/>
      <c r="R52" s="994"/>
      <c r="S52" s="994"/>
      <c r="T52" s="1862">
        <f t="shared" si="1"/>
        <v>0</v>
      </c>
    </row>
    <row r="53" spans="1:20" ht="22.2" hidden="1" customHeight="1">
      <c r="A53" s="1448">
        <f>COUNTIF($C$12:C53,"x")</f>
        <v>1</v>
      </c>
      <c r="B53" s="1452" t="s">
        <v>444</v>
      </c>
      <c r="C53" s="59" t="str">
        <f t="shared" si="0"/>
        <v xml:space="preserve"> </v>
      </c>
      <c r="D53" s="1412"/>
      <c r="E53" s="981"/>
      <c r="F53" s="1276" t="s">
        <v>2332</v>
      </c>
      <c r="G53" s="982" t="s">
        <v>2327</v>
      </c>
      <c r="H53" s="1691">
        <f>SUM(I53:O53)</f>
        <v>0</v>
      </c>
      <c r="I53" s="1692"/>
      <c r="J53" s="1692"/>
      <c r="K53" s="1692">
        <f>IFERROR(HLOOKUP(B53,pp3p1m!$1:$3,2,0),0)</f>
        <v>0</v>
      </c>
      <c r="L53" s="1692">
        <f>IFERROR(HLOOKUP(chitiet!B53,pp1p!$1:$3,3,0),0)</f>
        <v>0</v>
      </c>
      <c r="M53" s="1692"/>
      <c r="N53" s="1692"/>
      <c r="O53" s="1692"/>
      <c r="P53" s="2674">
        <f>T53</f>
        <v>0</v>
      </c>
      <c r="Q53" s="983">
        <f>IF(P53&gt;H53,P53-H53,0)</f>
        <v>0</v>
      </c>
      <c r="R53" s="983">
        <f>IF(H53&gt;P53,H53-P53,0)</f>
        <v>0</v>
      </c>
      <c r="S53" s="983"/>
      <c r="T53" s="1862">
        <f>IFERROR(HLOOKUP(B53,pp1p!$1:$3,3,0),0)+IFERROR(HLOOKUP(B53,pp3p1m!$1:$3,3,0),0)</f>
        <v>0</v>
      </c>
    </row>
    <row r="54" spans="1:20" ht="22.2" hidden="1" customHeight="1">
      <c r="A54" s="1448">
        <f>COUNTIF($C$12:C54,"x")</f>
        <v>1</v>
      </c>
      <c r="B54" s="1455" t="s">
        <v>636</v>
      </c>
      <c r="C54" s="60" t="str">
        <f t="shared" si="0"/>
        <v xml:space="preserve"> </v>
      </c>
      <c r="D54" s="1415">
        <v>2</v>
      </c>
      <c r="E54" s="980" t="str">
        <f>VLOOKUP($B54,DG!A:D,DG!$B$2,)</f>
        <v>04.4001</v>
      </c>
      <c r="F54" s="992" t="str">
        <f>VLOOKUP($B54,DG!A:D,DG!$C$2,)</f>
        <v>Đà cản BTCT 1,2m</v>
      </c>
      <c r="G54" s="980" t="str">
        <f>VLOOKUP($B54,DG!A:D,DG!$D$2,)</f>
        <v>cái</v>
      </c>
      <c r="H54" s="1693">
        <f t="shared" ref="H54:N55" si="7">H$53*$D54</f>
        <v>0</v>
      </c>
      <c r="I54" s="1693">
        <f t="shared" si="7"/>
        <v>0</v>
      </c>
      <c r="J54" s="1693">
        <f t="shared" si="7"/>
        <v>0</v>
      </c>
      <c r="K54" s="1693">
        <f t="shared" si="7"/>
        <v>0</v>
      </c>
      <c r="L54" s="1693">
        <f t="shared" si="7"/>
        <v>0</v>
      </c>
      <c r="M54" s="1693">
        <f t="shared" si="7"/>
        <v>0</v>
      </c>
      <c r="N54" s="1693">
        <f t="shared" si="7"/>
        <v>0</v>
      </c>
      <c r="O54" s="1693"/>
      <c r="P54" s="1693"/>
      <c r="Q54" s="989"/>
      <c r="R54" s="989"/>
      <c r="S54" s="989"/>
      <c r="T54" s="1862">
        <f t="shared" si="1"/>
        <v>0</v>
      </c>
    </row>
    <row r="55" spans="1:20" ht="22.2" hidden="1" customHeight="1">
      <c r="A55" s="1448">
        <f>COUNTIF($C$12:C55,"x")</f>
        <v>1</v>
      </c>
      <c r="B55" s="1455" t="s">
        <v>720</v>
      </c>
      <c r="C55" s="60" t="str">
        <f t="shared" si="0"/>
        <v xml:space="preserve"> </v>
      </c>
      <c r="D55" s="1415">
        <v>2</v>
      </c>
      <c r="E55" s="980"/>
      <c r="F55" s="992" t="str">
        <f>VLOOKUP($B55,DG!A:D,DG!$C$2,)</f>
        <v>Boulon 22x750+ 2 long đền vuông D24-50x50x3/Zn</v>
      </c>
      <c r="G55" s="980" t="str">
        <f>VLOOKUP($B55,DG!A:D,DG!$D$2,)</f>
        <v>bộ</v>
      </c>
      <c r="H55" s="1693">
        <f t="shared" si="7"/>
        <v>0</v>
      </c>
      <c r="I55" s="1693">
        <f t="shared" si="7"/>
        <v>0</v>
      </c>
      <c r="J55" s="1693">
        <f t="shared" si="7"/>
        <v>0</v>
      </c>
      <c r="K55" s="1693">
        <f t="shared" si="7"/>
        <v>0</v>
      </c>
      <c r="L55" s="1693">
        <f t="shared" si="7"/>
        <v>0</v>
      </c>
      <c r="M55" s="1693">
        <f t="shared" si="7"/>
        <v>0</v>
      </c>
      <c r="N55" s="1693">
        <f t="shared" si="7"/>
        <v>0</v>
      </c>
      <c r="O55" s="1693"/>
      <c r="P55" s="1693"/>
      <c r="Q55" s="989"/>
      <c r="R55" s="989"/>
      <c r="S55" s="989"/>
      <c r="T55" s="1862">
        <f t="shared" si="1"/>
        <v>0</v>
      </c>
    </row>
    <row r="56" spans="1:20" ht="22.2" hidden="1" customHeight="1">
      <c r="A56" s="1448">
        <f>COUNTIF($C$12:C56,"x")</f>
        <v>1</v>
      </c>
      <c r="B56" s="1455" t="s">
        <v>1812</v>
      </c>
      <c r="C56" s="60" t="str">
        <f t="shared" si="0"/>
        <v xml:space="preserve"> </v>
      </c>
      <c r="D56" s="1413">
        <v>0.155</v>
      </c>
      <c r="E56" s="980">
        <f>VLOOKUP($B56,DG!A:D,DG!$B$2,)</f>
        <v>0</v>
      </c>
      <c r="F56" s="985" t="str">
        <f>VLOOKUP($B56,DG!A:D,DG!$C$2,)</f>
        <v>Đá 2x4</v>
      </c>
      <c r="G56" s="980" t="str">
        <f>VLOOKUP($B56,DG!A:D,DG!$D$2,)</f>
        <v>m3</v>
      </c>
      <c r="H56" s="1693">
        <f t="shared" ref="H56:N56" si="8">H$18*$D56</f>
        <v>0</v>
      </c>
      <c r="I56" s="1693">
        <f t="shared" si="8"/>
        <v>0</v>
      </c>
      <c r="J56" s="1693">
        <f t="shared" si="8"/>
        <v>0</v>
      </c>
      <c r="K56" s="1693">
        <f t="shared" si="8"/>
        <v>0</v>
      </c>
      <c r="L56" s="1693">
        <f t="shared" si="8"/>
        <v>0</v>
      </c>
      <c r="M56" s="1693">
        <f t="shared" si="8"/>
        <v>0</v>
      </c>
      <c r="N56" s="1693">
        <f t="shared" si="8"/>
        <v>0</v>
      </c>
      <c r="O56" s="1693"/>
      <c r="P56" s="1693"/>
      <c r="Q56" s="989"/>
      <c r="R56" s="989"/>
      <c r="S56" s="989"/>
      <c r="T56" s="1862">
        <f t="shared" si="1"/>
        <v>0</v>
      </c>
    </row>
    <row r="57" spans="1:20" ht="22.2" hidden="1" customHeight="1">
      <c r="A57" s="1448">
        <f>COUNTIF($C$12:C57,"x")</f>
        <v>1</v>
      </c>
      <c r="B57" s="1455" t="s">
        <v>639</v>
      </c>
      <c r="C57" s="60" t="str">
        <f t="shared" si="0"/>
        <v xml:space="preserve"> </v>
      </c>
      <c r="D57" s="1414">
        <v>1.9</v>
      </c>
      <c r="E57" s="980" t="str">
        <f>VLOOKUP($B57,DG!A:D,DG!$B$2,)</f>
        <v>03.1013</v>
      </c>
      <c r="F57" s="985" t="str">
        <f>VLOOKUP($B57,DG!A:D,DG!$C$2,)</f>
        <v>Đào hố móng đất cấp 3 sâu &gt;1m</v>
      </c>
      <c r="G57" s="980" t="str">
        <f>VLOOKUP($B57,DG!A:D,DG!$D$2,)</f>
        <v>m3</v>
      </c>
      <c r="H57" s="1693"/>
      <c r="I57" s="1693"/>
      <c r="J57" s="1693"/>
      <c r="K57" s="1693"/>
      <c r="L57" s="1693"/>
      <c r="M57" s="1693"/>
      <c r="N57" s="1693"/>
      <c r="O57" s="1693"/>
      <c r="P57" s="1693"/>
      <c r="Q57" s="994"/>
      <c r="R57" s="994"/>
      <c r="S57" s="994"/>
      <c r="T57" s="1862">
        <f t="shared" si="1"/>
        <v>0</v>
      </c>
    </row>
    <row r="58" spans="1:20" ht="22.2" hidden="1" customHeight="1">
      <c r="A58" s="1448">
        <f>COUNTIF($C$12:C58,"x")</f>
        <v>1</v>
      </c>
      <c r="B58" s="1455" t="s">
        <v>21</v>
      </c>
      <c r="C58" s="60" t="str">
        <f t="shared" si="0"/>
        <v xml:space="preserve"> </v>
      </c>
      <c r="D58" s="1414">
        <v>2.4</v>
      </c>
      <c r="E58" s="980" t="str">
        <f>VLOOKUP($B58,DG!A:D,DG!$B$2,)</f>
        <v>03.4113</v>
      </c>
      <c r="F58" s="985" t="str">
        <f>VLOOKUP($B58,DG!A:D,DG!$C$2,)</f>
        <v>Đắp đất hố móng, độ chặt k=0,95</v>
      </c>
      <c r="G58" s="980" t="str">
        <f>VLOOKUP($B58,DG!A:D,DG!$D$2,)</f>
        <v>m3</v>
      </c>
      <c r="H58" s="1693"/>
      <c r="I58" s="1693"/>
      <c r="J58" s="1693"/>
      <c r="K58" s="1693"/>
      <c r="L58" s="1693"/>
      <c r="M58" s="1693"/>
      <c r="N58" s="1693"/>
      <c r="O58" s="1693"/>
      <c r="P58" s="1693"/>
      <c r="Q58" s="994"/>
      <c r="R58" s="994"/>
      <c r="S58" s="994"/>
      <c r="T58" s="1862">
        <f t="shared" si="1"/>
        <v>0</v>
      </c>
    </row>
    <row r="59" spans="1:20" ht="22.2" hidden="1" customHeight="1">
      <c r="A59" s="1448">
        <f>COUNTIF($C$12:C59,"x")</f>
        <v>1</v>
      </c>
      <c r="B59" s="1455" t="s">
        <v>637</v>
      </c>
      <c r="C59" s="60" t="str">
        <f t="shared" si="0"/>
        <v xml:space="preserve"> </v>
      </c>
      <c r="D59" s="1414">
        <f>0.1*D54</f>
        <v>0.2</v>
      </c>
      <c r="E59" s="980" t="str">
        <f>VLOOKUP($B59,DG!A:D,DG!$B$2,)</f>
        <v>02.1123</v>
      </c>
      <c r="F59" s="985" t="str">
        <f>VLOOKUP($B59,DG!A:D,DG!$C$2,)</f>
        <v>Bốc dỡ đà cản, đế néo</v>
      </c>
      <c r="G59" s="980" t="str">
        <f>VLOOKUP($B59,DG!A:D,DG!$D$2,)</f>
        <v>tấn</v>
      </c>
      <c r="H59" s="1693"/>
      <c r="I59" s="1693"/>
      <c r="J59" s="1693"/>
      <c r="K59" s="1693"/>
      <c r="L59" s="1693"/>
      <c r="M59" s="1693"/>
      <c r="N59" s="1693"/>
      <c r="O59" s="1693"/>
      <c r="P59" s="1693"/>
      <c r="Q59" s="989"/>
      <c r="R59" s="989"/>
      <c r="S59" s="989"/>
      <c r="T59" s="1862">
        <f t="shared" si="1"/>
        <v>0</v>
      </c>
    </row>
    <row r="60" spans="1:20" ht="22.2" hidden="1" customHeight="1">
      <c r="A60" s="1448">
        <f>COUNTIF($C$12:C60,"x")</f>
        <v>1</v>
      </c>
      <c r="B60" s="1464" t="s">
        <v>2063</v>
      </c>
      <c r="C60" s="60" t="str">
        <f t="shared" si="0"/>
        <v xml:space="preserve"> </v>
      </c>
      <c r="D60" s="1414">
        <f>D59</f>
        <v>0.2</v>
      </c>
      <c r="E60" s="980" t="str">
        <f>VLOOKUP($B60,DG!A:C,2,)</f>
        <v>02.1451</v>
      </c>
      <c r="F60" s="985" t="str">
        <f>VLOOKUP($B60,DG!A:C,3,)</f>
        <v>V/c đà cản vào vị trí (cự ly &lt;=100m)</v>
      </c>
      <c r="G60" s="980" t="str">
        <f>VLOOKUP($B60,DG!A:D,4,0)</f>
        <v>tấn</v>
      </c>
      <c r="H60" s="1693"/>
      <c r="I60" s="1693"/>
      <c r="J60" s="1693"/>
      <c r="K60" s="1693"/>
      <c r="L60" s="1693"/>
      <c r="M60" s="1693"/>
      <c r="N60" s="1693"/>
      <c r="O60" s="1693"/>
      <c r="P60" s="1693"/>
      <c r="Q60" s="994"/>
      <c r="R60" s="994"/>
      <c r="S60" s="994"/>
      <c r="T60" s="1862">
        <f t="shared" si="1"/>
        <v>0</v>
      </c>
    </row>
    <row r="61" spans="1:20" ht="22.2" hidden="1" customHeight="1">
      <c r="A61" s="1448">
        <f>COUNTIF($C$12:C61,"x")</f>
        <v>1</v>
      </c>
      <c r="B61" s="1464" t="s">
        <v>674</v>
      </c>
      <c r="C61" s="60" t="str">
        <f t="shared" si="0"/>
        <v xml:space="preserve"> </v>
      </c>
      <c r="D61" s="1413">
        <f>D56</f>
        <v>0.155</v>
      </c>
      <c r="E61" s="980" t="str">
        <f>VLOOKUP($B61,DG!A:C,2,)</f>
        <v>02.1241</v>
      </c>
      <c r="F61" s="985" t="str">
        <f>VLOOKUP($B61,DG!A:C,3,)</f>
        <v>V/c đá dăm ( cự ly &lt;=100m)</v>
      </c>
      <c r="G61" s="980" t="str">
        <f>VLOOKUP($B61,DG!A:D,4,0)</f>
        <v>m3</v>
      </c>
      <c r="H61" s="1693"/>
      <c r="I61" s="1693"/>
      <c r="J61" s="1693"/>
      <c r="K61" s="1693"/>
      <c r="L61" s="1693"/>
      <c r="M61" s="1693"/>
      <c r="N61" s="1693"/>
      <c r="O61" s="1693"/>
      <c r="P61" s="1693"/>
      <c r="Q61" s="994"/>
      <c r="R61" s="994"/>
      <c r="S61" s="994"/>
      <c r="T61" s="1862">
        <f t="shared" si="1"/>
        <v>0</v>
      </c>
    </row>
    <row r="62" spans="1:20" ht="22.2" hidden="1" customHeight="1">
      <c r="A62" s="1448">
        <f>COUNTIF($C$12:C62,"x")</f>
        <v>1</v>
      </c>
      <c r="B62" s="1464" t="s">
        <v>635</v>
      </c>
      <c r="C62" s="60" t="str">
        <f t="shared" si="0"/>
        <v xml:space="preserve"> </v>
      </c>
      <c r="D62" s="1414">
        <v>0.2</v>
      </c>
      <c r="E62" s="980" t="str">
        <f>VLOOKUP($B62,DG!A:C,2,)</f>
        <v>02.1482</v>
      </c>
      <c r="F62" s="985" t="str">
        <f>VLOOKUP($B62,DG!A:C,3,)</f>
        <v>V/c dụng cụ thi công vào vị trí (cự ly &lt;=100m)</v>
      </c>
      <c r="G62" s="980" t="str">
        <f>VLOOKUP($B62,DG!A:D,4,0)</f>
        <v>tấn</v>
      </c>
      <c r="H62" s="1693"/>
      <c r="I62" s="1693"/>
      <c r="J62" s="1693"/>
      <c r="K62" s="1693"/>
      <c r="L62" s="1693"/>
      <c r="M62" s="1693"/>
      <c r="N62" s="1693"/>
      <c r="O62" s="1693"/>
      <c r="P62" s="1693"/>
      <c r="Q62" s="994"/>
      <c r="R62" s="994"/>
      <c r="S62" s="994"/>
      <c r="T62" s="1862">
        <f t="shared" si="1"/>
        <v>0</v>
      </c>
    </row>
    <row r="63" spans="1:20" ht="22.2" hidden="1" customHeight="1">
      <c r="A63" s="1448">
        <f>COUNTIF($C$12:C63,"x")</f>
        <v>1</v>
      </c>
      <c r="B63" s="1452" t="s">
        <v>958</v>
      </c>
      <c r="C63" s="59" t="str">
        <f t="shared" si="0"/>
        <v xml:space="preserve"> </v>
      </c>
      <c r="D63" s="1412"/>
      <c r="E63" s="981"/>
      <c r="F63" s="1276" t="s">
        <v>2333</v>
      </c>
      <c r="G63" s="982" t="s">
        <v>2327</v>
      </c>
      <c r="H63" s="1691">
        <f>SUM(I63:O63)</f>
        <v>0</v>
      </c>
      <c r="I63" s="1692"/>
      <c r="J63" s="1692"/>
      <c r="K63" s="1692">
        <f>IFERROR(HLOOKUP(B63,pp3p1m!$1:$3,2,0),0)</f>
        <v>0</v>
      </c>
      <c r="L63" s="1692">
        <f>IFERROR(HLOOKUP(chitiet!B63,pp1p!$1:$3,3,0),0)</f>
        <v>0</v>
      </c>
      <c r="M63" s="1692"/>
      <c r="N63" s="1692"/>
      <c r="O63" s="1692"/>
      <c r="P63" s="2674">
        <f>T63</f>
        <v>0</v>
      </c>
      <c r="Q63" s="983">
        <f>IF(P63&gt;H63,P63-H63,0)</f>
        <v>0</v>
      </c>
      <c r="R63" s="983">
        <f>IF(H63&gt;P63,H63-P63,0)</f>
        <v>0</v>
      </c>
      <c r="S63" s="983"/>
      <c r="T63" s="1862">
        <f>IFERROR(HLOOKUP(B63,pp1p!$1:$3,3,0),0)+IFERROR(HLOOKUP(B63,pp3p1m!$1:$3,3,0),0)</f>
        <v>0</v>
      </c>
    </row>
    <row r="64" spans="1:20" ht="22.2" hidden="1" customHeight="1">
      <c r="A64" s="1448">
        <f>COUNTIF($C$12:C64,"x")</f>
        <v>1</v>
      </c>
      <c r="B64" s="1465" t="s">
        <v>639</v>
      </c>
      <c r="C64" s="60" t="str">
        <f t="shared" si="0"/>
        <v xml:space="preserve"> </v>
      </c>
      <c r="D64" s="1416">
        <v>0.13500000000000001</v>
      </c>
      <c r="E64" s="984" t="str">
        <f>VLOOKUP($B64,DG!A:D,DG!$B$2,)</f>
        <v>03.1013</v>
      </c>
      <c r="F64" s="985" t="str">
        <f>VLOOKUP($B64,DG!A:D,DG!$C$2,)</f>
        <v>Đào hố móng đất cấp 3 sâu &gt;1m</v>
      </c>
      <c r="G64" s="984" t="str">
        <f>VLOOKUP($B64,DG!A:D,DG!$D$2,)</f>
        <v>m3</v>
      </c>
      <c r="H64" s="1694">
        <f>$H$63*D64</f>
        <v>0</v>
      </c>
      <c r="I64" s="1694"/>
      <c r="J64" s="1694"/>
      <c r="K64" s="1694"/>
      <c r="L64" s="1694"/>
      <c r="M64" s="1694"/>
      <c r="N64" s="1694"/>
      <c r="O64" s="1694"/>
      <c r="P64" s="1694">
        <f>$P$63*D64</f>
        <v>0</v>
      </c>
      <c r="Q64" s="991"/>
      <c r="R64" s="991"/>
      <c r="S64" s="991"/>
      <c r="T64" s="1862">
        <f t="shared" si="1"/>
        <v>0</v>
      </c>
    </row>
    <row r="65" spans="1:20" ht="22.2" hidden="1" customHeight="1">
      <c r="A65" s="1448">
        <f>COUNTIF($C$12:C65,"x")</f>
        <v>1</v>
      </c>
      <c r="B65" s="1465" t="s">
        <v>21</v>
      </c>
      <c r="C65" s="60" t="str">
        <f t="shared" si="0"/>
        <v xml:space="preserve"> </v>
      </c>
      <c r="D65" s="1416">
        <f>D64</f>
        <v>0.13500000000000001</v>
      </c>
      <c r="E65" s="984" t="str">
        <f>VLOOKUP($B65,DG!A:D,DG!$B$2,)</f>
        <v>03.4113</v>
      </c>
      <c r="F65" s="985" t="str">
        <f>VLOOKUP($B65,DG!A:D,DG!$C$2,)</f>
        <v>Đắp đất hố móng, độ chặt k=0,95</v>
      </c>
      <c r="G65" s="984" t="str">
        <f>VLOOKUP($B65,DG!A:D,DG!$D$2,)</f>
        <v>m3</v>
      </c>
      <c r="H65" s="1694">
        <f>$H$63*D65</f>
        <v>0</v>
      </c>
      <c r="I65" s="1694"/>
      <c r="J65" s="1694"/>
      <c r="K65" s="1694"/>
      <c r="L65" s="1694"/>
      <c r="M65" s="1694"/>
      <c r="N65" s="1694"/>
      <c r="O65" s="1694"/>
      <c r="P65" s="1694">
        <f>$P$63*D65</f>
        <v>0</v>
      </c>
      <c r="Q65" s="991"/>
      <c r="R65" s="991"/>
      <c r="S65" s="991"/>
      <c r="T65" s="1862">
        <f t="shared" si="1"/>
        <v>0</v>
      </c>
    </row>
    <row r="66" spans="1:20" ht="22.2" hidden="1" customHeight="1">
      <c r="A66" s="1448">
        <f>COUNTIF($C$12:C66,"x")</f>
        <v>1</v>
      </c>
      <c r="B66" s="1453" t="s">
        <v>635</v>
      </c>
      <c r="C66" s="60" t="str">
        <f t="shared" si="0"/>
        <v xml:space="preserve"> </v>
      </c>
      <c r="D66" s="1417"/>
      <c r="E66" s="984" t="str">
        <f>VLOOKUP($B66,DG!A:C,2,)</f>
        <v>02.1482</v>
      </c>
      <c r="F66" s="985" t="str">
        <f>VLOOKUP($B66,DG!A:C,3,)</f>
        <v>V/c dụng cụ thi công vào vị trí (cự ly &lt;=100m)</v>
      </c>
      <c r="G66" s="984" t="str">
        <f>VLOOKUP($B66,DG!A:D,4,0)</f>
        <v>tấn</v>
      </c>
      <c r="H66" s="1694"/>
      <c r="I66" s="1694"/>
      <c r="J66" s="1694"/>
      <c r="K66" s="1694"/>
      <c r="L66" s="1694"/>
      <c r="M66" s="1694"/>
      <c r="N66" s="1694"/>
      <c r="O66" s="1694"/>
      <c r="P66" s="1694"/>
      <c r="Q66" s="991"/>
      <c r="R66" s="991"/>
      <c r="S66" s="991"/>
      <c r="T66" s="1862">
        <f t="shared" si="1"/>
        <v>0</v>
      </c>
    </row>
    <row r="67" spans="1:20" ht="22.2" hidden="1" customHeight="1">
      <c r="A67" s="1448">
        <f>COUNTIF($C$12:C67,"x")</f>
        <v>1</v>
      </c>
      <c r="B67" s="1452" t="s">
        <v>2176</v>
      </c>
      <c r="C67" s="59" t="str">
        <f t="shared" si="0"/>
        <v xml:space="preserve"> </v>
      </c>
      <c r="D67" s="1412"/>
      <c r="E67" s="981"/>
      <c r="F67" s="1276" t="s">
        <v>2334</v>
      </c>
      <c r="G67" s="982" t="s">
        <v>2327</v>
      </c>
      <c r="H67" s="1691">
        <f>SUM(I67:O67)</f>
        <v>0</v>
      </c>
      <c r="I67" s="1692"/>
      <c r="J67" s="1692"/>
      <c r="K67" s="1692">
        <f>IFERROR(HLOOKUP(B67,pp3p1m!$1:$3,2,0),0)</f>
        <v>0</v>
      </c>
      <c r="L67" s="1692">
        <f>IFERROR(HLOOKUP(chitiet!B67,pp1p!$1:$3,3,0),0)</f>
        <v>0</v>
      </c>
      <c r="M67" s="1692"/>
      <c r="N67" s="1692"/>
      <c r="O67" s="1692"/>
      <c r="P67" s="2674">
        <f>T67</f>
        <v>0</v>
      </c>
      <c r="Q67" s="983">
        <f>IF(P67&gt;H67,P67-H67,0)</f>
        <v>0</v>
      </c>
      <c r="R67" s="983">
        <f>IF(H67&gt;P67,H67-P67,0)</f>
        <v>0</v>
      </c>
      <c r="S67" s="983"/>
      <c r="T67" s="1862">
        <f>IFERROR(HLOOKUP(B67,pp1p!$1:$3,3,0),0)+IFERROR(HLOOKUP(B67,pp3p1m!$1:$3,3,0),0)</f>
        <v>0</v>
      </c>
    </row>
    <row r="68" spans="1:20" ht="22.2" hidden="1" customHeight="1">
      <c r="A68" s="1448">
        <f>COUNTIF($C$12:C68,"x")</f>
        <v>1</v>
      </c>
      <c r="B68" s="1465" t="s">
        <v>636</v>
      </c>
      <c r="C68" s="60" t="str">
        <f t="shared" si="0"/>
        <v xml:space="preserve"> </v>
      </c>
      <c r="D68" s="1418">
        <v>1</v>
      </c>
      <c r="E68" s="980" t="str">
        <f>VLOOKUP($B68,DG!A:D,DG!$B$2,)</f>
        <v>04.4001</v>
      </c>
      <c r="F68" s="990" t="str">
        <f>VLOOKUP($B68,DG!A:D,DG!$C$2,)</f>
        <v>Đà cản BTCT 1,2m</v>
      </c>
      <c r="G68" s="984" t="str">
        <f>VLOOKUP($B68,DG!A:D,DG!$D$2,)</f>
        <v>cái</v>
      </c>
      <c r="H68" s="1694"/>
      <c r="I68" s="1694">
        <f t="shared" ref="I68:L69" si="9">I$63*$D68</f>
        <v>0</v>
      </c>
      <c r="J68" s="1694">
        <f t="shared" si="9"/>
        <v>0</v>
      </c>
      <c r="K68" s="1694">
        <f t="shared" si="9"/>
        <v>0</v>
      </c>
      <c r="L68" s="1694">
        <f t="shared" si="9"/>
        <v>0</v>
      </c>
      <c r="M68" s="1694">
        <f t="shared" ref="M68:O69" si="10">M$67*$D68</f>
        <v>0</v>
      </c>
      <c r="N68" s="1694">
        <f t="shared" si="10"/>
        <v>0</v>
      </c>
      <c r="O68" s="1694">
        <f t="shared" si="10"/>
        <v>0</v>
      </c>
      <c r="P68" s="1694"/>
      <c r="Q68" s="988"/>
      <c r="R68" s="988"/>
      <c r="S68" s="988"/>
      <c r="T68" s="1862">
        <f t="shared" si="1"/>
        <v>0</v>
      </c>
    </row>
    <row r="69" spans="1:20" ht="22.2" hidden="1" customHeight="1">
      <c r="A69" s="1448">
        <f>COUNTIF($C$12:C69,"x")</f>
        <v>1</v>
      </c>
      <c r="B69" s="1465" t="s">
        <v>719</v>
      </c>
      <c r="C69" s="60" t="str">
        <f t="shared" si="0"/>
        <v xml:space="preserve"> </v>
      </c>
      <c r="D69" s="1418">
        <v>1</v>
      </c>
      <c r="E69" s="984"/>
      <c r="F69" s="990" t="str">
        <f>VLOOKUP($B69,DG!A:D,DG!$C$2,)</f>
        <v>Boulon 22x550/100+ 2 long đền vuông D24-50x50x3/Zn</v>
      </c>
      <c r="G69" s="984" t="str">
        <f>VLOOKUP($B69,DG!A:D,DG!$D$2,)</f>
        <v>bộ</v>
      </c>
      <c r="H69" s="1694"/>
      <c r="I69" s="1694">
        <f t="shared" si="9"/>
        <v>0</v>
      </c>
      <c r="J69" s="1694">
        <f t="shared" si="9"/>
        <v>0</v>
      </c>
      <c r="K69" s="1694">
        <f t="shared" si="9"/>
        <v>0</v>
      </c>
      <c r="L69" s="1694">
        <f t="shared" si="9"/>
        <v>0</v>
      </c>
      <c r="M69" s="1694">
        <f t="shared" si="10"/>
        <v>0</v>
      </c>
      <c r="N69" s="1694">
        <f t="shared" si="10"/>
        <v>0</v>
      </c>
      <c r="O69" s="1694">
        <f t="shared" si="10"/>
        <v>0</v>
      </c>
      <c r="P69" s="1694"/>
      <c r="Q69" s="988"/>
      <c r="R69" s="988"/>
      <c r="S69" s="988"/>
      <c r="T69" s="1862">
        <f t="shared" si="1"/>
        <v>0</v>
      </c>
    </row>
    <row r="70" spans="1:20" ht="22.2" hidden="1" customHeight="1">
      <c r="A70" s="1448">
        <f>COUNTIF($C$12:C70,"x")</f>
        <v>1</v>
      </c>
      <c r="B70" s="1465" t="s">
        <v>639</v>
      </c>
      <c r="C70" s="60" t="str">
        <f t="shared" si="0"/>
        <v xml:space="preserve"> </v>
      </c>
      <c r="D70" s="1417">
        <v>0.73</v>
      </c>
      <c r="E70" s="984" t="str">
        <f>VLOOKUP($B70,DG!A:D,DG!$B$2,)</f>
        <v>03.1013</v>
      </c>
      <c r="F70" s="985" t="str">
        <f>VLOOKUP($B70,DG!A:D,DG!$C$2,)</f>
        <v>Đào hố móng đất cấp 3 sâu &gt;1m</v>
      </c>
      <c r="G70" s="984" t="str">
        <f>VLOOKUP($B70,DG!A:D,DG!$D$2,)</f>
        <v>m3</v>
      </c>
      <c r="H70" s="1694"/>
      <c r="I70" s="1694"/>
      <c r="J70" s="1694"/>
      <c r="K70" s="1694"/>
      <c r="L70" s="1694"/>
      <c r="M70" s="1694"/>
      <c r="N70" s="1694"/>
      <c r="O70" s="1694"/>
      <c r="P70" s="1694"/>
      <c r="Q70" s="991"/>
      <c r="R70" s="991"/>
      <c r="S70" s="991"/>
      <c r="T70" s="1862">
        <f t="shared" si="1"/>
        <v>0</v>
      </c>
    </row>
    <row r="71" spans="1:20" ht="22.2" hidden="1" customHeight="1">
      <c r="A71" s="1448">
        <f>COUNTIF($C$12:C71,"x")</f>
        <v>1</v>
      </c>
      <c r="B71" s="1465" t="s">
        <v>21</v>
      </c>
      <c r="C71" s="60" t="str">
        <f t="shared" si="0"/>
        <v xml:space="preserve"> </v>
      </c>
      <c r="D71" s="1417">
        <f>+D70</f>
        <v>0.73</v>
      </c>
      <c r="E71" s="984" t="str">
        <f>VLOOKUP($B71,DG!A:D,DG!$B$2,)</f>
        <v>03.4113</v>
      </c>
      <c r="F71" s="985" t="str">
        <f>VLOOKUP($B71,DG!A:D,DG!$C$2,)</f>
        <v>Đắp đất hố móng, độ chặt k=0,95</v>
      </c>
      <c r="G71" s="984" t="str">
        <f>VLOOKUP($B71,DG!A:D,DG!$D$2,)</f>
        <v>m3</v>
      </c>
      <c r="H71" s="1694"/>
      <c r="I71" s="1694"/>
      <c r="J71" s="1694"/>
      <c r="K71" s="1694"/>
      <c r="L71" s="1694"/>
      <c r="M71" s="1694"/>
      <c r="N71" s="1694"/>
      <c r="O71" s="1694"/>
      <c r="P71" s="1694"/>
      <c r="Q71" s="991"/>
      <c r="R71" s="991"/>
      <c r="S71" s="991"/>
      <c r="T71" s="1862">
        <f t="shared" si="1"/>
        <v>0</v>
      </c>
    </row>
    <row r="72" spans="1:20" ht="22.2" hidden="1" customHeight="1">
      <c r="A72" s="1448">
        <f>COUNTIF($C$12:C72,"x")</f>
        <v>1</v>
      </c>
      <c r="B72" s="1465" t="s">
        <v>637</v>
      </c>
      <c r="C72" s="60" t="str">
        <f t="shared" si="0"/>
        <v xml:space="preserve"> </v>
      </c>
      <c r="D72" s="1417"/>
      <c r="E72" s="984" t="str">
        <f>VLOOKUP($B72,DG!A:D,DG!$B$2,)</f>
        <v>02.1123</v>
      </c>
      <c r="F72" s="985" t="str">
        <f>VLOOKUP($B72,DG!A:D,DG!$C$2,)</f>
        <v>Bốc dỡ đà cản, đế néo</v>
      </c>
      <c r="G72" s="984" t="str">
        <f>VLOOKUP($B72,DG!A:D,DG!$D$2,)</f>
        <v>tấn</v>
      </c>
      <c r="H72" s="1694"/>
      <c r="I72" s="1694"/>
      <c r="J72" s="1694"/>
      <c r="K72" s="1694"/>
      <c r="L72" s="1694"/>
      <c r="M72" s="1694"/>
      <c r="N72" s="1694"/>
      <c r="O72" s="1694"/>
      <c r="P72" s="1694"/>
      <c r="Q72" s="988"/>
      <c r="R72" s="988"/>
      <c r="S72" s="988"/>
      <c r="T72" s="1862">
        <f t="shared" si="1"/>
        <v>0</v>
      </c>
    </row>
    <row r="73" spans="1:20" ht="22.2" hidden="1" customHeight="1">
      <c r="A73" s="1448">
        <f>COUNTIF($C$12:C73,"x")</f>
        <v>1</v>
      </c>
      <c r="B73" s="1453" t="s">
        <v>2063</v>
      </c>
      <c r="C73" s="60" t="str">
        <f t="shared" si="0"/>
        <v xml:space="preserve"> </v>
      </c>
      <c r="D73" s="1417"/>
      <c r="E73" s="984" t="str">
        <f>VLOOKUP($B73,DG!A:C,2,)</f>
        <v>02.1451</v>
      </c>
      <c r="F73" s="985" t="str">
        <f>VLOOKUP($B73,DG!A:C,3,)</f>
        <v>V/c đà cản vào vị trí (cự ly &lt;=100m)</v>
      </c>
      <c r="G73" s="984" t="str">
        <f>VLOOKUP($B73,DG!A:D,4,0)</f>
        <v>tấn</v>
      </c>
      <c r="H73" s="1694"/>
      <c r="I73" s="1694"/>
      <c r="J73" s="1694"/>
      <c r="K73" s="1694"/>
      <c r="L73" s="1694"/>
      <c r="M73" s="1694"/>
      <c r="N73" s="1694"/>
      <c r="O73" s="1694"/>
      <c r="P73" s="1694"/>
      <c r="Q73" s="991"/>
      <c r="R73" s="991"/>
      <c r="S73" s="991"/>
      <c r="T73" s="1862">
        <f t="shared" si="1"/>
        <v>0</v>
      </c>
    </row>
    <row r="74" spans="1:20" ht="22.2" hidden="1" customHeight="1">
      <c r="A74" s="1448">
        <f>COUNTIF($C$12:C74,"x")</f>
        <v>1</v>
      </c>
      <c r="B74" s="1453" t="s">
        <v>635</v>
      </c>
      <c r="C74" s="60" t="str">
        <f t="shared" si="0"/>
        <v xml:space="preserve"> </v>
      </c>
      <c r="D74" s="1417"/>
      <c r="E74" s="984" t="str">
        <f>VLOOKUP($B74,DG!A:C,2,)</f>
        <v>02.1482</v>
      </c>
      <c r="F74" s="985" t="str">
        <f>VLOOKUP($B74,DG!A:C,3,)</f>
        <v>V/c dụng cụ thi công vào vị trí (cự ly &lt;=100m)</v>
      </c>
      <c r="G74" s="984" t="str">
        <f>VLOOKUP($B74,DG!A:D,4,0)</f>
        <v>tấn</v>
      </c>
      <c r="H74" s="1694"/>
      <c r="I74" s="1694"/>
      <c r="J74" s="1694"/>
      <c r="K74" s="1694"/>
      <c r="L74" s="1694"/>
      <c r="M74" s="1694"/>
      <c r="N74" s="1694"/>
      <c r="O74" s="1694"/>
      <c r="P74" s="1694"/>
      <c r="Q74" s="991"/>
      <c r="R74" s="991"/>
      <c r="S74" s="991"/>
      <c r="T74" s="1862">
        <f t="shared" si="1"/>
        <v>0</v>
      </c>
    </row>
    <row r="75" spans="1:20" ht="22.2" hidden="1" customHeight="1">
      <c r="A75" s="1448">
        <f>COUNTIF($C$12:C75,"x")</f>
        <v>1</v>
      </c>
      <c r="B75" s="1452" t="s">
        <v>2315</v>
      </c>
      <c r="C75" s="59" t="str">
        <f t="shared" si="0"/>
        <v xml:space="preserve"> </v>
      </c>
      <c r="D75" s="1412"/>
      <c r="E75" s="981"/>
      <c r="F75" s="1276" t="s">
        <v>2335</v>
      </c>
      <c r="G75" s="982" t="s">
        <v>2327</v>
      </c>
      <c r="H75" s="1691">
        <f>SUM(I75:O75)</f>
        <v>0</v>
      </c>
      <c r="I75" s="1692"/>
      <c r="J75" s="1692"/>
      <c r="K75" s="1692">
        <f>IFERROR(HLOOKUP(B75,pp3p1m!$1:$3,2,0),0)</f>
        <v>0</v>
      </c>
      <c r="L75" s="1692">
        <f>IFERROR(HLOOKUP(chitiet!B75,pp1p!$1:$3,3,0),0)</f>
        <v>0</v>
      </c>
      <c r="M75" s="1692"/>
      <c r="N75" s="1692"/>
      <c r="O75" s="1692"/>
      <c r="P75" s="2674">
        <f>T75</f>
        <v>0</v>
      </c>
      <c r="Q75" s="983">
        <f>IF(P75&gt;H75,P75-H75,0)</f>
        <v>0</v>
      </c>
      <c r="R75" s="983">
        <f>IF(H75&gt;P75,H75-P75,0)</f>
        <v>0</v>
      </c>
      <c r="S75" s="983"/>
      <c r="T75" s="1862">
        <f>IFERROR(HLOOKUP(B75,pp1p!$1:$3,3,0),0)+IFERROR(HLOOKUP(B75,pp3p1m!$1:$3,3,0),0)</f>
        <v>0</v>
      </c>
    </row>
    <row r="76" spans="1:20" ht="22.2" hidden="1" customHeight="1">
      <c r="A76" s="1448">
        <f>COUNTIF($C$12:C76,"x")</f>
        <v>1</v>
      </c>
      <c r="B76" s="1453" t="s">
        <v>751</v>
      </c>
      <c r="C76" s="60" t="str">
        <f t="shared" si="0"/>
        <v xml:space="preserve"> </v>
      </c>
      <c r="D76" s="1419">
        <v>116</v>
      </c>
      <c r="E76" s="984">
        <f>VLOOKUP($B76,DG!A:D,DG!$B$2,)</f>
        <v>0</v>
      </c>
      <c r="F76" s="985" t="str">
        <f>VLOOKUP($B76,DG!A:D,DG!$C$2,)</f>
        <v>Ximăng (PC40)</v>
      </c>
      <c r="G76" s="984" t="str">
        <f>VLOOKUP($B76,DG!A:D,DG!$D$2,)</f>
        <v>kg</v>
      </c>
      <c r="H76" s="1694">
        <f t="shared" ref="H76:O80" si="11">H$75*$D76</f>
        <v>0</v>
      </c>
      <c r="I76" s="1694">
        <f t="shared" si="11"/>
        <v>0</v>
      </c>
      <c r="J76" s="1694">
        <f t="shared" si="11"/>
        <v>0</v>
      </c>
      <c r="K76" s="1694">
        <f t="shared" si="11"/>
        <v>0</v>
      </c>
      <c r="L76" s="1694">
        <f t="shared" si="11"/>
        <v>0</v>
      </c>
      <c r="M76" s="1694">
        <f t="shared" si="11"/>
        <v>0</v>
      </c>
      <c r="N76" s="1694">
        <f t="shared" si="11"/>
        <v>0</v>
      </c>
      <c r="O76" s="1694">
        <f t="shared" si="11"/>
        <v>0</v>
      </c>
      <c r="P76" s="1694"/>
      <c r="Q76" s="988"/>
      <c r="R76" s="988"/>
      <c r="S76" s="988"/>
      <c r="T76" s="1862">
        <f t="shared" si="1"/>
        <v>0</v>
      </c>
    </row>
    <row r="77" spans="1:20" ht="22.2" hidden="1" customHeight="1">
      <c r="A77" s="1448">
        <f>COUNTIF($C$12:C77,"x")</f>
        <v>1</v>
      </c>
      <c r="B77" s="1454" t="s">
        <v>4414</v>
      </c>
      <c r="C77" s="60" t="str">
        <f t="shared" si="0"/>
        <v xml:space="preserve"> </v>
      </c>
      <c r="D77" s="1416">
        <v>0.186</v>
      </c>
      <c r="E77" s="984">
        <f>VLOOKUP($B77,DG!A:D,DG!$B$2,)</f>
        <v>0</v>
      </c>
      <c r="F77" s="985" t="str">
        <f>VLOOKUP($B77,DG!A:D,DG!$C$2,)</f>
        <v>Cát vàng</v>
      </c>
      <c r="G77" s="984" t="str">
        <f>VLOOKUP($B77,DG!A:D,DG!$D$2,)</f>
        <v>m3</v>
      </c>
      <c r="H77" s="1694">
        <f t="shared" si="11"/>
        <v>0</v>
      </c>
      <c r="I77" s="1694">
        <f t="shared" si="11"/>
        <v>0</v>
      </c>
      <c r="J77" s="1694">
        <f t="shared" si="11"/>
        <v>0</v>
      </c>
      <c r="K77" s="1694">
        <f t="shared" si="11"/>
        <v>0</v>
      </c>
      <c r="L77" s="1694">
        <f t="shared" si="11"/>
        <v>0</v>
      </c>
      <c r="M77" s="1694">
        <f t="shared" si="11"/>
        <v>0</v>
      </c>
      <c r="N77" s="1694">
        <f t="shared" si="11"/>
        <v>0</v>
      </c>
      <c r="O77" s="1694">
        <f t="shared" si="11"/>
        <v>0</v>
      </c>
      <c r="P77" s="1694"/>
      <c r="Q77" s="988"/>
      <c r="R77" s="988"/>
      <c r="S77" s="988"/>
      <c r="T77" s="1862">
        <f t="shared" si="1"/>
        <v>0</v>
      </c>
    </row>
    <row r="78" spans="1:20" ht="22.2" hidden="1" customHeight="1">
      <c r="A78" s="1448">
        <f>COUNTIF($C$12:C78,"x")</f>
        <v>1</v>
      </c>
      <c r="B78" s="1453" t="s">
        <v>867</v>
      </c>
      <c r="C78" s="60" t="str">
        <f t="shared" si="0"/>
        <v xml:space="preserve"> </v>
      </c>
      <c r="D78" s="1420">
        <v>0.34399999999999997</v>
      </c>
      <c r="E78" s="984">
        <f>VLOOKUP($B78,DG!A:D,DG!$B$2,)</f>
        <v>0</v>
      </c>
      <c r="F78" s="985" t="str">
        <f>VLOOKUP($B78,DG!A:D,DG!$C$2,)</f>
        <v>Đá 1x2</v>
      </c>
      <c r="G78" s="984" t="str">
        <f>VLOOKUP($B78,DG!A:D,DG!$D$2,)</f>
        <v>m3</v>
      </c>
      <c r="H78" s="1694">
        <f t="shared" si="11"/>
        <v>0</v>
      </c>
      <c r="I78" s="1694">
        <f t="shared" si="11"/>
        <v>0</v>
      </c>
      <c r="J78" s="1694">
        <f t="shared" si="11"/>
        <v>0</v>
      </c>
      <c r="K78" s="1694">
        <f t="shared" si="11"/>
        <v>0</v>
      </c>
      <c r="L78" s="1694">
        <f t="shared" si="11"/>
        <v>0</v>
      </c>
      <c r="M78" s="1694">
        <f t="shared" si="11"/>
        <v>0</v>
      </c>
      <c r="N78" s="1694">
        <f t="shared" si="11"/>
        <v>0</v>
      </c>
      <c r="O78" s="1694">
        <f t="shared" si="11"/>
        <v>0</v>
      </c>
      <c r="P78" s="1694"/>
      <c r="Q78" s="988"/>
      <c r="R78" s="988"/>
      <c r="S78" s="988"/>
      <c r="T78" s="1862">
        <f t="shared" ref="T78:T141" si="12">IFERROR(HLOOKUP(B78,BangKeTru,3,0),0)</f>
        <v>0</v>
      </c>
    </row>
    <row r="79" spans="1:20" ht="22.2" hidden="1" customHeight="1">
      <c r="A79" s="1448">
        <f>COUNTIF($C$12:C79,"x")</f>
        <v>1</v>
      </c>
      <c r="B79" s="1453" t="s">
        <v>1424</v>
      </c>
      <c r="C79" s="60" t="str">
        <f t="shared" ref="C79:C142" si="13">IF(OR(P79&lt;&gt;0,H79&lt;&gt;0),"x"," ")</f>
        <v xml:space="preserve"> </v>
      </c>
      <c r="D79" s="1420"/>
      <c r="E79" s="984">
        <f>VLOOKUP($B79,DG!A:D,DG!$B$2,)</f>
        <v>0</v>
      </c>
      <c r="F79" s="990" t="str">
        <f>VLOOKUP($B79,DG!A:D,DG!$C$2,)</f>
        <v>Sắt Ø8</v>
      </c>
      <c r="G79" s="984" t="str">
        <f>VLOOKUP($B79,DG!A:D,DG!$D$2,)</f>
        <v>kg</v>
      </c>
      <c r="H79" s="1694">
        <f t="shared" si="11"/>
        <v>0</v>
      </c>
      <c r="I79" s="1694">
        <f t="shared" si="11"/>
        <v>0</v>
      </c>
      <c r="J79" s="1694">
        <f t="shared" si="11"/>
        <v>0</v>
      </c>
      <c r="K79" s="1694">
        <f t="shared" si="11"/>
        <v>0</v>
      </c>
      <c r="L79" s="1694">
        <f t="shared" si="11"/>
        <v>0</v>
      </c>
      <c r="M79" s="1694">
        <f t="shared" si="11"/>
        <v>0</v>
      </c>
      <c r="N79" s="1694">
        <f t="shared" si="11"/>
        <v>0</v>
      </c>
      <c r="O79" s="1694">
        <f t="shared" si="11"/>
        <v>0</v>
      </c>
      <c r="P79" s="1694"/>
      <c r="Q79" s="988"/>
      <c r="R79" s="988"/>
      <c r="S79" s="988"/>
      <c r="T79" s="1862">
        <f t="shared" si="12"/>
        <v>0</v>
      </c>
    </row>
    <row r="80" spans="1:20" ht="22.2" hidden="1" customHeight="1">
      <c r="A80" s="1448">
        <f>COUNTIF($C$12:C80,"x")</f>
        <v>1</v>
      </c>
      <c r="B80" s="1453" t="s">
        <v>1425</v>
      </c>
      <c r="C80" s="60" t="str">
        <f t="shared" si="13"/>
        <v xml:space="preserve"> </v>
      </c>
      <c r="D80" s="1416"/>
      <c r="E80" s="984">
        <f>VLOOKUP($B80,DG!A:D,DG!$B$2,)</f>
        <v>0</v>
      </c>
      <c r="F80" s="990" t="str">
        <f>VLOOKUP($B80,DG!A:D,DG!$C$2,)</f>
        <v>Kẽm</v>
      </c>
      <c r="G80" s="984" t="str">
        <f>VLOOKUP($B80,DG!A:D,DG!$D$2,)</f>
        <v>kg</v>
      </c>
      <c r="H80" s="1694">
        <f t="shared" si="11"/>
        <v>0</v>
      </c>
      <c r="I80" s="1694">
        <f t="shared" si="11"/>
        <v>0</v>
      </c>
      <c r="J80" s="1694">
        <f t="shared" si="11"/>
        <v>0</v>
      </c>
      <c r="K80" s="1694">
        <f t="shared" si="11"/>
        <v>0</v>
      </c>
      <c r="L80" s="1694">
        <f t="shared" si="11"/>
        <v>0</v>
      </c>
      <c r="M80" s="1694">
        <f t="shared" si="11"/>
        <v>0</v>
      </c>
      <c r="N80" s="1694">
        <f t="shared" si="11"/>
        <v>0</v>
      </c>
      <c r="O80" s="1694">
        <f t="shared" si="11"/>
        <v>0</v>
      </c>
      <c r="P80" s="1694"/>
      <c r="Q80" s="988"/>
      <c r="R80" s="988"/>
      <c r="S80" s="988"/>
      <c r="T80" s="1862">
        <f t="shared" si="12"/>
        <v>0</v>
      </c>
    </row>
    <row r="81" spans="1:20" ht="22.2" hidden="1" customHeight="1">
      <c r="A81" s="1448">
        <f>COUNTIF($C$12:C81,"x")</f>
        <v>1</v>
      </c>
      <c r="B81" s="1453" t="s">
        <v>639</v>
      </c>
      <c r="C81" s="60" t="str">
        <f t="shared" si="13"/>
        <v xml:space="preserve"> </v>
      </c>
      <c r="D81" s="1416">
        <v>0.46200000000000002</v>
      </c>
      <c r="E81" s="984" t="str">
        <f>VLOOKUP($B81,DG!A:D,DG!$B$2,)</f>
        <v>03.1013</v>
      </c>
      <c r="F81" s="985" t="str">
        <f>VLOOKUP($B81,DG!A:D,DG!$C$2,)</f>
        <v>Đào hố móng đất cấp 3 sâu &gt;1m</v>
      </c>
      <c r="G81" s="984" t="str">
        <f>VLOOKUP($B81,DG!A:D,DG!$D$2,)</f>
        <v>m3</v>
      </c>
      <c r="H81" s="1694"/>
      <c r="I81" s="1694"/>
      <c r="J81" s="1694"/>
      <c r="K81" s="1694"/>
      <c r="L81" s="1694"/>
      <c r="M81" s="1694"/>
      <c r="N81" s="1694"/>
      <c r="O81" s="1694"/>
      <c r="P81" s="1694"/>
      <c r="Q81" s="991"/>
      <c r="R81" s="991"/>
      <c r="S81" s="991"/>
      <c r="T81" s="1862">
        <f t="shared" si="12"/>
        <v>0</v>
      </c>
    </row>
    <row r="82" spans="1:20" ht="22.2" hidden="1" customHeight="1">
      <c r="A82" s="1448">
        <f>COUNTIF($C$12:C82,"x")</f>
        <v>1</v>
      </c>
      <c r="B82" s="1453" t="s">
        <v>21</v>
      </c>
      <c r="C82" s="60" t="str">
        <f t="shared" si="13"/>
        <v xml:space="preserve"> </v>
      </c>
      <c r="D82" s="1416"/>
      <c r="E82" s="984" t="str">
        <f>VLOOKUP($B82,DG!A:D,DG!$B$2,)</f>
        <v>03.4113</v>
      </c>
      <c r="F82" s="985" t="str">
        <f>VLOOKUP($B82,DG!A:D,DG!$C$2,)</f>
        <v>Đắp đất hố móng, độ chặt k=0,95</v>
      </c>
      <c r="G82" s="984" t="str">
        <f>VLOOKUP($B82,DG!A:D,DG!$D$2,)</f>
        <v>m3</v>
      </c>
      <c r="H82" s="1694"/>
      <c r="I82" s="1694"/>
      <c r="J82" s="1694"/>
      <c r="K82" s="1694"/>
      <c r="L82" s="1694"/>
      <c r="M82" s="1694"/>
      <c r="N82" s="1694"/>
      <c r="O82" s="1694"/>
      <c r="P82" s="1694"/>
      <c r="Q82" s="991"/>
      <c r="R82" s="991"/>
      <c r="S82" s="991"/>
      <c r="T82" s="1862">
        <f t="shared" si="12"/>
        <v>0</v>
      </c>
    </row>
    <row r="83" spans="1:20" ht="22.2" hidden="1" customHeight="1">
      <c r="A83" s="1448">
        <f>COUNTIF($C$12:C83,"x")</f>
        <v>1</v>
      </c>
      <c r="B83" s="1453" t="s">
        <v>1293</v>
      </c>
      <c r="C83" s="60" t="str">
        <f t="shared" si="13"/>
        <v xml:space="preserve"> </v>
      </c>
      <c r="D83" s="1416"/>
      <c r="E83" s="984" t="str">
        <f>VLOOKUP($B83,DG!A:D,DG!$B$2,)</f>
        <v>02.1101</v>
      </c>
      <c r="F83" s="985" t="str">
        <f>VLOOKUP($B83,DG!A:D,DG!$C$2,)</f>
        <v>Bốc dỡ xi măng</v>
      </c>
      <c r="G83" s="984" t="str">
        <f>VLOOKUP($B83,DG!A:D,DG!$D$2,)</f>
        <v>tấn</v>
      </c>
      <c r="H83" s="1694"/>
      <c r="I83" s="1694"/>
      <c r="J83" s="1694"/>
      <c r="K83" s="1694"/>
      <c r="L83" s="1694"/>
      <c r="M83" s="1694"/>
      <c r="N83" s="1694"/>
      <c r="O83" s="1694"/>
      <c r="P83" s="1694"/>
      <c r="Q83" s="991"/>
      <c r="R83" s="991"/>
      <c r="S83" s="991"/>
      <c r="T83" s="1862">
        <f t="shared" si="12"/>
        <v>0</v>
      </c>
    </row>
    <row r="84" spans="1:20" ht="22.2" hidden="1" customHeight="1">
      <c r="A84" s="1448">
        <f>COUNTIF($C$12:C84,"x")</f>
        <v>1</v>
      </c>
      <c r="B84" s="1453" t="s">
        <v>133</v>
      </c>
      <c r="C84" s="60" t="str">
        <f t="shared" si="13"/>
        <v xml:space="preserve"> </v>
      </c>
      <c r="D84" s="1416"/>
      <c r="E84" s="984" t="str">
        <f>VLOOKUP($B84,DG!A:D,DG!$B$2,)</f>
        <v>02.1103</v>
      </c>
      <c r="F84" s="985" t="str">
        <f>VLOOKUP($B84,DG!A:D,DG!$C$2,)</f>
        <v>Bốc dỡ cát</v>
      </c>
      <c r="G84" s="984" t="str">
        <f>VLOOKUP($B84,DG!A:D,DG!$D$2,)</f>
        <v>m3</v>
      </c>
      <c r="H84" s="1694"/>
      <c r="I84" s="1694"/>
      <c r="J84" s="1694"/>
      <c r="K84" s="1694"/>
      <c r="L84" s="1694"/>
      <c r="M84" s="1694"/>
      <c r="N84" s="1694"/>
      <c r="O84" s="1694"/>
      <c r="P84" s="1694"/>
      <c r="Q84" s="991"/>
      <c r="R84" s="991"/>
      <c r="S84" s="991"/>
      <c r="T84" s="1862">
        <f t="shared" si="12"/>
        <v>0</v>
      </c>
    </row>
    <row r="85" spans="1:20" ht="22.2" hidden="1" customHeight="1">
      <c r="A85" s="1448">
        <f>COUNTIF($C$12:C85,"x")</f>
        <v>1</v>
      </c>
      <c r="B85" s="1453" t="s">
        <v>135</v>
      </c>
      <c r="C85" s="60" t="str">
        <f t="shared" si="13"/>
        <v xml:space="preserve"> </v>
      </c>
      <c r="D85" s="1416"/>
      <c r="E85" s="984" t="str">
        <f>VLOOKUP($B85,DG!A:D,DG!$B$2,)</f>
        <v>02.1104</v>
      </c>
      <c r="F85" s="985" t="str">
        <f>VLOOKUP($B85,DG!A:D,DG!$C$2,)</f>
        <v>Bốc dỡ đá dăm</v>
      </c>
      <c r="G85" s="984" t="str">
        <f>VLOOKUP($B85,DG!A:D,DG!$D$2,)</f>
        <v>m3</v>
      </c>
      <c r="H85" s="1694"/>
      <c r="I85" s="1694"/>
      <c r="J85" s="1694"/>
      <c r="K85" s="1694"/>
      <c r="L85" s="1694"/>
      <c r="M85" s="1694"/>
      <c r="N85" s="1694"/>
      <c r="O85" s="1694"/>
      <c r="P85" s="1694"/>
      <c r="Q85" s="991"/>
      <c r="R85" s="991"/>
      <c r="S85" s="991"/>
      <c r="T85" s="1862">
        <f t="shared" si="12"/>
        <v>0</v>
      </c>
    </row>
    <row r="86" spans="1:20" ht="22.2" hidden="1" customHeight="1">
      <c r="A86" s="1448">
        <f>COUNTIF($C$12:C86,"x")</f>
        <v>1</v>
      </c>
      <c r="B86" s="1453" t="s">
        <v>9</v>
      </c>
      <c r="C86" s="60" t="str">
        <f t="shared" si="13"/>
        <v xml:space="preserve"> </v>
      </c>
      <c r="D86" s="1416"/>
      <c r="E86" s="984" t="str">
        <f>VLOOKUP($B86,DG!A:D,DG!$B$2,)</f>
        <v>04.5101</v>
      </c>
      <c r="F86" s="985" t="str">
        <f>VLOOKUP($B86,DG!A:D,DG!$C$2,)</f>
        <v>Gia công và lắp dựng cốt thép D&lt;=10</v>
      </c>
      <c r="G86" s="984" t="str">
        <f>VLOOKUP($B86,DG!A:D,DG!$D$2,)</f>
        <v>kg</v>
      </c>
      <c r="H86" s="1694"/>
      <c r="I86" s="1694"/>
      <c r="J86" s="1694"/>
      <c r="K86" s="1694"/>
      <c r="L86" s="1694"/>
      <c r="M86" s="1694"/>
      <c r="N86" s="1694"/>
      <c r="O86" s="1694"/>
      <c r="P86" s="1694"/>
      <c r="Q86" s="991"/>
      <c r="R86" s="991"/>
      <c r="S86" s="991"/>
      <c r="T86" s="1862">
        <f t="shared" si="12"/>
        <v>0</v>
      </c>
    </row>
    <row r="87" spans="1:20" ht="22.2" hidden="1" customHeight="1">
      <c r="A87" s="1448">
        <f>COUNTIF($C$12:C87,"x")</f>
        <v>1</v>
      </c>
      <c r="B87" s="1453" t="s">
        <v>495</v>
      </c>
      <c r="C87" s="60" t="str">
        <f t="shared" si="13"/>
        <v xml:space="preserve"> </v>
      </c>
      <c r="D87" s="1416"/>
      <c r="E87" s="984" t="str">
        <f>VLOOKUP($B87,DG!A:D,DG!$B$2,)</f>
        <v>02.1211</v>
      </c>
      <c r="F87" s="985" t="str">
        <f>VLOOKUP($B87,DG!A:D,DG!$C$2,)</f>
        <v>V/c xi măng ( cự ly &lt;=100m)</v>
      </c>
      <c r="G87" s="984" t="str">
        <f>VLOOKUP($B87,DG!A:D,DG!$D$2,)</f>
        <v>tấn</v>
      </c>
      <c r="H87" s="1694"/>
      <c r="I87" s="1694"/>
      <c r="J87" s="1694"/>
      <c r="K87" s="1694"/>
      <c r="L87" s="1694"/>
      <c r="M87" s="1694"/>
      <c r="N87" s="1694"/>
      <c r="O87" s="1694"/>
      <c r="P87" s="1694"/>
      <c r="Q87" s="991"/>
      <c r="R87" s="991"/>
      <c r="S87" s="991"/>
      <c r="T87" s="1862">
        <f t="shared" si="12"/>
        <v>0</v>
      </c>
    </row>
    <row r="88" spans="1:20" ht="22.2" hidden="1" customHeight="1">
      <c r="A88" s="1448">
        <f>COUNTIF($C$12:C88,"x")</f>
        <v>1</v>
      </c>
      <c r="B88" s="1453" t="s">
        <v>1611</v>
      </c>
      <c r="C88" s="60" t="str">
        <f t="shared" si="13"/>
        <v xml:space="preserve"> </v>
      </c>
      <c r="D88" s="1416"/>
      <c r="E88" s="984" t="str">
        <f>VLOOKUP($B88,DG!A:D,DG!$B$2,)</f>
        <v>02.1231</v>
      </c>
      <c r="F88" s="985" t="str">
        <f>VLOOKUP($B88,DG!A:D,DG!$C$2,)</f>
        <v>V/c cát vàng cự ly &lt;=100m</v>
      </c>
      <c r="G88" s="984" t="str">
        <f>VLOOKUP($B88,DG!A:D,DG!$D$2,)</f>
        <v>m3</v>
      </c>
      <c r="H88" s="1694"/>
      <c r="I88" s="1694"/>
      <c r="J88" s="1694"/>
      <c r="K88" s="1694"/>
      <c r="L88" s="1694"/>
      <c r="M88" s="1694"/>
      <c r="N88" s="1694"/>
      <c r="O88" s="1694"/>
      <c r="P88" s="1694"/>
      <c r="Q88" s="991"/>
      <c r="R88" s="991"/>
      <c r="S88" s="991"/>
      <c r="T88" s="1862">
        <f t="shared" si="12"/>
        <v>0</v>
      </c>
    </row>
    <row r="89" spans="1:20" ht="22.2" hidden="1" customHeight="1">
      <c r="A89" s="1448">
        <f>COUNTIF($C$12:C89,"x")</f>
        <v>1</v>
      </c>
      <c r="B89" s="1453" t="s">
        <v>521</v>
      </c>
      <c r="C89" s="60" t="str">
        <f t="shared" si="13"/>
        <v xml:space="preserve"> </v>
      </c>
      <c r="D89" s="1416"/>
      <c r="E89" s="984" t="str">
        <f>VLOOKUP($B89,DG!A:D,DG!$B$2,)</f>
        <v>02.1241</v>
      </c>
      <c r="F89" s="985" t="str">
        <f>VLOOKUP($B89,DG!A:D,DG!$C$2,)</f>
        <v>V/c đá dăm ( cự ly &lt;=100m)</v>
      </c>
      <c r="G89" s="984" t="str">
        <f>VLOOKUP($B89,DG!A:D,DG!$D$2,)</f>
        <v>m3</v>
      </c>
      <c r="H89" s="1694"/>
      <c r="I89" s="1694"/>
      <c r="J89" s="1694"/>
      <c r="K89" s="1694"/>
      <c r="L89" s="1694"/>
      <c r="M89" s="1694"/>
      <c r="N89" s="1694"/>
      <c r="O89" s="1694"/>
      <c r="P89" s="1694"/>
      <c r="Q89" s="991"/>
      <c r="R89" s="991"/>
      <c r="S89" s="991"/>
      <c r="T89" s="1862">
        <f t="shared" si="12"/>
        <v>0</v>
      </c>
    </row>
    <row r="90" spans="1:20" ht="22.2" hidden="1" customHeight="1">
      <c r="A90" s="1448">
        <f>COUNTIF($C$12:C90,"x")</f>
        <v>1</v>
      </c>
      <c r="B90" s="1453" t="s">
        <v>1981</v>
      </c>
      <c r="C90" s="60" t="str">
        <f t="shared" si="13"/>
        <v xml:space="preserve"> </v>
      </c>
      <c r="D90" s="1416"/>
      <c r="E90" s="984" t="str">
        <f>VLOOKUP($B90,DG!A:D,DG!$B$2,)</f>
        <v>02.1482</v>
      </c>
      <c r="F90" s="985" t="str">
        <f>VLOOKUP($B90,DG!A:D,DG!$C$2,)</f>
        <v>V/c dụng cụ thi công ( cự ly &lt;=100m)</v>
      </c>
      <c r="G90" s="984" t="str">
        <f>VLOOKUP($B90,DG!A:D,DG!$D$2,)</f>
        <v>tấn</v>
      </c>
      <c r="H90" s="1694"/>
      <c r="I90" s="1694"/>
      <c r="J90" s="1694"/>
      <c r="K90" s="1694"/>
      <c r="L90" s="1694"/>
      <c r="M90" s="1694"/>
      <c r="N90" s="1694"/>
      <c r="O90" s="1694"/>
      <c r="P90" s="1694"/>
      <c r="Q90" s="991"/>
      <c r="R90" s="991"/>
      <c r="S90" s="991"/>
      <c r="T90" s="1862">
        <f t="shared" si="12"/>
        <v>0</v>
      </c>
    </row>
    <row r="91" spans="1:20" ht="22.2" hidden="1" customHeight="1">
      <c r="A91" s="1448">
        <f>COUNTIF($C$12:C91,"x")</f>
        <v>1</v>
      </c>
      <c r="B91" s="1453" t="s">
        <v>1836</v>
      </c>
      <c r="C91" s="60" t="str">
        <f t="shared" si="13"/>
        <v xml:space="preserve"> </v>
      </c>
      <c r="D91" s="1416">
        <v>0.39</v>
      </c>
      <c r="E91" s="984" t="str">
        <f>VLOOKUP($B91,DG!A:D,DG!$B$2,)</f>
        <v>04.1203c</v>
      </c>
      <c r="F91" s="985" t="str">
        <f>VLOOKUP($B91,DG!A:D,DG!$C$2,)</f>
        <v>Đổ bê tông móng trụ &lt;=250cm-M200 đá 1x2</v>
      </c>
      <c r="G91" s="984" t="str">
        <f>VLOOKUP($B91,DG!A:D,DG!$D$2,)</f>
        <v>m3</v>
      </c>
      <c r="H91" s="1694"/>
      <c r="I91" s="1694"/>
      <c r="J91" s="1694"/>
      <c r="K91" s="1694"/>
      <c r="L91" s="1694"/>
      <c r="M91" s="1694"/>
      <c r="N91" s="1694"/>
      <c r="O91" s="1694"/>
      <c r="P91" s="1694"/>
      <c r="Q91" s="991"/>
      <c r="R91" s="991"/>
      <c r="S91" s="991"/>
      <c r="T91" s="1862">
        <f t="shared" si="12"/>
        <v>0</v>
      </c>
    </row>
    <row r="92" spans="1:20" ht="22.2" hidden="1" customHeight="1">
      <c r="A92" s="1448">
        <f>COUNTIF($C$12:C92,"x")</f>
        <v>1</v>
      </c>
      <c r="B92" s="1452" t="s">
        <v>4128</v>
      </c>
      <c r="C92" s="59" t="str">
        <f t="shared" si="13"/>
        <v xml:space="preserve"> </v>
      </c>
      <c r="D92" s="1412"/>
      <c r="E92" s="981"/>
      <c r="F92" s="1276" t="s">
        <v>4550</v>
      </c>
      <c r="G92" s="982" t="s">
        <v>2327</v>
      </c>
      <c r="H92" s="1691">
        <f>SUM(I92:O92)</f>
        <v>0</v>
      </c>
      <c r="I92" s="1692"/>
      <c r="J92" s="1692"/>
      <c r="K92" s="1692">
        <f>IFERROR(HLOOKUP(B92,pp3p1m!$1:$3,2,0),0)</f>
        <v>0</v>
      </c>
      <c r="L92" s="1692">
        <f>IFERROR(HLOOKUP(chitiet!B92,pp1p!$1:$3,3,0),0)</f>
        <v>0</v>
      </c>
      <c r="M92" s="1692"/>
      <c r="N92" s="1692"/>
      <c r="O92" s="1692"/>
      <c r="P92" s="2674">
        <f>T92</f>
        <v>0</v>
      </c>
      <c r="Q92" s="983">
        <f>IF(P92&gt;H92,P92-H92,0)</f>
        <v>0</v>
      </c>
      <c r="R92" s="983">
        <f>IF(H92&gt;P92,H92-P92,0)</f>
        <v>0</v>
      </c>
      <c r="S92" s="983"/>
      <c r="T92" s="1862">
        <f>IFERROR(HLOOKUP(B92,pp1p!$1:$3,3,0),0)+IFERROR(HLOOKUP(B92,pp3p1m!$1:$3,3,0),0)</f>
        <v>0</v>
      </c>
    </row>
    <row r="93" spans="1:20" ht="22.2" hidden="1" customHeight="1">
      <c r="A93" s="1448">
        <f>COUNTIF($C$12:C93,"x")</f>
        <v>1</v>
      </c>
      <c r="B93" s="1453" t="s">
        <v>751</v>
      </c>
      <c r="C93" s="60" t="str">
        <f t="shared" si="13"/>
        <v xml:space="preserve"> </v>
      </c>
      <c r="D93" s="1419">
        <v>162</v>
      </c>
      <c r="E93" s="984">
        <f>VLOOKUP($B93,DG!A:D,DG!$B$2,)</f>
        <v>0</v>
      </c>
      <c r="F93" s="985" t="str">
        <f>VLOOKUP($B93,DG!A:D,DG!$C$2,)</f>
        <v>Ximăng (PC40)</v>
      </c>
      <c r="G93" s="984" t="str">
        <f>VLOOKUP($B93,DG!A:D,DG!$D$2,)</f>
        <v>kg</v>
      </c>
      <c r="H93" s="1694">
        <f t="shared" ref="H93:H107" si="14">$H$92*D93</f>
        <v>0</v>
      </c>
      <c r="I93" s="1694">
        <f t="shared" ref="I93:O97" si="15">I$75*$D93</f>
        <v>0</v>
      </c>
      <c r="J93" s="1694">
        <f t="shared" si="15"/>
        <v>0</v>
      </c>
      <c r="K93" s="1694">
        <f t="shared" si="15"/>
        <v>0</v>
      </c>
      <c r="L93" s="1694">
        <f t="shared" si="15"/>
        <v>0</v>
      </c>
      <c r="M93" s="1694">
        <f t="shared" si="15"/>
        <v>0</v>
      </c>
      <c r="N93" s="1694">
        <f t="shared" si="15"/>
        <v>0</v>
      </c>
      <c r="O93" s="1694">
        <f t="shared" si="15"/>
        <v>0</v>
      </c>
      <c r="P93" s="1692">
        <f>H93+Q93-R93</f>
        <v>0</v>
      </c>
      <c r="Q93" s="988"/>
      <c r="R93" s="988"/>
      <c r="S93" s="988"/>
      <c r="T93" s="1862">
        <f t="shared" si="12"/>
        <v>0</v>
      </c>
    </row>
    <row r="94" spans="1:20" ht="22.2" hidden="1" customHeight="1">
      <c r="A94" s="1448">
        <f>COUNTIF($C$12:C94,"x")</f>
        <v>1</v>
      </c>
      <c r="B94" s="1454" t="s">
        <v>4414</v>
      </c>
      <c r="C94" s="60" t="str">
        <f t="shared" si="13"/>
        <v xml:space="preserve"> </v>
      </c>
      <c r="D94" s="1416">
        <v>0.43</v>
      </c>
      <c r="E94" s="984">
        <f>VLOOKUP($B94,DG!A:D,DG!$B$2,)</f>
        <v>0</v>
      </c>
      <c r="F94" s="985" t="str">
        <f>VLOOKUP($B94,DG!A:D,DG!$C$2,)</f>
        <v>Cát vàng</v>
      </c>
      <c r="G94" s="984" t="str">
        <f>VLOOKUP($B94,DG!A:D,DG!$D$2,)</f>
        <v>m3</v>
      </c>
      <c r="H94" s="1694">
        <f t="shared" si="14"/>
        <v>0</v>
      </c>
      <c r="I94" s="1694">
        <f t="shared" si="15"/>
        <v>0</v>
      </c>
      <c r="J94" s="1694">
        <f t="shared" si="15"/>
        <v>0</v>
      </c>
      <c r="K94" s="1694">
        <f t="shared" si="15"/>
        <v>0</v>
      </c>
      <c r="L94" s="1694">
        <f t="shared" si="15"/>
        <v>0</v>
      </c>
      <c r="M94" s="1694">
        <f t="shared" si="15"/>
        <v>0</v>
      </c>
      <c r="N94" s="1694">
        <f t="shared" si="15"/>
        <v>0</v>
      </c>
      <c r="O94" s="1694">
        <f t="shared" si="15"/>
        <v>0</v>
      </c>
      <c r="P94" s="1692">
        <f>H94+Q94-R94</f>
        <v>0</v>
      </c>
      <c r="Q94" s="988"/>
      <c r="R94" s="988"/>
      <c r="S94" s="988"/>
      <c r="T94" s="1862">
        <f t="shared" si="12"/>
        <v>0</v>
      </c>
    </row>
    <row r="95" spans="1:20" ht="22.2" hidden="1" customHeight="1">
      <c r="A95" s="1448">
        <f>COUNTIF($C$12:C95,"x")</f>
        <v>1</v>
      </c>
      <c r="B95" s="1453" t="s">
        <v>867</v>
      </c>
      <c r="C95" s="60" t="str">
        <f t="shared" si="13"/>
        <v xml:space="preserve"> </v>
      </c>
      <c r="D95" s="1416">
        <v>0.79</v>
      </c>
      <c r="E95" s="984">
        <f>VLOOKUP($B95,DG!A:D,DG!$B$2,)</f>
        <v>0</v>
      </c>
      <c r="F95" s="985" t="str">
        <f>VLOOKUP($B95,DG!A:D,DG!$C$2,)</f>
        <v>Đá 1x2</v>
      </c>
      <c r="G95" s="984" t="str">
        <f>VLOOKUP($B95,DG!A:D,DG!$D$2,)</f>
        <v>m3</v>
      </c>
      <c r="H95" s="1694">
        <f t="shared" si="14"/>
        <v>0</v>
      </c>
      <c r="I95" s="1694">
        <f t="shared" si="15"/>
        <v>0</v>
      </c>
      <c r="J95" s="1694">
        <f t="shared" si="15"/>
        <v>0</v>
      </c>
      <c r="K95" s="1694">
        <f t="shared" si="15"/>
        <v>0</v>
      </c>
      <c r="L95" s="1694">
        <f t="shared" si="15"/>
        <v>0</v>
      </c>
      <c r="M95" s="1694">
        <f t="shared" si="15"/>
        <v>0</v>
      </c>
      <c r="N95" s="1694">
        <f t="shared" si="15"/>
        <v>0</v>
      </c>
      <c r="O95" s="1694">
        <f t="shared" si="15"/>
        <v>0</v>
      </c>
      <c r="P95" s="1692">
        <f>H95+Q95-R95</f>
        <v>0</v>
      </c>
      <c r="Q95" s="1286"/>
      <c r="R95" s="1286"/>
      <c r="S95" s="1286"/>
      <c r="T95" s="1862">
        <f t="shared" si="12"/>
        <v>0</v>
      </c>
    </row>
    <row r="96" spans="1:20" ht="22.2" hidden="1" customHeight="1">
      <c r="A96" s="1448">
        <f>COUNTIF($C$12:C96,"x")</f>
        <v>1</v>
      </c>
      <c r="B96" s="1453" t="s">
        <v>2008</v>
      </c>
      <c r="C96" s="60" t="str">
        <f t="shared" si="13"/>
        <v xml:space="preserve"> </v>
      </c>
      <c r="D96" s="1416"/>
      <c r="E96" s="984">
        <f>VLOOKUP($B96,DG!A:D,DG!$B$2,)</f>
        <v>0</v>
      </c>
      <c r="F96" s="990" t="str">
        <f>VLOOKUP($B96,DG!A:D,DG!$C$2,)</f>
        <v>Sắt Ø10</v>
      </c>
      <c r="G96" s="984" t="str">
        <f>VLOOKUP($B96,DG!A:D,DG!$D$2,)</f>
        <v>kg</v>
      </c>
      <c r="H96" s="1694">
        <f t="shared" si="14"/>
        <v>0</v>
      </c>
      <c r="I96" s="1694">
        <f t="shared" si="15"/>
        <v>0</v>
      </c>
      <c r="J96" s="1694">
        <f t="shared" si="15"/>
        <v>0</v>
      </c>
      <c r="K96" s="1694">
        <f t="shared" si="15"/>
        <v>0</v>
      </c>
      <c r="L96" s="1694">
        <f t="shared" si="15"/>
        <v>0</v>
      </c>
      <c r="M96" s="1694">
        <f t="shared" si="15"/>
        <v>0</v>
      </c>
      <c r="N96" s="1694">
        <f t="shared" si="15"/>
        <v>0</v>
      </c>
      <c r="O96" s="1694">
        <f t="shared" si="15"/>
        <v>0</v>
      </c>
      <c r="P96" s="1694"/>
      <c r="Q96" s="988"/>
      <c r="R96" s="988"/>
      <c r="S96" s="988"/>
      <c r="T96" s="1862">
        <f t="shared" si="12"/>
        <v>0</v>
      </c>
    </row>
    <row r="97" spans="1:20" ht="22.2" hidden="1" customHeight="1">
      <c r="A97" s="1448">
        <f>COUNTIF($C$12:C97,"x")</f>
        <v>1</v>
      </c>
      <c r="B97" s="1453" t="s">
        <v>1425</v>
      </c>
      <c r="C97" s="60" t="str">
        <f t="shared" si="13"/>
        <v xml:space="preserve"> </v>
      </c>
      <c r="D97" s="1416"/>
      <c r="E97" s="984">
        <f>VLOOKUP($B97,DG!A:D,DG!$B$2,)</f>
        <v>0</v>
      </c>
      <c r="F97" s="990" t="str">
        <f>VLOOKUP($B97,DG!A:D,DG!$C$2,)</f>
        <v>Kẽm</v>
      </c>
      <c r="G97" s="984" t="str">
        <f>VLOOKUP($B97,DG!A:D,DG!$D$2,)</f>
        <v>kg</v>
      </c>
      <c r="H97" s="1694">
        <f t="shared" si="14"/>
        <v>0</v>
      </c>
      <c r="I97" s="1694">
        <f t="shared" si="15"/>
        <v>0</v>
      </c>
      <c r="J97" s="1694">
        <f t="shared" si="15"/>
        <v>0</v>
      </c>
      <c r="K97" s="1694">
        <f t="shared" si="15"/>
        <v>0</v>
      </c>
      <c r="L97" s="1694">
        <f t="shared" si="15"/>
        <v>0</v>
      </c>
      <c r="M97" s="1694">
        <f t="shared" si="15"/>
        <v>0</v>
      </c>
      <c r="N97" s="1694">
        <f t="shared" si="15"/>
        <v>0</v>
      </c>
      <c r="O97" s="1694">
        <f t="shared" si="15"/>
        <v>0</v>
      </c>
      <c r="P97" s="1694"/>
      <c r="Q97" s="988"/>
      <c r="R97" s="988"/>
      <c r="S97" s="988"/>
      <c r="T97" s="1862">
        <f t="shared" si="12"/>
        <v>0</v>
      </c>
    </row>
    <row r="98" spans="1:20" ht="22.2" hidden="1" customHeight="1">
      <c r="A98" s="1448">
        <f>COUNTIF($C$12:C98,"x")</f>
        <v>1</v>
      </c>
      <c r="B98" s="1453" t="s">
        <v>639</v>
      </c>
      <c r="C98" s="60" t="str">
        <f t="shared" si="13"/>
        <v xml:space="preserve"> </v>
      </c>
      <c r="D98" s="1416">
        <v>1.02</v>
      </c>
      <c r="E98" s="984" t="str">
        <f>VLOOKUP($B98,DG!A:D,DG!$B$2,)</f>
        <v>03.1013</v>
      </c>
      <c r="F98" s="985" t="str">
        <f>VLOOKUP($B98,DG!A:D,DG!$C$2,)</f>
        <v>Đào hố móng đất cấp 3 sâu &gt;1m</v>
      </c>
      <c r="G98" s="984" t="str">
        <f>VLOOKUP($B98,DG!A:D,DG!$D$2,)</f>
        <v>m3</v>
      </c>
      <c r="H98" s="1694">
        <f t="shared" si="14"/>
        <v>0</v>
      </c>
      <c r="I98" s="1694"/>
      <c r="J98" s="1694"/>
      <c r="K98" s="1694"/>
      <c r="L98" s="1694"/>
      <c r="M98" s="1694"/>
      <c r="N98" s="1694"/>
      <c r="O98" s="1694"/>
      <c r="P98" s="1692">
        <f>H98+Q98-R98</f>
        <v>0</v>
      </c>
      <c r="Q98" s="1286"/>
      <c r="R98" s="1286"/>
      <c r="S98" s="1286"/>
      <c r="T98" s="1862">
        <f t="shared" si="12"/>
        <v>0</v>
      </c>
    </row>
    <row r="99" spans="1:20" ht="22.2" hidden="1" customHeight="1">
      <c r="A99" s="1448">
        <f>COUNTIF($C$12:C99,"x")</f>
        <v>1</v>
      </c>
      <c r="B99" s="1453" t="s">
        <v>21</v>
      </c>
      <c r="C99" s="60" t="str">
        <f t="shared" si="13"/>
        <v xml:space="preserve"> </v>
      </c>
      <c r="D99" s="1416">
        <v>0.47</v>
      </c>
      <c r="E99" s="984" t="str">
        <f>VLOOKUP($B99,DG!A:D,DG!$B$2,)</f>
        <v>03.4113</v>
      </c>
      <c r="F99" s="985" t="str">
        <f>VLOOKUP($B99,DG!A:D,DG!$C$2,)</f>
        <v>Đắp đất hố móng, độ chặt k=0,95</v>
      </c>
      <c r="G99" s="984" t="str">
        <f>VLOOKUP($B99,DG!A:D,DG!$D$2,)</f>
        <v>m3</v>
      </c>
      <c r="H99" s="1694">
        <f t="shared" si="14"/>
        <v>0</v>
      </c>
      <c r="I99" s="1694"/>
      <c r="J99" s="1694"/>
      <c r="K99" s="1694"/>
      <c r="L99" s="1694"/>
      <c r="M99" s="1694"/>
      <c r="N99" s="1694"/>
      <c r="O99" s="1694"/>
      <c r="P99" s="1692">
        <f>H99+Q99-R99</f>
        <v>0</v>
      </c>
      <c r="Q99" s="988"/>
      <c r="R99" s="988"/>
      <c r="S99" s="988"/>
      <c r="T99" s="1862">
        <f t="shared" si="12"/>
        <v>0</v>
      </c>
    </row>
    <row r="100" spans="1:20" ht="22.2" hidden="1" customHeight="1">
      <c r="A100" s="1448">
        <f>COUNTIF($C$12:C100,"x")</f>
        <v>1</v>
      </c>
      <c r="B100" s="1453" t="s">
        <v>1293</v>
      </c>
      <c r="C100" s="60" t="str">
        <f t="shared" si="13"/>
        <v xml:space="preserve"> </v>
      </c>
      <c r="D100" s="1416"/>
      <c r="E100" s="984" t="str">
        <f>VLOOKUP($B100,DG!A:D,DG!$B$2,)</f>
        <v>02.1101</v>
      </c>
      <c r="F100" s="985" t="str">
        <f>VLOOKUP($B100,DG!A:D,DG!$C$2,)</f>
        <v>Bốc dỡ xi măng</v>
      </c>
      <c r="G100" s="984" t="str">
        <f>VLOOKUP($B100,DG!A:D,DG!$D$2,)</f>
        <v>tấn</v>
      </c>
      <c r="H100" s="1694">
        <f t="shared" si="14"/>
        <v>0</v>
      </c>
      <c r="I100" s="1694"/>
      <c r="J100" s="1694"/>
      <c r="K100" s="1694"/>
      <c r="L100" s="1694"/>
      <c r="M100" s="1694"/>
      <c r="N100" s="1694"/>
      <c r="O100" s="1694"/>
      <c r="P100" s="1694"/>
      <c r="Q100" s="988"/>
      <c r="R100" s="988"/>
      <c r="S100" s="988"/>
      <c r="T100" s="1862">
        <f t="shared" si="12"/>
        <v>0</v>
      </c>
    </row>
    <row r="101" spans="1:20" ht="22.2" hidden="1" customHeight="1">
      <c r="A101" s="1448">
        <f>COUNTIF($C$12:C101,"x")</f>
        <v>1</v>
      </c>
      <c r="B101" s="1453" t="s">
        <v>133</v>
      </c>
      <c r="C101" s="60" t="str">
        <f t="shared" si="13"/>
        <v xml:space="preserve"> </v>
      </c>
      <c r="D101" s="1416"/>
      <c r="E101" s="984" t="str">
        <f>VLOOKUP($B101,DG!A:D,DG!$B$2,)</f>
        <v>02.1103</v>
      </c>
      <c r="F101" s="985" t="str">
        <f>VLOOKUP($B101,DG!A:D,DG!$C$2,)</f>
        <v>Bốc dỡ cát</v>
      </c>
      <c r="G101" s="984" t="str">
        <f>VLOOKUP($B101,DG!A:D,DG!$D$2,)</f>
        <v>m3</v>
      </c>
      <c r="H101" s="1694">
        <f t="shared" si="14"/>
        <v>0</v>
      </c>
      <c r="I101" s="1694"/>
      <c r="J101" s="1694"/>
      <c r="K101" s="1694"/>
      <c r="L101" s="1694"/>
      <c r="M101" s="1694"/>
      <c r="N101" s="1694"/>
      <c r="O101" s="1694"/>
      <c r="P101" s="1694"/>
      <c r="Q101" s="988"/>
      <c r="R101" s="988"/>
      <c r="S101" s="988"/>
      <c r="T101" s="1862">
        <f t="shared" si="12"/>
        <v>0</v>
      </c>
    </row>
    <row r="102" spans="1:20" ht="22.2" hidden="1" customHeight="1">
      <c r="A102" s="1448">
        <f>COUNTIF($C$12:C102,"x")</f>
        <v>1</v>
      </c>
      <c r="B102" s="1453" t="s">
        <v>135</v>
      </c>
      <c r="C102" s="60" t="str">
        <f t="shared" si="13"/>
        <v xml:space="preserve"> </v>
      </c>
      <c r="D102" s="1416"/>
      <c r="E102" s="984" t="str">
        <f>VLOOKUP($B102,DG!A:D,DG!$B$2,)</f>
        <v>02.1104</v>
      </c>
      <c r="F102" s="985" t="str">
        <f>VLOOKUP($B102,DG!A:D,DG!$C$2,)</f>
        <v>Bốc dỡ đá dăm</v>
      </c>
      <c r="G102" s="984" t="str">
        <f>VLOOKUP($B102,DG!A:D,DG!$D$2,)</f>
        <v>m3</v>
      </c>
      <c r="H102" s="1694">
        <f t="shared" si="14"/>
        <v>0</v>
      </c>
      <c r="I102" s="1694"/>
      <c r="J102" s="1694"/>
      <c r="K102" s="1694"/>
      <c r="L102" s="1694"/>
      <c r="M102" s="1694"/>
      <c r="N102" s="1694"/>
      <c r="O102" s="1694"/>
      <c r="P102" s="1694"/>
      <c r="Q102" s="988"/>
      <c r="R102" s="988"/>
      <c r="S102" s="988"/>
      <c r="T102" s="1862">
        <f t="shared" si="12"/>
        <v>0</v>
      </c>
    </row>
    <row r="103" spans="1:20" ht="22.2" hidden="1" customHeight="1">
      <c r="A103" s="1448">
        <f>COUNTIF($C$12:C103,"x")</f>
        <v>1</v>
      </c>
      <c r="B103" s="1453" t="s">
        <v>9</v>
      </c>
      <c r="C103" s="60" t="str">
        <f t="shared" si="13"/>
        <v xml:space="preserve"> </v>
      </c>
      <c r="D103" s="1416">
        <f>D96</f>
        <v>0</v>
      </c>
      <c r="E103" s="984" t="str">
        <f>VLOOKUP($B103,DG!A:D,DG!$B$2,)</f>
        <v>04.5101</v>
      </c>
      <c r="F103" s="985" t="str">
        <f>VLOOKUP($B103,DG!A:D,DG!$C$2,)</f>
        <v>Gia công và lắp dựng cốt thép D&lt;=10</v>
      </c>
      <c r="G103" s="984" t="str">
        <f>VLOOKUP($B103,DG!A:D,DG!$D$2,)</f>
        <v>kg</v>
      </c>
      <c r="H103" s="1694">
        <f t="shared" si="14"/>
        <v>0</v>
      </c>
      <c r="I103" s="1694"/>
      <c r="J103" s="1694"/>
      <c r="K103" s="1694"/>
      <c r="L103" s="1694"/>
      <c r="M103" s="1694"/>
      <c r="N103" s="1694"/>
      <c r="O103" s="1694"/>
      <c r="P103" s="1694"/>
      <c r="Q103" s="988"/>
      <c r="R103" s="988"/>
      <c r="S103" s="988"/>
      <c r="T103" s="1862">
        <f t="shared" si="12"/>
        <v>0</v>
      </c>
    </row>
    <row r="104" spans="1:20" ht="22.2" hidden="1" customHeight="1">
      <c r="A104" s="1448">
        <f>COUNTIF($C$12:C104,"x")</f>
        <v>1</v>
      </c>
      <c r="B104" s="1453" t="s">
        <v>495</v>
      </c>
      <c r="C104" s="60" t="str">
        <f t="shared" si="13"/>
        <v xml:space="preserve"> </v>
      </c>
      <c r="D104" s="1416"/>
      <c r="E104" s="984" t="str">
        <f>VLOOKUP($B104,DG!A:D,DG!$B$2,)</f>
        <v>02.1211</v>
      </c>
      <c r="F104" s="985" t="str">
        <f>VLOOKUP($B104,DG!A:D,DG!$C$2,)</f>
        <v>V/c xi măng ( cự ly &lt;=100m)</v>
      </c>
      <c r="G104" s="984" t="str">
        <f>VLOOKUP($B104,DG!A:D,DG!$D$2,)</f>
        <v>tấn</v>
      </c>
      <c r="H104" s="1694">
        <f t="shared" si="14"/>
        <v>0</v>
      </c>
      <c r="I104" s="1694"/>
      <c r="J104" s="1694"/>
      <c r="K104" s="1694"/>
      <c r="L104" s="1694"/>
      <c r="M104" s="1694"/>
      <c r="N104" s="1694"/>
      <c r="O104" s="1694"/>
      <c r="P104" s="1694"/>
      <c r="Q104" s="988"/>
      <c r="R104" s="988"/>
      <c r="S104" s="988"/>
      <c r="T104" s="1862">
        <f t="shared" si="12"/>
        <v>0</v>
      </c>
    </row>
    <row r="105" spans="1:20" ht="22.2" hidden="1" customHeight="1">
      <c r="A105" s="1448">
        <f>COUNTIF($C$12:C105,"x")</f>
        <v>1</v>
      </c>
      <c r="B105" s="1453" t="s">
        <v>1611</v>
      </c>
      <c r="C105" s="60" t="str">
        <f t="shared" si="13"/>
        <v xml:space="preserve"> </v>
      </c>
      <c r="D105" s="1416"/>
      <c r="E105" s="984" t="str">
        <f>VLOOKUP($B105,DG!A:D,DG!$B$2,)</f>
        <v>02.1231</v>
      </c>
      <c r="F105" s="985" t="str">
        <f>VLOOKUP($B105,DG!A:D,DG!$C$2,)</f>
        <v>V/c cát vàng cự ly &lt;=100m</v>
      </c>
      <c r="G105" s="984" t="str">
        <f>VLOOKUP($B105,DG!A:D,DG!$D$2,)</f>
        <v>m3</v>
      </c>
      <c r="H105" s="1694">
        <f t="shared" si="14"/>
        <v>0</v>
      </c>
      <c r="I105" s="1694"/>
      <c r="J105" s="1694"/>
      <c r="K105" s="1694"/>
      <c r="L105" s="1694"/>
      <c r="M105" s="1694"/>
      <c r="N105" s="1694"/>
      <c r="O105" s="1694"/>
      <c r="P105" s="1694"/>
      <c r="Q105" s="988"/>
      <c r="R105" s="988"/>
      <c r="S105" s="988"/>
      <c r="T105" s="1862">
        <f t="shared" si="12"/>
        <v>0</v>
      </c>
    </row>
    <row r="106" spans="1:20" ht="22.2" hidden="1" customHeight="1">
      <c r="A106" s="1448">
        <f>COUNTIF($C$12:C106,"x")</f>
        <v>1</v>
      </c>
      <c r="B106" s="1453" t="s">
        <v>521</v>
      </c>
      <c r="C106" s="60" t="str">
        <f t="shared" si="13"/>
        <v xml:space="preserve"> </v>
      </c>
      <c r="D106" s="1416"/>
      <c r="E106" s="984" t="str">
        <f>VLOOKUP($B106,DG!A:D,DG!$B$2,)</f>
        <v>02.1241</v>
      </c>
      <c r="F106" s="985" t="str">
        <f>VLOOKUP($B106,DG!A:D,DG!$C$2,)</f>
        <v>V/c đá dăm ( cự ly &lt;=100m)</v>
      </c>
      <c r="G106" s="984" t="str">
        <f>VLOOKUP($B106,DG!A:D,DG!$D$2,)</f>
        <v>m3</v>
      </c>
      <c r="H106" s="1694">
        <f t="shared" si="14"/>
        <v>0</v>
      </c>
      <c r="I106" s="1694"/>
      <c r="J106" s="1694"/>
      <c r="K106" s="1694"/>
      <c r="L106" s="1694"/>
      <c r="M106" s="1694"/>
      <c r="N106" s="1694"/>
      <c r="O106" s="1694"/>
      <c r="P106" s="1694"/>
      <c r="Q106" s="988"/>
      <c r="R106" s="988"/>
      <c r="S106" s="988"/>
      <c r="T106" s="1862">
        <f t="shared" si="12"/>
        <v>0</v>
      </c>
    </row>
    <row r="107" spans="1:20" ht="22.2" hidden="1" customHeight="1">
      <c r="A107" s="1448">
        <f>COUNTIF($C$12:C107,"x")</f>
        <v>1</v>
      </c>
      <c r="B107" s="1453" t="s">
        <v>1981</v>
      </c>
      <c r="C107" s="60" t="str">
        <f t="shared" si="13"/>
        <v xml:space="preserve"> </v>
      </c>
      <c r="D107" s="1416"/>
      <c r="E107" s="984" t="str">
        <f>VLOOKUP($B107,DG!A:D,DG!$B$2,)</f>
        <v>02.1482</v>
      </c>
      <c r="F107" s="985" t="str">
        <f>VLOOKUP($B107,DG!A:D,DG!$C$2,)</f>
        <v>V/c dụng cụ thi công ( cự ly &lt;=100m)</v>
      </c>
      <c r="G107" s="984" t="str">
        <f>VLOOKUP($B107,DG!A:D,DG!$D$2,)</f>
        <v>tấn</v>
      </c>
      <c r="H107" s="1694">
        <f t="shared" si="14"/>
        <v>0</v>
      </c>
      <c r="I107" s="1694"/>
      <c r="J107" s="1694"/>
      <c r="K107" s="1694"/>
      <c r="L107" s="1694"/>
      <c r="M107" s="1694"/>
      <c r="N107" s="1694"/>
      <c r="O107" s="1694"/>
      <c r="P107" s="1694"/>
      <c r="Q107" s="988"/>
      <c r="R107" s="988"/>
      <c r="S107" s="988"/>
      <c r="T107" s="1862">
        <f t="shared" si="12"/>
        <v>0</v>
      </c>
    </row>
    <row r="108" spans="1:20" ht="22.2" hidden="1" customHeight="1">
      <c r="A108" s="1448">
        <f>COUNTIF($C$12:C108,"x")</f>
        <v>1</v>
      </c>
      <c r="B108" s="1453" t="s">
        <v>1836</v>
      </c>
      <c r="C108" s="60" t="str">
        <f t="shared" si="13"/>
        <v xml:space="preserve"> </v>
      </c>
      <c r="D108" s="1416">
        <v>0.55000000000000004</v>
      </c>
      <c r="E108" s="984" t="str">
        <f>VLOOKUP($B108,DG!A:D,DG!$B$2,)</f>
        <v>04.1203c</v>
      </c>
      <c r="F108" s="985" t="str">
        <f>VLOOKUP($B108,DG!A:D,DG!$C$2,)</f>
        <v>Đổ bê tông móng trụ &lt;=250cm-M200 đá 1x2</v>
      </c>
      <c r="G108" s="984" t="str">
        <f>VLOOKUP($B108,DG!A:D,DG!$D$2,)</f>
        <v>m3</v>
      </c>
      <c r="H108" s="1694">
        <f>$H$92*D108*0</f>
        <v>0</v>
      </c>
      <c r="I108" s="1694"/>
      <c r="J108" s="1694"/>
      <c r="K108" s="1694"/>
      <c r="L108" s="1694"/>
      <c r="M108" s="1694"/>
      <c r="N108" s="1694"/>
      <c r="O108" s="1694"/>
      <c r="P108" s="1692">
        <f>H108+Q108-R108</f>
        <v>0</v>
      </c>
      <c r="Q108" s="1286"/>
      <c r="R108" s="1286"/>
      <c r="S108" s="1286"/>
      <c r="T108" s="1862">
        <f t="shared" si="12"/>
        <v>0</v>
      </c>
    </row>
    <row r="109" spans="1:20" ht="22.2" hidden="1" customHeight="1">
      <c r="A109" s="1448">
        <f>COUNTIF($C$12:C109,"x")</f>
        <v>1</v>
      </c>
      <c r="B109" s="1452" t="s">
        <v>234</v>
      </c>
      <c r="C109" s="59" t="str">
        <f t="shared" si="13"/>
        <v xml:space="preserve"> </v>
      </c>
      <c r="D109" s="1412"/>
      <c r="E109" s="981"/>
      <c r="F109" s="1276" t="s">
        <v>2336</v>
      </c>
      <c r="G109" s="982" t="s">
        <v>2327</v>
      </c>
      <c r="H109" s="1691">
        <f>SUM(I109:O109)</f>
        <v>0</v>
      </c>
      <c r="I109" s="1692"/>
      <c r="J109" s="1692"/>
      <c r="K109" s="1692">
        <f>IFERROR(HLOOKUP(B109,pp3p1m!$1:$3,2,0),0)</f>
        <v>0</v>
      </c>
      <c r="L109" s="1692">
        <f>IFERROR(HLOOKUP(chitiet!B109,pp1p!$1:$3,3,0),0)</f>
        <v>0</v>
      </c>
      <c r="M109" s="1692"/>
      <c r="N109" s="1692"/>
      <c r="O109" s="1692"/>
      <c r="P109" s="2674">
        <f>T109</f>
        <v>0</v>
      </c>
      <c r="Q109" s="983">
        <f>IF(P109&gt;H109,P109-H109,0)</f>
        <v>0</v>
      </c>
      <c r="R109" s="983">
        <f>IF(H109&gt;P109,H109-P109,0)</f>
        <v>0</v>
      </c>
      <c r="S109" s="983"/>
      <c r="T109" s="1862">
        <f>IFERROR(HLOOKUP(B109,pp1p!$1:$3,3,0),0)+IFERROR(HLOOKUP(B109,pp3p1m!$1:$3,3,0),0)</f>
        <v>0</v>
      </c>
    </row>
    <row r="110" spans="1:20" ht="22.2" hidden="1" customHeight="1">
      <c r="A110" s="1448">
        <f>COUNTIF($C$12:C110,"x")</f>
        <v>1</v>
      </c>
      <c r="B110" s="1465" t="s">
        <v>1575</v>
      </c>
      <c r="C110" s="60" t="str">
        <f t="shared" si="13"/>
        <v xml:space="preserve"> </v>
      </c>
      <c r="D110" s="1418">
        <v>1</v>
      </c>
      <c r="E110" s="980" t="str">
        <f>VLOOKUP($B110,DG!A:D,DG!$B$2,)</f>
        <v>04.3801</v>
      </c>
      <c r="F110" s="990" t="str">
        <f>VLOOKUP($B110,DG!A:D,DG!$C$2,)</f>
        <v>Đà cản BTCT 1,5m</v>
      </c>
      <c r="G110" s="984" t="str">
        <f>VLOOKUP($B110,DG!A:D,DG!$D$2,)</f>
        <v>cái</v>
      </c>
      <c r="H110" s="1694">
        <f t="shared" ref="H110:O111" si="16">H$109*$D110</f>
        <v>0</v>
      </c>
      <c r="I110" s="1694">
        <f t="shared" si="16"/>
        <v>0</v>
      </c>
      <c r="J110" s="1694">
        <f t="shared" si="16"/>
        <v>0</v>
      </c>
      <c r="K110" s="1694">
        <f t="shared" si="16"/>
        <v>0</v>
      </c>
      <c r="L110" s="1694">
        <f t="shared" si="16"/>
        <v>0</v>
      </c>
      <c r="M110" s="1694">
        <f t="shared" si="16"/>
        <v>0</v>
      </c>
      <c r="N110" s="1694">
        <f t="shared" si="16"/>
        <v>0</v>
      </c>
      <c r="O110" s="1694">
        <f t="shared" si="16"/>
        <v>0</v>
      </c>
      <c r="P110" s="1694"/>
      <c r="Q110" s="988"/>
      <c r="R110" s="988"/>
      <c r="S110" s="988"/>
      <c r="T110" s="1862">
        <f t="shared" si="12"/>
        <v>0</v>
      </c>
    </row>
    <row r="111" spans="1:20" ht="22.2" hidden="1" customHeight="1">
      <c r="A111" s="1448">
        <f>COUNTIF($C$12:C111,"x")</f>
        <v>1</v>
      </c>
      <c r="B111" s="1465" t="s">
        <v>719</v>
      </c>
      <c r="C111" s="60" t="str">
        <f t="shared" si="13"/>
        <v xml:space="preserve"> </v>
      </c>
      <c r="D111" s="1418">
        <v>1</v>
      </c>
      <c r="E111" s="984"/>
      <c r="F111" s="990" t="str">
        <f>VLOOKUP($B111,DG!A:D,DG!$C$2,)</f>
        <v>Boulon 22x550/100+ 2 long đền vuông D24-50x50x3/Zn</v>
      </c>
      <c r="G111" s="984" t="str">
        <f>VLOOKUP($B111,DG!A:D,DG!$D$2,)</f>
        <v>bộ</v>
      </c>
      <c r="H111" s="1694">
        <f t="shared" si="16"/>
        <v>0</v>
      </c>
      <c r="I111" s="1694">
        <f t="shared" si="16"/>
        <v>0</v>
      </c>
      <c r="J111" s="1694">
        <f t="shared" si="16"/>
        <v>0</v>
      </c>
      <c r="K111" s="1694">
        <f t="shared" si="16"/>
        <v>0</v>
      </c>
      <c r="L111" s="1694">
        <f t="shared" si="16"/>
        <v>0</v>
      </c>
      <c r="M111" s="1694">
        <f t="shared" si="16"/>
        <v>0</v>
      </c>
      <c r="N111" s="1694">
        <f t="shared" si="16"/>
        <v>0</v>
      </c>
      <c r="O111" s="1694">
        <f t="shared" si="16"/>
        <v>0</v>
      </c>
      <c r="P111" s="1694"/>
      <c r="Q111" s="988"/>
      <c r="R111" s="988"/>
      <c r="S111" s="988"/>
      <c r="T111" s="1862">
        <f t="shared" si="12"/>
        <v>0</v>
      </c>
    </row>
    <row r="112" spans="1:20" ht="22.2" hidden="1" customHeight="1">
      <c r="A112" s="1448">
        <f>COUNTIF($C$12:C112,"x")</f>
        <v>1</v>
      </c>
      <c r="B112" s="1465" t="s">
        <v>639</v>
      </c>
      <c r="C112" s="60" t="str">
        <f t="shared" si="13"/>
        <v xml:space="preserve"> </v>
      </c>
      <c r="D112" s="1417">
        <v>1.17</v>
      </c>
      <c r="E112" s="984" t="str">
        <f>VLOOKUP($B112,DG!A:D,DG!$B$2,)</f>
        <v>03.1013</v>
      </c>
      <c r="F112" s="985" t="str">
        <f>VLOOKUP($B112,DG!A:D,DG!$C$2,)</f>
        <v>Đào hố móng đất cấp 3 sâu &gt;1m</v>
      </c>
      <c r="G112" s="984" t="str">
        <f>VLOOKUP($B112,DG!A:D,DG!$D$2,)</f>
        <v>m3</v>
      </c>
      <c r="H112" s="1694"/>
      <c r="I112" s="1694"/>
      <c r="J112" s="1694"/>
      <c r="K112" s="1694"/>
      <c r="L112" s="1694"/>
      <c r="M112" s="1694"/>
      <c r="N112" s="1694"/>
      <c r="O112" s="1694"/>
      <c r="P112" s="1694"/>
      <c r="Q112" s="991"/>
      <c r="R112" s="991"/>
      <c r="S112" s="991"/>
      <c r="T112" s="1862">
        <f t="shared" si="12"/>
        <v>0</v>
      </c>
    </row>
    <row r="113" spans="1:20" ht="22.2" hidden="1" customHeight="1">
      <c r="A113" s="1448">
        <f>COUNTIF($C$12:C113,"x")</f>
        <v>1</v>
      </c>
      <c r="B113" s="1465" t="s">
        <v>21</v>
      </c>
      <c r="C113" s="60" t="str">
        <f t="shared" si="13"/>
        <v xml:space="preserve"> </v>
      </c>
      <c r="D113" s="1417">
        <v>2.0099999999999998</v>
      </c>
      <c r="E113" s="984" t="str">
        <f>VLOOKUP($B113,DG!A:D,DG!$B$2,)</f>
        <v>03.4113</v>
      </c>
      <c r="F113" s="985" t="str">
        <f>VLOOKUP($B113,DG!A:D,DG!$C$2,)</f>
        <v>Đắp đất hố móng, độ chặt k=0,95</v>
      </c>
      <c r="G113" s="984" t="str">
        <f>VLOOKUP($B113,DG!A:D,DG!$D$2,)</f>
        <v>m3</v>
      </c>
      <c r="H113" s="1694"/>
      <c r="I113" s="1694"/>
      <c r="J113" s="1694"/>
      <c r="K113" s="1694"/>
      <c r="L113" s="1694"/>
      <c r="M113" s="1694"/>
      <c r="N113" s="1694"/>
      <c r="O113" s="1694"/>
      <c r="P113" s="1694"/>
      <c r="Q113" s="991"/>
      <c r="R113" s="991"/>
      <c r="S113" s="991"/>
      <c r="T113" s="1862">
        <f t="shared" si="12"/>
        <v>0</v>
      </c>
    </row>
    <row r="114" spans="1:20" ht="22.2" hidden="1" customHeight="1">
      <c r="A114" s="1448">
        <f>COUNTIF($C$12:C114,"x")</f>
        <v>1</v>
      </c>
      <c r="B114" s="1465" t="s">
        <v>637</v>
      </c>
      <c r="C114" s="60" t="str">
        <f t="shared" si="13"/>
        <v xml:space="preserve"> </v>
      </c>
      <c r="D114" s="1417">
        <v>0.255</v>
      </c>
      <c r="E114" s="984" t="str">
        <f>VLOOKUP($B114,DG!A:D,DG!$B$2,)</f>
        <v>02.1123</v>
      </c>
      <c r="F114" s="985" t="str">
        <f>VLOOKUP($B114,DG!A:D,DG!$C$2,)</f>
        <v>Bốc dỡ đà cản, đế néo</v>
      </c>
      <c r="G114" s="984" t="str">
        <f>VLOOKUP($B114,DG!A:D,DG!$D$2,)</f>
        <v>tấn</v>
      </c>
      <c r="H114" s="1694"/>
      <c r="I114" s="1694"/>
      <c r="J114" s="1694"/>
      <c r="K114" s="1694"/>
      <c r="L114" s="1694"/>
      <c r="M114" s="1694"/>
      <c r="N114" s="1694"/>
      <c r="O114" s="1694"/>
      <c r="P114" s="1694"/>
      <c r="Q114" s="988"/>
      <c r="R114" s="988"/>
      <c r="S114" s="988"/>
      <c r="T114" s="1862">
        <f t="shared" si="12"/>
        <v>0</v>
      </c>
    </row>
    <row r="115" spans="1:20" ht="22.2" hidden="1" customHeight="1">
      <c r="A115" s="1448">
        <f>COUNTIF($C$12:C115,"x")</f>
        <v>1</v>
      </c>
      <c r="B115" s="1453" t="s">
        <v>2063</v>
      </c>
      <c r="C115" s="60" t="str">
        <f t="shared" si="13"/>
        <v xml:space="preserve"> </v>
      </c>
      <c r="D115" s="1417">
        <f>D114</f>
        <v>0.255</v>
      </c>
      <c r="E115" s="984" t="str">
        <f>VLOOKUP($B115,DG!A:C,2,)</f>
        <v>02.1451</v>
      </c>
      <c r="F115" s="985" t="str">
        <f>VLOOKUP($B115,DG!A:C,3,)</f>
        <v>V/c đà cản vào vị trí (cự ly &lt;=100m)</v>
      </c>
      <c r="G115" s="984" t="str">
        <f>VLOOKUP($B115,DG!A:D,4,0)</f>
        <v>tấn</v>
      </c>
      <c r="H115" s="1694"/>
      <c r="I115" s="1694"/>
      <c r="J115" s="1694"/>
      <c r="K115" s="1694"/>
      <c r="L115" s="1694"/>
      <c r="M115" s="1694"/>
      <c r="N115" s="1694"/>
      <c r="O115" s="1694"/>
      <c r="P115" s="1694"/>
      <c r="Q115" s="991"/>
      <c r="R115" s="991"/>
      <c r="S115" s="991"/>
      <c r="T115" s="1862">
        <f t="shared" si="12"/>
        <v>0</v>
      </c>
    </row>
    <row r="116" spans="1:20" ht="22.2" hidden="1" customHeight="1">
      <c r="A116" s="1448">
        <f>COUNTIF($C$12:C116,"x")</f>
        <v>1</v>
      </c>
      <c r="B116" s="1453" t="s">
        <v>635</v>
      </c>
      <c r="C116" s="60" t="str">
        <f t="shared" si="13"/>
        <v xml:space="preserve"> </v>
      </c>
      <c r="D116" s="1417">
        <v>0.2</v>
      </c>
      <c r="E116" s="984" t="str">
        <f>VLOOKUP($B116,DG!A:C,2,)</f>
        <v>02.1482</v>
      </c>
      <c r="F116" s="985" t="str">
        <f>VLOOKUP($B116,DG!A:C,3,)</f>
        <v>V/c dụng cụ thi công vào vị trí (cự ly &lt;=100m)</v>
      </c>
      <c r="G116" s="984" t="str">
        <f>VLOOKUP($B116,DG!A:D,4,0)</f>
        <v>tấn</v>
      </c>
      <c r="H116" s="1694"/>
      <c r="I116" s="1694"/>
      <c r="J116" s="1694"/>
      <c r="K116" s="1694"/>
      <c r="L116" s="1694"/>
      <c r="M116" s="1694"/>
      <c r="N116" s="1694"/>
      <c r="O116" s="1694"/>
      <c r="P116" s="1694"/>
      <c r="Q116" s="991"/>
      <c r="R116" s="991"/>
      <c r="S116" s="991"/>
      <c r="T116" s="1862">
        <f t="shared" si="12"/>
        <v>0</v>
      </c>
    </row>
    <row r="117" spans="1:20" ht="22.2" hidden="1" customHeight="1">
      <c r="A117" s="1448">
        <f>COUNTIF($C$12:C117,"x")</f>
        <v>1</v>
      </c>
      <c r="B117" s="1452" t="s">
        <v>2177</v>
      </c>
      <c r="C117" s="59" t="str">
        <f t="shared" si="13"/>
        <v xml:space="preserve"> </v>
      </c>
      <c r="D117" s="1412"/>
      <c r="E117" s="981"/>
      <c r="F117" s="1276" t="s">
        <v>2337</v>
      </c>
      <c r="G117" s="982" t="s">
        <v>2327</v>
      </c>
      <c r="H117" s="1691">
        <f>SUM(I117:O117)</f>
        <v>0</v>
      </c>
      <c r="I117" s="1692"/>
      <c r="J117" s="1692"/>
      <c r="K117" s="1692">
        <f>IFERROR(HLOOKUP(B117,pp3p1m!$1:$3,2,0),0)</f>
        <v>0</v>
      </c>
      <c r="L117" s="1692">
        <f>IFERROR(HLOOKUP(chitiet!B117,pp1p!$1:$3,3,0),0)</f>
        <v>0</v>
      </c>
      <c r="M117" s="1692"/>
      <c r="N117" s="1692"/>
      <c r="O117" s="1692"/>
      <c r="P117" s="2674">
        <f>T117</f>
        <v>0</v>
      </c>
      <c r="Q117" s="983">
        <f>IF(P117&gt;H117,P117-H117,0)</f>
        <v>0</v>
      </c>
      <c r="R117" s="983">
        <f>IF(H117&gt;P117,H117-P117,0)</f>
        <v>0</v>
      </c>
      <c r="S117" s="983"/>
      <c r="T117" s="1862">
        <f>IFERROR(HLOOKUP(B117,pp1p!$1:$3,3,0),0)+IFERROR(HLOOKUP(B117,pp3p1m!$1:$3,3,0),0)</f>
        <v>0</v>
      </c>
    </row>
    <row r="118" spans="1:20" ht="22.2" hidden="1" customHeight="1">
      <c r="A118" s="1448">
        <f>COUNTIF($C$12:C118,"x")</f>
        <v>1</v>
      </c>
      <c r="B118" s="1465" t="s">
        <v>636</v>
      </c>
      <c r="C118" s="60" t="str">
        <f t="shared" si="13"/>
        <v xml:space="preserve"> </v>
      </c>
      <c r="D118" s="1418">
        <v>2</v>
      </c>
      <c r="E118" s="980" t="str">
        <f>VLOOKUP($B118,DG!A:D,DG!$B$2,)</f>
        <v>04.4001</v>
      </c>
      <c r="F118" s="990" t="str">
        <f>VLOOKUP($B118,DG!A:D,DG!$C$2,)</f>
        <v>Đà cản BTCT 1,2m</v>
      </c>
      <c r="G118" s="984" t="str">
        <f>VLOOKUP($B118,DG!A:D,DG!$D$2,)</f>
        <v>cái</v>
      </c>
      <c r="H118" s="1694">
        <f t="shared" ref="H118:N119" si="17">H$117*$D118</f>
        <v>0</v>
      </c>
      <c r="I118" s="1694">
        <f t="shared" si="17"/>
        <v>0</v>
      </c>
      <c r="J118" s="1694">
        <f t="shared" si="17"/>
        <v>0</v>
      </c>
      <c r="K118" s="1694">
        <f t="shared" si="17"/>
        <v>0</v>
      </c>
      <c r="L118" s="1694">
        <f t="shared" si="17"/>
        <v>0</v>
      </c>
      <c r="M118" s="1694">
        <f t="shared" si="17"/>
        <v>0</v>
      </c>
      <c r="N118" s="1694">
        <f t="shared" si="17"/>
        <v>0</v>
      </c>
      <c r="O118" s="1694"/>
      <c r="P118" s="1694"/>
      <c r="Q118" s="988"/>
      <c r="R118" s="988"/>
      <c r="S118" s="988"/>
      <c r="T118" s="1862">
        <f t="shared" si="12"/>
        <v>0</v>
      </c>
    </row>
    <row r="119" spans="1:20" ht="22.2" hidden="1" customHeight="1">
      <c r="A119" s="1448">
        <f>COUNTIF($C$12:C119,"x")</f>
        <v>1</v>
      </c>
      <c r="B119" s="1465" t="s">
        <v>719</v>
      </c>
      <c r="C119" s="60" t="str">
        <f t="shared" si="13"/>
        <v xml:space="preserve"> </v>
      </c>
      <c r="D119" s="1418">
        <v>2</v>
      </c>
      <c r="E119" s="984"/>
      <c r="F119" s="990" t="str">
        <f>VLOOKUP($B119,DG!A:D,DG!$C$2,)</f>
        <v>Boulon 22x550/100+ 2 long đền vuông D24-50x50x3/Zn</v>
      </c>
      <c r="G119" s="984" t="str">
        <f>VLOOKUP($B119,DG!A:D,DG!$D$2,)</f>
        <v>bộ</v>
      </c>
      <c r="H119" s="1694">
        <f t="shared" si="17"/>
        <v>0</v>
      </c>
      <c r="I119" s="1694">
        <f t="shared" si="17"/>
        <v>0</v>
      </c>
      <c r="J119" s="1694">
        <f t="shared" si="17"/>
        <v>0</v>
      </c>
      <c r="K119" s="1694">
        <f t="shared" si="17"/>
        <v>0</v>
      </c>
      <c r="L119" s="1694">
        <f t="shared" si="17"/>
        <v>0</v>
      </c>
      <c r="M119" s="1694">
        <f t="shared" si="17"/>
        <v>0</v>
      </c>
      <c r="N119" s="1694">
        <f t="shared" si="17"/>
        <v>0</v>
      </c>
      <c r="O119" s="1694"/>
      <c r="P119" s="1694"/>
      <c r="Q119" s="988"/>
      <c r="R119" s="988"/>
      <c r="S119" s="988"/>
      <c r="T119" s="1862">
        <f t="shared" si="12"/>
        <v>0</v>
      </c>
    </row>
    <row r="120" spans="1:20" ht="22.2" hidden="1" customHeight="1">
      <c r="A120" s="1448">
        <f>COUNTIF($C$12:C120,"x")</f>
        <v>1</v>
      </c>
      <c r="B120" s="1465" t="s">
        <v>639</v>
      </c>
      <c r="C120" s="60" t="str">
        <f t="shared" si="13"/>
        <v xml:space="preserve"> </v>
      </c>
      <c r="D120" s="1417">
        <v>3.65</v>
      </c>
      <c r="E120" s="984" t="str">
        <f>VLOOKUP($B120,DG!A:D,DG!$B$2,)</f>
        <v>03.1013</v>
      </c>
      <c r="F120" s="985" t="str">
        <f>VLOOKUP($B120,DG!A:D,DG!$C$2,)</f>
        <v>Đào hố móng đất cấp 3 sâu &gt;1m</v>
      </c>
      <c r="G120" s="984" t="str">
        <f>VLOOKUP($B120,DG!A:D,DG!$D$2,)</f>
        <v>m3</v>
      </c>
      <c r="H120" s="1694"/>
      <c r="I120" s="1694"/>
      <c r="J120" s="1694"/>
      <c r="K120" s="1694"/>
      <c r="L120" s="1694"/>
      <c r="M120" s="1694"/>
      <c r="N120" s="1694"/>
      <c r="O120" s="1694"/>
      <c r="P120" s="1694"/>
      <c r="Q120" s="991"/>
      <c r="R120" s="991"/>
      <c r="S120" s="991"/>
      <c r="T120" s="1862">
        <f t="shared" si="12"/>
        <v>0</v>
      </c>
    </row>
    <row r="121" spans="1:20" ht="22.2" hidden="1" customHeight="1">
      <c r="A121" s="1448">
        <f>COUNTIF($C$12:C121,"x")</f>
        <v>1</v>
      </c>
      <c r="B121" s="1465" t="s">
        <v>21</v>
      </c>
      <c r="C121" s="60" t="str">
        <f t="shared" si="13"/>
        <v xml:space="preserve"> </v>
      </c>
      <c r="D121" s="1417">
        <v>4.41</v>
      </c>
      <c r="E121" s="984" t="str">
        <f>VLOOKUP($B121,DG!A:D,DG!$B$2,)</f>
        <v>03.4113</v>
      </c>
      <c r="F121" s="985" t="str">
        <f>VLOOKUP($B121,DG!A:D,DG!$C$2,)</f>
        <v>Đắp đất hố móng, độ chặt k=0,95</v>
      </c>
      <c r="G121" s="984" t="str">
        <f>VLOOKUP($B121,DG!A:D,DG!$D$2,)</f>
        <v>m3</v>
      </c>
      <c r="H121" s="1694"/>
      <c r="I121" s="1694"/>
      <c r="J121" s="1694"/>
      <c r="K121" s="1694"/>
      <c r="L121" s="1694"/>
      <c r="M121" s="1694"/>
      <c r="N121" s="1694"/>
      <c r="O121" s="1694"/>
      <c r="P121" s="1694"/>
      <c r="Q121" s="991"/>
      <c r="R121" s="991"/>
      <c r="S121" s="991"/>
      <c r="T121" s="1862">
        <f t="shared" si="12"/>
        <v>0</v>
      </c>
    </row>
    <row r="122" spans="1:20" ht="22.2" hidden="1" customHeight="1">
      <c r="A122" s="1448">
        <f>COUNTIF($C$12:C122,"x")</f>
        <v>1</v>
      </c>
      <c r="B122" s="1465" t="s">
        <v>637</v>
      </c>
      <c r="C122" s="60" t="str">
        <f t="shared" si="13"/>
        <v xml:space="preserve"> </v>
      </c>
      <c r="D122" s="1417">
        <f>0.1*D118</f>
        <v>0.2</v>
      </c>
      <c r="E122" s="984" t="str">
        <f>VLOOKUP($B122,DG!A:D,DG!$B$2,)</f>
        <v>02.1123</v>
      </c>
      <c r="F122" s="985" t="str">
        <f>VLOOKUP($B122,DG!A:D,DG!$C$2,)</f>
        <v>Bốc dỡ đà cản, đế néo</v>
      </c>
      <c r="G122" s="984" t="str">
        <f>VLOOKUP($B122,DG!A:D,DG!$D$2,)</f>
        <v>tấn</v>
      </c>
      <c r="H122" s="1694"/>
      <c r="I122" s="1694"/>
      <c r="J122" s="1694"/>
      <c r="K122" s="1694"/>
      <c r="L122" s="1694"/>
      <c r="M122" s="1694"/>
      <c r="N122" s="1694"/>
      <c r="O122" s="1694"/>
      <c r="P122" s="1694"/>
      <c r="Q122" s="988"/>
      <c r="R122" s="988"/>
      <c r="S122" s="988"/>
      <c r="T122" s="1862">
        <f t="shared" si="12"/>
        <v>0</v>
      </c>
    </row>
    <row r="123" spans="1:20" ht="22.2" hidden="1" customHeight="1">
      <c r="A123" s="1448">
        <f>COUNTIF($C$12:C123,"x")</f>
        <v>1</v>
      </c>
      <c r="B123" s="1453" t="s">
        <v>2063</v>
      </c>
      <c r="C123" s="60" t="str">
        <f t="shared" si="13"/>
        <v xml:space="preserve"> </v>
      </c>
      <c r="D123" s="1417">
        <f>D122</f>
        <v>0.2</v>
      </c>
      <c r="E123" s="984" t="str">
        <f>VLOOKUP($B123,DG!A:C,2,)</f>
        <v>02.1451</v>
      </c>
      <c r="F123" s="985" t="str">
        <f>VLOOKUP($B123,DG!A:C,3,)</f>
        <v>V/c đà cản vào vị trí (cự ly &lt;=100m)</v>
      </c>
      <c r="G123" s="984" t="str">
        <f>VLOOKUP($B123,DG!A:D,4,0)</f>
        <v>tấn</v>
      </c>
      <c r="H123" s="1694"/>
      <c r="I123" s="1694"/>
      <c r="J123" s="1694"/>
      <c r="K123" s="1694"/>
      <c r="L123" s="1694"/>
      <c r="M123" s="1694"/>
      <c r="N123" s="1694"/>
      <c r="O123" s="1694"/>
      <c r="P123" s="1694"/>
      <c r="Q123" s="991"/>
      <c r="R123" s="991"/>
      <c r="S123" s="991"/>
      <c r="T123" s="1862">
        <f t="shared" si="12"/>
        <v>0</v>
      </c>
    </row>
    <row r="124" spans="1:20" ht="22.2" hidden="1" customHeight="1">
      <c r="A124" s="1448">
        <f>COUNTIF($C$12:C124,"x")</f>
        <v>1</v>
      </c>
      <c r="B124" s="1453" t="s">
        <v>635</v>
      </c>
      <c r="C124" s="60" t="str">
        <f t="shared" si="13"/>
        <v xml:space="preserve"> </v>
      </c>
      <c r="D124" s="1417">
        <f>D123</f>
        <v>0.2</v>
      </c>
      <c r="E124" s="984" t="str">
        <f>VLOOKUP($B124,DG!A:C,2,)</f>
        <v>02.1482</v>
      </c>
      <c r="F124" s="985" t="str">
        <f>VLOOKUP($B124,DG!A:C,3,)</f>
        <v>V/c dụng cụ thi công vào vị trí (cự ly &lt;=100m)</v>
      </c>
      <c r="G124" s="984" t="str">
        <f>VLOOKUP($B124,DG!A:D,4,0)</f>
        <v>tấn</v>
      </c>
      <c r="H124" s="1694"/>
      <c r="I124" s="1694"/>
      <c r="J124" s="1694"/>
      <c r="K124" s="1694"/>
      <c r="L124" s="1694"/>
      <c r="M124" s="1694"/>
      <c r="N124" s="1694"/>
      <c r="O124" s="1694"/>
      <c r="P124" s="1694"/>
      <c r="Q124" s="991"/>
      <c r="R124" s="991"/>
      <c r="S124" s="991"/>
      <c r="T124" s="1862">
        <f t="shared" si="12"/>
        <v>0</v>
      </c>
    </row>
    <row r="125" spans="1:20" ht="22.2" hidden="1" customHeight="1">
      <c r="A125" s="1448">
        <f>COUNTIF($C$12:C125,"x")</f>
        <v>1</v>
      </c>
      <c r="B125" s="1452" t="s">
        <v>932</v>
      </c>
      <c r="C125" s="59" t="str">
        <f t="shared" si="13"/>
        <v xml:space="preserve"> </v>
      </c>
      <c r="D125" s="1412"/>
      <c r="E125" s="981"/>
      <c r="F125" s="1276" t="s">
        <v>2338</v>
      </c>
      <c r="G125" s="982" t="s">
        <v>2327</v>
      </c>
      <c r="H125" s="1691">
        <f>SUM(I125:O125)</f>
        <v>0</v>
      </c>
      <c r="I125" s="1692"/>
      <c r="J125" s="1692"/>
      <c r="K125" s="1692">
        <f>IFERROR(HLOOKUP(B125,pp3p1m!$1:$3,2,0),0)</f>
        <v>0</v>
      </c>
      <c r="L125" s="1692">
        <f>IFERROR(HLOOKUP(chitiet!B125,pp1p!$1:$3,3,0),0)</f>
        <v>0</v>
      </c>
      <c r="M125" s="1692"/>
      <c r="N125" s="1692"/>
      <c r="O125" s="1692"/>
      <c r="P125" s="2674">
        <f>T125</f>
        <v>0</v>
      </c>
      <c r="Q125" s="983">
        <f>IF(P125&gt;H125,P125-H125,0)</f>
        <v>0</v>
      </c>
      <c r="R125" s="983">
        <f>IF(H125&gt;P125,H125-P125,0)</f>
        <v>0</v>
      </c>
      <c r="S125" s="983"/>
      <c r="T125" s="1862">
        <f>IFERROR(HLOOKUP(B125,pp1p!$1:$3,3,0),0)+IFERROR(HLOOKUP(B125,pp3p1m!$1:$3,3,0),0)</f>
        <v>0</v>
      </c>
    </row>
    <row r="126" spans="1:20" ht="22.2" hidden="1" customHeight="1">
      <c r="A126" s="1448">
        <f>COUNTIF($C$12:C126,"x")</f>
        <v>1</v>
      </c>
      <c r="B126" s="1465" t="s">
        <v>1575</v>
      </c>
      <c r="C126" s="60" t="str">
        <f t="shared" si="13"/>
        <v xml:space="preserve"> </v>
      </c>
      <c r="D126" s="1418">
        <v>1</v>
      </c>
      <c r="E126" s="980" t="str">
        <f>VLOOKUP($B126,DG!A:D,DG!$B$2,)</f>
        <v>04.3801</v>
      </c>
      <c r="F126" s="990" t="str">
        <f>VLOOKUP($B126,DG!A:D,DG!$C$2,)</f>
        <v>Đà cản BTCT 1,5m</v>
      </c>
      <c r="G126" s="984" t="str">
        <f>VLOOKUP($B126,DG!A:D,DG!$D$2,)</f>
        <v>cái</v>
      </c>
      <c r="H126" s="1694">
        <f t="shared" ref="H126:N128" si="18">H$125*$D126</f>
        <v>0</v>
      </c>
      <c r="I126" s="1694">
        <f t="shared" si="18"/>
        <v>0</v>
      </c>
      <c r="J126" s="1694">
        <f t="shared" si="18"/>
        <v>0</v>
      </c>
      <c r="K126" s="1694">
        <f t="shared" si="18"/>
        <v>0</v>
      </c>
      <c r="L126" s="1694">
        <f t="shared" si="18"/>
        <v>0</v>
      </c>
      <c r="M126" s="1694">
        <f t="shared" si="18"/>
        <v>0</v>
      </c>
      <c r="N126" s="1694">
        <f t="shared" si="18"/>
        <v>0</v>
      </c>
      <c r="O126" s="1694"/>
      <c r="P126" s="1694"/>
      <c r="Q126" s="988"/>
      <c r="R126" s="988"/>
      <c r="S126" s="988"/>
      <c r="T126" s="1862">
        <f t="shared" si="12"/>
        <v>0</v>
      </c>
    </row>
    <row r="127" spans="1:20" ht="22.2" hidden="1" customHeight="1">
      <c r="A127" s="1448">
        <f>COUNTIF($C$12:C127,"x")</f>
        <v>1</v>
      </c>
      <c r="B127" s="1465" t="s">
        <v>636</v>
      </c>
      <c r="C127" s="60" t="str">
        <f t="shared" si="13"/>
        <v xml:space="preserve"> </v>
      </c>
      <c r="D127" s="1418">
        <v>1</v>
      </c>
      <c r="E127" s="980" t="str">
        <f>VLOOKUP($B127,DG!A:D,DG!$B$2,)</f>
        <v>04.4001</v>
      </c>
      <c r="F127" s="990" t="str">
        <f>VLOOKUP($B127,DG!A:D,DG!$C$2,)</f>
        <v>Đà cản BTCT 1,2m</v>
      </c>
      <c r="G127" s="984" t="str">
        <f>VLOOKUP($B127,DG!A:D,DG!$D$2,)</f>
        <v>cái</v>
      </c>
      <c r="H127" s="1694">
        <f t="shared" si="18"/>
        <v>0</v>
      </c>
      <c r="I127" s="1694">
        <f t="shared" si="18"/>
        <v>0</v>
      </c>
      <c r="J127" s="1694">
        <f t="shared" si="18"/>
        <v>0</v>
      </c>
      <c r="K127" s="1694">
        <f t="shared" si="18"/>
        <v>0</v>
      </c>
      <c r="L127" s="1694">
        <f t="shared" si="18"/>
        <v>0</v>
      </c>
      <c r="M127" s="1694">
        <f t="shared" si="18"/>
        <v>0</v>
      </c>
      <c r="N127" s="1694">
        <f t="shared" si="18"/>
        <v>0</v>
      </c>
      <c r="O127" s="1694"/>
      <c r="P127" s="1694"/>
      <c r="Q127" s="988"/>
      <c r="R127" s="988"/>
      <c r="S127" s="988"/>
      <c r="T127" s="1862">
        <f t="shared" si="12"/>
        <v>0</v>
      </c>
    </row>
    <row r="128" spans="1:20" ht="22.2" hidden="1" customHeight="1">
      <c r="A128" s="1448">
        <f>COUNTIF($C$12:C128,"x")</f>
        <v>1</v>
      </c>
      <c r="B128" s="1465" t="s">
        <v>719</v>
      </c>
      <c r="C128" s="60" t="str">
        <f t="shared" si="13"/>
        <v xml:space="preserve"> </v>
      </c>
      <c r="D128" s="1418">
        <v>2</v>
      </c>
      <c r="E128" s="984"/>
      <c r="F128" s="990" t="str">
        <f>VLOOKUP($B128,DG!A:D,DG!$C$2,)</f>
        <v>Boulon 22x550/100+ 2 long đền vuông D24-50x50x3/Zn</v>
      </c>
      <c r="G128" s="984" t="str">
        <f>VLOOKUP($B128,DG!A:D,DG!$D$2,)</f>
        <v>bộ</v>
      </c>
      <c r="H128" s="1694">
        <f t="shared" si="18"/>
        <v>0</v>
      </c>
      <c r="I128" s="1694">
        <f t="shared" si="18"/>
        <v>0</v>
      </c>
      <c r="J128" s="1694">
        <f t="shared" si="18"/>
        <v>0</v>
      </c>
      <c r="K128" s="1694">
        <f t="shared" si="18"/>
        <v>0</v>
      </c>
      <c r="L128" s="1694">
        <f t="shared" si="18"/>
        <v>0</v>
      </c>
      <c r="M128" s="1694">
        <f t="shared" si="18"/>
        <v>0</v>
      </c>
      <c r="N128" s="1694">
        <f t="shared" si="18"/>
        <v>0</v>
      </c>
      <c r="O128" s="1694"/>
      <c r="P128" s="1694"/>
      <c r="Q128" s="988"/>
      <c r="R128" s="988"/>
      <c r="S128" s="988"/>
      <c r="T128" s="1862">
        <f t="shared" si="12"/>
        <v>0</v>
      </c>
    </row>
    <row r="129" spans="1:20" ht="22.2" hidden="1" customHeight="1">
      <c r="A129" s="1448">
        <f>COUNTIF($C$12:C129,"x")</f>
        <v>1</v>
      </c>
      <c r="B129" s="1465" t="s">
        <v>639</v>
      </c>
      <c r="C129" s="60" t="str">
        <f t="shared" si="13"/>
        <v xml:space="preserve"> </v>
      </c>
      <c r="D129" s="1414">
        <v>3.81</v>
      </c>
      <c r="E129" s="984" t="str">
        <f>VLOOKUP($B129,DG!A:D,DG!$B$2,)</f>
        <v>03.1013</v>
      </c>
      <c r="F129" s="985" t="str">
        <f>VLOOKUP($B129,DG!A:D,DG!$C$2,)</f>
        <v>Đào hố móng đất cấp 3 sâu &gt;1m</v>
      </c>
      <c r="G129" s="984" t="str">
        <f>VLOOKUP($B129,DG!A:D,DG!$D$2,)</f>
        <v>m3</v>
      </c>
      <c r="H129" s="1694"/>
      <c r="I129" s="1694"/>
      <c r="J129" s="1694"/>
      <c r="K129" s="1694"/>
      <c r="L129" s="1694"/>
      <c r="M129" s="1694"/>
      <c r="N129" s="1694"/>
      <c r="O129" s="1694"/>
      <c r="P129" s="1694"/>
      <c r="Q129" s="991"/>
      <c r="R129" s="991"/>
      <c r="S129" s="991"/>
      <c r="T129" s="1862">
        <f t="shared" si="12"/>
        <v>0</v>
      </c>
    </row>
    <row r="130" spans="1:20" ht="22.2" hidden="1" customHeight="1">
      <c r="A130" s="1448">
        <f>COUNTIF($C$12:C130,"x")</f>
        <v>1</v>
      </c>
      <c r="B130" s="1465" t="s">
        <v>21</v>
      </c>
      <c r="C130" s="60" t="str">
        <f t="shared" si="13"/>
        <v xml:space="preserve"> </v>
      </c>
      <c r="D130" s="1414">
        <v>4.63</v>
      </c>
      <c r="E130" s="984" t="str">
        <f>VLOOKUP($B130,DG!A:D,DG!$B$2,)</f>
        <v>03.4113</v>
      </c>
      <c r="F130" s="985" t="str">
        <f>VLOOKUP($B130,DG!A:D,DG!$C$2,)</f>
        <v>Đắp đất hố móng, độ chặt k=0,95</v>
      </c>
      <c r="G130" s="984" t="str">
        <f>VLOOKUP($B130,DG!A:D,DG!$D$2,)</f>
        <v>m3</v>
      </c>
      <c r="H130" s="1694"/>
      <c r="I130" s="1694"/>
      <c r="J130" s="1694"/>
      <c r="K130" s="1694"/>
      <c r="L130" s="1694"/>
      <c r="M130" s="1694"/>
      <c r="N130" s="1694"/>
      <c r="O130" s="1694"/>
      <c r="P130" s="1694"/>
      <c r="Q130" s="991"/>
      <c r="R130" s="991"/>
      <c r="S130" s="991"/>
      <c r="T130" s="1862">
        <f t="shared" si="12"/>
        <v>0</v>
      </c>
    </row>
    <row r="131" spans="1:20" ht="22.2" hidden="1" customHeight="1">
      <c r="A131" s="1448">
        <f>COUNTIF($C$12:C131,"x")</f>
        <v>1</v>
      </c>
      <c r="B131" s="1465" t="s">
        <v>637</v>
      </c>
      <c r="C131" s="60" t="str">
        <f t="shared" si="13"/>
        <v xml:space="preserve"> </v>
      </c>
      <c r="D131" s="1417">
        <f>0.1+0.255</f>
        <v>0.35499999999999998</v>
      </c>
      <c r="E131" s="984" t="str">
        <f>VLOOKUP($B131,DG!A:D,DG!$B$2,)</f>
        <v>02.1123</v>
      </c>
      <c r="F131" s="985" t="str">
        <f>VLOOKUP($B131,DG!A:D,DG!$C$2,)</f>
        <v>Bốc dỡ đà cản, đế néo</v>
      </c>
      <c r="G131" s="984" t="str">
        <f>VLOOKUP($B131,DG!A:D,DG!$D$2,)</f>
        <v>tấn</v>
      </c>
      <c r="H131" s="1694"/>
      <c r="I131" s="1694"/>
      <c r="J131" s="1694"/>
      <c r="K131" s="1694"/>
      <c r="L131" s="1694"/>
      <c r="M131" s="1694"/>
      <c r="N131" s="1694"/>
      <c r="O131" s="1694"/>
      <c r="P131" s="1694"/>
      <c r="Q131" s="988"/>
      <c r="R131" s="988"/>
      <c r="S131" s="988"/>
      <c r="T131" s="1862">
        <f t="shared" si="12"/>
        <v>0</v>
      </c>
    </row>
    <row r="132" spans="1:20" ht="22.2" hidden="1" customHeight="1">
      <c r="A132" s="1448">
        <f>COUNTIF($C$12:C132,"x")</f>
        <v>1</v>
      </c>
      <c r="B132" s="1453" t="s">
        <v>2063</v>
      </c>
      <c r="C132" s="60" t="str">
        <f t="shared" si="13"/>
        <v xml:space="preserve"> </v>
      </c>
      <c r="D132" s="1417">
        <f>D131</f>
        <v>0.35499999999999998</v>
      </c>
      <c r="E132" s="984" t="str">
        <f>VLOOKUP($B132,DG!A:C,2,)</f>
        <v>02.1451</v>
      </c>
      <c r="F132" s="985" t="str">
        <f>VLOOKUP($B132,DG!A:C,3,)</f>
        <v>V/c đà cản vào vị trí (cự ly &lt;=100m)</v>
      </c>
      <c r="G132" s="984" t="str">
        <f>VLOOKUP($B132,DG!A:D,4,0)</f>
        <v>tấn</v>
      </c>
      <c r="H132" s="1694"/>
      <c r="I132" s="1694"/>
      <c r="J132" s="1694"/>
      <c r="K132" s="1694"/>
      <c r="L132" s="1694"/>
      <c r="M132" s="1694"/>
      <c r="N132" s="1694"/>
      <c r="O132" s="1694"/>
      <c r="P132" s="1694"/>
      <c r="Q132" s="991"/>
      <c r="R132" s="991"/>
      <c r="S132" s="991"/>
      <c r="T132" s="1862">
        <f t="shared" si="12"/>
        <v>0</v>
      </c>
    </row>
    <row r="133" spans="1:20" ht="22.2" hidden="1" customHeight="1">
      <c r="A133" s="1448">
        <f>COUNTIF($C$12:C133,"x")</f>
        <v>1</v>
      </c>
      <c r="B133" s="1453" t="s">
        <v>635</v>
      </c>
      <c r="C133" s="60" t="str">
        <f t="shared" si="13"/>
        <v xml:space="preserve"> </v>
      </c>
      <c r="D133" s="1417">
        <v>0.2</v>
      </c>
      <c r="E133" s="984" t="str">
        <f>VLOOKUP($B133,DG!A:C,2,)</f>
        <v>02.1482</v>
      </c>
      <c r="F133" s="985" t="str">
        <f>VLOOKUP($B133,DG!A:C,3,)</f>
        <v>V/c dụng cụ thi công vào vị trí (cự ly &lt;=100m)</v>
      </c>
      <c r="G133" s="984" t="str">
        <f>VLOOKUP($B133,DG!A:D,4,0)</f>
        <v>tấn</v>
      </c>
      <c r="H133" s="1694"/>
      <c r="I133" s="1694"/>
      <c r="J133" s="1694"/>
      <c r="K133" s="1694"/>
      <c r="L133" s="1694"/>
      <c r="M133" s="1694"/>
      <c r="N133" s="1694"/>
      <c r="O133" s="1694"/>
      <c r="P133" s="1694"/>
      <c r="Q133" s="991"/>
      <c r="R133" s="991"/>
      <c r="S133" s="991"/>
      <c r="T133" s="1862">
        <f t="shared" si="12"/>
        <v>0</v>
      </c>
    </row>
    <row r="134" spans="1:20" ht="22.2" hidden="1" customHeight="1">
      <c r="A134" s="1448">
        <f>COUNTIF($C$12:C134,"x")</f>
        <v>1</v>
      </c>
      <c r="B134" s="1452" t="s">
        <v>933</v>
      </c>
      <c r="C134" s="59" t="str">
        <f t="shared" si="13"/>
        <v xml:space="preserve"> </v>
      </c>
      <c r="D134" s="1412"/>
      <c r="E134" s="981"/>
      <c r="F134" s="1276" t="s">
        <v>2339</v>
      </c>
      <c r="G134" s="982" t="s">
        <v>2327</v>
      </c>
      <c r="H134" s="1691">
        <f>SUM(I134:O134)</f>
        <v>0</v>
      </c>
      <c r="I134" s="1692"/>
      <c r="J134" s="1692"/>
      <c r="K134" s="1692">
        <f>IFERROR(HLOOKUP(B134,pp3p1m!$1:$3,2,0),0)</f>
        <v>0</v>
      </c>
      <c r="L134" s="1692">
        <f>IFERROR(HLOOKUP(chitiet!B134,pp1p!$1:$3,3,0),0)</f>
        <v>0</v>
      </c>
      <c r="M134" s="1692"/>
      <c r="N134" s="1692"/>
      <c r="O134" s="1692"/>
      <c r="P134" s="2674">
        <f>T134</f>
        <v>0</v>
      </c>
      <c r="Q134" s="983">
        <f>IF(P134&gt;H134,P134-H134,0)</f>
        <v>0</v>
      </c>
      <c r="R134" s="983">
        <f>IF(H134&gt;P134,H134-P134,0)</f>
        <v>0</v>
      </c>
      <c r="S134" s="983"/>
      <c r="T134" s="1862">
        <f>IFERROR(HLOOKUP(B134,pp1p!$1:$3,3,0),0)+IFERROR(HLOOKUP(B134,pp3p1m!$1:$3,3,0),0)</f>
        <v>0</v>
      </c>
    </row>
    <row r="135" spans="1:20" ht="22.2" hidden="1" customHeight="1">
      <c r="A135" s="1448">
        <f>COUNTIF($C$12:C135,"x")</f>
        <v>1</v>
      </c>
      <c r="B135" s="1465" t="s">
        <v>1575</v>
      </c>
      <c r="C135" s="60" t="str">
        <f t="shared" si="13"/>
        <v xml:space="preserve"> </v>
      </c>
      <c r="D135" s="1418">
        <v>2</v>
      </c>
      <c r="E135" s="980" t="str">
        <f>VLOOKUP($B135,DG!A:D,DG!$B$2,)</f>
        <v>04.3801</v>
      </c>
      <c r="F135" s="990" t="str">
        <f>VLOOKUP($B135,DG!A:D,DG!$C$2,)</f>
        <v>Đà cản BTCT 1,5m</v>
      </c>
      <c r="G135" s="984" t="str">
        <f>VLOOKUP($B135,DG!A:D,DG!$D$2,)</f>
        <v>cái</v>
      </c>
      <c r="H135" s="1694">
        <f t="shared" ref="H135:N136" si="19">H$134*$D135</f>
        <v>0</v>
      </c>
      <c r="I135" s="1694">
        <f t="shared" si="19"/>
        <v>0</v>
      </c>
      <c r="J135" s="1694">
        <f t="shared" si="19"/>
        <v>0</v>
      </c>
      <c r="K135" s="1694">
        <f t="shared" si="19"/>
        <v>0</v>
      </c>
      <c r="L135" s="1694">
        <f t="shared" si="19"/>
        <v>0</v>
      </c>
      <c r="M135" s="1694">
        <f t="shared" si="19"/>
        <v>0</v>
      </c>
      <c r="N135" s="1694">
        <f t="shared" si="19"/>
        <v>0</v>
      </c>
      <c r="O135" s="1694"/>
      <c r="P135" s="1694"/>
      <c r="Q135" s="988"/>
      <c r="R135" s="988"/>
      <c r="S135" s="988"/>
      <c r="T135" s="1862">
        <f t="shared" si="12"/>
        <v>0</v>
      </c>
    </row>
    <row r="136" spans="1:20" ht="22.2" hidden="1" customHeight="1">
      <c r="A136" s="1448">
        <f>COUNTIF($C$12:C136,"x")</f>
        <v>1</v>
      </c>
      <c r="B136" s="1465" t="s">
        <v>719</v>
      </c>
      <c r="C136" s="60" t="str">
        <f t="shared" si="13"/>
        <v xml:space="preserve"> </v>
      </c>
      <c r="D136" s="1418">
        <v>2</v>
      </c>
      <c r="E136" s="984"/>
      <c r="F136" s="990" t="str">
        <f>VLOOKUP($B136,DG!A:D,DG!$C$2,)</f>
        <v>Boulon 22x550/100+ 2 long đền vuông D24-50x50x3/Zn</v>
      </c>
      <c r="G136" s="984" t="str">
        <f>VLOOKUP($B136,DG!A:D,DG!$D$2,)</f>
        <v>bộ</v>
      </c>
      <c r="H136" s="1694">
        <f t="shared" si="19"/>
        <v>0</v>
      </c>
      <c r="I136" s="1694">
        <f t="shared" si="19"/>
        <v>0</v>
      </c>
      <c r="J136" s="1694">
        <f t="shared" si="19"/>
        <v>0</v>
      </c>
      <c r="K136" s="1694">
        <f t="shared" si="19"/>
        <v>0</v>
      </c>
      <c r="L136" s="1694">
        <f t="shared" si="19"/>
        <v>0</v>
      </c>
      <c r="M136" s="1694">
        <f t="shared" si="19"/>
        <v>0</v>
      </c>
      <c r="N136" s="1694">
        <f t="shared" si="19"/>
        <v>0</v>
      </c>
      <c r="O136" s="1694"/>
      <c r="P136" s="1694"/>
      <c r="Q136" s="988"/>
      <c r="R136" s="988"/>
      <c r="S136" s="988"/>
      <c r="T136" s="1862">
        <f t="shared" si="12"/>
        <v>0</v>
      </c>
    </row>
    <row r="137" spans="1:20" ht="22.2" hidden="1" customHeight="1">
      <c r="A137" s="1448">
        <f>COUNTIF($C$12:C137,"x")</f>
        <v>1</v>
      </c>
      <c r="B137" s="1465" t="s">
        <v>639</v>
      </c>
      <c r="C137" s="60" t="str">
        <f t="shared" si="13"/>
        <v xml:space="preserve"> </v>
      </c>
      <c r="D137" s="1417">
        <v>2.8</v>
      </c>
      <c r="E137" s="984" t="str">
        <f>VLOOKUP($B137,DG!A:D,DG!$B$2,)</f>
        <v>03.1013</v>
      </c>
      <c r="F137" s="985" t="str">
        <f>VLOOKUP($B137,DG!A:D,DG!$C$2,)</f>
        <v>Đào hố móng đất cấp 3 sâu &gt;1m</v>
      </c>
      <c r="G137" s="984" t="str">
        <f>VLOOKUP($B137,DG!A:D,DG!$D$2,)</f>
        <v>m3</v>
      </c>
      <c r="H137" s="1694"/>
      <c r="I137" s="1694"/>
      <c r="J137" s="1694"/>
      <c r="K137" s="1694"/>
      <c r="L137" s="1694"/>
      <c r="M137" s="1694"/>
      <c r="N137" s="1694"/>
      <c r="O137" s="1694"/>
      <c r="P137" s="1694"/>
      <c r="Q137" s="991"/>
      <c r="R137" s="991"/>
      <c r="S137" s="991"/>
      <c r="T137" s="1862">
        <f t="shared" si="12"/>
        <v>0</v>
      </c>
    </row>
    <row r="138" spans="1:20" ht="22.2" hidden="1" customHeight="1">
      <c r="A138" s="1448">
        <f>COUNTIF($C$12:C138,"x")</f>
        <v>1</v>
      </c>
      <c r="B138" s="1465" t="s">
        <v>21</v>
      </c>
      <c r="C138" s="60" t="str">
        <f t="shared" si="13"/>
        <v xml:space="preserve"> </v>
      </c>
      <c r="D138" s="1417">
        <v>3.25</v>
      </c>
      <c r="E138" s="984" t="str">
        <f>VLOOKUP($B138,DG!A:D,DG!$B$2,)</f>
        <v>03.4113</v>
      </c>
      <c r="F138" s="985" t="str">
        <f>VLOOKUP($B138,DG!A:D,DG!$C$2,)</f>
        <v>Đắp đất hố móng, độ chặt k=0,95</v>
      </c>
      <c r="G138" s="984" t="str">
        <f>VLOOKUP($B138,DG!A:D,DG!$D$2,)</f>
        <v>m3</v>
      </c>
      <c r="H138" s="1694"/>
      <c r="I138" s="1694"/>
      <c r="J138" s="1694"/>
      <c r="K138" s="1694"/>
      <c r="L138" s="1694"/>
      <c r="M138" s="1694"/>
      <c r="N138" s="1694"/>
      <c r="O138" s="1694"/>
      <c r="P138" s="1694"/>
      <c r="Q138" s="991"/>
      <c r="R138" s="991"/>
      <c r="S138" s="991"/>
      <c r="T138" s="1862">
        <f t="shared" si="12"/>
        <v>0</v>
      </c>
    </row>
    <row r="139" spans="1:20" ht="22.2" hidden="1" customHeight="1">
      <c r="A139" s="1448">
        <f>COUNTIF($C$12:C139,"x")</f>
        <v>1</v>
      </c>
      <c r="B139" s="1465" t="s">
        <v>637</v>
      </c>
      <c r="C139" s="60" t="str">
        <f t="shared" si="13"/>
        <v xml:space="preserve"> </v>
      </c>
      <c r="D139" s="1417">
        <f>0.255*2</f>
        <v>0.51</v>
      </c>
      <c r="E139" s="984" t="str">
        <f>VLOOKUP($B139,DG!A:D,DG!$B$2,)</f>
        <v>02.1123</v>
      </c>
      <c r="F139" s="985" t="str">
        <f>VLOOKUP($B139,DG!A:D,DG!$C$2,)</f>
        <v>Bốc dỡ đà cản, đế néo</v>
      </c>
      <c r="G139" s="984" t="str">
        <f>VLOOKUP($B139,DG!A:D,DG!$D$2,)</f>
        <v>tấn</v>
      </c>
      <c r="H139" s="1694"/>
      <c r="I139" s="1694"/>
      <c r="J139" s="1694"/>
      <c r="K139" s="1694"/>
      <c r="L139" s="1694"/>
      <c r="M139" s="1694"/>
      <c r="N139" s="1694"/>
      <c r="O139" s="1694"/>
      <c r="P139" s="1694"/>
      <c r="Q139" s="988"/>
      <c r="R139" s="988"/>
      <c r="S139" s="988"/>
      <c r="T139" s="1862">
        <f t="shared" si="12"/>
        <v>0</v>
      </c>
    </row>
    <row r="140" spans="1:20" ht="22.2" hidden="1" customHeight="1">
      <c r="A140" s="1448">
        <f>COUNTIF($C$12:C140,"x")</f>
        <v>1</v>
      </c>
      <c r="B140" s="1453" t="s">
        <v>2063</v>
      </c>
      <c r="C140" s="60" t="str">
        <f t="shared" si="13"/>
        <v xml:space="preserve"> </v>
      </c>
      <c r="D140" s="1417">
        <f>D139</f>
        <v>0.51</v>
      </c>
      <c r="E140" s="984" t="str">
        <f>VLOOKUP($B140,DG!A:C,2,)</f>
        <v>02.1451</v>
      </c>
      <c r="F140" s="985" t="str">
        <f>VLOOKUP($B140,DG!A:C,3,)</f>
        <v>V/c đà cản vào vị trí (cự ly &lt;=100m)</v>
      </c>
      <c r="G140" s="984" t="str">
        <f>VLOOKUP($B140,DG!A:D,4,0)</f>
        <v>tấn</v>
      </c>
      <c r="H140" s="1694"/>
      <c r="I140" s="1694"/>
      <c r="J140" s="1694"/>
      <c r="K140" s="1694"/>
      <c r="L140" s="1694"/>
      <c r="M140" s="1694"/>
      <c r="N140" s="1694"/>
      <c r="O140" s="1694"/>
      <c r="P140" s="1694"/>
      <c r="Q140" s="991"/>
      <c r="R140" s="991"/>
      <c r="S140" s="991"/>
      <c r="T140" s="1862">
        <f t="shared" si="12"/>
        <v>0</v>
      </c>
    </row>
    <row r="141" spans="1:20" ht="22.2" hidden="1" customHeight="1">
      <c r="A141" s="1448">
        <f>COUNTIF($C$12:C141,"x")</f>
        <v>1</v>
      </c>
      <c r="B141" s="1464" t="s">
        <v>635</v>
      </c>
      <c r="C141" s="60" t="str">
        <f t="shared" si="13"/>
        <v xml:space="preserve"> </v>
      </c>
      <c r="D141" s="1417">
        <f>D140</f>
        <v>0.51</v>
      </c>
      <c r="E141" s="984" t="str">
        <f>VLOOKUP($B141,DG!A:C,2,)</f>
        <v>02.1482</v>
      </c>
      <c r="F141" s="985" t="str">
        <f>VLOOKUP($B141,DG!A:C,3,)</f>
        <v>V/c dụng cụ thi công vào vị trí (cự ly &lt;=100m)</v>
      </c>
      <c r="G141" s="984" t="str">
        <f>VLOOKUP($B141,DG!A:D,4,0)</f>
        <v>tấn</v>
      </c>
      <c r="H141" s="1694"/>
      <c r="I141" s="1694"/>
      <c r="J141" s="1694"/>
      <c r="K141" s="1694"/>
      <c r="L141" s="1694"/>
      <c r="M141" s="1694"/>
      <c r="N141" s="1694"/>
      <c r="O141" s="1694"/>
      <c r="P141" s="1694"/>
      <c r="Q141" s="991"/>
      <c r="R141" s="991"/>
      <c r="S141" s="991"/>
      <c r="T141" s="1862">
        <f t="shared" si="12"/>
        <v>0</v>
      </c>
    </row>
    <row r="142" spans="1:20" ht="22.2" hidden="1" customHeight="1">
      <c r="A142" s="1448">
        <f>COUNTIF($C$12:C142,"x")</f>
        <v>1</v>
      </c>
      <c r="B142" s="1452" t="s">
        <v>2178</v>
      </c>
      <c r="C142" s="59" t="str">
        <f t="shared" si="13"/>
        <v xml:space="preserve"> </v>
      </c>
      <c r="D142" s="1412"/>
      <c r="E142" s="981"/>
      <c r="F142" s="1276" t="s">
        <v>2340</v>
      </c>
      <c r="G142" s="982" t="s">
        <v>2327</v>
      </c>
      <c r="H142" s="1691">
        <f>SUM(I142:O142)</f>
        <v>0</v>
      </c>
      <c r="I142" s="1692"/>
      <c r="J142" s="1692"/>
      <c r="K142" s="1692">
        <f>IFERROR(HLOOKUP(B142,pp3p1m!$1:$3,2,0),0)</f>
        <v>0</v>
      </c>
      <c r="L142" s="1692">
        <f>IFERROR(HLOOKUP(chitiet!B142,pp1p!$1:$3,3,0),0)</f>
        <v>0</v>
      </c>
      <c r="M142" s="1692"/>
      <c r="N142" s="1692"/>
      <c r="O142" s="1692"/>
      <c r="P142" s="2674">
        <f>T142</f>
        <v>0</v>
      </c>
      <c r="Q142" s="983">
        <f>IF(P142&gt;H142,P142-H142,0)</f>
        <v>0</v>
      </c>
      <c r="R142" s="983">
        <f>IF(H142&gt;P142,H142-P142,0)</f>
        <v>0</v>
      </c>
      <c r="S142" s="983"/>
      <c r="T142" s="1862">
        <f>IFERROR(HLOOKUP(B142,pp1p!$1:$3,3,0),0)+IFERROR(HLOOKUP(B142,pp3p1m!$1:$3,3,0),0)</f>
        <v>0</v>
      </c>
    </row>
    <row r="143" spans="1:20" ht="22.2" hidden="1" customHeight="1">
      <c r="A143" s="1448">
        <f>COUNTIF($C$12:C143,"x")</f>
        <v>1</v>
      </c>
      <c r="B143" s="1465" t="s">
        <v>636</v>
      </c>
      <c r="C143" s="60" t="str">
        <f t="shared" ref="C143:C206" si="20">IF(OR(P143&lt;&gt;0,H143&lt;&gt;0),"x"," ")</f>
        <v xml:space="preserve"> </v>
      </c>
      <c r="D143" s="1418">
        <v>2</v>
      </c>
      <c r="E143" s="980" t="str">
        <f>VLOOKUP($B143,DG!A:D,DG!$B$2,)</f>
        <v>04.4001</v>
      </c>
      <c r="F143" s="990" t="str">
        <f>VLOOKUP($B143,DG!A:D,DG!$C$2,)</f>
        <v>Đà cản BTCT 1,2m</v>
      </c>
      <c r="G143" s="984" t="str">
        <f>VLOOKUP($B143,DG!A:D,DG!$D$2,)</f>
        <v>cái</v>
      </c>
      <c r="H143" s="1694">
        <f t="shared" ref="H143:N144" si="21">H$142*$D143</f>
        <v>0</v>
      </c>
      <c r="I143" s="1694">
        <f t="shared" si="21"/>
        <v>0</v>
      </c>
      <c r="J143" s="1694">
        <f t="shared" si="21"/>
        <v>0</v>
      </c>
      <c r="K143" s="1694">
        <f t="shared" si="21"/>
        <v>0</v>
      </c>
      <c r="L143" s="1694">
        <f t="shared" si="21"/>
        <v>0</v>
      </c>
      <c r="M143" s="1694">
        <f t="shared" si="21"/>
        <v>0</v>
      </c>
      <c r="N143" s="1694">
        <f t="shared" si="21"/>
        <v>0</v>
      </c>
      <c r="O143" s="1694"/>
      <c r="P143" s="1694"/>
      <c r="Q143" s="988"/>
      <c r="R143" s="988"/>
      <c r="S143" s="988"/>
      <c r="T143" s="1862">
        <f t="shared" ref="T143:T204" si="22">IFERROR(HLOOKUP(B143,BangKeTru,3,0),0)</f>
        <v>0</v>
      </c>
    </row>
    <row r="144" spans="1:20" ht="22.2" hidden="1" customHeight="1">
      <c r="A144" s="1448">
        <f>COUNTIF($C$12:C144,"x")</f>
        <v>1</v>
      </c>
      <c r="B144" s="1455" t="s">
        <v>720</v>
      </c>
      <c r="C144" s="60" t="str">
        <f t="shared" si="20"/>
        <v xml:space="preserve"> </v>
      </c>
      <c r="D144" s="1418">
        <v>1</v>
      </c>
      <c r="E144" s="984"/>
      <c r="F144" s="990" t="str">
        <f>VLOOKUP($B144,DG!A:D,DG!$C$2,)</f>
        <v>Boulon 22x750+ 2 long đền vuông D24-50x50x3/Zn</v>
      </c>
      <c r="G144" s="984" t="str">
        <f>VLOOKUP($B144,DG!A:D,DG!$D$2,)</f>
        <v>bộ</v>
      </c>
      <c r="H144" s="1694">
        <f t="shared" si="21"/>
        <v>0</v>
      </c>
      <c r="I144" s="1694">
        <f t="shared" si="21"/>
        <v>0</v>
      </c>
      <c r="J144" s="1694">
        <f t="shared" si="21"/>
        <v>0</v>
      </c>
      <c r="K144" s="1694">
        <f t="shared" si="21"/>
        <v>0</v>
      </c>
      <c r="L144" s="1694">
        <f t="shared" si="21"/>
        <v>0</v>
      </c>
      <c r="M144" s="1694">
        <f t="shared" si="21"/>
        <v>0</v>
      </c>
      <c r="N144" s="1694">
        <f t="shared" si="21"/>
        <v>0</v>
      </c>
      <c r="O144" s="1694"/>
      <c r="P144" s="1694"/>
      <c r="Q144" s="988"/>
      <c r="R144" s="988"/>
      <c r="S144" s="988"/>
      <c r="T144" s="1862">
        <f t="shared" si="22"/>
        <v>0</v>
      </c>
    </row>
    <row r="145" spans="1:20" ht="22.2" hidden="1" customHeight="1">
      <c r="A145" s="1448">
        <f>COUNTIF($C$12:C145,"x")</f>
        <v>1</v>
      </c>
      <c r="B145" s="1455" t="s">
        <v>1812</v>
      </c>
      <c r="C145" s="60" t="str">
        <f t="shared" si="20"/>
        <v xml:space="preserve"> </v>
      </c>
      <c r="D145" s="1413">
        <v>0.155</v>
      </c>
      <c r="E145" s="980">
        <f>VLOOKUP($B145,DG!A:D,DG!$B$2,)</f>
        <v>0</v>
      </c>
      <c r="F145" s="985" t="str">
        <f>VLOOKUP($B145,DG!A:D,DG!$C$2,)</f>
        <v>Đá 2x4</v>
      </c>
      <c r="G145" s="980" t="str">
        <f>VLOOKUP($B145,DG!A:D,DG!$D$2,)</f>
        <v>m3</v>
      </c>
      <c r="H145" s="1693">
        <f t="shared" ref="H145:N145" si="23">H$18*$D145</f>
        <v>0</v>
      </c>
      <c r="I145" s="1693">
        <f t="shared" si="23"/>
        <v>0</v>
      </c>
      <c r="J145" s="1693">
        <f t="shared" si="23"/>
        <v>0</v>
      </c>
      <c r="K145" s="1693">
        <f t="shared" si="23"/>
        <v>0</v>
      </c>
      <c r="L145" s="1693">
        <f t="shared" si="23"/>
        <v>0</v>
      </c>
      <c r="M145" s="1693">
        <f t="shared" si="23"/>
        <v>0</v>
      </c>
      <c r="N145" s="1693">
        <f t="shared" si="23"/>
        <v>0</v>
      </c>
      <c r="O145" s="1693"/>
      <c r="P145" s="1693"/>
      <c r="Q145" s="989"/>
      <c r="R145" s="989"/>
      <c r="S145" s="989"/>
      <c r="T145" s="1862">
        <f t="shared" si="22"/>
        <v>0</v>
      </c>
    </row>
    <row r="146" spans="1:20" ht="22.2" hidden="1" customHeight="1">
      <c r="A146" s="1448">
        <f>COUNTIF($C$12:C146,"x")</f>
        <v>1</v>
      </c>
      <c r="B146" s="1465" t="s">
        <v>639</v>
      </c>
      <c r="C146" s="60" t="str">
        <f t="shared" si="20"/>
        <v xml:space="preserve"> </v>
      </c>
      <c r="D146" s="1417">
        <v>2.8</v>
      </c>
      <c r="E146" s="984" t="str">
        <f>VLOOKUP($B146,DG!A:D,DG!$B$2,)</f>
        <v>03.1013</v>
      </c>
      <c r="F146" s="985" t="str">
        <f>VLOOKUP($B146,DG!A:D,DG!$C$2,)</f>
        <v>Đào hố móng đất cấp 3 sâu &gt;1m</v>
      </c>
      <c r="G146" s="984" t="str">
        <f>VLOOKUP($B146,DG!A:D,DG!$D$2,)</f>
        <v>m3</v>
      </c>
      <c r="H146" s="1694"/>
      <c r="I146" s="1694"/>
      <c r="J146" s="1694"/>
      <c r="K146" s="1694"/>
      <c r="L146" s="1694"/>
      <c r="M146" s="1694"/>
      <c r="N146" s="1694"/>
      <c r="O146" s="1694"/>
      <c r="P146" s="1694"/>
      <c r="Q146" s="991"/>
      <c r="R146" s="991"/>
      <c r="S146" s="991"/>
      <c r="T146" s="1862">
        <f t="shared" si="22"/>
        <v>0</v>
      </c>
    </row>
    <row r="147" spans="1:20" ht="22.2" hidden="1" customHeight="1">
      <c r="A147" s="1448">
        <f>COUNTIF($C$12:C147,"x")</f>
        <v>1</v>
      </c>
      <c r="B147" s="1465" t="s">
        <v>21</v>
      </c>
      <c r="C147" s="60" t="str">
        <f t="shared" si="20"/>
        <v xml:space="preserve"> </v>
      </c>
      <c r="D147" s="1417">
        <v>3.25</v>
      </c>
      <c r="E147" s="984" t="str">
        <f>VLOOKUP($B147,DG!A:D,DG!$B$2,)</f>
        <v>03.4113</v>
      </c>
      <c r="F147" s="985" t="str">
        <f>VLOOKUP($B147,DG!A:D,DG!$C$2,)</f>
        <v>Đắp đất hố móng, độ chặt k=0,95</v>
      </c>
      <c r="G147" s="984" t="str">
        <f>VLOOKUP($B147,DG!A:D,DG!$D$2,)</f>
        <v>m3</v>
      </c>
      <c r="H147" s="1694"/>
      <c r="I147" s="1694"/>
      <c r="J147" s="1694"/>
      <c r="K147" s="1694"/>
      <c r="L147" s="1694"/>
      <c r="M147" s="1694"/>
      <c r="N147" s="1694"/>
      <c r="O147" s="1694"/>
      <c r="P147" s="1694"/>
      <c r="Q147" s="991"/>
      <c r="R147" s="991"/>
      <c r="S147" s="991"/>
      <c r="T147" s="1862">
        <f t="shared" si="22"/>
        <v>0</v>
      </c>
    </row>
    <row r="148" spans="1:20" ht="22.2" hidden="1" customHeight="1">
      <c r="A148" s="1448">
        <f>COUNTIF($C$12:C148,"x")</f>
        <v>1</v>
      </c>
      <c r="B148" s="1465" t="s">
        <v>637</v>
      </c>
      <c r="C148" s="60" t="str">
        <f t="shared" si="20"/>
        <v xml:space="preserve"> </v>
      </c>
      <c r="D148" s="1417">
        <f>0.1*D143</f>
        <v>0.2</v>
      </c>
      <c r="E148" s="984" t="str">
        <f>VLOOKUP($B148,DG!A:D,DG!$B$2,)</f>
        <v>02.1123</v>
      </c>
      <c r="F148" s="985" t="str">
        <f>VLOOKUP($B148,DG!A:D,DG!$C$2,)</f>
        <v>Bốc dỡ đà cản, đế néo</v>
      </c>
      <c r="G148" s="984" t="str">
        <f>VLOOKUP($B148,DG!A:D,DG!$D$2,)</f>
        <v>tấn</v>
      </c>
      <c r="H148" s="1694"/>
      <c r="I148" s="1694"/>
      <c r="J148" s="1694"/>
      <c r="K148" s="1694"/>
      <c r="L148" s="1694"/>
      <c r="M148" s="1694"/>
      <c r="N148" s="1694"/>
      <c r="O148" s="1694"/>
      <c r="P148" s="1694"/>
      <c r="Q148" s="988"/>
      <c r="R148" s="988"/>
      <c r="S148" s="988"/>
      <c r="T148" s="1862">
        <f t="shared" si="22"/>
        <v>0</v>
      </c>
    </row>
    <row r="149" spans="1:20" ht="22.2" hidden="1" customHeight="1">
      <c r="A149" s="1448">
        <f>COUNTIF($C$12:C149,"x")</f>
        <v>1</v>
      </c>
      <c r="B149" s="1453" t="s">
        <v>2063</v>
      </c>
      <c r="C149" s="60" t="str">
        <f t="shared" si="20"/>
        <v xml:space="preserve"> </v>
      </c>
      <c r="D149" s="1417">
        <f>D148</f>
        <v>0.2</v>
      </c>
      <c r="E149" s="984" t="str">
        <f>VLOOKUP($B149,DG!A:C,2,)</f>
        <v>02.1451</v>
      </c>
      <c r="F149" s="985" t="str">
        <f>VLOOKUP($B149,DG!A:C,3,)</f>
        <v>V/c đà cản vào vị trí (cự ly &lt;=100m)</v>
      </c>
      <c r="G149" s="984" t="str">
        <f>VLOOKUP($B149,DG!A:D,4,0)</f>
        <v>tấn</v>
      </c>
      <c r="H149" s="1694"/>
      <c r="I149" s="1694"/>
      <c r="J149" s="1694"/>
      <c r="K149" s="1694"/>
      <c r="L149" s="1694"/>
      <c r="M149" s="1694"/>
      <c r="N149" s="1694"/>
      <c r="O149" s="1694"/>
      <c r="P149" s="1694"/>
      <c r="Q149" s="991"/>
      <c r="R149" s="991"/>
      <c r="S149" s="991"/>
      <c r="T149" s="1862">
        <f t="shared" si="22"/>
        <v>0</v>
      </c>
    </row>
    <row r="150" spans="1:20" ht="22.2" hidden="1" customHeight="1">
      <c r="A150" s="1448">
        <f>COUNTIF($C$12:C150,"x")</f>
        <v>1</v>
      </c>
      <c r="B150" s="1464" t="s">
        <v>674</v>
      </c>
      <c r="C150" s="60" t="str">
        <f t="shared" si="20"/>
        <v xml:space="preserve"> </v>
      </c>
      <c r="D150" s="1413">
        <f>D145</f>
        <v>0.155</v>
      </c>
      <c r="E150" s="980" t="str">
        <f>VLOOKUP($B150,DG!A:C,2,)</f>
        <v>02.1241</v>
      </c>
      <c r="F150" s="985" t="str">
        <f>VLOOKUP($B150,DG!A:C,3,)</f>
        <v>V/c đá dăm ( cự ly &lt;=100m)</v>
      </c>
      <c r="G150" s="980" t="str">
        <f>VLOOKUP($B150,DG!A:D,4,0)</f>
        <v>m3</v>
      </c>
      <c r="H150" s="1693"/>
      <c r="I150" s="1693"/>
      <c r="J150" s="1693"/>
      <c r="K150" s="1693"/>
      <c r="L150" s="1693"/>
      <c r="M150" s="1693"/>
      <c r="N150" s="1693"/>
      <c r="O150" s="1693"/>
      <c r="P150" s="1693"/>
      <c r="Q150" s="994"/>
      <c r="R150" s="994"/>
      <c r="S150" s="994"/>
      <c r="T150" s="1862">
        <f t="shared" si="22"/>
        <v>0</v>
      </c>
    </row>
    <row r="151" spans="1:20" ht="22.2" hidden="1" customHeight="1">
      <c r="A151" s="1448">
        <f>COUNTIF($C$12:C151,"x")</f>
        <v>1</v>
      </c>
      <c r="B151" s="1453" t="s">
        <v>635</v>
      </c>
      <c r="C151" s="60" t="str">
        <f t="shared" si="20"/>
        <v xml:space="preserve"> </v>
      </c>
      <c r="D151" s="1417">
        <f>D149</f>
        <v>0.2</v>
      </c>
      <c r="E151" s="984" t="str">
        <f>VLOOKUP($B151,DG!A:C,2,)</f>
        <v>02.1482</v>
      </c>
      <c r="F151" s="985" t="str">
        <f>VLOOKUP($B151,DG!A:C,3,)</f>
        <v>V/c dụng cụ thi công vào vị trí (cự ly &lt;=100m)</v>
      </c>
      <c r="G151" s="984" t="str">
        <f>VLOOKUP($B151,DG!A:D,4,0)</f>
        <v>tấn</v>
      </c>
      <c r="H151" s="1694"/>
      <c r="I151" s="1694"/>
      <c r="J151" s="1694"/>
      <c r="K151" s="1694"/>
      <c r="L151" s="1694"/>
      <c r="M151" s="1694"/>
      <c r="N151" s="1694"/>
      <c r="O151" s="1694"/>
      <c r="P151" s="1694"/>
      <c r="Q151" s="991"/>
      <c r="R151" s="991"/>
      <c r="S151" s="991"/>
      <c r="T151" s="1862">
        <f t="shared" si="22"/>
        <v>0</v>
      </c>
    </row>
    <row r="152" spans="1:20" ht="22.2" hidden="1" customHeight="1">
      <c r="A152" s="1448">
        <f>COUNTIF($C$12:C152,"x")</f>
        <v>1</v>
      </c>
      <c r="B152" s="1452" t="s">
        <v>12</v>
      </c>
      <c r="C152" s="59" t="str">
        <f t="shared" si="20"/>
        <v xml:space="preserve"> </v>
      </c>
      <c r="D152" s="1412"/>
      <c r="E152" s="981"/>
      <c r="F152" s="1276" t="s">
        <v>2341</v>
      </c>
      <c r="G152" s="982" t="s">
        <v>2327</v>
      </c>
      <c r="H152" s="1691">
        <f>SUM(I152:O152)</f>
        <v>0</v>
      </c>
      <c r="I152" s="1692"/>
      <c r="J152" s="1692"/>
      <c r="K152" s="1692">
        <f>IFERROR(HLOOKUP(B152,pp3p1m!$1:$3,2,0),0)</f>
        <v>0</v>
      </c>
      <c r="L152" s="1692">
        <f>IFERROR(HLOOKUP(chitiet!B152,pp1p!$1:$3,3,0),0)</f>
        <v>0</v>
      </c>
      <c r="M152" s="1692"/>
      <c r="N152" s="1692"/>
      <c r="O152" s="1692"/>
      <c r="P152" s="2674">
        <f>T152</f>
        <v>0</v>
      </c>
      <c r="Q152" s="983">
        <f>IF(P152&gt;H152,P152-H152,0)</f>
        <v>0</v>
      </c>
      <c r="R152" s="983">
        <f>IF(H152&gt;P152,H152-P152,0)</f>
        <v>0</v>
      </c>
      <c r="S152" s="983"/>
      <c r="T152" s="1862">
        <f>IFERROR(HLOOKUP(B152,pp1p!$1:$3,3,0),0)+IFERROR(HLOOKUP(B152,pp3p1m!$1:$3,3,0),0)</f>
        <v>0</v>
      </c>
    </row>
    <row r="153" spans="1:20" ht="22.2" hidden="1" customHeight="1">
      <c r="A153" s="1448">
        <f>COUNTIF($C$12:C153,"x")</f>
        <v>1</v>
      </c>
      <c r="B153" s="1465" t="s">
        <v>639</v>
      </c>
      <c r="C153" s="60" t="str">
        <f t="shared" si="20"/>
        <v xml:space="preserve"> </v>
      </c>
      <c r="D153" s="1416">
        <v>0.20100000000000001</v>
      </c>
      <c r="E153" s="984"/>
      <c r="F153" s="985" t="str">
        <f>VLOOKUP($B153,DG!A:D,DG!$C$2,)</f>
        <v>Đào hố móng đất cấp 3 sâu &gt;1m</v>
      </c>
      <c r="G153" s="984" t="str">
        <f>VLOOKUP($B153,DG!A:D,DG!$D$2,)</f>
        <v>m3</v>
      </c>
      <c r="H153" s="1694">
        <f>$H$152*$D153</f>
        <v>0</v>
      </c>
      <c r="I153" s="1694">
        <f t="shared" ref="I153:O153" si="24">I$244*$D153</f>
        <v>0</v>
      </c>
      <c r="J153" s="1694">
        <f t="shared" si="24"/>
        <v>0</v>
      </c>
      <c r="K153" s="1694">
        <f t="shared" si="24"/>
        <v>1.0050000000000001</v>
      </c>
      <c r="L153" s="1694">
        <f t="shared" si="24"/>
        <v>0</v>
      </c>
      <c r="M153" s="1694">
        <f t="shared" si="24"/>
        <v>0</v>
      </c>
      <c r="N153" s="1694">
        <f t="shared" si="24"/>
        <v>0</v>
      </c>
      <c r="O153" s="1694">
        <f t="shared" si="24"/>
        <v>0</v>
      </c>
      <c r="P153" s="1694"/>
      <c r="Q153" s="988"/>
      <c r="R153" s="988"/>
      <c r="S153" s="988"/>
      <c r="T153" s="1862">
        <f t="shared" si="22"/>
        <v>0</v>
      </c>
    </row>
    <row r="154" spans="1:20" ht="22.2" hidden="1" customHeight="1">
      <c r="A154" s="1448">
        <f>COUNTIF($C$12:C154,"x")</f>
        <v>1</v>
      </c>
      <c r="B154" s="1455" t="s">
        <v>21</v>
      </c>
      <c r="C154" s="60" t="str">
        <f t="shared" si="20"/>
        <v xml:space="preserve"> </v>
      </c>
      <c r="D154" s="1413">
        <v>0.182</v>
      </c>
      <c r="E154" s="980" t="str">
        <f>VLOOKUP($B154,DG!A:D,DG!$B$2,)</f>
        <v>03.4113</v>
      </c>
      <c r="F154" s="985" t="str">
        <f>VLOOKUP($B154,DG!A:D,DG!$C$2,)</f>
        <v>Đắp đất hố móng, độ chặt k=0,95</v>
      </c>
      <c r="G154" s="980" t="str">
        <f>VLOOKUP($B154,DG!A:D,DG!$D$2,)</f>
        <v>m3</v>
      </c>
      <c r="H154" s="1694">
        <f>$H$152*$D154</f>
        <v>0</v>
      </c>
      <c r="I154" s="1693">
        <f t="shared" ref="I154:O154" si="25">I$18*$D154</f>
        <v>0</v>
      </c>
      <c r="J154" s="1693">
        <f t="shared" si="25"/>
        <v>0</v>
      </c>
      <c r="K154" s="1693">
        <f t="shared" si="25"/>
        <v>0</v>
      </c>
      <c r="L154" s="1693">
        <f t="shared" si="25"/>
        <v>0</v>
      </c>
      <c r="M154" s="1693">
        <f t="shared" si="25"/>
        <v>0</v>
      </c>
      <c r="N154" s="1693">
        <f t="shared" si="25"/>
        <v>0</v>
      </c>
      <c r="O154" s="1693">
        <f t="shared" si="25"/>
        <v>0</v>
      </c>
      <c r="P154" s="1693"/>
      <c r="Q154" s="989"/>
      <c r="R154" s="989"/>
      <c r="S154" s="989"/>
      <c r="T154" s="1862">
        <f t="shared" si="22"/>
        <v>0</v>
      </c>
    </row>
    <row r="155" spans="1:20" ht="22.2" hidden="1" customHeight="1">
      <c r="A155" s="1448">
        <f>COUNTIF($C$12:C155,"x")</f>
        <v>1</v>
      </c>
      <c r="B155" s="1453" t="s">
        <v>635</v>
      </c>
      <c r="C155" s="60" t="str">
        <f t="shared" si="20"/>
        <v xml:space="preserve"> </v>
      </c>
      <c r="D155" s="1416"/>
      <c r="E155" s="984" t="str">
        <f>VLOOKUP($B155,DG!A:C,2,)</f>
        <v>02.1482</v>
      </c>
      <c r="F155" s="985" t="str">
        <f>VLOOKUP($B155,DG!A:C,3,)</f>
        <v>V/c dụng cụ thi công vào vị trí (cự ly &lt;=100m)</v>
      </c>
      <c r="G155" s="984" t="str">
        <f>VLOOKUP($B155,DG!A:D,4,0)</f>
        <v>tấn</v>
      </c>
      <c r="H155" s="1694"/>
      <c r="I155" s="1694"/>
      <c r="J155" s="1694"/>
      <c r="K155" s="1694"/>
      <c r="L155" s="1694"/>
      <c r="M155" s="1694"/>
      <c r="N155" s="1694"/>
      <c r="O155" s="1694"/>
      <c r="P155" s="1694"/>
      <c r="Q155" s="991"/>
      <c r="R155" s="991"/>
      <c r="S155" s="991"/>
      <c r="T155" s="1862">
        <f t="shared" si="22"/>
        <v>0</v>
      </c>
    </row>
    <row r="156" spans="1:20" ht="22.2" hidden="1" customHeight="1">
      <c r="A156" s="1448">
        <f>COUNTIF($C$12:C156,"x")</f>
        <v>1</v>
      </c>
      <c r="B156" s="1452" t="s">
        <v>695</v>
      </c>
      <c r="C156" s="59" t="str">
        <f t="shared" si="20"/>
        <v xml:space="preserve"> </v>
      </c>
      <c r="D156" s="1412"/>
      <c r="E156" s="981"/>
      <c r="F156" s="1276" t="s">
        <v>2342</v>
      </c>
      <c r="G156" s="982" t="s">
        <v>2327</v>
      </c>
      <c r="H156" s="1691">
        <f>SUM(I156:O156)</f>
        <v>0</v>
      </c>
      <c r="I156" s="1692"/>
      <c r="J156" s="1692"/>
      <c r="K156" s="1692">
        <f>IFERROR(HLOOKUP(B156,pp3p1m!$1:$3,2,0),0)</f>
        <v>0</v>
      </c>
      <c r="L156" s="1692">
        <f>IFERROR(HLOOKUP(chitiet!B156,pp1p!$1:$3,3,0),0)</f>
        <v>0</v>
      </c>
      <c r="M156" s="1692"/>
      <c r="N156" s="1692"/>
      <c r="O156" s="1692"/>
      <c r="P156" s="2674">
        <f>T156</f>
        <v>0</v>
      </c>
      <c r="Q156" s="983">
        <f>IF(P156&gt;H156,P156-H156,0)</f>
        <v>0</v>
      </c>
      <c r="R156" s="983">
        <f>IF(H156&gt;P156,H156-P156,0)</f>
        <v>0</v>
      </c>
      <c r="S156" s="983"/>
      <c r="T156" s="1862">
        <f>IFERROR(HLOOKUP(B156,pp1p!$1:$3,3,0),0)+IFERROR(HLOOKUP(B156,pp3p1m!$1:$3,3,0),0)</f>
        <v>0</v>
      </c>
    </row>
    <row r="157" spans="1:20" ht="22.2" hidden="1" customHeight="1">
      <c r="A157" s="1448">
        <f>COUNTIF($C$12:C157,"x")</f>
        <v>1</v>
      </c>
      <c r="B157" s="1455" t="s">
        <v>636</v>
      </c>
      <c r="C157" s="60" t="str">
        <f t="shared" si="20"/>
        <v xml:space="preserve"> </v>
      </c>
      <c r="D157" s="1415">
        <v>1</v>
      </c>
      <c r="E157" s="980" t="str">
        <f>VLOOKUP($B157,DG!A:D,DG!$B$2,)</f>
        <v>04.4001</v>
      </c>
      <c r="F157" s="992" t="str">
        <f>VLOOKUP($B157,DG!A:D,DG!$C$2,)</f>
        <v>Đà cản BTCT 1,2m</v>
      </c>
      <c r="G157" s="980" t="str">
        <f>VLOOKUP($B157,DG!A:D,DG!$D$2,)</f>
        <v>cái</v>
      </c>
      <c r="H157" s="1693">
        <f t="shared" ref="H157:O158" si="26">H156*$D157</f>
        <v>0</v>
      </c>
      <c r="I157" s="1693">
        <f t="shared" si="26"/>
        <v>0</v>
      </c>
      <c r="J157" s="1693">
        <f t="shared" si="26"/>
        <v>0</v>
      </c>
      <c r="K157" s="1693">
        <f t="shared" si="26"/>
        <v>0</v>
      </c>
      <c r="L157" s="1693">
        <f t="shared" si="26"/>
        <v>0</v>
      </c>
      <c r="M157" s="1693">
        <f t="shared" si="26"/>
        <v>0</v>
      </c>
      <c r="N157" s="1693">
        <f t="shared" si="26"/>
        <v>0</v>
      </c>
      <c r="O157" s="1693">
        <f t="shared" si="26"/>
        <v>0</v>
      </c>
      <c r="P157" s="1693"/>
      <c r="Q157" s="989"/>
      <c r="R157" s="989"/>
      <c r="S157" s="989"/>
      <c r="T157" s="1862">
        <f t="shared" si="22"/>
        <v>0</v>
      </c>
    </row>
    <row r="158" spans="1:20" ht="22.2" hidden="1" customHeight="1">
      <c r="A158" s="1448">
        <f>COUNTIF($C$12:C158,"x")</f>
        <v>1</v>
      </c>
      <c r="B158" s="1455" t="s">
        <v>566</v>
      </c>
      <c r="C158" s="60" t="str">
        <f t="shared" si="20"/>
        <v xml:space="preserve"> </v>
      </c>
      <c r="D158" s="1415">
        <v>1</v>
      </c>
      <c r="E158" s="980"/>
      <c r="F158" s="992" t="str">
        <f>VLOOKUP($B158,DG!A:D,DG!$C$2,)</f>
        <v>Boulon 22x650+ 2 long đền vuông D24-50x50x3/Zn</v>
      </c>
      <c r="G158" s="980" t="str">
        <f>VLOOKUP($B158,DG!A:D,DG!$D$2,)</f>
        <v>bộ</v>
      </c>
      <c r="H158" s="1693">
        <f t="shared" si="26"/>
        <v>0</v>
      </c>
      <c r="I158" s="1693">
        <f t="shared" si="26"/>
        <v>0</v>
      </c>
      <c r="J158" s="1693">
        <f t="shared" si="26"/>
        <v>0</v>
      </c>
      <c r="K158" s="1693">
        <f t="shared" si="26"/>
        <v>0</v>
      </c>
      <c r="L158" s="1693">
        <f t="shared" si="26"/>
        <v>0</v>
      </c>
      <c r="M158" s="1693">
        <f t="shared" si="26"/>
        <v>0</v>
      </c>
      <c r="N158" s="1693">
        <f t="shared" si="26"/>
        <v>0</v>
      </c>
      <c r="O158" s="1693">
        <f t="shared" si="26"/>
        <v>0</v>
      </c>
      <c r="P158" s="1693"/>
      <c r="Q158" s="989"/>
      <c r="R158" s="989"/>
      <c r="S158" s="989"/>
      <c r="T158" s="1862">
        <f t="shared" si="22"/>
        <v>0</v>
      </c>
    </row>
    <row r="159" spans="1:20" ht="22.2" hidden="1" customHeight="1">
      <c r="A159" s="1448">
        <f>COUNTIF($C$12:C159,"x")</f>
        <v>1</v>
      </c>
      <c r="B159" s="1455" t="s">
        <v>639</v>
      </c>
      <c r="C159" s="60" t="str">
        <f t="shared" si="20"/>
        <v xml:space="preserve"> </v>
      </c>
      <c r="D159" s="1414">
        <v>0.78</v>
      </c>
      <c r="E159" s="980" t="str">
        <f>VLOOKUP($B159,DG!A:D,DG!$B$2,)</f>
        <v>03.1013</v>
      </c>
      <c r="F159" s="985" t="str">
        <f>VLOOKUP($B159,DG!A:D,DG!$C$2,)</f>
        <v>Đào hố móng đất cấp 3 sâu &gt;1m</v>
      </c>
      <c r="G159" s="980" t="str">
        <f>VLOOKUP($B159,DG!A:D,DG!$D$2,)</f>
        <v>m3</v>
      </c>
      <c r="H159" s="1693"/>
      <c r="I159" s="1693"/>
      <c r="J159" s="1693"/>
      <c r="K159" s="1693"/>
      <c r="L159" s="1693"/>
      <c r="M159" s="1693"/>
      <c r="N159" s="1693"/>
      <c r="O159" s="1693"/>
      <c r="P159" s="1693"/>
      <c r="Q159" s="994"/>
      <c r="R159" s="994"/>
      <c r="S159" s="994"/>
      <c r="T159" s="1862">
        <f t="shared" si="22"/>
        <v>0</v>
      </c>
    </row>
    <row r="160" spans="1:20" ht="22.2" hidden="1" customHeight="1">
      <c r="A160" s="1448">
        <f>COUNTIF($C$12:C160,"x")</f>
        <v>1</v>
      </c>
      <c r="B160" s="1455" t="s">
        <v>21</v>
      </c>
      <c r="C160" s="60" t="str">
        <f t="shared" si="20"/>
        <v xml:space="preserve"> </v>
      </c>
      <c r="D160" s="1414">
        <f>+D159</f>
        <v>0.78</v>
      </c>
      <c r="E160" s="980" t="str">
        <f>VLOOKUP($B160,DG!A:D,DG!$B$2,)</f>
        <v>03.4113</v>
      </c>
      <c r="F160" s="985" t="str">
        <f>VLOOKUP($B160,DG!A:D,DG!$C$2,)</f>
        <v>Đắp đất hố móng, độ chặt k=0,95</v>
      </c>
      <c r="G160" s="980" t="str">
        <f>VLOOKUP($B160,DG!A:D,DG!$D$2,)</f>
        <v>m3</v>
      </c>
      <c r="H160" s="1693"/>
      <c r="I160" s="1693"/>
      <c r="J160" s="1693"/>
      <c r="K160" s="1693"/>
      <c r="L160" s="1693"/>
      <c r="M160" s="1693"/>
      <c r="N160" s="1693"/>
      <c r="O160" s="1693"/>
      <c r="P160" s="1693"/>
      <c r="Q160" s="994"/>
      <c r="R160" s="994"/>
      <c r="S160" s="994"/>
      <c r="T160" s="1862">
        <f t="shared" si="22"/>
        <v>0</v>
      </c>
    </row>
    <row r="161" spans="1:20" ht="22.2" hidden="1" customHeight="1">
      <c r="A161" s="1448">
        <f>COUNTIF($C$12:C161,"x")</f>
        <v>1</v>
      </c>
      <c r="B161" s="1455" t="s">
        <v>637</v>
      </c>
      <c r="C161" s="60" t="str">
        <f t="shared" si="20"/>
        <v xml:space="preserve"> </v>
      </c>
      <c r="D161" s="1414"/>
      <c r="E161" s="980" t="str">
        <f>VLOOKUP($B161,DG!A:D,DG!$B$2,)</f>
        <v>02.1123</v>
      </c>
      <c r="F161" s="985" t="str">
        <f>VLOOKUP($B161,DG!A:D,DG!$C$2,)</f>
        <v>Bốc dỡ đà cản, đế néo</v>
      </c>
      <c r="G161" s="980" t="str">
        <f>VLOOKUP($B161,DG!A:D,DG!$D$2,)</f>
        <v>tấn</v>
      </c>
      <c r="H161" s="1693"/>
      <c r="I161" s="1693"/>
      <c r="J161" s="1693"/>
      <c r="K161" s="1693"/>
      <c r="L161" s="1693"/>
      <c r="M161" s="1693"/>
      <c r="N161" s="1693"/>
      <c r="O161" s="1693"/>
      <c r="P161" s="1693"/>
      <c r="Q161" s="989"/>
      <c r="R161" s="989"/>
      <c r="S161" s="989"/>
      <c r="T161" s="1862">
        <f t="shared" si="22"/>
        <v>0</v>
      </c>
    </row>
    <row r="162" spans="1:20" ht="22.2" hidden="1" customHeight="1">
      <c r="A162" s="1448">
        <f>COUNTIF($C$12:C162,"x")</f>
        <v>1</v>
      </c>
      <c r="B162" s="1464" t="s">
        <v>2063</v>
      </c>
      <c r="C162" s="60" t="str">
        <f t="shared" si="20"/>
        <v xml:space="preserve"> </v>
      </c>
      <c r="D162" s="1414"/>
      <c r="E162" s="980" t="str">
        <f>VLOOKUP($B162,DG!A:C,2,)</f>
        <v>02.1451</v>
      </c>
      <c r="F162" s="985" t="str">
        <f>VLOOKUP($B162,DG!A:C,3,)</f>
        <v>V/c đà cản vào vị trí (cự ly &lt;=100m)</v>
      </c>
      <c r="G162" s="980" t="str">
        <f>VLOOKUP($B162,DG!A:D,4,0)</f>
        <v>tấn</v>
      </c>
      <c r="H162" s="1693"/>
      <c r="I162" s="1693"/>
      <c r="J162" s="1693"/>
      <c r="K162" s="1693"/>
      <c r="L162" s="1693"/>
      <c r="M162" s="1693"/>
      <c r="N162" s="1693"/>
      <c r="O162" s="1693"/>
      <c r="P162" s="1693"/>
      <c r="Q162" s="994"/>
      <c r="R162" s="994"/>
      <c r="S162" s="994"/>
      <c r="T162" s="1862">
        <f t="shared" si="22"/>
        <v>0</v>
      </c>
    </row>
    <row r="163" spans="1:20" ht="22.2" hidden="1" customHeight="1">
      <c r="A163" s="1448">
        <f>COUNTIF($C$12:C163,"x")</f>
        <v>1</v>
      </c>
      <c r="B163" s="1464" t="s">
        <v>635</v>
      </c>
      <c r="C163" s="60" t="str">
        <f t="shared" si="20"/>
        <v xml:space="preserve"> </v>
      </c>
      <c r="D163" s="1414"/>
      <c r="E163" s="980" t="str">
        <f>VLOOKUP($B163,DG!A:C,2,)</f>
        <v>02.1482</v>
      </c>
      <c r="F163" s="985" t="str">
        <f>VLOOKUP($B163,DG!A:C,3,)</f>
        <v>V/c dụng cụ thi công vào vị trí (cự ly &lt;=100m)</v>
      </c>
      <c r="G163" s="980" t="str">
        <f>VLOOKUP($B163,DG!A:D,4,0)</f>
        <v>tấn</v>
      </c>
      <c r="H163" s="1693"/>
      <c r="I163" s="1693"/>
      <c r="J163" s="1693"/>
      <c r="K163" s="1693"/>
      <c r="L163" s="1693"/>
      <c r="M163" s="1693"/>
      <c r="N163" s="1693"/>
      <c r="O163" s="1693"/>
      <c r="P163" s="1693"/>
      <c r="Q163" s="994"/>
      <c r="R163" s="994"/>
      <c r="S163" s="994"/>
      <c r="T163" s="1862">
        <f t="shared" si="22"/>
        <v>0</v>
      </c>
    </row>
    <row r="164" spans="1:20" ht="22.2" hidden="1" customHeight="1">
      <c r="A164" s="1448">
        <f>COUNTIF($C$12:C164,"x")</f>
        <v>1</v>
      </c>
      <c r="B164" s="1452" t="s">
        <v>994</v>
      </c>
      <c r="C164" s="59" t="str">
        <f t="shared" si="20"/>
        <v xml:space="preserve"> </v>
      </c>
      <c r="D164" s="1412"/>
      <c r="E164" s="981"/>
      <c r="F164" s="1276" t="s">
        <v>2343</v>
      </c>
      <c r="G164" s="982" t="s">
        <v>2327</v>
      </c>
      <c r="H164" s="1691">
        <f>SUM(I164:O164)</f>
        <v>0</v>
      </c>
      <c r="I164" s="1692"/>
      <c r="J164" s="1692"/>
      <c r="K164" s="1692">
        <f>IFERROR(HLOOKUP(B164,pp3p1m!$1:$3,2,0),0)</f>
        <v>0</v>
      </c>
      <c r="L164" s="1692">
        <f>IFERROR(HLOOKUP(chitiet!B164,pp1p!$1:$3,3,0),0)</f>
        <v>0</v>
      </c>
      <c r="M164" s="1692"/>
      <c r="N164" s="1692"/>
      <c r="O164" s="1692"/>
      <c r="P164" s="2674">
        <f>T164</f>
        <v>0</v>
      </c>
      <c r="Q164" s="983">
        <f>IF(P164&gt;H164,P164-H164,0)</f>
        <v>0</v>
      </c>
      <c r="R164" s="983">
        <f>IF(H164&gt;P164,H164-P164,0)</f>
        <v>0</v>
      </c>
      <c r="S164" s="983"/>
      <c r="T164" s="1862">
        <f>IFERROR(HLOOKUP(B164,pp1p!$1:$3,3,0),0)+IFERROR(HLOOKUP(B164,pp3p1m!$1:$3,3,0),0)</f>
        <v>0</v>
      </c>
    </row>
    <row r="165" spans="1:20" ht="22.2" hidden="1" customHeight="1">
      <c r="A165" s="1448">
        <f>COUNTIF($C$12:C165,"x")</f>
        <v>1</v>
      </c>
      <c r="B165" s="1455" t="s">
        <v>1575</v>
      </c>
      <c r="C165" s="60" t="str">
        <f t="shared" si="20"/>
        <v xml:space="preserve"> </v>
      </c>
      <c r="D165" s="1415">
        <v>1</v>
      </c>
      <c r="E165" s="980" t="str">
        <f>VLOOKUP($B165,DG!A:D,DG!$B$2,)</f>
        <v>04.3801</v>
      </c>
      <c r="F165" s="992" t="str">
        <f>VLOOKUP($B165,DG!A:D,DG!$C$2,)</f>
        <v>Đà cản BTCT 1,5m</v>
      </c>
      <c r="G165" s="980" t="str">
        <f>VLOOKUP($B165,DG!A:D,DG!$D$2,)</f>
        <v>cái</v>
      </c>
      <c r="H165" s="1693">
        <f t="shared" ref="H165:N166" si="27">H$164*$D165</f>
        <v>0</v>
      </c>
      <c r="I165" s="1693">
        <f t="shared" si="27"/>
        <v>0</v>
      </c>
      <c r="J165" s="1693">
        <f t="shared" si="27"/>
        <v>0</v>
      </c>
      <c r="K165" s="1693">
        <f t="shared" si="27"/>
        <v>0</v>
      </c>
      <c r="L165" s="1693">
        <f t="shared" si="27"/>
        <v>0</v>
      </c>
      <c r="M165" s="1693">
        <f t="shared" si="27"/>
        <v>0</v>
      </c>
      <c r="N165" s="1693">
        <f t="shared" si="27"/>
        <v>0</v>
      </c>
      <c r="O165" s="1693"/>
      <c r="P165" s="1693"/>
      <c r="Q165" s="989"/>
      <c r="R165" s="989"/>
      <c r="S165" s="989"/>
      <c r="T165" s="1862">
        <f t="shared" si="22"/>
        <v>0</v>
      </c>
    </row>
    <row r="166" spans="1:20" ht="22.2" hidden="1" customHeight="1">
      <c r="A166" s="1448">
        <f>COUNTIF($C$12:C166,"x")</f>
        <v>1</v>
      </c>
      <c r="B166" s="1455" t="s">
        <v>566</v>
      </c>
      <c r="C166" s="60" t="str">
        <f t="shared" si="20"/>
        <v xml:space="preserve"> </v>
      </c>
      <c r="D166" s="1415">
        <v>1</v>
      </c>
      <c r="E166" s="980"/>
      <c r="F166" s="992" t="str">
        <f>VLOOKUP($B166,DG!A:D,DG!$C$2,)</f>
        <v>Boulon 22x650+ 2 long đền vuông D24-50x50x3/Zn</v>
      </c>
      <c r="G166" s="980" t="str">
        <f>VLOOKUP($B166,DG!A:D,DG!$D$2,)</f>
        <v>bộ</v>
      </c>
      <c r="H166" s="1693">
        <f t="shared" si="27"/>
        <v>0</v>
      </c>
      <c r="I166" s="1693">
        <f t="shared" si="27"/>
        <v>0</v>
      </c>
      <c r="J166" s="1693">
        <f t="shared" si="27"/>
        <v>0</v>
      </c>
      <c r="K166" s="1693">
        <f t="shared" si="27"/>
        <v>0</v>
      </c>
      <c r="L166" s="1693">
        <f t="shared" si="27"/>
        <v>0</v>
      </c>
      <c r="M166" s="1693">
        <f t="shared" si="27"/>
        <v>0</v>
      </c>
      <c r="N166" s="1693">
        <f t="shared" si="27"/>
        <v>0</v>
      </c>
      <c r="O166" s="1693"/>
      <c r="P166" s="1693"/>
      <c r="Q166" s="989"/>
      <c r="R166" s="989"/>
      <c r="S166" s="989"/>
      <c r="T166" s="1862">
        <f t="shared" si="22"/>
        <v>0</v>
      </c>
    </row>
    <row r="167" spans="1:20" ht="22.2" hidden="1" customHeight="1">
      <c r="A167" s="1448">
        <f>COUNTIF($C$12:C167,"x")</f>
        <v>1</v>
      </c>
      <c r="B167" s="1455" t="s">
        <v>1812</v>
      </c>
      <c r="C167" s="60" t="str">
        <f t="shared" si="20"/>
        <v xml:space="preserve"> </v>
      </c>
      <c r="D167" s="1413">
        <v>0.2</v>
      </c>
      <c r="E167" s="980">
        <f>VLOOKUP($B167,DG!A:D,DG!$B$2,)</f>
        <v>0</v>
      </c>
      <c r="F167" s="985" t="str">
        <f>VLOOKUP($B167,DG!A:D,DG!$C$2,)</f>
        <v>Đá 2x4</v>
      </c>
      <c r="G167" s="980" t="str">
        <f>VLOOKUP($B167,DG!A:D,DG!$D$2,)</f>
        <v>m3</v>
      </c>
      <c r="H167" s="1693">
        <f t="shared" ref="H167:N167" si="28">H$18*$D167</f>
        <v>0</v>
      </c>
      <c r="I167" s="1693">
        <f t="shared" si="28"/>
        <v>0</v>
      </c>
      <c r="J167" s="1693">
        <f t="shared" si="28"/>
        <v>0</v>
      </c>
      <c r="K167" s="1693">
        <f t="shared" si="28"/>
        <v>0</v>
      </c>
      <c r="L167" s="1693">
        <f t="shared" si="28"/>
        <v>0</v>
      </c>
      <c r="M167" s="1693">
        <f t="shared" si="28"/>
        <v>0</v>
      </c>
      <c r="N167" s="1693">
        <f t="shared" si="28"/>
        <v>0</v>
      </c>
      <c r="O167" s="1693"/>
      <c r="P167" s="1693"/>
      <c r="Q167" s="989"/>
      <c r="R167" s="989"/>
      <c r="S167" s="989"/>
      <c r="T167" s="1862">
        <f t="shared" si="22"/>
        <v>0</v>
      </c>
    </row>
    <row r="168" spans="1:20" ht="22.2" hidden="1" customHeight="1">
      <c r="A168" s="1448">
        <f>COUNTIF($C$12:C168,"x")</f>
        <v>1</v>
      </c>
      <c r="B168" s="1455" t="s">
        <v>639</v>
      </c>
      <c r="C168" s="60" t="str">
        <f t="shared" si="20"/>
        <v xml:space="preserve"> </v>
      </c>
      <c r="D168" s="1414">
        <v>1.77</v>
      </c>
      <c r="E168" s="980" t="str">
        <f>VLOOKUP($B168,DG!A:D,DG!$B$2,)</f>
        <v>03.1013</v>
      </c>
      <c r="F168" s="985" t="str">
        <f>VLOOKUP($B168,DG!A:D,DG!$C$2,)</f>
        <v>Đào hố móng đất cấp 3 sâu &gt;1m</v>
      </c>
      <c r="G168" s="980" t="str">
        <f>VLOOKUP($B168,DG!A:D,DG!$D$2,)</f>
        <v>m3</v>
      </c>
      <c r="H168" s="1693"/>
      <c r="I168" s="1693"/>
      <c r="J168" s="1693"/>
      <c r="K168" s="1693"/>
      <c r="L168" s="1693"/>
      <c r="M168" s="1693"/>
      <c r="N168" s="1693"/>
      <c r="O168" s="1693"/>
      <c r="P168" s="1693"/>
      <c r="Q168" s="994"/>
      <c r="R168" s="994"/>
      <c r="S168" s="994"/>
      <c r="T168" s="1862">
        <f t="shared" si="22"/>
        <v>0</v>
      </c>
    </row>
    <row r="169" spans="1:20" ht="22.2" hidden="1" customHeight="1">
      <c r="A169" s="1448">
        <f>COUNTIF($C$12:C169,"x")</f>
        <v>1</v>
      </c>
      <c r="B169" s="1455" t="s">
        <v>21</v>
      </c>
      <c r="C169" s="60" t="str">
        <f t="shared" si="20"/>
        <v xml:space="preserve"> </v>
      </c>
      <c r="D169" s="1414">
        <v>1.9319999999999999</v>
      </c>
      <c r="E169" s="980" t="str">
        <f>VLOOKUP($B169,DG!A:D,DG!$B$2,)</f>
        <v>03.4113</v>
      </c>
      <c r="F169" s="985" t="str">
        <f>VLOOKUP($B169,DG!A:D,DG!$C$2,)</f>
        <v>Đắp đất hố móng, độ chặt k=0,95</v>
      </c>
      <c r="G169" s="980" t="str">
        <f>VLOOKUP($B169,DG!A:D,DG!$D$2,)</f>
        <v>m3</v>
      </c>
      <c r="H169" s="1693"/>
      <c r="I169" s="1693"/>
      <c r="J169" s="1693"/>
      <c r="K169" s="1693"/>
      <c r="L169" s="1693"/>
      <c r="M169" s="1693"/>
      <c r="N169" s="1693"/>
      <c r="O169" s="1693"/>
      <c r="P169" s="1693"/>
      <c r="Q169" s="994"/>
      <c r="R169" s="994"/>
      <c r="S169" s="994"/>
      <c r="T169" s="1862">
        <f t="shared" si="22"/>
        <v>0</v>
      </c>
    </row>
    <row r="170" spans="1:20" ht="22.2" hidden="1" customHeight="1">
      <c r="A170" s="1448">
        <f>COUNTIF($C$12:C170,"x")</f>
        <v>1</v>
      </c>
      <c r="B170" s="1455" t="s">
        <v>637</v>
      </c>
      <c r="C170" s="60" t="str">
        <f t="shared" si="20"/>
        <v xml:space="preserve"> </v>
      </c>
      <c r="D170" s="1414">
        <v>0.255</v>
      </c>
      <c r="E170" s="980" t="str">
        <f>VLOOKUP($B170,DG!A:D,DG!$B$2,)</f>
        <v>02.1123</v>
      </c>
      <c r="F170" s="985" t="str">
        <f>VLOOKUP($B170,DG!A:D,DG!$C$2,)</f>
        <v>Bốc dỡ đà cản, đế néo</v>
      </c>
      <c r="G170" s="980" t="str">
        <f>VLOOKUP($B170,DG!A:D,DG!$D$2,)</f>
        <v>tấn</v>
      </c>
      <c r="H170" s="1693"/>
      <c r="I170" s="1693"/>
      <c r="J170" s="1693"/>
      <c r="K170" s="1693"/>
      <c r="L170" s="1693"/>
      <c r="M170" s="1693"/>
      <c r="N170" s="1693"/>
      <c r="O170" s="1693"/>
      <c r="P170" s="1693"/>
      <c r="Q170" s="989"/>
      <c r="R170" s="989"/>
      <c r="S170" s="989"/>
      <c r="T170" s="1862">
        <f t="shared" si="22"/>
        <v>0</v>
      </c>
    </row>
    <row r="171" spans="1:20" ht="22.2" hidden="1" customHeight="1">
      <c r="A171" s="1448">
        <f>COUNTIF($C$12:C171,"x")</f>
        <v>1</v>
      </c>
      <c r="B171" s="1464" t="s">
        <v>2063</v>
      </c>
      <c r="C171" s="60" t="str">
        <f t="shared" si="20"/>
        <v xml:space="preserve"> </v>
      </c>
      <c r="D171" s="1414"/>
      <c r="E171" s="980" t="str">
        <f>VLOOKUP($B171,DG!A:C,2,)</f>
        <v>02.1451</v>
      </c>
      <c r="F171" s="985" t="str">
        <f>VLOOKUP($B171,DG!A:C,3,)</f>
        <v>V/c đà cản vào vị trí (cự ly &lt;=100m)</v>
      </c>
      <c r="G171" s="980" t="str">
        <f>VLOOKUP($B171,DG!A:D,4,0)</f>
        <v>tấn</v>
      </c>
      <c r="H171" s="1693"/>
      <c r="I171" s="1693"/>
      <c r="J171" s="1693"/>
      <c r="K171" s="1693"/>
      <c r="L171" s="1693"/>
      <c r="M171" s="1693"/>
      <c r="N171" s="1693"/>
      <c r="O171" s="1693"/>
      <c r="P171" s="1693"/>
      <c r="Q171" s="994"/>
      <c r="R171" s="994"/>
      <c r="S171" s="994"/>
      <c r="T171" s="1862">
        <f t="shared" si="22"/>
        <v>0</v>
      </c>
    </row>
    <row r="172" spans="1:20" ht="22.2" hidden="1" customHeight="1">
      <c r="A172" s="1448">
        <f>COUNTIF($C$12:C172,"x")</f>
        <v>1</v>
      </c>
      <c r="B172" s="1464" t="s">
        <v>674</v>
      </c>
      <c r="C172" s="60" t="str">
        <f t="shared" si="20"/>
        <v xml:space="preserve"> </v>
      </c>
      <c r="D172" s="1413"/>
      <c r="E172" s="980" t="str">
        <f>VLOOKUP($B172,DG!A:C,2,)</f>
        <v>02.1241</v>
      </c>
      <c r="F172" s="985" t="str">
        <f>VLOOKUP($B172,DG!A:C,3,)</f>
        <v>V/c đá dăm ( cự ly &lt;=100m)</v>
      </c>
      <c r="G172" s="980" t="str">
        <f>VLOOKUP($B172,DG!A:D,4,0)</f>
        <v>m3</v>
      </c>
      <c r="H172" s="1693"/>
      <c r="I172" s="1693"/>
      <c r="J172" s="1693"/>
      <c r="K172" s="1693"/>
      <c r="L172" s="1693"/>
      <c r="M172" s="1693"/>
      <c r="N172" s="1693"/>
      <c r="O172" s="1693"/>
      <c r="P172" s="1693"/>
      <c r="Q172" s="994"/>
      <c r="R172" s="994"/>
      <c r="S172" s="994"/>
      <c r="T172" s="1862">
        <f t="shared" si="22"/>
        <v>0</v>
      </c>
    </row>
    <row r="173" spans="1:20" ht="22.2" hidden="1" customHeight="1">
      <c r="A173" s="1448">
        <f>COUNTIF($C$12:C173,"x")</f>
        <v>1</v>
      </c>
      <c r="B173" s="1464" t="s">
        <v>635</v>
      </c>
      <c r="C173" s="60" t="str">
        <f t="shared" si="20"/>
        <v xml:space="preserve"> </v>
      </c>
      <c r="D173" s="1414"/>
      <c r="E173" s="980" t="str">
        <f>VLOOKUP($B173,DG!A:C,2,)</f>
        <v>02.1482</v>
      </c>
      <c r="F173" s="985" t="str">
        <f>VLOOKUP($B173,DG!A:C,3,)</f>
        <v>V/c dụng cụ thi công vào vị trí (cự ly &lt;=100m)</v>
      </c>
      <c r="G173" s="980" t="str">
        <f>VLOOKUP($B173,DG!A:D,4,0)</f>
        <v>tấn</v>
      </c>
      <c r="H173" s="1693"/>
      <c r="I173" s="1693"/>
      <c r="J173" s="1693"/>
      <c r="K173" s="1693"/>
      <c r="L173" s="1693"/>
      <c r="M173" s="1693"/>
      <c r="N173" s="1693"/>
      <c r="O173" s="1693"/>
      <c r="P173" s="1693"/>
      <c r="Q173" s="994"/>
      <c r="R173" s="994"/>
      <c r="S173" s="994"/>
      <c r="T173" s="1862">
        <f t="shared" si="22"/>
        <v>0</v>
      </c>
    </row>
    <row r="174" spans="1:20" ht="22.2" hidden="1" customHeight="1">
      <c r="A174" s="1448">
        <f>COUNTIF($C$12:C174,"x")</f>
        <v>1</v>
      </c>
      <c r="B174" s="1452" t="s">
        <v>2303</v>
      </c>
      <c r="C174" s="59" t="str">
        <f t="shared" si="20"/>
        <v xml:space="preserve"> </v>
      </c>
      <c r="D174" s="1412"/>
      <c r="E174" s="981"/>
      <c r="F174" s="1276" t="s">
        <v>2344</v>
      </c>
      <c r="G174" s="982" t="s">
        <v>2327</v>
      </c>
      <c r="H174" s="1691">
        <f>SUM(I174:O174)</f>
        <v>0</v>
      </c>
      <c r="I174" s="1692"/>
      <c r="J174" s="1692"/>
      <c r="K174" s="1692">
        <f>IFERROR(HLOOKUP(B174,pp3p1m!$1:$3,2,0),0)</f>
        <v>0</v>
      </c>
      <c r="L174" s="1692">
        <f>IFERROR(HLOOKUP(chitiet!B174,pp1p!$1:$3,3,0),0)</f>
        <v>0</v>
      </c>
      <c r="M174" s="1692"/>
      <c r="N174" s="1692"/>
      <c r="O174" s="1692"/>
      <c r="P174" s="2674">
        <f>T174</f>
        <v>0</v>
      </c>
      <c r="Q174" s="983">
        <f>IF(P174&gt;H174,P174-H174,0)</f>
        <v>0</v>
      </c>
      <c r="R174" s="983">
        <f>IF(H174&gt;P174,H174-P174,0)</f>
        <v>0</v>
      </c>
      <c r="S174" s="983"/>
      <c r="T174" s="1862">
        <f>IFERROR(HLOOKUP(B174,pp1p!$1:$3,3,0),0)+IFERROR(HLOOKUP(B174,pp3p1m!$1:$3,3,0),0)</f>
        <v>0</v>
      </c>
    </row>
    <row r="175" spans="1:20" ht="22.2" hidden="1" customHeight="1">
      <c r="A175" s="1448">
        <f>COUNTIF($C$12:C175,"x")</f>
        <v>1</v>
      </c>
      <c r="B175" s="1453" t="s">
        <v>751</v>
      </c>
      <c r="C175" s="60" t="str">
        <f t="shared" si="20"/>
        <v xml:space="preserve"> </v>
      </c>
      <c r="D175" s="1419">
        <v>4.5999999999999996</v>
      </c>
      <c r="E175" s="984">
        <f>VLOOKUP($B175,DG!A:D,DG!$B$2,)</f>
        <v>0</v>
      </c>
      <c r="F175" s="985" t="str">
        <f>VLOOKUP($B175,DG!A:D,DG!$C$2,)</f>
        <v>Ximăng (PC40)</v>
      </c>
      <c r="G175" s="984" t="str">
        <f>VLOOKUP($B175,DG!A:D,DG!$D$2,)</f>
        <v>kg</v>
      </c>
      <c r="H175" s="1694">
        <f>$H$174*$D175</f>
        <v>0</v>
      </c>
      <c r="I175" s="1694">
        <f>I$511*$D175</f>
        <v>0</v>
      </c>
      <c r="J175" s="1694">
        <f>J$511*$D175</f>
        <v>0</v>
      </c>
      <c r="K175" s="1694">
        <f>K$339*$D175</f>
        <v>0</v>
      </c>
      <c r="L175" s="1694">
        <f>L$511*$D175</f>
        <v>0</v>
      </c>
      <c r="M175" s="1694">
        <f>M$511*$D175</f>
        <v>0</v>
      </c>
      <c r="N175" s="1694">
        <f>N$511*$D175</f>
        <v>0</v>
      </c>
      <c r="O175" s="1694"/>
      <c r="P175" s="1694"/>
      <c r="Q175" s="988"/>
      <c r="R175" s="988"/>
      <c r="S175" s="988"/>
      <c r="T175" s="1862">
        <f t="shared" si="22"/>
        <v>0</v>
      </c>
    </row>
    <row r="176" spans="1:20" ht="22.2" hidden="1" customHeight="1">
      <c r="A176" s="1448">
        <f>COUNTIF($C$12:C176,"x")</f>
        <v>1</v>
      </c>
      <c r="B176" s="1454" t="s">
        <v>4414</v>
      </c>
      <c r="C176" s="60" t="str">
        <f>IF(OR(P176&lt;&gt;0,H176&lt;&gt;0),"x"," ")</f>
        <v xml:space="preserve"> </v>
      </c>
      <c r="D176" s="1416">
        <v>8.0000000000000002E-3</v>
      </c>
      <c r="E176" s="984">
        <f>VLOOKUP($B176,DG!A:D,DG!$B$2,)</f>
        <v>0</v>
      </c>
      <c r="F176" s="985" t="str">
        <f>VLOOKUP($B176,DG!A:D,DG!$C$2,)</f>
        <v>Cát vàng</v>
      </c>
      <c r="G176" s="984" t="str">
        <f>VLOOKUP($B176,DG!A:D,DG!$D$2,)</f>
        <v>m3</v>
      </c>
      <c r="H176" s="1694">
        <f>$H$174*$D176</f>
        <v>0</v>
      </c>
      <c r="I176" s="1694"/>
      <c r="J176" s="1694"/>
      <c r="K176" s="1694">
        <f>K$339*$D176</f>
        <v>0</v>
      </c>
      <c r="L176" s="1694"/>
      <c r="M176" s="1694"/>
      <c r="N176" s="1694"/>
      <c r="O176" s="1694"/>
      <c r="P176" s="1694"/>
      <c r="Q176" s="986"/>
      <c r="R176" s="986"/>
      <c r="S176" s="986"/>
      <c r="T176" s="1862">
        <f t="shared" si="22"/>
        <v>0</v>
      </c>
    </row>
    <row r="177" spans="1:20" ht="22.2" hidden="1" customHeight="1">
      <c r="A177" s="1448">
        <f>COUNTIF($C$12:C177,"x")</f>
        <v>1</v>
      </c>
      <c r="B177" s="1453" t="s">
        <v>867</v>
      </c>
      <c r="C177" s="60" t="str">
        <f t="shared" si="20"/>
        <v xml:space="preserve"> </v>
      </c>
      <c r="D177" s="1416">
        <v>1.2999999999999999E-2</v>
      </c>
      <c r="E177" s="984">
        <f>VLOOKUP($B177,DG!A:D,DG!$B$2,)</f>
        <v>0</v>
      </c>
      <c r="F177" s="985" t="str">
        <f>VLOOKUP($B177,DG!A:D,DG!$C$2,)</f>
        <v>Đá 1x2</v>
      </c>
      <c r="G177" s="984" t="str">
        <f>VLOOKUP($B177,DG!A:D,DG!$D$2,)</f>
        <v>m3</v>
      </c>
      <c r="H177" s="1694">
        <f>$H$174*$D177</f>
        <v>0</v>
      </c>
      <c r="I177" s="1694"/>
      <c r="J177" s="1694"/>
      <c r="K177" s="1694">
        <f>K$339*$D177</f>
        <v>0</v>
      </c>
      <c r="L177" s="1694"/>
      <c r="M177" s="1694"/>
      <c r="N177" s="1694"/>
      <c r="O177" s="1694"/>
      <c r="P177" s="1694"/>
      <c r="Q177" s="986"/>
      <c r="R177" s="986"/>
      <c r="S177" s="986"/>
      <c r="T177" s="1862">
        <f t="shared" si="22"/>
        <v>0</v>
      </c>
    </row>
    <row r="178" spans="1:20" ht="22.2" hidden="1" customHeight="1">
      <c r="A178" s="1448">
        <f>COUNTIF($C$12:C178,"x")</f>
        <v>1</v>
      </c>
      <c r="B178" s="1453" t="s">
        <v>2008</v>
      </c>
      <c r="C178" s="60" t="str">
        <f t="shared" si="20"/>
        <v xml:space="preserve"> </v>
      </c>
      <c r="D178" s="1416">
        <v>30</v>
      </c>
      <c r="E178" s="984">
        <f>VLOOKUP($B178,DG!A:D,DG!$B$2,)</f>
        <v>0</v>
      </c>
      <c r="F178" s="990" t="str">
        <f>VLOOKUP($B178,DG!A:D,DG!$C$2,)</f>
        <v>Sắt Ø10</v>
      </c>
      <c r="G178" s="984" t="str">
        <f>VLOOKUP($B178,DG!A:D,DG!$D$2,)</f>
        <v>kg</v>
      </c>
      <c r="H178" s="1694">
        <f>$H$174*$D178</f>
        <v>0</v>
      </c>
      <c r="I178" s="1694"/>
      <c r="J178" s="1694"/>
      <c r="K178" s="1694">
        <f>K$339*$D178</f>
        <v>0</v>
      </c>
      <c r="L178" s="1694"/>
      <c r="M178" s="1694"/>
      <c r="N178" s="1694"/>
      <c r="O178" s="1694"/>
      <c r="P178" s="1694"/>
      <c r="Q178" s="986"/>
      <c r="R178" s="986"/>
      <c r="S178" s="986"/>
      <c r="T178" s="1862">
        <f t="shared" si="22"/>
        <v>0</v>
      </c>
    </row>
    <row r="179" spans="1:20" ht="22.2" hidden="1" customHeight="1">
      <c r="A179" s="1448">
        <f>COUNTIF($C$12:C179,"x")</f>
        <v>1</v>
      </c>
      <c r="B179" s="1453" t="s">
        <v>1425</v>
      </c>
      <c r="C179" s="60" t="str">
        <f t="shared" si="20"/>
        <v xml:space="preserve"> </v>
      </c>
      <c r="D179" s="1416">
        <v>0.65</v>
      </c>
      <c r="E179" s="984">
        <f>VLOOKUP($B179,DG!A:D,DG!$B$2,)</f>
        <v>0</v>
      </c>
      <c r="F179" s="990" t="str">
        <f>VLOOKUP($B179,DG!A:D,DG!$C$2,)</f>
        <v>Kẽm</v>
      </c>
      <c r="G179" s="984" t="str">
        <f>VLOOKUP($B179,DG!A:D,DG!$D$2,)</f>
        <v>kg</v>
      </c>
      <c r="H179" s="1694">
        <f>$H$174*$D179</f>
        <v>0</v>
      </c>
      <c r="I179" s="1694"/>
      <c r="J179" s="1694"/>
      <c r="K179" s="1694">
        <f>K$339*$D179</f>
        <v>0</v>
      </c>
      <c r="L179" s="1694"/>
      <c r="M179" s="1694"/>
      <c r="N179" s="1694"/>
      <c r="O179" s="1694"/>
      <c r="P179" s="1694"/>
      <c r="Q179" s="986"/>
      <c r="R179" s="986"/>
      <c r="S179" s="986"/>
      <c r="T179" s="1862">
        <f t="shared" si="22"/>
        <v>0</v>
      </c>
    </row>
    <row r="180" spans="1:20" ht="22.2" hidden="1" customHeight="1">
      <c r="A180" s="1448">
        <f>COUNTIF($C$12:C180,"x")</f>
        <v>1</v>
      </c>
      <c r="B180" s="1453" t="s">
        <v>1226</v>
      </c>
      <c r="C180" s="60" t="str">
        <f t="shared" si="20"/>
        <v xml:space="preserve"> </v>
      </c>
      <c r="D180" s="1416">
        <v>2.5000000000000001E-2</v>
      </c>
      <c r="E180" s="984" t="str">
        <f>VLOOKUP($B180,DG!A:D,DG!$B$2,)</f>
        <v>03.1113</v>
      </c>
      <c r="F180" s="990" t="str">
        <f>VLOOKUP($B180,DG!A:D,DG!$C$2,)</f>
        <v>Khoan cắt BT bằng máy khoan cằm tay</v>
      </c>
      <c r="G180" s="984" t="str">
        <f>VLOOKUP($B180,DG!A:D,DG!$D$2,)</f>
        <v>m3</v>
      </c>
      <c r="H180" s="1694"/>
      <c r="I180" s="1694"/>
      <c r="J180" s="1694"/>
      <c r="K180" s="1694"/>
      <c r="L180" s="1694"/>
      <c r="M180" s="1694"/>
      <c r="N180" s="1694"/>
      <c r="O180" s="1694"/>
      <c r="P180" s="1694"/>
      <c r="Q180" s="986"/>
      <c r="R180" s="986"/>
      <c r="S180" s="986"/>
      <c r="T180" s="1862">
        <f t="shared" si="22"/>
        <v>0</v>
      </c>
    </row>
    <row r="181" spans="1:20" ht="22.2" hidden="1" customHeight="1">
      <c r="A181" s="1448">
        <f>COUNTIF($C$12:C181,"x")</f>
        <v>1</v>
      </c>
      <c r="B181" s="1453" t="s">
        <v>639</v>
      </c>
      <c r="C181" s="60" t="str">
        <f t="shared" si="20"/>
        <v xml:space="preserve"> </v>
      </c>
      <c r="D181" s="1416">
        <v>0.29399999999999998</v>
      </c>
      <c r="E181" s="984" t="str">
        <f>VLOOKUP($B181,DG!A:D,DG!$B$2,)</f>
        <v>03.1013</v>
      </c>
      <c r="F181" s="985" t="str">
        <f>VLOOKUP($B181,DG!A:D,DG!$C$2,)</f>
        <v>Đào hố móng đất cấp 3 sâu &gt;1m</v>
      </c>
      <c r="G181" s="984" t="str">
        <f>VLOOKUP($B181,DG!A:D,DG!$D$2,)</f>
        <v>m3</v>
      </c>
      <c r="H181" s="1694"/>
      <c r="I181" s="1694"/>
      <c r="J181" s="1694"/>
      <c r="K181" s="1694"/>
      <c r="L181" s="1694"/>
      <c r="M181" s="1694"/>
      <c r="N181" s="1694"/>
      <c r="O181" s="1694"/>
      <c r="P181" s="1694"/>
      <c r="Q181" s="991"/>
      <c r="R181" s="991"/>
      <c r="S181" s="991"/>
      <c r="T181" s="1862">
        <f t="shared" si="22"/>
        <v>0</v>
      </c>
    </row>
    <row r="182" spans="1:20" ht="22.2" hidden="1" customHeight="1">
      <c r="A182" s="1448">
        <f>COUNTIF($C$12:C182,"x")</f>
        <v>1</v>
      </c>
      <c r="B182" s="1453" t="s">
        <v>21</v>
      </c>
      <c r="C182" s="60" t="str">
        <f t="shared" si="20"/>
        <v xml:space="preserve"> </v>
      </c>
      <c r="D182" s="1416">
        <v>0.15</v>
      </c>
      <c r="E182" s="984" t="str">
        <f>VLOOKUP($B182,DG!A:D,DG!$B$2,)</f>
        <v>03.4113</v>
      </c>
      <c r="F182" s="985" t="str">
        <f>VLOOKUP($B182,DG!A:D,DG!$C$2,)</f>
        <v>Đắp đất hố móng, độ chặt k=0,95</v>
      </c>
      <c r="G182" s="984" t="str">
        <f>VLOOKUP($B182,DG!A:D,DG!$D$2,)</f>
        <v>m3</v>
      </c>
      <c r="H182" s="1694"/>
      <c r="I182" s="1694"/>
      <c r="J182" s="1694"/>
      <c r="K182" s="1694"/>
      <c r="L182" s="1694"/>
      <c r="M182" s="1694"/>
      <c r="N182" s="1694"/>
      <c r="O182" s="1694"/>
      <c r="P182" s="1694"/>
      <c r="Q182" s="991"/>
      <c r="R182" s="991"/>
      <c r="S182" s="991"/>
      <c r="T182" s="1862">
        <f t="shared" si="22"/>
        <v>0</v>
      </c>
    </row>
    <row r="183" spans="1:20" ht="22.2" hidden="1" customHeight="1">
      <c r="A183" s="1448">
        <f>COUNTIF($C$12:C183,"x")</f>
        <v>1</v>
      </c>
      <c r="B183" s="1453" t="s">
        <v>1293</v>
      </c>
      <c r="C183" s="60" t="str">
        <f t="shared" si="20"/>
        <v xml:space="preserve"> </v>
      </c>
      <c r="D183" s="1416"/>
      <c r="E183" s="984" t="str">
        <f>VLOOKUP($B183,DG!A:D,DG!$B$2,)</f>
        <v>02.1101</v>
      </c>
      <c r="F183" s="985" t="str">
        <f>VLOOKUP($B183,DG!A:D,DG!$C$2,)</f>
        <v>Bốc dỡ xi măng</v>
      </c>
      <c r="G183" s="984" t="str">
        <f>VLOOKUP($B183,DG!A:D,DG!$D$2,)</f>
        <v>tấn</v>
      </c>
      <c r="H183" s="1694"/>
      <c r="I183" s="1694"/>
      <c r="J183" s="1694"/>
      <c r="K183" s="1694"/>
      <c r="L183" s="1694"/>
      <c r="M183" s="1694"/>
      <c r="N183" s="1694"/>
      <c r="O183" s="1694"/>
      <c r="P183" s="1694"/>
      <c r="Q183" s="991"/>
      <c r="R183" s="991"/>
      <c r="S183" s="991"/>
      <c r="T183" s="1862">
        <f t="shared" si="22"/>
        <v>0</v>
      </c>
    </row>
    <row r="184" spans="1:20" ht="22.2" hidden="1" customHeight="1">
      <c r="A184" s="1448">
        <f>COUNTIF($C$12:C184,"x")</f>
        <v>1</v>
      </c>
      <c r="B184" s="1453" t="s">
        <v>133</v>
      </c>
      <c r="C184" s="60" t="str">
        <f t="shared" si="20"/>
        <v xml:space="preserve"> </v>
      </c>
      <c r="D184" s="1416"/>
      <c r="E184" s="984" t="str">
        <f>VLOOKUP($B184,DG!A:D,DG!$B$2,)</f>
        <v>02.1103</v>
      </c>
      <c r="F184" s="985" t="str">
        <f>VLOOKUP($B184,DG!A:D,DG!$C$2,)</f>
        <v>Bốc dỡ cát</v>
      </c>
      <c r="G184" s="984" t="str">
        <f>VLOOKUP($B184,DG!A:D,DG!$D$2,)</f>
        <v>m3</v>
      </c>
      <c r="H184" s="1694"/>
      <c r="I184" s="1694"/>
      <c r="J184" s="1694"/>
      <c r="K184" s="1694"/>
      <c r="L184" s="1694"/>
      <c r="M184" s="1694"/>
      <c r="N184" s="1694"/>
      <c r="O184" s="1694"/>
      <c r="P184" s="1694"/>
      <c r="Q184" s="991"/>
      <c r="R184" s="991"/>
      <c r="S184" s="991"/>
      <c r="T184" s="1862">
        <f t="shared" si="22"/>
        <v>0</v>
      </c>
    </row>
    <row r="185" spans="1:20" ht="22.2" hidden="1" customHeight="1">
      <c r="A185" s="1448">
        <f>COUNTIF($C$12:C185,"x")</f>
        <v>1</v>
      </c>
      <c r="B185" s="1453" t="s">
        <v>135</v>
      </c>
      <c r="C185" s="60" t="str">
        <f t="shared" si="20"/>
        <v xml:space="preserve"> </v>
      </c>
      <c r="D185" s="1416"/>
      <c r="E185" s="984" t="str">
        <f>VLOOKUP($B185,DG!A:D,DG!$B$2,)</f>
        <v>02.1104</v>
      </c>
      <c r="F185" s="985" t="str">
        <f>VLOOKUP($B185,DG!A:D,DG!$C$2,)</f>
        <v>Bốc dỡ đá dăm</v>
      </c>
      <c r="G185" s="984" t="str">
        <f>VLOOKUP($B185,DG!A:D,DG!$D$2,)</f>
        <v>m3</v>
      </c>
      <c r="H185" s="1694"/>
      <c r="I185" s="1694"/>
      <c r="J185" s="1694"/>
      <c r="K185" s="1694"/>
      <c r="L185" s="1694"/>
      <c r="M185" s="1694"/>
      <c r="N185" s="1694"/>
      <c r="O185" s="1694"/>
      <c r="P185" s="1694"/>
      <c r="Q185" s="991"/>
      <c r="R185" s="991"/>
      <c r="S185" s="991"/>
      <c r="T185" s="1862">
        <f t="shared" si="22"/>
        <v>0</v>
      </c>
    </row>
    <row r="186" spans="1:20" ht="22.2" hidden="1" customHeight="1">
      <c r="A186" s="1448">
        <f>COUNTIF($C$12:C186,"x")</f>
        <v>1</v>
      </c>
      <c r="B186" s="1453" t="s">
        <v>9</v>
      </c>
      <c r="C186" s="60" t="str">
        <f t="shared" si="20"/>
        <v xml:space="preserve"> </v>
      </c>
      <c r="D186" s="1416">
        <f>D178</f>
        <v>30</v>
      </c>
      <c r="E186" s="984" t="str">
        <f>VLOOKUP($B186,DG!A:D,DG!$B$2,)</f>
        <v>04.5101</v>
      </c>
      <c r="F186" s="985" t="str">
        <f>VLOOKUP($B186,DG!A:D,DG!$C$2,)</f>
        <v>Gia công và lắp dựng cốt thép D&lt;=10</v>
      </c>
      <c r="G186" s="984" t="str">
        <f>VLOOKUP($B186,DG!A:D,DG!$D$2,)</f>
        <v>kg</v>
      </c>
      <c r="H186" s="1694"/>
      <c r="I186" s="1694"/>
      <c r="J186" s="1694"/>
      <c r="K186" s="1694"/>
      <c r="L186" s="1694"/>
      <c r="M186" s="1694"/>
      <c r="N186" s="1694"/>
      <c r="O186" s="1694"/>
      <c r="P186" s="1694"/>
      <c r="Q186" s="991"/>
      <c r="R186" s="991"/>
      <c r="S186" s="991"/>
      <c r="T186" s="1862">
        <f t="shared" si="22"/>
        <v>0</v>
      </c>
    </row>
    <row r="187" spans="1:20" ht="22.2" hidden="1" customHeight="1">
      <c r="A187" s="1448">
        <f>COUNTIF($C$12:C187,"x")</f>
        <v>1</v>
      </c>
      <c r="B187" s="1453" t="s">
        <v>1835</v>
      </c>
      <c r="C187" s="60" t="str">
        <f t="shared" si="20"/>
        <v xml:space="preserve"> </v>
      </c>
      <c r="D187" s="1416">
        <v>1.4999999999999999E-2</v>
      </c>
      <c r="E187" s="984" t="str">
        <f>VLOOKUP($B187,DG!A:D,DG!$B$2,)</f>
        <v>04.1203b</v>
      </c>
      <c r="F187" s="985" t="str">
        <f>VLOOKUP($B187,DG!A:D,DG!$C$2,)&amp; ": Taùi laäp laïi neàn"</f>
        <v>Đổ bê tông mác M150 đá 1x2: Taùi laäp laïi neàn</v>
      </c>
      <c r="G187" s="984" t="str">
        <f>VLOOKUP($B187,DG!A:D,DG!$D$2,)</f>
        <v>m3</v>
      </c>
      <c r="H187" s="1694"/>
      <c r="I187" s="1694"/>
      <c r="J187" s="1694"/>
      <c r="K187" s="1694"/>
      <c r="L187" s="1694"/>
      <c r="M187" s="1694"/>
      <c r="N187" s="1694"/>
      <c r="O187" s="1694"/>
      <c r="P187" s="1694"/>
      <c r="Q187" s="991"/>
      <c r="R187" s="991"/>
      <c r="S187" s="991"/>
      <c r="T187" s="1862">
        <f t="shared" si="22"/>
        <v>0</v>
      </c>
    </row>
    <row r="188" spans="1:20" ht="22.2" hidden="1" customHeight="1">
      <c r="A188" s="1448">
        <f>COUNTIF($C$12:C188,"x")</f>
        <v>1</v>
      </c>
      <c r="B188" s="1452" t="s">
        <v>100</v>
      </c>
      <c r="C188" s="59" t="str">
        <f t="shared" si="20"/>
        <v xml:space="preserve"> </v>
      </c>
      <c r="D188" s="1412"/>
      <c r="E188" s="981"/>
      <c r="F188" s="1276" t="s">
        <v>2345</v>
      </c>
      <c r="G188" s="982" t="s">
        <v>2327</v>
      </c>
      <c r="H188" s="1691">
        <f>SUM(I188:O188)</f>
        <v>0</v>
      </c>
      <c r="I188" s="1692"/>
      <c r="J188" s="1692"/>
      <c r="K188" s="1692">
        <f>IFERROR(HLOOKUP(B188,pp3p1m!$1:$3,2,0),0)</f>
        <v>0</v>
      </c>
      <c r="L188" s="1692">
        <f>IFERROR(HLOOKUP(chitiet!B188,pp1p!$1:$3,3,0),0)</f>
        <v>0</v>
      </c>
      <c r="M188" s="1692"/>
      <c r="N188" s="1692"/>
      <c r="O188" s="1692"/>
      <c r="P188" s="2674">
        <f>T188</f>
        <v>0</v>
      </c>
      <c r="Q188" s="983">
        <f>IF(P188&gt;H188,P188-H188,0)</f>
        <v>0</v>
      </c>
      <c r="R188" s="983">
        <f>IF(H188&gt;P188,H188-P188,0)</f>
        <v>0</v>
      </c>
      <c r="S188" s="983"/>
      <c r="T188" s="1862">
        <f>IFERROR(HLOOKUP(B188,pp1p!$1:$3,3,0),0)+IFERROR(HLOOKUP(B188,pp3p1m!$1:$3,3,0),0)</f>
        <v>0</v>
      </c>
    </row>
    <row r="189" spans="1:20" ht="22.2" hidden="1" customHeight="1">
      <c r="A189" s="1448">
        <f>COUNTIF($C$12:C189,"x")</f>
        <v>1</v>
      </c>
      <c r="B189" s="1455" t="s">
        <v>636</v>
      </c>
      <c r="C189" s="60" t="str">
        <f t="shared" si="20"/>
        <v xml:space="preserve"> </v>
      </c>
      <c r="D189" s="1415">
        <v>2</v>
      </c>
      <c r="E189" s="980" t="str">
        <f>VLOOKUP($B189,DG!A:D,DG!$B$2,)</f>
        <v>04.4001</v>
      </c>
      <c r="F189" s="992" t="str">
        <f>VLOOKUP($B189,DG!A:D,DG!$C$2,)</f>
        <v>Đà cản BTCT 1,2m</v>
      </c>
      <c r="G189" s="980" t="str">
        <f>VLOOKUP($B189,DG!A:D,DG!$D$2,)</f>
        <v>cái</v>
      </c>
      <c r="H189" s="1693">
        <f t="shared" ref="H189:N190" si="29">H$188*$D189</f>
        <v>0</v>
      </c>
      <c r="I189" s="1693">
        <f t="shared" si="29"/>
        <v>0</v>
      </c>
      <c r="J189" s="1693">
        <f t="shared" si="29"/>
        <v>0</v>
      </c>
      <c r="K189" s="1693">
        <f t="shared" si="29"/>
        <v>0</v>
      </c>
      <c r="L189" s="1693">
        <f t="shared" si="29"/>
        <v>0</v>
      </c>
      <c r="M189" s="1693">
        <f t="shared" si="29"/>
        <v>0</v>
      </c>
      <c r="N189" s="1693">
        <f t="shared" si="29"/>
        <v>0</v>
      </c>
      <c r="O189" s="1693"/>
      <c r="P189" s="1693"/>
      <c r="Q189" s="989"/>
      <c r="R189" s="989"/>
      <c r="S189" s="989"/>
      <c r="T189" s="1862">
        <f t="shared" si="22"/>
        <v>0</v>
      </c>
    </row>
    <row r="190" spans="1:20" ht="22.2" hidden="1" customHeight="1">
      <c r="A190" s="1448">
        <f>COUNTIF($C$12:C190,"x")</f>
        <v>1</v>
      </c>
      <c r="B190" s="1455" t="s">
        <v>566</v>
      </c>
      <c r="C190" s="60" t="str">
        <f t="shared" si="20"/>
        <v xml:space="preserve"> </v>
      </c>
      <c r="D190" s="1415">
        <v>2</v>
      </c>
      <c r="E190" s="980"/>
      <c r="F190" s="992" t="str">
        <f>VLOOKUP($B190,DG!A:D,DG!$C$2,)</f>
        <v>Boulon 22x650+ 2 long đền vuông D24-50x50x3/Zn</v>
      </c>
      <c r="G190" s="980" t="str">
        <f>VLOOKUP($B190,DG!A:D,DG!$D$2,)</f>
        <v>bộ</v>
      </c>
      <c r="H190" s="1693">
        <f t="shared" si="29"/>
        <v>0</v>
      </c>
      <c r="I190" s="1693">
        <f t="shared" si="29"/>
        <v>0</v>
      </c>
      <c r="J190" s="1693">
        <f t="shared" si="29"/>
        <v>0</v>
      </c>
      <c r="K190" s="1693">
        <f t="shared" si="29"/>
        <v>0</v>
      </c>
      <c r="L190" s="1693">
        <f t="shared" si="29"/>
        <v>0</v>
      </c>
      <c r="M190" s="1693">
        <f t="shared" si="29"/>
        <v>0</v>
      </c>
      <c r="N190" s="1693">
        <f t="shared" si="29"/>
        <v>0</v>
      </c>
      <c r="O190" s="1693"/>
      <c r="P190" s="1693"/>
      <c r="Q190" s="989"/>
      <c r="R190" s="989"/>
      <c r="S190" s="989"/>
      <c r="T190" s="1862">
        <f t="shared" si="22"/>
        <v>0</v>
      </c>
    </row>
    <row r="191" spans="1:20" ht="22.2" hidden="1" customHeight="1">
      <c r="A191" s="1448">
        <f>COUNTIF($C$12:C191,"x")</f>
        <v>1</v>
      </c>
      <c r="B191" s="1455" t="s">
        <v>639</v>
      </c>
      <c r="C191" s="60" t="str">
        <f t="shared" si="20"/>
        <v xml:space="preserve"> </v>
      </c>
      <c r="D191" s="1414">
        <v>5.39</v>
      </c>
      <c r="E191" s="980" t="str">
        <f>VLOOKUP($B191,DG!A:D,DG!$B$2,)</f>
        <v>03.1013</v>
      </c>
      <c r="F191" s="985" t="str">
        <f>VLOOKUP($B191,DG!A:D,DG!$C$2,)</f>
        <v>Đào hố móng đất cấp 3 sâu &gt;1m</v>
      </c>
      <c r="G191" s="980" t="str">
        <f>VLOOKUP($B191,DG!A:D,DG!$D$2,)</f>
        <v>m3</v>
      </c>
      <c r="H191" s="1693"/>
      <c r="I191" s="1693"/>
      <c r="J191" s="1693"/>
      <c r="K191" s="1693"/>
      <c r="L191" s="1693"/>
      <c r="M191" s="1693"/>
      <c r="N191" s="1693"/>
      <c r="O191" s="1693"/>
      <c r="P191" s="1693"/>
      <c r="Q191" s="994"/>
      <c r="R191" s="994"/>
      <c r="S191" s="994"/>
      <c r="T191" s="1862">
        <f t="shared" si="22"/>
        <v>0</v>
      </c>
    </row>
    <row r="192" spans="1:20" ht="22.2" hidden="1" customHeight="1">
      <c r="A192" s="1448">
        <f>COUNTIF($C$12:C192,"x")</f>
        <v>1</v>
      </c>
      <c r="B192" s="1455" t="s">
        <v>21</v>
      </c>
      <c r="C192" s="60" t="str">
        <f t="shared" si="20"/>
        <v xml:space="preserve"> </v>
      </c>
      <c r="D192" s="1414">
        <v>6.37</v>
      </c>
      <c r="E192" s="980" t="str">
        <f>VLOOKUP($B192,DG!A:D,DG!$B$2,)</f>
        <v>03.4113</v>
      </c>
      <c r="F192" s="985" t="str">
        <f>VLOOKUP($B192,DG!A:D,DG!$C$2,)</f>
        <v>Đắp đất hố móng, độ chặt k=0,95</v>
      </c>
      <c r="G192" s="980" t="str">
        <f>VLOOKUP($B192,DG!A:D,DG!$D$2,)</f>
        <v>m3</v>
      </c>
      <c r="H192" s="1693"/>
      <c r="I192" s="1693"/>
      <c r="J192" s="1693"/>
      <c r="K192" s="1693"/>
      <c r="L192" s="1693"/>
      <c r="M192" s="1693"/>
      <c r="N192" s="1693"/>
      <c r="O192" s="1693"/>
      <c r="P192" s="1693"/>
      <c r="Q192" s="994"/>
      <c r="R192" s="994"/>
      <c r="S192" s="994"/>
      <c r="T192" s="1862">
        <f t="shared" si="22"/>
        <v>0</v>
      </c>
    </row>
    <row r="193" spans="1:20" ht="22.2" hidden="1" customHeight="1">
      <c r="A193" s="1448">
        <f>COUNTIF($C$12:C193,"x")</f>
        <v>1</v>
      </c>
      <c r="B193" s="1455" t="s">
        <v>637</v>
      </c>
      <c r="C193" s="60" t="str">
        <f t="shared" si="20"/>
        <v xml:space="preserve"> </v>
      </c>
      <c r="D193" s="1414"/>
      <c r="E193" s="980" t="str">
        <f>VLOOKUP($B193,DG!A:D,DG!$B$2,)</f>
        <v>02.1123</v>
      </c>
      <c r="F193" s="985" t="str">
        <f>VLOOKUP($B193,DG!A:D,DG!$C$2,)</f>
        <v>Bốc dỡ đà cản, đế néo</v>
      </c>
      <c r="G193" s="980" t="str">
        <f>VLOOKUP($B193,DG!A:D,DG!$D$2,)</f>
        <v>tấn</v>
      </c>
      <c r="H193" s="1693"/>
      <c r="I193" s="1693"/>
      <c r="J193" s="1693"/>
      <c r="K193" s="1693"/>
      <c r="L193" s="1693"/>
      <c r="M193" s="1693"/>
      <c r="N193" s="1693"/>
      <c r="O193" s="1693"/>
      <c r="P193" s="1693"/>
      <c r="Q193" s="989"/>
      <c r="R193" s="989"/>
      <c r="S193" s="989"/>
      <c r="T193" s="1862">
        <f t="shared" si="22"/>
        <v>0</v>
      </c>
    </row>
    <row r="194" spans="1:20" ht="22.2" hidden="1" customHeight="1">
      <c r="A194" s="1448">
        <f>COUNTIF($C$12:C194,"x")</f>
        <v>1</v>
      </c>
      <c r="B194" s="1464" t="s">
        <v>2063</v>
      </c>
      <c r="C194" s="60" t="str">
        <f t="shared" si="20"/>
        <v xml:space="preserve"> </v>
      </c>
      <c r="D194" s="1414"/>
      <c r="E194" s="980" t="str">
        <f>VLOOKUP($B194,DG!A:C,2,)</f>
        <v>02.1451</v>
      </c>
      <c r="F194" s="985" t="str">
        <f>VLOOKUP($B194,DG!A:C,3,)</f>
        <v>V/c đà cản vào vị trí (cự ly &lt;=100m)</v>
      </c>
      <c r="G194" s="980" t="str">
        <f>VLOOKUP($B194,DG!A:D,4,0)</f>
        <v>tấn</v>
      </c>
      <c r="H194" s="1693"/>
      <c r="I194" s="1693"/>
      <c r="J194" s="1693"/>
      <c r="K194" s="1693"/>
      <c r="L194" s="1693"/>
      <c r="M194" s="1693"/>
      <c r="N194" s="1693"/>
      <c r="O194" s="1693"/>
      <c r="P194" s="1693"/>
      <c r="Q194" s="994"/>
      <c r="R194" s="994"/>
      <c r="S194" s="994"/>
      <c r="T194" s="1862">
        <f t="shared" si="22"/>
        <v>0</v>
      </c>
    </row>
    <row r="195" spans="1:20" ht="22.2" hidden="1" customHeight="1">
      <c r="A195" s="1448">
        <f>COUNTIF($C$12:C195,"x")</f>
        <v>1</v>
      </c>
      <c r="B195" s="1464" t="s">
        <v>635</v>
      </c>
      <c r="C195" s="60" t="str">
        <f t="shared" si="20"/>
        <v xml:space="preserve"> </v>
      </c>
      <c r="D195" s="1414"/>
      <c r="E195" s="980" t="str">
        <f>VLOOKUP($B195,DG!A:C,2,)</f>
        <v>02.1482</v>
      </c>
      <c r="F195" s="985" t="str">
        <f>VLOOKUP($B195,DG!A:C,3,)</f>
        <v>V/c dụng cụ thi công vào vị trí (cự ly &lt;=100m)</v>
      </c>
      <c r="G195" s="980" t="str">
        <f>VLOOKUP($B195,DG!A:D,4,0)</f>
        <v>tấn</v>
      </c>
      <c r="H195" s="1693"/>
      <c r="I195" s="1693"/>
      <c r="J195" s="1693"/>
      <c r="K195" s="1693"/>
      <c r="L195" s="1693"/>
      <c r="M195" s="1693"/>
      <c r="N195" s="1693"/>
      <c r="O195" s="1693"/>
      <c r="P195" s="1693"/>
      <c r="Q195" s="994"/>
      <c r="R195" s="994"/>
      <c r="S195" s="994"/>
      <c r="T195" s="1862">
        <f t="shared" si="22"/>
        <v>0</v>
      </c>
    </row>
    <row r="196" spans="1:20" ht="22.2" hidden="1" customHeight="1">
      <c r="A196" s="1448">
        <f>COUNTIF($C$12:C196,"x")</f>
        <v>1</v>
      </c>
      <c r="B196" s="1452" t="s">
        <v>833</v>
      </c>
      <c r="C196" s="59" t="str">
        <f t="shared" si="20"/>
        <v xml:space="preserve"> </v>
      </c>
      <c r="D196" s="1412"/>
      <c r="E196" s="981"/>
      <c r="F196" s="1276" t="s">
        <v>2346</v>
      </c>
      <c r="G196" s="982" t="s">
        <v>2327</v>
      </c>
      <c r="H196" s="1691">
        <f>SUM(I196:O196)</f>
        <v>0</v>
      </c>
      <c r="I196" s="1692"/>
      <c r="J196" s="1692"/>
      <c r="K196" s="1692">
        <f>IFERROR(HLOOKUP(B196,pp3p1m!$1:$3,2,0),0)</f>
        <v>0</v>
      </c>
      <c r="L196" s="1692">
        <f>IFERROR(HLOOKUP(chitiet!B196,pp1p!$1:$3,3,0),0)</f>
        <v>0</v>
      </c>
      <c r="M196" s="1692"/>
      <c r="N196" s="1692"/>
      <c r="O196" s="1692"/>
      <c r="P196" s="2674">
        <f>T196</f>
        <v>0</v>
      </c>
      <c r="Q196" s="983">
        <f>IF(P196&gt;H196,P196-H196,0)</f>
        <v>0</v>
      </c>
      <c r="R196" s="983">
        <f>IF(H196&gt;P196,H196-P196,0)</f>
        <v>0</v>
      </c>
      <c r="S196" s="983"/>
      <c r="T196" s="1862">
        <f>IFERROR(HLOOKUP(B196,pp1p!$1:$3,3,0),0)+IFERROR(HLOOKUP(B196,pp3p1m!$1:$3,3,0),0)</f>
        <v>0</v>
      </c>
    </row>
    <row r="197" spans="1:20" ht="22.2" hidden="1" customHeight="1">
      <c r="A197" s="1448">
        <f>COUNTIF($C$12:C197,"x")</f>
        <v>1</v>
      </c>
      <c r="B197" s="1455" t="s">
        <v>636</v>
      </c>
      <c r="C197" s="60" t="str">
        <f t="shared" si="20"/>
        <v xml:space="preserve"> </v>
      </c>
      <c r="D197" s="1415">
        <v>1</v>
      </c>
      <c r="E197" s="980" t="str">
        <f>VLOOKUP($B197,DG!A:D,DG!$B$2,)</f>
        <v>04.4001</v>
      </c>
      <c r="F197" s="992" t="str">
        <f>VLOOKUP($B197,DG!A:D,DG!$C$2,)</f>
        <v>Đà cản BTCT 1,2m</v>
      </c>
      <c r="G197" s="980" t="str">
        <f>VLOOKUP($B197,DG!A:D,DG!$D$2,)</f>
        <v>cái</v>
      </c>
      <c r="H197" s="1693">
        <f t="shared" ref="H197:N199" si="30">H$196*$D197</f>
        <v>0</v>
      </c>
      <c r="I197" s="1693">
        <f t="shared" si="30"/>
        <v>0</v>
      </c>
      <c r="J197" s="1693">
        <f t="shared" si="30"/>
        <v>0</v>
      </c>
      <c r="K197" s="1693">
        <f t="shared" si="30"/>
        <v>0</v>
      </c>
      <c r="L197" s="1693">
        <f t="shared" si="30"/>
        <v>0</v>
      </c>
      <c r="M197" s="1693">
        <f t="shared" si="30"/>
        <v>0</v>
      </c>
      <c r="N197" s="1693">
        <f t="shared" si="30"/>
        <v>0</v>
      </c>
      <c r="O197" s="1693"/>
      <c r="P197" s="1693"/>
      <c r="Q197" s="989"/>
      <c r="R197" s="989"/>
      <c r="S197" s="989"/>
      <c r="T197" s="1862">
        <f t="shared" si="22"/>
        <v>0</v>
      </c>
    </row>
    <row r="198" spans="1:20" ht="22.2" hidden="1" customHeight="1">
      <c r="A198" s="1448">
        <f>COUNTIF($C$12:C198,"x")</f>
        <v>1</v>
      </c>
      <c r="B198" s="1455" t="s">
        <v>1575</v>
      </c>
      <c r="C198" s="60" t="str">
        <f t="shared" si="20"/>
        <v xml:space="preserve"> </v>
      </c>
      <c r="D198" s="1415">
        <v>1</v>
      </c>
      <c r="E198" s="980" t="str">
        <f>VLOOKUP($B198,DG!A:D,DG!$B$2,)</f>
        <v>04.3801</v>
      </c>
      <c r="F198" s="992" t="str">
        <f>VLOOKUP($B198,DG!A:D,DG!$C$2,)</f>
        <v>Đà cản BTCT 1,5m</v>
      </c>
      <c r="G198" s="980" t="str">
        <f>VLOOKUP($B198,DG!A:D,DG!$D$2,)</f>
        <v>cái</v>
      </c>
      <c r="H198" s="1693">
        <f t="shared" si="30"/>
        <v>0</v>
      </c>
      <c r="I198" s="1693">
        <f t="shared" si="30"/>
        <v>0</v>
      </c>
      <c r="J198" s="1693">
        <f t="shared" si="30"/>
        <v>0</v>
      </c>
      <c r="K198" s="1693">
        <f t="shared" si="30"/>
        <v>0</v>
      </c>
      <c r="L198" s="1693">
        <f t="shared" si="30"/>
        <v>0</v>
      </c>
      <c r="M198" s="1693">
        <f t="shared" si="30"/>
        <v>0</v>
      </c>
      <c r="N198" s="1693">
        <f t="shared" si="30"/>
        <v>0</v>
      </c>
      <c r="O198" s="1693"/>
      <c r="P198" s="1693"/>
      <c r="Q198" s="989"/>
      <c r="R198" s="989"/>
      <c r="S198" s="989"/>
      <c r="T198" s="1862">
        <f t="shared" si="22"/>
        <v>0</v>
      </c>
    </row>
    <row r="199" spans="1:20" ht="22.2" hidden="1" customHeight="1">
      <c r="A199" s="1448">
        <f>COUNTIF($C$12:C199,"x")</f>
        <v>1</v>
      </c>
      <c r="B199" s="1455" t="s">
        <v>566</v>
      </c>
      <c r="C199" s="60" t="str">
        <f t="shared" si="20"/>
        <v xml:space="preserve"> </v>
      </c>
      <c r="D199" s="1415">
        <v>2</v>
      </c>
      <c r="E199" s="980"/>
      <c r="F199" s="992" t="str">
        <f>VLOOKUP($B199,DG!A:D,DG!$C$2,)</f>
        <v>Boulon 22x650+ 2 long đền vuông D24-50x50x3/Zn</v>
      </c>
      <c r="G199" s="980" t="str">
        <f>VLOOKUP($B199,DG!A:D,DG!$D$2,)</f>
        <v>bộ</v>
      </c>
      <c r="H199" s="1693">
        <f t="shared" si="30"/>
        <v>0</v>
      </c>
      <c r="I199" s="1693">
        <f t="shared" si="30"/>
        <v>0</v>
      </c>
      <c r="J199" s="1693">
        <f t="shared" si="30"/>
        <v>0</v>
      </c>
      <c r="K199" s="1693">
        <f t="shared" si="30"/>
        <v>0</v>
      </c>
      <c r="L199" s="1693">
        <f t="shared" si="30"/>
        <v>0</v>
      </c>
      <c r="M199" s="1693">
        <f t="shared" si="30"/>
        <v>0</v>
      </c>
      <c r="N199" s="1693">
        <f t="shared" si="30"/>
        <v>0</v>
      </c>
      <c r="O199" s="1693"/>
      <c r="P199" s="1693"/>
      <c r="Q199" s="989"/>
      <c r="R199" s="989"/>
      <c r="S199" s="989"/>
      <c r="T199" s="1862">
        <f t="shared" si="22"/>
        <v>0</v>
      </c>
    </row>
    <row r="200" spans="1:20" ht="22.2" hidden="1" customHeight="1">
      <c r="A200" s="1448">
        <f>COUNTIF($C$12:C200,"x")</f>
        <v>1</v>
      </c>
      <c r="B200" s="1455" t="s">
        <v>639</v>
      </c>
      <c r="C200" s="60" t="str">
        <f t="shared" si="20"/>
        <v xml:space="preserve"> </v>
      </c>
      <c r="D200" s="1414">
        <v>5.56</v>
      </c>
      <c r="E200" s="980" t="str">
        <f>VLOOKUP($B200,DG!A:D,DG!$B$2,)</f>
        <v>03.1013</v>
      </c>
      <c r="F200" s="985" t="str">
        <f>VLOOKUP($B200,DG!A:D,DG!$C$2,)</f>
        <v>Đào hố móng đất cấp 3 sâu &gt;1m</v>
      </c>
      <c r="G200" s="980" t="str">
        <f>VLOOKUP($B200,DG!A:D,DG!$D$2,)</f>
        <v>m3</v>
      </c>
      <c r="H200" s="1693"/>
      <c r="I200" s="1693"/>
      <c r="J200" s="1693"/>
      <c r="K200" s="1693"/>
      <c r="L200" s="1693"/>
      <c r="M200" s="1693"/>
      <c r="N200" s="1693"/>
      <c r="O200" s="1693"/>
      <c r="P200" s="1693"/>
      <c r="Q200" s="994"/>
      <c r="R200" s="994"/>
      <c r="S200" s="994"/>
      <c r="T200" s="1862">
        <f t="shared" si="22"/>
        <v>0</v>
      </c>
    </row>
    <row r="201" spans="1:20" ht="22.2" hidden="1" customHeight="1">
      <c r="A201" s="1448">
        <f>COUNTIF($C$12:C201,"x")</f>
        <v>1</v>
      </c>
      <c r="B201" s="1455" t="s">
        <v>21</v>
      </c>
      <c r="C201" s="60" t="str">
        <f t="shared" si="20"/>
        <v xml:space="preserve"> </v>
      </c>
      <c r="D201" s="1414">
        <v>6.54</v>
      </c>
      <c r="E201" s="980" t="str">
        <f>VLOOKUP($B201,DG!A:D,DG!$B$2,)</f>
        <v>03.4113</v>
      </c>
      <c r="F201" s="985" t="str">
        <f>VLOOKUP($B201,DG!A:D,DG!$C$2,)</f>
        <v>Đắp đất hố móng, độ chặt k=0,95</v>
      </c>
      <c r="G201" s="980" t="str">
        <f>VLOOKUP($B201,DG!A:D,DG!$D$2,)</f>
        <v>m3</v>
      </c>
      <c r="H201" s="1693"/>
      <c r="I201" s="1693"/>
      <c r="J201" s="1693"/>
      <c r="K201" s="1693"/>
      <c r="L201" s="1693"/>
      <c r="M201" s="1693"/>
      <c r="N201" s="1693"/>
      <c r="O201" s="1693"/>
      <c r="P201" s="1693"/>
      <c r="Q201" s="994"/>
      <c r="R201" s="994"/>
      <c r="S201" s="994"/>
      <c r="T201" s="1862">
        <f t="shared" si="22"/>
        <v>0</v>
      </c>
    </row>
    <row r="202" spans="1:20" ht="22.2" hidden="1" customHeight="1">
      <c r="A202" s="1448">
        <f>COUNTIF($C$12:C202,"x")</f>
        <v>1</v>
      </c>
      <c r="B202" s="1455" t="s">
        <v>1576</v>
      </c>
      <c r="C202" s="60" t="str">
        <f t="shared" si="20"/>
        <v xml:space="preserve"> </v>
      </c>
      <c r="D202" s="1414"/>
      <c r="E202" s="980" t="str">
        <f>VLOOKUP($B202,DG!A:D,DG!$B$2,)</f>
        <v>02.1123</v>
      </c>
      <c r="F202" s="985" t="str">
        <f>VLOOKUP($B202,DG!A:D,DG!$C$2,)</f>
        <v>Bốc dỡ đà cản, đế néo</v>
      </c>
      <c r="G202" s="980" t="str">
        <f>VLOOKUP($B202,DG!A:D,DG!$D$2,)</f>
        <v>tấn</v>
      </c>
      <c r="H202" s="1693"/>
      <c r="I202" s="1693"/>
      <c r="J202" s="1693"/>
      <c r="K202" s="1693"/>
      <c r="L202" s="1693"/>
      <c r="M202" s="1693"/>
      <c r="N202" s="1693"/>
      <c r="O202" s="1693"/>
      <c r="P202" s="1693"/>
      <c r="Q202" s="989"/>
      <c r="R202" s="989"/>
      <c r="S202" s="989"/>
      <c r="T202" s="1862">
        <f t="shared" si="22"/>
        <v>0</v>
      </c>
    </row>
    <row r="203" spans="1:20" ht="22.2" hidden="1" customHeight="1">
      <c r="A203" s="1448">
        <f>COUNTIF($C$12:C203,"x")</f>
        <v>1</v>
      </c>
      <c r="B203" s="1464" t="s">
        <v>2063</v>
      </c>
      <c r="C203" s="60" t="str">
        <f t="shared" si="20"/>
        <v xml:space="preserve"> </v>
      </c>
      <c r="D203" s="1414"/>
      <c r="E203" s="980" t="str">
        <f>VLOOKUP($B203,DG!A:C,2,)</f>
        <v>02.1451</v>
      </c>
      <c r="F203" s="985" t="str">
        <f>VLOOKUP($B203,DG!A:C,3,)</f>
        <v>V/c đà cản vào vị trí (cự ly &lt;=100m)</v>
      </c>
      <c r="G203" s="980" t="str">
        <f>VLOOKUP($B203,DG!A:D,4,0)</f>
        <v>tấn</v>
      </c>
      <c r="H203" s="1693"/>
      <c r="I203" s="1693"/>
      <c r="J203" s="1693"/>
      <c r="K203" s="1693"/>
      <c r="L203" s="1693"/>
      <c r="M203" s="1693"/>
      <c r="N203" s="1693"/>
      <c r="O203" s="1693"/>
      <c r="P203" s="1693"/>
      <c r="Q203" s="994"/>
      <c r="R203" s="994"/>
      <c r="S203" s="994"/>
      <c r="T203" s="1862">
        <f t="shared" si="22"/>
        <v>0</v>
      </c>
    </row>
    <row r="204" spans="1:20" ht="22.2" hidden="1" customHeight="1">
      <c r="A204" s="1448">
        <f>COUNTIF($C$12:C204,"x")</f>
        <v>1</v>
      </c>
      <c r="B204" s="1464" t="s">
        <v>635</v>
      </c>
      <c r="C204" s="60" t="str">
        <f t="shared" si="20"/>
        <v xml:space="preserve"> </v>
      </c>
      <c r="D204" s="1414"/>
      <c r="E204" s="980" t="str">
        <f>VLOOKUP($B204,DG!A:C,2,)</f>
        <v>02.1482</v>
      </c>
      <c r="F204" s="985" t="str">
        <f>VLOOKUP($B204,DG!A:C,3,)</f>
        <v>V/c dụng cụ thi công vào vị trí (cự ly &lt;=100m)</v>
      </c>
      <c r="G204" s="980" t="str">
        <f>VLOOKUP($B204,DG!A:D,4,0)</f>
        <v>tấn</v>
      </c>
      <c r="H204" s="1693"/>
      <c r="I204" s="1693"/>
      <c r="J204" s="1693"/>
      <c r="K204" s="1693"/>
      <c r="L204" s="1693"/>
      <c r="M204" s="1693"/>
      <c r="N204" s="1693"/>
      <c r="O204" s="1693"/>
      <c r="P204" s="1693"/>
      <c r="Q204" s="994"/>
      <c r="R204" s="994"/>
      <c r="S204" s="994"/>
      <c r="T204" s="1862">
        <f t="shared" si="22"/>
        <v>0</v>
      </c>
    </row>
    <row r="205" spans="1:20" ht="22.2" hidden="1" customHeight="1">
      <c r="A205" s="1448">
        <f>COUNTIF($C$12:C205,"x")</f>
        <v>1</v>
      </c>
      <c r="B205" s="1452" t="s">
        <v>834</v>
      </c>
      <c r="C205" s="59" t="str">
        <f t="shared" si="20"/>
        <v xml:space="preserve"> </v>
      </c>
      <c r="D205" s="1412"/>
      <c r="E205" s="981"/>
      <c r="F205" s="1276" t="s">
        <v>2347</v>
      </c>
      <c r="G205" s="982" t="s">
        <v>2327</v>
      </c>
      <c r="H205" s="1691">
        <f>SUM(I205:O205)</f>
        <v>0</v>
      </c>
      <c r="I205" s="1692"/>
      <c r="J205" s="1692"/>
      <c r="K205" s="1692">
        <f>IFERROR(HLOOKUP(B205,pp3p1m!$1:$3,2,0),0)</f>
        <v>0</v>
      </c>
      <c r="L205" s="1692">
        <f>IFERROR(HLOOKUP(chitiet!B205,pp1p!$1:$3,3,0),0)</f>
        <v>0</v>
      </c>
      <c r="M205" s="1692"/>
      <c r="N205" s="1692"/>
      <c r="O205" s="1692"/>
      <c r="P205" s="2674">
        <f>T205</f>
        <v>0</v>
      </c>
      <c r="Q205" s="983">
        <f>IF(P205&gt;H205,P205-H205,0)</f>
        <v>0</v>
      </c>
      <c r="R205" s="983">
        <f>IF(H205&gt;P205,H205-P205,0)</f>
        <v>0</v>
      </c>
      <c r="S205" s="983"/>
      <c r="T205" s="1862">
        <f>IFERROR(HLOOKUP(B205,pp1p!$1:$3,3,0),0)+IFERROR(HLOOKUP(B205,pp3p1m!$1:$3,3,0),0)</f>
        <v>0</v>
      </c>
    </row>
    <row r="206" spans="1:20" ht="22.2" hidden="1" customHeight="1">
      <c r="A206" s="1448">
        <f>COUNTIF($C$12:C206,"x")</f>
        <v>1</v>
      </c>
      <c r="B206" s="1455" t="s">
        <v>1575</v>
      </c>
      <c r="C206" s="60" t="str">
        <f t="shared" si="20"/>
        <v xml:space="preserve"> </v>
      </c>
      <c r="D206" s="1415">
        <v>2</v>
      </c>
      <c r="E206" s="980" t="str">
        <f>VLOOKUP($B206,DG!A:D,DG!$B$2,)</f>
        <v>04.3801</v>
      </c>
      <c r="F206" s="992" t="str">
        <f>VLOOKUP($B206,DG!A:D,DG!$C$2,)</f>
        <v>Đà cản BTCT 1,5m</v>
      </c>
      <c r="G206" s="980" t="str">
        <f>VLOOKUP($B206,DG!A:D,DG!$D$2,)</f>
        <v>cái</v>
      </c>
      <c r="H206" s="1693">
        <f t="shared" ref="H206:N207" si="31">H$205*$D206</f>
        <v>0</v>
      </c>
      <c r="I206" s="1693">
        <f t="shared" si="31"/>
        <v>0</v>
      </c>
      <c r="J206" s="1693">
        <f t="shared" si="31"/>
        <v>0</v>
      </c>
      <c r="K206" s="1693">
        <f t="shared" si="31"/>
        <v>0</v>
      </c>
      <c r="L206" s="1693">
        <f t="shared" si="31"/>
        <v>0</v>
      </c>
      <c r="M206" s="1693">
        <f t="shared" si="31"/>
        <v>0</v>
      </c>
      <c r="N206" s="1693">
        <f t="shared" si="31"/>
        <v>0</v>
      </c>
      <c r="O206" s="1693"/>
      <c r="P206" s="1693"/>
      <c r="Q206" s="989"/>
      <c r="R206" s="989"/>
      <c r="S206" s="989"/>
      <c r="T206" s="1862">
        <f t="shared" ref="T206:T269" si="32">IFERROR(HLOOKUP(B206,BangKeTru,3,0),0)</f>
        <v>0</v>
      </c>
    </row>
    <row r="207" spans="1:20" ht="22.2" hidden="1" customHeight="1">
      <c r="A207" s="1448">
        <f>COUNTIF($C$12:C207,"x")</f>
        <v>1</v>
      </c>
      <c r="B207" s="1455" t="s">
        <v>566</v>
      </c>
      <c r="C207" s="60" t="str">
        <f t="shared" ref="C207:C270" si="33">IF(OR(P207&lt;&gt;0,H207&lt;&gt;0),"x"," ")</f>
        <v xml:space="preserve"> </v>
      </c>
      <c r="D207" s="1415">
        <v>2</v>
      </c>
      <c r="E207" s="980"/>
      <c r="F207" s="992" t="str">
        <f>VLOOKUP($B207,DG!A:D,DG!$C$2,)</f>
        <v>Boulon 22x650+ 2 long đền vuông D24-50x50x3/Zn</v>
      </c>
      <c r="G207" s="980" t="str">
        <f>VLOOKUP($B207,DG!A:D,DG!$D$2,)</f>
        <v>bộ</v>
      </c>
      <c r="H207" s="1693">
        <f t="shared" si="31"/>
        <v>0</v>
      </c>
      <c r="I207" s="1693">
        <f t="shared" si="31"/>
        <v>0</v>
      </c>
      <c r="J207" s="1693">
        <f t="shared" si="31"/>
        <v>0</v>
      </c>
      <c r="K207" s="1693">
        <f t="shared" si="31"/>
        <v>0</v>
      </c>
      <c r="L207" s="1693">
        <f t="shared" si="31"/>
        <v>0</v>
      </c>
      <c r="M207" s="1693">
        <f t="shared" si="31"/>
        <v>0</v>
      </c>
      <c r="N207" s="1693">
        <f t="shared" si="31"/>
        <v>0</v>
      </c>
      <c r="O207" s="1693"/>
      <c r="P207" s="1693"/>
      <c r="Q207" s="989"/>
      <c r="R207" s="989"/>
      <c r="S207" s="989"/>
      <c r="T207" s="1862">
        <f t="shared" si="32"/>
        <v>0</v>
      </c>
    </row>
    <row r="208" spans="1:20" ht="22.2" hidden="1" customHeight="1">
      <c r="A208" s="1448">
        <f>COUNTIF($C$12:C208,"x")</f>
        <v>1</v>
      </c>
      <c r="B208" s="1455" t="s">
        <v>639</v>
      </c>
      <c r="C208" s="60" t="str">
        <f t="shared" si="33"/>
        <v xml:space="preserve"> </v>
      </c>
      <c r="D208" s="1414">
        <v>7.4</v>
      </c>
      <c r="E208" s="980" t="str">
        <f>VLOOKUP($B208,DG!A:D,DG!$B$2,)</f>
        <v>03.1013</v>
      </c>
      <c r="F208" s="985" t="str">
        <f>VLOOKUP($B208,DG!A:D,DG!$C$2,)</f>
        <v>Đào hố móng đất cấp 3 sâu &gt;1m</v>
      </c>
      <c r="G208" s="980" t="str">
        <f>VLOOKUP($B208,DG!A:D,DG!$D$2,)</f>
        <v>m3</v>
      </c>
      <c r="H208" s="1693"/>
      <c r="I208" s="1693"/>
      <c r="J208" s="1693"/>
      <c r="K208" s="1693"/>
      <c r="L208" s="1693"/>
      <c r="M208" s="1693"/>
      <c r="N208" s="1693"/>
      <c r="O208" s="1693"/>
      <c r="P208" s="1693"/>
      <c r="Q208" s="994"/>
      <c r="R208" s="994"/>
      <c r="S208" s="994"/>
      <c r="T208" s="1862">
        <f t="shared" si="32"/>
        <v>0</v>
      </c>
    </row>
    <row r="209" spans="1:20" ht="22.2" hidden="1" customHeight="1">
      <c r="A209" s="1448">
        <f>COUNTIF($C$12:C209,"x")</f>
        <v>1</v>
      </c>
      <c r="B209" s="1455" t="s">
        <v>21</v>
      </c>
      <c r="C209" s="60" t="str">
        <f t="shared" si="33"/>
        <v xml:space="preserve"> </v>
      </c>
      <c r="D209" s="1414">
        <v>8.67</v>
      </c>
      <c r="E209" s="980" t="str">
        <f>VLOOKUP($B209,DG!A:D,DG!$B$2,)</f>
        <v>03.4113</v>
      </c>
      <c r="F209" s="985" t="str">
        <f>VLOOKUP($B209,DG!A:D,DG!$C$2,)</f>
        <v>Đắp đất hố móng, độ chặt k=0,95</v>
      </c>
      <c r="G209" s="980" t="str">
        <f>VLOOKUP($B209,DG!A:D,DG!$D$2,)</f>
        <v>m3</v>
      </c>
      <c r="H209" s="1693"/>
      <c r="I209" s="1693"/>
      <c r="J209" s="1693"/>
      <c r="K209" s="1693"/>
      <c r="L209" s="1693"/>
      <c r="M209" s="1693"/>
      <c r="N209" s="1693"/>
      <c r="O209" s="1693"/>
      <c r="P209" s="1693"/>
      <c r="Q209" s="994"/>
      <c r="R209" s="994"/>
      <c r="S209" s="994"/>
      <c r="T209" s="1862">
        <f t="shared" si="32"/>
        <v>0</v>
      </c>
    </row>
    <row r="210" spans="1:20" ht="22.2" hidden="1" customHeight="1">
      <c r="A210" s="1448">
        <f>COUNTIF($C$12:C210,"x")</f>
        <v>1</v>
      </c>
      <c r="B210" s="1455" t="s">
        <v>1576</v>
      </c>
      <c r="C210" s="60" t="str">
        <f t="shared" si="33"/>
        <v xml:space="preserve"> </v>
      </c>
      <c r="D210" s="1414"/>
      <c r="E210" s="980" t="str">
        <f>VLOOKUP($B210,DG!A:D,DG!$B$2,)</f>
        <v>02.1123</v>
      </c>
      <c r="F210" s="985" t="str">
        <f>VLOOKUP($B210,DG!A:D,DG!$C$2,)</f>
        <v>Bốc dỡ đà cản, đế néo</v>
      </c>
      <c r="G210" s="980" t="str">
        <f>VLOOKUP($B210,DG!A:D,DG!$D$2,)</f>
        <v>tấn</v>
      </c>
      <c r="H210" s="1693"/>
      <c r="I210" s="1693"/>
      <c r="J210" s="1693"/>
      <c r="K210" s="1693"/>
      <c r="L210" s="1693"/>
      <c r="M210" s="1693"/>
      <c r="N210" s="1693"/>
      <c r="O210" s="1693"/>
      <c r="P210" s="1693"/>
      <c r="Q210" s="989"/>
      <c r="R210" s="989"/>
      <c r="S210" s="989"/>
      <c r="T210" s="1862">
        <f t="shared" si="32"/>
        <v>0</v>
      </c>
    </row>
    <row r="211" spans="1:20" ht="22.2" hidden="1" customHeight="1">
      <c r="A211" s="1448">
        <f>COUNTIF($C$12:C211,"x")</f>
        <v>1</v>
      </c>
      <c r="B211" s="1464" t="s">
        <v>2063</v>
      </c>
      <c r="C211" s="60" t="str">
        <f t="shared" si="33"/>
        <v xml:space="preserve"> </v>
      </c>
      <c r="D211" s="1414"/>
      <c r="E211" s="980" t="str">
        <f>VLOOKUP($B211,DG!A:C,2,)</f>
        <v>02.1451</v>
      </c>
      <c r="F211" s="985" t="str">
        <f>VLOOKUP($B211,DG!A:C,3,)</f>
        <v>V/c đà cản vào vị trí (cự ly &lt;=100m)</v>
      </c>
      <c r="G211" s="980" t="str">
        <f>VLOOKUP($B211,DG!A:D,4,0)</f>
        <v>tấn</v>
      </c>
      <c r="H211" s="1693"/>
      <c r="I211" s="1693"/>
      <c r="J211" s="1693"/>
      <c r="K211" s="1693"/>
      <c r="L211" s="1693"/>
      <c r="M211" s="1693"/>
      <c r="N211" s="1693"/>
      <c r="O211" s="1693"/>
      <c r="P211" s="1693"/>
      <c r="Q211" s="994"/>
      <c r="R211" s="994"/>
      <c r="S211" s="994"/>
      <c r="T211" s="1862">
        <f t="shared" si="32"/>
        <v>0</v>
      </c>
    </row>
    <row r="212" spans="1:20" ht="22.2" hidden="1" customHeight="1">
      <c r="A212" s="1448">
        <f>COUNTIF($C$12:C212,"x")</f>
        <v>1</v>
      </c>
      <c r="B212" s="1464" t="s">
        <v>635</v>
      </c>
      <c r="C212" s="60" t="str">
        <f t="shared" si="33"/>
        <v xml:space="preserve"> </v>
      </c>
      <c r="D212" s="1414"/>
      <c r="E212" s="980" t="str">
        <f>VLOOKUP($B212,DG!A:C,2,)</f>
        <v>02.1482</v>
      </c>
      <c r="F212" s="985" t="str">
        <f>VLOOKUP($B212,DG!A:C,3,)</f>
        <v>V/c dụng cụ thi công vào vị trí (cự ly &lt;=100m)</v>
      </c>
      <c r="G212" s="980" t="str">
        <f>VLOOKUP($B212,DG!A:D,4,0)</f>
        <v>tấn</v>
      </c>
      <c r="H212" s="1693"/>
      <c r="I212" s="1693"/>
      <c r="J212" s="1693"/>
      <c r="K212" s="1693"/>
      <c r="L212" s="1693"/>
      <c r="M212" s="1693"/>
      <c r="N212" s="1693"/>
      <c r="O212" s="1693"/>
      <c r="P212" s="1693"/>
      <c r="Q212" s="994"/>
      <c r="R212" s="994"/>
      <c r="S212" s="994"/>
      <c r="T212" s="1862">
        <f t="shared" si="32"/>
        <v>0</v>
      </c>
    </row>
    <row r="213" spans="1:20" ht="22.2" hidden="1" customHeight="1">
      <c r="A213" s="1448">
        <f>COUNTIF($C$12:C213,"x")</f>
        <v>1</v>
      </c>
      <c r="B213" s="1452" t="s">
        <v>286</v>
      </c>
      <c r="C213" s="59" t="str">
        <f t="shared" si="33"/>
        <v xml:space="preserve"> </v>
      </c>
      <c r="D213" s="1412"/>
      <c r="E213" s="981"/>
      <c r="F213" s="1276" t="s">
        <v>2348</v>
      </c>
      <c r="G213" s="982" t="s">
        <v>2327</v>
      </c>
      <c r="H213" s="1691">
        <f>SUM(I213:O213)</f>
        <v>0</v>
      </c>
      <c r="I213" s="1692"/>
      <c r="J213" s="1692"/>
      <c r="K213" s="1692">
        <f>IFERROR(HLOOKUP(B213,pp3p1m!$1:$3,2,0),0)</f>
        <v>0</v>
      </c>
      <c r="L213" s="1692">
        <f>IFERROR(HLOOKUP(chitiet!B213,pp1p!$1:$3,3,0),0)</f>
        <v>0</v>
      </c>
      <c r="M213" s="1692"/>
      <c r="N213" s="1692"/>
      <c r="O213" s="1692"/>
      <c r="P213" s="2674">
        <f>T213</f>
        <v>0</v>
      </c>
      <c r="Q213" s="983">
        <f>IF(P213&gt;H213,P213-H213,0)</f>
        <v>0</v>
      </c>
      <c r="R213" s="983">
        <f>IF(H213&gt;P213,H213-P213,0)</f>
        <v>0</v>
      </c>
      <c r="S213" s="983"/>
      <c r="T213" s="1862">
        <f>IFERROR(HLOOKUP(B213,pp1p!$1:$3,3,0),0)+IFERROR(HLOOKUP(B213,pp3p1m!$1:$3,3,0),0)</f>
        <v>0</v>
      </c>
    </row>
    <row r="214" spans="1:20" ht="22.2" hidden="1" customHeight="1">
      <c r="A214" s="1448">
        <f>COUNTIF($C$12:C214,"x")</f>
        <v>1</v>
      </c>
      <c r="B214" s="1455" t="s">
        <v>224</v>
      </c>
      <c r="C214" s="60" t="str">
        <f t="shared" si="33"/>
        <v xml:space="preserve"> </v>
      </c>
      <c r="D214" s="1415">
        <v>42</v>
      </c>
      <c r="E214" s="980" t="str">
        <f>VLOOKUP($B214,DG!A:D,DG!$B$2,)</f>
        <v>04.5142</v>
      </c>
      <c r="F214" s="992" t="str">
        <f>VLOOKUP($B214,DG!A:D,DG!$C$2,)</f>
        <v>Cừ tràm 5m</v>
      </c>
      <c r="G214" s="980" t="str">
        <f>VLOOKUP($B214,DG!A:D,DG!$D$2,)</f>
        <v>cây</v>
      </c>
      <c r="H214" s="1693">
        <f t="shared" ref="H214:N216" si="34">H$213*$D214</f>
        <v>0</v>
      </c>
      <c r="I214" s="1693">
        <f t="shared" si="34"/>
        <v>0</v>
      </c>
      <c r="J214" s="1693">
        <f t="shared" si="34"/>
        <v>0</v>
      </c>
      <c r="K214" s="1693">
        <f t="shared" si="34"/>
        <v>0</v>
      </c>
      <c r="L214" s="1693">
        <f t="shared" si="34"/>
        <v>0</v>
      </c>
      <c r="M214" s="1693">
        <f t="shared" si="34"/>
        <v>0</v>
      </c>
      <c r="N214" s="1693">
        <f t="shared" si="34"/>
        <v>0</v>
      </c>
      <c r="O214" s="1693"/>
      <c r="P214" s="1693"/>
      <c r="Q214" s="989"/>
      <c r="R214" s="989"/>
      <c r="S214" s="989"/>
      <c r="T214" s="1862">
        <f t="shared" si="32"/>
        <v>0</v>
      </c>
    </row>
    <row r="215" spans="1:20" ht="22.2" hidden="1" customHeight="1">
      <c r="A215" s="1448">
        <f>COUNTIF($C$12:C215,"x")</f>
        <v>1</v>
      </c>
      <c r="B215" s="1455" t="s">
        <v>1575</v>
      </c>
      <c r="C215" s="60" t="str">
        <f t="shared" si="33"/>
        <v xml:space="preserve"> </v>
      </c>
      <c r="D215" s="1415">
        <v>2</v>
      </c>
      <c r="E215" s="980" t="str">
        <f>VLOOKUP($B215,DG!A:D,DG!$B$2,)</f>
        <v>04.3801</v>
      </c>
      <c r="F215" s="992" t="str">
        <f>VLOOKUP($B215,DG!A:D,DG!$C$2,)</f>
        <v>Đà cản BTCT 1,5m</v>
      </c>
      <c r="G215" s="980" t="str">
        <f>VLOOKUP($B215,DG!A:D,DG!$D$2,)</f>
        <v>cái</v>
      </c>
      <c r="H215" s="1693">
        <f t="shared" si="34"/>
        <v>0</v>
      </c>
      <c r="I215" s="1693">
        <f t="shared" si="34"/>
        <v>0</v>
      </c>
      <c r="J215" s="1693">
        <f t="shared" si="34"/>
        <v>0</v>
      </c>
      <c r="K215" s="1693">
        <f t="shared" si="34"/>
        <v>0</v>
      </c>
      <c r="L215" s="1693">
        <f t="shared" si="34"/>
        <v>0</v>
      </c>
      <c r="M215" s="1693">
        <f t="shared" si="34"/>
        <v>0</v>
      </c>
      <c r="N215" s="1693">
        <f t="shared" si="34"/>
        <v>0</v>
      </c>
      <c r="O215" s="1693"/>
      <c r="P215" s="1693"/>
      <c r="Q215" s="989"/>
      <c r="R215" s="989"/>
      <c r="S215" s="989"/>
      <c r="T215" s="1862">
        <f t="shared" si="32"/>
        <v>0</v>
      </c>
    </row>
    <row r="216" spans="1:20" ht="22.2" hidden="1" customHeight="1">
      <c r="A216" s="1448">
        <f>COUNTIF($C$12:C216,"x")</f>
        <v>1</v>
      </c>
      <c r="B216" s="1465" t="s">
        <v>416</v>
      </c>
      <c r="C216" s="60" t="str">
        <f t="shared" si="33"/>
        <v xml:space="preserve"> </v>
      </c>
      <c r="D216" s="1415">
        <v>1</v>
      </c>
      <c r="E216" s="980"/>
      <c r="F216" s="992" t="str">
        <f>VLOOKUP($B216,DG!A:D,DG!$C$2,)</f>
        <v>Boulon 22x800+ 2 long đền vuông D24-50x50x3/Zn</v>
      </c>
      <c r="G216" s="980" t="str">
        <f>VLOOKUP($B216,DG!A:D,DG!$D$2,)</f>
        <v>bộ</v>
      </c>
      <c r="H216" s="1693">
        <f t="shared" si="34"/>
        <v>0</v>
      </c>
      <c r="I216" s="1693">
        <f t="shared" si="34"/>
        <v>0</v>
      </c>
      <c r="J216" s="1693">
        <f t="shared" si="34"/>
        <v>0</v>
      </c>
      <c r="K216" s="1693">
        <f t="shared" si="34"/>
        <v>0</v>
      </c>
      <c r="L216" s="1693">
        <f t="shared" si="34"/>
        <v>0</v>
      </c>
      <c r="M216" s="1693">
        <f t="shared" si="34"/>
        <v>0</v>
      </c>
      <c r="N216" s="1693">
        <f t="shared" si="34"/>
        <v>0</v>
      </c>
      <c r="O216" s="1693"/>
      <c r="P216" s="1693"/>
      <c r="Q216" s="989"/>
      <c r="R216" s="989"/>
      <c r="S216" s="989"/>
      <c r="T216" s="1862">
        <f t="shared" si="32"/>
        <v>0</v>
      </c>
    </row>
    <row r="217" spans="1:20" ht="22.2" hidden="1" customHeight="1">
      <c r="A217" s="1448">
        <f>COUNTIF($C$12:C217,"x")</f>
        <v>1</v>
      </c>
      <c r="B217" s="1455" t="s">
        <v>639</v>
      </c>
      <c r="C217" s="60" t="str">
        <f t="shared" si="33"/>
        <v xml:space="preserve"> </v>
      </c>
      <c r="D217" s="1417">
        <v>2.2530000000000001</v>
      </c>
      <c r="E217" s="980" t="str">
        <f>VLOOKUP($B217,DG!A:D,DG!$B$2,)</f>
        <v>03.1013</v>
      </c>
      <c r="F217" s="985" t="str">
        <f>VLOOKUP($B217,DG!A:D,DG!$C$2,)</f>
        <v>Đào hố móng đất cấp 3 sâu &gt;1m</v>
      </c>
      <c r="G217" s="980" t="str">
        <f>VLOOKUP($B217,DG!A:D,DG!$D$2,)</f>
        <v>m3</v>
      </c>
      <c r="H217" s="1693"/>
      <c r="I217" s="1693"/>
      <c r="J217" s="1693"/>
      <c r="K217" s="1693"/>
      <c r="L217" s="1693"/>
      <c r="M217" s="1693"/>
      <c r="N217" s="1693"/>
      <c r="O217" s="1693"/>
      <c r="P217" s="1693"/>
      <c r="Q217" s="994"/>
      <c r="R217" s="994"/>
      <c r="S217" s="994"/>
      <c r="T217" s="1862">
        <f t="shared" si="32"/>
        <v>0</v>
      </c>
    </row>
    <row r="218" spans="1:20" ht="22.2" hidden="1" customHeight="1">
      <c r="A218" s="1448">
        <f>COUNTIF($C$12:C218,"x")</f>
        <v>1</v>
      </c>
      <c r="B218" s="1455" t="s">
        <v>21</v>
      </c>
      <c r="C218" s="60" t="str">
        <f t="shared" si="33"/>
        <v xml:space="preserve"> </v>
      </c>
      <c r="D218" s="1417">
        <v>2.48</v>
      </c>
      <c r="E218" s="980" t="str">
        <f>VLOOKUP($B218,DG!A:D,DG!$B$2,)</f>
        <v>03.4113</v>
      </c>
      <c r="F218" s="985" t="str">
        <f>VLOOKUP($B218,DG!A:D,DG!$C$2,)</f>
        <v>Đắp đất hố móng, độ chặt k=0,95</v>
      </c>
      <c r="G218" s="980" t="str">
        <f>VLOOKUP($B218,DG!A:D,DG!$D$2,)</f>
        <v>m3</v>
      </c>
      <c r="H218" s="1693"/>
      <c r="I218" s="1693"/>
      <c r="J218" s="1693"/>
      <c r="K218" s="1693"/>
      <c r="L218" s="1693"/>
      <c r="M218" s="1693"/>
      <c r="N218" s="1693"/>
      <c r="O218" s="1693"/>
      <c r="P218" s="1693"/>
      <c r="Q218" s="994"/>
      <c r="R218" s="994"/>
      <c r="S218" s="994"/>
      <c r="T218" s="1862">
        <f t="shared" si="32"/>
        <v>0</v>
      </c>
    </row>
    <row r="219" spans="1:20" ht="22.2" hidden="1" customHeight="1">
      <c r="A219" s="1448">
        <f>COUNTIF($C$12:C219,"x")</f>
        <v>1</v>
      </c>
      <c r="B219" s="1455" t="s">
        <v>1576</v>
      </c>
      <c r="C219" s="60" t="str">
        <f t="shared" si="33"/>
        <v xml:space="preserve"> </v>
      </c>
      <c r="D219" s="1414">
        <f>0.255*2</f>
        <v>0.51</v>
      </c>
      <c r="E219" s="980" t="str">
        <f>VLOOKUP($B219,DG!A:D,DG!$B$2,)</f>
        <v>02.1123</v>
      </c>
      <c r="F219" s="985" t="str">
        <f>VLOOKUP($B219,DG!A:D,DG!$C$2,)</f>
        <v>Bốc dỡ đà cản, đế néo</v>
      </c>
      <c r="G219" s="980" t="str">
        <f>VLOOKUP($B219,DG!A:D,DG!$D$2,)</f>
        <v>tấn</v>
      </c>
      <c r="H219" s="1693"/>
      <c r="I219" s="1693"/>
      <c r="J219" s="1693"/>
      <c r="K219" s="1693"/>
      <c r="L219" s="1693"/>
      <c r="M219" s="1693"/>
      <c r="N219" s="1693"/>
      <c r="O219" s="1693"/>
      <c r="P219" s="1693"/>
      <c r="Q219" s="989"/>
      <c r="R219" s="989"/>
      <c r="S219" s="989"/>
      <c r="T219" s="1862">
        <f t="shared" si="32"/>
        <v>0</v>
      </c>
    </row>
    <row r="220" spans="1:20" ht="22.2" hidden="1" customHeight="1">
      <c r="A220" s="1448">
        <f>COUNTIF($C$12:C220,"x")</f>
        <v>1</v>
      </c>
      <c r="B220" s="1455" t="s">
        <v>1577</v>
      </c>
      <c r="C220" s="60" t="str">
        <f t="shared" si="33"/>
        <v xml:space="preserve"> </v>
      </c>
      <c r="D220" s="1415">
        <f>D214</f>
        <v>42</v>
      </c>
      <c r="E220" s="980" t="str">
        <f>VLOOKUP($B220,DG!A:D,DG!$B$2,)</f>
        <v>02.1119</v>
      </c>
      <c r="F220" s="985" t="str">
        <f>VLOOKUP($B220,DG!A:D,DG!$C$2,)</f>
        <v>Bốc dỡ cừ tràm 5m</v>
      </c>
      <c r="G220" s="980" t="str">
        <f>VLOOKUP($B220,DG!A:D,DG!$D$2,)</f>
        <v>cây</v>
      </c>
      <c r="H220" s="1693"/>
      <c r="I220" s="1693"/>
      <c r="J220" s="1693"/>
      <c r="K220" s="1693"/>
      <c r="L220" s="1693"/>
      <c r="M220" s="1693"/>
      <c r="N220" s="1693"/>
      <c r="O220" s="1693"/>
      <c r="P220" s="1693"/>
      <c r="Q220" s="989"/>
      <c r="R220" s="989"/>
      <c r="S220" s="989"/>
      <c r="T220" s="1862">
        <f t="shared" si="32"/>
        <v>0</v>
      </c>
    </row>
    <row r="221" spans="1:20" ht="22.2" hidden="1" customHeight="1">
      <c r="A221" s="1448">
        <f>COUNTIF($C$12:C221,"x")</f>
        <v>1</v>
      </c>
      <c r="B221" s="1464" t="s">
        <v>2063</v>
      </c>
      <c r="C221" s="60" t="str">
        <f t="shared" si="33"/>
        <v xml:space="preserve"> </v>
      </c>
      <c r="D221" s="1414">
        <f>D219</f>
        <v>0.51</v>
      </c>
      <c r="E221" s="980" t="str">
        <f>VLOOKUP($B221,DG!A:C,2,)</f>
        <v>02.1451</v>
      </c>
      <c r="F221" s="985" t="str">
        <f>VLOOKUP($B221,DG!A:C,3,)</f>
        <v>V/c đà cản vào vị trí (cự ly &lt;=100m)</v>
      </c>
      <c r="G221" s="980" t="str">
        <f>VLOOKUP($B221,DG!A:D,4,0)</f>
        <v>tấn</v>
      </c>
      <c r="H221" s="1693"/>
      <c r="I221" s="1693"/>
      <c r="J221" s="1693"/>
      <c r="K221" s="1693"/>
      <c r="L221" s="1693"/>
      <c r="M221" s="1693"/>
      <c r="N221" s="1693"/>
      <c r="O221" s="1693"/>
      <c r="P221" s="1693"/>
      <c r="Q221" s="994"/>
      <c r="R221" s="994"/>
      <c r="S221" s="994"/>
      <c r="T221" s="1862">
        <f t="shared" si="32"/>
        <v>0</v>
      </c>
    </row>
    <row r="222" spans="1:20" ht="22.2" hidden="1" customHeight="1">
      <c r="A222" s="1448">
        <f>COUNTIF($C$12:C222,"x")</f>
        <v>1</v>
      </c>
      <c r="B222" s="1466" t="s">
        <v>634</v>
      </c>
      <c r="C222" s="60" t="str">
        <f t="shared" si="33"/>
        <v xml:space="preserve"> </v>
      </c>
      <c r="D222" s="1415">
        <f>D214</f>
        <v>42</v>
      </c>
      <c r="E222" s="980" t="str">
        <f>VLOOKUP($B222,DG!A:C,2,)</f>
        <v>02.1411</v>
      </c>
      <c r="F222" s="985" t="str">
        <f>VLOOKUP($B222,DG!A:C,3,)</f>
        <v>V/c cừ tràm 5m ( cự ly &lt;=100m)</v>
      </c>
      <c r="G222" s="980" t="str">
        <f>VLOOKUP($B222,DG!A:D,4,0)</f>
        <v>cây</v>
      </c>
      <c r="H222" s="1693"/>
      <c r="I222" s="1693"/>
      <c r="J222" s="1693"/>
      <c r="K222" s="1693"/>
      <c r="L222" s="1693"/>
      <c r="M222" s="1693"/>
      <c r="N222" s="1693"/>
      <c r="O222" s="1693"/>
      <c r="P222" s="1693"/>
      <c r="Q222" s="994"/>
      <c r="R222" s="994"/>
      <c r="S222" s="994"/>
      <c r="T222" s="1862">
        <f t="shared" si="32"/>
        <v>0</v>
      </c>
    </row>
    <row r="223" spans="1:20" ht="22.2" hidden="1" customHeight="1">
      <c r="A223" s="1448">
        <f>COUNTIF($C$12:C223,"x")</f>
        <v>1</v>
      </c>
      <c r="B223" s="1464" t="s">
        <v>635</v>
      </c>
      <c r="C223" s="60" t="str">
        <f t="shared" si="33"/>
        <v xml:space="preserve"> </v>
      </c>
      <c r="D223" s="1414">
        <v>0.2</v>
      </c>
      <c r="E223" s="980" t="str">
        <f>VLOOKUP($B223,DG!A:C,2,)</f>
        <v>02.1482</v>
      </c>
      <c r="F223" s="985" t="str">
        <f>VLOOKUP($B223,DG!A:C,3,)</f>
        <v>V/c dụng cụ thi công vào vị trí (cự ly &lt;=100m)</v>
      </c>
      <c r="G223" s="980" t="str">
        <f>VLOOKUP($B223,DG!A:D,4,0)</f>
        <v>tấn</v>
      </c>
      <c r="H223" s="1693"/>
      <c r="I223" s="1693"/>
      <c r="J223" s="1693"/>
      <c r="K223" s="1693"/>
      <c r="L223" s="1693"/>
      <c r="M223" s="1693"/>
      <c r="N223" s="1693"/>
      <c r="O223" s="1693"/>
      <c r="P223" s="1693"/>
      <c r="Q223" s="994"/>
      <c r="R223" s="994"/>
      <c r="S223" s="994"/>
      <c r="T223" s="1862">
        <f t="shared" si="32"/>
        <v>0</v>
      </c>
    </row>
    <row r="224" spans="1:20" ht="22.2" hidden="1" customHeight="1">
      <c r="A224" s="1448">
        <f>COUNTIF($C$12:C224,"x")</f>
        <v>1</v>
      </c>
      <c r="B224" s="1452" t="s">
        <v>832</v>
      </c>
      <c r="C224" s="59" t="str">
        <f t="shared" si="33"/>
        <v xml:space="preserve"> </v>
      </c>
      <c r="D224" s="1412"/>
      <c r="E224" s="981"/>
      <c r="F224" s="1276" t="s">
        <v>2349</v>
      </c>
      <c r="G224" s="982" t="s">
        <v>2327</v>
      </c>
      <c r="H224" s="1691">
        <f>SUM(I224:O224)</f>
        <v>0</v>
      </c>
      <c r="I224" s="1692"/>
      <c r="J224" s="1692"/>
      <c r="K224" s="1692">
        <f>IFERROR(HLOOKUP(B224,pp3p1m!$1:$3,2,0),0)</f>
        <v>0</v>
      </c>
      <c r="L224" s="1692">
        <f>IFERROR(HLOOKUP(chitiet!B224,pp1p!$1:$3,3,0),0)</f>
        <v>0</v>
      </c>
      <c r="M224" s="1692"/>
      <c r="N224" s="1692"/>
      <c r="O224" s="1692"/>
      <c r="P224" s="2674">
        <f>T224</f>
        <v>0</v>
      </c>
      <c r="Q224" s="983">
        <f>IF(P224&gt;H224,P224-H224,0)</f>
        <v>0</v>
      </c>
      <c r="R224" s="983">
        <f>IF(H224&gt;P224,H224-P224,0)</f>
        <v>0</v>
      </c>
      <c r="S224" s="983"/>
      <c r="T224" s="1862">
        <f>IFERROR(HLOOKUP(B224,pp1p!$1:$3,3,0),0)+IFERROR(HLOOKUP(B224,pp3p1m!$1:$3,3,0),0)</f>
        <v>0</v>
      </c>
    </row>
    <row r="225" spans="1:20" ht="22.2" hidden="1" customHeight="1">
      <c r="A225" s="1448">
        <f>COUNTIF($C$12:C225,"x")</f>
        <v>1</v>
      </c>
      <c r="B225" s="1465" t="s">
        <v>636</v>
      </c>
      <c r="C225" s="60" t="str">
        <f t="shared" si="33"/>
        <v xml:space="preserve"> </v>
      </c>
      <c r="D225" s="1418">
        <v>2</v>
      </c>
      <c r="E225" s="980" t="str">
        <f>VLOOKUP($B225,DG!A:D,DG!$B$2,)</f>
        <v>04.4001</v>
      </c>
      <c r="F225" s="990" t="str">
        <f>VLOOKUP($B225,DG!A:D,DG!$C$2,)</f>
        <v>Đà cản BTCT 1,2m</v>
      </c>
      <c r="G225" s="984" t="str">
        <f>VLOOKUP($B225,DG!A:D,DG!$D$2,)</f>
        <v>cái</v>
      </c>
      <c r="H225" s="1694">
        <f t="shared" ref="H225:N226" si="35">H$224*$D225</f>
        <v>0</v>
      </c>
      <c r="I225" s="1694">
        <f t="shared" si="35"/>
        <v>0</v>
      </c>
      <c r="J225" s="1694">
        <f t="shared" si="35"/>
        <v>0</v>
      </c>
      <c r="K225" s="1694">
        <f t="shared" si="35"/>
        <v>0</v>
      </c>
      <c r="L225" s="1694">
        <f t="shared" si="35"/>
        <v>0</v>
      </c>
      <c r="M225" s="1694">
        <f t="shared" si="35"/>
        <v>0</v>
      </c>
      <c r="N225" s="1694">
        <f t="shared" si="35"/>
        <v>0</v>
      </c>
      <c r="O225" s="1694"/>
      <c r="P225" s="1694"/>
      <c r="Q225" s="988"/>
      <c r="R225" s="988"/>
      <c r="S225" s="988"/>
      <c r="T225" s="1862">
        <f t="shared" si="32"/>
        <v>0</v>
      </c>
    </row>
    <row r="226" spans="1:20" ht="22.2" hidden="1" customHeight="1">
      <c r="A226" s="1448">
        <f>COUNTIF($C$12:C226,"x")</f>
        <v>1</v>
      </c>
      <c r="B226" s="1465" t="s">
        <v>416</v>
      </c>
      <c r="C226" s="60" t="str">
        <f t="shared" si="33"/>
        <v xml:space="preserve"> </v>
      </c>
      <c r="D226" s="1418">
        <v>1</v>
      </c>
      <c r="E226" s="984"/>
      <c r="F226" s="990" t="str">
        <f>VLOOKUP($B226,DG!A:D,DG!$C$2,)</f>
        <v>Boulon 22x800+ 2 long đền vuông D24-50x50x3/Zn</v>
      </c>
      <c r="G226" s="984" t="str">
        <f>VLOOKUP($B226,DG!A:D,DG!$D$2,)</f>
        <v>bộ</v>
      </c>
      <c r="H226" s="1694">
        <f t="shared" si="35"/>
        <v>0</v>
      </c>
      <c r="I226" s="1694">
        <f t="shared" si="35"/>
        <v>0</v>
      </c>
      <c r="J226" s="1694">
        <f t="shared" si="35"/>
        <v>0</v>
      </c>
      <c r="K226" s="1694">
        <f t="shared" si="35"/>
        <v>0</v>
      </c>
      <c r="L226" s="1694">
        <f t="shared" si="35"/>
        <v>0</v>
      </c>
      <c r="M226" s="1694">
        <f t="shared" si="35"/>
        <v>0</v>
      </c>
      <c r="N226" s="1694">
        <f t="shared" si="35"/>
        <v>0</v>
      </c>
      <c r="O226" s="1694"/>
      <c r="P226" s="1694"/>
      <c r="Q226" s="988"/>
      <c r="R226" s="988"/>
      <c r="S226" s="988"/>
      <c r="T226" s="1862">
        <f t="shared" si="32"/>
        <v>0</v>
      </c>
    </row>
    <row r="227" spans="1:20" ht="22.2" hidden="1" customHeight="1">
      <c r="A227" s="1448">
        <f>COUNTIF($C$12:C227,"x")</f>
        <v>1</v>
      </c>
      <c r="B227" s="1455" t="s">
        <v>1812</v>
      </c>
      <c r="C227" s="60" t="str">
        <f t="shared" si="33"/>
        <v xml:space="preserve"> </v>
      </c>
      <c r="D227" s="1413">
        <v>0.2</v>
      </c>
      <c r="E227" s="980">
        <f>VLOOKUP($B227,DG!A:D,DG!$B$2,)</f>
        <v>0</v>
      </c>
      <c r="F227" s="985" t="str">
        <f>VLOOKUP($B227,DG!A:D,DG!$C$2,)</f>
        <v>Đá 2x4</v>
      </c>
      <c r="G227" s="980" t="str">
        <f>VLOOKUP($B227,DG!A:D,DG!$D$2,)</f>
        <v>m3</v>
      </c>
      <c r="H227" s="1693">
        <f t="shared" ref="H227:N227" si="36">H$18*$D227</f>
        <v>0</v>
      </c>
      <c r="I227" s="1693">
        <f t="shared" si="36"/>
        <v>0</v>
      </c>
      <c r="J227" s="1693">
        <f t="shared" si="36"/>
        <v>0</v>
      </c>
      <c r="K227" s="1693">
        <f t="shared" si="36"/>
        <v>0</v>
      </c>
      <c r="L227" s="1693">
        <f t="shared" si="36"/>
        <v>0</v>
      </c>
      <c r="M227" s="1693">
        <f t="shared" si="36"/>
        <v>0</v>
      </c>
      <c r="N227" s="1693">
        <f t="shared" si="36"/>
        <v>0</v>
      </c>
      <c r="O227" s="1693"/>
      <c r="P227" s="1693"/>
      <c r="Q227" s="989"/>
      <c r="R227" s="989"/>
      <c r="S227" s="989"/>
      <c r="T227" s="1862">
        <f t="shared" si="32"/>
        <v>0</v>
      </c>
    </row>
    <row r="228" spans="1:20" ht="22.2" hidden="1" customHeight="1">
      <c r="A228" s="1448">
        <f>COUNTIF($C$12:C228,"x")</f>
        <v>1</v>
      </c>
      <c r="B228" s="1465" t="s">
        <v>639</v>
      </c>
      <c r="C228" s="60" t="str">
        <f t="shared" si="33"/>
        <v xml:space="preserve"> </v>
      </c>
      <c r="D228" s="1417">
        <v>1.76</v>
      </c>
      <c r="E228" s="984" t="str">
        <f>VLOOKUP($B228,DG!A:D,DG!$B$2,)</f>
        <v>03.1013</v>
      </c>
      <c r="F228" s="985" t="str">
        <f>VLOOKUP($B228,DG!A:D,DG!$C$2,)</f>
        <v>Đào hố móng đất cấp 3 sâu &gt;1m</v>
      </c>
      <c r="G228" s="984" t="str">
        <f>VLOOKUP($B228,DG!A:D,DG!$D$2,)</f>
        <v>m3</v>
      </c>
      <c r="H228" s="1694"/>
      <c r="I228" s="1694"/>
      <c r="J228" s="1694"/>
      <c r="K228" s="1694"/>
      <c r="L228" s="1694"/>
      <c r="M228" s="1694"/>
      <c r="N228" s="1694"/>
      <c r="O228" s="1694"/>
      <c r="P228" s="1694"/>
      <c r="Q228" s="991"/>
      <c r="R228" s="991"/>
      <c r="S228" s="991"/>
      <c r="T228" s="1862">
        <f t="shared" si="32"/>
        <v>0</v>
      </c>
    </row>
    <row r="229" spans="1:20" ht="22.2" hidden="1" customHeight="1">
      <c r="A229" s="1448">
        <f>COUNTIF($C$12:C229,"x")</f>
        <v>1</v>
      </c>
      <c r="B229" s="1465" t="s">
        <v>21</v>
      </c>
      <c r="C229" s="60" t="str">
        <f t="shared" si="33"/>
        <v xml:space="preserve"> </v>
      </c>
      <c r="D229" s="1417">
        <v>1.94</v>
      </c>
      <c r="E229" s="984" t="str">
        <f>VLOOKUP($B229,DG!A:D,DG!$B$2,)</f>
        <v>03.4113</v>
      </c>
      <c r="F229" s="985" t="str">
        <f>VLOOKUP($B229,DG!A:D,DG!$C$2,)</f>
        <v>Đắp đất hố móng, độ chặt k=0,95</v>
      </c>
      <c r="G229" s="984" t="str">
        <f>VLOOKUP($B229,DG!A:D,DG!$D$2,)</f>
        <v>m3</v>
      </c>
      <c r="H229" s="1694"/>
      <c r="I229" s="1694"/>
      <c r="J229" s="1694"/>
      <c r="K229" s="1694"/>
      <c r="L229" s="1694"/>
      <c r="M229" s="1694"/>
      <c r="N229" s="1694"/>
      <c r="O229" s="1694"/>
      <c r="P229" s="1694"/>
      <c r="Q229" s="991"/>
      <c r="R229" s="991"/>
      <c r="S229" s="991"/>
      <c r="T229" s="1862">
        <f t="shared" si="32"/>
        <v>0</v>
      </c>
    </row>
    <row r="230" spans="1:20" ht="22.2" hidden="1" customHeight="1">
      <c r="A230" s="1448">
        <f>COUNTIF($C$12:C230,"x")</f>
        <v>1</v>
      </c>
      <c r="B230" s="1465" t="s">
        <v>637</v>
      </c>
      <c r="C230" s="60" t="str">
        <f t="shared" si="33"/>
        <v xml:space="preserve"> </v>
      </c>
      <c r="D230" s="1417">
        <f>0.1*2</f>
        <v>0.2</v>
      </c>
      <c r="E230" s="984" t="str">
        <f>VLOOKUP($B230,DG!A:D,DG!$B$2,)</f>
        <v>02.1123</v>
      </c>
      <c r="F230" s="985" t="str">
        <f>VLOOKUP($B230,DG!A:D,DG!$C$2,)</f>
        <v>Bốc dỡ đà cản, đế néo</v>
      </c>
      <c r="G230" s="984" t="str">
        <f>VLOOKUP($B230,DG!A:D,DG!$D$2,)</f>
        <v>tấn</v>
      </c>
      <c r="H230" s="1694"/>
      <c r="I230" s="1694"/>
      <c r="J230" s="1694"/>
      <c r="K230" s="1694"/>
      <c r="L230" s="1694"/>
      <c r="M230" s="1694"/>
      <c r="N230" s="1694"/>
      <c r="O230" s="1694"/>
      <c r="P230" s="1694"/>
      <c r="Q230" s="988"/>
      <c r="R230" s="988"/>
      <c r="S230" s="988"/>
      <c r="T230" s="1862">
        <f t="shared" si="32"/>
        <v>0</v>
      </c>
    </row>
    <row r="231" spans="1:20" ht="22.2" hidden="1" customHeight="1">
      <c r="A231" s="1448">
        <f>COUNTIF($C$12:C231,"x")</f>
        <v>1</v>
      </c>
      <c r="B231" s="1453" t="s">
        <v>2063</v>
      </c>
      <c r="C231" s="60" t="str">
        <f t="shared" si="33"/>
        <v xml:space="preserve"> </v>
      </c>
      <c r="D231" s="1417">
        <f>D230</f>
        <v>0.2</v>
      </c>
      <c r="E231" s="984" t="str">
        <f>VLOOKUP($B231,DG!A:C,2,)</f>
        <v>02.1451</v>
      </c>
      <c r="F231" s="985" t="str">
        <f>VLOOKUP($B231,DG!A:C,3,)</f>
        <v>V/c đà cản vào vị trí (cự ly &lt;=100m)</v>
      </c>
      <c r="G231" s="984" t="str">
        <f>VLOOKUP($B231,DG!A:D,4,0)</f>
        <v>tấn</v>
      </c>
      <c r="H231" s="1694"/>
      <c r="I231" s="1694"/>
      <c r="J231" s="1694"/>
      <c r="K231" s="1694"/>
      <c r="L231" s="1694"/>
      <c r="M231" s="1694"/>
      <c r="N231" s="1694"/>
      <c r="O231" s="1694"/>
      <c r="P231" s="1694"/>
      <c r="Q231" s="991"/>
      <c r="R231" s="991"/>
      <c r="S231" s="991"/>
      <c r="T231" s="1862">
        <f t="shared" si="32"/>
        <v>0</v>
      </c>
    </row>
    <row r="232" spans="1:20" ht="22.2" hidden="1" customHeight="1">
      <c r="A232" s="1448">
        <f>COUNTIF($C$12:C232,"x")</f>
        <v>1</v>
      </c>
      <c r="B232" s="1464" t="s">
        <v>674</v>
      </c>
      <c r="C232" s="60" t="str">
        <f t="shared" si="33"/>
        <v xml:space="preserve"> </v>
      </c>
      <c r="D232" s="1413">
        <f>D227</f>
        <v>0.2</v>
      </c>
      <c r="E232" s="980" t="str">
        <f>VLOOKUP($B232,DG!A:C,2,)</f>
        <v>02.1241</v>
      </c>
      <c r="F232" s="985" t="str">
        <f>VLOOKUP($B232,DG!A:C,3,)</f>
        <v>V/c đá dăm ( cự ly &lt;=100m)</v>
      </c>
      <c r="G232" s="980" t="str">
        <f>VLOOKUP($B232,DG!A:D,4,0)</f>
        <v>m3</v>
      </c>
      <c r="H232" s="1693"/>
      <c r="I232" s="1693"/>
      <c r="J232" s="1693"/>
      <c r="K232" s="1693"/>
      <c r="L232" s="1693"/>
      <c r="M232" s="1693"/>
      <c r="N232" s="1693"/>
      <c r="O232" s="1693"/>
      <c r="P232" s="1693"/>
      <c r="Q232" s="994"/>
      <c r="R232" s="994"/>
      <c r="S232" s="994"/>
      <c r="T232" s="1862">
        <f t="shared" si="32"/>
        <v>0</v>
      </c>
    </row>
    <row r="233" spans="1:20" ht="22.2" hidden="1" customHeight="1">
      <c r="A233" s="1448">
        <f>COUNTIF($C$12:C233,"x")</f>
        <v>1</v>
      </c>
      <c r="B233" s="1453" t="s">
        <v>635</v>
      </c>
      <c r="C233" s="60" t="str">
        <f t="shared" si="33"/>
        <v xml:space="preserve"> </v>
      </c>
      <c r="D233" s="1417">
        <v>0.2</v>
      </c>
      <c r="E233" s="984" t="str">
        <f>VLOOKUP($B233,DG!A:C,2,)</f>
        <v>02.1482</v>
      </c>
      <c r="F233" s="985" t="str">
        <f>VLOOKUP($B233,DG!A:C,3,)</f>
        <v>V/c dụng cụ thi công vào vị trí (cự ly &lt;=100m)</v>
      </c>
      <c r="G233" s="984" t="str">
        <f>VLOOKUP($B233,DG!A:D,4,0)</f>
        <v>tấn</v>
      </c>
      <c r="H233" s="1694"/>
      <c r="I233" s="1694"/>
      <c r="J233" s="1694"/>
      <c r="K233" s="1694"/>
      <c r="L233" s="1694"/>
      <c r="M233" s="1694"/>
      <c r="N233" s="1694"/>
      <c r="O233" s="1694"/>
      <c r="P233" s="1694"/>
      <c r="Q233" s="991"/>
      <c r="R233" s="991"/>
      <c r="S233" s="991"/>
      <c r="T233" s="1862">
        <f t="shared" si="32"/>
        <v>0</v>
      </c>
    </row>
    <row r="234" spans="1:20" ht="22.2" hidden="1" customHeight="1">
      <c r="A234" s="1448">
        <f>COUNTIF($C$12:C234,"x")</f>
        <v>1</v>
      </c>
      <c r="B234" s="1452" t="s">
        <v>760</v>
      </c>
      <c r="C234" s="59" t="str">
        <f t="shared" si="33"/>
        <v xml:space="preserve"> </v>
      </c>
      <c r="D234" s="1412"/>
      <c r="E234" s="981"/>
      <c r="F234" s="1276" t="s">
        <v>2350</v>
      </c>
      <c r="G234" s="982" t="s">
        <v>2327</v>
      </c>
      <c r="H234" s="1691">
        <f>SUM(I234:O234)</f>
        <v>0</v>
      </c>
      <c r="I234" s="1692"/>
      <c r="J234" s="1692"/>
      <c r="K234" s="1692">
        <f>IFERROR(HLOOKUP(B234,pp3p1m!$1:$3,2,0),0)</f>
        <v>0</v>
      </c>
      <c r="L234" s="1692">
        <f>IFERROR(HLOOKUP(chitiet!B234,pp1p!$1:$3,3,0),0)</f>
        <v>0</v>
      </c>
      <c r="M234" s="1692"/>
      <c r="N234" s="1692"/>
      <c r="O234" s="1692"/>
      <c r="P234" s="2674">
        <f>T234</f>
        <v>0</v>
      </c>
      <c r="Q234" s="983">
        <f>IF(P234&gt;H234,P234-H234,0)</f>
        <v>0</v>
      </c>
      <c r="R234" s="983">
        <f>IF(H234&gt;P234,H234-P234,0)</f>
        <v>0</v>
      </c>
      <c r="S234" s="983"/>
      <c r="T234" s="1862">
        <f>IFERROR(HLOOKUP(B234,pp1p!$1:$3,3,0),0)+IFERROR(HLOOKUP(B234,pp3p1m!$1:$3,3,0),0)</f>
        <v>0</v>
      </c>
    </row>
    <row r="235" spans="1:20" ht="22.2" hidden="1" customHeight="1">
      <c r="A235" s="1448">
        <f>COUNTIF($C$12:C235,"x")</f>
        <v>1</v>
      </c>
      <c r="B235" s="1465" t="s">
        <v>1575</v>
      </c>
      <c r="C235" s="60" t="str">
        <f t="shared" si="33"/>
        <v xml:space="preserve"> </v>
      </c>
      <c r="D235" s="1418">
        <v>2</v>
      </c>
      <c r="E235" s="980" t="str">
        <f>VLOOKUP($B235,DG!A:D,DG!$B$2,)</f>
        <v>04.3801</v>
      </c>
      <c r="F235" s="990" t="str">
        <f>VLOOKUP($B235,DG!A:D,DG!$C$2,)</f>
        <v>Đà cản BTCT 1,5m</v>
      </c>
      <c r="G235" s="984" t="str">
        <f>VLOOKUP($B235,DG!A:D,DG!$D$2,)</f>
        <v>cái</v>
      </c>
      <c r="H235" s="1694">
        <f t="shared" ref="H235:N236" si="37">H$234*$D235</f>
        <v>0</v>
      </c>
      <c r="I235" s="1694">
        <f t="shared" si="37"/>
        <v>0</v>
      </c>
      <c r="J235" s="1694">
        <f t="shared" si="37"/>
        <v>0</v>
      </c>
      <c r="K235" s="1694">
        <f t="shared" si="37"/>
        <v>0</v>
      </c>
      <c r="L235" s="1694">
        <f t="shared" si="37"/>
        <v>0</v>
      </c>
      <c r="M235" s="1694">
        <f t="shared" si="37"/>
        <v>0</v>
      </c>
      <c r="N235" s="1694">
        <f t="shared" si="37"/>
        <v>0</v>
      </c>
      <c r="O235" s="1694"/>
      <c r="P235" s="1694"/>
      <c r="Q235" s="988"/>
      <c r="R235" s="988"/>
      <c r="S235" s="988"/>
      <c r="T235" s="1862">
        <f t="shared" si="32"/>
        <v>0</v>
      </c>
    </row>
    <row r="236" spans="1:20" ht="22.2" hidden="1" customHeight="1">
      <c r="A236" s="1448">
        <f>COUNTIF($C$12:C236,"x")</f>
        <v>1</v>
      </c>
      <c r="B236" s="1465" t="s">
        <v>416</v>
      </c>
      <c r="C236" s="60" t="str">
        <f t="shared" si="33"/>
        <v xml:space="preserve"> </v>
      </c>
      <c r="D236" s="1418">
        <v>1</v>
      </c>
      <c r="E236" s="984"/>
      <c r="F236" s="990" t="str">
        <f>VLOOKUP($B236,DG!A:D,DG!$C$2,)</f>
        <v>Boulon 22x800+ 2 long đền vuông D24-50x50x3/Zn</v>
      </c>
      <c r="G236" s="984" t="str">
        <f>VLOOKUP($B236,DG!A:D,DG!$D$2,)</f>
        <v>bộ</v>
      </c>
      <c r="H236" s="1694">
        <f t="shared" si="37"/>
        <v>0</v>
      </c>
      <c r="I236" s="1694">
        <f t="shared" si="37"/>
        <v>0</v>
      </c>
      <c r="J236" s="1694">
        <f t="shared" si="37"/>
        <v>0</v>
      </c>
      <c r="K236" s="1694">
        <f t="shared" si="37"/>
        <v>0</v>
      </c>
      <c r="L236" s="1694">
        <f t="shared" si="37"/>
        <v>0</v>
      </c>
      <c r="M236" s="1694">
        <f t="shared" si="37"/>
        <v>0</v>
      </c>
      <c r="N236" s="1694">
        <f t="shared" si="37"/>
        <v>0</v>
      </c>
      <c r="O236" s="1694"/>
      <c r="P236" s="1694"/>
      <c r="Q236" s="988"/>
      <c r="R236" s="988"/>
      <c r="S236" s="988"/>
      <c r="T236" s="1862">
        <f t="shared" si="32"/>
        <v>0</v>
      </c>
    </row>
    <row r="237" spans="1:20" ht="22.2" hidden="1" customHeight="1">
      <c r="A237" s="1448">
        <f>COUNTIF($C$12:C237,"x")</f>
        <v>1</v>
      </c>
      <c r="B237" s="1455" t="s">
        <v>1812</v>
      </c>
      <c r="C237" s="60" t="str">
        <f t="shared" si="33"/>
        <v xml:space="preserve"> </v>
      </c>
      <c r="D237" s="1413">
        <v>0.2</v>
      </c>
      <c r="E237" s="980">
        <f>VLOOKUP($B237,DG!A:D,DG!$B$2,)</f>
        <v>0</v>
      </c>
      <c r="F237" s="985" t="str">
        <f>VLOOKUP($B237,DG!A:D,DG!$C$2,)</f>
        <v>Đá 2x4</v>
      </c>
      <c r="G237" s="980" t="str">
        <f>VLOOKUP($B237,DG!A:D,DG!$D$2,)</f>
        <v>m3</v>
      </c>
      <c r="H237" s="1693">
        <f t="shared" ref="H237:N237" si="38">H$18*$D237</f>
        <v>0</v>
      </c>
      <c r="I237" s="1693">
        <f t="shared" si="38"/>
        <v>0</v>
      </c>
      <c r="J237" s="1693">
        <f t="shared" si="38"/>
        <v>0</v>
      </c>
      <c r="K237" s="1693">
        <f t="shared" si="38"/>
        <v>0</v>
      </c>
      <c r="L237" s="1693">
        <f t="shared" si="38"/>
        <v>0</v>
      </c>
      <c r="M237" s="1693">
        <f t="shared" si="38"/>
        <v>0</v>
      </c>
      <c r="N237" s="1693">
        <f t="shared" si="38"/>
        <v>0</v>
      </c>
      <c r="O237" s="1693"/>
      <c r="P237" s="1693"/>
      <c r="Q237" s="989"/>
      <c r="R237" s="989"/>
      <c r="S237" s="989"/>
      <c r="T237" s="1862">
        <f t="shared" si="32"/>
        <v>0</v>
      </c>
    </row>
    <row r="238" spans="1:20" ht="22.2" hidden="1" customHeight="1">
      <c r="A238" s="1448">
        <f>COUNTIF($C$12:C238,"x")</f>
        <v>1</v>
      </c>
      <c r="B238" s="1465" t="s">
        <v>639</v>
      </c>
      <c r="C238" s="60" t="str">
        <f t="shared" si="33"/>
        <v xml:space="preserve"> </v>
      </c>
      <c r="D238" s="1417">
        <v>2.2530000000000001</v>
      </c>
      <c r="E238" s="984" t="str">
        <f>VLOOKUP($B238,DG!A:D,DG!$B$2,)</f>
        <v>03.1013</v>
      </c>
      <c r="F238" s="985" t="str">
        <f>VLOOKUP($B238,DG!A:D,DG!$C$2,)</f>
        <v>Đào hố móng đất cấp 3 sâu &gt;1m</v>
      </c>
      <c r="G238" s="984" t="str">
        <f>VLOOKUP($B238,DG!A:D,DG!$D$2,)</f>
        <v>m3</v>
      </c>
      <c r="H238" s="1694"/>
      <c r="I238" s="1694"/>
      <c r="J238" s="1694"/>
      <c r="K238" s="1694"/>
      <c r="L238" s="1694"/>
      <c r="M238" s="1694"/>
      <c r="N238" s="1694"/>
      <c r="O238" s="1694"/>
      <c r="P238" s="1694"/>
      <c r="Q238" s="991"/>
      <c r="R238" s="991"/>
      <c r="S238" s="991"/>
      <c r="T238" s="1862">
        <f t="shared" si="32"/>
        <v>0</v>
      </c>
    </row>
    <row r="239" spans="1:20" ht="22.2" hidden="1" customHeight="1">
      <c r="A239" s="1448">
        <f>COUNTIF($C$12:C239,"x")</f>
        <v>1</v>
      </c>
      <c r="B239" s="1465" t="s">
        <v>21</v>
      </c>
      <c r="C239" s="60" t="str">
        <f t="shared" si="33"/>
        <v xml:space="preserve"> </v>
      </c>
      <c r="D239" s="1417">
        <v>2.48</v>
      </c>
      <c r="E239" s="984" t="str">
        <f>VLOOKUP($B239,DG!A:D,DG!$B$2,)</f>
        <v>03.4113</v>
      </c>
      <c r="F239" s="985" t="str">
        <f>VLOOKUP($B239,DG!A:D,DG!$C$2,)</f>
        <v>Đắp đất hố móng, độ chặt k=0,95</v>
      </c>
      <c r="G239" s="984" t="str">
        <f>VLOOKUP($B239,DG!A:D,DG!$D$2,)</f>
        <v>m3</v>
      </c>
      <c r="H239" s="1694"/>
      <c r="I239" s="1694"/>
      <c r="J239" s="1694"/>
      <c r="K239" s="1694"/>
      <c r="L239" s="1694"/>
      <c r="M239" s="1694"/>
      <c r="N239" s="1694"/>
      <c r="O239" s="1694"/>
      <c r="P239" s="1694"/>
      <c r="Q239" s="991"/>
      <c r="R239" s="991"/>
      <c r="S239" s="991"/>
      <c r="T239" s="1862">
        <f t="shared" si="32"/>
        <v>0</v>
      </c>
    </row>
    <row r="240" spans="1:20" ht="22.2" hidden="1" customHeight="1">
      <c r="A240" s="1448">
        <f>COUNTIF($C$12:C240,"x")</f>
        <v>1</v>
      </c>
      <c r="B240" s="1465" t="s">
        <v>637</v>
      </c>
      <c r="C240" s="60" t="str">
        <f t="shared" si="33"/>
        <v xml:space="preserve"> </v>
      </c>
      <c r="D240" s="1417">
        <f>0.1*2</f>
        <v>0.2</v>
      </c>
      <c r="E240" s="984" t="str">
        <f>VLOOKUP($B240,DG!A:D,DG!$B$2,)</f>
        <v>02.1123</v>
      </c>
      <c r="F240" s="985" t="str">
        <f>VLOOKUP($B240,DG!A:D,DG!$C$2,)</f>
        <v>Bốc dỡ đà cản, đế néo</v>
      </c>
      <c r="G240" s="984" t="str">
        <f>VLOOKUP($B240,DG!A:D,DG!$D$2,)</f>
        <v>tấn</v>
      </c>
      <c r="H240" s="1694"/>
      <c r="I240" s="1694"/>
      <c r="J240" s="1694"/>
      <c r="K240" s="1694"/>
      <c r="L240" s="1694"/>
      <c r="M240" s="1694"/>
      <c r="N240" s="1694"/>
      <c r="O240" s="1694"/>
      <c r="P240" s="1694"/>
      <c r="Q240" s="988"/>
      <c r="R240" s="988"/>
      <c r="S240" s="988"/>
      <c r="T240" s="1862">
        <f t="shared" si="32"/>
        <v>0</v>
      </c>
    </row>
    <row r="241" spans="1:20" ht="22.2" hidden="1" customHeight="1">
      <c r="A241" s="1448">
        <f>COUNTIF($C$12:C241,"x")</f>
        <v>1</v>
      </c>
      <c r="B241" s="1453" t="s">
        <v>2063</v>
      </c>
      <c r="C241" s="60" t="str">
        <f t="shared" si="33"/>
        <v xml:space="preserve"> </v>
      </c>
      <c r="D241" s="1417">
        <f>D240</f>
        <v>0.2</v>
      </c>
      <c r="E241" s="984" t="str">
        <f>VLOOKUP($B241,DG!A:C,2,)</f>
        <v>02.1451</v>
      </c>
      <c r="F241" s="985" t="str">
        <f>VLOOKUP($B241,DG!A:C,3,)</f>
        <v>V/c đà cản vào vị trí (cự ly &lt;=100m)</v>
      </c>
      <c r="G241" s="984" t="str">
        <f>VLOOKUP($B241,DG!A:D,4,0)</f>
        <v>tấn</v>
      </c>
      <c r="H241" s="1694"/>
      <c r="I241" s="1694"/>
      <c r="J241" s="1694"/>
      <c r="K241" s="1694"/>
      <c r="L241" s="1694"/>
      <c r="M241" s="1694"/>
      <c r="N241" s="1694"/>
      <c r="O241" s="1694"/>
      <c r="P241" s="1694"/>
      <c r="Q241" s="991"/>
      <c r="R241" s="991"/>
      <c r="S241" s="991"/>
      <c r="T241" s="1862">
        <f t="shared" si="32"/>
        <v>0</v>
      </c>
    </row>
    <row r="242" spans="1:20" ht="22.2" hidden="1" customHeight="1">
      <c r="A242" s="1448">
        <f>COUNTIF($C$12:C242,"x")</f>
        <v>1</v>
      </c>
      <c r="B242" s="1464" t="s">
        <v>674</v>
      </c>
      <c r="C242" s="60" t="str">
        <f t="shared" si="33"/>
        <v xml:space="preserve"> </v>
      </c>
      <c r="D242" s="1413">
        <f>D237</f>
        <v>0.2</v>
      </c>
      <c r="E242" s="980" t="str">
        <f>VLOOKUP($B242,DG!A:C,2,)</f>
        <v>02.1241</v>
      </c>
      <c r="F242" s="985" t="str">
        <f>VLOOKUP($B242,DG!A:C,3,)</f>
        <v>V/c đá dăm ( cự ly &lt;=100m)</v>
      </c>
      <c r="G242" s="980" t="str">
        <f>VLOOKUP($B242,DG!A:D,4,0)</f>
        <v>m3</v>
      </c>
      <c r="H242" s="1693"/>
      <c r="I242" s="1693"/>
      <c r="J242" s="1693"/>
      <c r="K242" s="1693"/>
      <c r="L242" s="1693"/>
      <c r="M242" s="1693"/>
      <c r="N242" s="1693"/>
      <c r="O242" s="1693"/>
      <c r="P242" s="1693"/>
      <c r="Q242" s="994"/>
      <c r="R242" s="994"/>
      <c r="S242" s="994"/>
      <c r="T242" s="1862">
        <f t="shared" si="32"/>
        <v>0</v>
      </c>
    </row>
    <row r="243" spans="1:20" ht="22.2" hidden="1" customHeight="1">
      <c r="A243" s="1448">
        <f>COUNTIF($C$12:C243,"x")</f>
        <v>1</v>
      </c>
      <c r="B243" s="1453" t="s">
        <v>635</v>
      </c>
      <c r="C243" s="60" t="str">
        <f t="shared" si="33"/>
        <v xml:space="preserve"> </v>
      </c>
      <c r="D243" s="1417">
        <v>0.2</v>
      </c>
      <c r="E243" s="984" t="str">
        <f>VLOOKUP($B243,DG!A:C,2,)</f>
        <v>02.1482</v>
      </c>
      <c r="F243" s="985" t="str">
        <f>VLOOKUP($B243,DG!A:C,3,)</f>
        <v>V/c dụng cụ thi công vào vị trí (cự ly &lt;=100m)</v>
      </c>
      <c r="G243" s="984" t="str">
        <f>VLOOKUP($B243,DG!A:D,4,0)</f>
        <v>tấn</v>
      </c>
      <c r="H243" s="1694"/>
      <c r="I243" s="1694"/>
      <c r="J243" s="1694"/>
      <c r="K243" s="1694"/>
      <c r="L243" s="1694"/>
      <c r="M243" s="1694"/>
      <c r="N243" s="1694"/>
      <c r="O243" s="1694"/>
      <c r="P243" s="1694"/>
      <c r="Q243" s="991"/>
      <c r="R243" s="991"/>
      <c r="S243" s="991"/>
      <c r="T243" s="1862">
        <f t="shared" si="32"/>
        <v>0</v>
      </c>
    </row>
    <row r="244" spans="1:20" ht="22.2" customHeight="1">
      <c r="A244" s="1448">
        <f>COUNTIF($C$12:C244,"x")</f>
        <v>2</v>
      </c>
      <c r="B244" s="1452" t="s">
        <v>219</v>
      </c>
      <c r="C244" s="973" t="str">
        <f t="shared" si="33"/>
        <v>x</v>
      </c>
      <c r="D244" s="1412"/>
      <c r="E244" s="981"/>
      <c r="F244" s="1276" t="s">
        <v>2351</v>
      </c>
      <c r="G244" s="982" t="s">
        <v>2327</v>
      </c>
      <c r="H244" s="1691">
        <f>SUM(I244:O244)</f>
        <v>5</v>
      </c>
      <c r="I244" s="1692"/>
      <c r="J244" s="1692"/>
      <c r="K244" s="1692">
        <f>IFERROR(HLOOKUP(B244,pp3p1m!$1:$3,2,0),0)</f>
        <v>5</v>
      </c>
      <c r="L244" s="1692">
        <f>IFERROR(HLOOKUP(chitiet!B244,pp1p!$1:$3,3,0),0)</f>
        <v>0</v>
      </c>
      <c r="M244" s="1692"/>
      <c r="N244" s="1692"/>
      <c r="O244" s="1692"/>
      <c r="P244" s="1691">
        <f>T244</f>
        <v>5</v>
      </c>
      <c r="Q244" s="2677">
        <f>IF(P244&gt;H244,P244-H244,0)</f>
        <v>0</v>
      </c>
      <c r="R244" s="1691">
        <f>IF(H244&gt;P244,H244-P244,0)</f>
        <v>0</v>
      </c>
      <c r="S244" s="983"/>
      <c r="T244" s="1862">
        <f>IFERROR(HLOOKUP(B244,pp1p!$1:$3,3,0),0)+IFERROR(HLOOKUP(B244,pp3p1m!$1:$3,3,0),0)</f>
        <v>5</v>
      </c>
    </row>
    <row r="245" spans="1:20" ht="22.2" customHeight="1">
      <c r="A245" s="1448">
        <f>COUNTIF($C$12:C245,"x")</f>
        <v>3</v>
      </c>
      <c r="B245" s="1451" t="s">
        <v>639</v>
      </c>
      <c r="C245" s="973" t="str">
        <f t="shared" si="33"/>
        <v>x</v>
      </c>
      <c r="D245" s="1416">
        <v>0.35299999999999998</v>
      </c>
      <c r="E245" s="984"/>
      <c r="F245" s="985" t="str">
        <f>VLOOKUP($B245,DG!A:D,DG!$C$2,)</f>
        <v>Đào hố móng đất cấp 3 sâu &gt;1m</v>
      </c>
      <c r="G245" s="984" t="str">
        <f>VLOOKUP($B245,DG!A:D,DG!$D$2,)</f>
        <v>m3</v>
      </c>
      <c r="H245" s="1694">
        <f t="shared" ref="H245:N245" si="39">H$244*$D245</f>
        <v>1.7649999999999999</v>
      </c>
      <c r="I245" s="1694">
        <f t="shared" si="39"/>
        <v>0</v>
      </c>
      <c r="J245" s="1694">
        <f t="shared" si="39"/>
        <v>0</v>
      </c>
      <c r="K245" s="1694">
        <f t="shared" si="39"/>
        <v>1.7649999999999999</v>
      </c>
      <c r="L245" s="1694">
        <f t="shared" si="39"/>
        <v>0</v>
      </c>
      <c r="M245" s="1694">
        <f t="shared" si="39"/>
        <v>0</v>
      </c>
      <c r="N245" s="1694">
        <f t="shared" si="39"/>
        <v>0</v>
      </c>
      <c r="O245" s="1694"/>
      <c r="P245" s="1694">
        <f>$P$244*D245</f>
        <v>1.7649999999999999</v>
      </c>
      <c r="Q245" s="2678">
        <f>$Q$244*D245</f>
        <v>0</v>
      </c>
      <c r="R245" s="1694">
        <f>$R$244*D245</f>
        <v>0</v>
      </c>
      <c r="S245" s="988"/>
      <c r="T245" s="1862">
        <f t="shared" si="32"/>
        <v>0</v>
      </c>
    </row>
    <row r="246" spans="1:20" ht="22.2" customHeight="1">
      <c r="A246" s="1448">
        <f>COUNTIF($C$12:C246,"x")</f>
        <v>4</v>
      </c>
      <c r="B246" s="1451" t="s">
        <v>21</v>
      </c>
      <c r="C246" s="973" t="str">
        <f t="shared" si="33"/>
        <v>x</v>
      </c>
      <c r="D246" s="1416">
        <v>0.18</v>
      </c>
      <c r="E246" s="980" t="str">
        <f>VLOOKUP($B246,DG!A:D,DG!$B$2,)</f>
        <v>03.4113</v>
      </c>
      <c r="F246" s="985" t="str">
        <f>VLOOKUP($B246,DG!A:D,DG!$C$2,)</f>
        <v>Đắp đất hố móng, độ chặt k=0,95</v>
      </c>
      <c r="G246" s="980" t="str">
        <f>VLOOKUP($B246,DG!A:D,DG!$D$2,)</f>
        <v>m3</v>
      </c>
      <c r="H246" s="1694">
        <f>H$244*$D246</f>
        <v>0.89999999999999991</v>
      </c>
      <c r="I246" s="1693">
        <f t="shared" ref="I246:N246" si="40">I$18*$D246</f>
        <v>0</v>
      </c>
      <c r="J246" s="1693">
        <f t="shared" si="40"/>
        <v>0</v>
      </c>
      <c r="K246" s="1693">
        <f t="shared" si="40"/>
        <v>0</v>
      </c>
      <c r="L246" s="1693">
        <f t="shared" si="40"/>
        <v>0</v>
      </c>
      <c r="M246" s="1693">
        <f t="shared" si="40"/>
        <v>0</v>
      </c>
      <c r="N246" s="1693">
        <f t="shared" si="40"/>
        <v>0</v>
      </c>
      <c r="O246" s="1693"/>
      <c r="P246" s="1694">
        <f>$P$244*D246</f>
        <v>0.89999999999999991</v>
      </c>
      <c r="Q246" s="2678">
        <f>$Q$244*D246</f>
        <v>0</v>
      </c>
      <c r="R246" s="1694">
        <f>$R$244*D246</f>
        <v>0</v>
      </c>
      <c r="S246" s="989"/>
      <c r="T246" s="1862">
        <f t="shared" si="32"/>
        <v>0</v>
      </c>
    </row>
    <row r="247" spans="1:20" ht="22.2" hidden="1" customHeight="1">
      <c r="A247" s="1448">
        <f>COUNTIF($C$12:C247,"x")</f>
        <v>4</v>
      </c>
      <c r="B247" s="1453" t="s">
        <v>635</v>
      </c>
      <c r="C247" s="60" t="str">
        <f t="shared" si="33"/>
        <v xml:space="preserve"> </v>
      </c>
      <c r="D247" s="1417"/>
      <c r="E247" s="984" t="str">
        <f>VLOOKUP($B247,DG!A:C,2,)</f>
        <v>02.1482</v>
      </c>
      <c r="F247" s="985" t="str">
        <f>VLOOKUP($B247,DG!A:C,3,)</f>
        <v>V/c dụng cụ thi công vào vị trí (cự ly &lt;=100m)</v>
      </c>
      <c r="G247" s="984" t="str">
        <f>VLOOKUP($B247,DG!A:D,4,0)</f>
        <v>tấn</v>
      </c>
      <c r="H247" s="1694"/>
      <c r="I247" s="1694"/>
      <c r="J247" s="1694"/>
      <c r="K247" s="1694"/>
      <c r="L247" s="1694"/>
      <c r="M247" s="1694"/>
      <c r="N247" s="1694"/>
      <c r="O247" s="1694"/>
      <c r="P247" s="1694"/>
      <c r="Q247" s="991"/>
      <c r="R247" s="991"/>
      <c r="S247" s="991"/>
      <c r="T247" s="1862">
        <f t="shared" si="32"/>
        <v>0</v>
      </c>
    </row>
    <row r="248" spans="1:20" ht="22.2" hidden="1" customHeight="1">
      <c r="A248" s="1448">
        <f>COUNTIF($C$12:C248,"x")</f>
        <v>4</v>
      </c>
      <c r="B248" s="1452" t="s">
        <v>303</v>
      </c>
      <c r="C248" s="59" t="str">
        <f t="shared" si="33"/>
        <v xml:space="preserve"> </v>
      </c>
      <c r="D248" s="1412"/>
      <c r="E248" s="981"/>
      <c r="F248" s="1276" t="s">
        <v>2352</v>
      </c>
      <c r="G248" s="982" t="s">
        <v>2327</v>
      </c>
      <c r="H248" s="1691">
        <f>SUM(I248:O248)</f>
        <v>0</v>
      </c>
      <c r="I248" s="1692"/>
      <c r="J248" s="1692"/>
      <c r="K248" s="1692">
        <f>IFERROR(HLOOKUP(B248,pp3p1m!$1:$3,2,0),0)</f>
        <v>0</v>
      </c>
      <c r="L248" s="1692">
        <f>IFERROR(HLOOKUP(chitiet!B248,pp1p!$1:$3,3,0),0)</f>
        <v>0</v>
      </c>
      <c r="M248" s="1692"/>
      <c r="N248" s="1692"/>
      <c r="O248" s="1692"/>
      <c r="P248" s="2674">
        <f>T248</f>
        <v>0</v>
      </c>
      <c r="Q248" s="983">
        <f>IF(P248&gt;H248,P248-H248,0)</f>
        <v>0</v>
      </c>
      <c r="R248" s="983">
        <f>IF(H248&gt;P248,H248-P248,0)</f>
        <v>0</v>
      </c>
      <c r="S248" s="983"/>
      <c r="T248" s="1862">
        <f>IFERROR(HLOOKUP(B248,pp1p!$1:$3,3,0),0)+IFERROR(HLOOKUP(B248,pp3p1m!$1:$3,3,0),0)</f>
        <v>0</v>
      </c>
    </row>
    <row r="249" spans="1:20" ht="22.2" hidden="1" customHeight="1">
      <c r="A249" s="1448">
        <f>COUNTIF($C$12:C249,"x")</f>
        <v>4</v>
      </c>
      <c r="B249" s="1465" t="s">
        <v>636</v>
      </c>
      <c r="C249" s="60" t="str">
        <f t="shared" si="33"/>
        <v xml:space="preserve"> </v>
      </c>
      <c r="D249" s="1418">
        <v>1</v>
      </c>
      <c r="E249" s="980" t="str">
        <f>VLOOKUP($B249,DG!A:D,DG!$B$2,)</f>
        <v>04.4001</v>
      </c>
      <c r="F249" s="990" t="str">
        <f>VLOOKUP($B249,DG!A:D,DG!$C$2,)</f>
        <v>Đà cản BTCT 1,2m</v>
      </c>
      <c r="G249" s="984" t="str">
        <f>VLOOKUP($B249,DG!A:D,DG!$D$2,)</f>
        <v>cái</v>
      </c>
      <c r="H249" s="1694">
        <f>H$248*$D249</f>
        <v>0</v>
      </c>
      <c r="I249" s="1694">
        <f>I$244*$D249</f>
        <v>0</v>
      </c>
      <c r="J249" s="1694">
        <f>J$244*$D249</f>
        <v>0</v>
      </c>
      <c r="K249" s="1694">
        <f>K$248*$D249</f>
        <v>0</v>
      </c>
      <c r="L249" s="1694">
        <f>L$248*$D249</f>
        <v>0</v>
      </c>
      <c r="M249" s="1694">
        <f t="shared" ref="M249:O250" si="41">M$244*$D249</f>
        <v>0</v>
      </c>
      <c r="N249" s="1694">
        <f t="shared" si="41"/>
        <v>0</v>
      </c>
      <c r="O249" s="1694">
        <f t="shared" si="41"/>
        <v>0</v>
      </c>
      <c r="P249" s="1693">
        <f>$P$248*D249</f>
        <v>0</v>
      </c>
      <c r="Q249" s="988"/>
      <c r="R249" s="988"/>
      <c r="S249" s="988"/>
      <c r="T249" s="1862">
        <f t="shared" si="32"/>
        <v>0</v>
      </c>
    </row>
    <row r="250" spans="1:20" ht="22.2" hidden="1" customHeight="1">
      <c r="A250" s="1448">
        <f>COUNTIF($C$12:C250,"x")</f>
        <v>4</v>
      </c>
      <c r="B250" s="1465" t="s">
        <v>1810</v>
      </c>
      <c r="C250" s="60" t="str">
        <f t="shared" si="33"/>
        <v xml:space="preserve"> </v>
      </c>
      <c r="D250" s="1418">
        <v>1</v>
      </c>
      <c r="E250" s="984"/>
      <c r="F250" s="990" t="str">
        <f>VLOOKUP($B250,DG!A:D,DG!$C$2,)</f>
        <v>Boulon 22x600+ 2 long đền vuông D24-50x50x3/Zn</v>
      </c>
      <c r="G250" s="984" t="str">
        <f>VLOOKUP($B250,DG!A:D,DG!$D$2,)</f>
        <v>bộ</v>
      </c>
      <c r="H250" s="1694">
        <f>H$248*$D250</f>
        <v>0</v>
      </c>
      <c r="I250" s="1694">
        <f>I$244*$D250</f>
        <v>0</v>
      </c>
      <c r="J250" s="1694">
        <f>J$244*$D250</f>
        <v>0</v>
      </c>
      <c r="K250" s="1694">
        <f>K$248*$D250</f>
        <v>0</v>
      </c>
      <c r="L250" s="1694">
        <f>L$248*$D250</f>
        <v>0</v>
      </c>
      <c r="M250" s="1694">
        <f t="shared" si="41"/>
        <v>0</v>
      </c>
      <c r="N250" s="1694">
        <f t="shared" si="41"/>
        <v>0</v>
      </c>
      <c r="O250" s="1694">
        <f t="shared" si="41"/>
        <v>0</v>
      </c>
      <c r="P250" s="1693">
        <f>$P$248*D250</f>
        <v>0</v>
      </c>
      <c r="Q250" s="988"/>
      <c r="R250" s="988"/>
      <c r="S250" s="988"/>
      <c r="T250" s="1862">
        <f t="shared" si="32"/>
        <v>0</v>
      </c>
    </row>
    <row r="251" spans="1:20" ht="22.2" hidden="1" customHeight="1">
      <c r="A251" s="1448">
        <f>COUNTIF($C$12:C251,"x")</f>
        <v>4</v>
      </c>
      <c r="B251" s="1465" t="s">
        <v>639</v>
      </c>
      <c r="C251" s="60" t="str">
        <f t="shared" si="33"/>
        <v xml:space="preserve"> </v>
      </c>
      <c r="D251" s="1417">
        <v>0.87</v>
      </c>
      <c r="E251" s="984" t="str">
        <f>VLOOKUP($B251,DG!A:D,DG!$B$2,)</f>
        <v>03.1013</v>
      </c>
      <c r="F251" s="985" t="str">
        <f>VLOOKUP($B251,DG!A:D,DG!$C$2,)</f>
        <v>Đào hố móng đất cấp 3 sâu &gt;1m</v>
      </c>
      <c r="G251" s="984" t="str">
        <f>VLOOKUP($B251,DG!A:D,DG!$D$2,)</f>
        <v>m3</v>
      </c>
      <c r="H251" s="1694">
        <f>H$248*$D251</f>
        <v>0</v>
      </c>
      <c r="I251" s="1694"/>
      <c r="J251" s="1694"/>
      <c r="K251" s="1694"/>
      <c r="L251" s="1694"/>
      <c r="M251" s="1694"/>
      <c r="N251" s="1694"/>
      <c r="O251" s="1694"/>
      <c r="P251" s="1693">
        <f>$P$248*D251</f>
        <v>0</v>
      </c>
      <c r="Q251" s="991"/>
      <c r="R251" s="991"/>
      <c r="S251" s="991"/>
      <c r="T251" s="1862">
        <f t="shared" si="32"/>
        <v>0</v>
      </c>
    </row>
    <row r="252" spans="1:20" ht="22.2" hidden="1" customHeight="1">
      <c r="A252" s="1448">
        <f>COUNTIF($C$12:C252,"x")</f>
        <v>4</v>
      </c>
      <c r="B252" s="1465" t="s">
        <v>21</v>
      </c>
      <c r="C252" s="60" t="str">
        <f t="shared" si="33"/>
        <v xml:space="preserve"> </v>
      </c>
      <c r="D252" s="1417">
        <v>0.79</v>
      </c>
      <c r="E252" s="984" t="str">
        <f>VLOOKUP($B252,DG!A:D,DG!$B$2,)</f>
        <v>03.4113</v>
      </c>
      <c r="F252" s="985" t="str">
        <f>VLOOKUP($B252,DG!A:D,DG!$C$2,)</f>
        <v>Đắp đất hố móng, độ chặt k=0,95</v>
      </c>
      <c r="G252" s="984" t="str">
        <f>VLOOKUP($B252,DG!A:D,DG!$D$2,)</f>
        <v>m3</v>
      </c>
      <c r="H252" s="1694">
        <f>H$248*$D252</f>
        <v>0</v>
      </c>
      <c r="I252" s="1694"/>
      <c r="J252" s="1694"/>
      <c r="K252" s="1694"/>
      <c r="L252" s="1694"/>
      <c r="M252" s="1694"/>
      <c r="N252" s="1694"/>
      <c r="O252" s="1694"/>
      <c r="P252" s="1693">
        <f>$P$248*D252</f>
        <v>0</v>
      </c>
      <c r="Q252" s="991"/>
      <c r="R252" s="991"/>
      <c r="S252" s="991"/>
      <c r="T252" s="1862">
        <f t="shared" si="32"/>
        <v>0</v>
      </c>
    </row>
    <row r="253" spans="1:20" ht="22.2" hidden="1" customHeight="1">
      <c r="A253" s="1448">
        <f>COUNTIF($C$12:C253,"x")</f>
        <v>4</v>
      </c>
      <c r="B253" s="1465" t="s">
        <v>637</v>
      </c>
      <c r="C253" s="60" t="str">
        <f t="shared" si="33"/>
        <v xml:space="preserve"> </v>
      </c>
      <c r="D253" s="1417">
        <f>0.1*0</f>
        <v>0</v>
      </c>
      <c r="E253" s="984" t="str">
        <f>VLOOKUP($B253,DG!A:D,DG!$B$2,)</f>
        <v>02.1123</v>
      </c>
      <c r="F253" s="985" t="str">
        <f>VLOOKUP($B253,DG!A:D,DG!$C$2,)</f>
        <v>Bốc dỡ đà cản, đế néo</v>
      </c>
      <c r="G253" s="984" t="str">
        <f>VLOOKUP($B253,DG!A:D,DG!$D$2,)</f>
        <v>tấn</v>
      </c>
      <c r="H253" s="1694"/>
      <c r="I253" s="1694"/>
      <c r="J253" s="1694"/>
      <c r="K253" s="1694"/>
      <c r="L253" s="1694"/>
      <c r="M253" s="1694"/>
      <c r="N253" s="1694"/>
      <c r="O253" s="1694"/>
      <c r="P253" s="1694"/>
      <c r="Q253" s="988"/>
      <c r="R253" s="988"/>
      <c r="S253" s="988"/>
      <c r="T253" s="1862">
        <f t="shared" si="32"/>
        <v>0</v>
      </c>
    </row>
    <row r="254" spans="1:20" ht="22.2" hidden="1" customHeight="1">
      <c r="A254" s="1448">
        <f>COUNTIF($C$12:C254,"x")</f>
        <v>4</v>
      </c>
      <c r="B254" s="1453" t="s">
        <v>2063</v>
      </c>
      <c r="C254" s="60" t="str">
        <f t="shared" si="33"/>
        <v xml:space="preserve"> </v>
      </c>
      <c r="D254" s="1417">
        <f>D253</f>
        <v>0</v>
      </c>
      <c r="E254" s="984" t="str">
        <f>VLOOKUP($B254,DG!A:C,2,)</f>
        <v>02.1451</v>
      </c>
      <c r="F254" s="985" t="str">
        <f>VLOOKUP($B254,DG!A:C,3,)</f>
        <v>V/c đà cản vào vị trí (cự ly &lt;=100m)</v>
      </c>
      <c r="G254" s="984" t="str">
        <f>VLOOKUP($B254,DG!A:D,4,0)</f>
        <v>tấn</v>
      </c>
      <c r="H254" s="1694"/>
      <c r="I254" s="1694"/>
      <c r="J254" s="1694"/>
      <c r="K254" s="1694"/>
      <c r="L254" s="1694"/>
      <c r="M254" s="1694"/>
      <c r="N254" s="1694"/>
      <c r="O254" s="1694"/>
      <c r="P254" s="1694"/>
      <c r="Q254" s="991"/>
      <c r="R254" s="991"/>
      <c r="S254" s="991"/>
      <c r="T254" s="1862">
        <f t="shared" si="32"/>
        <v>0</v>
      </c>
    </row>
    <row r="255" spans="1:20" ht="22.2" hidden="1" customHeight="1">
      <c r="A255" s="1448">
        <f>COUNTIF($C$12:C255,"x")</f>
        <v>4</v>
      </c>
      <c r="B255" s="1453" t="s">
        <v>635</v>
      </c>
      <c r="C255" s="60" t="str">
        <f t="shared" si="33"/>
        <v xml:space="preserve"> </v>
      </c>
      <c r="D255" s="1417">
        <f>0.2*0</f>
        <v>0</v>
      </c>
      <c r="E255" s="984" t="str">
        <f>VLOOKUP($B255,DG!A:C,2,)</f>
        <v>02.1482</v>
      </c>
      <c r="F255" s="985" t="str">
        <f>VLOOKUP($B255,DG!A:C,3,)</f>
        <v>V/c dụng cụ thi công vào vị trí (cự ly &lt;=100m)</v>
      </c>
      <c r="G255" s="984" t="str">
        <f>VLOOKUP($B255,DG!A:D,4,0)</f>
        <v>tấn</v>
      </c>
      <c r="H255" s="1694"/>
      <c r="I255" s="1694"/>
      <c r="J255" s="1694"/>
      <c r="K255" s="1694"/>
      <c r="L255" s="1694"/>
      <c r="M255" s="1694"/>
      <c r="N255" s="1694"/>
      <c r="O255" s="1694"/>
      <c r="P255" s="1694"/>
      <c r="Q255" s="991"/>
      <c r="R255" s="991"/>
      <c r="S255" s="991"/>
      <c r="T255" s="1862">
        <f t="shared" si="32"/>
        <v>0</v>
      </c>
    </row>
    <row r="256" spans="1:20" ht="22.2" hidden="1" customHeight="1">
      <c r="A256" s="1448">
        <f>COUNTIF($C$12:C256,"x")</f>
        <v>4</v>
      </c>
      <c r="B256" s="1452" t="s">
        <v>2263</v>
      </c>
      <c r="C256" s="59" t="str">
        <f t="shared" si="33"/>
        <v xml:space="preserve"> </v>
      </c>
      <c r="D256" s="1412"/>
      <c r="E256" s="981"/>
      <c r="F256" s="1276" t="s">
        <v>2353</v>
      </c>
      <c r="G256" s="982" t="s">
        <v>2327</v>
      </c>
      <c r="H256" s="1691">
        <f>SUM(I256:O256)</f>
        <v>0</v>
      </c>
      <c r="I256" s="1692"/>
      <c r="J256" s="1692"/>
      <c r="K256" s="1692">
        <f>IFERROR(HLOOKUP(B256,pp3p1m!$1:$3,2,0),0)</f>
        <v>0</v>
      </c>
      <c r="L256" s="1692">
        <f>IFERROR(HLOOKUP(chitiet!B256,pp1p!$1:$3,3,0),0)</f>
        <v>0</v>
      </c>
      <c r="M256" s="1692"/>
      <c r="N256" s="1692"/>
      <c r="O256" s="1692"/>
      <c r="P256" s="2674">
        <f>T256</f>
        <v>0</v>
      </c>
      <c r="Q256" s="983">
        <f>IF(P256&gt;H256,P256-H256,0)</f>
        <v>0</v>
      </c>
      <c r="R256" s="983">
        <f>IF(H256&gt;P256,H256-P256,0)</f>
        <v>0</v>
      </c>
      <c r="S256" s="983"/>
      <c r="T256" s="1862">
        <f>IFERROR(HLOOKUP(B256,pp1p!$1:$3,3,0),0)+IFERROR(HLOOKUP(B256,pp3p1m!$1:$3,3,0),0)</f>
        <v>0</v>
      </c>
    </row>
    <row r="257" spans="1:20" ht="22.2" hidden="1" customHeight="1">
      <c r="A257" s="1448">
        <f>COUNTIF($C$12:C257,"x")</f>
        <v>4</v>
      </c>
      <c r="B257" s="1465" t="s">
        <v>1575</v>
      </c>
      <c r="C257" s="60" t="str">
        <f t="shared" si="33"/>
        <v xml:space="preserve"> </v>
      </c>
      <c r="D257" s="1418">
        <v>1</v>
      </c>
      <c r="E257" s="980" t="str">
        <f>VLOOKUP($B257,DG!A:D,DG!$B$2,)</f>
        <v>04.3801</v>
      </c>
      <c r="F257" s="990" t="str">
        <f>VLOOKUP($B257,DG!A:D,DG!$C$2,)</f>
        <v>Đà cản BTCT 1,5m</v>
      </c>
      <c r="G257" s="984" t="str">
        <f>VLOOKUP($B257,DG!A:D,DG!$D$2,)</f>
        <v>cái</v>
      </c>
      <c r="H257" s="1694">
        <f t="shared" ref="H257:N258" si="42">H$256*$D257</f>
        <v>0</v>
      </c>
      <c r="I257" s="1694">
        <f t="shared" si="42"/>
        <v>0</v>
      </c>
      <c r="J257" s="1694">
        <f t="shared" si="42"/>
        <v>0</v>
      </c>
      <c r="K257" s="1694">
        <f t="shared" si="42"/>
        <v>0</v>
      </c>
      <c r="L257" s="1694">
        <f t="shared" si="42"/>
        <v>0</v>
      </c>
      <c r="M257" s="1694">
        <f t="shared" si="42"/>
        <v>0</v>
      </c>
      <c r="N257" s="1694">
        <f t="shared" si="42"/>
        <v>0</v>
      </c>
      <c r="O257" s="1694"/>
      <c r="P257" s="1694"/>
      <c r="Q257" s="988"/>
      <c r="R257" s="988"/>
      <c r="S257" s="988"/>
      <c r="T257" s="1862">
        <f t="shared" si="32"/>
        <v>0</v>
      </c>
    </row>
    <row r="258" spans="1:20" ht="22.2" hidden="1" customHeight="1">
      <c r="A258" s="1448">
        <f>COUNTIF($C$12:C258,"x")</f>
        <v>4</v>
      </c>
      <c r="B258" s="1465" t="s">
        <v>566</v>
      </c>
      <c r="C258" s="60" t="str">
        <f t="shared" si="33"/>
        <v xml:space="preserve"> </v>
      </c>
      <c r="D258" s="1418">
        <v>1</v>
      </c>
      <c r="E258" s="984"/>
      <c r="F258" s="990" t="str">
        <f>VLOOKUP($B258,DG!A:D,DG!$C$2,)</f>
        <v>Boulon 22x650+ 2 long đền vuông D24-50x50x3/Zn</v>
      </c>
      <c r="G258" s="984" t="str">
        <f>VLOOKUP($B258,DG!A:D,DG!$D$2,)</f>
        <v>bộ</v>
      </c>
      <c r="H258" s="1694">
        <f t="shared" si="42"/>
        <v>0</v>
      </c>
      <c r="I258" s="1694">
        <f t="shared" si="42"/>
        <v>0</v>
      </c>
      <c r="J258" s="1694">
        <f t="shared" si="42"/>
        <v>0</v>
      </c>
      <c r="K258" s="1694">
        <f t="shared" si="42"/>
        <v>0</v>
      </c>
      <c r="L258" s="1694">
        <f t="shared" si="42"/>
        <v>0</v>
      </c>
      <c r="M258" s="1694">
        <f t="shared" si="42"/>
        <v>0</v>
      </c>
      <c r="N258" s="1694">
        <f t="shared" si="42"/>
        <v>0</v>
      </c>
      <c r="O258" s="1694"/>
      <c r="P258" s="1694"/>
      <c r="Q258" s="988"/>
      <c r="R258" s="988"/>
      <c r="S258" s="988"/>
      <c r="T258" s="1862">
        <f t="shared" si="32"/>
        <v>0</v>
      </c>
    </row>
    <row r="259" spans="1:20" ht="22.2" hidden="1" customHeight="1">
      <c r="A259" s="1448">
        <f>COUNTIF($C$12:C259,"x")</f>
        <v>4</v>
      </c>
      <c r="B259" s="1455" t="s">
        <v>1812</v>
      </c>
      <c r="C259" s="60" t="str">
        <f t="shared" si="33"/>
        <v xml:space="preserve"> </v>
      </c>
      <c r="D259" s="1413">
        <v>0.23200000000000001</v>
      </c>
      <c r="E259" s="980">
        <f>VLOOKUP($B259,DG!A:D,DG!$B$2,)</f>
        <v>0</v>
      </c>
      <c r="F259" s="985" t="str">
        <f>VLOOKUP($B259,DG!A:D,DG!$C$2,)</f>
        <v>Đá 2x4</v>
      </c>
      <c r="G259" s="980" t="str">
        <f>VLOOKUP($B259,DG!A:D,DG!$D$2,)</f>
        <v>m3</v>
      </c>
      <c r="H259" s="1693">
        <f t="shared" ref="H259:N259" si="43">H$18*$D259</f>
        <v>0</v>
      </c>
      <c r="I259" s="1693">
        <f t="shared" si="43"/>
        <v>0</v>
      </c>
      <c r="J259" s="1693">
        <f t="shared" si="43"/>
        <v>0</v>
      </c>
      <c r="K259" s="1693">
        <f t="shared" si="43"/>
        <v>0</v>
      </c>
      <c r="L259" s="1693">
        <f t="shared" si="43"/>
        <v>0</v>
      </c>
      <c r="M259" s="1693">
        <f t="shared" si="43"/>
        <v>0</v>
      </c>
      <c r="N259" s="1693">
        <f t="shared" si="43"/>
        <v>0</v>
      </c>
      <c r="O259" s="1693"/>
      <c r="P259" s="1693"/>
      <c r="Q259" s="989"/>
      <c r="R259" s="989"/>
      <c r="S259" s="989"/>
      <c r="T259" s="1862">
        <f t="shared" si="32"/>
        <v>0</v>
      </c>
    </row>
    <row r="260" spans="1:20" ht="22.2" hidden="1" customHeight="1">
      <c r="A260" s="1448">
        <f>COUNTIF($C$12:C260,"x")</f>
        <v>4</v>
      </c>
      <c r="B260" s="1465" t="s">
        <v>639</v>
      </c>
      <c r="C260" s="60" t="str">
        <f t="shared" si="33"/>
        <v xml:space="preserve"> </v>
      </c>
      <c r="D260" s="1417">
        <v>3.1030000000000002</v>
      </c>
      <c r="E260" s="984" t="str">
        <f>VLOOKUP($B260,DG!A:D,DG!$B$2,)</f>
        <v>03.1013</v>
      </c>
      <c r="F260" s="985" t="str">
        <f>VLOOKUP($B260,DG!A:D,DG!$C$2,)</f>
        <v>Đào hố móng đất cấp 3 sâu &gt;1m</v>
      </c>
      <c r="G260" s="984" t="str">
        <f>VLOOKUP($B260,DG!A:D,DG!$D$2,)</f>
        <v>m3</v>
      </c>
      <c r="H260" s="1694"/>
      <c r="I260" s="1694"/>
      <c r="J260" s="1694"/>
      <c r="K260" s="1694"/>
      <c r="L260" s="1694"/>
      <c r="M260" s="1694"/>
      <c r="N260" s="1694"/>
      <c r="O260" s="1694"/>
      <c r="P260" s="1694"/>
      <c r="Q260" s="991"/>
      <c r="R260" s="991"/>
      <c r="S260" s="991"/>
      <c r="T260" s="1862">
        <f t="shared" si="32"/>
        <v>0</v>
      </c>
    </row>
    <row r="261" spans="1:20" ht="22.2" hidden="1" customHeight="1">
      <c r="A261" s="1448">
        <f>COUNTIF($C$12:C261,"x")</f>
        <v>4</v>
      </c>
      <c r="B261" s="1465" t="s">
        <v>21</v>
      </c>
      <c r="C261" s="60" t="str">
        <f t="shared" si="33"/>
        <v xml:space="preserve"> </v>
      </c>
      <c r="D261" s="1417">
        <v>3.472</v>
      </c>
      <c r="E261" s="984" t="str">
        <f>VLOOKUP($B261,DG!A:D,DG!$B$2,)</f>
        <v>03.4113</v>
      </c>
      <c r="F261" s="985" t="str">
        <f>VLOOKUP($B261,DG!A:D,DG!$C$2,)</f>
        <v>Đắp đất hố móng, độ chặt k=0,95</v>
      </c>
      <c r="G261" s="984" t="str">
        <f>VLOOKUP($B261,DG!A:D,DG!$D$2,)</f>
        <v>m3</v>
      </c>
      <c r="H261" s="1694"/>
      <c r="I261" s="1694"/>
      <c r="J261" s="1694"/>
      <c r="K261" s="1694"/>
      <c r="L261" s="1694"/>
      <c r="M261" s="1694"/>
      <c r="N261" s="1694"/>
      <c r="O261" s="1694"/>
      <c r="P261" s="1694"/>
      <c r="Q261" s="991"/>
      <c r="R261" s="991"/>
      <c r="S261" s="991"/>
      <c r="T261" s="1862">
        <f t="shared" si="32"/>
        <v>0</v>
      </c>
    </row>
    <row r="262" spans="1:20" ht="22.2" hidden="1" customHeight="1">
      <c r="A262" s="1448">
        <f>COUNTIF($C$12:C262,"x")</f>
        <v>4</v>
      </c>
      <c r="B262" s="1465" t="s">
        <v>637</v>
      </c>
      <c r="C262" s="60" t="str">
        <f t="shared" si="33"/>
        <v xml:space="preserve"> </v>
      </c>
      <c r="D262" s="1417">
        <v>0.255</v>
      </c>
      <c r="E262" s="984" t="str">
        <f>VLOOKUP($B262,DG!A:D,DG!$B$2,)</f>
        <v>02.1123</v>
      </c>
      <c r="F262" s="985" t="str">
        <f>VLOOKUP($B262,DG!A:D,DG!$C$2,)</f>
        <v>Bốc dỡ đà cản, đế néo</v>
      </c>
      <c r="G262" s="984" t="str">
        <f>VLOOKUP($B262,DG!A:D,DG!$D$2,)</f>
        <v>tấn</v>
      </c>
      <c r="H262" s="1694"/>
      <c r="I262" s="1694"/>
      <c r="J262" s="1694"/>
      <c r="K262" s="1694"/>
      <c r="L262" s="1694"/>
      <c r="M262" s="1694"/>
      <c r="N262" s="1694"/>
      <c r="O262" s="1694"/>
      <c r="P262" s="1694"/>
      <c r="Q262" s="988"/>
      <c r="R262" s="988"/>
      <c r="S262" s="988"/>
      <c r="T262" s="1862">
        <f t="shared" si="32"/>
        <v>0</v>
      </c>
    </row>
    <row r="263" spans="1:20" ht="22.2" hidden="1" customHeight="1">
      <c r="A263" s="1448">
        <f>COUNTIF($C$12:C263,"x")</f>
        <v>4</v>
      </c>
      <c r="B263" s="1453" t="s">
        <v>2063</v>
      </c>
      <c r="C263" s="60" t="str">
        <f t="shared" si="33"/>
        <v xml:space="preserve"> </v>
      </c>
      <c r="D263" s="1417">
        <f>+D262</f>
        <v>0.255</v>
      </c>
      <c r="E263" s="984" t="str">
        <f>VLOOKUP($B263,DG!A:C,2,)</f>
        <v>02.1451</v>
      </c>
      <c r="F263" s="985" t="str">
        <f>VLOOKUP($B263,DG!A:C,3,)</f>
        <v>V/c đà cản vào vị trí (cự ly &lt;=100m)</v>
      </c>
      <c r="G263" s="984" t="str">
        <f>VLOOKUP($B263,DG!A:D,4,0)</f>
        <v>tấn</v>
      </c>
      <c r="H263" s="1694"/>
      <c r="I263" s="1694"/>
      <c r="J263" s="1694"/>
      <c r="K263" s="1694"/>
      <c r="L263" s="1694"/>
      <c r="M263" s="1694"/>
      <c r="N263" s="1694"/>
      <c r="O263" s="1694"/>
      <c r="P263" s="1694"/>
      <c r="Q263" s="991"/>
      <c r="R263" s="991"/>
      <c r="S263" s="991"/>
      <c r="T263" s="1862">
        <f t="shared" si="32"/>
        <v>0</v>
      </c>
    </row>
    <row r="264" spans="1:20" ht="22.2" hidden="1" customHeight="1">
      <c r="A264" s="1448">
        <f>COUNTIF($C$12:C264,"x")</f>
        <v>4</v>
      </c>
      <c r="B264" s="1464" t="s">
        <v>674</v>
      </c>
      <c r="C264" s="60" t="str">
        <f t="shared" si="33"/>
        <v xml:space="preserve"> </v>
      </c>
      <c r="D264" s="1413">
        <f>D259</f>
        <v>0.23200000000000001</v>
      </c>
      <c r="E264" s="980" t="str">
        <f>VLOOKUP($B264,DG!A:C,2,)</f>
        <v>02.1241</v>
      </c>
      <c r="F264" s="985" t="str">
        <f>VLOOKUP($B264,DG!A:C,3,)</f>
        <v>V/c đá dăm ( cự ly &lt;=100m)</v>
      </c>
      <c r="G264" s="980" t="str">
        <f>VLOOKUP($B264,DG!A:D,4,0)</f>
        <v>m3</v>
      </c>
      <c r="H264" s="1693"/>
      <c r="I264" s="1693"/>
      <c r="J264" s="1693"/>
      <c r="K264" s="1693"/>
      <c r="L264" s="1693"/>
      <c r="M264" s="1693"/>
      <c r="N264" s="1693"/>
      <c r="O264" s="1693"/>
      <c r="P264" s="1693"/>
      <c r="Q264" s="994"/>
      <c r="R264" s="994"/>
      <c r="S264" s="994"/>
      <c r="T264" s="1862">
        <f t="shared" si="32"/>
        <v>0</v>
      </c>
    </row>
    <row r="265" spans="1:20" ht="22.2" hidden="1" customHeight="1">
      <c r="A265" s="1448">
        <f>COUNTIF($C$12:C265,"x")</f>
        <v>4</v>
      </c>
      <c r="B265" s="1453" t="s">
        <v>635</v>
      </c>
      <c r="C265" s="60" t="str">
        <f t="shared" si="33"/>
        <v xml:space="preserve"> </v>
      </c>
      <c r="D265" s="1417">
        <v>0.2</v>
      </c>
      <c r="E265" s="984" t="str">
        <f>VLOOKUP($B265,DG!A:C,2,)</f>
        <v>02.1482</v>
      </c>
      <c r="F265" s="985" t="str">
        <f>VLOOKUP($B265,DG!A:C,3,)</f>
        <v>V/c dụng cụ thi công vào vị trí (cự ly &lt;=100m)</v>
      </c>
      <c r="G265" s="984" t="str">
        <f>VLOOKUP($B265,DG!A:D,4,0)</f>
        <v>tấn</v>
      </c>
      <c r="H265" s="1694"/>
      <c r="I265" s="1694"/>
      <c r="J265" s="1694"/>
      <c r="K265" s="1694"/>
      <c r="L265" s="1694"/>
      <c r="M265" s="1694"/>
      <c r="N265" s="1694"/>
      <c r="O265" s="1694"/>
      <c r="P265" s="1694"/>
      <c r="Q265" s="991"/>
      <c r="R265" s="991"/>
      <c r="S265" s="991"/>
      <c r="T265" s="1862">
        <f t="shared" si="32"/>
        <v>0</v>
      </c>
    </row>
    <row r="266" spans="1:20" ht="22.2" hidden="1" customHeight="1">
      <c r="A266" s="1448">
        <f>COUNTIF($C$12:C266,"x")</f>
        <v>4</v>
      </c>
      <c r="B266" s="1452" t="s">
        <v>304</v>
      </c>
      <c r="C266" s="59" t="str">
        <f t="shared" si="33"/>
        <v xml:space="preserve"> </v>
      </c>
      <c r="D266" s="1412"/>
      <c r="E266" s="981"/>
      <c r="F266" s="1276" t="s">
        <v>2354</v>
      </c>
      <c r="G266" s="982" t="s">
        <v>2327</v>
      </c>
      <c r="H266" s="1691">
        <f>SUM(I266:O266)</f>
        <v>0</v>
      </c>
      <c r="I266" s="1692"/>
      <c r="J266" s="1692"/>
      <c r="K266" s="1692">
        <f>IFERROR(HLOOKUP(B266,pp3p1m!$1:$3,2,0),0)</f>
        <v>0</v>
      </c>
      <c r="L266" s="1692">
        <f>IFERROR(HLOOKUP(chitiet!B266,pp1p!$1:$3,3,0),0)</f>
        <v>0</v>
      </c>
      <c r="M266" s="1692"/>
      <c r="N266" s="1692"/>
      <c r="O266" s="1692"/>
      <c r="P266" s="2674">
        <f>T266</f>
        <v>0</v>
      </c>
      <c r="Q266" s="983">
        <f>IF(P266&gt;H266,P266-H266,0)</f>
        <v>0</v>
      </c>
      <c r="R266" s="983">
        <f>IF(H266&gt;P266,H266-P266,0)</f>
        <v>0</v>
      </c>
      <c r="S266" s="983"/>
      <c r="T266" s="1862">
        <f>IFERROR(HLOOKUP(B266,pp1p!$1:$3,3,0),0)+IFERROR(HLOOKUP(B266,pp3p1m!$1:$3,3,0),0)</f>
        <v>0</v>
      </c>
    </row>
    <row r="267" spans="1:20" ht="22.2" hidden="1" customHeight="1">
      <c r="A267" s="1448">
        <f>COUNTIF($C$12:C267,"x")</f>
        <v>4</v>
      </c>
      <c r="B267" s="1465" t="s">
        <v>636</v>
      </c>
      <c r="C267" s="60" t="str">
        <f t="shared" si="33"/>
        <v xml:space="preserve"> </v>
      </c>
      <c r="D267" s="1418">
        <v>2</v>
      </c>
      <c r="E267" s="980" t="str">
        <f>VLOOKUP($B267,DG!A:D,DG!$B$2,)</f>
        <v>04.4001</v>
      </c>
      <c r="F267" s="990" t="str">
        <f>VLOOKUP($B267,DG!A:D,DG!$C$2,)</f>
        <v>Đà cản BTCT 1,2m</v>
      </c>
      <c r="G267" s="984" t="str">
        <f>VLOOKUP($B267,DG!A:D,DG!$D$2,)</f>
        <v>cái</v>
      </c>
      <c r="H267" s="1694">
        <f t="shared" ref="H267:N268" si="44">H$266*$D267</f>
        <v>0</v>
      </c>
      <c r="I267" s="1694">
        <f t="shared" si="44"/>
        <v>0</v>
      </c>
      <c r="J267" s="1694">
        <f t="shared" si="44"/>
        <v>0</v>
      </c>
      <c r="K267" s="1694">
        <f t="shared" si="44"/>
        <v>0</v>
      </c>
      <c r="L267" s="1694">
        <f t="shared" si="44"/>
        <v>0</v>
      </c>
      <c r="M267" s="1694">
        <f t="shared" si="44"/>
        <v>0</v>
      </c>
      <c r="N267" s="1694">
        <f t="shared" si="44"/>
        <v>0</v>
      </c>
      <c r="O267" s="1694"/>
      <c r="P267" s="1694"/>
      <c r="Q267" s="988"/>
      <c r="R267" s="988"/>
      <c r="S267" s="988"/>
      <c r="T267" s="1862">
        <f t="shared" si="32"/>
        <v>0</v>
      </c>
    </row>
    <row r="268" spans="1:20" ht="22.2" hidden="1" customHeight="1">
      <c r="A268" s="1448">
        <f>COUNTIF($C$12:C268,"x")</f>
        <v>4</v>
      </c>
      <c r="B268" s="1465" t="s">
        <v>416</v>
      </c>
      <c r="C268" s="60" t="str">
        <f t="shared" si="33"/>
        <v xml:space="preserve"> </v>
      </c>
      <c r="D268" s="1418">
        <v>3</v>
      </c>
      <c r="E268" s="984"/>
      <c r="F268" s="990" t="str">
        <f>VLOOKUP($B268,DG!A:D,DG!$C$2,)</f>
        <v>Boulon 22x800+ 2 long đền vuông D24-50x50x3/Zn</v>
      </c>
      <c r="G268" s="984" t="str">
        <f>VLOOKUP($B268,DG!A:D,DG!$D$2,)</f>
        <v>bộ</v>
      </c>
      <c r="H268" s="1694">
        <f t="shared" si="44"/>
        <v>0</v>
      </c>
      <c r="I268" s="1694">
        <f t="shared" si="44"/>
        <v>0</v>
      </c>
      <c r="J268" s="1694">
        <f t="shared" si="44"/>
        <v>0</v>
      </c>
      <c r="K268" s="1694">
        <f t="shared" si="44"/>
        <v>0</v>
      </c>
      <c r="L268" s="1694">
        <f t="shared" si="44"/>
        <v>0</v>
      </c>
      <c r="M268" s="1694">
        <f t="shared" si="44"/>
        <v>0</v>
      </c>
      <c r="N268" s="1694">
        <f t="shared" si="44"/>
        <v>0</v>
      </c>
      <c r="O268" s="1694"/>
      <c r="P268" s="1694"/>
      <c r="Q268" s="988"/>
      <c r="R268" s="988"/>
      <c r="S268" s="988"/>
      <c r="T268" s="1862">
        <f t="shared" si="32"/>
        <v>0</v>
      </c>
    </row>
    <row r="269" spans="1:20" ht="22.2" hidden="1" customHeight="1">
      <c r="A269" s="1448">
        <f>COUNTIF($C$12:C269,"x")</f>
        <v>4</v>
      </c>
      <c r="B269" s="1465" t="s">
        <v>639</v>
      </c>
      <c r="C269" s="60" t="str">
        <f t="shared" si="33"/>
        <v xml:space="preserve"> </v>
      </c>
      <c r="D269" s="1417">
        <v>3.03</v>
      </c>
      <c r="E269" s="984" t="str">
        <f>VLOOKUP($B269,DG!A:D,DG!$B$2,)</f>
        <v>03.1013</v>
      </c>
      <c r="F269" s="985" t="str">
        <f>VLOOKUP($B269,DG!A:D,DG!$C$2,)</f>
        <v>Đào hố móng đất cấp 3 sâu &gt;1m</v>
      </c>
      <c r="G269" s="984" t="str">
        <f>VLOOKUP($B269,DG!A:D,DG!$D$2,)</f>
        <v>m3</v>
      </c>
      <c r="H269" s="1694"/>
      <c r="I269" s="1694"/>
      <c r="J269" s="1694"/>
      <c r="K269" s="1694"/>
      <c r="L269" s="1694"/>
      <c r="M269" s="1694"/>
      <c r="N269" s="1694"/>
      <c r="O269" s="1694"/>
      <c r="P269" s="1694"/>
      <c r="Q269" s="991"/>
      <c r="R269" s="991"/>
      <c r="S269" s="991"/>
      <c r="T269" s="1862">
        <f t="shared" si="32"/>
        <v>0</v>
      </c>
    </row>
    <row r="270" spans="1:20" ht="22.2" hidden="1" customHeight="1">
      <c r="A270" s="1448">
        <f>COUNTIF($C$12:C270,"x")</f>
        <v>4</v>
      </c>
      <c r="B270" s="1465" t="s">
        <v>21</v>
      </c>
      <c r="C270" s="60" t="str">
        <f t="shared" si="33"/>
        <v xml:space="preserve"> </v>
      </c>
      <c r="D270" s="1417">
        <v>3.02</v>
      </c>
      <c r="E270" s="984" t="str">
        <f>VLOOKUP($B270,DG!A:D,DG!$B$2,)</f>
        <v>03.4113</v>
      </c>
      <c r="F270" s="985" t="str">
        <f>VLOOKUP($B270,DG!A:D,DG!$C$2,)</f>
        <v>Đắp đất hố móng, độ chặt k=0,95</v>
      </c>
      <c r="G270" s="984" t="str">
        <f>VLOOKUP($B270,DG!A:D,DG!$D$2,)</f>
        <v>m3</v>
      </c>
      <c r="H270" s="1694"/>
      <c r="I270" s="1694"/>
      <c r="J270" s="1694"/>
      <c r="K270" s="1694"/>
      <c r="L270" s="1694"/>
      <c r="M270" s="1694"/>
      <c r="N270" s="1694"/>
      <c r="O270" s="1694"/>
      <c r="P270" s="1694"/>
      <c r="Q270" s="991"/>
      <c r="R270" s="991"/>
      <c r="S270" s="991"/>
      <c r="T270" s="1862">
        <f t="shared" ref="T270:T333" si="45">IFERROR(HLOOKUP(B270,BangKeTru,3,0),0)</f>
        <v>0</v>
      </c>
    </row>
    <row r="271" spans="1:20" ht="22.2" hidden="1" customHeight="1">
      <c r="A271" s="1448">
        <f>COUNTIF($C$12:C271,"x")</f>
        <v>4</v>
      </c>
      <c r="B271" s="1465" t="s">
        <v>637</v>
      </c>
      <c r="C271" s="60" t="str">
        <f t="shared" ref="C271:C334" si="46">IF(OR(P271&lt;&gt;0,H271&lt;&gt;0),"x"," ")</f>
        <v xml:space="preserve"> </v>
      </c>
      <c r="D271" s="1417"/>
      <c r="E271" s="984" t="str">
        <f>VLOOKUP($B271,DG!A:D,DG!$B$2,)</f>
        <v>02.1123</v>
      </c>
      <c r="F271" s="985" t="str">
        <f>VLOOKUP($B271,DG!A:D,DG!$C$2,)</f>
        <v>Bốc dỡ đà cản, đế néo</v>
      </c>
      <c r="G271" s="984" t="str">
        <f>VLOOKUP($B271,DG!A:D,DG!$D$2,)</f>
        <v>tấn</v>
      </c>
      <c r="H271" s="1694"/>
      <c r="I271" s="1694"/>
      <c r="J271" s="1694"/>
      <c r="K271" s="1694"/>
      <c r="L271" s="1694"/>
      <c r="M271" s="1694"/>
      <c r="N271" s="1694"/>
      <c r="O271" s="1694"/>
      <c r="P271" s="1694"/>
      <c r="Q271" s="988"/>
      <c r="R271" s="988"/>
      <c r="S271" s="988"/>
      <c r="T271" s="1862">
        <f t="shared" si="45"/>
        <v>0</v>
      </c>
    </row>
    <row r="272" spans="1:20" ht="22.2" hidden="1" customHeight="1">
      <c r="A272" s="1448">
        <f>COUNTIF($C$12:C272,"x")</f>
        <v>4</v>
      </c>
      <c r="B272" s="1453" t="s">
        <v>2063</v>
      </c>
      <c r="C272" s="60" t="str">
        <f t="shared" si="46"/>
        <v xml:space="preserve"> </v>
      </c>
      <c r="D272" s="1417"/>
      <c r="E272" s="984" t="str">
        <f>VLOOKUP($B272,DG!A:C,2,)</f>
        <v>02.1451</v>
      </c>
      <c r="F272" s="985" t="str">
        <f>VLOOKUP($B272,DG!A:C,3,)</f>
        <v>V/c đà cản vào vị trí (cự ly &lt;=100m)</v>
      </c>
      <c r="G272" s="984" t="str">
        <f>VLOOKUP($B272,DG!A:D,4,0)</f>
        <v>tấn</v>
      </c>
      <c r="H272" s="1694"/>
      <c r="I272" s="1694"/>
      <c r="J272" s="1694"/>
      <c r="K272" s="1694"/>
      <c r="L272" s="1694"/>
      <c r="M272" s="1694"/>
      <c r="N272" s="1694"/>
      <c r="O272" s="1694"/>
      <c r="P272" s="1694"/>
      <c r="Q272" s="991"/>
      <c r="R272" s="991"/>
      <c r="S272" s="991"/>
      <c r="T272" s="1862">
        <f t="shared" si="45"/>
        <v>0</v>
      </c>
    </row>
    <row r="273" spans="1:20" ht="22.2" hidden="1" customHeight="1">
      <c r="A273" s="1448">
        <f>COUNTIF($C$12:C273,"x")</f>
        <v>4</v>
      </c>
      <c r="B273" s="1453" t="s">
        <v>635</v>
      </c>
      <c r="C273" s="60" t="str">
        <f t="shared" si="46"/>
        <v xml:space="preserve"> </v>
      </c>
      <c r="D273" s="1417"/>
      <c r="E273" s="984" t="str">
        <f>VLOOKUP($B273,DG!A:C,2,)</f>
        <v>02.1482</v>
      </c>
      <c r="F273" s="985" t="str">
        <f>VLOOKUP($B273,DG!A:C,3,)</f>
        <v>V/c dụng cụ thi công vào vị trí (cự ly &lt;=100m)</v>
      </c>
      <c r="G273" s="984" t="str">
        <f>VLOOKUP($B273,DG!A:D,4,0)</f>
        <v>tấn</v>
      </c>
      <c r="H273" s="1694"/>
      <c r="I273" s="1694"/>
      <c r="J273" s="1694"/>
      <c r="K273" s="1694"/>
      <c r="L273" s="1694"/>
      <c r="M273" s="1694"/>
      <c r="N273" s="1694"/>
      <c r="O273" s="1694"/>
      <c r="P273" s="1694"/>
      <c r="Q273" s="991"/>
      <c r="R273" s="991"/>
      <c r="S273" s="991"/>
      <c r="T273" s="1862">
        <f t="shared" si="45"/>
        <v>0</v>
      </c>
    </row>
    <row r="274" spans="1:20" ht="22.2" hidden="1" customHeight="1">
      <c r="A274" s="1448">
        <f>COUNTIF($C$12:C274,"x")</f>
        <v>4</v>
      </c>
      <c r="B274" s="1452" t="s">
        <v>638</v>
      </c>
      <c r="C274" s="59" t="str">
        <f t="shared" si="46"/>
        <v xml:space="preserve"> </v>
      </c>
      <c r="D274" s="1412"/>
      <c r="E274" s="981"/>
      <c r="F274" s="1276" t="s">
        <v>2355</v>
      </c>
      <c r="G274" s="982" t="s">
        <v>2327</v>
      </c>
      <c r="H274" s="1691">
        <f>SUM(I274:O274)</f>
        <v>0</v>
      </c>
      <c r="I274" s="1692"/>
      <c r="J274" s="1692"/>
      <c r="K274" s="1692">
        <f>IFERROR(HLOOKUP(B274,pp3p1m!$1:$3,2,0),0)</f>
        <v>0</v>
      </c>
      <c r="L274" s="1692">
        <f>IFERROR(HLOOKUP(chitiet!B274,pp1p!$1:$3,3,0),0)</f>
        <v>0</v>
      </c>
      <c r="M274" s="1692"/>
      <c r="N274" s="1692"/>
      <c r="O274" s="1692"/>
      <c r="P274" s="2674">
        <f>T274</f>
        <v>0</v>
      </c>
      <c r="Q274" s="983">
        <f>IF(P274&gt;H274,P274-H274,0)</f>
        <v>0</v>
      </c>
      <c r="R274" s="983">
        <f>IF(H274&gt;P274,H274-P274,0)</f>
        <v>0</v>
      </c>
      <c r="S274" s="983"/>
      <c r="T274" s="1862">
        <f>IFERROR(HLOOKUP(B274,pp1p!$1:$3,3,0),0)+IFERROR(HLOOKUP(B274,pp3p1m!$1:$3,3,0),0)</f>
        <v>0</v>
      </c>
    </row>
    <row r="275" spans="1:20" ht="22.2" hidden="1" customHeight="1">
      <c r="A275" s="1448">
        <f>COUNTIF($C$12:C275,"x")</f>
        <v>4</v>
      </c>
      <c r="B275" s="1465" t="s">
        <v>1575</v>
      </c>
      <c r="C275" s="60" t="str">
        <f t="shared" si="46"/>
        <v xml:space="preserve"> </v>
      </c>
      <c r="D275" s="1418">
        <v>1</v>
      </c>
      <c r="E275" s="980" t="str">
        <f>VLOOKUP($B275,DG!A:D,DG!$B$2,)</f>
        <v>04.3801</v>
      </c>
      <c r="F275" s="990" t="str">
        <f>VLOOKUP($B275,DG!A:D,DG!$C$2,)</f>
        <v>Đà cản BTCT 1,5m</v>
      </c>
      <c r="G275" s="984" t="str">
        <f>VLOOKUP($B275,DG!A:D,DG!$D$2,)</f>
        <v>cái</v>
      </c>
      <c r="H275" s="1694">
        <f t="shared" ref="H275:N277" si="47">H$274*$D275</f>
        <v>0</v>
      </c>
      <c r="I275" s="1694">
        <f t="shared" si="47"/>
        <v>0</v>
      </c>
      <c r="J275" s="1694">
        <f t="shared" si="47"/>
        <v>0</v>
      </c>
      <c r="K275" s="1694">
        <f t="shared" si="47"/>
        <v>0</v>
      </c>
      <c r="L275" s="1694">
        <f t="shared" si="47"/>
        <v>0</v>
      </c>
      <c r="M275" s="1694">
        <f t="shared" si="47"/>
        <v>0</v>
      </c>
      <c r="N275" s="1694">
        <f t="shared" si="47"/>
        <v>0</v>
      </c>
      <c r="O275" s="1694"/>
      <c r="P275" s="1694"/>
      <c r="Q275" s="988"/>
      <c r="R275" s="988"/>
      <c r="S275" s="988"/>
      <c r="T275" s="1862">
        <f t="shared" si="45"/>
        <v>0</v>
      </c>
    </row>
    <row r="276" spans="1:20" ht="22.2" hidden="1" customHeight="1">
      <c r="A276" s="1448">
        <f>COUNTIF($C$12:C276,"x")</f>
        <v>4</v>
      </c>
      <c r="B276" s="1465" t="s">
        <v>636</v>
      </c>
      <c r="C276" s="60" t="str">
        <f t="shared" si="46"/>
        <v xml:space="preserve"> </v>
      </c>
      <c r="D276" s="1418">
        <v>1</v>
      </c>
      <c r="E276" s="980" t="str">
        <f>VLOOKUP($B276,DG!A:D,DG!$B$2,)</f>
        <v>04.4001</v>
      </c>
      <c r="F276" s="990" t="str">
        <f>VLOOKUP($B276,DG!A:D,DG!$C$2,)</f>
        <v>Đà cản BTCT 1,2m</v>
      </c>
      <c r="G276" s="984" t="str">
        <f>VLOOKUP($B276,DG!A:D,DG!$D$2,)</f>
        <v>cái</v>
      </c>
      <c r="H276" s="1694">
        <f t="shared" si="47"/>
        <v>0</v>
      </c>
      <c r="I276" s="1694">
        <f t="shared" si="47"/>
        <v>0</v>
      </c>
      <c r="J276" s="1694">
        <f t="shared" si="47"/>
        <v>0</v>
      </c>
      <c r="K276" s="1694">
        <f t="shared" si="47"/>
        <v>0</v>
      </c>
      <c r="L276" s="1694">
        <f t="shared" si="47"/>
        <v>0</v>
      </c>
      <c r="M276" s="1694">
        <f t="shared" si="47"/>
        <v>0</v>
      </c>
      <c r="N276" s="1694">
        <f t="shared" si="47"/>
        <v>0</v>
      </c>
      <c r="O276" s="1694"/>
      <c r="P276" s="1694"/>
      <c r="Q276" s="988"/>
      <c r="R276" s="988"/>
      <c r="S276" s="988"/>
      <c r="T276" s="1862">
        <f t="shared" si="45"/>
        <v>0</v>
      </c>
    </row>
    <row r="277" spans="1:20" ht="22.2" hidden="1" customHeight="1">
      <c r="A277" s="1448">
        <f>COUNTIF($C$12:C277,"x")</f>
        <v>4</v>
      </c>
      <c r="B277" s="1465" t="s">
        <v>566</v>
      </c>
      <c r="C277" s="60" t="str">
        <f t="shared" si="46"/>
        <v xml:space="preserve"> </v>
      </c>
      <c r="D277" s="1418">
        <v>2</v>
      </c>
      <c r="E277" s="984"/>
      <c r="F277" s="990" t="str">
        <f>VLOOKUP($B277,DG!A:D,DG!$C$2,)</f>
        <v>Boulon 22x650+ 2 long đền vuông D24-50x50x3/Zn</v>
      </c>
      <c r="G277" s="984" t="str">
        <f>VLOOKUP($B277,DG!A:D,DG!$D$2,)</f>
        <v>bộ</v>
      </c>
      <c r="H277" s="1694">
        <f t="shared" si="47"/>
        <v>0</v>
      </c>
      <c r="I277" s="1694">
        <f t="shared" si="47"/>
        <v>0</v>
      </c>
      <c r="J277" s="1694">
        <f t="shared" si="47"/>
        <v>0</v>
      </c>
      <c r="K277" s="1694">
        <f t="shared" si="47"/>
        <v>0</v>
      </c>
      <c r="L277" s="1694">
        <f t="shared" si="47"/>
        <v>0</v>
      </c>
      <c r="M277" s="1694">
        <f t="shared" si="47"/>
        <v>0</v>
      </c>
      <c r="N277" s="1694">
        <f t="shared" si="47"/>
        <v>0</v>
      </c>
      <c r="O277" s="1694"/>
      <c r="P277" s="1694"/>
      <c r="Q277" s="988"/>
      <c r="R277" s="988"/>
      <c r="S277" s="988"/>
      <c r="T277" s="1862">
        <f t="shared" si="45"/>
        <v>0</v>
      </c>
    </row>
    <row r="278" spans="1:20" ht="22.2" hidden="1" customHeight="1">
      <c r="A278" s="1448">
        <f>COUNTIF($C$12:C278,"x")</f>
        <v>4</v>
      </c>
      <c r="B278" s="1465" t="s">
        <v>639</v>
      </c>
      <c r="C278" s="60" t="str">
        <f t="shared" si="46"/>
        <v xml:space="preserve"> </v>
      </c>
      <c r="D278" s="1417">
        <v>7.3</v>
      </c>
      <c r="E278" s="984" t="str">
        <f>VLOOKUP($B278,DG!A:D,DG!$B$2,)</f>
        <v>03.1013</v>
      </c>
      <c r="F278" s="985" t="str">
        <f>VLOOKUP($B278,DG!A:D,DG!$C$2,)</f>
        <v>Đào hố móng đất cấp 3 sâu &gt;1m</v>
      </c>
      <c r="G278" s="984" t="str">
        <f>VLOOKUP($B278,DG!A:D,DG!$D$2,)</f>
        <v>m3</v>
      </c>
      <c r="H278" s="1694"/>
      <c r="I278" s="1694"/>
      <c r="J278" s="1694"/>
      <c r="K278" s="1694"/>
      <c r="L278" s="1694"/>
      <c r="M278" s="1694"/>
      <c r="N278" s="1694"/>
      <c r="O278" s="1694"/>
      <c r="P278" s="1694"/>
      <c r="Q278" s="991"/>
      <c r="R278" s="991"/>
      <c r="S278" s="991"/>
      <c r="T278" s="1862">
        <f t="shared" si="45"/>
        <v>0</v>
      </c>
    </row>
    <row r="279" spans="1:20" ht="22.2" hidden="1" customHeight="1">
      <c r="A279" s="1448">
        <f>COUNTIF($C$12:C279,"x")</f>
        <v>4</v>
      </c>
      <c r="B279" s="1465" t="s">
        <v>21</v>
      </c>
      <c r="C279" s="60" t="str">
        <f t="shared" si="46"/>
        <v xml:space="preserve"> </v>
      </c>
      <c r="D279" s="1417">
        <v>8.51</v>
      </c>
      <c r="E279" s="984" t="str">
        <f>VLOOKUP($B279,DG!A:D,DG!$B$2,)</f>
        <v>03.4113</v>
      </c>
      <c r="F279" s="985" t="str">
        <f>VLOOKUP($B279,DG!A:D,DG!$C$2,)</f>
        <v>Đắp đất hố móng, độ chặt k=0,95</v>
      </c>
      <c r="G279" s="984" t="str">
        <f>VLOOKUP($B279,DG!A:D,DG!$D$2,)</f>
        <v>m3</v>
      </c>
      <c r="H279" s="1694"/>
      <c r="I279" s="1694"/>
      <c r="J279" s="1694"/>
      <c r="K279" s="1694"/>
      <c r="L279" s="1694"/>
      <c r="M279" s="1694"/>
      <c r="N279" s="1694"/>
      <c r="O279" s="1694"/>
      <c r="P279" s="1694"/>
      <c r="Q279" s="991"/>
      <c r="R279" s="991"/>
      <c r="S279" s="991"/>
      <c r="T279" s="1862">
        <f t="shared" si="45"/>
        <v>0</v>
      </c>
    </row>
    <row r="280" spans="1:20" ht="22.2" hidden="1" customHeight="1">
      <c r="A280" s="1448">
        <f>COUNTIF($C$12:C280,"x")</f>
        <v>4</v>
      </c>
      <c r="B280" s="1465" t="s">
        <v>637</v>
      </c>
      <c r="C280" s="60" t="str">
        <f t="shared" si="46"/>
        <v xml:space="preserve"> </v>
      </c>
      <c r="D280" s="1417">
        <f>0.255+0.1</f>
        <v>0.35499999999999998</v>
      </c>
      <c r="E280" s="984" t="str">
        <f>VLOOKUP($B280,DG!A:D,DG!$B$2,)</f>
        <v>02.1123</v>
      </c>
      <c r="F280" s="985" t="str">
        <f>VLOOKUP($B280,DG!A:D,DG!$C$2,)</f>
        <v>Bốc dỡ đà cản, đế néo</v>
      </c>
      <c r="G280" s="984" t="str">
        <f>VLOOKUP($B280,DG!A:D,DG!$D$2,)</f>
        <v>tấn</v>
      </c>
      <c r="H280" s="1694"/>
      <c r="I280" s="1694"/>
      <c r="J280" s="1694"/>
      <c r="K280" s="1694"/>
      <c r="L280" s="1694"/>
      <c r="M280" s="1694"/>
      <c r="N280" s="1694"/>
      <c r="O280" s="1694"/>
      <c r="P280" s="1694"/>
      <c r="Q280" s="988"/>
      <c r="R280" s="988"/>
      <c r="S280" s="988"/>
      <c r="T280" s="1862">
        <f t="shared" si="45"/>
        <v>0</v>
      </c>
    </row>
    <row r="281" spans="1:20" ht="22.2" hidden="1" customHeight="1">
      <c r="A281" s="1448">
        <f>COUNTIF($C$12:C281,"x")</f>
        <v>4</v>
      </c>
      <c r="B281" s="1453" t="s">
        <v>2063</v>
      </c>
      <c r="C281" s="60" t="str">
        <f t="shared" si="46"/>
        <v xml:space="preserve"> </v>
      </c>
      <c r="D281" s="1417">
        <f>D280</f>
        <v>0.35499999999999998</v>
      </c>
      <c r="E281" s="984" t="str">
        <f>VLOOKUP($B281,DG!A:C,2,)</f>
        <v>02.1451</v>
      </c>
      <c r="F281" s="985" t="str">
        <f>VLOOKUP($B281,DG!A:C,3,)</f>
        <v>V/c đà cản vào vị trí (cự ly &lt;=100m)</v>
      </c>
      <c r="G281" s="984" t="str">
        <f>VLOOKUP($B281,DG!A:D,4,0)</f>
        <v>tấn</v>
      </c>
      <c r="H281" s="1694"/>
      <c r="I281" s="1694"/>
      <c r="J281" s="1694"/>
      <c r="K281" s="1694"/>
      <c r="L281" s="1694"/>
      <c r="M281" s="1694"/>
      <c r="N281" s="1694"/>
      <c r="O281" s="1694"/>
      <c r="P281" s="1694"/>
      <c r="Q281" s="991"/>
      <c r="R281" s="991"/>
      <c r="S281" s="991"/>
      <c r="T281" s="1862">
        <f t="shared" si="45"/>
        <v>0</v>
      </c>
    </row>
    <row r="282" spans="1:20" ht="22.2" hidden="1" customHeight="1">
      <c r="A282" s="1448">
        <f>COUNTIF($C$12:C282,"x")</f>
        <v>4</v>
      </c>
      <c r="B282" s="1453" t="s">
        <v>635</v>
      </c>
      <c r="C282" s="60" t="str">
        <f t="shared" si="46"/>
        <v xml:space="preserve"> </v>
      </c>
      <c r="D282" s="1417">
        <v>0.2</v>
      </c>
      <c r="E282" s="984" t="str">
        <f>VLOOKUP($B282,DG!A:C,2,)</f>
        <v>02.1482</v>
      </c>
      <c r="F282" s="985" t="str">
        <f>VLOOKUP($B282,DG!A:C,3,)</f>
        <v>V/c dụng cụ thi công vào vị trí (cự ly &lt;=100m)</v>
      </c>
      <c r="G282" s="984" t="str">
        <f>VLOOKUP($B282,DG!A:D,4,0)</f>
        <v>tấn</v>
      </c>
      <c r="H282" s="1694"/>
      <c r="I282" s="1694"/>
      <c r="J282" s="1694"/>
      <c r="K282" s="1694"/>
      <c r="L282" s="1694"/>
      <c r="M282" s="1694"/>
      <c r="N282" s="1694"/>
      <c r="O282" s="1694"/>
      <c r="P282" s="1694"/>
      <c r="Q282" s="991"/>
      <c r="R282" s="991"/>
      <c r="S282" s="991"/>
      <c r="T282" s="1862">
        <f t="shared" si="45"/>
        <v>0</v>
      </c>
    </row>
    <row r="283" spans="1:20" ht="22.2" hidden="1" customHeight="1">
      <c r="A283" s="1448">
        <f>COUNTIF($C$12:C283,"x")</f>
        <v>4</v>
      </c>
      <c r="B283" s="1452" t="s">
        <v>647</v>
      </c>
      <c r="C283" s="59" t="str">
        <f t="shared" si="46"/>
        <v xml:space="preserve"> </v>
      </c>
      <c r="D283" s="1412"/>
      <c r="E283" s="981"/>
      <c r="F283" s="1276" t="s">
        <v>2356</v>
      </c>
      <c r="G283" s="982" t="s">
        <v>2327</v>
      </c>
      <c r="H283" s="1691">
        <f>SUM(I283:O283)</f>
        <v>0</v>
      </c>
      <c r="I283" s="1692"/>
      <c r="J283" s="1692"/>
      <c r="K283" s="1692">
        <f>IFERROR(HLOOKUP(B283,pp3p1m!$1:$3,2,0),0)</f>
        <v>0</v>
      </c>
      <c r="L283" s="1692">
        <f>IFERROR(HLOOKUP(chitiet!B283,pp1p!$1:$3,3,0),0)</f>
        <v>0</v>
      </c>
      <c r="M283" s="1692"/>
      <c r="N283" s="1692"/>
      <c r="O283" s="1692"/>
      <c r="P283" s="2674">
        <f>T283</f>
        <v>0</v>
      </c>
      <c r="Q283" s="983">
        <f>IF(P283&gt;H283,P283-H283,0)</f>
        <v>0</v>
      </c>
      <c r="R283" s="983">
        <f>IF(H283&gt;P283,H283-P283,0)</f>
        <v>0</v>
      </c>
      <c r="S283" s="983"/>
      <c r="T283" s="1862">
        <f>IFERROR(HLOOKUP(B283,pp1p!$1:$3,3,0),0)+IFERROR(HLOOKUP(B283,pp3p1m!$1:$3,3,0),0)</f>
        <v>0</v>
      </c>
    </row>
    <row r="284" spans="1:20" ht="22.2" hidden="1" customHeight="1">
      <c r="A284" s="1448">
        <f>COUNTIF($C$12:C284,"x")</f>
        <v>4</v>
      </c>
      <c r="B284" s="1465" t="s">
        <v>1575</v>
      </c>
      <c r="C284" s="60" t="str">
        <f t="shared" si="46"/>
        <v xml:space="preserve"> </v>
      </c>
      <c r="D284" s="1418">
        <v>2</v>
      </c>
      <c r="E284" s="980" t="str">
        <f>VLOOKUP($B284,DG!A:D,DG!$B$2,)</f>
        <v>04.3801</v>
      </c>
      <c r="F284" s="990" t="str">
        <f>VLOOKUP($B284,DG!A:D,DG!$C$2,)</f>
        <v>Đà cản BTCT 1,5m</v>
      </c>
      <c r="G284" s="984" t="str">
        <f>VLOOKUP($B284,DG!A:D,DG!$D$2,)</f>
        <v>cái</v>
      </c>
      <c r="H284" s="1694">
        <f t="shared" ref="H284:N285" si="48">H$283*$D284</f>
        <v>0</v>
      </c>
      <c r="I284" s="1694">
        <f t="shared" si="48"/>
        <v>0</v>
      </c>
      <c r="J284" s="1694">
        <f t="shared" si="48"/>
        <v>0</v>
      </c>
      <c r="K284" s="1694">
        <f t="shared" si="48"/>
        <v>0</v>
      </c>
      <c r="L284" s="1694">
        <f t="shared" si="48"/>
        <v>0</v>
      </c>
      <c r="M284" s="1694">
        <f t="shared" si="48"/>
        <v>0</v>
      </c>
      <c r="N284" s="1694">
        <f t="shared" si="48"/>
        <v>0</v>
      </c>
      <c r="O284" s="1694"/>
      <c r="P284" s="1694"/>
      <c r="Q284" s="988"/>
      <c r="R284" s="988"/>
      <c r="S284" s="988"/>
      <c r="T284" s="1862">
        <f t="shared" si="45"/>
        <v>0</v>
      </c>
    </row>
    <row r="285" spans="1:20" ht="22.2" hidden="1" customHeight="1">
      <c r="A285" s="1448">
        <f>COUNTIF($C$12:C285,"x")</f>
        <v>4</v>
      </c>
      <c r="B285" s="1465" t="s">
        <v>566</v>
      </c>
      <c r="C285" s="60" t="str">
        <f t="shared" si="46"/>
        <v xml:space="preserve"> </v>
      </c>
      <c r="D285" s="1418">
        <v>2</v>
      </c>
      <c r="E285" s="984"/>
      <c r="F285" s="990" t="str">
        <f>VLOOKUP($B285,DG!A:D,DG!$C$2,)</f>
        <v>Boulon 22x650+ 2 long đền vuông D24-50x50x3/Zn</v>
      </c>
      <c r="G285" s="984" t="str">
        <f>VLOOKUP($B285,DG!A:D,DG!$D$2,)</f>
        <v>bộ</v>
      </c>
      <c r="H285" s="1694">
        <f t="shared" si="48"/>
        <v>0</v>
      </c>
      <c r="I285" s="1694">
        <f t="shared" si="48"/>
        <v>0</v>
      </c>
      <c r="J285" s="1694">
        <f t="shared" si="48"/>
        <v>0</v>
      </c>
      <c r="K285" s="1694">
        <f t="shared" si="48"/>
        <v>0</v>
      </c>
      <c r="L285" s="1694">
        <f t="shared" si="48"/>
        <v>0</v>
      </c>
      <c r="M285" s="1694">
        <f t="shared" si="48"/>
        <v>0</v>
      </c>
      <c r="N285" s="1694">
        <f t="shared" si="48"/>
        <v>0</v>
      </c>
      <c r="O285" s="1694"/>
      <c r="P285" s="1694"/>
      <c r="Q285" s="988"/>
      <c r="R285" s="988"/>
      <c r="S285" s="988"/>
      <c r="T285" s="1862">
        <f t="shared" si="45"/>
        <v>0</v>
      </c>
    </row>
    <row r="286" spans="1:20" ht="22.2" hidden="1" customHeight="1">
      <c r="A286" s="1448">
        <f>COUNTIF($C$12:C286,"x")</f>
        <v>4</v>
      </c>
      <c r="B286" s="1465" t="s">
        <v>639</v>
      </c>
      <c r="C286" s="60" t="str">
        <f t="shared" si="46"/>
        <v xml:space="preserve"> </v>
      </c>
      <c r="D286" s="1417">
        <v>9.48</v>
      </c>
      <c r="E286" s="984" t="str">
        <f>VLOOKUP($B286,DG!A:D,DG!$B$2,)</f>
        <v>03.1013</v>
      </c>
      <c r="F286" s="985" t="str">
        <f>VLOOKUP($B286,DG!A:D,DG!$C$2,)</f>
        <v>Đào hố móng đất cấp 3 sâu &gt;1m</v>
      </c>
      <c r="G286" s="984" t="str">
        <f>VLOOKUP($B286,DG!A:D,DG!$D$2,)</f>
        <v>m3</v>
      </c>
      <c r="H286" s="1694"/>
      <c r="I286" s="1694"/>
      <c r="J286" s="1694"/>
      <c r="K286" s="1694"/>
      <c r="L286" s="1694"/>
      <c r="M286" s="1694"/>
      <c r="N286" s="1694"/>
      <c r="O286" s="1694"/>
      <c r="P286" s="1694"/>
      <c r="Q286" s="991"/>
      <c r="R286" s="991"/>
      <c r="S286" s="991"/>
      <c r="T286" s="1862">
        <f t="shared" si="45"/>
        <v>0</v>
      </c>
    </row>
    <row r="287" spans="1:20" ht="22.2" hidden="1" customHeight="1">
      <c r="A287" s="1448">
        <f>COUNTIF($C$12:C287,"x")</f>
        <v>4</v>
      </c>
      <c r="B287" s="1465" t="s">
        <v>21</v>
      </c>
      <c r="C287" s="60" t="str">
        <f t="shared" si="46"/>
        <v xml:space="preserve"> </v>
      </c>
      <c r="D287" s="1417">
        <v>10.94</v>
      </c>
      <c r="E287" s="984" t="str">
        <f>VLOOKUP($B287,DG!A:D,DG!$B$2,)</f>
        <v>03.4113</v>
      </c>
      <c r="F287" s="985" t="str">
        <f>VLOOKUP($B287,DG!A:D,DG!$C$2,)</f>
        <v>Đắp đất hố móng, độ chặt k=0,95</v>
      </c>
      <c r="G287" s="984" t="str">
        <f>VLOOKUP($B287,DG!A:D,DG!$D$2,)</f>
        <v>m3</v>
      </c>
      <c r="H287" s="1694"/>
      <c r="I287" s="1694"/>
      <c r="J287" s="1694"/>
      <c r="K287" s="1694"/>
      <c r="L287" s="1694"/>
      <c r="M287" s="1694"/>
      <c r="N287" s="1694"/>
      <c r="O287" s="1694"/>
      <c r="P287" s="1694"/>
      <c r="Q287" s="991"/>
      <c r="R287" s="991"/>
      <c r="S287" s="991"/>
      <c r="T287" s="1862">
        <f t="shared" si="45"/>
        <v>0</v>
      </c>
    </row>
    <row r="288" spans="1:20" ht="22.2" hidden="1" customHeight="1">
      <c r="A288" s="1448">
        <f>COUNTIF($C$12:C288,"x")</f>
        <v>4</v>
      </c>
      <c r="B288" s="1465" t="s">
        <v>637</v>
      </c>
      <c r="C288" s="60" t="str">
        <f t="shared" si="46"/>
        <v xml:space="preserve"> </v>
      </c>
      <c r="D288" s="1417">
        <f>0.255*2</f>
        <v>0.51</v>
      </c>
      <c r="E288" s="984" t="str">
        <f>VLOOKUP($B288,DG!A:D,DG!$B$2,)</f>
        <v>02.1123</v>
      </c>
      <c r="F288" s="985" t="str">
        <f>VLOOKUP($B288,DG!A:D,DG!$C$2,)</f>
        <v>Bốc dỡ đà cản, đế néo</v>
      </c>
      <c r="G288" s="984" t="str">
        <f>VLOOKUP($B288,DG!A:D,DG!$D$2,)</f>
        <v>tấn</v>
      </c>
      <c r="H288" s="1694"/>
      <c r="I288" s="1694"/>
      <c r="J288" s="1694"/>
      <c r="K288" s="1694"/>
      <c r="L288" s="1694"/>
      <c r="M288" s="1694"/>
      <c r="N288" s="1694"/>
      <c r="O288" s="1694"/>
      <c r="P288" s="1694"/>
      <c r="Q288" s="988"/>
      <c r="R288" s="988"/>
      <c r="S288" s="988"/>
      <c r="T288" s="1862">
        <f t="shared" si="45"/>
        <v>0</v>
      </c>
    </row>
    <row r="289" spans="1:20" ht="22.2" hidden="1" customHeight="1">
      <c r="A289" s="1448">
        <f>COUNTIF($C$12:C289,"x")</f>
        <v>4</v>
      </c>
      <c r="B289" s="1453" t="s">
        <v>2063</v>
      </c>
      <c r="C289" s="60" t="str">
        <f t="shared" si="46"/>
        <v xml:space="preserve"> </v>
      </c>
      <c r="D289" s="1417">
        <f>D288</f>
        <v>0.51</v>
      </c>
      <c r="E289" s="984" t="str">
        <f>VLOOKUP($B289,DG!A:C,2,)</f>
        <v>02.1451</v>
      </c>
      <c r="F289" s="985" t="str">
        <f>VLOOKUP($B289,DG!A:C,3,)</f>
        <v>V/c đà cản vào vị trí (cự ly &lt;=100m)</v>
      </c>
      <c r="G289" s="984" t="str">
        <f>VLOOKUP($B289,DG!A:D,4,0)</f>
        <v>tấn</v>
      </c>
      <c r="H289" s="1694"/>
      <c r="I289" s="1694"/>
      <c r="J289" s="1694"/>
      <c r="K289" s="1694"/>
      <c r="L289" s="1694"/>
      <c r="M289" s="1694"/>
      <c r="N289" s="1694"/>
      <c r="O289" s="1694"/>
      <c r="P289" s="1694"/>
      <c r="Q289" s="991"/>
      <c r="R289" s="991"/>
      <c r="S289" s="991"/>
      <c r="T289" s="1862">
        <f t="shared" si="45"/>
        <v>0</v>
      </c>
    </row>
    <row r="290" spans="1:20" ht="22.2" hidden="1" customHeight="1">
      <c r="A290" s="1448">
        <f>COUNTIF($C$12:C290,"x")</f>
        <v>4</v>
      </c>
      <c r="B290" s="1453" t="s">
        <v>635</v>
      </c>
      <c r="C290" s="60" t="str">
        <f t="shared" si="46"/>
        <v xml:space="preserve"> </v>
      </c>
      <c r="D290" s="1417">
        <v>0.2</v>
      </c>
      <c r="E290" s="984" t="str">
        <f>VLOOKUP($B290,DG!A:C,2,)</f>
        <v>02.1482</v>
      </c>
      <c r="F290" s="985" t="str">
        <f>VLOOKUP($B290,DG!A:C,3,)</f>
        <v>V/c dụng cụ thi công vào vị trí (cự ly &lt;=100m)</v>
      </c>
      <c r="G290" s="984" t="str">
        <f>VLOOKUP($B290,DG!A:D,4,0)</f>
        <v>tấn</v>
      </c>
      <c r="H290" s="1694"/>
      <c r="I290" s="1694"/>
      <c r="J290" s="1694"/>
      <c r="K290" s="1694"/>
      <c r="L290" s="1694"/>
      <c r="M290" s="1694"/>
      <c r="N290" s="1694"/>
      <c r="O290" s="1694"/>
      <c r="P290" s="1694"/>
      <c r="Q290" s="991"/>
      <c r="R290" s="991"/>
      <c r="S290" s="991"/>
      <c r="T290" s="1862">
        <f t="shared" si="45"/>
        <v>0</v>
      </c>
    </row>
    <row r="291" spans="1:20" ht="22.2" hidden="1" customHeight="1">
      <c r="A291" s="1448">
        <f>COUNTIF($C$12:C291,"x")</f>
        <v>4</v>
      </c>
      <c r="B291" s="1452" t="s">
        <v>511</v>
      </c>
      <c r="C291" s="59" t="str">
        <f t="shared" si="46"/>
        <v xml:space="preserve"> </v>
      </c>
      <c r="D291" s="1412"/>
      <c r="E291" s="981"/>
      <c r="F291" s="1276" t="s">
        <v>2357</v>
      </c>
      <c r="G291" s="982" t="s">
        <v>2327</v>
      </c>
      <c r="H291" s="1691">
        <f>SUM(I291:O291)</f>
        <v>0</v>
      </c>
      <c r="I291" s="1692"/>
      <c r="J291" s="1692"/>
      <c r="K291" s="1692">
        <f>IFERROR(HLOOKUP(B291,pp3p1m!$1:$3,2,0),0)</f>
        <v>0</v>
      </c>
      <c r="L291" s="1692">
        <f>IFERROR(HLOOKUP(chitiet!B291,pp1p!$1:$3,3,0),0)</f>
        <v>0</v>
      </c>
      <c r="M291" s="1692"/>
      <c r="N291" s="1692"/>
      <c r="O291" s="1692"/>
      <c r="P291" s="2674">
        <f>T291</f>
        <v>0</v>
      </c>
      <c r="Q291" s="983">
        <f>IF(P291&gt;H291,P291-H291,0)</f>
        <v>0</v>
      </c>
      <c r="R291" s="983">
        <f>IF(H291&gt;P291,H291-P291,0)</f>
        <v>0</v>
      </c>
      <c r="S291" s="983"/>
      <c r="T291" s="1862">
        <f>IFERROR(HLOOKUP(B291,pp1p!$1:$3,3,0),0)+IFERROR(HLOOKUP(B291,pp3p1m!$1:$3,3,0),0)</f>
        <v>0</v>
      </c>
    </row>
    <row r="292" spans="1:20" ht="22.2" hidden="1" customHeight="1">
      <c r="A292" s="1448">
        <f>COUNTIF($C$12:C292,"x")</f>
        <v>4</v>
      </c>
      <c r="B292" s="1465" t="s">
        <v>224</v>
      </c>
      <c r="C292" s="60" t="str">
        <f t="shared" si="46"/>
        <v xml:space="preserve"> </v>
      </c>
      <c r="D292" s="1418">
        <v>42</v>
      </c>
      <c r="E292" s="980" t="str">
        <f>VLOOKUP($B292,DG!A:D,DG!$B$2,)</f>
        <v>04.5142</v>
      </c>
      <c r="F292" s="990" t="str">
        <f>VLOOKUP($B292,DG!A:D,DG!$C$2,)</f>
        <v>Cừ tràm 5m</v>
      </c>
      <c r="G292" s="984" t="str">
        <f>VLOOKUP($B292,DG!A:D,DG!$D$2,)</f>
        <v>cây</v>
      </c>
      <c r="H292" s="1694">
        <f t="shared" ref="H292:N294" si="49">H$291*$D292</f>
        <v>0</v>
      </c>
      <c r="I292" s="1694">
        <f t="shared" si="49"/>
        <v>0</v>
      </c>
      <c r="J292" s="1694">
        <f t="shared" si="49"/>
        <v>0</v>
      </c>
      <c r="K292" s="1694">
        <f t="shared" si="49"/>
        <v>0</v>
      </c>
      <c r="L292" s="1694">
        <f t="shared" si="49"/>
        <v>0</v>
      </c>
      <c r="M292" s="1694">
        <f t="shared" si="49"/>
        <v>0</v>
      </c>
      <c r="N292" s="1694">
        <f t="shared" si="49"/>
        <v>0</v>
      </c>
      <c r="O292" s="1694"/>
      <c r="P292" s="1694"/>
      <c r="Q292" s="988"/>
      <c r="R292" s="988"/>
      <c r="S292" s="988"/>
      <c r="T292" s="1862">
        <f t="shared" si="45"/>
        <v>0</v>
      </c>
    </row>
    <row r="293" spans="1:20" ht="22.2" hidden="1" customHeight="1">
      <c r="A293" s="1448">
        <f>COUNTIF($C$12:C293,"x")</f>
        <v>4</v>
      </c>
      <c r="B293" s="1465" t="s">
        <v>1575</v>
      </c>
      <c r="C293" s="60" t="str">
        <f t="shared" si="46"/>
        <v xml:space="preserve"> </v>
      </c>
      <c r="D293" s="1418">
        <v>2</v>
      </c>
      <c r="E293" s="980" t="str">
        <f>VLOOKUP($B293,DG!A:D,DG!$B$2,)</f>
        <v>04.3801</v>
      </c>
      <c r="F293" s="990" t="str">
        <f>VLOOKUP($B293,DG!A:D,DG!$C$2,)</f>
        <v>Đà cản BTCT 1,5m</v>
      </c>
      <c r="G293" s="984" t="str">
        <f>VLOOKUP($B293,DG!A:D,DG!$D$2,)</f>
        <v>cái</v>
      </c>
      <c r="H293" s="1694">
        <f t="shared" si="49"/>
        <v>0</v>
      </c>
      <c r="I293" s="1694">
        <f t="shared" si="49"/>
        <v>0</v>
      </c>
      <c r="J293" s="1694">
        <f t="shared" si="49"/>
        <v>0</v>
      </c>
      <c r="K293" s="1694">
        <f t="shared" si="49"/>
        <v>0</v>
      </c>
      <c r="L293" s="1694">
        <f t="shared" si="49"/>
        <v>0</v>
      </c>
      <c r="M293" s="1694">
        <f t="shared" si="49"/>
        <v>0</v>
      </c>
      <c r="N293" s="1694">
        <f t="shared" si="49"/>
        <v>0</v>
      </c>
      <c r="O293" s="1694"/>
      <c r="P293" s="1694"/>
      <c r="Q293" s="988"/>
      <c r="R293" s="988"/>
      <c r="S293" s="988"/>
      <c r="T293" s="1862">
        <f t="shared" si="45"/>
        <v>0</v>
      </c>
    </row>
    <row r="294" spans="1:20" ht="22.2" hidden="1" customHeight="1">
      <c r="A294" s="1448">
        <f>COUNTIF($C$12:C294,"x")</f>
        <v>4</v>
      </c>
      <c r="B294" s="1465" t="s">
        <v>722</v>
      </c>
      <c r="C294" s="60" t="str">
        <f t="shared" si="46"/>
        <v xml:space="preserve"> </v>
      </c>
      <c r="D294" s="1418">
        <v>1</v>
      </c>
      <c r="E294" s="984"/>
      <c r="F294" s="990" t="str">
        <f>VLOOKUP($B294,DG!A:D,DG!$C$2,)</f>
        <v>Boulon 22x850+ 2 long đền vuông D24-50x50x3/Zn</v>
      </c>
      <c r="G294" s="984" t="str">
        <f>VLOOKUP($B294,DG!A:D,DG!$D$2,)</f>
        <v>bộ</v>
      </c>
      <c r="H294" s="1694">
        <f t="shared" si="49"/>
        <v>0</v>
      </c>
      <c r="I294" s="1694">
        <f t="shared" si="49"/>
        <v>0</v>
      </c>
      <c r="J294" s="1694">
        <f t="shared" si="49"/>
        <v>0</v>
      </c>
      <c r="K294" s="1694">
        <f t="shared" si="49"/>
        <v>0</v>
      </c>
      <c r="L294" s="1694">
        <f t="shared" si="49"/>
        <v>0</v>
      </c>
      <c r="M294" s="1694">
        <f t="shared" si="49"/>
        <v>0</v>
      </c>
      <c r="N294" s="1694">
        <f t="shared" si="49"/>
        <v>0</v>
      </c>
      <c r="O294" s="1694"/>
      <c r="P294" s="1694"/>
      <c r="Q294" s="988"/>
      <c r="R294" s="988"/>
      <c r="S294" s="988"/>
      <c r="T294" s="1862">
        <f t="shared" si="45"/>
        <v>0</v>
      </c>
    </row>
    <row r="295" spans="1:20" ht="22.2" hidden="1" customHeight="1">
      <c r="A295" s="1448">
        <f>COUNTIF($C$12:C295,"x")</f>
        <v>4</v>
      </c>
      <c r="B295" s="1465" t="s">
        <v>639</v>
      </c>
      <c r="C295" s="60" t="str">
        <f t="shared" si="46"/>
        <v xml:space="preserve"> </v>
      </c>
      <c r="D295" s="1417">
        <v>3.88</v>
      </c>
      <c r="E295" s="984" t="str">
        <f>VLOOKUP($B295,DG!A:D,DG!$B$2,)</f>
        <v>03.1013</v>
      </c>
      <c r="F295" s="985" t="str">
        <f>VLOOKUP($B295,DG!A:D,DG!$C$2,)</f>
        <v>Đào hố móng đất cấp 3 sâu &gt;1m</v>
      </c>
      <c r="G295" s="984" t="str">
        <f>VLOOKUP($B295,DG!A:D,DG!$D$2,)</f>
        <v>m3</v>
      </c>
      <c r="H295" s="1694"/>
      <c r="I295" s="1694"/>
      <c r="J295" s="1694"/>
      <c r="K295" s="1694"/>
      <c r="L295" s="1694"/>
      <c r="M295" s="1694"/>
      <c r="N295" s="1694"/>
      <c r="O295" s="1694"/>
      <c r="P295" s="1694"/>
      <c r="Q295" s="991"/>
      <c r="R295" s="991"/>
      <c r="S295" s="991"/>
      <c r="T295" s="1862">
        <f t="shared" si="45"/>
        <v>0</v>
      </c>
    </row>
    <row r="296" spans="1:20" ht="22.2" hidden="1" customHeight="1">
      <c r="A296" s="1448">
        <f>COUNTIF($C$12:C296,"x")</f>
        <v>4</v>
      </c>
      <c r="B296" s="1465" t="s">
        <v>21</v>
      </c>
      <c r="C296" s="60" t="str">
        <f t="shared" si="46"/>
        <v xml:space="preserve"> </v>
      </c>
      <c r="D296" s="1417">
        <v>4.34</v>
      </c>
      <c r="E296" s="984" t="str">
        <f>VLOOKUP($B296,DG!A:D,DG!$B$2,)</f>
        <v>03.4113</v>
      </c>
      <c r="F296" s="985" t="str">
        <f>VLOOKUP($B296,DG!A:D,DG!$C$2,)</f>
        <v>Đắp đất hố móng, độ chặt k=0,95</v>
      </c>
      <c r="G296" s="984" t="str">
        <f>VLOOKUP($B296,DG!A:D,DG!$D$2,)</f>
        <v>m3</v>
      </c>
      <c r="H296" s="1694"/>
      <c r="I296" s="1694"/>
      <c r="J296" s="1694"/>
      <c r="K296" s="1694"/>
      <c r="L296" s="1694"/>
      <c r="M296" s="1694"/>
      <c r="N296" s="1694"/>
      <c r="O296" s="1694"/>
      <c r="P296" s="1694"/>
      <c r="Q296" s="991"/>
      <c r="R296" s="991"/>
      <c r="S296" s="991"/>
      <c r="T296" s="1862">
        <f t="shared" si="45"/>
        <v>0</v>
      </c>
    </row>
    <row r="297" spans="1:20" ht="22.2" hidden="1" customHeight="1">
      <c r="A297" s="1448">
        <f>COUNTIF($C$12:C297,"x")</f>
        <v>4</v>
      </c>
      <c r="B297" s="1465" t="s">
        <v>637</v>
      </c>
      <c r="C297" s="60" t="str">
        <f t="shared" si="46"/>
        <v xml:space="preserve"> </v>
      </c>
      <c r="D297" s="1417">
        <f>0.255*2</f>
        <v>0.51</v>
      </c>
      <c r="E297" s="984" t="str">
        <f>VLOOKUP($B297,DG!A:D,DG!$B$2,)</f>
        <v>02.1123</v>
      </c>
      <c r="F297" s="985" t="str">
        <f>VLOOKUP($B297,DG!A:D,DG!$C$2,)</f>
        <v>Bốc dỡ đà cản, đế néo</v>
      </c>
      <c r="G297" s="984" t="str">
        <f>VLOOKUP($B297,DG!A:D,DG!$D$2,)</f>
        <v>tấn</v>
      </c>
      <c r="H297" s="1694"/>
      <c r="I297" s="1694"/>
      <c r="J297" s="1694"/>
      <c r="K297" s="1694"/>
      <c r="L297" s="1694"/>
      <c r="M297" s="1694"/>
      <c r="N297" s="1694"/>
      <c r="O297" s="1694"/>
      <c r="P297" s="1694"/>
      <c r="Q297" s="991"/>
      <c r="R297" s="991"/>
      <c r="S297" s="991"/>
      <c r="T297" s="1862">
        <f t="shared" si="45"/>
        <v>0</v>
      </c>
    </row>
    <row r="298" spans="1:20" ht="22.2" hidden="1" customHeight="1">
      <c r="A298" s="1448">
        <f>COUNTIF($C$12:C298,"x")</f>
        <v>4</v>
      </c>
      <c r="B298" s="1465" t="s">
        <v>1577</v>
      </c>
      <c r="C298" s="60" t="str">
        <f t="shared" si="46"/>
        <v xml:space="preserve"> </v>
      </c>
      <c r="D298" s="1418">
        <f>D292</f>
        <v>42</v>
      </c>
      <c r="E298" s="984" t="str">
        <f>VLOOKUP($B298,DG!A:D,DG!$B$2,)</f>
        <v>02.1119</v>
      </c>
      <c r="F298" s="985" t="str">
        <f>VLOOKUP($B298,DG!A:D,DG!$C$2,)</f>
        <v>Bốc dỡ cừ tràm 5m</v>
      </c>
      <c r="G298" s="984" t="str">
        <f>VLOOKUP($B298,DG!A:D,DG!$D$2,)</f>
        <v>cây</v>
      </c>
      <c r="H298" s="1694"/>
      <c r="I298" s="1694"/>
      <c r="J298" s="1694"/>
      <c r="K298" s="1694"/>
      <c r="L298" s="1694"/>
      <c r="M298" s="1694"/>
      <c r="N298" s="1694"/>
      <c r="O298" s="1694"/>
      <c r="P298" s="1694"/>
      <c r="Q298" s="991"/>
      <c r="R298" s="991"/>
      <c r="S298" s="991"/>
      <c r="T298" s="1862">
        <f t="shared" si="45"/>
        <v>0</v>
      </c>
    </row>
    <row r="299" spans="1:20" ht="22.2" hidden="1" customHeight="1">
      <c r="A299" s="1448">
        <f>COUNTIF($C$12:C299,"x")</f>
        <v>4</v>
      </c>
      <c r="B299" s="1467" t="s">
        <v>634</v>
      </c>
      <c r="C299" s="60" t="str">
        <f t="shared" si="46"/>
        <v xml:space="preserve"> </v>
      </c>
      <c r="D299" s="1418">
        <f>D292</f>
        <v>42</v>
      </c>
      <c r="E299" s="984" t="str">
        <f>VLOOKUP($B299,DG!A:C,2,)</f>
        <v>02.1411</v>
      </c>
      <c r="F299" s="985" t="str">
        <f>VLOOKUP($B299,DG!A:C,3,)</f>
        <v>V/c cừ tràm 5m ( cự ly &lt;=100m)</v>
      </c>
      <c r="G299" s="984" t="str">
        <f>VLOOKUP($B299,DG!A:D,4,0)</f>
        <v>cây</v>
      </c>
      <c r="H299" s="1694"/>
      <c r="I299" s="1694"/>
      <c r="J299" s="1694"/>
      <c r="K299" s="1694"/>
      <c r="L299" s="1694"/>
      <c r="M299" s="1694"/>
      <c r="N299" s="1694"/>
      <c r="O299" s="1694"/>
      <c r="P299" s="1694"/>
      <c r="Q299" s="991"/>
      <c r="R299" s="991"/>
      <c r="S299" s="991"/>
      <c r="T299" s="1862">
        <f t="shared" si="45"/>
        <v>0</v>
      </c>
    </row>
    <row r="300" spans="1:20" ht="22.2" hidden="1" customHeight="1">
      <c r="A300" s="1448">
        <f>COUNTIF($C$12:C300,"x")</f>
        <v>4</v>
      </c>
      <c r="B300" s="1453" t="s">
        <v>2063</v>
      </c>
      <c r="C300" s="60" t="str">
        <f t="shared" si="46"/>
        <v xml:space="preserve"> </v>
      </c>
      <c r="D300" s="1417">
        <f>D297</f>
        <v>0.51</v>
      </c>
      <c r="E300" s="984" t="str">
        <f>VLOOKUP($B300,DG!A:C,2,)</f>
        <v>02.1451</v>
      </c>
      <c r="F300" s="985" t="str">
        <f>VLOOKUP($B300,DG!A:C,3,)</f>
        <v>V/c đà cản vào vị trí (cự ly &lt;=100m)</v>
      </c>
      <c r="G300" s="984" t="str">
        <f>VLOOKUP($B300,DG!A:D,4,0)</f>
        <v>tấn</v>
      </c>
      <c r="H300" s="1694"/>
      <c r="I300" s="1694"/>
      <c r="J300" s="1694"/>
      <c r="K300" s="1694"/>
      <c r="L300" s="1694"/>
      <c r="M300" s="1694"/>
      <c r="N300" s="1694"/>
      <c r="O300" s="1694"/>
      <c r="P300" s="1694"/>
      <c r="Q300" s="991"/>
      <c r="R300" s="991"/>
      <c r="S300" s="991"/>
      <c r="T300" s="1862">
        <f t="shared" si="45"/>
        <v>0</v>
      </c>
    </row>
    <row r="301" spans="1:20" ht="22.2" hidden="1" customHeight="1">
      <c r="A301" s="1448">
        <f>COUNTIF($C$12:C301,"x")</f>
        <v>4</v>
      </c>
      <c r="B301" s="1453" t="s">
        <v>635</v>
      </c>
      <c r="C301" s="60" t="str">
        <f t="shared" si="46"/>
        <v xml:space="preserve"> </v>
      </c>
      <c r="D301" s="1417">
        <v>0.2</v>
      </c>
      <c r="E301" s="984" t="str">
        <f>VLOOKUP($B301,DG!A:C,2,)</f>
        <v>02.1482</v>
      </c>
      <c r="F301" s="985" t="str">
        <f>VLOOKUP($B301,DG!A:C,3,)</f>
        <v>V/c dụng cụ thi công vào vị trí (cự ly &lt;=100m)</v>
      </c>
      <c r="G301" s="984" t="str">
        <f>VLOOKUP($B301,DG!A:D,4,0)</f>
        <v>tấn</v>
      </c>
      <c r="H301" s="1694"/>
      <c r="I301" s="1694"/>
      <c r="J301" s="1694"/>
      <c r="K301" s="1694"/>
      <c r="L301" s="1694"/>
      <c r="M301" s="1694"/>
      <c r="N301" s="1694"/>
      <c r="O301" s="1694"/>
      <c r="P301" s="1694"/>
      <c r="Q301" s="991"/>
      <c r="R301" s="991"/>
      <c r="S301" s="991"/>
      <c r="T301" s="1862">
        <f t="shared" si="45"/>
        <v>0</v>
      </c>
    </row>
    <row r="302" spans="1:20" ht="22.2" hidden="1" customHeight="1" collapsed="1">
      <c r="A302" s="1448">
        <f>COUNTIF($C$12:C302,"x")</f>
        <v>4</v>
      </c>
      <c r="B302" s="1452" t="s">
        <v>646</v>
      </c>
      <c r="C302" s="59" t="str">
        <f t="shared" si="46"/>
        <v xml:space="preserve"> </v>
      </c>
      <c r="D302" s="1412"/>
      <c r="E302" s="981"/>
      <c r="F302" s="1276" t="s">
        <v>2358</v>
      </c>
      <c r="G302" s="982" t="s">
        <v>2327</v>
      </c>
      <c r="H302" s="1691">
        <f>SUM(I302:O302)</f>
        <v>0</v>
      </c>
      <c r="I302" s="1692"/>
      <c r="J302" s="1692"/>
      <c r="K302" s="1692">
        <f>IFERROR(HLOOKUP(B302,pp3p1m!$1:$3,2,0),0)</f>
        <v>0</v>
      </c>
      <c r="L302" s="1692">
        <f>IFERROR(HLOOKUP(chitiet!B302,pp1p!$1:$3,3,0),0)</f>
        <v>0</v>
      </c>
      <c r="M302" s="1692"/>
      <c r="N302" s="1692"/>
      <c r="O302" s="1692"/>
      <c r="P302" s="2674">
        <f>T302</f>
        <v>0</v>
      </c>
      <c r="Q302" s="983">
        <f>IF(P302&gt;H302,P302-H302,0)</f>
        <v>0</v>
      </c>
      <c r="R302" s="983">
        <f>IF(H302&gt;P302,H302-P302,0)</f>
        <v>0</v>
      </c>
      <c r="S302" s="983"/>
      <c r="T302" s="1862">
        <f>IFERROR(HLOOKUP(B302,pp1p!$1:$3,3,0),0)+IFERROR(HLOOKUP(B302,pp3p1m!$1:$3,3,0),0)</f>
        <v>0</v>
      </c>
    </row>
    <row r="303" spans="1:20" ht="22.2" hidden="1" customHeight="1">
      <c r="A303" s="1448">
        <f>COUNTIF($C$12:C303,"x")</f>
        <v>4</v>
      </c>
      <c r="B303" s="1465" t="s">
        <v>636</v>
      </c>
      <c r="C303" s="60" t="str">
        <f t="shared" si="46"/>
        <v xml:space="preserve"> </v>
      </c>
      <c r="D303" s="1418">
        <v>2</v>
      </c>
      <c r="E303" s="980" t="str">
        <f>VLOOKUP($B303,DG!A:D,DG!$B$2,)</f>
        <v>04.4001</v>
      </c>
      <c r="F303" s="990" t="str">
        <f>VLOOKUP($B303,DG!A:D,DG!$C$2,)</f>
        <v>Đà cản BTCT 1,2m</v>
      </c>
      <c r="G303" s="984" t="str">
        <f>VLOOKUP($B303,DG!A:D,DG!$D$2,)</f>
        <v>cái</v>
      </c>
      <c r="H303" s="1694">
        <f t="shared" ref="H303:N303" si="50">H$302*$D303</f>
        <v>0</v>
      </c>
      <c r="I303" s="1694">
        <f t="shared" si="50"/>
        <v>0</v>
      </c>
      <c r="J303" s="1694">
        <f t="shared" si="50"/>
        <v>0</v>
      </c>
      <c r="K303" s="1694">
        <f t="shared" si="50"/>
        <v>0</v>
      </c>
      <c r="L303" s="1694">
        <f t="shared" si="50"/>
        <v>0</v>
      </c>
      <c r="M303" s="1694">
        <f t="shared" si="50"/>
        <v>0</v>
      </c>
      <c r="N303" s="1694">
        <f t="shared" si="50"/>
        <v>0</v>
      </c>
      <c r="O303" s="1694"/>
      <c r="P303" s="1694"/>
      <c r="Q303" s="988"/>
      <c r="R303" s="988"/>
      <c r="S303" s="988"/>
      <c r="T303" s="1862">
        <f t="shared" si="45"/>
        <v>0</v>
      </c>
    </row>
    <row r="304" spans="1:20" ht="22.2" hidden="1" customHeight="1">
      <c r="A304" s="1448">
        <f>COUNTIF($C$12:C304,"x")</f>
        <v>4</v>
      </c>
      <c r="B304" s="1465" t="s">
        <v>722</v>
      </c>
      <c r="C304" s="60" t="str">
        <f t="shared" si="46"/>
        <v xml:space="preserve"> </v>
      </c>
      <c r="D304" s="1418">
        <v>1</v>
      </c>
      <c r="E304" s="984"/>
      <c r="F304" s="990" t="str">
        <f>VLOOKUP($B304,DG!A:D,DG!$C$2,)</f>
        <v>Boulon 22x850+ 2 long đền vuông D24-50x50x3/Zn</v>
      </c>
      <c r="G304" s="984" t="str">
        <f>VLOOKUP($B304,DG!A:D,DG!$D$2,)</f>
        <v>bộ</v>
      </c>
      <c r="H304" s="1694">
        <f>$H$302*D304</f>
        <v>0</v>
      </c>
      <c r="I304" s="1694">
        <f t="shared" ref="I304:N304" si="51">I$302*$D304</f>
        <v>0</v>
      </c>
      <c r="J304" s="1694">
        <f t="shared" si="51"/>
        <v>0</v>
      </c>
      <c r="K304" s="1694">
        <f t="shared" si="51"/>
        <v>0</v>
      </c>
      <c r="L304" s="1694">
        <f t="shared" si="51"/>
        <v>0</v>
      </c>
      <c r="M304" s="1694">
        <f t="shared" si="51"/>
        <v>0</v>
      </c>
      <c r="N304" s="1694">
        <f t="shared" si="51"/>
        <v>0</v>
      </c>
      <c r="O304" s="1694"/>
      <c r="P304" s="1694"/>
      <c r="Q304" s="988"/>
      <c r="R304" s="988"/>
      <c r="S304" s="988"/>
      <c r="T304" s="1862">
        <f t="shared" si="45"/>
        <v>0</v>
      </c>
    </row>
    <row r="305" spans="1:20" ht="22.2" hidden="1" customHeight="1">
      <c r="A305" s="1448">
        <f>COUNTIF($C$12:C305,"x")</f>
        <v>4</v>
      </c>
      <c r="B305" s="1465" t="s">
        <v>639</v>
      </c>
      <c r="C305" s="60" t="str">
        <f t="shared" si="46"/>
        <v xml:space="preserve"> </v>
      </c>
      <c r="D305" s="1417">
        <v>1.0900000000000001</v>
      </c>
      <c r="E305" s="984" t="str">
        <f>VLOOKUP($B305,DG!A:D,DG!$B$2,)</f>
        <v>03.1013</v>
      </c>
      <c r="F305" s="985" t="str">
        <f>VLOOKUP($B305,DG!A:D,DG!$C$2,)</f>
        <v>Đào hố móng đất cấp 3 sâu &gt;1m</v>
      </c>
      <c r="G305" s="984" t="str">
        <f>VLOOKUP($B305,DG!A:D,DG!$D$2,)</f>
        <v>m3</v>
      </c>
      <c r="H305" s="1694"/>
      <c r="I305" s="1694"/>
      <c r="J305" s="1694"/>
      <c r="K305" s="1694"/>
      <c r="L305" s="1694"/>
      <c r="M305" s="1694"/>
      <c r="N305" s="1694"/>
      <c r="O305" s="1694"/>
      <c r="P305" s="1694"/>
      <c r="Q305" s="991"/>
      <c r="R305" s="991"/>
      <c r="S305" s="991"/>
      <c r="T305" s="1862">
        <f t="shared" si="45"/>
        <v>0</v>
      </c>
    </row>
    <row r="306" spans="1:20" ht="22.2" hidden="1" customHeight="1">
      <c r="A306" s="1448">
        <f>COUNTIF($C$12:C306,"x")</f>
        <v>4</v>
      </c>
      <c r="B306" s="1465" t="s">
        <v>21</v>
      </c>
      <c r="C306" s="60" t="str">
        <f t="shared" si="46"/>
        <v xml:space="preserve"> </v>
      </c>
      <c r="D306" s="1417">
        <v>1.02</v>
      </c>
      <c r="E306" s="984" t="str">
        <f>VLOOKUP($B306,DG!A:D,DG!$B$2,)</f>
        <v>03.4113</v>
      </c>
      <c r="F306" s="985" t="str">
        <f>VLOOKUP($B306,DG!A:D,DG!$C$2,)</f>
        <v>Đắp đất hố móng, độ chặt k=0,95</v>
      </c>
      <c r="G306" s="984" t="str">
        <f>VLOOKUP($B306,DG!A:D,DG!$D$2,)</f>
        <v>m3</v>
      </c>
      <c r="H306" s="1694"/>
      <c r="I306" s="1694"/>
      <c r="J306" s="1694"/>
      <c r="K306" s="1694"/>
      <c r="L306" s="1694"/>
      <c r="M306" s="1694"/>
      <c r="N306" s="1694"/>
      <c r="O306" s="1694"/>
      <c r="P306" s="1694"/>
      <c r="Q306" s="991"/>
      <c r="R306" s="991"/>
      <c r="S306" s="991"/>
      <c r="T306" s="1862">
        <f t="shared" si="45"/>
        <v>0</v>
      </c>
    </row>
    <row r="307" spans="1:20" ht="22.2" hidden="1" customHeight="1">
      <c r="A307" s="1448">
        <f>COUNTIF($C$12:C307,"x")</f>
        <v>4</v>
      </c>
      <c r="B307" s="1452" t="s">
        <v>1901</v>
      </c>
      <c r="C307" s="59" t="str">
        <f t="shared" si="46"/>
        <v xml:space="preserve"> </v>
      </c>
      <c r="D307" s="1412"/>
      <c r="E307" s="981"/>
      <c r="F307" s="1276" t="s">
        <v>2359</v>
      </c>
      <c r="G307" s="982" t="s">
        <v>2327</v>
      </c>
      <c r="H307" s="1691">
        <f>SUM(I307:O307)</f>
        <v>0</v>
      </c>
      <c r="I307" s="1692"/>
      <c r="J307" s="1692"/>
      <c r="K307" s="1692">
        <f>IFERROR(HLOOKUP(B307,pp3p1m!$1:$3,2,0),0)</f>
        <v>0</v>
      </c>
      <c r="L307" s="1692">
        <f>IFERROR(HLOOKUP(chitiet!B307,pp1p!$1:$3,3,0),0)</f>
        <v>0</v>
      </c>
      <c r="M307" s="1692"/>
      <c r="N307" s="1692"/>
      <c r="O307" s="1692"/>
      <c r="P307" s="2674">
        <f>T307</f>
        <v>0</v>
      </c>
      <c r="Q307" s="983">
        <f>IF(P307&gt;H307,P307-H307,0)</f>
        <v>0</v>
      </c>
      <c r="R307" s="983">
        <f>IF(H307&gt;P307,H307-P307,0)</f>
        <v>0</v>
      </c>
      <c r="S307" s="983"/>
      <c r="T307" s="1862">
        <f>IFERROR(HLOOKUP(B307,pp1p!$1:$3,3,0),0)+IFERROR(HLOOKUP(B307,pp3p1m!$1:$3,3,0),0)</f>
        <v>0</v>
      </c>
    </row>
    <row r="308" spans="1:20" ht="22.2" hidden="1" customHeight="1">
      <c r="A308" s="1448">
        <f>COUNTIF($C$12:C308,"x")</f>
        <v>4</v>
      </c>
      <c r="B308" s="1465" t="s">
        <v>1575</v>
      </c>
      <c r="C308" s="60" t="str">
        <f t="shared" si="46"/>
        <v xml:space="preserve"> </v>
      </c>
      <c r="D308" s="1418">
        <v>2</v>
      </c>
      <c r="E308" s="980" t="str">
        <f>VLOOKUP($B308,DG!A:D,DG!$B$2,)</f>
        <v>04.3801</v>
      </c>
      <c r="F308" s="990" t="str">
        <f>VLOOKUP($B308,DG!A:D,DG!$C$2,)</f>
        <v>Đà cản BTCT 1,5m</v>
      </c>
      <c r="G308" s="984" t="str">
        <f>VLOOKUP($B308,DG!A:D,DG!$D$2,)</f>
        <v>cái</v>
      </c>
      <c r="H308" s="1694">
        <f>H$307*$D308</f>
        <v>0</v>
      </c>
      <c r="I308" s="1694">
        <f>I$307*$D308</f>
        <v>0</v>
      </c>
      <c r="J308" s="1694">
        <f t="shared" ref="J308:N309" si="52">J$302*$D308</f>
        <v>0</v>
      </c>
      <c r="K308" s="1694">
        <f t="shared" si="52"/>
        <v>0</v>
      </c>
      <c r="L308" s="1694">
        <f t="shared" si="52"/>
        <v>0</v>
      </c>
      <c r="M308" s="1694">
        <f t="shared" si="52"/>
        <v>0</v>
      </c>
      <c r="N308" s="1694">
        <f t="shared" si="52"/>
        <v>0</v>
      </c>
      <c r="O308" s="1694"/>
      <c r="P308" s="1694"/>
      <c r="Q308" s="988"/>
      <c r="R308" s="988"/>
      <c r="S308" s="988"/>
      <c r="T308" s="1862">
        <f t="shared" si="45"/>
        <v>0</v>
      </c>
    </row>
    <row r="309" spans="1:20" ht="22.2" hidden="1" customHeight="1">
      <c r="A309" s="1448">
        <f>COUNTIF($C$12:C309,"x")</f>
        <v>4</v>
      </c>
      <c r="B309" s="1465" t="s">
        <v>722</v>
      </c>
      <c r="C309" s="60" t="str">
        <f t="shared" si="46"/>
        <v xml:space="preserve"> </v>
      </c>
      <c r="D309" s="1418">
        <v>1</v>
      </c>
      <c r="E309" s="984"/>
      <c r="F309" s="990" t="str">
        <f>VLOOKUP($B309,DG!A:D,DG!$C$2,)</f>
        <v>Boulon 22x850+ 2 long đền vuông D24-50x50x3/Zn</v>
      </c>
      <c r="G309" s="984" t="str">
        <f>VLOOKUP($B309,DG!A:D,DG!$D$2,)</f>
        <v>bộ</v>
      </c>
      <c r="H309" s="1694">
        <f>H$307*$D309</f>
        <v>0</v>
      </c>
      <c r="I309" s="1694">
        <f>I$307*$D309</f>
        <v>0</v>
      </c>
      <c r="J309" s="1694">
        <f t="shared" si="52"/>
        <v>0</v>
      </c>
      <c r="K309" s="1694">
        <f t="shared" si="52"/>
        <v>0</v>
      </c>
      <c r="L309" s="1694">
        <f t="shared" si="52"/>
        <v>0</v>
      </c>
      <c r="M309" s="1694">
        <f t="shared" si="52"/>
        <v>0</v>
      </c>
      <c r="N309" s="1694">
        <f t="shared" si="52"/>
        <v>0</v>
      </c>
      <c r="O309" s="1694"/>
      <c r="P309" s="1694"/>
      <c r="Q309" s="988"/>
      <c r="R309" s="988"/>
      <c r="S309" s="988"/>
      <c r="T309" s="1862">
        <f t="shared" si="45"/>
        <v>0</v>
      </c>
    </row>
    <row r="310" spans="1:20" ht="22.2" hidden="1" customHeight="1">
      <c r="A310" s="1448">
        <f>COUNTIF($C$12:C310,"x")</f>
        <v>4</v>
      </c>
      <c r="B310" s="1455" t="s">
        <v>1812</v>
      </c>
      <c r="C310" s="60" t="str">
        <f t="shared" si="46"/>
        <v xml:space="preserve"> </v>
      </c>
      <c r="D310" s="1413">
        <v>0.23200000000000001</v>
      </c>
      <c r="E310" s="980">
        <f>VLOOKUP($B310,DG!A:D,DG!$B$2,)</f>
        <v>0</v>
      </c>
      <c r="F310" s="985" t="str">
        <f>VLOOKUP($B310,DG!A:D,DG!$C$2,)</f>
        <v>Đá 2x4</v>
      </c>
      <c r="G310" s="980" t="str">
        <f>VLOOKUP($B310,DG!A:D,DG!$D$2,)</f>
        <v>m3</v>
      </c>
      <c r="H310" s="1693">
        <f t="shared" ref="H310:N310" si="53">H$18*$D310</f>
        <v>0</v>
      </c>
      <c r="I310" s="1693">
        <f t="shared" si="53"/>
        <v>0</v>
      </c>
      <c r="J310" s="1693">
        <f t="shared" si="53"/>
        <v>0</v>
      </c>
      <c r="K310" s="1693">
        <f t="shared" si="53"/>
        <v>0</v>
      </c>
      <c r="L310" s="1693">
        <f t="shared" si="53"/>
        <v>0</v>
      </c>
      <c r="M310" s="1693">
        <f t="shared" si="53"/>
        <v>0</v>
      </c>
      <c r="N310" s="1693">
        <f t="shared" si="53"/>
        <v>0</v>
      </c>
      <c r="O310" s="1693"/>
      <c r="P310" s="1693"/>
      <c r="Q310" s="989"/>
      <c r="R310" s="989"/>
      <c r="S310" s="989"/>
      <c r="T310" s="1862">
        <f t="shared" si="45"/>
        <v>0</v>
      </c>
    </row>
    <row r="311" spans="1:20" ht="22.2" hidden="1" customHeight="1">
      <c r="A311" s="1448">
        <f>COUNTIF($C$12:C311,"x")</f>
        <v>4</v>
      </c>
      <c r="B311" s="1465" t="s">
        <v>639</v>
      </c>
      <c r="C311" s="60" t="str">
        <f t="shared" si="46"/>
        <v xml:space="preserve"> </v>
      </c>
      <c r="D311" s="1417">
        <v>3.88</v>
      </c>
      <c r="E311" s="984" t="str">
        <f>VLOOKUP($B311,DG!A:D,DG!$B$2,)</f>
        <v>03.1013</v>
      </c>
      <c r="F311" s="985" t="str">
        <f>VLOOKUP($B311,DG!A:D,DG!$C$2,)</f>
        <v>Đào hố móng đất cấp 3 sâu &gt;1m</v>
      </c>
      <c r="G311" s="984" t="str">
        <f>VLOOKUP($B311,DG!A:D,DG!$D$2,)</f>
        <v>m3</v>
      </c>
      <c r="H311" s="1694"/>
      <c r="I311" s="1694"/>
      <c r="J311" s="1694"/>
      <c r="K311" s="1694"/>
      <c r="L311" s="1694"/>
      <c r="M311" s="1694"/>
      <c r="N311" s="1694"/>
      <c r="O311" s="1694"/>
      <c r="P311" s="1694"/>
      <c r="Q311" s="991"/>
      <c r="R311" s="991"/>
      <c r="S311" s="991"/>
      <c r="T311" s="1862">
        <f t="shared" si="45"/>
        <v>0</v>
      </c>
    </row>
    <row r="312" spans="1:20" ht="22.2" hidden="1" customHeight="1">
      <c r="A312" s="1448">
        <f>COUNTIF($C$12:C312,"x")</f>
        <v>4</v>
      </c>
      <c r="B312" s="1465" t="s">
        <v>21</v>
      </c>
      <c r="C312" s="60" t="str">
        <f t="shared" si="46"/>
        <v xml:space="preserve"> </v>
      </c>
      <c r="D312" s="1417">
        <v>4.34</v>
      </c>
      <c r="E312" s="984" t="str">
        <f>VLOOKUP($B312,DG!A:D,DG!$B$2,)</f>
        <v>03.4113</v>
      </c>
      <c r="F312" s="985" t="str">
        <f>VLOOKUP($B312,DG!A:D,DG!$C$2,)</f>
        <v>Đắp đất hố móng, độ chặt k=0,95</v>
      </c>
      <c r="G312" s="984" t="str">
        <f>VLOOKUP($B312,DG!A:D,DG!$D$2,)</f>
        <v>m3</v>
      </c>
      <c r="H312" s="1694"/>
      <c r="I312" s="1694"/>
      <c r="J312" s="1694"/>
      <c r="K312" s="1694"/>
      <c r="L312" s="1694"/>
      <c r="M312" s="1694"/>
      <c r="N312" s="1694"/>
      <c r="O312" s="1694"/>
      <c r="P312" s="1694"/>
      <c r="Q312" s="991"/>
      <c r="R312" s="991"/>
      <c r="S312" s="991"/>
      <c r="T312" s="1862">
        <f t="shared" si="45"/>
        <v>0</v>
      </c>
    </row>
    <row r="313" spans="1:20" ht="22.2" hidden="1" customHeight="1">
      <c r="A313" s="1448">
        <f>COUNTIF($C$12:C313,"x")</f>
        <v>4</v>
      </c>
      <c r="B313" s="1465" t="s">
        <v>637</v>
      </c>
      <c r="C313" s="60" t="str">
        <f t="shared" si="46"/>
        <v xml:space="preserve"> </v>
      </c>
      <c r="D313" s="1417">
        <f>0.255*D308</f>
        <v>0.51</v>
      </c>
      <c r="E313" s="984" t="str">
        <f>VLOOKUP($B313,DG!A:D,DG!$B$2,)</f>
        <v>02.1123</v>
      </c>
      <c r="F313" s="985" t="str">
        <f>VLOOKUP($B313,DG!A:D,DG!$C$2,)</f>
        <v>Bốc dỡ đà cản, đế néo</v>
      </c>
      <c r="G313" s="984" t="str">
        <f>VLOOKUP($B313,DG!A:D,DG!$D$2,)</f>
        <v>tấn</v>
      </c>
      <c r="H313" s="1694"/>
      <c r="I313" s="1694"/>
      <c r="J313" s="1694"/>
      <c r="K313" s="1694"/>
      <c r="L313" s="1694"/>
      <c r="M313" s="1694"/>
      <c r="N313" s="1694"/>
      <c r="O313" s="1694"/>
      <c r="P313" s="1694"/>
      <c r="Q313" s="988"/>
      <c r="R313" s="988"/>
      <c r="S313" s="988"/>
      <c r="T313" s="1862">
        <f t="shared" si="45"/>
        <v>0</v>
      </c>
    </row>
    <row r="314" spans="1:20" ht="22.2" hidden="1" customHeight="1">
      <c r="A314" s="1448">
        <f>COUNTIF($C$12:C314,"x")</f>
        <v>4</v>
      </c>
      <c r="B314" s="1453" t="s">
        <v>2063</v>
      </c>
      <c r="C314" s="60" t="str">
        <f t="shared" si="46"/>
        <v xml:space="preserve"> </v>
      </c>
      <c r="D314" s="1417">
        <f>D313</f>
        <v>0.51</v>
      </c>
      <c r="E314" s="984" t="str">
        <f>VLOOKUP($B314,DG!A:C,2,)</f>
        <v>02.1451</v>
      </c>
      <c r="F314" s="985" t="str">
        <f>VLOOKUP($B314,DG!A:C,3,)</f>
        <v>V/c đà cản vào vị trí (cự ly &lt;=100m)</v>
      </c>
      <c r="G314" s="984" t="str">
        <f>VLOOKUP($B314,DG!A:D,4,0)</f>
        <v>tấn</v>
      </c>
      <c r="H314" s="1694"/>
      <c r="I314" s="1694"/>
      <c r="J314" s="1694"/>
      <c r="K314" s="1694"/>
      <c r="L314" s="1694"/>
      <c r="M314" s="1694"/>
      <c r="N314" s="1694"/>
      <c r="O314" s="1694"/>
      <c r="P314" s="1694"/>
      <c r="Q314" s="991"/>
      <c r="R314" s="991"/>
      <c r="S314" s="991"/>
      <c r="T314" s="1862">
        <f t="shared" si="45"/>
        <v>0</v>
      </c>
    </row>
    <row r="315" spans="1:20" ht="22.2" hidden="1" customHeight="1">
      <c r="A315" s="1448">
        <f>COUNTIF($C$12:C315,"x")</f>
        <v>4</v>
      </c>
      <c r="B315" s="1464" t="s">
        <v>674</v>
      </c>
      <c r="C315" s="60" t="str">
        <f t="shared" si="46"/>
        <v xml:space="preserve"> </v>
      </c>
      <c r="D315" s="1413">
        <f>D310</f>
        <v>0.23200000000000001</v>
      </c>
      <c r="E315" s="980" t="str">
        <f>VLOOKUP($B315,DG!A:C,2,)</f>
        <v>02.1241</v>
      </c>
      <c r="F315" s="985" t="str">
        <f>VLOOKUP($B315,DG!A:C,3,)</f>
        <v>V/c đá dăm ( cự ly &lt;=100m)</v>
      </c>
      <c r="G315" s="980" t="str">
        <f>VLOOKUP($B315,DG!A:D,4,0)</f>
        <v>m3</v>
      </c>
      <c r="H315" s="1693"/>
      <c r="I315" s="1693"/>
      <c r="J315" s="1693"/>
      <c r="K315" s="1693"/>
      <c r="L315" s="1693"/>
      <c r="M315" s="1693"/>
      <c r="N315" s="1693"/>
      <c r="O315" s="1693"/>
      <c r="P315" s="1693"/>
      <c r="Q315" s="994"/>
      <c r="R315" s="994"/>
      <c r="S315" s="994"/>
      <c r="T315" s="1862">
        <f t="shared" si="45"/>
        <v>0</v>
      </c>
    </row>
    <row r="316" spans="1:20" ht="22.2" hidden="1" customHeight="1">
      <c r="A316" s="1448">
        <f>COUNTIF($C$12:C316,"x")</f>
        <v>4</v>
      </c>
      <c r="B316" s="1453" t="s">
        <v>635</v>
      </c>
      <c r="C316" s="60" t="str">
        <f t="shared" si="46"/>
        <v xml:space="preserve"> </v>
      </c>
      <c r="D316" s="1417">
        <v>0.2</v>
      </c>
      <c r="E316" s="984" t="str">
        <f>VLOOKUP($B316,DG!A:C,2,)</f>
        <v>02.1482</v>
      </c>
      <c r="F316" s="985" t="str">
        <f>VLOOKUP($B316,DG!A:C,3,)</f>
        <v>V/c dụng cụ thi công vào vị trí (cự ly &lt;=100m)</v>
      </c>
      <c r="G316" s="984" t="str">
        <f>VLOOKUP($B316,DG!A:D,4,0)</f>
        <v>tấn</v>
      </c>
      <c r="H316" s="1694"/>
      <c r="I316" s="1694"/>
      <c r="J316" s="1694"/>
      <c r="K316" s="1694"/>
      <c r="L316" s="1694"/>
      <c r="M316" s="1694"/>
      <c r="N316" s="1694"/>
      <c r="O316" s="1694"/>
      <c r="P316" s="1694"/>
      <c r="Q316" s="991"/>
      <c r="R316" s="991"/>
      <c r="S316" s="991"/>
      <c r="T316" s="1862">
        <f t="shared" si="45"/>
        <v>0</v>
      </c>
    </row>
    <row r="317" spans="1:20" ht="22.2" hidden="1" customHeight="1">
      <c r="A317" s="1448">
        <f>COUNTIF($C$12:C317,"x")</f>
        <v>4</v>
      </c>
      <c r="B317" s="1452" t="s">
        <v>2180</v>
      </c>
      <c r="C317" s="59" t="str">
        <f t="shared" si="46"/>
        <v xml:space="preserve"> </v>
      </c>
      <c r="D317" s="1412"/>
      <c r="E317" s="981"/>
      <c r="F317" s="1276" t="s">
        <v>2360</v>
      </c>
      <c r="G317" s="982" t="s">
        <v>2327</v>
      </c>
      <c r="H317" s="1691">
        <f>SUM(I317:O317)</f>
        <v>0</v>
      </c>
      <c r="I317" s="1692"/>
      <c r="J317" s="1692"/>
      <c r="K317" s="1692">
        <f>IFERROR(HLOOKUP(B317,pp3p1m!$1:$3,2,0),0)</f>
        <v>0</v>
      </c>
      <c r="L317" s="1692">
        <f>IFERROR(HLOOKUP(chitiet!B317,pp1p!$1:$3,3,0),0)</f>
        <v>0</v>
      </c>
      <c r="M317" s="1692"/>
      <c r="N317" s="1692"/>
      <c r="O317" s="1692"/>
      <c r="P317" s="2674">
        <f>T317</f>
        <v>0</v>
      </c>
      <c r="Q317" s="983">
        <f>IF(P317&gt;H317,P317-H317,0)</f>
        <v>0</v>
      </c>
      <c r="R317" s="983">
        <f>IF(H317&gt;P317,H317-P317,0)</f>
        <v>0</v>
      </c>
      <c r="S317" s="983"/>
      <c r="T317" s="1862">
        <f>IFERROR(HLOOKUP(B317,pp1p!$1:$3,3,0),0)+IFERROR(HLOOKUP(B317,pp3p1m!$1:$3,3,0),0)</f>
        <v>0</v>
      </c>
    </row>
    <row r="318" spans="1:20" ht="22.2" hidden="1" customHeight="1">
      <c r="A318" s="1448">
        <f>COUNTIF($C$12:C318,"x")</f>
        <v>4</v>
      </c>
      <c r="B318" s="1465" t="s">
        <v>1575</v>
      </c>
      <c r="C318" s="60" t="str">
        <f t="shared" si="46"/>
        <v xml:space="preserve"> </v>
      </c>
      <c r="D318" s="1418">
        <v>1</v>
      </c>
      <c r="E318" s="980" t="str">
        <f>VLOOKUP($B318,DG!A:D,DG!$B$2,)</f>
        <v>04.3801</v>
      </c>
      <c r="F318" s="990" t="str">
        <f>VLOOKUP($B318,DG!A:D,DG!$C$2,)</f>
        <v>Đà cản BTCT 1,5m</v>
      </c>
      <c r="G318" s="984" t="str">
        <f>VLOOKUP($B318,DG!A:D,DG!$D$2,)</f>
        <v>cái</v>
      </c>
      <c r="H318" s="1694">
        <f t="shared" ref="H318:N320" si="54">H$317*$D318</f>
        <v>0</v>
      </c>
      <c r="I318" s="1694">
        <f t="shared" si="54"/>
        <v>0</v>
      </c>
      <c r="J318" s="1694">
        <f t="shared" si="54"/>
        <v>0</v>
      </c>
      <c r="K318" s="1694">
        <f t="shared" si="54"/>
        <v>0</v>
      </c>
      <c r="L318" s="1694">
        <f t="shared" si="54"/>
        <v>0</v>
      </c>
      <c r="M318" s="1694">
        <f t="shared" si="54"/>
        <v>0</v>
      </c>
      <c r="N318" s="1694">
        <f t="shared" si="54"/>
        <v>0</v>
      </c>
      <c r="O318" s="1694"/>
      <c r="P318" s="1694"/>
      <c r="Q318" s="988"/>
      <c r="R318" s="988"/>
      <c r="S318" s="988"/>
      <c r="T318" s="1862">
        <f t="shared" si="45"/>
        <v>0</v>
      </c>
    </row>
    <row r="319" spans="1:20" ht="22.2" hidden="1" customHeight="1">
      <c r="A319" s="1448">
        <f>COUNTIF($C$12:C319,"x")</f>
        <v>4</v>
      </c>
      <c r="B319" s="1465" t="s">
        <v>636</v>
      </c>
      <c r="C319" s="60" t="str">
        <f t="shared" si="46"/>
        <v xml:space="preserve"> </v>
      </c>
      <c r="D319" s="1418">
        <v>2</v>
      </c>
      <c r="E319" s="980" t="str">
        <f>VLOOKUP($B319,DG!A:D,DG!$B$2,)</f>
        <v>04.4001</v>
      </c>
      <c r="F319" s="990" t="str">
        <f>VLOOKUP($B319,DG!A:D,DG!$C$2,)&amp;" hieän höõu"</f>
        <v>Đà cản BTCT 1,2m hieän höõu</v>
      </c>
      <c r="G319" s="984" t="str">
        <f>VLOOKUP($B319,DG!A:D,DG!$D$2,)</f>
        <v>cái</v>
      </c>
      <c r="H319" s="1694">
        <f t="shared" si="54"/>
        <v>0</v>
      </c>
      <c r="I319" s="1694">
        <f t="shared" si="54"/>
        <v>0</v>
      </c>
      <c r="J319" s="1694">
        <f t="shared" si="54"/>
        <v>0</v>
      </c>
      <c r="K319" s="1694">
        <f t="shared" si="54"/>
        <v>0</v>
      </c>
      <c r="L319" s="1694">
        <f t="shared" si="54"/>
        <v>0</v>
      </c>
      <c r="M319" s="1694">
        <f t="shared" si="54"/>
        <v>0</v>
      </c>
      <c r="N319" s="1694">
        <f t="shared" si="54"/>
        <v>0</v>
      </c>
      <c r="O319" s="1694"/>
      <c r="P319" s="1694"/>
      <c r="Q319" s="988"/>
      <c r="R319" s="988"/>
      <c r="S319" s="988"/>
      <c r="T319" s="1862">
        <f t="shared" si="45"/>
        <v>0</v>
      </c>
    </row>
    <row r="320" spans="1:20" ht="22.2" hidden="1" customHeight="1">
      <c r="A320" s="1448">
        <f>COUNTIF($C$12:C320,"x")</f>
        <v>4</v>
      </c>
      <c r="B320" s="1465" t="s">
        <v>1828</v>
      </c>
      <c r="C320" s="60" t="str">
        <f t="shared" si="46"/>
        <v xml:space="preserve"> </v>
      </c>
      <c r="D320" s="1418">
        <v>1</v>
      </c>
      <c r="E320" s="984"/>
      <c r="F320" s="990" t="str">
        <f>VLOOKUP($B320,DG!A:D,DG!$C$2,)</f>
        <v>Boulon 22x700+ 2 long đền vuông D24-50x50x3/Zn</v>
      </c>
      <c r="G320" s="984" t="str">
        <f>VLOOKUP($B320,DG!A:D,DG!$D$2,)</f>
        <v>bộ</v>
      </c>
      <c r="H320" s="1694">
        <f t="shared" si="54"/>
        <v>0</v>
      </c>
      <c r="I320" s="1694">
        <f t="shared" si="54"/>
        <v>0</v>
      </c>
      <c r="J320" s="1694">
        <f t="shared" si="54"/>
        <v>0</v>
      </c>
      <c r="K320" s="1694">
        <f t="shared" si="54"/>
        <v>0</v>
      </c>
      <c r="L320" s="1694">
        <f t="shared" si="54"/>
        <v>0</v>
      </c>
      <c r="M320" s="1694">
        <f t="shared" si="54"/>
        <v>0</v>
      </c>
      <c r="N320" s="1694">
        <f t="shared" si="54"/>
        <v>0</v>
      </c>
      <c r="O320" s="1694"/>
      <c r="P320" s="1694"/>
      <c r="Q320" s="988"/>
      <c r="R320" s="988"/>
      <c r="S320" s="988"/>
      <c r="T320" s="1862">
        <f t="shared" si="45"/>
        <v>0</v>
      </c>
    </row>
    <row r="321" spans="1:20" ht="22.2" hidden="1" customHeight="1">
      <c r="A321" s="1448">
        <f>COUNTIF($C$12:C321,"x")</f>
        <v>4</v>
      </c>
      <c r="B321" s="1465" t="s">
        <v>639</v>
      </c>
      <c r="C321" s="60" t="str">
        <f t="shared" si="46"/>
        <v xml:space="preserve"> </v>
      </c>
      <c r="D321" s="1417">
        <v>2.17</v>
      </c>
      <c r="E321" s="984" t="str">
        <f>VLOOKUP($B321,DG!A:D,DG!$B$2,)</f>
        <v>03.1013</v>
      </c>
      <c r="F321" s="985" t="str">
        <f>VLOOKUP($B321,DG!A:D,DG!$C$2,)</f>
        <v>Đào hố móng đất cấp 3 sâu &gt;1m</v>
      </c>
      <c r="G321" s="984" t="str">
        <f>VLOOKUP($B321,DG!A:D,DG!$D$2,)</f>
        <v>m3</v>
      </c>
      <c r="H321" s="1694"/>
      <c r="I321" s="1694"/>
      <c r="J321" s="1694"/>
      <c r="K321" s="1694"/>
      <c r="L321" s="1694"/>
      <c r="M321" s="1694"/>
      <c r="N321" s="1694"/>
      <c r="O321" s="1694"/>
      <c r="P321" s="1694"/>
      <c r="Q321" s="991"/>
      <c r="R321" s="991"/>
      <c r="S321" s="991"/>
      <c r="T321" s="1862">
        <f t="shared" si="45"/>
        <v>0</v>
      </c>
    </row>
    <row r="322" spans="1:20" ht="22.2" hidden="1" customHeight="1">
      <c r="A322" s="1448">
        <f>COUNTIF($C$12:C322,"x")</f>
        <v>4</v>
      </c>
      <c r="B322" s="1465" t="s">
        <v>21</v>
      </c>
      <c r="C322" s="60" t="str">
        <f t="shared" si="46"/>
        <v xml:space="preserve"> </v>
      </c>
      <c r="D322" s="1417">
        <v>2.3199999999999998</v>
      </c>
      <c r="E322" s="984" t="str">
        <f>VLOOKUP($B322,DG!A:D,DG!$B$2,)</f>
        <v>03.4113</v>
      </c>
      <c r="F322" s="985" t="str">
        <f>VLOOKUP($B322,DG!A:D,DG!$C$2,)</f>
        <v>Đắp đất hố móng, độ chặt k=0,95</v>
      </c>
      <c r="G322" s="984" t="str">
        <f>VLOOKUP($B322,DG!A:D,DG!$D$2,)</f>
        <v>m3</v>
      </c>
      <c r="H322" s="1694"/>
      <c r="I322" s="1694"/>
      <c r="J322" s="1694"/>
      <c r="K322" s="1694"/>
      <c r="L322" s="1694"/>
      <c r="M322" s="1694"/>
      <c r="N322" s="1694"/>
      <c r="O322" s="1694"/>
      <c r="P322" s="1694"/>
      <c r="Q322" s="991"/>
      <c r="R322" s="991"/>
      <c r="S322" s="991"/>
      <c r="T322" s="1862">
        <f t="shared" si="45"/>
        <v>0</v>
      </c>
    </row>
    <row r="323" spans="1:20" ht="22.2" hidden="1" customHeight="1">
      <c r="A323" s="1448">
        <f>COUNTIF($C$12:C323,"x")</f>
        <v>4</v>
      </c>
      <c r="B323" s="1465" t="s">
        <v>637</v>
      </c>
      <c r="C323" s="60" t="str">
        <f t="shared" si="46"/>
        <v xml:space="preserve"> </v>
      </c>
      <c r="D323" s="1417">
        <f>0.255*D318</f>
        <v>0.255</v>
      </c>
      <c r="E323" s="984" t="str">
        <f>VLOOKUP($B323,DG!A:D,DG!$B$2,)</f>
        <v>02.1123</v>
      </c>
      <c r="F323" s="985" t="str">
        <f>VLOOKUP($B323,DG!A:D,DG!$C$2,)</f>
        <v>Bốc dỡ đà cản, đế néo</v>
      </c>
      <c r="G323" s="984" t="str">
        <f>VLOOKUP($B323,DG!A:D,DG!$D$2,)</f>
        <v>tấn</v>
      </c>
      <c r="H323" s="1694"/>
      <c r="I323" s="1694"/>
      <c r="J323" s="1694"/>
      <c r="K323" s="1694"/>
      <c r="L323" s="1694"/>
      <c r="M323" s="1694"/>
      <c r="N323" s="1694"/>
      <c r="O323" s="1694"/>
      <c r="P323" s="1694"/>
      <c r="Q323" s="988"/>
      <c r="R323" s="988"/>
      <c r="S323" s="988"/>
      <c r="T323" s="1862">
        <f t="shared" si="45"/>
        <v>0</v>
      </c>
    </row>
    <row r="324" spans="1:20" ht="22.2" hidden="1" customHeight="1">
      <c r="A324" s="1448">
        <f>COUNTIF($C$12:C324,"x")</f>
        <v>4</v>
      </c>
      <c r="B324" s="1453" t="s">
        <v>2063</v>
      </c>
      <c r="C324" s="60" t="str">
        <f t="shared" si="46"/>
        <v xml:space="preserve"> </v>
      </c>
      <c r="D324" s="1417">
        <f>D323</f>
        <v>0.255</v>
      </c>
      <c r="E324" s="984" t="str">
        <f>VLOOKUP($B324,DG!A:C,2,)</f>
        <v>02.1451</v>
      </c>
      <c r="F324" s="985" t="str">
        <f>VLOOKUP($B324,DG!A:C,3,)</f>
        <v>V/c đà cản vào vị trí (cự ly &lt;=100m)</v>
      </c>
      <c r="G324" s="984" t="str">
        <f>VLOOKUP($B324,DG!A:D,4,0)</f>
        <v>tấn</v>
      </c>
      <c r="H324" s="1694"/>
      <c r="I324" s="1694"/>
      <c r="J324" s="1694"/>
      <c r="K324" s="1694"/>
      <c r="L324" s="1694"/>
      <c r="M324" s="1694"/>
      <c r="N324" s="1694"/>
      <c r="O324" s="1694"/>
      <c r="P324" s="1694"/>
      <c r="Q324" s="991"/>
      <c r="R324" s="991"/>
      <c r="S324" s="991"/>
      <c r="T324" s="1862">
        <f t="shared" si="45"/>
        <v>0</v>
      </c>
    </row>
    <row r="325" spans="1:20" ht="22.2" hidden="1" customHeight="1">
      <c r="A325" s="1448">
        <f>COUNTIF($C$12:C325,"x")</f>
        <v>4</v>
      </c>
      <c r="B325" s="1453" t="s">
        <v>635</v>
      </c>
      <c r="C325" s="60" t="str">
        <f t="shared" si="46"/>
        <v xml:space="preserve"> </v>
      </c>
      <c r="D325" s="1417">
        <v>0.2</v>
      </c>
      <c r="E325" s="984" t="str">
        <f>VLOOKUP($B325,DG!A:C,2,)</f>
        <v>02.1482</v>
      </c>
      <c r="F325" s="985" t="str">
        <f>VLOOKUP($B325,DG!A:C,3,)</f>
        <v>V/c dụng cụ thi công vào vị trí (cự ly &lt;=100m)</v>
      </c>
      <c r="G325" s="984" t="str">
        <f>VLOOKUP($B325,DG!A:D,4,0)</f>
        <v>tấn</v>
      </c>
      <c r="H325" s="1694"/>
      <c r="I325" s="1694"/>
      <c r="J325" s="1694"/>
      <c r="K325" s="1694"/>
      <c r="L325" s="1694"/>
      <c r="M325" s="1694"/>
      <c r="N325" s="1694"/>
      <c r="O325" s="1694"/>
      <c r="P325" s="1694"/>
      <c r="Q325" s="991"/>
      <c r="R325" s="991"/>
      <c r="S325" s="991"/>
      <c r="T325" s="1862">
        <f t="shared" si="45"/>
        <v>0</v>
      </c>
    </row>
    <row r="326" spans="1:20" ht="22.2" hidden="1" customHeight="1">
      <c r="A326" s="1448">
        <f>COUNTIF($C$12:C326,"x")</f>
        <v>4</v>
      </c>
      <c r="B326" s="1452" t="s">
        <v>500</v>
      </c>
      <c r="C326" s="59" t="str">
        <f t="shared" si="46"/>
        <v xml:space="preserve"> </v>
      </c>
      <c r="D326" s="1412"/>
      <c r="E326" s="981"/>
      <c r="F326" s="1276" t="s">
        <v>2361</v>
      </c>
      <c r="G326" s="982" t="s">
        <v>2327</v>
      </c>
      <c r="H326" s="1691">
        <f>SUM(I326:O326)</f>
        <v>0</v>
      </c>
      <c r="I326" s="1692"/>
      <c r="J326" s="1692"/>
      <c r="K326" s="1692">
        <f>IFERROR(HLOOKUP(B326,pp3p1m!$1:$3,2,0),0)</f>
        <v>0</v>
      </c>
      <c r="L326" s="1692">
        <f>IFERROR(HLOOKUP(chitiet!B326,pp1p!$1:$3,3,0),0)</f>
        <v>0</v>
      </c>
      <c r="M326" s="1692"/>
      <c r="N326" s="1692"/>
      <c r="O326" s="1692"/>
      <c r="P326" s="2674">
        <f>T326</f>
        <v>0</v>
      </c>
      <c r="Q326" s="983">
        <f>IF(P326&gt;H326,P326-H326,0)</f>
        <v>0</v>
      </c>
      <c r="R326" s="983">
        <f>IF(H326&gt;P326,H326-P326,0)</f>
        <v>0</v>
      </c>
      <c r="S326" s="983"/>
      <c r="T326" s="1862">
        <f>IFERROR(HLOOKUP(B326,pp1p!$1:$3,3,0),0)+IFERROR(HLOOKUP(B326,pp3p1m!$1:$3,3,0),0)</f>
        <v>0</v>
      </c>
    </row>
    <row r="327" spans="1:20" ht="22.2" hidden="1" customHeight="1">
      <c r="A327" s="1448">
        <f>COUNTIF($C$12:C327,"x")</f>
        <v>4</v>
      </c>
      <c r="B327" s="1465" t="s">
        <v>1575</v>
      </c>
      <c r="C327" s="60" t="str">
        <f t="shared" si="46"/>
        <v xml:space="preserve"> </v>
      </c>
      <c r="D327" s="1418">
        <v>1</v>
      </c>
      <c r="E327" s="980" t="str">
        <f>VLOOKUP($B327,DG!A:D,DG!$B$2,)</f>
        <v>04.3801</v>
      </c>
      <c r="F327" s="990" t="str">
        <f>VLOOKUP($B327,DG!A:D,DG!$C$2,)</f>
        <v>Đà cản BTCT 1,5m</v>
      </c>
      <c r="G327" s="984" t="str">
        <f>VLOOKUP($B327,DG!A:D,DG!$D$2,)</f>
        <v>cái</v>
      </c>
      <c r="H327" s="1694">
        <f t="shared" ref="H327:N329" si="55">H$326*$D327</f>
        <v>0</v>
      </c>
      <c r="I327" s="1694">
        <f t="shared" si="55"/>
        <v>0</v>
      </c>
      <c r="J327" s="1694">
        <f t="shared" si="55"/>
        <v>0</v>
      </c>
      <c r="K327" s="1694">
        <f t="shared" si="55"/>
        <v>0</v>
      </c>
      <c r="L327" s="1694">
        <f t="shared" si="55"/>
        <v>0</v>
      </c>
      <c r="M327" s="1694">
        <f t="shared" si="55"/>
        <v>0</v>
      </c>
      <c r="N327" s="1694">
        <f t="shared" si="55"/>
        <v>0</v>
      </c>
      <c r="O327" s="1694"/>
      <c r="P327" s="1694"/>
      <c r="Q327" s="988"/>
      <c r="R327" s="988"/>
      <c r="S327" s="988"/>
      <c r="T327" s="1862">
        <f t="shared" si="45"/>
        <v>0</v>
      </c>
    </row>
    <row r="328" spans="1:20" ht="22.2" hidden="1" customHeight="1">
      <c r="A328" s="1448">
        <f>COUNTIF($C$12:C328,"x")</f>
        <v>4</v>
      </c>
      <c r="B328" s="1465" t="s">
        <v>636</v>
      </c>
      <c r="C328" s="60" t="str">
        <f t="shared" si="46"/>
        <v xml:space="preserve"> </v>
      </c>
      <c r="D328" s="1418">
        <v>2</v>
      </c>
      <c r="E328" s="980" t="str">
        <f>VLOOKUP($B328,DG!A:D,DG!$B$2,)</f>
        <v>04.4001</v>
      </c>
      <c r="F328" s="990" t="str">
        <f>VLOOKUP($B328,DG!A:D,DG!$C$2,)&amp;" hieän höõu"</f>
        <v>Đà cản BTCT 1,2m hieän höõu</v>
      </c>
      <c r="G328" s="984" t="str">
        <f>VLOOKUP($B328,DG!A:D,DG!$D$2,)</f>
        <v>cái</v>
      </c>
      <c r="H328" s="1694">
        <f t="shared" si="55"/>
        <v>0</v>
      </c>
      <c r="I328" s="1694">
        <f t="shared" si="55"/>
        <v>0</v>
      </c>
      <c r="J328" s="1694">
        <f t="shared" si="55"/>
        <v>0</v>
      </c>
      <c r="K328" s="1694">
        <f t="shared" si="55"/>
        <v>0</v>
      </c>
      <c r="L328" s="1694">
        <f t="shared" si="55"/>
        <v>0</v>
      </c>
      <c r="M328" s="1694">
        <f t="shared" si="55"/>
        <v>0</v>
      </c>
      <c r="N328" s="1694">
        <f t="shared" si="55"/>
        <v>0</v>
      </c>
      <c r="O328" s="1694"/>
      <c r="P328" s="1694"/>
      <c r="Q328" s="988"/>
      <c r="R328" s="988"/>
      <c r="S328" s="988"/>
      <c r="T328" s="1862">
        <f t="shared" si="45"/>
        <v>0</v>
      </c>
    </row>
    <row r="329" spans="1:20" ht="22.2" hidden="1" customHeight="1">
      <c r="A329" s="1448">
        <f>COUNTIF($C$12:C329,"x")</f>
        <v>4</v>
      </c>
      <c r="B329" s="1465" t="s">
        <v>1828</v>
      </c>
      <c r="C329" s="60" t="str">
        <f t="shared" si="46"/>
        <v xml:space="preserve"> </v>
      </c>
      <c r="D329" s="1418">
        <v>2</v>
      </c>
      <c r="E329" s="984"/>
      <c r="F329" s="990" t="str">
        <f>VLOOKUP($B329,DG!A:D,DG!$C$2,)</f>
        <v>Boulon 22x700+ 2 long đền vuông D24-50x50x3/Zn</v>
      </c>
      <c r="G329" s="984" t="str">
        <f>VLOOKUP($B329,DG!A:D,DG!$D$2,)</f>
        <v>bộ</v>
      </c>
      <c r="H329" s="1694">
        <f t="shared" si="55"/>
        <v>0</v>
      </c>
      <c r="I329" s="1694">
        <f t="shared" si="55"/>
        <v>0</v>
      </c>
      <c r="J329" s="1694">
        <f t="shared" si="55"/>
        <v>0</v>
      </c>
      <c r="K329" s="1694">
        <f t="shared" si="55"/>
        <v>0</v>
      </c>
      <c r="L329" s="1694">
        <f t="shared" si="55"/>
        <v>0</v>
      </c>
      <c r="M329" s="1694">
        <f t="shared" si="55"/>
        <v>0</v>
      </c>
      <c r="N329" s="1694">
        <f t="shared" si="55"/>
        <v>0</v>
      </c>
      <c r="O329" s="1694"/>
      <c r="P329" s="1694"/>
      <c r="Q329" s="988"/>
      <c r="R329" s="988"/>
      <c r="S329" s="988"/>
      <c r="T329" s="1862">
        <f t="shared" si="45"/>
        <v>0</v>
      </c>
    </row>
    <row r="330" spans="1:20" ht="22.2" hidden="1" customHeight="1">
      <c r="A330" s="1448">
        <f>COUNTIF($C$12:C330,"x")</f>
        <v>4</v>
      </c>
      <c r="B330" s="1465" t="s">
        <v>639</v>
      </c>
      <c r="C330" s="60" t="str">
        <f t="shared" si="46"/>
        <v xml:space="preserve"> </v>
      </c>
      <c r="D330" s="1417">
        <v>4.63</v>
      </c>
      <c r="E330" s="984" t="str">
        <f>VLOOKUP($B330,DG!A:D,DG!$B$2,)</f>
        <v>03.1013</v>
      </c>
      <c r="F330" s="985" t="str">
        <f>VLOOKUP($B330,DG!A:D,DG!$C$2,)</f>
        <v>Đào hố móng đất cấp 3 sâu &gt;1m</v>
      </c>
      <c r="G330" s="984" t="str">
        <f>VLOOKUP($B330,DG!A:D,DG!$D$2,)</f>
        <v>m3</v>
      </c>
      <c r="H330" s="1694"/>
      <c r="I330" s="1694"/>
      <c r="J330" s="1694"/>
      <c r="K330" s="1694"/>
      <c r="L330" s="1694"/>
      <c r="M330" s="1694"/>
      <c r="N330" s="1694"/>
      <c r="O330" s="1694"/>
      <c r="P330" s="1694"/>
      <c r="Q330" s="991"/>
      <c r="R330" s="991"/>
      <c r="S330" s="991"/>
      <c r="T330" s="1862">
        <f t="shared" si="45"/>
        <v>0</v>
      </c>
    </row>
    <row r="331" spans="1:20" ht="22.2" hidden="1" customHeight="1">
      <c r="A331" s="1448">
        <f>COUNTIF($C$12:C331,"x")</f>
        <v>4</v>
      </c>
      <c r="B331" s="1465" t="s">
        <v>21</v>
      </c>
      <c r="C331" s="60" t="str">
        <f t="shared" si="46"/>
        <v xml:space="preserve"> </v>
      </c>
      <c r="D331" s="1417">
        <v>4.95</v>
      </c>
      <c r="E331" s="984" t="str">
        <f>VLOOKUP($B331,DG!A:D,DG!$B$2,)</f>
        <v>03.4113</v>
      </c>
      <c r="F331" s="985" t="str">
        <f>VLOOKUP($B331,DG!A:D,DG!$C$2,)</f>
        <v>Đắp đất hố móng, độ chặt k=0,95</v>
      </c>
      <c r="G331" s="984" t="str">
        <f>VLOOKUP($B331,DG!A:D,DG!$D$2,)</f>
        <v>m3</v>
      </c>
      <c r="H331" s="1694"/>
      <c r="I331" s="1694"/>
      <c r="J331" s="1694"/>
      <c r="K331" s="1694"/>
      <c r="L331" s="1694"/>
      <c r="M331" s="1694"/>
      <c r="N331" s="1694"/>
      <c r="O331" s="1694"/>
      <c r="P331" s="1694"/>
      <c r="Q331" s="991"/>
      <c r="R331" s="991"/>
      <c r="S331" s="991"/>
      <c r="T331" s="1862">
        <f t="shared" si="45"/>
        <v>0</v>
      </c>
    </row>
    <row r="332" spans="1:20" ht="22.2" hidden="1" customHeight="1">
      <c r="A332" s="1448">
        <f>COUNTIF($C$12:C332,"x")</f>
        <v>4</v>
      </c>
      <c r="B332" s="1465" t="s">
        <v>637</v>
      </c>
      <c r="C332" s="60" t="str">
        <f t="shared" si="46"/>
        <v xml:space="preserve"> </v>
      </c>
      <c r="D332" s="1417">
        <f>0.1*D327</f>
        <v>0.1</v>
      </c>
      <c r="E332" s="984" t="str">
        <f>VLOOKUP($B332,DG!A:D,DG!$B$2,)</f>
        <v>02.1123</v>
      </c>
      <c r="F332" s="985" t="str">
        <f>VLOOKUP($B332,DG!A:D,DG!$C$2,)</f>
        <v>Bốc dỡ đà cản, đế néo</v>
      </c>
      <c r="G332" s="984" t="str">
        <f>VLOOKUP($B332,DG!A:D,DG!$D$2,)</f>
        <v>tấn</v>
      </c>
      <c r="H332" s="1694"/>
      <c r="I332" s="1694"/>
      <c r="J332" s="1694"/>
      <c r="K332" s="1694"/>
      <c r="L332" s="1694"/>
      <c r="M332" s="1694"/>
      <c r="N332" s="1694"/>
      <c r="O332" s="1694"/>
      <c r="P332" s="1694"/>
      <c r="Q332" s="988"/>
      <c r="R332" s="988"/>
      <c r="S332" s="988"/>
      <c r="T332" s="1862">
        <f t="shared" si="45"/>
        <v>0</v>
      </c>
    </row>
    <row r="333" spans="1:20" ht="22.2" hidden="1" customHeight="1">
      <c r="A333" s="1448">
        <f>COUNTIF($C$12:C333,"x")</f>
        <v>4</v>
      </c>
      <c r="B333" s="1453" t="s">
        <v>2063</v>
      </c>
      <c r="C333" s="60" t="str">
        <f t="shared" si="46"/>
        <v xml:space="preserve"> </v>
      </c>
      <c r="D333" s="1417">
        <f>D332</f>
        <v>0.1</v>
      </c>
      <c r="E333" s="984" t="str">
        <f>VLOOKUP($B333,DG!A:C,2,)</f>
        <v>02.1451</v>
      </c>
      <c r="F333" s="985" t="str">
        <f>VLOOKUP($B333,DG!A:C,3,)</f>
        <v>V/c đà cản vào vị trí (cự ly &lt;=100m)</v>
      </c>
      <c r="G333" s="984" t="str">
        <f>VLOOKUP($B333,DG!A:D,4,0)</f>
        <v>tấn</v>
      </c>
      <c r="H333" s="1694"/>
      <c r="I333" s="1694"/>
      <c r="J333" s="1694"/>
      <c r="K333" s="1694"/>
      <c r="L333" s="1694"/>
      <c r="M333" s="1694"/>
      <c r="N333" s="1694"/>
      <c r="O333" s="1694"/>
      <c r="P333" s="1694"/>
      <c r="Q333" s="991"/>
      <c r="R333" s="991"/>
      <c r="S333" s="991"/>
      <c r="T333" s="1862">
        <f t="shared" si="45"/>
        <v>0</v>
      </c>
    </row>
    <row r="334" spans="1:20" ht="22.2" hidden="1" customHeight="1">
      <c r="A334" s="1448">
        <f>COUNTIF($C$12:C334,"x")</f>
        <v>4</v>
      </c>
      <c r="B334" s="1453" t="s">
        <v>635</v>
      </c>
      <c r="C334" s="60" t="str">
        <f t="shared" si="46"/>
        <v xml:space="preserve"> </v>
      </c>
      <c r="D334" s="1417">
        <v>0.2</v>
      </c>
      <c r="E334" s="984" t="str">
        <f>VLOOKUP($B334,DG!A:C,2,)</f>
        <v>02.1482</v>
      </c>
      <c r="F334" s="985" t="str">
        <f>VLOOKUP($B334,DG!A:C,3,)</f>
        <v>V/c dụng cụ thi công vào vị trí (cự ly &lt;=100m)</v>
      </c>
      <c r="G334" s="984" t="str">
        <f>VLOOKUP($B334,DG!A:D,4,0)</f>
        <v>tấn</v>
      </c>
      <c r="H334" s="1694"/>
      <c r="I334" s="1694"/>
      <c r="J334" s="1694"/>
      <c r="K334" s="1694"/>
      <c r="L334" s="1694"/>
      <c r="M334" s="1694"/>
      <c r="N334" s="1694"/>
      <c r="O334" s="1694"/>
      <c r="P334" s="1694"/>
      <c r="Q334" s="991"/>
      <c r="R334" s="991"/>
      <c r="S334" s="991"/>
      <c r="T334" s="1862">
        <f t="shared" ref="T334:T400" si="56">IFERROR(HLOOKUP(B334,BangKeTru,3,0),0)</f>
        <v>0</v>
      </c>
    </row>
    <row r="335" spans="1:20" ht="22.2" hidden="1" customHeight="1">
      <c r="A335" s="1448">
        <f>COUNTIF($C$12:C335,"x")</f>
        <v>4</v>
      </c>
      <c r="B335" s="1452" t="s">
        <v>2304</v>
      </c>
      <c r="C335" s="59" t="str">
        <f t="shared" ref="C335:C401" si="57">IF(OR(P335&lt;&gt;0,H335&lt;&gt;0),"x"," ")</f>
        <v xml:space="preserve"> </v>
      </c>
      <c r="D335" s="1412"/>
      <c r="E335" s="981"/>
      <c r="F335" s="1276" t="s">
        <v>2362</v>
      </c>
      <c r="G335" s="982" t="s">
        <v>2327</v>
      </c>
      <c r="H335" s="1691">
        <f>SUM(I335:O335)</f>
        <v>0</v>
      </c>
      <c r="I335" s="1692"/>
      <c r="J335" s="1692"/>
      <c r="K335" s="1692">
        <f>IFERROR(HLOOKUP(B335,pp3p1m!$1:$3,2,0),0)</f>
        <v>0</v>
      </c>
      <c r="L335" s="1692">
        <f>IFERROR(HLOOKUP(chitiet!B335,pp1p!$1:$3,3,0),0)</f>
        <v>0</v>
      </c>
      <c r="M335" s="1692"/>
      <c r="N335" s="1692"/>
      <c r="O335" s="1692"/>
      <c r="P335" s="2674">
        <f>T335</f>
        <v>0</v>
      </c>
      <c r="Q335" s="983">
        <f>IF(P335&gt;H335,P335-H335,0)</f>
        <v>0</v>
      </c>
      <c r="R335" s="983">
        <f>IF(H335&gt;P335,H335-P335,0)</f>
        <v>0</v>
      </c>
      <c r="S335" s="983"/>
      <c r="T335" s="1862">
        <f>IFERROR(HLOOKUP(B335,pp1p!$1:$3,3,0),0)+IFERROR(HLOOKUP(B335,pp3p1m!$1:$3,3,0),0)</f>
        <v>0</v>
      </c>
    </row>
    <row r="336" spans="1:20" ht="22.2" hidden="1" customHeight="1">
      <c r="A336" s="1448">
        <f>COUNTIF($C$12:C336,"x")</f>
        <v>4</v>
      </c>
      <c r="B336" s="1465" t="s">
        <v>820</v>
      </c>
      <c r="C336" s="60" t="str">
        <f t="shared" si="57"/>
        <v xml:space="preserve"> </v>
      </c>
      <c r="D336" s="1417">
        <v>0.33</v>
      </c>
      <c r="E336" s="984" t="str">
        <f>VLOOKUP($B336,DG!A:D,DG!$B$2,)</f>
        <v>03.1103</v>
      </c>
      <c r="F336" s="985" t="str">
        <f>VLOOKUP($B336,DG!A:D,DG!$C$2,)</f>
        <v>Đào hố móng đất cấp 3 sâu &lt;=1m</v>
      </c>
      <c r="G336" s="984" t="str">
        <f>VLOOKUP($B336,DG!A:D,DG!$D$2,)</f>
        <v>m3</v>
      </c>
      <c r="H336" s="1694"/>
      <c r="I336" s="1694"/>
      <c r="J336" s="1694"/>
      <c r="K336" s="1694"/>
      <c r="L336" s="1694"/>
      <c r="M336" s="1694"/>
      <c r="N336" s="1694"/>
      <c r="O336" s="1694"/>
      <c r="P336" s="1694"/>
      <c r="Q336" s="991"/>
      <c r="R336" s="991"/>
      <c r="S336" s="991"/>
      <c r="T336" s="1862">
        <f t="shared" si="56"/>
        <v>0</v>
      </c>
    </row>
    <row r="337" spans="1:21" ht="22.2" hidden="1" customHeight="1">
      <c r="A337" s="1448">
        <f>COUNTIF($C$12:C337,"x")</f>
        <v>4</v>
      </c>
      <c r="B337" s="1465" t="s">
        <v>957</v>
      </c>
      <c r="C337" s="60" t="str">
        <f t="shared" si="57"/>
        <v xml:space="preserve"> </v>
      </c>
      <c r="D337" s="1417">
        <v>1.65</v>
      </c>
      <c r="E337" s="984" t="str">
        <f>VLOOKUP($B337,DG!A:D,DG!$B$2,)</f>
        <v>03.8133</v>
      </c>
      <c r="F337" s="985" t="str">
        <f>VLOOKUP($B337,DG!A:D,DG!$C$2,)</f>
        <v>Phá đá chân hố móng, đá cấp I</v>
      </c>
      <c r="G337" s="984" t="str">
        <f>VLOOKUP($B337,DG!A:D,DG!$D$2,)</f>
        <v>m3</v>
      </c>
      <c r="H337" s="1694"/>
      <c r="I337" s="1694"/>
      <c r="J337" s="1694"/>
      <c r="K337" s="1694"/>
      <c r="L337" s="1694"/>
      <c r="M337" s="1694"/>
      <c r="N337" s="1694"/>
      <c r="O337" s="1694"/>
      <c r="P337" s="1694"/>
      <c r="Q337" s="991"/>
      <c r="R337" s="991"/>
      <c r="S337" s="991"/>
      <c r="T337" s="1862">
        <f t="shared" si="56"/>
        <v>0</v>
      </c>
    </row>
    <row r="338" spans="1:21" ht="22.2" hidden="1" customHeight="1">
      <c r="A338" s="1448">
        <f>COUNTIF($C$12:C338,"x")</f>
        <v>4</v>
      </c>
      <c r="B338" s="1465" t="s">
        <v>1826</v>
      </c>
      <c r="C338" s="60" t="str">
        <f t="shared" si="57"/>
        <v xml:space="preserve"> </v>
      </c>
      <c r="D338" s="1417">
        <v>2.0499999999999998</v>
      </c>
      <c r="E338" s="984" t="str">
        <f>VLOOKUP($B338,DG!A:D,DG!$B$2,)</f>
        <v>03.2203</v>
      </c>
      <c r="F338" s="985" t="str">
        <f>VLOOKUP($B338,DG!A:D,DG!$C$2,)</f>
        <v>Đắp đất hố móng, đất cấp 4</v>
      </c>
      <c r="G338" s="984" t="str">
        <f>VLOOKUP($B338,DG!A:D,DG!$D$2,)</f>
        <v>m3</v>
      </c>
      <c r="H338" s="1694"/>
      <c r="I338" s="1694"/>
      <c r="J338" s="1694"/>
      <c r="K338" s="1694"/>
      <c r="L338" s="1694"/>
      <c r="M338" s="1694"/>
      <c r="N338" s="1694"/>
      <c r="O338" s="1694"/>
      <c r="P338" s="1694"/>
      <c r="Q338" s="988"/>
      <c r="R338" s="988"/>
      <c r="S338" s="988"/>
      <c r="T338" s="1862">
        <f t="shared" si="56"/>
        <v>0</v>
      </c>
    </row>
    <row r="339" spans="1:21" ht="22.2" hidden="1" customHeight="1">
      <c r="A339" s="1448">
        <f>COUNTIF($C$12:C339,"x")</f>
        <v>4</v>
      </c>
      <c r="B339" s="1452" t="s">
        <v>2305</v>
      </c>
      <c r="C339" s="60" t="str">
        <f t="shared" si="57"/>
        <v xml:space="preserve"> </v>
      </c>
      <c r="D339" s="1412"/>
      <c r="E339" s="981"/>
      <c r="F339" s="1276" t="s">
        <v>2363</v>
      </c>
      <c r="G339" s="982" t="s">
        <v>2327</v>
      </c>
      <c r="H339" s="1691">
        <f>SUM(I339:O339)</f>
        <v>0</v>
      </c>
      <c r="I339" s="1692"/>
      <c r="J339" s="1692"/>
      <c r="K339" s="1692">
        <f>IFERROR(HLOOKUP(B339,pp3p1m!$1:$3,2,0),0)</f>
        <v>0</v>
      </c>
      <c r="L339" s="1692">
        <f>IFERROR(HLOOKUP(chitiet!B339,pp1p!$1:$3,3,0),0)</f>
        <v>0</v>
      </c>
      <c r="M339" s="1692"/>
      <c r="N339" s="1692"/>
      <c r="O339" s="1692"/>
      <c r="P339" s="2674">
        <f>T339</f>
        <v>0</v>
      </c>
      <c r="Q339" s="2677">
        <f>IF(P339&gt;H339,P339-H339,0)</f>
        <v>0</v>
      </c>
      <c r="R339" s="983">
        <f>IF(H339&gt;P339,H339-P339,0)</f>
        <v>0</v>
      </c>
      <c r="S339" s="983"/>
      <c r="T339" s="1862">
        <f>IFERROR(HLOOKUP(B339,pp1p!$1:$3,3,0),0)+IFERROR(HLOOKUP(B339,pp3p1m!$1:$3,3,0),0)</f>
        <v>0</v>
      </c>
    </row>
    <row r="340" spans="1:21" ht="22.2" hidden="1" customHeight="1">
      <c r="A340" s="1448">
        <f>COUNTIF($C$12:C340,"x")</f>
        <v>4</v>
      </c>
      <c r="B340" s="1453" t="s">
        <v>751</v>
      </c>
      <c r="C340" s="60" t="str">
        <f t="shared" si="57"/>
        <v xml:space="preserve"> </v>
      </c>
      <c r="D340" s="1419">
        <v>0.35199999999999998</v>
      </c>
      <c r="E340" s="984">
        <f>VLOOKUP($B340,DG!A:D,DG!$B$2,)</f>
        <v>0</v>
      </c>
      <c r="F340" s="990" t="str">
        <f>VLOOKUP($B340,DG!A:D,DG!$C$2,)</f>
        <v>Ximăng (PC40)</v>
      </c>
      <c r="G340" s="984" t="str">
        <f>VLOOKUP($B340,DG!A:D,DG!$D$2,)</f>
        <v>kg</v>
      </c>
      <c r="H340" s="1694">
        <f t="shared" ref="H340:O344" si="58">H$339*$D340</f>
        <v>0</v>
      </c>
      <c r="I340" s="1694">
        <f t="shared" si="58"/>
        <v>0</v>
      </c>
      <c r="J340" s="1694">
        <f t="shared" si="58"/>
        <v>0</v>
      </c>
      <c r="K340" s="1694">
        <f t="shared" si="58"/>
        <v>0</v>
      </c>
      <c r="L340" s="1694">
        <f t="shared" si="58"/>
        <v>0</v>
      </c>
      <c r="M340" s="1694">
        <f t="shared" si="58"/>
        <v>0</v>
      </c>
      <c r="N340" s="1694">
        <f t="shared" si="58"/>
        <v>0</v>
      </c>
      <c r="O340" s="1694">
        <f t="shared" si="58"/>
        <v>0</v>
      </c>
      <c r="P340" s="1694">
        <f>$P$339*D340</f>
        <v>0</v>
      </c>
      <c r="Q340" s="2678"/>
      <c r="R340" s="988"/>
      <c r="S340" s="988"/>
      <c r="T340" s="1862">
        <f t="shared" si="56"/>
        <v>0</v>
      </c>
      <c r="U340" s="2675">
        <f>D340</f>
        <v>0.35199999999999998</v>
      </c>
    </row>
    <row r="341" spans="1:21" ht="22.2" hidden="1" customHeight="1">
      <c r="A341" s="1448">
        <f>COUNTIF($C$12:C341,"x")</f>
        <v>4</v>
      </c>
      <c r="B341" s="1454" t="s">
        <v>4414</v>
      </c>
      <c r="C341" s="60" t="str">
        <f t="shared" si="57"/>
        <v xml:space="preserve"> </v>
      </c>
      <c r="D341" s="1416">
        <v>0.56499999999999995</v>
      </c>
      <c r="E341" s="984">
        <f>VLOOKUP($B341,DG!A:D,DG!$B$2,)</f>
        <v>0</v>
      </c>
      <c r="F341" s="990" t="str">
        <f>VLOOKUP($B341,DG!A:D,DG!$C$2,)</f>
        <v>Cát vàng</v>
      </c>
      <c r="G341" s="984" t="str">
        <f>VLOOKUP($B341,DG!A:D,DG!$D$2,)</f>
        <v>m3</v>
      </c>
      <c r="H341" s="1694">
        <f t="shared" si="58"/>
        <v>0</v>
      </c>
      <c r="I341" s="1694">
        <f t="shared" si="58"/>
        <v>0</v>
      </c>
      <c r="J341" s="1694">
        <f t="shared" si="58"/>
        <v>0</v>
      </c>
      <c r="K341" s="1694">
        <f t="shared" si="58"/>
        <v>0</v>
      </c>
      <c r="L341" s="1694">
        <f t="shared" si="58"/>
        <v>0</v>
      </c>
      <c r="M341" s="1694">
        <f t="shared" si="58"/>
        <v>0</v>
      </c>
      <c r="N341" s="1694">
        <f t="shared" si="58"/>
        <v>0</v>
      </c>
      <c r="O341" s="1694">
        <f t="shared" si="58"/>
        <v>0</v>
      </c>
      <c r="P341" s="1694">
        <f>$P$339*D341</f>
        <v>0</v>
      </c>
      <c r="Q341" s="2678"/>
      <c r="R341" s="986"/>
      <c r="S341" s="986"/>
      <c r="T341" s="1862">
        <f t="shared" si="56"/>
        <v>0</v>
      </c>
      <c r="U341" s="2675">
        <f t="shared" ref="U341:U342" si="59">D341</f>
        <v>0.56499999999999995</v>
      </c>
    </row>
    <row r="342" spans="1:21" ht="22.2" hidden="1" customHeight="1">
      <c r="A342" s="1448">
        <f>COUNTIF($C$12:C342,"x")</f>
        <v>4</v>
      </c>
      <c r="B342" s="1453" t="s">
        <v>867</v>
      </c>
      <c r="C342" s="60" t="str">
        <f t="shared" si="57"/>
        <v xml:space="preserve"> </v>
      </c>
      <c r="D342" s="1416">
        <v>1.0489999999999999</v>
      </c>
      <c r="E342" s="984">
        <f>VLOOKUP($B342,DG!A:D,DG!$B$2,)</f>
        <v>0</v>
      </c>
      <c r="F342" s="990" t="str">
        <f>VLOOKUP($B342,DG!A:D,DG!$C$2,)</f>
        <v>Đá 1x2</v>
      </c>
      <c r="G342" s="984" t="str">
        <f>VLOOKUP($B342,DG!A:D,DG!$D$2,)</f>
        <v>m3</v>
      </c>
      <c r="H342" s="1694">
        <f t="shared" si="58"/>
        <v>0</v>
      </c>
      <c r="I342" s="1694">
        <f t="shared" si="58"/>
        <v>0</v>
      </c>
      <c r="J342" s="1694">
        <f t="shared" si="58"/>
        <v>0</v>
      </c>
      <c r="K342" s="1694">
        <f t="shared" si="58"/>
        <v>0</v>
      </c>
      <c r="L342" s="1694">
        <f t="shared" si="58"/>
        <v>0</v>
      </c>
      <c r="M342" s="1694">
        <f t="shared" si="58"/>
        <v>0</v>
      </c>
      <c r="N342" s="1694">
        <f t="shared" si="58"/>
        <v>0</v>
      </c>
      <c r="O342" s="1694">
        <f t="shared" si="58"/>
        <v>0</v>
      </c>
      <c r="P342" s="1694">
        <f>$P$339*D342</f>
        <v>0</v>
      </c>
      <c r="Q342" s="2678"/>
      <c r="R342" s="986"/>
      <c r="S342" s="986"/>
      <c r="T342" s="1862">
        <f t="shared" si="56"/>
        <v>0</v>
      </c>
      <c r="U342" s="2675">
        <f t="shared" si="59"/>
        <v>1.0489999999999999</v>
      </c>
    </row>
    <row r="343" spans="1:21" ht="22.2" hidden="1" customHeight="1">
      <c r="A343" s="1448">
        <f>COUNTIF($C$12:C343,"x")</f>
        <v>4</v>
      </c>
      <c r="B343" s="1453" t="s">
        <v>995</v>
      </c>
      <c r="C343" s="60" t="str">
        <f t="shared" si="57"/>
        <v xml:space="preserve"> </v>
      </c>
      <c r="D343" s="1416"/>
      <c r="E343" s="984">
        <f>VLOOKUP($B343,DG!A:D,DG!$B$2,)</f>
        <v>0</v>
      </c>
      <c r="F343" s="990" t="str">
        <f>VLOOKUP($B343,DG!A:D,DG!$C$2,)</f>
        <v>Sắt Ø10</v>
      </c>
      <c r="G343" s="984" t="str">
        <f>VLOOKUP($B343,DG!A:D,DG!$D$2,)</f>
        <v>kg</v>
      </c>
      <c r="H343" s="1694">
        <f t="shared" si="58"/>
        <v>0</v>
      </c>
      <c r="I343" s="1694">
        <f t="shared" si="58"/>
        <v>0</v>
      </c>
      <c r="J343" s="1694">
        <f t="shared" si="58"/>
        <v>0</v>
      </c>
      <c r="K343" s="1694">
        <f t="shared" si="58"/>
        <v>0</v>
      </c>
      <c r="L343" s="1694">
        <f t="shared" si="58"/>
        <v>0</v>
      </c>
      <c r="M343" s="1694">
        <f t="shared" si="58"/>
        <v>0</v>
      </c>
      <c r="N343" s="1694">
        <f t="shared" si="58"/>
        <v>0</v>
      </c>
      <c r="O343" s="1694">
        <f t="shared" si="58"/>
        <v>0</v>
      </c>
      <c r="P343" s="1694"/>
      <c r="Q343" s="986"/>
      <c r="R343" s="986"/>
      <c r="S343" s="986"/>
      <c r="T343" s="1862">
        <f t="shared" si="56"/>
        <v>0</v>
      </c>
    </row>
    <row r="344" spans="1:21" ht="22.2" hidden="1" customHeight="1">
      <c r="A344" s="1448">
        <f>COUNTIF($C$12:C344,"x")</f>
        <v>4</v>
      </c>
      <c r="B344" s="1453" t="s">
        <v>996</v>
      </c>
      <c r="C344" s="60" t="str">
        <f t="shared" si="57"/>
        <v xml:space="preserve"> </v>
      </c>
      <c r="D344" s="1416"/>
      <c r="E344" s="984">
        <f>VLOOKUP($B344,DG!A:D,DG!$B$2,)</f>
        <v>0</v>
      </c>
      <c r="F344" s="990" t="str">
        <f>VLOOKUP($B344,DG!A:D,DG!$C$2,)</f>
        <v>Kẽm</v>
      </c>
      <c r="G344" s="984" t="str">
        <f>VLOOKUP($B344,DG!A:D,DG!$D$2,)</f>
        <v>kg</v>
      </c>
      <c r="H344" s="1694">
        <f t="shared" si="58"/>
        <v>0</v>
      </c>
      <c r="I344" s="1694">
        <f t="shared" si="58"/>
        <v>0</v>
      </c>
      <c r="J344" s="1694">
        <f t="shared" si="58"/>
        <v>0</v>
      </c>
      <c r="K344" s="1694">
        <f t="shared" si="58"/>
        <v>0</v>
      </c>
      <c r="L344" s="1694">
        <f t="shared" si="58"/>
        <v>0</v>
      </c>
      <c r="M344" s="1694">
        <f t="shared" si="58"/>
        <v>0</v>
      </c>
      <c r="N344" s="1694">
        <f t="shared" si="58"/>
        <v>0</v>
      </c>
      <c r="O344" s="1694">
        <f t="shared" si="58"/>
        <v>0</v>
      </c>
      <c r="P344" s="1694"/>
      <c r="Q344" s="986"/>
      <c r="R344" s="986"/>
      <c r="S344" s="986"/>
      <c r="T344" s="1862">
        <f t="shared" si="56"/>
        <v>0</v>
      </c>
    </row>
    <row r="345" spans="1:21" ht="22.2" hidden="1" customHeight="1">
      <c r="A345" s="1448">
        <f>COUNTIF($C$12:C345,"x")</f>
        <v>4</v>
      </c>
      <c r="B345" s="1455" t="s">
        <v>639</v>
      </c>
      <c r="C345" s="60" t="str">
        <f t="shared" si="57"/>
        <v xml:space="preserve"> </v>
      </c>
      <c r="D345" s="1416">
        <v>1.28</v>
      </c>
      <c r="E345" s="984" t="str">
        <f>VLOOKUP($B345,DG!A:D,DG!$B$2,)</f>
        <v>03.1013</v>
      </c>
      <c r="F345" s="985" t="str">
        <f>VLOOKUP($B345,DG!A:D,DG!$C$2,)</f>
        <v>Đào hố móng đất cấp 3 sâu &gt;1m</v>
      </c>
      <c r="G345" s="984" t="str">
        <f>VLOOKUP($B345,DG!A:D,DG!$D$2,)</f>
        <v>m3</v>
      </c>
      <c r="H345" s="1694"/>
      <c r="I345" s="1694">
        <f t="shared" ref="I345:O355" si="60">I$339*$D345</f>
        <v>0</v>
      </c>
      <c r="J345" s="1694">
        <f t="shared" si="60"/>
        <v>0</v>
      </c>
      <c r="K345" s="1694">
        <f t="shared" si="60"/>
        <v>0</v>
      </c>
      <c r="L345" s="1694">
        <f t="shared" si="60"/>
        <v>0</v>
      </c>
      <c r="M345" s="1694">
        <f t="shared" si="60"/>
        <v>0</v>
      </c>
      <c r="N345" s="1694">
        <f t="shared" si="60"/>
        <v>0</v>
      </c>
      <c r="O345" s="1694">
        <f t="shared" si="60"/>
        <v>0</v>
      </c>
      <c r="P345" s="1694"/>
      <c r="Q345" s="991"/>
      <c r="R345" s="991"/>
      <c r="S345" s="991"/>
      <c r="T345" s="1862">
        <f t="shared" si="56"/>
        <v>0</v>
      </c>
    </row>
    <row r="346" spans="1:21" ht="22.2" hidden="1" customHeight="1">
      <c r="A346" s="1448">
        <f>COUNTIF($C$12:C346,"x")</f>
        <v>4</v>
      </c>
      <c r="B346" s="1453" t="s">
        <v>21</v>
      </c>
      <c r="C346" s="60" t="str">
        <f t="shared" si="57"/>
        <v xml:space="preserve"> </v>
      </c>
      <c r="D346" s="1416">
        <v>1.28</v>
      </c>
      <c r="E346" s="984" t="str">
        <f>VLOOKUP($B346,DG!A:D,DG!$B$2,)</f>
        <v>03.4113</v>
      </c>
      <c r="F346" s="985" t="str">
        <f>VLOOKUP($B346,DG!A:D,DG!$C$2,)</f>
        <v>Đắp đất hố móng, độ chặt k=0,95</v>
      </c>
      <c r="G346" s="984" t="str">
        <f>VLOOKUP($B346,DG!A:D,DG!$D$2,)</f>
        <v>m3</v>
      </c>
      <c r="H346" s="1694">
        <f>H$339*$D346</f>
        <v>0</v>
      </c>
      <c r="I346" s="1694">
        <f t="shared" si="60"/>
        <v>0</v>
      </c>
      <c r="J346" s="1694">
        <f t="shared" si="60"/>
        <v>0</v>
      </c>
      <c r="K346" s="1694">
        <f t="shared" si="60"/>
        <v>0</v>
      </c>
      <c r="L346" s="1694">
        <f t="shared" si="60"/>
        <v>0</v>
      </c>
      <c r="M346" s="1694">
        <f t="shared" si="60"/>
        <v>0</v>
      </c>
      <c r="N346" s="1694">
        <f t="shared" si="60"/>
        <v>0</v>
      </c>
      <c r="O346" s="1694">
        <f t="shared" si="60"/>
        <v>0</v>
      </c>
      <c r="P346" s="1694">
        <f>$P$339*D346</f>
        <v>0</v>
      </c>
      <c r="Q346" s="2678"/>
      <c r="R346" s="991"/>
      <c r="S346" s="991"/>
      <c r="T346" s="1862">
        <f t="shared" si="56"/>
        <v>0</v>
      </c>
      <c r="U346" s="2675">
        <f>D346</f>
        <v>1.28</v>
      </c>
    </row>
    <row r="347" spans="1:21" ht="22.2" hidden="1" customHeight="1">
      <c r="A347" s="1448">
        <f>COUNTIF($C$12:C347,"x")</f>
        <v>4</v>
      </c>
      <c r="B347" s="1453" t="s">
        <v>1293</v>
      </c>
      <c r="C347" s="60" t="str">
        <f t="shared" si="57"/>
        <v xml:space="preserve"> </v>
      </c>
      <c r="D347" s="1416"/>
      <c r="E347" s="984" t="str">
        <f>VLOOKUP($B347,DG!A:D,DG!$B$2,)</f>
        <v>02.1101</v>
      </c>
      <c r="F347" s="985" t="str">
        <f>VLOOKUP($B347,DG!A:D,DG!$C$2,)</f>
        <v>Bốc dỡ xi măng</v>
      </c>
      <c r="G347" s="984" t="str">
        <f>VLOOKUP($B347,DG!A:D,DG!$D$2,)</f>
        <v>tấn</v>
      </c>
      <c r="H347" s="1694">
        <f t="shared" ref="H347:H355" si="61">H$339*$D347</f>
        <v>0</v>
      </c>
      <c r="I347" s="1694">
        <f t="shared" si="60"/>
        <v>0</v>
      </c>
      <c r="J347" s="1694">
        <f t="shared" si="60"/>
        <v>0</v>
      </c>
      <c r="K347" s="1694">
        <f t="shared" si="60"/>
        <v>0</v>
      </c>
      <c r="L347" s="1694">
        <f t="shared" si="60"/>
        <v>0</v>
      </c>
      <c r="M347" s="1694">
        <f t="shared" si="60"/>
        <v>0</v>
      </c>
      <c r="N347" s="1694">
        <f t="shared" si="60"/>
        <v>0</v>
      </c>
      <c r="O347" s="1694">
        <f t="shared" si="60"/>
        <v>0</v>
      </c>
      <c r="P347" s="1694">
        <f t="shared" ref="P347:P355" si="62">$P$339*D347</f>
        <v>0</v>
      </c>
      <c r="Q347" s="991"/>
      <c r="R347" s="991"/>
      <c r="S347" s="991"/>
      <c r="T347" s="1862">
        <f t="shared" si="56"/>
        <v>0</v>
      </c>
    </row>
    <row r="348" spans="1:21" ht="22.2" hidden="1" customHeight="1">
      <c r="A348" s="1448">
        <f>COUNTIF($C$12:C348,"x")</f>
        <v>4</v>
      </c>
      <c r="B348" s="1453" t="s">
        <v>133</v>
      </c>
      <c r="C348" s="60" t="str">
        <f t="shared" si="57"/>
        <v xml:space="preserve"> </v>
      </c>
      <c r="D348" s="1416"/>
      <c r="E348" s="984" t="str">
        <f>VLOOKUP($B348,DG!A:D,DG!$B$2,)</f>
        <v>02.1103</v>
      </c>
      <c r="F348" s="985" t="str">
        <f>VLOOKUP($B348,DG!A:D,DG!$C$2,)</f>
        <v>Bốc dỡ cát</v>
      </c>
      <c r="G348" s="984" t="str">
        <f>VLOOKUP($B348,DG!A:D,DG!$D$2,)</f>
        <v>m3</v>
      </c>
      <c r="H348" s="1694">
        <f t="shared" si="61"/>
        <v>0</v>
      </c>
      <c r="I348" s="1694">
        <f t="shared" si="60"/>
        <v>0</v>
      </c>
      <c r="J348" s="1694">
        <f t="shared" si="60"/>
        <v>0</v>
      </c>
      <c r="K348" s="1694">
        <f t="shared" si="60"/>
        <v>0</v>
      </c>
      <c r="L348" s="1694">
        <f t="shared" si="60"/>
        <v>0</v>
      </c>
      <c r="M348" s="1694">
        <f t="shared" si="60"/>
        <v>0</v>
      </c>
      <c r="N348" s="1694">
        <f t="shared" si="60"/>
        <v>0</v>
      </c>
      <c r="O348" s="1694">
        <f t="shared" si="60"/>
        <v>0</v>
      </c>
      <c r="P348" s="1694">
        <f t="shared" si="62"/>
        <v>0</v>
      </c>
      <c r="Q348" s="991"/>
      <c r="R348" s="991"/>
      <c r="S348" s="991"/>
      <c r="T348" s="1862">
        <f t="shared" si="56"/>
        <v>0</v>
      </c>
    </row>
    <row r="349" spans="1:21" ht="22.2" hidden="1" customHeight="1">
      <c r="A349" s="1448">
        <f>COUNTIF($C$12:C349,"x")</f>
        <v>4</v>
      </c>
      <c r="B349" s="1453" t="s">
        <v>135</v>
      </c>
      <c r="C349" s="60" t="str">
        <f t="shared" si="57"/>
        <v xml:space="preserve"> </v>
      </c>
      <c r="D349" s="1416"/>
      <c r="E349" s="984" t="str">
        <f>VLOOKUP($B349,DG!A:D,DG!$B$2,)</f>
        <v>02.1104</v>
      </c>
      <c r="F349" s="985" t="str">
        <f>VLOOKUP($B349,DG!A:D,DG!$C$2,)</f>
        <v>Bốc dỡ đá dăm</v>
      </c>
      <c r="G349" s="984" t="str">
        <f>VLOOKUP($B349,DG!A:D,DG!$D$2,)</f>
        <v>m3</v>
      </c>
      <c r="H349" s="1694">
        <f t="shared" si="61"/>
        <v>0</v>
      </c>
      <c r="I349" s="1694">
        <f t="shared" si="60"/>
        <v>0</v>
      </c>
      <c r="J349" s="1694">
        <f t="shared" si="60"/>
        <v>0</v>
      </c>
      <c r="K349" s="1694">
        <f t="shared" si="60"/>
        <v>0</v>
      </c>
      <c r="L349" s="1694">
        <f t="shared" si="60"/>
        <v>0</v>
      </c>
      <c r="M349" s="1694">
        <f t="shared" si="60"/>
        <v>0</v>
      </c>
      <c r="N349" s="1694">
        <f t="shared" si="60"/>
        <v>0</v>
      </c>
      <c r="O349" s="1694">
        <f t="shared" si="60"/>
        <v>0</v>
      </c>
      <c r="P349" s="1694">
        <f t="shared" si="62"/>
        <v>0</v>
      </c>
      <c r="Q349" s="991"/>
      <c r="R349" s="991"/>
      <c r="S349" s="991"/>
      <c r="T349" s="1862">
        <f t="shared" si="56"/>
        <v>0</v>
      </c>
    </row>
    <row r="350" spans="1:21" ht="22.2" hidden="1" customHeight="1">
      <c r="A350" s="1448">
        <f>COUNTIF($C$12:C350,"x")</f>
        <v>4</v>
      </c>
      <c r="B350" s="1453" t="s">
        <v>495</v>
      </c>
      <c r="C350" s="60" t="str">
        <f t="shared" si="57"/>
        <v xml:space="preserve"> </v>
      </c>
      <c r="D350" s="1416"/>
      <c r="E350" s="984" t="str">
        <f>VLOOKUP($B350,DG!A:D,DG!$B$2,)</f>
        <v>02.1211</v>
      </c>
      <c r="F350" s="985" t="str">
        <f>VLOOKUP($B350,DG!A:D,DG!$C$2,)</f>
        <v>V/c xi măng ( cự ly &lt;=100m)</v>
      </c>
      <c r="G350" s="984" t="str">
        <f>VLOOKUP($B350,DG!A:D,DG!$D$2,)</f>
        <v>tấn</v>
      </c>
      <c r="H350" s="1694">
        <f t="shared" si="61"/>
        <v>0</v>
      </c>
      <c r="I350" s="1694">
        <f t="shared" si="60"/>
        <v>0</v>
      </c>
      <c r="J350" s="1694">
        <f t="shared" si="60"/>
        <v>0</v>
      </c>
      <c r="K350" s="1694">
        <f t="shared" si="60"/>
        <v>0</v>
      </c>
      <c r="L350" s="1694">
        <f t="shared" si="60"/>
        <v>0</v>
      </c>
      <c r="M350" s="1694">
        <f t="shared" si="60"/>
        <v>0</v>
      </c>
      <c r="N350" s="1694">
        <f t="shared" si="60"/>
        <v>0</v>
      </c>
      <c r="O350" s="1694">
        <f t="shared" si="60"/>
        <v>0</v>
      </c>
      <c r="P350" s="1694">
        <f t="shared" si="62"/>
        <v>0</v>
      </c>
      <c r="Q350" s="991"/>
      <c r="R350" s="991"/>
      <c r="S350" s="991"/>
      <c r="T350" s="1862">
        <f t="shared" si="56"/>
        <v>0</v>
      </c>
    </row>
    <row r="351" spans="1:21" ht="22.2" hidden="1" customHeight="1">
      <c r="A351" s="1448">
        <f>COUNTIF($C$12:C351,"x")</f>
        <v>4</v>
      </c>
      <c r="B351" s="1453" t="s">
        <v>1611</v>
      </c>
      <c r="C351" s="60" t="str">
        <f t="shared" si="57"/>
        <v xml:space="preserve"> </v>
      </c>
      <c r="D351" s="1416"/>
      <c r="E351" s="984" t="str">
        <f>VLOOKUP($B351,DG!A:D,DG!$B$2,)</f>
        <v>02.1231</v>
      </c>
      <c r="F351" s="985" t="str">
        <f>VLOOKUP($B351,DG!A:D,DG!$C$2,)</f>
        <v>V/c cát vàng cự ly &lt;=100m</v>
      </c>
      <c r="G351" s="984" t="str">
        <f>VLOOKUP($B351,DG!A:D,DG!$D$2,)</f>
        <v>m3</v>
      </c>
      <c r="H351" s="1694">
        <f t="shared" si="61"/>
        <v>0</v>
      </c>
      <c r="I351" s="1694">
        <f t="shared" si="60"/>
        <v>0</v>
      </c>
      <c r="J351" s="1694">
        <f t="shared" si="60"/>
        <v>0</v>
      </c>
      <c r="K351" s="1694">
        <f t="shared" si="60"/>
        <v>0</v>
      </c>
      <c r="L351" s="1694">
        <f t="shared" si="60"/>
        <v>0</v>
      </c>
      <c r="M351" s="1694">
        <f t="shared" si="60"/>
        <v>0</v>
      </c>
      <c r="N351" s="1694">
        <f t="shared" si="60"/>
        <v>0</v>
      </c>
      <c r="O351" s="1694">
        <f t="shared" si="60"/>
        <v>0</v>
      </c>
      <c r="P351" s="1694">
        <f t="shared" si="62"/>
        <v>0</v>
      </c>
      <c r="Q351" s="991"/>
      <c r="R351" s="991"/>
      <c r="S351" s="991"/>
      <c r="T351" s="1862">
        <f t="shared" si="56"/>
        <v>0</v>
      </c>
    </row>
    <row r="352" spans="1:21" ht="22.2" hidden="1" customHeight="1">
      <c r="A352" s="1448">
        <f>COUNTIF($C$12:C352,"x")</f>
        <v>4</v>
      </c>
      <c r="B352" s="1453" t="s">
        <v>521</v>
      </c>
      <c r="C352" s="60" t="str">
        <f t="shared" si="57"/>
        <v xml:space="preserve"> </v>
      </c>
      <c r="D352" s="1416"/>
      <c r="E352" s="984" t="str">
        <f>VLOOKUP($B352,DG!A:D,DG!$B$2,)</f>
        <v>02.1241</v>
      </c>
      <c r="F352" s="985" t="str">
        <f>VLOOKUP($B352,DG!A:D,DG!$C$2,)</f>
        <v>V/c đá dăm ( cự ly &lt;=100m)</v>
      </c>
      <c r="G352" s="984" t="str">
        <f>VLOOKUP($B352,DG!A:D,DG!$D$2,)</f>
        <v>m3</v>
      </c>
      <c r="H352" s="1694">
        <f t="shared" si="61"/>
        <v>0</v>
      </c>
      <c r="I352" s="1694">
        <f t="shared" si="60"/>
        <v>0</v>
      </c>
      <c r="J352" s="1694">
        <f t="shared" si="60"/>
        <v>0</v>
      </c>
      <c r="K352" s="1694">
        <f t="shared" si="60"/>
        <v>0</v>
      </c>
      <c r="L352" s="1694">
        <f t="shared" si="60"/>
        <v>0</v>
      </c>
      <c r="M352" s="1694">
        <f t="shared" si="60"/>
        <v>0</v>
      </c>
      <c r="N352" s="1694">
        <f t="shared" si="60"/>
        <v>0</v>
      </c>
      <c r="O352" s="1694">
        <f t="shared" si="60"/>
        <v>0</v>
      </c>
      <c r="P352" s="1694">
        <f t="shared" si="62"/>
        <v>0</v>
      </c>
      <c r="Q352" s="991"/>
      <c r="R352" s="991"/>
      <c r="S352" s="991"/>
      <c r="T352" s="1862">
        <f t="shared" si="56"/>
        <v>0</v>
      </c>
    </row>
    <row r="353" spans="1:21" ht="22.2" hidden="1" customHeight="1">
      <c r="A353" s="1448">
        <f>COUNTIF($C$12:C353,"x")</f>
        <v>4</v>
      </c>
      <c r="B353" s="1453" t="s">
        <v>1981</v>
      </c>
      <c r="C353" s="60" t="str">
        <f t="shared" si="57"/>
        <v xml:space="preserve"> </v>
      </c>
      <c r="D353" s="1416"/>
      <c r="E353" s="984" t="str">
        <f>VLOOKUP($B353,DG!A:D,DG!$B$2,)</f>
        <v>02.1482</v>
      </c>
      <c r="F353" s="985" t="str">
        <f>VLOOKUP($B353,DG!A:D,DG!$C$2,)</f>
        <v>V/c dụng cụ thi công ( cự ly &lt;=100m)</v>
      </c>
      <c r="G353" s="984" t="str">
        <f>VLOOKUP($B353,DG!A:D,DG!$D$2,)</f>
        <v>tấn</v>
      </c>
      <c r="H353" s="1694">
        <f t="shared" si="61"/>
        <v>0</v>
      </c>
      <c r="I353" s="1694">
        <f t="shared" si="60"/>
        <v>0</v>
      </c>
      <c r="J353" s="1694">
        <f t="shared" si="60"/>
        <v>0</v>
      </c>
      <c r="K353" s="1694">
        <f t="shared" si="60"/>
        <v>0</v>
      </c>
      <c r="L353" s="1694">
        <f t="shared" si="60"/>
        <v>0</v>
      </c>
      <c r="M353" s="1694">
        <f t="shared" si="60"/>
        <v>0</v>
      </c>
      <c r="N353" s="1694">
        <f t="shared" si="60"/>
        <v>0</v>
      </c>
      <c r="O353" s="1694">
        <f t="shared" si="60"/>
        <v>0</v>
      </c>
      <c r="P353" s="1694">
        <f t="shared" si="62"/>
        <v>0</v>
      </c>
      <c r="Q353" s="991"/>
      <c r="R353" s="991"/>
      <c r="S353" s="991"/>
      <c r="T353" s="1862">
        <f t="shared" si="56"/>
        <v>0</v>
      </c>
    </row>
    <row r="354" spans="1:21" ht="22.2" hidden="1" customHeight="1">
      <c r="A354" s="1448">
        <f>COUNTIF($C$12:C354,"x")</f>
        <v>4</v>
      </c>
      <c r="B354" s="1453" t="s">
        <v>997</v>
      </c>
      <c r="C354" s="60" t="str">
        <f t="shared" si="57"/>
        <v xml:space="preserve"> </v>
      </c>
      <c r="D354" s="1416">
        <f>D343*0</f>
        <v>0</v>
      </c>
      <c r="E354" s="984" t="str">
        <f>VLOOKUP($B354,DG!A:D,DG!$B$2,)</f>
        <v>04.5101</v>
      </c>
      <c r="F354" s="985" t="str">
        <f>VLOOKUP($B354,DG!A:D,DG!$C$2,)</f>
        <v>Gia công và lắp dựng cốt thép D&lt;=10</v>
      </c>
      <c r="G354" s="984" t="str">
        <f>VLOOKUP($B354,DG!A:D,DG!$D$2,)</f>
        <v>kg</v>
      </c>
      <c r="H354" s="1694">
        <f t="shared" si="61"/>
        <v>0</v>
      </c>
      <c r="I354" s="1694">
        <f t="shared" si="60"/>
        <v>0</v>
      </c>
      <c r="J354" s="1694">
        <f t="shared" si="60"/>
        <v>0</v>
      </c>
      <c r="K354" s="1694">
        <f t="shared" si="60"/>
        <v>0</v>
      </c>
      <c r="L354" s="1694">
        <f t="shared" si="60"/>
        <v>0</v>
      </c>
      <c r="M354" s="1694">
        <f t="shared" si="60"/>
        <v>0</v>
      </c>
      <c r="N354" s="1694">
        <f t="shared" si="60"/>
        <v>0</v>
      </c>
      <c r="O354" s="1694">
        <f t="shared" si="60"/>
        <v>0</v>
      </c>
      <c r="P354" s="1694">
        <f t="shared" si="62"/>
        <v>0</v>
      </c>
      <c r="Q354" s="991"/>
      <c r="R354" s="991"/>
      <c r="S354" s="991"/>
      <c r="T354" s="1862">
        <f t="shared" si="56"/>
        <v>0</v>
      </c>
    </row>
    <row r="355" spans="1:21" ht="22.2" hidden="1" customHeight="1">
      <c r="A355" s="1448">
        <f>COUNTIF($C$12:C355,"x")</f>
        <v>4</v>
      </c>
      <c r="B355" s="1453" t="s">
        <v>1835</v>
      </c>
      <c r="C355" s="60" t="str">
        <f t="shared" si="57"/>
        <v xml:space="preserve"> </v>
      </c>
      <c r="D355" s="1416">
        <v>1.19</v>
      </c>
      <c r="E355" s="984" t="str">
        <f>VLOOKUP($B355,DG!A:D,DG!$B$2,)</f>
        <v>04.1203b</v>
      </c>
      <c r="F355" s="985" t="str">
        <f>VLOOKUP($B355,DG!A:D,DG!$C$2,)</f>
        <v>Đổ bê tông mác M150 đá 1x2</v>
      </c>
      <c r="G355" s="984" t="str">
        <f>VLOOKUP($B355,DG!A:D,DG!$D$2,)</f>
        <v>m3</v>
      </c>
      <c r="H355" s="1694">
        <f t="shared" si="61"/>
        <v>0</v>
      </c>
      <c r="I355" s="1694">
        <f t="shared" si="60"/>
        <v>0</v>
      </c>
      <c r="J355" s="1694">
        <f t="shared" si="60"/>
        <v>0</v>
      </c>
      <c r="K355" s="1694">
        <f t="shared" si="60"/>
        <v>0</v>
      </c>
      <c r="L355" s="1694">
        <f t="shared" si="60"/>
        <v>0</v>
      </c>
      <c r="M355" s="1694">
        <f t="shared" si="60"/>
        <v>0</v>
      </c>
      <c r="N355" s="1694">
        <f t="shared" si="60"/>
        <v>0</v>
      </c>
      <c r="O355" s="1694">
        <f t="shared" si="60"/>
        <v>0</v>
      </c>
      <c r="P355" s="1694">
        <f t="shared" si="62"/>
        <v>0</v>
      </c>
      <c r="Q355" s="2678"/>
      <c r="R355" s="991"/>
      <c r="S355" s="991"/>
      <c r="T355" s="1862">
        <f t="shared" si="56"/>
        <v>0</v>
      </c>
      <c r="U355" s="2675">
        <f>D355</f>
        <v>1.19</v>
      </c>
    </row>
    <row r="356" spans="1:21" ht="22.2" customHeight="1">
      <c r="A356" s="1448">
        <f>COUNTIF($C$12:C356,"x")</f>
        <v>5</v>
      </c>
      <c r="B356" s="1452" t="s">
        <v>2306</v>
      </c>
      <c r="C356" s="973" t="str">
        <f t="shared" si="57"/>
        <v>x</v>
      </c>
      <c r="D356" s="1412"/>
      <c r="E356" s="981"/>
      <c r="F356" s="1276" t="s">
        <v>2364</v>
      </c>
      <c r="G356" s="982" t="s">
        <v>2327</v>
      </c>
      <c r="H356" s="1691">
        <f>SUM(I356:O356)</f>
        <v>6</v>
      </c>
      <c r="I356" s="1692"/>
      <c r="J356" s="1692"/>
      <c r="K356" s="1692">
        <f>IFERROR(HLOOKUP(B356,pp3p1m!$1:$3,2,0),0)</f>
        <v>6</v>
      </c>
      <c r="L356" s="1692">
        <f>IFERROR(HLOOKUP(chitiet!B356,pp1p!$1:$3,3,0),0)</f>
        <v>0</v>
      </c>
      <c r="M356" s="1692"/>
      <c r="N356" s="1692"/>
      <c r="O356" s="1692"/>
      <c r="P356" s="1691">
        <f>T356</f>
        <v>6</v>
      </c>
      <c r="Q356" s="1691">
        <f>IF(P356&gt;H356,P356-H356,0)</f>
        <v>0</v>
      </c>
      <c r="R356" s="1691">
        <f>IF(H356&gt;P356,H356-P356,0)</f>
        <v>0</v>
      </c>
      <c r="S356" s="983"/>
      <c r="T356" s="1862">
        <f>IFERROR(HLOOKUP(B356,pp1p!$1:$3,3,0),0)+IFERROR(HLOOKUP(B356,pp3p1m!$1:$3,3,0),0)</f>
        <v>6</v>
      </c>
    </row>
    <row r="357" spans="1:21" ht="22.2" customHeight="1">
      <c r="A357" s="1448">
        <f>COUNTIF($C$12:C357,"x")</f>
        <v>6</v>
      </c>
      <c r="B357" s="1454" t="s">
        <v>751</v>
      </c>
      <c r="C357" s="973" t="str">
        <f t="shared" si="57"/>
        <v>x</v>
      </c>
      <c r="D357" s="1419">
        <v>323.63</v>
      </c>
      <c r="E357" s="984">
        <f>VLOOKUP($B357,DG!A:D,DG!$B$2,)</f>
        <v>0</v>
      </c>
      <c r="F357" s="985" t="str">
        <f>VLOOKUP($B357,DG!A:D,DG!$C$2,)</f>
        <v>Ximăng (PC40)</v>
      </c>
      <c r="G357" s="984" t="str">
        <f>VLOOKUP($B357,DG!A:D,DG!$D$2,)</f>
        <v>kg</v>
      </c>
      <c r="H357" s="1694">
        <f t="shared" ref="H357:H375" si="63">$H$356*$D357</f>
        <v>1941.78</v>
      </c>
      <c r="I357" s="1694">
        <f>I$511*$D357</f>
        <v>0</v>
      </c>
      <c r="J357" s="1694">
        <f>J$511*$D357</f>
        <v>0</v>
      </c>
      <c r="K357" s="1694">
        <f t="shared" ref="K357:K364" si="64">K$356*$D357</f>
        <v>1941.78</v>
      </c>
      <c r="L357" s="1694">
        <f>L$511*$D357</f>
        <v>0</v>
      </c>
      <c r="M357" s="1694">
        <f>M$511*$D357</f>
        <v>0</v>
      </c>
      <c r="N357" s="1694">
        <f>N$511*$D357</f>
        <v>0</v>
      </c>
      <c r="O357" s="1694"/>
      <c r="P357" s="1694">
        <f t="shared" ref="P357:P375" si="65">$P$356*D357</f>
        <v>1941.78</v>
      </c>
      <c r="Q357" s="1694">
        <f>$Q$356*D357</f>
        <v>0</v>
      </c>
      <c r="R357" s="988"/>
      <c r="S357" s="988"/>
      <c r="T357" s="1862">
        <f t="shared" si="56"/>
        <v>0</v>
      </c>
      <c r="U357" s="1419">
        <v>504</v>
      </c>
    </row>
    <row r="358" spans="1:21" ht="22.2" customHeight="1">
      <c r="A358" s="1448">
        <f>COUNTIF($C$12:C358,"x")</f>
        <v>7</v>
      </c>
      <c r="B358" s="1454" t="s">
        <v>4408</v>
      </c>
      <c r="C358" s="973" t="str">
        <f t="shared" si="57"/>
        <v>x</v>
      </c>
      <c r="D358" s="1416">
        <v>0.75900000000000001</v>
      </c>
      <c r="E358" s="984">
        <f>VLOOKUP($B358,DG!A:D,DG!$B$2,)</f>
        <v>0</v>
      </c>
      <c r="F358" s="985" t="str">
        <f>VLOOKUP($B358,DG!A:D,DG!$C$2,)</f>
        <v>Cát vàng</v>
      </c>
      <c r="G358" s="984" t="str">
        <f>VLOOKUP($B358,DG!A:D,DG!$D$2,)</f>
        <v>m3</v>
      </c>
      <c r="H358" s="1694">
        <f t="shared" si="63"/>
        <v>4.5540000000000003</v>
      </c>
      <c r="I358" s="1694"/>
      <c r="J358" s="1694"/>
      <c r="K358" s="1694">
        <f t="shared" si="64"/>
        <v>4.5540000000000003</v>
      </c>
      <c r="L358" s="1694"/>
      <c r="M358" s="1694"/>
      <c r="N358" s="1694"/>
      <c r="O358" s="1694"/>
      <c r="P358" s="1694">
        <f t="shared" si="65"/>
        <v>4.5540000000000003</v>
      </c>
      <c r="Q358" s="1694">
        <f>$Q$356*D358</f>
        <v>0</v>
      </c>
      <c r="R358" s="987"/>
      <c r="S358" s="987"/>
      <c r="T358" s="1862">
        <f t="shared" si="56"/>
        <v>0</v>
      </c>
      <c r="U358" s="1416">
        <v>0.80900000000000005</v>
      </c>
    </row>
    <row r="359" spans="1:21" ht="22.2" customHeight="1">
      <c r="A359" s="1448">
        <f>COUNTIF($C$12:C359,"x")</f>
        <v>8</v>
      </c>
      <c r="B359" s="1454" t="s">
        <v>867</v>
      </c>
      <c r="C359" s="973" t="str">
        <f t="shared" si="57"/>
        <v>x</v>
      </c>
      <c r="D359" s="1416">
        <v>1.252</v>
      </c>
      <c r="E359" s="984">
        <f>VLOOKUP($B359,DG!A:D,DG!$B$2,)</f>
        <v>0</v>
      </c>
      <c r="F359" s="985" t="str">
        <f>VLOOKUP($B359,DG!A:D,DG!$C$2,)</f>
        <v>Đá 1x2</v>
      </c>
      <c r="G359" s="984" t="str">
        <f>VLOOKUP($B359,DG!A:D,DG!$D$2,)</f>
        <v>m3</v>
      </c>
      <c r="H359" s="1694">
        <f t="shared" si="63"/>
        <v>7.5120000000000005</v>
      </c>
      <c r="I359" s="1694"/>
      <c r="J359" s="1694"/>
      <c r="K359" s="1694">
        <f t="shared" si="64"/>
        <v>7.5120000000000005</v>
      </c>
      <c r="L359" s="1694"/>
      <c r="M359" s="1694"/>
      <c r="N359" s="1694"/>
      <c r="O359" s="1694"/>
      <c r="P359" s="1694">
        <f t="shared" si="65"/>
        <v>7.5120000000000005</v>
      </c>
      <c r="Q359" s="1694">
        <f>$Q$356*D359</f>
        <v>0</v>
      </c>
      <c r="R359" s="987"/>
      <c r="S359" s="987"/>
      <c r="T359" s="1862">
        <f t="shared" si="56"/>
        <v>0</v>
      </c>
      <c r="U359" s="1416">
        <v>1.5009999999999999</v>
      </c>
    </row>
    <row r="360" spans="1:21" ht="22.2" hidden="1" customHeight="1">
      <c r="A360" s="1448">
        <f>COUNTIF($C$12:C360,"x")</f>
        <v>8</v>
      </c>
      <c r="B360" s="1453" t="s">
        <v>4923</v>
      </c>
      <c r="C360" s="60" t="str">
        <f>IF(OR(P360&lt;&gt;0,H360&lt;&gt;0),"x"," ")</f>
        <v xml:space="preserve"> </v>
      </c>
      <c r="D360" s="1420"/>
      <c r="E360" s="984">
        <f>VLOOKUP($B360,DG!A:D,DG!$B$2,)</f>
        <v>0</v>
      </c>
      <c r="F360" s="985" t="str">
        <f>VLOOKUP($B360,DG!A:D,DG!$C$2,)</f>
        <v>Đinh các loại</v>
      </c>
      <c r="G360" s="984" t="str">
        <f>VLOOKUP($B360,DG!A:D,DG!$D$2,)</f>
        <v>kg</v>
      </c>
      <c r="H360" s="1694"/>
      <c r="I360" s="1694"/>
      <c r="J360" s="1694"/>
      <c r="K360" s="1694">
        <f t="shared" si="64"/>
        <v>0</v>
      </c>
      <c r="L360" s="1694"/>
      <c r="M360" s="1694"/>
      <c r="N360" s="1694"/>
      <c r="O360" s="1694"/>
      <c r="P360" s="1694"/>
      <c r="Q360" s="1694"/>
      <c r="R360" s="987"/>
      <c r="S360" s="987"/>
      <c r="T360" s="1862">
        <f>IFERROR(HLOOKUP(B360,BangKeTru,3,0),0)</f>
        <v>0</v>
      </c>
      <c r="U360" s="1420">
        <v>0.75</v>
      </c>
    </row>
    <row r="361" spans="1:21" ht="22.2" hidden="1" customHeight="1">
      <c r="A361" s="1448">
        <f>COUNTIF($C$12:C361,"x")</f>
        <v>8</v>
      </c>
      <c r="B361" s="1453" t="s">
        <v>996</v>
      </c>
      <c r="C361" s="60" t="str">
        <f>IF(OR(P361&lt;&gt;0,H361&lt;&gt;0),"x"," ")</f>
        <v xml:space="preserve"> </v>
      </c>
      <c r="D361" s="1420"/>
      <c r="E361" s="984">
        <f>VLOOKUP($B361,DG!A:D,DG!$B$2,)</f>
        <v>0</v>
      </c>
      <c r="F361" s="985" t="str">
        <f>VLOOKUP($B361,DG!A:D,DG!$C$2,)</f>
        <v>Kẽm</v>
      </c>
      <c r="G361" s="984" t="str">
        <f>VLOOKUP($B361,DG!A:D,DG!$D$2,)</f>
        <v>kg</v>
      </c>
      <c r="H361" s="1694">
        <f t="shared" si="63"/>
        <v>0</v>
      </c>
      <c r="I361" s="1694"/>
      <c r="J361" s="1694"/>
      <c r="K361" s="1694">
        <f t="shared" si="64"/>
        <v>0</v>
      </c>
      <c r="L361" s="1694"/>
      <c r="M361" s="1694"/>
      <c r="N361" s="1694"/>
      <c r="O361" s="1694"/>
      <c r="P361" s="1694">
        <f>$P$356*D361</f>
        <v>0</v>
      </c>
      <c r="Q361" s="1694"/>
      <c r="R361" s="987"/>
      <c r="S361" s="987"/>
      <c r="T361" s="1862">
        <f>IFERROR(HLOOKUP(B361,BangKeTru,3,0),0)</f>
        <v>0</v>
      </c>
      <c r="U361" s="1420"/>
    </row>
    <row r="362" spans="1:21" ht="22.2" hidden="1" customHeight="1">
      <c r="A362" s="1448">
        <f>COUNTIF($C$12:C362,"x")</f>
        <v>8</v>
      </c>
      <c r="B362" s="1453" t="s">
        <v>4632</v>
      </c>
      <c r="C362" s="60" t="str">
        <f t="shared" si="57"/>
        <v xml:space="preserve"> </v>
      </c>
      <c r="D362" s="1420"/>
      <c r="E362" s="984">
        <f>VLOOKUP($B362,DG!A:D,DG!$B$2,)</f>
        <v>0</v>
      </c>
      <c r="F362" s="985" t="str">
        <f>VLOOKUP($B362,DG!A:D,DG!$C$2,)</f>
        <v>Gỗ chống</v>
      </c>
      <c r="G362" s="984" t="str">
        <f>VLOOKUP($B362,DG!A:D,DG!$D$2,)</f>
        <v>m3</v>
      </c>
      <c r="H362" s="1694"/>
      <c r="I362" s="1694"/>
      <c r="J362" s="1694"/>
      <c r="K362" s="1694">
        <f t="shared" si="64"/>
        <v>0</v>
      </c>
      <c r="L362" s="1694"/>
      <c r="M362" s="1694"/>
      <c r="N362" s="1694"/>
      <c r="O362" s="1694"/>
      <c r="P362" s="1694"/>
      <c r="Q362" s="1694"/>
      <c r="R362" s="987"/>
      <c r="S362" s="987"/>
      <c r="T362" s="1862">
        <f t="shared" si="56"/>
        <v>0</v>
      </c>
      <c r="U362" s="1420">
        <v>1.6800000000000001E-3</v>
      </c>
    </row>
    <row r="363" spans="1:21" ht="22.2" hidden="1" customHeight="1">
      <c r="A363" s="1448">
        <f>COUNTIF($C$12:C363,"x")</f>
        <v>8</v>
      </c>
      <c r="B363" s="1453" t="s">
        <v>4634</v>
      </c>
      <c r="C363" s="60" t="str">
        <f>IF(OR(P363&lt;&gt;0,H363&lt;&gt;0),"x"," ")</f>
        <v xml:space="preserve"> </v>
      </c>
      <c r="D363" s="1420"/>
      <c r="E363" s="984">
        <f>VLOOKUP($B363,DG!A:D,DG!$B$2,)</f>
        <v>0</v>
      </c>
      <c r="F363" s="985" t="str">
        <f>VLOOKUP($B363,DG!A:D,DG!$C$2,)</f>
        <v>Gỗ đà nẹp</v>
      </c>
      <c r="G363" s="984" t="str">
        <f>VLOOKUP($B363,DG!A:D,DG!$D$2,)</f>
        <v>m3</v>
      </c>
      <c r="H363" s="1694"/>
      <c r="I363" s="1694"/>
      <c r="J363" s="1694"/>
      <c r="K363" s="1694">
        <f t="shared" si="64"/>
        <v>0</v>
      </c>
      <c r="L363" s="1694"/>
      <c r="M363" s="1694"/>
      <c r="N363" s="1694"/>
      <c r="O363" s="1694"/>
      <c r="P363" s="1694"/>
      <c r="Q363" s="1694"/>
      <c r="R363" s="987"/>
      <c r="S363" s="987"/>
      <c r="T363" s="1862">
        <f>IFERROR(HLOOKUP(B363,BangKeTru,3,0),0)</f>
        <v>0</v>
      </c>
      <c r="U363" s="1420">
        <v>1.0500000000000001E-2</v>
      </c>
    </row>
    <row r="364" spans="1:21" ht="22.2" hidden="1" customHeight="1">
      <c r="A364" s="1448">
        <f>COUNTIF($C$12:C364,"x")</f>
        <v>8</v>
      </c>
      <c r="B364" s="1453" t="s">
        <v>4636</v>
      </c>
      <c r="C364" s="60" t="str">
        <f t="shared" si="57"/>
        <v xml:space="preserve"> </v>
      </c>
      <c r="D364" s="1420"/>
      <c r="E364" s="984">
        <f>VLOOKUP($B364,DG!A:D,DG!$B$2,)</f>
        <v>0</v>
      </c>
      <c r="F364" s="985" t="str">
        <f>VLOOKUP($B364,DG!A:D,DG!$C$2,)</f>
        <v>Gỗ ván (cả nẹp)</v>
      </c>
      <c r="G364" s="984" t="str">
        <f>VLOOKUP($B364,DG!A:D,DG!$D$2,)</f>
        <v>m3</v>
      </c>
      <c r="H364" s="1694"/>
      <c r="I364" s="1694"/>
      <c r="J364" s="1694"/>
      <c r="K364" s="1694">
        <f t="shared" si="64"/>
        <v>0</v>
      </c>
      <c r="L364" s="1694"/>
      <c r="M364" s="1694"/>
      <c r="N364" s="1694"/>
      <c r="O364" s="1694"/>
      <c r="P364" s="1694"/>
      <c r="Q364" s="1694"/>
      <c r="R364" s="987"/>
      <c r="S364" s="987"/>
      <c r="T364" s="1862">
        <f t="shared" si="56"/>
        <v>0</v>
      </c>
      <c r="U364" s="1420">
        <v>3.9600000000000003E-2</v>
      </c>
    </row>
    <row r="365" spans="1:21" ht="22.2" hidden="1" customHeight="1">
      <c r="A365" s="1448">
        <f>COUNTIF($C$12:C365,"x")</f>
        <v>8</v>
      </c>
      <c r="B365" s="1451" t="s">
        <v>4642</v>
      </c>
      <c r="C365" s="973" t="str">
        <f t="shared" si="57"/>
        <v xml:space="preserve"> </v>
      </c>
      <c r="D365" s="1420"/>
      <c r="E365" s="984">
        <f>VLOOKUP($B365,DG!A:D,DG!$B$2,)</f>
        <v>0</v>
      </c>
      <c r="F365" s="985" t="str">
        <f>VLOOKUP($B365,DG!A:D,DG!$C$2,)</f>
        <v>Ván khuôn gỗ móng - móng vuông, chữ nhật</v>
      </c>
      <c r="G365" s="984" t="str">
        <f>VLOOKUP($B365,DG!A:D,DG!$D$2,)</f>
        <v>100m2</v>
      </c>
      <c r="H365" s="1694"/>
      <c r="I365" s="1694"/>
      <c r="J365" s="1694"/>
      <c r="K365" s="1694"/>
      <c r="L365" s="1694"/>
      <c r="M365" s="1694"/>
      <c r="N365" s="1694"/>
      <c r="O365" s="1694"/>
      <c r="P365" s="1694"/>
      <c r="Q365" s="1694">
        <f>$Q$356*D365</f>
        <v>0</v>
      </c>
      <c r="R365" s="991"/>
      <c r="S365" s="991"/>
      <c r="T365" s="1862">
        <f t="shared" si="56"/>
        <v>0</v>
      </c>
      <c r="U365" s="1420">
        <v>1.93</v>
      </c>
    </row>
    <row r="366" spans="1:21" ht="22.2" hidden="1" customHeight="1">
      <c r="A366" s="1448">
        <f>COUNTIF($C$12:C366,"x")</f>
        <v>8</v>
      </c>
      <c r="B366" s="1453" t="s">
        <v>4823</v>
      </c>
      <c r="C366" s="60" t="str">
        <f t="shared" si="57"/>
        <v xml:space="preserve"> </v>
      </c>
      <c r="D366" s="1416"/>
      <c r="E366" s="984">
        <f>VLOOKUP($B366,DG!A:D,DG!$B$2,)</f>
        <v>0</v>
      </c>
      <c r="F366" s="985" t="str">
        <f>VLOOKUP($B366,DG!A:D,DG!$C$2,)</f>
        <v>Boulon 16x450VRS+ 4 long đền vuông D18-50x50x3/Zn</v>
      </c>
      <c r="G366" s="984" t="str">
        <f>VLOOKUP($B366,DG!A:D,DG!$D$2,)</f>
        <v>bộ</v>
      </c>
      <c r="H366" s="1694"/>
      <c r="I366" s="1694"/>
      <c r="J366" s="1694"/>
      <c r="K366" s="1694"/>
      <c r="L366" s="1694"/>
      <c r="M366" s="1694"/>
      <c r="N366" s="1694"/>
      <c r="O366" s="1694"/>
      <c r="P366" s="1694"/>
      <c r="Q366" s="1694"/>
      <c r="R366" s="991"/>
      <c r="S366" s="991"/>
      <c r="T366" s="1862">
        <f t="shared" si="56"/>
        <v>0</v>
      </c>
      <c r="U366" s="1416">
        <v>1</v>
      </c>
    </row>
    <row r="367" spans="1:21" ht="22.2" customHeight="1">
      <c r="A367" s="1448">
        <f>COUNTIF($C$12:C367,"x")</f>
        <v>9</v>
      </c>
      <c r="B367" s="1453" t="s">
        <v>6102</v>
      </c>
      <c r="C367" s="60" t="str">
        <f t="shared" si="57"/>
        <v>x</v>
      </c>
      <c r="D367" s="1416">
        <v>1</v>
      </c>
      <c r="E367" s="984">
        <f>VLOOKUP($B367,DG!A:D,DG!$B$2,)</f>
        <v>0</v>
      </c>
      <c r="F367" s="985" t="str">
        <f>VLOOKUP($B367,DG!A:D,DG!$C$2,)</f>
        <v>Boulon 16x650VRS+ 4 long đền vuông D18-50x50x3/Zn</v>
      </c>
      <c r="G367" s="984" t="str">
        <f>VLOOKUP($B367,DG!A:D,DG!$D$2,)</f>
        <v>bộ</v>
      </c>
      <c r="H367" s="1694">
        <f t="shared" si="63"/>
        <v>6</v>
      </c>
      <c r="I367" s="1694"/>
      <c r="J367" s="1694"/>
      <c r="K367" s="1694"/>
      <c r="L367" s="1694"/>
      <c r="M367" s="1694"/>
      <c r="N367" s="1694"/>
      <c r="O367" s="1694"/>
      <c r="P367" s="1694">
        <f t="shared" si="65"/>
        <v>6</v>
      </c>
      <c r="Q367" s="1694">
        <f t="shared" ref="Q367:Q370" si="66">$Q$356*D367</f>
        <v>0</v>
      </c>
      <c r="R367" s="991"/>
      <c r="S367" s="991"/>
      <c r="T367" s="1862">
        <f t="shared" si="56"/>
        <v>0</v>
      </c>
      <c r="U367" s="1416">
        <v>1</v>
      </c>
    </row>
    <row r="368" spans="1:21" ht="22.2" customHeight="1">
      <c r="A368" s="1448">
        <f>COUNTIF($C$12:C368,"x")</f>
        <v>10</v>
      </c>
      <c r="B368" s="1453" t="s">
        <v>4836</v>
      </c>
      <c r="C368" s="60" t="str">
        <f t="shared" si="57"/>
        <v>x</v>
      </c>
      <c r="D368" s="1416">
        <v>1</v>
      </c>
      <c r="E368" s="984">
        <f>VLOOKUP($B368,DG!A:D,DG!$B$2,)</f>
        <v>0</v>
      </c>
      <c r="F368" s="985" t="str">
        <f>VLOOKUP($B368,DG!A:D,DG!$C$2,)</f>
        <v>Boulon 16x750VRS+ 4 long đền vuông D18-50x50x3/Zn</v>
      </c>
      <c r="G368" s="984" t="str">
        <f>VLOOKUP($B368,DG!A:D,DG!$D$2,)</f>
        <v>bộ</v>
      </c>
      <c r="H368" s="1694">
        <f t="shared" si="63"/>
        <v>6</v>
      </c>
      <c r="I368" s="1694"/>
      <c r="J368" s="1694"/>
      <c r="K368" s="1694"/>
      <c r="L368" s="1694"/>
      <c r="M368" s="1694"/>
      <c r="N368" s="1694"/>
      <c r="O368" s="1694"/>
      <c r="P368" s="1694">
        <f t="shared" si="65"/>
        <v>6</v>
      </c>
      <c r="Q368" s="1694">
        <f t="shared" si="66"/>
        <v>0</v>
      </c>
      <c r="R368" s="991"/>
      <c r="S368" s="991"/>
      <c r="T368" s="1862">
        <f t="shared" si="56"/>
        <v>0</v>
      </c>
      <c r="U368" s="1416">
        <v>1</v>
      </c>
    </row>
    <row r="369" spans="1:21" ht="22.2" customHeight="1">
      <c r="A369" s="1448">
        <f>COUNTIF($C$12:C369,"x")</f>
        <v>11</v>
      </c>
      <c r="B369" s="1453" t="s">
        <v>21</v>
      </c>
      <c r="C369" s="60" t="str">
        <f>IF(OR(P369&lt;&gt;0,H369&lt;&gt;0),"x"," ")</f>
        <v>x</v>
      </c>
      <c r="D369" s="1416">
        <v>1.8340000000000001</v>
      </c>
      <c r="E369" s="984" t="str">
        <f>VLOOKUP($B369,DG!A:D,DG!$B$2,)</f>
        <v>03.4113</v>
      </c>
      <c r="F369" s="985" t="str">
        <f>VLOOKUP($B369,DG!A:D,DG!$C$2,)</f>
        <v>Đắp đất hố móng, độ chặt k=0,95</v>
      </c>
      <c r="G369" s="984" t="str">
        <f>VLOOKUP($B369,DG!A:D,DG!$D$2,)</f>
        <v>m3</v>
      </c>
      <c r="H369" s="1694">
        <f t="shared" si="63"/>
        <v>11.004000000000001</v>
      </c>
      <c r="I369" s="1694"/>
      <c r="J369" s="1694"/>
      <c r="K369" s="1694"/>
      <c r="L369" s="1694"/>
      <c r="M369" s="1694"/>
      <c r="N369" s="1694"/>
      <c r="O369" s="1694"/>
      <c r="P369" s="1694">
        <f t="shared" ref="P369" si="67">$P$356*D369</f>
        <v>11.004000000000001</v>
      </c>
      <c r="Q369" s="1694"/>
      <c r="R369" s="991"/>
      <c r="S369" s="991"/>
      <c r="T369" s="1862">
        <f>IFERROR(HLOOKUP(B369,BangKeTru,3,0),0)</f>
        <v>0</v>
      </c>
      <c r="U369" s="1416">
        <v>0.157</v>
      </c>
    </row>
    <row r="370" spans="1:21" ht="22.2" customHeight="1">
      <c r="A370" s="1448">
        <f>COUNTIF($C$12:C370,"x")</f>
        <v>12</v>
      </c>
      <c r="B370" s="1453" t="s">
        <v>639</v>
      </c>
      <c r="C370" s="60" t="str">
        <f t="shared" si="57"/>
        <v>x</v>
      </c>
      <c r="D370" s="1416">
        <v>0.157</v>
      </c>
      <c r="E370" s="984" t="str">
        <f>VLOOKUP($B370,DG!A:D,DG!$B$2,)</f>
        <v>03.1013</v>
      </c>
      <c r="F370" s="985" t="str">
        <f>VLOOKUP($B370,DG!A:D,DG!$C$2,)</f>
        <v>Đào hố móng đất cấp 3 sâu &gt;1m</v>
      </c>
      <c r="G370" s="984" t="str">
        <f>VLOOKUP($B370,DG!A:D,DG!$D$2,)</f>
        <v>m3</v>
      </c>
      <c r="H370" s="1694">
        <f t="shared" si="63"/>
        <v>0.94199999999999995</v>
      </c>
      <c r="I370" s="1694"/>
      <c r="J370" s="1694"/>
      <c r="K370" s="1694"/>
      <c r="L370" s="1694"/>
      <c r="M370" s="1694"/>
      <c r="N370" s="1694"/>
      <c r="O370" s="1694"/>
      <c r="P370" s="1694">
        <f t="shared" si="65"/>
        <v>0.94199999999999995</v>
      </c>
      <c r="Q370" s="1694">
        <f t="shared" si="66"/>
        <v>0</v>
      </c>
      <c r="R370" s="991"/>
      <c r="S370" s="991"/>
      <c r="T370" s="1862">
        <f t="shared" si="56"/>
        <v>0</v>
      </c>
      <c r="U370" s="1416">
        <v>1.93</v>
      </c>
    </row>
    <row r="371" spans="1:21" ht="22.2" hidden="1" customHeight="1">
      <c r="A371" s="1448">
        <f>COUNTIF($C$12:C371,"x")</f>
        <v>12</v>
      </c>
      <c r="B371" s="1453" t="s">
        <v>1611</v>
      </c>
      <c r="C371" s="60" t="str">
        <f t="shared" si="57"/>
        <v xml:space="preserve"> </v>
      </c>
      <c r="D371" s="1416"/>
      <c r="E371" s="984" t="str">
        <f>VLOOKUP($B371,DG!A:D,DG!$B$2,)</f>
        <v>02.1231</v>
      </c>
      <c r="F371" s="985" t="str">
        <f>VLOOKUP($B371,DG!A:D,DG!$C$2,)</f>
        <v>V/c cát vàng cự ly &lt;=100m</v>
      </c>
      <c r="G371" s="984" t="str">
        <f>VLOOKUP($B371,DG!A:D,DG!$D$2,)</f>
        <v>m3</v>
      </c>
      <c r="H371" s="1694">
        <f t="shared" si="63"/>
        <v>0</v>
      </c>
      <c r="I371" s="1694"/>
      <c r="J371" s="1694"/>
      <c r="K371" s="1694"/>
      <c r="L371" s="1694"/>
      <c r="M371" s="1694"/>
      <c r="N371" s="1694"/>
      <c r="O371" s="1694"/>
      <c r="P371" s="1694">
        <f t="shared" si="65"/>
        <v>0</v>
      </c>
      <c r="Q371" s="1694"/>
      <c r="R371" s="991"/>
      <c r="S371" s="991"/>
      <c r="T371" s="1862">
        <f t="shared" si="56"/>
        <v>0</v>
      </c>
      <c r="U371" s="1416"/>
    </row>
    <row r="372" spans="1:21" ht="22.2" hidden="1" customHeight="1">
      <c r="A372" s="1448">
        <f>COUNTIF($C$12:C372,"x")</f>
        <v>12</v>
      </c>
      <c r="B372" s="1453" t="s">
        <v>521</v>
      </c>
      <c r="C372" s="60" t="str">
        <f t="shared" si="57"/>
        <v xml:space="preserve"> </v>
      </c>
      <c r="D372" s="1416"/>
      <c r="E372" s="984" t="str">
        <f>VLOOKUP($B372,DG!A:D,DG!$B$2,)</f>
        <v>02.1241</v>
      </c>
      <c r="F372" s="985" t="str">
        <f>VLOOKUP($B372,DG!A:D,DG!$C$2,)</f>
        <v>V/c đá dăm ( cự ly &lt;=100m)</v>
      </c>
      <c r="G372" s="984" t="str">
        <f>VLOOKUP($B372,DG!A:D,DG!$D$2,)</f>
        <v>m3</v>
      </c>
      <c r="H372" s="1694">
        <f t="shared" si="63"/>
        <v>0</v>
      </c>
      <c r="I372" s="1694"/>
      <c r="J372" s="1694"/>
      <c r="K372" s="1694"/>
      <c r="L372" s="1694"/>
      <c r="M372" s="1694"/>
      <c r="N372" s="1694"/>
      <c r="O372" s="1694"/>
      <c r="P372" s="1694">
        <f t="shared" si="65"/>
        <v>0</v>
      </c>
      <c r="Q372" s="1694"/>
      <c r="R372" s="991"/>
      <c r="S372" s="991"/>
      <c r="T372" s="1862">
        <f t="shared" si="56"/>
        <v>0</v>
      </c>
      <c r="U372" s="1416"/>
    </row>
    <row r="373" spans="1:21" ht="22.2" hidden="1" customHeight="1">
      <c r="A373" s="1448">
        <f>COUNTIF($C$12:C373,"x")</f>
        <v>12</v>
      </c>
      <c r="B373" s="1453" t="s">
        <v>1981</v>
      </c>
      <c r="C373" s="60" t="str">
        <f t="shared" si="57"/>
        <v xml:space="preserve"> </v>
      </c>
      <c r="D373" s="1416"/>
      <c r="E373" s="984" t="str">
        <f>VLOOKUP($B373,DG!A:D,DG!$B$2,)</f>
        <v>02.1482</v>
      </c>
      <c r="F373" s="985" t="str">
        <f>VLOOKUP($B373,DG!A:D,DG!$C$2,)</f>
        <v>V/c dụng cụ thi công ( cự ly &lt;=100m)</v>
      </c>
      <c r="G373" s="984" t="str">
        <f>VLOOKUP($B373,DG!A:D,DG!$D$2,)</f>
        <v>tấn</v>
      </c>
      <c r="H373" s="1694">
        <f t="shared" si="63"/>
        <v>0</v>
      </c>
      <c r="I373" s="1694"/>
      <c r="J373" s="1694"/>
      <c r="K373" s="1694"/>
      <c r="L373" s="1694"/>
      <c r="M373" s="1694"/>
      <c r="N373" s="1694"/>
      <c r="O373" s="1694"/>
      <c r="P373" s="1694">
        <f t="shared" si="65"/>
        <v>0</v>
      </c>
      <c r="Q373" s="1694"/>
      <c r="R373" s="991"/>
      <c r="S373" s="991"/>
      <c r="T373" s="1862">
        <f t="shared" si="56"/>
        <v>0</v>
      </c>
      <c r="U373" s="1416"/>
    </row>
    <row r="374" spans="1:21" ht="22.2" hidden="1" customHeight="1">
      <c r="A374" s="1448">
        <f>COUNTIF($C$12:C374,"x")</f>
        <v>12</v>
      </c>
      <c r="B374" s="1453" t="s">
        <v>997</v>
      </c>
      <c r="C374" s="60" t="str">
        <f t="shared" si="57"/>
        <v xml:space="preserve"> </v>
      </c>
      <c r="D374" s="1416"/>
      <c r="E374" s="984" t="str">
        <f>VLOOKUP($B374,DG!A:D,DG!$B$2,)</f>
        <v>04.5101</v>
      </c>
      <c r="F374" s="985" t="str">
        <f>VLOOKUP($B374,DG!A:D,DG!$C$2,)</f>
        <v>Gia công và lắp dựng cốt thép D&lt;=10</v>
      </c>
      <c r="G374" s="984" t="str">
        <f>VLOOKUP($B374,DG!A:D,DG!$D$2,)</f>
        <v>kg</v>
      </c>
      <c r="H374" s="1694">
        <f t="shared" si="63"/>
        <v>0</v>
      </c>
      <c r="I374" s="1694"/>
      <c r="J374" s="1694"/>
      <c r="K374" s="1694"/>
      <c r="L374" s="1694"/>
      <c r="M374" s="1694"/>
      <c r="N374" s="1694"/>
      <c r="O374" s="1694"/>
      <c r="P374" s="1694">
        <f t="shared" si="65"/>
        <v>0</v>
      </c>
      <c r="Q374" s="1694"/>
      <c r="R374" s="991"/>
      <c r="S374" s="991"/>
      <c r="T374" s="1862">
        <f t="shared" si="56"/>
        <v>0</v>
      </c>
      <c r="U374" s="1416"/>
    </row>
    <row r="375" spans="1:21" ht="22.2" customHeight="1">
      <c r="A375" s="1448">
        <f>COUNTIF($C$12:C375,"x")</f>
        <v>13</v>
      </c>
      <c r="B375" s="1453" t="s">
        <v>1835</v>
      </c>
      <c r="C375" s="60" t="str">
        <f t="shared" si="57"/>
        <v>x</v>
      </c>
      <c r="D375" s="1416">
        <v>1.704</v>
      </c>
      <c r="E375" s="984" t="str">
        <f>VLOOKUP($B375,DG!A:D,DG!$B$2,)</f>
        <v>04.1203b</v>
      </c>
      <c r="F375" s="985" t="str">
        <f>VLOOKUP($B375,DG!A:D,DG!$C$2,)</f>
        <v>Đổ bê tông mác M150 đá 1x2</v>
      </c>
      <c r="G375" s="984" t="str">
        <f>VLOOKUP($B375,DG!A:D,DG!$D$2,)</f>
        <v>m3</v>
      </c>
      <c r="H375" s="1694">
        <f t="shared" si="63"/>
        <v>10.224</v>
      </c>
      <c r="I375" s="1694"/>
      <c r="J375" s="1694"/>
      <c r="K375" s="1694"/>
      <c r="L375" s="1694"/>
      <c r="M375" s="1694"/>
      <c r="N375" s="1694"/>
      <c r="O375" s="1694"/>
      <c r="P375" s="1694">
        <f t="shared" si="65"/>
        <v>10.224</v>
      </c>
      <c r="Q375" s="1694">
        <f>$Q$356*D375</f>
        <v>0</v>
      </c>
      <c r="R375" s="991"/>
      <c r="S375" s="991"/>
      <c r="T375" s="1862">
        <f t="shared" si="56"/>
        <v>0</v>
      </c>
      <c r="U375" s="1416">
        <v>1.704</v>
      </c>
    </row>
    <row r="376" spans="1:21" ht="22.2" hidden="1" customHeight="1">
      <c r="A376" s="1448">
        <f>COUNTIF($C$12:C376,"x")</f>
        <v>13</v>
      </c>
      <c r="B376" s="1452" t="s">
        <v>744</v>
      </c>
      <c r="C376" s="59" t="str">
        <f t="shared" si="57"/>
        <v xml:space="preserve"> </v>
      </c>
      <c r="D376" s="1412"/>
      <c r="E376" s="981"/>
      <c r="F376" s="1276" t="s">
        <v>2365</v>
      </c>
      <c r="G376" s="982" t="s">
        <v>2327</v>
      </c>
      <c r="H376" s="1691">
        <f>SUM(I376:O376)</f>
        <v>0</v>
      </c>
      <c r="I376" s="1692"/>
      <c r="J376" s="1692"/>
      <c r="K376" s="1692">
        <f>IFERROR(HLOOKUP(B376,pp3p1m!$1:$3,2,0),0)</f>
        <v>0</v>
      </c>
      <c r="L376" s="1692">
        <f>IFERROR(HLOOKUP(chitiet!B376,pp1p!$1:$3,3,0),0)</f>
        <v>0</v>
      </c>
      <c r="M376" s="1692"/>
      <c r="N376" s="1692"/>
      <c r="O376" s="1692"/>
      <c r="P376" s="2674">
        <f>T376</f>
        <v>0</v>
      </c>
      <c r="Q376" s="983">
        <f>IF(P376&gt;H376,P376-H376,0)</f>
        <v>0</v>
      </c>
      <c r="R376" s="983">
        <f>IF(H376&gt;P376,H376-P376,0)</f>
        <v>0</v>
      </c>
      <c r="S376" s="983"/>
      <c r="T376" s="1862">
        <f>IFERROR(HLOOKUP(B376,pp1p!$1:$3,3,0),0)+IFERROR(HLOOKUP(B376,pp3p1m!$1:$3,3,0),0)</f>
        <v>0</v>
      </c>
    </row>
    <row r="377" spans="1:21" ht="22.2" hidden="1" customHeight="1">
      <c r="A377" s="1448">
        <f>COUNTIF($C$12:C377,"x")</f>
        <v>13</v>
      </c>
      <c r="B377" s="1453" t="s">
        <v>751</v>
      </c>
      <c r="C377" s="60" t="str">
        <f t="shared" si="57"/>
        <v xml:space="preserve"> </v>
      </c>
      <c r="D377" s="1419">
        <v>838</v>
      </c>
      <c r="E377" s="984">
        <f>VLOOKUP($B377,DG!A:D,DG!$B$2,)</f>
        <v>0</v>
      </c>
      <c r="F377" s="985" t="str">
        <f>VLOOKUP($B377,DG!A:D,DG!$C$2,)</f>
        <v>Ximăng (PC40)</v>
      </c>
      <c r="G377" s="984" t="str">
        <f>VLOOKUP($B377,DG!A:D,DG!$D$2,)</f>
        <v>kg</v>
      </c>
      <c r="H377" s="1694">
        <f t="shared" ref="H377:H395" si="68">H$356*$H$376</f>
        <v>0</v>
      </c>
      <c r="I377" s="1694">
        <f>I$511*$D377</f>
        <v>0</v>
      </c>
      <c r="J377" s="1694">
        <f>J$511*$D377</f>
        <v>0</v>
      </c>
      <c r="K377" s="1694">
        <f t="shared" ref="K377:K387" si="69">K$356*$D377</f>
        <v>5028</v>
      </c>
      <c r="L377" s="1694">
        <f>L$511*$D377</f>
        <v>0</v>
      </c>
      <c r="M377" s="1694">
        <f>M$511*$D377</f>
        <v>0</v>
      </c>
      <c r="N377" s="1694">
        <f>N$511*$D377</f>
        <v>0</v>
      </c>
      <c r="O377" s="1694"/>
      <c r="P377" s="1694"/>
      <c r="Q377" s="988"/>
      <c r="R377" s="988"/>
      <c r="S377" s="988"/>
      <c r="T377" s="1862">
        <f t="shared" si="56"/>
        <v>0</v>
      </c>
    </row>
    <row r="378" spans="1:21" ht="22.2" hidden="1" customHeight="1">
      <c r="A378" s="1448">
        <f>COUNTIF($C$12:C378,"x")</f>
        <v>13</v>
      </c>
      <c r="B378" s="1454" t="s">
        <v>4414</v>
      </c>
      <c r="C378" s="60" t="str">
        <f t="shared" si="57"/>
        <v xml:space="preserve"> </v>
      </c>
      <c r="D378" s="1416">
        <v>0.80100000000000005</v>
      </c>
      <c r="E378" s="984">
        <f>VLOOKUP($B378,DG!A:D,DG!$B$2,)</f>
        <v>0</v>
      </c>
      <c r="F378" s="985" t="str">
        <f>VLOOKUP($B378,DG!A:D,DG!$C$2,)</f>
        <v>Cát vàng</v>
      </c>
      <c r="G378" s="984" t="str">
        <f>VLOOKUP($B378,DG!A:D,DG!$D$2,)</f>
        <v>m3</v>
      </c>
      <c r="H378" s="1694">
        <f t="shared" si="68"/>
        <v>0</v>
      </c>
      <c r="I378" s="1694"/>
      <c r="J378" s="1694"/>
      <c r="K378" s="1694">
        <f t="shared" si="69"/>
        <v>4.806</v>
      </c>
      <c r="L378" s="1694"/>
      <c r="M378" s="1694"/>
      <c r="N378" s="1694"/>
      <c r="O378" s="1694"/>
      <c r="P378" s="1694"/>
      <c r="Q378" s="987"/>
      <c r="R378" s="987"/>
      <c r="S378" s="987"/>
      <c r="T378" s="1862">
        <f t="shared" si="56"/>
        <v>0</v>
      </c>
    </row>
    <row r="379" spans="1:21" ht="22.2" hidden="1" customHeight="1">
      <c r="A379" s="1448">
        <f>COUNTIF($C$12:C379,"x")</f>
        <v>13</v>
      </c>
      <c r="B379" s="1453" t="s">
        <v>867</v>
      </c>
      <c r="C379" s="60" t="str">
        <f t="shared" si="57"/>
        <v xml:space="preserve"> </v>
      </c>
      <c r="D379" s="1416">
        <v>1.6559999999999999</v>
      </c>
      <c r="E379" s="984">
        <f>VLOOKUP($B379,DG!A:D,DG!$B$2,)</f>
        <v>0</v>
      </c>
      <c r="F379" s="985" t="str">
        <f>VLOOKUP($B379,DG!A:D,DG!$C$2,)</f>
        <v>Đá 1x2</v>
      </c>
      <c r="G379" s="984" t="str">
        <f>VLOOKUP($B379,DG!A:D,DG!$D$2,)</f>
        <v>m3</v>
      </c>
      <c r="H379" s="1694">
        <f t="shared" si="68"/>
        <v>0</v>
      </c>
      <c r="I379" s="1694"/>
      <c r="J379" s="1694"/>
      <c r="K379" s="1694">
        <f t="shared" si="69"/>
        <v>9.9359999999999999</v>
      </c>
      <c r="L379" s="1694"/>
      <c r="M379" s="1694"/>
      <c r="N379" s="1694"/>
      <c r="O379" s="1694"/>
      <c r="P379" s="1694"/>
      <c r="Q379" s="987"/>
      <c r="R379" s="987"/>
      <c r="S379" s="987"/>
      <c r="T379" s="1862">
        <f t="shared" si="56"/>
        <v>0</v>
      </c>
    </row>
    <row r="380" spans="1:21" ht="22.2" hidden="1" customHeight="1">
      <c r="A380" s="1448">
        <f>COUNTIF($C$12:C380,"x")</f>
        <v>13</v>
      </c>
      <c r="B380" s="1453" t="s">
        <v>1434</v>
      </c>
      <c r="C380" s="60" t="str">
        <f t="shared" si="57"/>
        <v xml:space="preserve"> </v>
      </c>
      <c r="D380" s="1420">
        <v>53.24</v>
      </c>
      <c r="E380" s="984">
        <f>VLOOKUP($B380,DG!A:D,DG!$B$2,)</f>
        <v>0</v>
      </c>
      <c r="F380" s="990" t="str">
        <f>VLOOKUP($B380,DG!A:D,DG!$C$2,)</f>
        <v>Sắt Ø16</v>
      </c>
      <c r="G380" s="984" t="str">
        <f>VLOOKUP($B380,DG!A:D,DG!$D$2,)</f>
        <v>kg</v>
      </c>
      <c r="H380" s="1694">
        <f t="shared" si="68"/>
        <v>0</v>
      </c>
      <c r="I380" s="1694"/>
      <c r="J380" s="1694"/>
      <c r="K380" s="1694">
        <f t="shared" si="69"/>
        <v>319.44</v>
      </c>
      <c r="L380" s="1694"/>
      <c r="M380" s="1694"/>
      <c r="N380" s="1694"/>
      <c r="O380" s="1694"/>
      <c r="P380" s="1694"/>
      <c r="Q380" s="987"/>
      <c r="R380" s="987"/>
      <c r="S380" s="987"/>
      <c r="T380" s="1862">
        <f t="shared" si="56"/>
        <v>0</v>
      </c>
    </row>
    <row r="381" spans="1:21" ht="22.2" hidden="1" customHeight="1">
      <c r="A381" s="1448">
        <f>COUNTIF($C$12:C381,"x")</f>
        <v>13</v>
      </c>
      <c r="B381" s="1453" t="s">
        <v>995</v>
      </c>
      <c r="C381" s="60" t="str">
        <f t="shared" si="57"/>
        <v xml:space="preserve"> </v>
      </c>
      <c r="D381" s="1420">
        <v>4.4400000000000004</v>
      </c>
      <c r="E381" s="984">
        <f>VLOOKUP($B381,DG!A:D,DG!$B$2,)</f>
        <v>0</v>
      </c>
      <c r="F381" s="990" t="str">
        <f>VLOOKUP($B381,DG!A:D,DG!$C$2,)</f>
        <v>Sắt Ø10</v>
      </c>
      <c r="G381" s="984" t="str">
        <f>VLOOKUP($B381,DG!A:D,DG!$D$2,)</f>
        <v>kg</v>
      </c>
      <c r="H381" s="1694">
        <f t="shared" si="68"/>
        <v>0</v>
      </c>
      <c r="I381" s="1694"/>
      <c r="J381" s="1694"/>
      <c r="K381" s="1694">
        <f t="shared" si="69"/>
        <v>26.64</v>
      </c>
      <c r="L381" s="1694"/>
      <c r="M381" s="1694"/>
      <c r="N381" s="1694"/>
      <c r="O381" s="1694"/>
      <c r="P381" s="1694"/>
      <c r="Q381" s="987"/>
      <c r="R381" s="987"/>
      <c r="S381" s="987"/>
      <c r="T381" s="1862">
        <f t="shared" si="56"/>
        <v>0</v>
      </c>
    </row>
    <row r="382" spans="1:21" ht="22.2" hidden="1" customHeight="1">
      <c r="A382" s="1448">
        <f>COUNTIF($C$12:C382,"x")</f>
        <v>13</v>
      </c>
      <c r="B382" s="1453" t="s">
        <v>745</v>
      </c>
      <c r="C382" s="60" t="str">
        <f t="shared" si="57"/>
        <v xml:space="preserve"> </v>
      </c>
      <c r="D382" s="1420">
        <v>13.36</v>
      </c>
      <c r="E382" s="984">
        <f>VLOOKUP($B382,DG!A:D,DG!$B$2,)</f>
        <v>0</v>
      </c>
      <c r="F382" s="990" t="str">
        <f>VLOOKUP($B382,DG!A:D,DG!$C$2,)</f>
        <v>Sắt Ø8</v>
      </c>
      <c r="G382" s="984" t="str">
        <f>VLOOKUP($B382,DG!A:D,DG!$D$2,)</f>
        <v>kg</v>
      </c>
      <c r="H382" s="1694">
        <f t="shared" si="68"/>
        <v>0</v>
      </c>
      <c r="I382" s="1694"/>
      <c r="J382" s="1694"/>
      <c r="K382" s="1694">
        <f t="shared" si="69"/>
        <v>80.16</v>
      </c>
      <c r="L382" s="1694"/>
      <c r="M382" s="1694"/>
      <c r="N382" s="1694"/>
      <c r="O382" s="1694"/>
      <c r="P382" s="1694"/>
      <c r="Q382" s="987"/>
      <c r="R382" s="987"/>
      <c r="S382" s="987"/>
      <c r="T382" s="1862">
        <f t="shared" si="56"/>
        <v>0</v>
      </c>
    </row>
    <row r="383" spans="1:21" ht="22.2" hidden="1" customHeight="1">
      <c r="A383" s="1448">
        <f>COUNTIF($C$12:C383,"x")</f>
        <v>13</v>
      </c>
      <c r="B383" s="1453" t="s">
        <v>996</v>
      </c>
      <c r="C383" s="60" t="str">
        <f t="shared" si="57"/>
        <v xml:space="preserve"> </v>
      </c>
      <c r="D383" s="1420"/>
      <c r="E383" s="984">
        <f>VLOOKUP($B383,DG!A:D,DG!$B$2,)</f>
        <v>0</v>
      </c>
      <c r="F383" s="990" t="str">
        <f>VLOOKUP($B383,DG!A:D,DG!$C$2,)</f>
        <v>Kẽm</v>
      </c>
      <c r="G383" s="984" t="str">
        <f>VLOOKUP($B383,DG!A:D,DG!$D$2,)</f>
        <v>kg</v>
      </c>
      <c r="H383" s="1694">
        <f t="shared" si="68"/>
        <v>0</v>
      </c>
      <c r="I383" s="1694"/>
      <c r="J383" s="1694"/>
      <c r="K383" s="1694">
        <f t="shared" si="69"/>
        <v>0</v>
      </c>
      <c r="L383" s="1694"/>
      <c r="M383" s="1694"/>
      <c r="N383" s="1694"/>
      <c r="O383" s="1694"/>
      <c r="P383" s="1694"/>
      <c r="Q383" s="987"/>
      <c r="R383" s="987"/>
      <c r="S383" s="987"/>
      <c r="T383" s="1862">
        <f t="shared" si="56"/>
        <v>0</v>
      </c>
    </row>
    <row r="384" spans="1:21" ht="22.2" hidden="1" customHeight="1">
      <c r="A384" s="1448">
        <f>COUNTIF($C$12:C384,"x")</f>
        <v>13</v>
      </c>
      <c r="B384" s="1453" t="s">
        <v>1430</v>
      </c>
      <c r="C384" s="60" t="str">
        <f t="shared" si="57"/>
        <v xml:space="preserve"> </v>
      </c>
      <c r="D384" s="1420">
        <v>2</v>
      </c>
      <c r="E384" s="984"/>
      <c r="F384" s="990" t="str">
        <f>VLOOKUP($B384,DG!A:D,DG!$C$2,)</f>
        <v>Cong D1000x1000mm</v>
      </c>
      <c r="G384" s="984" t="str">
        <f>VLOOKUP($B384,DG!A:D,DG!$D$2,)</f>
        <v>cái</v>
      </c>
      <c r="H384" s="1694">
        <f t="shared" si="68"/>
        <v>0</v>
      </c>
      <c r="I384" s="1694"/>
      <c r="J384" s="1694"/>
      <c r="K384" s="1694">
        <f t="shared" si="69"/>
        <v>12</v>
      </c>
      <c r="L384" s="1694"/>
      <c r="M384" s="1694"/>
      <c r="N384" s="1694"/>
      <c r="O384" s="1694"/>
      <c r="P384" s="1694"/>
      <c r="Q384" s="987"/>
      <c r="R384" s="987"/>
      <c r="S384" s="987"/>
      <c r="T384" s="1862">
        <f t="shared" si="56"/>
        <v>0</v>
      </c>
    </row>
    <row r="385" spans="1:20" ht="22.2" hidden="1" customHeight="1">
      <c r="A385" s="1448">
        <f>COUNTIF($C$12:C385,"x")</f>
        <v>13</v>
      </c>
      <c r="B385" s="1453" t="s">
        <v>1431</v>
      </c>
      <c r="C385" s="60" t="str">
        <f t="shared" si="57"/>
        <v xml:space="preserve"> </v>
      </c>
      <c r="D385" s="1420">
        <v>1</v>
      </c>
      <c r="E385" s="984"/>
      <c r="F385" s="990" t="str">
        <f>VLOOKUP($B385,DG!A:D,DG!$C$2,)</f>
        <v>Cong D1000x400mm</v>
      </c>
      <c r="G385" s="984" t="str">
        <f>VLOOKUP($B385,DG!A:D,DG!$D$2,)</f>
        <v>cái</v>
      </c>
      <c r="H385" s="1694">
        <f t="shared" si="68"/>
        <v>0</v>
      </c>
      <c r="I385" s="1694"/>
      <c r="J385" s="1694"/>
      <c r="K385" s="1694">
        <f t="shared" si="69"/>
        <v>6</v>
      </c>
      <c r="L385" s="1694"/>
      <c r="M385" s="1694"/>
      <c r="N385" s="1694"/>
      <c r="O385" s="1694"/>
      <c r="P385" s="1694"/>
      <c r="Q385" s="987"/>
      <c r="R385" s="987"/>
      <c r="S385" s="987"/>
      <c r="T385" s="1862">
        <f t="shared" si="56"/>
        <v>0</v>
      </c>
    </row>
    <row r="386" spans="1:20" ht="22.2" hidden="1" customHeight="1">
      <c r="A386" s="1448">
        <f>COUNTIF($C$12:C386,"x")</f>
        <v>13</v>
      </c>
      <c r="B386" s="1455" t="s">
        <v>639</v>
      </c>
      <c r="C386" s="60" t="str">
        <f t="shared" si="57"/>
        <v xml:space="preserve"> </v>
      </c>
      <c r="D386" s="1420">
        <v>1.93</v>
      </c>
      <c r="E386" s="984" t="str">
        <f>VLOOKUP($B386,DG!A:D,DG!$B$2,)</f>
        <v>03.1013</v>
      </c>
      <c r="F386" s="985" t="str">
        <f>VLOOKUP($B386,DG!A:D,DG!$C$2,)</f>
        <v>Đào hố móng đất cấp 3 sâu &gt;1m</v>
      </c>
      <c r="G386" s="984" t="str">
        <f>VLOOKUP($B386,DG!A:D,DG!$D$2,)</f>
        <v>m3</v>
      </c>
      <c r="H386" s="1694">
        <f t="shared" si="68"/>
        <v>0</v>
      </c>
      <c r="I386" s="1694"/>
      <c r="J386" s="1694"/>
      <c r="K386" s="1694">
        <f t="shared" si="69"/>
        <v>11.58</v>
      </c>
      <c r="L386" s="1694"/>
      <c r="M386" s="1694"/>
      <c r="N386" s="1694"/>
      <c r="O386" s="1694"/>
      <c r="P386" s="1694"/>
      <c r="Q386" s="987"/>
      <c r="R386" s="987"/>
      <c r="S386" s="987"/>
      <c r="T386" s="1862">
        <f t="shared" si="56"/>
        <v>0</v>
      </c>
    </row>
    <row r="387" spans="1:20" ht="22.2" hidden="1" customHeight="1">
      <c r="A387" s="1448">
        <f>COUNTIF($C$12:C387,"x")</f>
        <v>13</v>
      </c>
      <c r="B387" s="1453" t="s">
        <v>1293</v>
      </c>
      <c r="C387" s="60" t="str">
        <f t="shared" si="57"/>
        <v xml:space="preserve"> </v>
      </c>
      <c r="D387" s="1416"/>
      <c r="E387" s="984" t="str">
        <f>VLOOKUP($B387,DG!A:D,DG!$B$2,)</f>
        <v>02.1101</v>
      </c>
      <c r="F387" s="990" t="s">
        <v>2366</v>
      </c>
      <c r="G387" s="984" t="str">
        <f>VLOOKUP($B387,DG!A:D,DG!$D$2,)</f>
        <v>tấn</v>
      </c>
      <c r="H387" s="1694">
        <f t="shared" si="68"/>
        <v>0</v>
      </c>
      <c r="I387" s="1694"/>
      <c r="J387" s="1694"/>
      <c r="K387" s="1694">
        <f t="shared" si="69"/>
        <v>0</v>
      </c>
      <c r="L387" s="1694"/>
      <c r="M387" s="1694"/>
      <c r="N387" s="1694"/>
      <c r="O387" s="1694"/>
      <c r="P387" s="1694"/>
      <c r="Q387" s="987"/>
      <c r="R387" s="987"/>
      <c r="S387" s="987"/>
      <c r="T387" s="1862">
        <f t="shared" si="56"/>
        <v>0</v>
      </c>
    </row>
    <row r="388" spans="1:20" ht="22.2" hidden="1" customHeight="1">
      <c r="A388" s="1448">
        <f>COUNTIF($C$12:C388,"x")</f>
        <v>13</v>
      </c>
      <c r="B388" s="1453" t="s">
        <v>133</v>
      </c>
      <c r="C388" s="60" t="str">
        <f t="shared" si="57"/>
        <v xml:space="preserve"> </v>
      </c>
      <c r="D388" s="1416"/>
      <c r="E388" s="984" t="str">
        <f>VLOOKUP($B388,DG!A:D,DG!$B$2,)</f>
        <v>02.1103</v>
      </c>
      <c r="F388" s="985" t="str">
        <f>VLOOKUP($B388,DG!A:D,DG!$C$2,)</f>
        <v>Bốc dỡ cát</v>
      </c>
      <c r="G388" s="984" t="str">
        <f>VLOOKUP($B388,DG!A:D,DG!$D$2,)</f>
        <v>m3</v>
      </c>
      <c r="H388" s="1694">
        <f t="shared" si="68"/>
        <v>0</v>
      </c>
      <c r="I388" s="1694"/>
      <c r="J388" s="1694"/>
      <c r="K388" s="1694"/>
      <c r="L388" s="1694"/>
      <c r="M388" s="1694"/>
      <c r="N388" s="1694"/>
      <c r="O388" s="1694"/>
      <c r="P388" s="1694"/>
      <c r="Q388" s="991"/>
      <c r="R388" s="991"/>
      <c r="S388" s="991"/>
      <c r="T388" s="1862">
        <f t="shared" si="56"/>
        <v>0</v>
      </c>
    </row>
    <row r="389" spans="1:20" ht="22.2" hidden="1" customHeight="1">
      <c r="A389" s="1448">
        <f>COUNTIF($C$12:C389,"x")</f>
        <v>13</v>
      </c>
      <c r="B389" s="1453" t="s">
        <v>135</v>
      </c>
      <c r="C389" s="60" t="str">
        <f t="shared" si="57"/>
        <v xml:space="preserve"> </v>
      </c>
      <c r="D389" s="1416"/>
      <c r="E389" s="984" t="str">
        <f>VLOOKUP($B389,DG!A:D,DG!$B$2,)</f>
        <v>02.1104</v>
      </c>
      <c r="F389" s="985" t="str">
        <f>VLOOKUP($B389,DG!A:D,DG!$C$2,)</f>
        <v>Bốc dỡ đá dăm</v>
      </c>
      <c r="G389" s="984" t="str">
        <f>VLOOKUP($B389,DG!A:D,DG!$D$2,)</f>
        <v>m3</v>
      </c>
      <c r="H389" s="1694">
        <f t="shared" si="68"/>
        <v>0</v>
      </c>
      <c r="I389" s="1694"/>
      <c r="J389" s="1694"/>
      <c r="K389" s="1694"/>
      <c r="L389" s="1694"/>
      <c r="M389" s="1694"/>
      <c r="N389" s="1694"/>
      <c r="O389" s="1694"/>
      <c r="P389" s="1694"/>
      <c r="Q389" s="991"/>
      <c r="R389" s="991"/>
      <c r="S389" s="991"/>
      <c r="T389" s="1862">
        <f t="shared" si="56"/>
        <v>0</v>
      </c>
    </row>
    <row r="390" spans="1:20" ht="22.2" hidden="1" customHeight="1">
      <c r="A390" s="1448">
        <f>COUNTIF($C$12:C390,"x")</f>
        <v>13</v>
      </c>
      <c r="B390" s="1453" t="s">
        <v>495</v>
      </c>
      <c r="C390" s="60" t="str">
        <f t="shared" si="57"/>
        <v xml:space="preserve"> </v>
      </c>
      <c r="D390" s="1416"/>
      <c r="E390" s="984" t="str">
        <f>VLOOKUP($B390,DG!A:D,DG!$B$2,)</f>
        <v>02.1211</v>
      </c>
      <c r="F390" s="985" t="str">
        <f>VLOOKUP($B390,DG!A:D,DG!$C$2,)</f>
        <v>V/c xi măng ( cự ly &lt;=100m)</v>
      </c>
      <c r="G390" s="984" t="str">
        <f>VLOOKUP($B390,DG!A:D,DG!$D$2,)</f>
        <v>tấn</v>
      </c>
      <c r="H390" s="1694">
        <f t="shared" si="68"/>
        <v>0</v>
      </c>
      <c r="I390" s="1694"/>
      <c r="J390" s="1694"/>
      <c r="K390" s="1694"/>
      <c r="L390" s="1694"/>
      <c r="M390" s="1694"/>
      <c r="N390" s="1694"/>
      <c r="O390" s="1694"/>
      <c r="P390" s="1694"/>
      <c r="Q390" s="991"/>
      <c r="R390" s="991"/>
      <c r="S390" s="991"/>
      <c r="T390" s="1862">
        <f t="shared" si="56"/>
        <v>0</v>
      </c>
    </row>
    <row r="391" spans="1:20" ht="22.2" hidden="1" customHeight="1">
      <c r="A391" s="1448">
        <f>COUNTIF($C$12:C391,"x")</f>
        <v>13</v>
      </c>
      <c r="B391" s="1453" t="s">
        <v>1611</v>
      </c>
      <c r="C391" s="60" t="str">
        <f t="shared" si="57"/>
        <v xml:space="preserve"> </v>
      </c>
      <c r="D391" s="1416"/>
      <c r="E391" s="984" t="str">
        <f>VLOOKUP($B391,DG!A:D,DG!$B$2,)</f>
        <v>02.1231</v>
      </c>
      <c r="F391" s="985" t="str">
        <f>VLOOKUP($B391,DG!A:D,DG!$C$2,)</f>
        <v>V/c cát vàng cự ly &lt;=100m</v>
      </c>
      <c r="G391" s="984" t="str">
        <f>VLOOKUP($B391,DG!A:D,DG!$D$2,)</f>
        <v>m3</v>
      </c>
      <c r="H391" s="1694">
        <f t="shared" si="68"/>
        <v>0</v>
      </c>
      <c r="I391" s="1694"/>
      <c r="J391" s="1694"/>
      <c r="K391" s="1694"/>
      <c r="L391" s="1694"/>
      <c r="M391" s="1694"/>
      <c r="N391" s="1694"/>
      <c r="O391" s="1694"/>
      <c r="P391" s="1694"/>
      <c r="Q391" s="991"/>
      <c r="R391" s="991"/>
      <c r="S391" s="991"/>
      <c r="T391" s="1862">
        <f t="shared" si="56"/>
        <v>0</v>
      </c>
    </row>
    <row r="392" spans="1:20" ht="22.2" hidden="1" customHeight="1">
      <c r="A392" s="1448">
        <f>COUNTIF($C$12:C392,"x")</f>
        <v>13</v>
      </c>
      <c r="B392" s="1453" t="s">
        <v>521</v>
      </c>
      <c r="C392" s="60" t="str">
        <f t="shared" si="57"/>
        <v xml:space="preserve"> </v>
      </c>
      <c r="D392" s="1416"/>
      <c r="E392" s="984" t="str">
        <f>VLOOKUP($B392,DG!A:D,DG!$B$2,)</f>
        <v>02.1241</v>
      </c>
      <c r="F392" s="985" t="str">
        <f>VLOOKUP($B392,DG!A:D,DG!$C$2,)</f>
        <v>V/c đá dăm ( cự ly &lt;=100m)</v>
      </c>
      <c r="G392" s="984" t="str">
        <f>VLOOKUP($B392,DG!A:D,DG!$D$2,)</f>
        <v>m3</v>
      </c>
      <c r="H392" s="1694">
        <f t="shared" si="68"/>
        <v>0</v>
      </c>
      <c r="I392" s="1694"/>
      <c r="J392" s="1694"/>
      <c r="K392" s="1694"/>
      <c r="L392" s="1694"/>
      <c r="M392" s="1694"/>
      <c r="N392" s="1694"/>
      <c r="O392" s="1694"/>
      <c r="P392" s="1694"/>
      <c r="Q392" s="991"/>
      <c r="R392" s="991"/>
      <c r="S392" s="991"/>
      <c r="T392" s="1862">
        <f t="shared" si="56"/>
        <v>0</v>
      </c>
    </row>
    <row r="393" spans="1:20" ht="22.2" hidden="1" customHeight="1">
      <c r="A393" s="1448">
        <f>COUNTIF($C$12:C393,"x")</f>
        <v>13</v>
      </c>
      <c r="B393" s="1453" t="s">
        <v>1981</v>
      </c>
      <c r="C393" s="60" t="str">
        <f t="shared" si="57"/>
        <v xml:space="preserve"> </v>
      </c>
      <c r="D393" s="1416"/>
      <c r="E393" s="984" t="str">
        <f>VLOOKUP($B393,DG!A:D,DG!$B$2,)</f>
        <v>02.1482</v>
      </c>
      <c r="F393" s="985" t="str">
        <f>VLOOKUP($B393,DG!A:D,DG!$C$2,)</f>
        <v>V/c dụng cụ thi công ( cự ly &lt;=100m)</v>
      </c>
      <c r="G393" s="984" t="str">
        <f>VLOOKUP($B393,DG!A:D,DG!$D$2,)</f>
        <v>tấn</v>
      </c>
      <c r="H393" s="1694">
        <f t="shared" si="68"/>
        <v>0</v>
      </c>
      <c r="I393" s="1694"/>
      <c r="J393" s="1694"/>
      <c r="K393" s="1694"/>
      <c r="L393" s="1694"/>
      <c r="M393" s="1694"/>
      <c r="N393" s="1694"/>
      <c r="O393" s="1694"/>
      <c r="P393" s="1694"/>
      <c r="Q393" s="991"/>
      <c r="R393" s="991"/>
      <c r="S393" s="991"/>
      <c r="T393" s="1862">
        <f t="shared" si="56"/>
        <v>0</v>
      </c>
    </row>
    <row r="394" spans="1:20" ht="22.2" hidden="1" customHeight="1">
      <c r="A394" s="1448">
        <f>COUNTIF($C$12:C394,"x")</f>
        <v>13</v>
      </c>
      <c r="B394" s="1453" t="s">
        <v>997</v>
      </c>
      <c r="C394" s="60" t="str">
        <f t="shared" si="57"/>
        <v xml:space="preserve"> </v>
      </c>
      <c r="D394" s="1416">
        <f>D380</f>
        <v>53.24</v>
      </c>
      <c r="E394" s="984" t="str">
        <f>VLOOKUP($B394,DG!A:D,DG!$B$2,)</f>
        <v>04.5101</v>
      </c>
      <c r="F394" s="985" t="str">
        <f>VLOOKUP($B394,DG!A:D,DG!$C$2,)</f>
        <v>Gia công và lắp dựng cốt thép D&lt;=10</v>
      </c>
      <c r="G394" s="984" t="str">
        <f>VLOOKUP($B394,DG!A:D,DG!$D$2,)</f>
        <v>kg</v>
      </c>
      <c r="H394" s="1694">
        <f t="shared" si="68"/>
        <v>0</v>
      </c>
      <c r="I394" s="1694"/>
      <c r="J394" s="1694"/>
      <c r="K394" s="1694"/>
      <c r="L394" s="1694"/>
      <c r="M394" s="1694"/>
      <c r="N394" s="1694"/>
      <c r="O394" s="1694"/>
      <c r="P394" s="1694"/>
      <c r="Q394" s="991"/>
      <c r="R394" s="991"/>
      <c r="S394" s="991"/>
      <c r="T394" s="1862">
        <f t="shared" si="56"/>
        <v>0</v>
      </c>
    </row>
    <row r="395" spans="1:20" ht="22.2" hidden="1" customHeight="1">
      <c r="A395" s="1448">
        <f>COUNTIF($C$12:C395,"x")</f>
        <v>13</v>
      </c>
      <c r="B395" s="1453" t="s">
        <v>1835</v>
      </c>
      <c r="C395" s="60" t="str">
        <f t="shared" si="57"/>
        <v xml:space="preserve"> </v>
      </c>
      <c r="D395" s="1416">
        <v>1.93</v>
      </c>
      <c r="E395" s="984" t="str">
        <f>VLOOKUP($B395,DG!A:D,DG!$B$2,)</f>
        <v>04.1203b</v>
      </c>
      <c r="F395" s="985" t="str">
        <f>VLOOKUP($B395,DG!A:D,DG!$C$2,)</f>
        <v>Đổ bê tông mác M150 đá 1x2</v>
      </c>
      <c r="G395" s="984" t="str">
        <f>VLOOKUP($B395,DG!A:D,DG!$D$2,)</f>
        <v>m3</v>
      </c>
      <c r="H395" s="1694">
        <f t="shared" si="68"/>
        <v>0</v>
      </c>
      <c r="I395" s="1694"/>
      <c r="J395" s="1694"/>
      <c r="K395" s="1694"/>
      <c r="L395" s="1694"/>
      <c r="M395" s="1694"/>
      <c r="N395" s="1694"/>
      <c r="O395" s="1694"/>
      <c r="P395" s="1694"/>
      <c r="Q395" s="991"/>
      <c r="R395" s="991"/>
      <c r="S395" s="991"/>
      <c r="T395" s="1862">
        <f t="shared" si="56"/>
        <v>0</v>
      </c>
    </row>
    <row r="396" spans="1:20" ht="22.2" hidden="1" customHeight="1">
      <c r="A396" s="1448">
        <f>COUNTIF($C$12:C396,"x")</f>
        <v>13</v>
      </c>
      <c r="B396" s="1452" t="s">
        <v>2264</v>
      </c>
      <c r="C396" s="59" t="str">
        <f t="shared" si="57"/>
        <v xml:space="preserve"> </v>
      </c>
      <c r="D396" s="1412"/>
      <c r="E396" s="981"/>
      <c r="F396" s="1276" t="s">
        <v>2367</v>
      </c>
      <c r="G396" s="982" t="s">
        <v>2327</v>
      </c>
      <c r="H396" s="1691">
        <f>SUM(I396:O396)</f>
        <v>0</v>
      </c>
      <c r="I396" s="1692"/>
      <c r="J396" s="1692"/>
      <c r="K396" s="1692">
        <f>IFERROR(HLOOKUP(B396,pp3p1m!$1:$3,2,0),0)</f>
        <v>0</v>
      </c>
      <c r="L396" s="1692">
        <f>IFERROR(HLOOKUP(chitiet!B396,pp1p!$1:$3,3,0),0)</f>
        <v>0</v>
      </c>
      <c r="M396" s="1692"/>
      <c r="N396" s="1692"/>
      <c r="O396" s="1692"/>
      <c r="P396" s="2674">
        <f>T396</f>
        <v>0</v>
      </c>
      <c r="Q396" s="983">
        <f>IF(P396&gt;H396,P396-H396,0)</f>
        <v>0</v>
      </c>
      <c r="R396" s="983">
        <f>IF(H396&gt;P396,H396-P396,0)</f>
        <v>0</v>
      </c>
      <c r="S396" s="983"/>
      <c r="T396" s="1862">
        <f>IFERROR(HLOOKUP(B396,pp1p!$1:$3,3,0),0)+IFERROR(HLOOKUP(B396,pp3p1m!$1:$3,3,0),0)</f>
        <v>0</v>
      </c>
    </row>
    <row r="397" spans="1:20" ht="22.2" hidden="1" customHeight="1">
      <c r="A397" s="1448">
        <f>COUNTIF($C$12:C397,"x")</f>
        <v>13</v>
      </c>
      <c r="B397" s="1453" t="s">
        <v>751</v>
      </c>
      <c r="C397" s="60" t="str">
        <f t="shared" si="57"/>
        <v xml:space="preserve"> </v>
      </c>
      <c r="D397" s="1420">
        <v>510</v>
      </c>
      <c r="E397" s="984">
        <f>VLOOKUP($B397,DG!A:D,DG!$B$2,)</f>
        <v>0</v>
      </c>
      <c r="F397" s="985" t="str">
        <f>VLOOKUP($B397,DG!A:D,DG!$C$2,)</f>
        <v>Ximăng (PC40)</v>
      </c>
      <c r="G397" s="984" t="str">
        <f>VLOOKUP($B397,DG!A:D,DG!$D$2,)</f>
        <v>kg</v>
      </c>
      <c r="H397" s="1694">
        <f>H$396*$D397</f>
        <v>0</v>
      </c>
      <c r="I397" s="1694">
        <f>I$511*$D397</f>
        <v>0</v>
      </c>
      <c r="J397" s="1694">
        <f>J$511*$D397</f>
        <v>0</v>
      </c>
      <c r="K397" s="1694">
        <f>K$396*$D397</f>
        <v>0</v>
      </c>
      <c r="L397" s="1694">
        <f>L$511*$D397</f>
        <v>0</v>
      </c>
      <c r="M397" s="1694">
        <f>M$511*$D397</f>
        <v>0</v>
      </c>
      <c r="N397" s="1694">
        <f>N$511*$D397</f>
        <v>0</v>
      </c>
      <c r="O397" s="1694"/>
      <c r="P397" s="1694"/>
      <c r="Q397" s="988"/>
      <c r="R397" s="988"/>
      <c r="S397" s="988"/>
      <c r="T397" s="1862">
        <f t="shared" si="56"/>
        <v>0</v>
      </c>
    </row>
    <row r="398" spans="1:20" ht="22.2" hidden="1" customHeight="1">
      <c r="A398" s="1448">
        <f>COUNTIF($C$12:C398,"x")</f>
        <v>13</v>
      </c>
      <c r="B398" s="1454" t="s">
        <v>4414</v>
      </c>
      <c r="C398" s="60" t="str">
        <f t="shared" si="57"/>
        <v xml:space="preserve"> </v>
      </c>
      <c r="D398" s="1416">
        <v>0.89500000000000002</v>
      </c>
      <c r="E398" s="984">
        <f>VLOOKUP($B398,DG!A:D,DG!$B$2,)</f>
        <v>0</v>
      </c>
      <c r="F398" s="985" t="str">
        <f>VLOOKUP($B398,DG!A:D,DG!$C$2,)</f>
        <v>Cát vàng</v>
      </c>
      <c r="G398" s="984" t="str">
        <f>VLOOKUP($B398,DG!A:D,DG!$D$2,)</f>
        <v>m3</v>
      </c>
      <c r="H398" s="1694">
        <f>H$396*$D398</f>
        <v>0</v>
      </c>
      <c r="I398" s="1694"/>
      <c r="J398" s="1694"/>
      <c r="K398" s="1694">
        <f>K$396*$D398</f>
        <v>0</v>
      </c>
      <c r="L398" s="1694"/>
      <c r="M398" s="1694"/>
      <c r="N398" s="1694"/>
      <c r="O398" s="1694"/>
      <c r="P398" s="1694"/>
      <c r="Q398" s="987"/>
      <c r="R398" s="987"/>
      <c r="S398" s="987"/>
      <c r="T398" s="1862">
        <f t="shared" si="56"/>
        <v>0</v>
      </c>
    </row>
    <row r="399" spans="1:20" ht="22.2" hidden="1" customHeight="1">
      <c r="A399" s="1448">
        <f>COUNTIF($C$12:C399,"x")</f>
        <v>13</v>
      </c>
      <c r="B399" s="1453" t="s">
        <v>867</v>
      </c>
      <c r="C399" s="60" t="str">
        <f t="shared" si="57"/>
        <v xml:space="preserve"> </v>
      </c>
      <c r="D399" s="1416">
        <v>1.617</v>
      </c>
      <c r="E399" s="984">
        <f>VLOOKUP($B399,DG!A:D,DG!$B$2,)</f>
        <v>0</v>
      </c>
      <c r="F399" s="985" t="str">
        <f>VLOOKUP($B399,DG!A:D,DG!$C$2,)</f>
        <v>Đá 1x2</v>
      </c>
      <c r="G399" s="984" t="str">
        <f>VLOOKUP($B399,DG!A:D,DG!$D$2,)</f>
        <v>m3</v>
      </c>
      <c r="H399" s="1694">
        <f>H$396*$D399</f>
        <v>0</v>
      </c>
      <c r="I399" s="1694"/>
      <c r="J399" s="1694"/>
      <c r="K399" s="1694">
        <f>K$396*$D399</f>
        <v>0</v>
      </c>
      <c r="L399" s="1694"/>
      <c r="M399" s="1694"/>
      <c r="N399" s="1694"/>
      <c r="O399" s="1694"/>
      <c r="P399" s="1694"/>
      <c r="Q399" s="987"/>
      <c r="R399" s="987"/>
      <c r="S399" s="987"/>
      <c r="T399" s="1862">
        <f t="shared" si="56"/>
        <v>0</v>
      </c>
    </row>
    <row r="400" spans="1:20" ht="22.2" hidden="1" customHeight="1">
      <c r="A400" s="1448">
        <f>COUNTIF($C$12:C400,"x")</f>
        <v>13</v>
      </c>
      <c r="B400" s="1453" t="s">
        <v>1392</v>
      </c>
      <c r="C400" s="60" t="str">
        <f t="shared" si="57"/>
        <v xml:space="preserve"> </v>
      </c>
      <c r="D400" s="1416">
        <v>2.09</v>
      </c>
      <c r="E400" s="984" t="str">
        <f>VLOOKUP($B400,DG!A:D,DG!$B$2,)</f>
        <v>03.1114</v>
      </c>
      <c r="F400" s="985" t="str">
        <f>VLOOKUP($B400,DG!A:D,DG!$C$2,)</f>
        <v>Đào hố móng đất cấp 4 sâu &gt;1m</v>
      </c>
      <c r="G400" s="984" t="str">
        <f>VLOOKUP($B400,DG!A:D,DG!$D$2,)</f>
        <v>m3</v>
      </c>
      <c r="H400" s="1694"/>
      <c r="I400" s="1694"/>
      <c r="J400" s="1694"/>
      <c r="K400" s="1694"/>
      <c r="L400" s="1694"/>
      <c r="M400" s="1694"/>
      <c r="N400" s="1694"/>
      <c r="O400" s="1694"/>
      <c r="P400" s="1694"/>
      <c r="Q400" s="991"/>
      <c r="R400" s="991"/>
      <c r="S400" s="991"/>
      <c r="T400" s="1862">
        <f t="shared" si="56"/>
        <v>0</v>
      </c>
    </row>
    <row r="401" spans="1:20" ht="22.2" hidden="1" customHeight="1">
      <c r="A401" s="1448">
        <f>COUNTIF($C$12:C401,"x")</f>
        <v>13</v>
      </c>
      <c r="B401" s="1453" t="s">
        <v>1826</v>
      </c>
      <c r="C401" s="60" t="str">
        <f t="shared" si="57"/>
        <v xml:space="preserve"> </v>
      </c>
      <c r="D401" s="1417">
        <v>0</v>
      </c>
      <c r="E401" s="984" t="str">
        <f>VLOOKUP($B401,DG!A:D,DG!$B$2,)</f>
        <v>03.2203</v>
      </c>
      <c r="F401" s="985" t="str">
        <f>VLOOKUP($B401,DG!A:D,DG!$C$2,)</f>
        <v>Đắp đất hố móng, đất cấp 4</v>
      </c>
      <c r="G401" s="984" t="str">
        <f>VLOOKUP($B401,DG!A:D,DG!$D$2,)</f>
        <v>m3</v>
      </c>
      <c r="H401" s="1694"/>
      <c r="I401" s="1694"/>
      <c r="J401" s="1694"/>
      <c r="K401" s="1694"/>
      <c r="L401" s="1694"/>
      <c r="M401" s="1694"/>
      <c r="N401" s="1694"/>
      <c r="O401" s="1694"/>
      <c r="P401" s="1694"/>
      <c r="Q401" s="991"/>
      <c r="R401" s="991"/>
      <c r="S401" s="991"/>
      <c r="T401" s="1862">
        <f t="shared" ref="T401:T481" si="70">IFERROR(HLOOKUP(B401,BangKeTru,3,0),0)</f>
        <v>0</v>
      </c>
    </row>
    <row r="402" spans="1:20" ht="22.2" hidden="1" customHeight="1">
      <c r="A402" s="1448">
        <f>COUNTIF($C$12:C402,"x")</f>
        <v>13</v>
      </c>
      <c r="B402" s="1453" t="s">
        <v>1293</v>
      </c>
      <c r="C402" s="60" t="str">
        <f t="shared" ref="C402:C482" si="71">IF(OR(P402&lt;&gt;0,H402&lt;&gt;0),"x"," ")</f>
        <v xml:space="preserve"> </v>
      </c>
      <c r="D402" s="1417">
        <f>D397</f>
        <v>510</v>
      </c>
      <c r="E402" s="984" t="str">
        <f>VLOOKUP($B402,DG!A:D,DG!$B$2,)</f>
        <v>02.1101</v>
      </c>
      <c r="F402" s="985" t="str">
        <f>VLOOKUP($B402,DG!A:D,DG!$C$2,)</f>
        <v>Bốc dỡ xi măng</v>
      </c>
      <c r="G402" s="984" t="str">
        <f>VLOOKUP($B402,DG!A:D,DG!$D$2,)</f>
        <v>tấn</v>
      </c>
      <c r="H402" s="1694"/>
      <c r="I402" s="1694"/>
      <c r="J402" s="1694"/>
      <c r="K402" s="1694"/>
      <c r="L402" s="1694"/>
      <c r="M402" s="1694"/>
      <c r="N402" s="1694"/>
      <c r="O402" s="1694"/>
      <c r="P402" s="1694"/>
      <c r="Q402" s="991"/>
      <c r="R402" s="991"/>
      <c r="S402" s="991"/>
      <c r="T402" s="1862">
        <f t="shared" si="70"/>
        <v>0</v>
      </c>
    </row>
    <row r="403" spans="1:20" ht="22.2" hidden="1" customHeight="1">
      <c r="A403" s="1448">
        <f>COUNTIF($C$12:C403,"x")</f>
        <v>13</v>
      </c>
      <c r="B403" s="1453" t="s">
        <v>133</v>
      </c>
      <c r="C403" s="60" t="str">
        <f t="shared" si="71"/>
        <v xml:space="preserve"> </v>
      </c>
      <c r="D403" s="1417">
        <f>D405</f>
        <v>8.9500000000000007E-4</v>
      </c>
      <c r="E403" s="984" t="str">
        <f>VLOOKUP($B403,DG!A:D,DG!$B$2,)</f>
        <v>02.1103</v>
      </c>
      <c r="F403" s="985" t="str">
        <f>VLOOKUP($B403,DG!A:D,DG!$C$2,)</f>
        <v>Bốc dỡ cát</v>
      </c>
      <c r="G403" s="984" t="str">
        <f>VLOOKUP($B403,DG!A:D,DG!$D$2,)</f>
        <v>m3</v>
      </c>
      <c r="H403" s="1694"/>
      <c r="I403" s="1694"/>
      <c r="J403" s="1694"/>
      <c r="K403" s="1694"/>
      <c r="L403" s="1694"/>
      <c r="M403" s="1694"/>
      <c r="N403" s="1694"/>
      <c r="O403" s="1694"/>
      <c r="P403" s="1694"/>
      <c r="Q403" s="991"/>
      <c r="R403" s="991"/>
      <c r="S403" s="991"/>
      <c r="T403" s="1862">
        <f t="shared" si="70"/>
        <v>0</v>
      </c>
    </row>
    <row r="404" spans="1:20" ht="22.2" hidden="1" customHeight="1">
      <c r="A404" s="1448">
        <f>COUNTIF($C$12:C404,"x")</f>
        <v>13</v>
      </c>
      <c r="B404" s="1453" t="s">
        <v>135</v>
      </c>
      <c r="C404" s="60" t="str">
        <f t="shared" si="71"/>
        <v xml:space="preserve"> </v>
      </c>
      <c r="D404" s="1417">
        <f>D397</f>
        <v>510</v>
      </c>
      <c r="E404" s="984" t="str">
        <f>VLOOKUP($B404,DG!A:D,DG!$B$2,)</f>
        <v>02.1104</v>
      </c>
      <c r="F404" s="985" t="str">
        <f>VLOOKUP($B404,DG!A:D,DG!$C$2,)</f>
        <v>Bốc dỡ đá dăm</v>
      </c>
      <c r="G404" s="984" t="str">
        <f>VLOOKUP($B404,DG!A:D,DG!$D$2,)</f>
        <v>m3</v>
      </c>
      <c r="H404" s="1694"/>
      <c r="I404" s="1694"/>
      <c r="J404" s="1694"/>
      <c r="K404" s="1694"/>
      <c r="L404" s="1694"/>
      <c r="M404" s="1694"/>
      <c r="N404" s="1694"/>
      <c r="O404" s="1694"/>
      <c r="P404" s="1694"/>
      <c r="Q404" s="991"/>
      <c r="R404" s="991"/>
      <c r="S404" s="991"/>
      <c r="T404" s="1862">
        <f t="shared" si="70"/>
        <v>0</v>
      </c>
    </row>
    <row r="405" spans="1:20" ht="22.2" hidden="1" customHeight="1">
      <c r="A405" s="1448">
        <f>COUNTIF($C$12:C405,"x")</f>
        <v>13</v>
      </c>
      <c r="B405" s="1453" t="s">
        <v>495</v>
      </c>
      <c r="C405" s="60" t="str">
        <f t="shared" si="71"/>
        <v xml:space="preserve"> </v>
      </c>
      <c r="D405" s="1417">
        <f>D398/1000</f>
        <v>8.9500000000000007E-4</v>
      </c>
      <c r="E405" s="984" t="str">
        <f>VLOOKUP($B405,DG!A:D,DG!$B$2,)</f>
        <v>02.1211</v>
      </c>
      <c r="F405" s="985" t="str">
        <f>VLOOKUP($B405,DG!A:D,DG!$C$2,)</f>
        <v>V/c xi măng ( cự ly &lt;=100m)</v>
      </c>
      <c r="G405" s="984" t="str">
        <f>VLOOKUP($B405,DG!A:D,DG!$D$2,)</f>
        <v>tấn</v>
      </c>
      <c r="H405" s="1694"/>
      <c r="I405" s="1694"/>
      <c r="J405" s="1694"/>
      <c r="K405" s="1694"/>
      <c r="L405" s="1694"/>
      <c r="M405" s="1694"/>
      <c r="N405" s="1694"/>
      <c r="O405" s="1694"/>
      <c r="P405" s="1694"/>
      <c r="Q405" s="991"/>
      <c r="R405" s="991"/>
      <c r="S405" s="991"/>
      <c r="T405" s="1862">
        <f t="shared" si="70"/>
        <v>0</v>
      </c>
    </row>
    <row r="406" spans="1:20" ht="22.2" hidden="1" customHeight="1">
      <c r="A406" s="1448">
        <f>COUNTIF($C$12:C406,"x")</f>
        <v>13</v>
      </c>
      <c r="B406" s="1453" t="s">
        <v>1611</v>
      </c>
      <c r="C406" s="60" t="str">
        <f t="shared" si="71"/>
        <v xml:space="preserve"> </v>
      </c>
      <c r="D406" s="1416">
        <f>D397</f>
        <v>510</v>
      </c>
      <c r="E406" s="984" t="str">
        <f>VLOOKUP($B406,DG!A:D,DG!$B$2,)</f>
        <v>02.1231</v>
      </c>
      <c r="F406" s="985" t="str">
        <f>VLOOKUP($B406,DG!A:D,DG!$C$2,)</f>
        <v>V/c cát vàng cự ly &lt;=100m</v>
      </c>
      <c r="G406" s="984" t="str">
        <f>VLOOKUP($B406,DG!A:D,DG!$D$2,)</f>
        <v>m3</v>
      </c>
      <c r="H406" s="1694"/>
      <c r="I406" s="1694"/>
      <c r="J406" s="1694"/>
      <c r="K406" s="1694"/>
      <c r="L406" s="1694"/>
      <c r="M406" s="1694"/>
      <c r="N406" s="1694"/>
      <c r="O406" s="1694"/>
      <c r="P406" s="1694"/>
      <c r="Q406" s="991"/>
      <c r="R406" s="991"/>
      <c r="S406" s="991"/>
      <c r="T406" s="1862">
        <f t="shared" si="70"/>
        <v>0</v>
      </c>
    </row>
    <row r="407" spans="1:20" ht="22.2" hidden="1" customHeight="1">
      <c r="A407" s="1448">
        <f>COUNTIF($C$12:C407,"x")</f>
        <v>13</v>
      </c>
      <c r="B407" s="1453" t="s">
        <v>521</v>
      </c>
      <c r="C407" s="60" t="str">
        <f t="shared" si="71"/>
        <v xml:space="preserve"> </v>
      </c>
      <c r="D407" s="1417">
        <f>D400/1000</f>
        <v>2.0899999999999998E-3</v>
      </c>
      <c r="E407" s="984" t="str">
        <f>VLOOKUP($B407,DG!A:D,DG!$B$2,)</f>
        <v>02.1241</v>
      </c>
      <c r="F407" s="985" t="str">
        <f>VLOOKUP($B407,DG!A:D,DG!$C$2,)</f>
        <v>V/c đá dăm ( cự ly &lt;=100m)</v>
      </c>
      <c r="G407" s="984" t="str">
        <f>VLOOKUP($B407,DG!A:D,DG!$D$2,)</f>
        <v>m3</v>
      </c>
      <c r="H407" s="1694"/>
      <c r="I407" s="1694"/>
      <c r="J407" s="1694"/>
      <c r="K407" s="1694"/>
      <c r="L407" s="1694"/>
      <c r="M407" s="1694"/>
      <c r="N407" s="1694"/>
      <c r="O407" s="1694"/>
      <c r="P407" s="1694"/>
      <c r="Q407" s="991"/>
      <c r="R407" s="991"/>
      <c r="S407" s="991"/>
      <c r="T407" s="1862">
        <f t="shared" si="70"/>
        <v>0</v>
      </c>
    </row>
    <row r="408" spans="1:20" ht="22.2" hidden="1" customHeight="1">
      <c r="A408" s="1448">
        <f>COUNTIF($C$12:C408,"x")</f>
        <v>13</v>
      </c>
      <c r="B408" s="1453" t="s">
        <v>1981</v>
      </c>
      <c r="C408" s="60" t="str">
        <f t="shared" si="71"/>
        <v xml:space="preserve"> </v>
      </c>
      <c r="D408" s="1416">
        <v>0.02</v>
      </c>
      <c r="E408" s="984" t="str">
        <f>VLOOKUP($B408,DG!A:D,DG!$B$2,)</f>
        <v>02.1482</v>
      </c>
      <c r="F408" s="985" t="str">
        <f>VLOOKUP($B408,DG!A:D,DG!$C$2,)</f>
        <v>V/c dụng cụ thi công ( cự ly &lt;=100m)</v>
      </c>
      <c r="G408" s="984" t="str">
        <f>VLOOKUP($B408,DG!A:D,DG!$D$2,)</f>
        <v>tấn</v>
      </c>
      <c r="H408" s="1694"/>
      <c r="I408" s="1694"/>
      <c r="J408" s="1694"/>
      <c r="K408" s="1694"/>
      <c r="L408" s="1694"/>
      <c r="M408" s="1694"/>
      <c r="N408" s="1694"/>
      <c r="O408" s="1694"/>
      <c r="P408" s="1694"/>
      <c r="Q408" s="991"/>
      <c r="R408" s="991"/>
      <c r="S408" s="991"/>
      <c r="T408" s="1862">
        <f t="shared" si="70"/>
        <v>0</v>
      </c>
    </row>
    <row r="409" spans="1:20" ht="22.2" hidden="1" customHeight="1">
      <c r="A409" s="1448">
        <f>COUNTIF($C$12:C409,"x")</f>
        <v>13</v>
      </c>
      <c r="B409" s="1452" t="s">
        <v>780</v>
      </c>
      <c r="C409" s="59" t="str">
        <f t="shared" si="71"/>
        <v xml:space="preserve"> </v>
      </c>
      <c r="D409" s="1412"/>
      <c r="E409" s="981"/>
      <c r="F409" s="1276" t="s">
        <v>2368</v>
      </c>
      <c r="G409" s="982" t="s">
        <v>2327</v>
      </c>
      <c r="H409" s="1691">
        <f>SUM(I409:O409)</f>
        <v>0</v>
      </c>
      <c r="I409" s="1692"/>
      <c r="J409" s="1692"/>
      <c r="K409" s="1692">
        <f>IFERROR(HLOOKUP(B409,pp3p1m!$1:$3,2,0),0)</f>
        <v>0</v>
      </c>
      <c r="L409" s="1692">
        <f>IFERROR(HLOOKUP(chitiet!B409,pp1p!$1:$3,3,0),0)</f>
        <v>0</v>
      </c>
      <c r="M409" s="1692"/>
      <c r="N409" s="1692"/>
      <c r="O409" s="1692"/>
      <c r="P409" s="2674">
        <f>T409</f>
        <v>0</v>
      </c>
      <c r="Q409" s="983">
        <f>IF(P409&gt;H409,P409-H409,0)</f>
        <v>0</v>
      </c>
      <c r="R409" s="983">
        <f>IF(H409&gt;P409,H409-P409,0)</f>
        <v>0</v>
      </c>
      <c r="S409" s="983"/>
      <c r="T409" s="1862">
        <f>IFERROR(HLOOKUP(B409,pp1p!$1:$3,3,0),0)+IFERROR(HLOOKUP(B409,pp3p1m!$1:$3,3,0),0)</f>
        <v>0</v>
      </c>
    </row>
    <row r="410" spans="1:20" ht="22.2" hidden="1" customHeight="1">
      <c r="A410" s="1448">
        <f>COUNTIF($C$12:C410,"x")</f>
        <v>13</v>
      </c>
      <c r="B410" s="1465" t="s">
        <v>639</v>
      </c>
      <c r="C410" s="60" t="str">
        <f t="shared" si="71"/>
        <v xml:space="preserve"> </v>
      </c>
      <c r="D410" s="1419">
        <v>0.4</v>
      </c>
      <c r="E410" s="984"/>
      <c r="F410" s="985" t="str">
        <f>VLOOKUP($B410,DG!A:D,DG!$C$2,)</f>
        <v>Đào hố móng đất cấp 3 sâu &gt;1m</v>
      </c>
      <c r="G410" s="984" t="str">
        <f>VLOOKUP($B410,DG!A:D,DG!$D$2,)</f>
        <v>m3</v>
      </c>
      <c r="H410" s="1694">
        <f>$H$409*D410</f>
        <v>0</v>
      </c>
      <c r="I410" s="1694">
        <f t="shared" ref="I410:N410" si="72">I$244*$D410</f>
        <v>0</v>
      </c>
      <c r="J410" s="1694">
        <f t="shared" si="72"/>
        <v>0</v>
      </c>
      <c r="K410" s="1694">
        <f t="shared" si="72"/>
        <v>2</v>
      </c>
      <c r="L410" s="1694">
        <f t="shared" si="72"/>
        <v>0</v>
      </c>
      <c r="M410" s="1694">
        <f t="shared" si="72"/>
        <v>0</v>
      </c>
      <c r="N410" s="1694">
        <f t="shared" si="72"/>
        <v>0</v>
      </c>
      <c r="O410" s="1694"/>
      <c r="P410" s="1694"/>
      <c r="Q410" s="988"/>
      <c r="R410" s="988"/>
      <c r="S410" s="988"/>
      <c r="T410" s="1862">
        <f t="shared" si="70"/>
        <v>0</v>
      </c>
    </row>
    <row r="411" spans="1:20" ht="22.2" hidden="1" customHeight="1">
      <c r="A411" s="1448">
        <f>COUNTIF($C$12:C411,"x")</f>
        <v>13</v>
      </c>
      <c r="B411" s="1455" t="s">
        <v>21</v>
      </c>
      <c r="C411" s="60" t="str">
        <f t="shared" si="71"/>
        <v xml:space="preserve"> </v>
      </c>
      <c r="D411" s="1421">
        <v>0.4</v>
      </c>
      <c r="E411" s="980" t="str">
        <f>VLOOKUP($B411,DG!A:D,DG!$B$2,)</f>
        <v>03.4113</v>
      </c>
      <c r="F411" s="985" t="str">
        <f>VLOOKUP($B411,DG!A:D,DG!$C$2,)</f>
        <v>Đắp đất hố móng, độ chặt k=0,95</v>
      </c>
      <c r="G411" s="980" t="str">
        <f>VLOOKUP($B411,DG!A:D,DG!$D$2,)</f>
        <v>m3</v>
      </c>
      <c r="H411" s="1694">
        <f>$H$409*D411</f>
        <v>0</v>
      </c>
      <c r="I411" s="1693">
        <f t="shared" ref="I411:N411" si="73">I$18*$D411</f>
        <v>0</v>
      </c>
      <c r="J411" s="1693">
        <f t="shared" si="73"/>
        <v>0</v>
      </c>
      <c r="K411" s="1693">
        <f t="shared" si="73"/>
        <v>0</v>
      </c>
      <c r="L411" s="1693">
        <f t="shared" si="73"/>
        <v>0</v>
      </c>
      <c r="M411" s="1693">
        <f t="shared" si="73"/>
        <v>0</v>
      </c>
      <c r="N411" s="1693">
        <f t="shared" si="73"/>
        <v>0</v>
      </c>
      <c r="O411" s="1693"/>
      <c r="P411" s="1693"/>
      <c r="Q411" s="989"/>
      <c r="R411" s="989"/>
      <c r="S411" s="989"/>
      <c r="T411" s="1862">
        <f t="shared" si="70"/>
        <v>0</v>
      </c>
    </row>
    <row r="412" spans="1:20" ht="22.2" hidden="1" customHeight="1">
      <c r="A412" s="1448">
        <f>COUNTIF($C$12:C412,"x")</f>
        <v>13</v>
      </c>
      <c r="B412" s="1453" t="s">
        <v>635</v>
      </c>
      <c r="C412" s="60" t="str">
        <f t="shared" si="71"/>
        <v xml:space="preserve"> </v>
      </c>
      <c r="D412" s="1417">
        <v>0.2</v>
      </c>
      <c r="E412" s="984" t="str">
        <f>VLOOKUP($B412,DG!A:C,2,)</f>
        <v>02.1482</v>
      </c>
      <c r="F412" s="985" t="str">
        <f>VLOOKUP($B412,DG!A:C,3,)</f>
        <v>V/c dụng cụ thi công vào vị trí (cự ly &lt;=100m)</v>
      </c>
      <c r="G412" s="984" t="str">
        <f>VLOOKUP($B412,DG!A:D,4,0)</f>
        <v>tấn</v>
      </c>
      <c r="H412" s="1694">
        <f>$H$409*D412</f>
        <v>0</v>
      </c>
      <c r="I412" s="1694"/>
      <c r="J412" s="1694"/>
      <c r="K412" s="1694"/>
      <c r="L412" s="1694"/>
      <c r="M412" s="1694"/>
      <c r="N412" s="1694"/>
      <c r="O412" s="1694"/>
      <c r="P412" s="1694"/>
      <c r="Q412" s="991"/>
      <c r="R412" s="991"/>
      <c r="S412" s="991"/>
      <c r="T412" s="1862">
        <f t="shared" si="70"/>
        <v>0</v>
      </c>
    </row>
    <row r="413" spans="1:20" ht="22.2" hidden="1" customHeight="1">
      <c r="A413" s="1448">
        <f>COUNTIF($C$12:C413,"x")</f>
        <v>13</v>
      </c>
      <c r="B413" s="1452" t="s">
        <v>648</v>
      </c>
      <c r="C413" s="59" t="str">
        <f t="shared" si="71"/>
        <v xml:space="preserve"> </v>
      </c>
      <c r="D413" s="1412"/>
      <c r="E413" s="981"/>
      <c r="F413" s="1276" t="s">
        <v>2369</v>
      </c>
      <c r="G413" s="982" t="s">
        <v>2327</v>
      </c>
      <c r="H413" s="1691">
        <f>SUM(I413:O413)</f>
        <v>0</v>
      </c>
      <c r="I413" s="1692"/>
      <c r="J413" s="1692"/>
      <c r="K413" s="1692">
        <f>IFERROR(HLOOKUP(B413,pp3p1m!$1:$3,2,0),0)</f>
        <v>0</v>
      </c>
      <c r="L413" s="1692">
        <f>IFERROR(HLOOKUP(chitiet!B413,pp1p!$1:$3,3,0),0)</f>
        <v>0</v>
      </c>
      <c r="M413" s="1692"/>
      <c r="N413" s="1692"/>
      <c r="O413" s="1692"/>
      <c r="P413" s="2674">
        <f>T413</f>
        <v>0</v>
      </c>
      <c r="Q413" s="983">
        <f>IF(P413&gt;H413,P413-H413,0)</f>
        <v>0</v>
      </c>
      <c r="R413" s="983">
        <f>IF(H413&gt;P413,H413-P413,0)</f>
        <v>0</v>
      </c>
      <c r="S413" s="983"/>
      <c r="T413" s="1862">
        <f>IFERROR(HLOOKUP(B413,pp1p!$1:$3,3,0),0)+IFERROR(HLOOKUP(B413,pp3p1m!$1:$3,3,0),0)</f>
        <v>0</v>
      </c>
    </row>
    <row r="414" spans="1:20" ht="22.2" hidden="1" customHeight="1">
      <c r="A414" s="1448">
        <f>COUNTIF($C$12:C414,"x")</f>
        <v>13</v>
      </c>
      <c r="B414" s="1465" t="s">
        <v>636</v>
      </c>
      <c r="C414" s="60" t="str">
        <f t="shared" si="71"/>
        <v xml:space="preserve"> </v>
      </c>
      <c r="D414" s="1418">
        <v>1</v>
      </c>
      <c r="E414" s="980" t="str">
        <f>VLOOKUP($B414,DG!A:D,DG!$B$2,)</f>
        <v>04.4001</v>
      </c>
      <c r="F414" s="990" t="str">
        <f>VLOOKUP($B414,DG!A:D,DG!$C$2,)</f>
        <v>Đà cản BTCT 1,2m</v>
      </c>
      <c r="G414" s="984" t="str">
        <f>VLOOKUP($B414,DG!A:D,DG!$D$2,)</f>
        <v>cái</v>
      </c>
      <c r="H414" s="1694">
        <f t="shared" ref="H414:N415" si="74">H$413*$D414</f>
        <v>0</v>
      </c>
      <c r="I414" s="1694">
        <f t="shared" si="74"/>
        <v>0</v>
      </c>
      <c r="J414" s="1694">
        <f t="shared" si="74"/>
        <v>0</v>
      </c>
      <c r="K414" s="1694">
        <f t="shared" si="74"/>
        <v>0</v>
      </c>
      <c r="L414" s="1694">
        <f t="shared" si="74"/>
        <v>0</v>
      </c>
      <c r="M414" s="1694">
        <f t="shared" si="74"/>
        <v>0</v>
      </c>
      <c r="N414" s="1694">
        <f t="shared" si="74"/>
        <v>0</v>
      </c>
      <c r="O414" s="1694"/>
      <c r="P414" s="1694"/>
      <c r="Q414" s="988"/>
      <c r="R414" s="988"/>
      <c r="S414" s="988"/>
      <c r="T414" s="1862">
        <f t="shared" si="70"/>
        <v>0</v>
      </c>
    </row>
    <row r="415" spans="1:20" ht="22.2" hidden="1" customHeight="1">
      <c r="A415" s="1448">
        <f>COUNTIF($C$12:C415,"x")</f>
        <v>13</v>
      </c>
      <c r="B415" s="1465" t="s">
        <v>566</v>
      </c>
      <c r="C415" s="60" t="str">
        <f t="shared" si="71"/>
        <v xml:space="preserve"> </v>
      </c>
      <c r="D415" s="1418">
        <v>1</v>
      </c>
      <c r="E415" s="984"/>
      <c r="F415" s="990" t="str">
        <f>VLOOKUP($B415,DG!A:D,DG!$C$2,)</f>
        <v>Boulon 22x650+ 2 long đền vuông D24-50x50x3/Zn</v>
      </c>
      <c r="G415" s="984" t="str">
        <f>VLOOKUP($B415,DG!A:D,DG!$D$2,)</f>
        <v>bộ</v>
      </c>
      <c r="H415" s="1694">
        <f t="shared" si="74"/>
        <v>0</v>
      </c>
      <c r="I415" s="1694">
        <f t="shared" si="74"/>
        <v>0</v>
      </c>
      <c r="J415" s="1694">
        <f t="shared" si="74"/>
        <v>0</v>
      </c>
      <c r="K415" s="1694">
        <f t="shared" si="74"/>
        <v>0</v>
      </c>
      <c r="L415" s="1694">
        <f t="shared" si="74"/>
        <v>0</v>
      </c>
      <c r="M415" s="1694">
        <f t="shared" si="74"/>
        <v>0</v>
      </c>
      <c r="N415" s="1694">
        <f t="shared" si="74"/>
        <v>0</v>
      </c>
      <c r="O415" s="1694"/>
      <c r="P415" s="1694"/>
      <c r="Q415" s="988"/>
      <c r="R415" s="988"/>
      <c r="S415" s="988"/>
      <c r="T415" s="1862">
        <f t="shared" si="70"/>
        <v>0</v>
      </c>
    </row>
    <row r="416" spans="1:20" ht="22.2" hidden="1" customHeight="1">
      <c r="A416" s="1448">
        <f>COUNTIF($C$12:C416,"x")</f>
        <v>13</v>
      </c>
      <c r="B416" s="1465" t="s">
        <v>639</v>
      </c>
      <c r="C416" s="60" t="str">
        <f t="shared" si="71"/>
        <v xml:space="preserve"> </v>
      </c>
      <c r="D416" s="1417">
        <v>1.64</v>
      </c>
      <c r="E416" s="984" t="str">
        <f>VLOOKUP($B416,DG!A:D,DG!$B$2,)</f>
        <v>03.1013</v>
      </c>
      <c r="F416" s="985" t="str">
        <f>VLOOKUP($B416,DG!A:D,DG!$C$2,)</f>
        <v>Đào hố móng đất cấp 3 sâu &gt;1m</v>
      </c>
      <c r="G416" s="984" t="str">
        <f>VLOOKUP($B416,DG!A:D,DG!$D$2,)</f>
        <v>m3</v>
      </c>
      <c r="H416" s="1694"/>
      <c r="I416" s="1694"/>
      <c r="J416" s="1694"/>
      <c r="K416" s="1694"/>
      <c r="L416" s="1694"/>
      <c r="M416" s="1694"/>
      <c r="N416" s="1694"/>
      <c r="O416" s="1694"/>
      <c r="P416" s="1694"/>
      <c r="Q416" s="991"/>
      <c r="R416" s="991"/>
      <c r="S416" s="991"/>
      <c r="T416" s="1862">
        <f t="shared" si="70"/>
        <v>0</v>
      </c>
    </row>
    <row r="417" spans="1:21" ht="22.2" hidden="1" customHeight="1">
      <c r="A417" s="1448">
        <f>COUNTIF($C$12:C417,"x")</f>
        <v>13</v>
      </c>
      <c r="B417" s="1465" t="s">
        <v>21</v>
      </c>
      <c r="C417" s="60" t="str">
        <f t="shared" si="71"/>
        <v xml:space="preserve"> </v>
      </c>
      <c r="D417" s="1417">
        <v>1.42</v>
      </c>
      <c r="E417" s="984" t="str">
        <f>VLOOKUP($B417,DG!A:D,DG!$B$2,)</f>
        <v>03.4113</v>
      </c>
      <c r="F417" s="985" t="str">
        <f>VLOOKUP($B417,DG!A:D,DG!$C$2,)</f>
        <v>Đắp đất hố móng, độ chặt k=0,95</v>
      </c>
      <c r="G417" s="984" t="str">
        <f>VLOOKUP($B417,DG!A:D,DG!$D$2,)</f>
        <v>m3</v>
      </c>
      <c r="H417" s="1694"/>
      <c r="I417" s="1694"/>
      <c r="J417" s="1694"/>
      <c r="K417" s="1694"/>
      <c r="L417" s="1694"/>
      <c r="M417" s="1694"/>
      <c r="N417" s="1694"/>
      <c r="O417" s="1694"/>
      <c r="P417" s="1694"/>
      <c r="Q417" s="991"/>
      <c r="R417" s="991"/>
      <c r="S417" s="991"/>
      <c r="T417" s="1862">
        <f t="shared" si="70"/>
        <v>0</v>
      </c>
    </row>
    <row r="418" spans="1:21" ht="22.2" hidden="1" customHeight="1">
      <c r="A418" s="1448">
        <f>COUNTIF($C$12:C418,"x")</f>
        <v>13</v>
      </c>
      <c r="B418" s="1465" t="s">
        <v>637</v>
      </c>
      <c r="C418" s="60" t="str">
        <f t="shared" si="71"/>
        <v xml:space="preserve"> </v>
      </c>
      <c r="D418" s="1417"/>
      <c r="E418" s="984" t="str">
        <f>VLOOKUP($B418,DG!A:D,DG!$B$2,)</f>
        <v>02.1123</v>
      </c>
      <c r="F418" s="985" t="str">
        <f>VLOOKUP($B418,DG!A:D,DG!$C$2,)</f>
        <v>Bốc dỡ đà cản, đế néo</v>
      </c>
      <c r="G418" s="984" t="str">
        <f>VLOOKUP($B418,DG!A:D,DG!$D$2,)</f>
        <v>tấn</v>
      </c>
      <c r="H418" s="1694"/>
      <c r="I418" s="1694"/>
      <c r="J418" s="1694"/>
      <c r="K418" s="1694"/>
      <c r="L418" s="1694"/>
      <c r="M418" s="1694"/>
      <c r="N418" s="1694"/>
      <c r="O418" s="1694"/>
      <c r="P418" s="1694"/>
      <c r="Q418" s="988"/>
      <c r="R418" s="988"/>
      <c r="S418" s="988"/>
      <c r="T418" s="1862">
        <f t="shared" si="70"/>
        <v>0</v>
      </c>
    </row>
    <row r="419" spans="1:21" ht="22.2" hidden="1" customHeight="1">
      <c r="A419" s="1448">
        <f>COUNTIF($C$12:C419,"x")</f>
        <v>13</v>
      </c>
      <c r="B419" s="1453" t="s">
        <v>2063</v>
      </c>
      <c r="C419" s="60" t="str">
        <f t="shared" si="71"/>
        <v xml:space="preserve"> </v>
      </c>
      <c r="D419" s="1417"/>
      <c r="E419" s="984" t="str">
        <f>VLOOKUP($B419,DG!A:C,2,)</f>
        <v>02.1451</v>
      </c>
      <c r="F419" s="985" t="str">
        <f>VLOOKUP($B419,DG!A:C,3,)</f>
        <v>V/c đà cản vào vị trí (cự ly &lt;=100m)</v>
      </c>
      <c r="G419" s="984" t="str">
        <f>VLOOKUP($B419,DG!A:D,4,0)</f>
        <v>tấn</v>
      </c>
      <c r="H419" s="1694"/>
      <c r="I419" s="1694"/>
      <c r="J419" s="1694"/>
      <c r="K419" s="1694"/>
      <c r="L419" s="1694"/>
      <c r="M419" s="1694"/>
      <c r="N419" s="1694"/>
      <c r="O419" s="1694"/>
      <c r="P419" s="1694"/>
      <c r="Q419" s="991"/>
      <c r="R419" s="991"/>
      <c r="S419" s="991"/>
      <c r="T419" s="1862">
        <f t="shared" si="70"/>
        <v>0</v>
      </c>
    </row>
    <row r="420" spans="1:21" ht="22.2" hidden="1" customHeight="1">
      <c r="A420" s="1448">
        <f>COUNTIF($C$12:C420,"x")</f>
        <v>13</v>
      </c>
      <c r="B420" s="1453" t="s">
        <v>635</v>
      </c>
      <c r="C420" s="60" t="str">
        <f t="shared" si="71"/>
        <v xml:space="preserve"> </v>
      </c>
      <c r="D420" s="1417"/>
      <c r="E420" s="984" t="str">
        <f>VLOOKUP($B420,DG!A:C,2,)</f>
        <v>02.1482</v>
      </c>
      <c r="F420" s="985" t="str">
        <f>VLOOKUP($B420,DG!A:C,3,)</f>
        <v>V/c dụng cụ thi công vào vị trí (cự ly &lt;=100m)</v>
      </c>
      <c r="G420" s="984" t="str">
        <f>VLOOKUP($B420,DG!A:D,4,0)</f>
        <v>tấn</v>
      </c>
      <c r="H420" s="1694"/>
      <c r="I420" s="1694"/>
      <c r="J420" s="1694"/>
      <c r="K420" s="1694"/>
      <c r="L420" s="1694"/>
      <c r="M420" s="1694"/>
      <c r="N420" s="1694"/>
      <c r="O420" s="1694"/>
      <c r="P420" s="1694"/>
      <c r="Q420" s="991"/>
      <c r="R420" s="991"/>
      <c r="S420" s="991"/>
      <c r="T420" s="1862">
        <f t="shared" si="70"/>
        <v>0</v>
      </c>
    </row>
    <row r="421" spans="1:21" ht="22.2" hidden="1" customHeight="1">
      <c r="A421" s="1448">
        <f>COUNTIF($C$12:C421,"x")</f>
        <v>13</v>
      </c>
      <c r="B421" s="1452" t="s">
        <v>750</v>
      </c>
      <c r="C421" s="59" t="str">
        <f t="shared" si="71"/>
        <v xml:space="preserve"> </v>
      </c>
      <c r="D421" s="1412"/>
      <c r="E421" s="981"/>
      <c r="F421" s="1276" t="s">
        <v>2370</v>
      </c>
      <c r="G421" s="982" t="s">
        <v>2327</v>
      </c>
      <c r="H421" s="1691">
        <f>SUM(I421:O421)</f>
        <v>0</v>
      </c>
      <c r="I421" s="1692"/>
      <c r="J421" s="1692"/>
      <c r="K421" s="1692">
        <f>IFERROR(HLOOKUP(B421,pp3p1m!$1:$3,2,0),0)</f>
        <v>0</v>
      </c>
      <c r="L421" s="1692">
        <f>IFERROR(HLOOKUP(chitiet!B421,pp1p!$1:$3,3,0),0)</f>
        <v>0</v>
      </c>
      <c r="M421" s="1692"/>
      <c r="N421" s="1692"/>
      <c r="O421" s="1692"/>
      <c r="P421" s="2674">
        <f>T421</f>
        <v>0</v>
      </c>
      <c r="Q421" s="983">
        <f>IF(P421&gt;H421,P421-H421,0)</f>
        <v>0</v>
      </c>
      <c r="R421" s="983">
        <f>IF(H421&gt;P421,H421-P421,0)</f>
        <v>0</v>
      </c>
      <c r="S421" s="983"/>
      <c r="T421" s="1862">
        <f>IFERROR(HLOOKUP(B421,pp1p!$1:$3,3,0),0)+IFERROR(HLOOKUP(B421,pp3p1m!$1:$3,3,0),0)</f>
        <v>0</v>
      </c>
    </row>
    <row r="422" spans="1:21" ht="22.2" hidden="1" customHeight="1">
      <c r="A422" s="1448">
        <f>COUNTIF($C$12:C422,"x")</f>
        <v>13</v>
      </c>
      <c r="B422" s="1465" t="s">
        <v>1575</v>
      </c>
      <c r="C422" s="60" t="str">
        <f t="shared" si="71"/>
        <v xml:space="preserve"> </v>
      </c>
      <c r="D422" s="1418">
        <v>1</v>
      </c>
      <c r="E422" s="984" t="str">
        <f>VLOOKUP($B422,DG!A:D,DG!$B$2,)</f>
        <v>04.3801</v>
      </c>
      <c r="F422" s="990" t="str">
        <f>VLOOKUP($B422,DG!A:D,DG!$C$2,)</f>
        <v>Đà cản BTCT 1,5m</v>
      </c>
      <c r="G422" s="984" t="str">
        <f>VLOOKUP($B422,DG!A:D,DG!$D$2,)</f>
        <v>cái</v>
      </c>
      <c r="H422" s="1694">
        <f t="shared" ref="H422:N423" si="75">H$421*$D422</f>
        <v>0</v>
      </c>
      <c r="I422" s="1694">
        <f t="shared" si="75"/>
        <v>0</v>
      </c>
      <c r="J422" s="1694">
        <f t="shared" si="75"/>
        <v>0</v>
      </c>
      <c r="K422" s="1694">
        <f t="shared" si="75"/>
        <v>0</v>
      </c>
      <c r="L422" s="1694">
        <f t="shared" si="75"/>
        <v>0</v>
      </c>
      <c r="M422" s="1694">
        <f t="shared" si="75"/>
        <v>0</v>
      </c>
      <c r="N422" s="1694">
        <f t="shared" si="75"/>
        <v>0</v>
      </c>
      <c r="O422" s="1694"/>
      <c r="P422" s="1694"/>
      <c r="Q422" s="988"/>
      <c r="R422" s="988"/>
      <c r="S422" s="988"/>
      <c r="T422" s="1862">
        <f t="shared" si="70"/>
        <v>0</v>
      </c>
    </row>
    <row r="423" spans="1:21" ht="22.2" hidden="1" customHeight="1">
      <c r="A423" s="1448">
        <f>COUNTIF($C$12:C423,"x")</f>
        <v>13</v>
      </c>
      <c r="B423" s="1465" t="s">
        <v>566</v>
      </c>
      <c r="C423" s="60" t="str">
        <f t="shared" si="71"/>
        <v xml:space="preserve"> </v>
      </c>
      <c r="D423" s="1418">
        <v>1</v>
      </c>
      <c r="E423" s="984"/>
      <c r="F423" s="990" t="str">
        <f>VLOOKUP($B423,DG!A:D,DG!$C$2,)</f>
        <v>Boulon 22x650+ 2 long đền vuông D24-50x50x3/Zn</v>
      </c>
      <c r="G423" s="984" t="str">
        <f>VLOOKUP($B423,DG!A:D,DG!$D$2,)</f>
        <v>bộ</v>
      </c>
      <c r="H423" s="1694">
        <f t="shared" si="75"/>
        <v>0</v>
      </c>
      <c r="I423" s="1694">
        <f t="shared" si="75"/>
        <v>0</v>
      </c>
      <c r="J423" s="1694">
        <f t="shared" si="75"/>
        <v>0</v>
      </c>
      <c r="K423" s="1694">
        <f t="shared" si="75"/>
        <v>0</v>
      </c>
      <c r="L423" s="1694">
        <f t="shared" si="75"/>
        <v>0</v>
      </c>
      <c r="M423" s="1694">
        <f t="shared" si="75"/>
        <v>0</v>
      </c>
      <c r="N423" s="1694">
        <f t="shared" si="75"/>
        <v>0</v>
      </c>
      <c r="O423" s="1694"/>
      <c r="P423" s="1694"/>
      <c r="Q423" s="988"/>
      <c r="R423" s="988"/>
      <c r="S423" s="988"/>
      <c r="T423" s="1862">
        <f t="shared" si="70"/>
        <v>0</v>
      </c>
    </row>
    <row r="424" spans="1:21" ht="22.2" hidden="1" customHeight="1">
      <c r="A424" s="1448">
        <f>COUNTIF($C$12:C424,"x")</f>
        <v>13</v>
      </c>
      <c r="B424" s="1455" t="s">
        <v>1812</v>
      </c>
      <c r="C424" s="60" t="str">
        <f t="shared" si="71"/>
        <v xml:space="preserve"> </v>
      </c>
      <c r="D424" s="1413">
        <v>0.42099999999999999</v>
      </c>
      <c r="E424" s="980">
        <f>VLOOKUP($B424,DG!A:D,DG!$B$2,)</f>
        <v>0</v>
      </c>
      <c r="F424" s="985" t="str">
        <f>VLOOKUP($B424,DG!A:D,DG!$C$2,)</f>
        <v>Đá 2x4</v>
      </c>
      <c r="G424" s="980" t="str">
        <f>VLOOKUP($B424,DG!A:D,DG!$D$2,)</f>
        <v>m3</v>
      </c>
      <c r="H424" s="1693">
        <f t="shared" ref="H424:N424" si="76">H$18*$D424</f>
        <v>0</v>
      </c>
      <c r="I424" s="1693">
        <f t="shared" si="76"/>
        <v>0</v>
      </c>
      <c r="J424" s="1693">
        <f t="shared" si="76"/>
        <v>0</v>
      </c>
      <c r="K424" s="1693">
        <f t="shared" si="76"/>
        <v>0</v>
      </c>
      <c r="L424" s="1693">
        <f t="shared" si="76"/>
        <v>0</v>
      </c>
      <c r="M424" s="1693">
        <f t="shared" si="76"/>
        <v>0</v>
      </c>
      <c r="N424" s="1693">
        <f t="shared" si="76"/>
        <v>0</v>
      </c>
      <c r="O424" s="1693"/>
      <c r="P424" s="1693"/>
      <c r="Q424" s="989"/>
      <c r="R424" s="989"/>
      <c r="S424" s="989"/>
      <c r="T424" s="1862">
        <f t="shared" si="70"/>
        <v>0</v>
      </c>
    </row>
    <row r="425" spans="1:21" ht="22.2" hidden="1" customHeight="1">
      <c r="A425" s="1448">
        <f>COUNTIF($C$12:C425,"x")</f>
        <v>13</v>
      </c>
      <c r="B425" s="1465" t="s">
        <v>639</v>
      </c>
      <c r="C425" s="60" t="str">
        <f t="shared" si="71"/>
        <v xml:space="preserve"> </v>
      </c>
      <c r="D425" s="1417">
        <v>3.3</v>
      </c>
      <c r="E425" s="984" t="str">
        <f>VLOOKUP($B425,DG!A:D,DG!$B$2,)</f>
        <v>03.1013</v>
      </c>
      <c r="F425" s="985" t="str">
        <f>VLOOKUP($B425,DG!A:D,DG!$C$2,)</f>
        <v>Đào hố móng đất cấp 3 sâu &gt;1m</v>
      </c>
      <c r="G425" s="984" t="str">
        <f>VLOOKUP($B425,DG!A:D,DG!$D$2,)</f>
        <v>m3</v>
      </c>
      <c r="H425" s="1694"/>
      <c r="I425" s="1694"/>
      <c r="J425" s="1694"/>
      <c r="K425" s="1694"/>
      <c r="L425" s="1694"/>
      <c r="M425" s="1694"/>
      <c r="N425" s="1694"/>
      <c r="O425" s="1694"/>
      <c r="P425" s="1694"/>
      <c r="Q425" s="991"/>
      <c r="R425" s="991"/>
      <c r="S425" s="991"/>
      <c r="T425" s="1862">
        <f t="shared" si="70"/>
        <v>0</v>
      </c>
    </row>
    <row r="426" spans="1:21" ht="22.2" hidden="1" customHeight="1">
      <c r="A426" s="1448">
        <f>COUNTIF($C$12:C426,"x")</f>
        <v>13</v>
      </c>
      <c r="B426" s="1465" t="s">
        <v>21</v>
      </c>
      <c r="C426" s="60" t="str">
        <f t="shared" si="71"/>
        <v xml:space="preserve"> </v>
      </c>
      <c r="D426" s="1417">
        <v>3.49</v>
      </c>
      <c r="E426" s="984" t="str">
        <f>VLOOKUP($B426,DG!A:D,DG!$B$2,)</f>
        <v>03.4113</v>
      </c>
      <c r="F426" s="985" t="str">
        <f>VLOOKUP($B426,DG!A:D,DG!$C$2,)</f>
        <v>Đắp đất hố móng, độ chặt k=0,95</v>
      </c>
      <c r="G426" s="984" t="str">
        <f>VLOOKUP($B426,DG!A:D,DG!$D$2,)</f>
        <v>m3</v>
      </c>
      <c r="H426" s="1694"/>
      <c r="I426" s="1694"/>
      <c r="J426" s="1694"/>
      <c r="K426" s="1694"/>
      <c r="L426" s="1694"/>
      <c r="M426" s="1694"/>
      <c r="N426" s="1694"/>
      <c r="O426" s="1694"/>
      <c r="P426" s="1694"/>
      <c r="Q426" s="991"/>
      <c r="R426" s="991"/>
      <c r="S426" s="991"/>
      <c r="T426" s="1862">
        <f t="shared" si="70"/>
        <v>0</v>
      </c>
    </row>
    <row r="427" spans="1:21" ht="22.2" hidden="1" customHeight="1">
      <c r="A427" s="1448">
        <f>COUNTIF($C$12:C427,"x")</f>
        <v>13</v>
      </c>
      <c r="B427" s="1465" t="s">
        <v>637</v>
      </c>
      <c r="C427" s="60" t="str">
        <f t="shared" si="71"/>
        <v xml:space="preserve"> </v>
      </c>
      <c r="D427" s="1417">
        <v>0.255</v>
      </c>
      <c r="E427" s="984" t="str">
        <f>VLOOKUP($B427,DG!A:D,DG!$B$2,)</f>
        <v>02.1123</v>
      </c>
      <c r="F427" s="985" t="str">
        <f>VLOOKUP($B427,DG!A:D,DG!$C$2,)</f>
        <v>Bốc dỡ đà cản, đế néo</v>
      </c>
      <c r="G427" s="984" t="str">
        <f>VLOOKUP($B427,DG!A:D,DG!$D$2,)</f>
        <v>tấn</v>
      </c>
      <c r="H427" s="1694"/>
      <c r="I427" s="1694"/>
      <c r="J427" s="1694"/>
      <c r="K427" s="1694"/>
      <c r="L427" s="1694"/>
      <c r="M427" s="1694"/>
      <c r="N427" s="1694"/>
      <c r="O427" s="1694"/>
      <c r="P427" s="1694"/>
      <c r="Q427" s="988"/>
      <c r="R427" s="988"/>
      <c r="S427" s="988"/>
      <c r="T427" s="1862">
        <f t="shared" si="70"/>
        <v>0</v>
      </c>
    </row>
    <row r="428" spans="1:21" ht="22.2" hidden="1" customHeight="1">
      <c r="A428" s="1448">
        <f>COUNTIF($C$12:C428,"x")</f>
        <v>13</v>
      </c>
      <c r="B428" s="1453" t="s">
        <v>2063</v>
      </c>
      <c r="C428" s="60" t="str">
        <f t="shared" si="71"/>
        <v xml:space="preserve"> </v>
      </c>
      <c r="D428" s="1417">
        <f>+D427</f>
        <v>0.255</v>
      </c>
      <c r="E428" s="984" t="str">
        <f>VLOOKUP($B428,DG!A:C,2,)</f>
        <v>02.1451</v>
      </c>
      <c r="F428" s="985" t="str">
        <f>VLOOKUP($B428,DG!A:C,3,)</f>
        <v>V/c đà cản vào vị trí (cự ly &lt;=100m)</v>
      </c>
      <c r="G428" s="984" t="str">
        <f>VLOOKUP($B428,DG!A:D,4,0)</f>
        <v>tấn</v>
      </c>
      <c r="H428" s="1694"/>
      <c r="I428" s="1694"/>
      <c r="J428" s="1694"/>
      <c r="K428" s="1694"/>
      <c r="L428" s="1694"/>
      <c r="M428" s="1694"/>
      <c r="N428" s="1694"/>
      <c r="O428" s="1694"/>
      <c r="P428" s="1694"/>
      <c r="Q428" s="991"/>
      <c r="R428" s="991"/>
      <c r="S428" s="991"/>
      <c r="T428" s="1862">
        <f t="shared" si="70"/>
        <v>0</v>
      </c>
    </row>
    <row r="429" spans="1:21" ht="22.2" hidden="1" customHeight="1">
      <c r="A429" s="1448">
        <f>COUNTIF($C$12:C429,"x")</f>
        <v>13</v>
      </c>
      <c r="B429" s="1464" t="s">
        <v>674</v>
      </c>
      <c r="C429" s="60" t="str">
        <f t="shared" si="71"/>
        <v xml:space="preserve"> </v>
      </c>
      <c r="D429" s="1413">
        <f>D424</f>
        <v>0.42099999999999999</v>
      </c>
      <c r="E429" s="980" t="str">
        <f>VLOOKUP($B429,DG!A:C,2,)</f>
        <v>02.1241</v>
      </c>
      <c r="F429" s="985" t="str">
        <f>VLOOKUP($B429,DG!A:C,3,)</f>
        <v>V/c đá dăm ( cự ly &lt;=100m)</v>
      </c>
      <c r="G429" s="980" t="str">
        <f>VLOOKUP($B429,DG!A:D,4,0)</f>
        <v>m3</v>
      </c>
      <c r="H429" s="1693"/>
      <c r="I429" s="1693"/>
      <c r="J429" s="1693"/>
      <c r="K429" s="1693"/>
      <c r="L429" s="1693"/>
      <c r="M429" s="1693"/>
      <c r="N429" s="1693"/>
      <c r="O429" s="1693"/>
      <c r="P429" s="1693"/>
      <c r="Q429" s="994"/>
      <c r="R429" s="994"/>
      <c r="S429" s="994"/>
      <c r="T429" s="1862">
        <f t="shared" si="70"/>
        <v>0</v>
      </c>
    </row>
    <row r="430" spans="1:21" ht="22.2" hidden="1" customHeight="1">
      <c r="A430" s="1448">
        <f>COUNTIF($C$12:C430,"x")</f>
        <v>13</v>
      </c>
      <c r="B430" s="1453" t="s">
        <v>635</v>
      </c>
      <c r="C430" s="60" t="str">
        <f t="shared" si="71"/>
        <v xml:space="preserve"> </v>
      </c>
      <c r="D430" s="1417">
        <v>0.2</v>
      </c>
      <c r="E430" s="984" t="str">
        <f>VLOOKUP($B430,DG!A:C,2,)</f>
        <v>02.1482</v>
      </c>
      <c r="F430" s="985" t="str">
        <f>VLOOKUP($B430,DG!A:C,3,)</f>
        <v>V/c dụng cụ thi công vào vị trí (cự ly &lt;=100m)</v>
      </c>
      <c r="G430" s="984" t="str">
        <f>VLOOKUP($B430,DG!A:D,4,0)</f>
        <v>tấn</v>
      </c>
      <c r="H430" s="1694"/>
      <c r="I430" s="1694"/>
      <c r="J430" s="1694"/>
      <c r="K430" s="1694"/>
      <c r="L430" s="1694"/>
      <c r="M430" s="1694"/>
      <c r="N430" s="1694"/>
      <c r="O430" s="1694"/>
      <c r="P430" s="1694"/>
      <c r="Q430" s="991"/>
      <c r="R430" s="991"/>
      <c r="S430" s="991"/>
      <c r="T430" s="1862">
        <f t="shared" si="70"/>
        <v>0</v>
      </c>
    </row>
    <row r="431" spans="1:21" ht="22.2" customHeight="1">
      <c r="A431" s="1448">
        <f>COUNTIF($C$12:C431,"x")</f>
        <v>14</v>
      </c>
      <c r="B431" s="1452" t="s">
        <v>2307</v>
      </c>
      <c r="C431" s="59" t="str">
        <f t="shared" si="71"/>
        <v>x</v>
      </c>
      <c r="D431" s="1412"/>
      <c r="E431" s="981"/>
      <c r="F431" s="1276" t="s">
        <v>2371</v>
      </c>
      <c r="G431" s="982" t="s">
        <v>2327</v>
      </c>
      <c r="H431" s="1691">
        <f>SUM(I431:O431)</f>
        <v>1</v>
      </c>
      <c r="I431" s="1692"/>
      <c r="J431" s="1692"/>
      <c r="K431" s="1692">
        <f>IFERROR(HLOOKUP(B431,pp3p1m!$1:$3,2,0),0)</f>
        <v>1</v>
      </c>
      <c r="L431" s="1692">
        <f>IFERROR(HLOOKUP(chitiet!B431,pp1p!$1:$3,3,0),0)</f>
        <v>0</v>
      </c>
      <c r="M431" s="1692"/>
      <c r="N431" s="1692"/>
      <c r="O431" s="1692"/>
      <c r="P431" s="1691">
        <f>T431</f>
        <v>1</v>
      </c>
      <c r="Q431" s="983">
        <f>IF(P431&gt;H431,P431-H431,0)</f>
        <v>0</v>
      </c>
      <c r="R431" s="983">
        <f>IF(H431&gt;P431,H431-P431,0)</f>
        <v>0</v>
      </c>
      <c r="S431" s="983"/>
      <c r="T431" s="1862">
        <f>IFERROR(HLOOKUP(B431,pp1p!$1:$3,3,0),0)+IFERROR(HLOOKUP(B431,pp3p1m!$1:$3,3,0),0)</f>
        <v>1</v>
      </c>
    </row>
    <row r="432" spans="1:21" ht="22.2" customHeight="1">
      <c r="A432" s="1448">
        <f>COUNTIF($C$12:C432,"x")</f>
        <v>15</v>
      </c>
      <c r="B432" s="1453" t="s">
        <v>751</v>
      </c>
      <c r="C432" s="60" t="str">
        <f t="shared" si="71"/>
        <v>x</v>
      </c>
      <c r="D432" s="1419">
        <v>268.94</v>
      </c>
      <c r="E432" s="984">
        <f>VLOOKUP($B432,DG!A:D,DG!$B$2,)</f>
        <v>0</v>
      </c>
      <c r="F432" s="985" t="str">
        <f>VLOOKUP($B432,DG!A:D,DG!$C$2,)</f>
        <v>Ximăng (PC40)</v>
      </c>
      <c r="G432" s="984" t="str">
        <f>VLOOKUP($B432,DG!A:D,DG!$D$2,)</f>
        <v>kg</v>
      </c>
      <c r="H432" s="1694">
        <f>H$431*$D432</f>
        <v>268.94</v>
      </c>
      <c r="I432" s="1694">
        <f t="shared" ref="I432:R434" si="77">I$431*$D432</f>
        <v>0</v>
      </c>
      <c r="J432" s="1694">
        <f t="shared" si="77"/>
        <v>0</v>
      </c>
      <c r="K432" s="1694">
        <f t="shared" si="77"/>
        <v>268.94</v>
      </c>
      <c r="L432" s="1694">
        <f t="shared" si="77"/>
        <v>0</v>
      </c>
      <c r="M432" s="1694">
        <f t="shared" si="77"/>
        <v>0</v>
      </c>
      <c r="N432" s="1694">
        <f t="shared" si="77"/>
        <v>0</v>
      </c>
      <c r="O432" s="1694">
        <f t="shared" si="77"/>
        <v>0</v>
      </c>
      <c r="P432" s="1694">
        <f t="shared" si="77"/>
        <v>268.94</v>
      </c>
      <c r="Q432" s="1694">
        <f t="shared" si="77"/>
        <v>0</v>
      </c>
      <c r="R432" s="1694">
        <f t="shared" si="77"/>
        <v>0</v>
      </c>
      <c r="S432" s="988"/>
      <c r="T432" s="1862">
        <f t="shared" si="70"/>
        <v>0</v>
      </c>
      <c r="U432" s="1419">
        <v>336</v>
      </c>
    </row>
    <row r="433" spans="1:21" ht="22.2" customHeight="1">
      <c r="A433" s="1448">
        <f>COUNTIF($C$12:C433,"x")</f>
        <v>16</v>
      </c>
      <c r="B433" s="1454" t="s">
        <v>4414</v>
      </c>
      <c r="C433" s="60" t="str">
        <f t="shared" si="71"/>
        <v>x</v>
      </c>
      <c r="D433" s="1416">
        <v>0.63100000000000001</v>
      </c>
      <c r="E433" s="984">
        <f>VLOOKUP($B433,DG!A:D,DG!$B$2,)</f>
        <v>0</v>
      </c>
      <c r="F433" s="985" t="str">
        <f>VLOOKUP($B433,DG!A:D,DG!$C$2,)</f>
        <v>Cát vàng</v>
      </c>
      <c r="G433" s="984" t="str">
        <f>VLOOKUP($B433,DG!A:D,DG!$D$2,)</f>
        <v>m3</v>
      </c>
      <c r="H433" s="1694">
        <f t="shared" ref="H433:H434" si="78">H$431*$D433</f>
        <v>0.63100000000000001</v>
      </c>
      <c r="I433" s="1694">
        <f t="shared" ref="I433:O436" si="79">I$431*$D433</f>
        <v>0</v>
      </c>
      <c r="J433" s="1694">
        <f t="shared" si="79"/>
        <v>0</v>
      </c>
      <c r="K433" s="1694">
        <f t="shared" si="79"/>
        <v>0.63100000000000001</v>
      </c>
      <c r="L433" s="1694">
        <f t="shared" si="79"/>
        <v>0</v>
      </c>
      <c r="M433" s="1694">
        <f t="shared" si="79"/>
        <v>0</v>
      </c>
      <c r="N433" s="1694">
        <f t="shared" si="79"/>
        <v>0</v>
      </c>
      <c r="O433" s="1694">
        <f t="shared" si="79"/>
        <v>0</v>
      </c>
      <c r="P433" s="1694">
        <f t="shared" si="77"/>
        <v>0.63100000000000001</v>
      </c>
      <c r="Q433" s="1694">
        <f t="shared" si="77"/>
        <v>0</v>
      </c>
      <c r="R433" s="1694">
        <f t="shared" si="77"/>
        <v>0</v>
      </c>
      <c r="S433" s="986"/>
      <c r="T433" s="1862">
        <f t="shared" si="70"/>
        <v>0</v>
      </c>
      <c r="U433" s="1416">
        <v>0.53900000000000003</v>
      </c>
    </row>
    <row r="434" spans="1:21" ht="22.2" customHeight="1">
      <c r="A434" s="1448">
        <f>COUNTIF($C$12:C434,"x")</f>
        <v>17</v>
      </c>
      <c r="B434" s="1453" t="s">
        <v>867</v>
      </c>
      <c r="C434" s="60" t="str">
        <f t="shared" si="71"/>
        <v>x</v>
      </c>
      <c r="D434" s="1416">
        <v>1.04</v>
      </c>
      <c r="E434" s="984">
        <f>VLOOKUP($B434,DG!A:D,DG!$B$2,)</f>
        <v>0</v>
      </c>
      <c r="F434" s="985" t="str">
        <f>VLOOKUP($B434,DG!A:D,DG!$C$2,)</f>
        <v>Đá 1x2</v>
      </c>
      <c r="G434" s="984" t="str">
        <f>VLOOKUP($B434,DG!A:D,DG!$D$2,)</f>
        <v>m3</v>
      </c>
      <c r="H434" s="1694">
        <f t="shared" si="78"/>
        <v>1.04</v>
      </c>
      <c r="I434" s="1694">
        <f t="shared" si="79"/>
        <v>0</v>
      </c>
      <c r="J434" s="1694">
        <f t="shared" si="79"/>
        <v>0</v>
      </c>
      <c r="K434" s="1694">
        <f t="shared" si="79"/>
        <v>1.04</v>
      </c>
      <c r="L434" s="1694">
        <f t="shared" si="79"/>
        <v>0</v>
      </c>
      <c r="M434" s="1694">
        <f t="shared" si="79"/>
        <v>0</v>
      </c>
      <c r="N434" s="1694">
        <f t="shared" si="79"/>
        <v>0</v>
      </c>
      <c r="O434" s="1694">
        <f t="shared" si="79"/>
        <v>0</v>
      </c>
      <c r="P434" s="1694">
        <f t="shared" si="77"/>
        <v>1.04</v>
      </c>
      <c r="Q434" s="1694">
        <f t="shared" si="77"/>
        <v>0</v>
      </c>
      <c r="R434" s="1694">
        <f t="shared" si="77"/>
        <v>0</v>
      </c>
      <c r="S434" s="986"/>
      <c r="T434" s="1862">
        <f t="shared" si="70"/>
        <v>0</v>
      </c>
      <c r="U434" s="1416">
        <v>0.999</v>
      </c>
    </row>
    <row r="435" spans="1:21" ht="22.2" hidden="1" customHeight="1">
      <c r="A435" s="1448">
        <f>COUNTIF($C$12:C435,"x")</f>
        <v>17</v>
      </c>
      <c r="B435" s="1453" t="s">
        <v>995</v>
      </c>
      <c r="C435" s="60" t="str">
        <f t="shared" si="71"/>
        <v xml:space="preserve"> </v>
      </c>
      <c r="D435" s="1416">
        <v>31.1</v>
      </c>
      <c r="E435" s="984">
        <f>VLOOKUP($B435,DG!A:D,DG!$B$2,)</f>
        <v>0</v>
      </c>
      <c r="F435" s="990" t="str">
        <f>VLOOKUP($B435,DG!A:D,DG!$C$2,)</f>
        <v>Sắt Ø10</v>
      </c>
      <c r="G435" s="984" t="str">
        <f>VLOOKUP($B435,DG!A:D,DG!$D$2,)</f>
        <v>kg</v>
      </c>
      <c r="H435" s="1694"/>
      <c r="I435" s="1694">
        <f t="shared" si="79"/>
        <v>0</v>
      </c>
      <c r="J435" s="1694">
        <f t="shared" si="79"/>
        <v>0</v>
      </c>
      <c r="K435" s="1694">
        <f t="shared" si="79"/>
        <v>31.1</v>
      </c>
      <c r="L435" s="1694">
        <f t="shared" si="79"/>
        <v>0</v>
      </c>
      <c r="M435" s="1694">
        <f t="shared" si="79"/>
        <v>0</v>
      </c>
      <c r="N435" s="1694">
        <f t="shared" si="79"/>
        <v>0</v>
      </c>
      <c r="O435" s="1694">
        <f t="shared" si="79"/>
        <v>0</v>
      </c>
      <c r="P435" s="1694"/>
      <c r="Q435" s="986"/>
      <c r="R435" s="986"/>
      <c r="S435" s="986"/>
      <c r="T435" s="1862">
        <f t="shared" si="70"/>
        <v>0</v>
      </c>
      <c r="U435" s="1416">
        <v>31.1</v>
      </c>
    </row>
    <row r="436" spans="1:21" ht="22.2" hidden="1" customHeight="1">
      <c r="A436" s="1448">
        <f>COUNTIF($C$12:C436,"x")</f>
        <v>17</v>
      </c>
      <c r="B436" s="1453" t="s">
        <v>996</v>
      </c>
      <c r="C436" s="60" t="str">
        <f t="shared" si="71"/>
        <v xml:space="preserve"> </v>
      </c>
      <c r="D436" s="1416">
        <v>0.67</v>
      </c>
      <c r="E436" s="984">
        <f>VLOOKUP($B436,DG!A:D,DG!$B$2,)</f>
        <v>0</v>
      </c>
      <c r="F436" s="990" t="str">
        <f>VLOOKUP($B436,DG!A:D,DG!$C$2,)</f>
        <v>Kẽm</v>
      </c>
      <c r="G436" s="984" t="str">
        <f>VLOOKUP($B436,DG!A:D,DG!$D$2,)</f>
        <v>kg</v>
      </c>
      <c r="H436" s="1694"/>
      <c r="I436" s="1694">
        <f t="shared" si="79"/>
        <v>0</v>
      </c>
      <c r="J436" s="1694">
        <f t="shared" si="79"/>
        <v>0</v>
      </c>
      <c r="K436" s="1694">
        <f t="shared" si="79"/>
        <v>0.67</v>
      </c>
      <c r="L436" s="1694">
        <f t="shared" si="79"/>
        <v>0</v>
      </c>
      <c r="M436" s="1694">
        <f t="shared" si="79"/>
        <v>0</v>
      </c>
      <c r="N436" s="1694">
        <f t="shared" si="79"/>
        <v>0</v>
      </c>
      <c r="O436" s="1694">
        <f t="shared" si="79"/>
        <v>0</v>
      </c>
      <c r="P436" s="1694"/>
      <c r="Q436" s="986"/>
      <c r="R436" s="986"/>
      <c r="S436" s="986"/>
      <c r="T436" s="1862">
        <f t="shared" si="70"/>
        <v>0</v>
      </c>
      <c r="U436" s="1416">
        <v>0.67</v>
      </c>
    </row>
    <row r="437" spans="1:21" ht="22.2" hidden="1" customHeight="1">
      <c r="A437" s="1448">
        <f>COUNTIF($C$12:C437,"x")</f>
        <v>17</v>
      </c>
      <c r="B437" s="1453" t="s">
        <v>639</v>
      </c>
      <c r="C437" s="60" t="str">
        <f t="shared" si="71"/>
        <v xml:space="preserve"> </v>
      </c>
      <c r="D437" s="1416">
        <v>1.36</v>
      </c>
      <c r="E437" s="984" t="str">
        <f>VLOOKUP($B437,DG!A:D,DG!$B$2,)</f>
        <v>03.1013</v>
      </c>
      <c r="F437" s="985" t="str">
        <f>VLOOKUP($B437,DG!A:D,DG!$C$2,)</f>
        <v>Đào hố móng đất cấp 3 sâu &gt;1m</v>
      </c>
      <c r="G437" s="984" t="str">
        <f>VLOOKUP($B437,DG!A:D,DG!$D$2,)</f>
        <v>m3</v>
      </c>
      <c r="H437" s="1694"/>
      <c r="I437" s="1694"/>
      <c r="J437" s="1694"/>
      <c r="K437" s="1694"/>
      <c r="L437" s="1694"/>
      <c r="M437" s="1694"/>
      <c r="N437" s="1694"/>
      <c r="O437" s="1694"/>
      <c r="P437" s="1694"/>
      <c r="Q437" s="991"/>
      <c r="R437" s="991"/>
      <c r="S437" s="991"/>
      <c r="T437" s="1862">
        <f t="shared" si="70"/>
        <v>0</v>
      </c>
      <c r="U437" s="1416">
        <v>1.36</v>
      </c>
    </row>
    <row r="438" spans="1:21" ht="22.2" hidden="1" customHeight="1">
      <c r="A438" s="1448">
        <f>COUNTIF($C$12:C438,"x")</f>
        <v>17</v>
      </c>
      <c r="B438" s="1453" t="s">
        <v>21</v>
      </c>
      <c r="C438" s="60" t="str">
        <f t="shared" si="71"/>
        <v xml:space="preserve"> </v>
      </c>
      <c r="D438" s="1416">
        <v>0</v>
      </c>
      <c r="E438" s="984" t="str">
        <f>VLOOKUP($B438,DG!A:D,DG!$B$2,)</f>
        <v>03.4113</v>
      </c>
      <c r="F438" s="985" t="str">
        <f>VLOOKUP($B438,DG!A:D,DG!$C$2,)</f>
        <v>Đắp đất hố móng, độ chặt k=0,95</v>
      </c>
      <c r="G438" s="984" t="str">
        <f>VLOOKUP($B438,DG!A:D,DG!$D$2,)</f>
        <v>m3</v>
      </c>
      <c r="H438" s="1694">
        <f t="shared" ref="H438:H445" si="80">$H$431*$D438</f>
        <v>0</v>
      </c>
      <c r="I438" s="1694"/>
      <c r="J438" s="1694"/>
      <c r="K438" s="1694"/>
      <c r="L438" s="1694"/>
      <c r="M438" s="1694"/>
      <c r="N438" s="1694"/>
      <c r="O438" s="1694"/>
      <c r="P438" s="1694"/>
      <c r="Q438" s="991"/>
      <c r="R438" s="991"/>
      <c r="S438" s="991"/>
      <c r="T438" s="1862">
        <f t="shared" si="70"/>
        <v>0</v>
      </c>
      <c r="U438" s="1416">
        <v>0</v>
      </c>
    </row>
    <row r="439" spans="1:21" ht="22.2" hidden="1" customHeight="1">
      <c r="A439" s="1448">
        <f>COUNTIF($C$12:C439,"x")</f>
        <v>17</v>
      </c>
      <c r="B439" s="1453" t="s">
        <v>1293</v>
      </c>
      <c r="C439" s="60" t="str">
        <f t="shared" si="71"/>
        <v xml:space="preserve"> </v>
      </c>
      <c r="D439" s="1416"/>
      <c r="E439" s="984" t="str">
        <f>VLOOKUP($B439,DG!A:D,DG!$B$2,)</f>
        <v>02.1101</v>
      </c>
      <c r="F439" s="985" t="str">
        <f>VLOOKUP($B439,DG!A:D,DG!$C$2,)</f>
        <v>Bốc dỡ xi măng</v>
      </c>
      <c r="G439" s="984" t="str">
        <f>VLOOKUP($B439,DG!A:D,DG!$D$2,)</f>
        <v>tấn</v>
      </c>
      <c r="H439" s="1694">
        <f t="shared" si="80"/>
        <v>0</v>
      </c>
      <c r="I439" s="1694"/>
      <c r="J439" s="1694"/>
      <c r="K439" s="1694"/>
      <c r="L439" s="1694"/>
      <c r="M439" s="1694"/>
      <c r="N439" s="1694"/>
      <c r="O439" s="1694"/>
      <c r="P439" s="1694"/>
      <c r="Q439" s="991"/>
      <c r="R439" s="991"/>
      <c r="S439" s="991"/>
      <c r="T439" s="1862">
        <f t="shared" si="70"/>
        <v>0</v>
      </c>
      <c r="U439" s="1416"/>
    </row>
    <row r="440" spans="1:21" ht="22.2" hidden="1" customHeight="1">
      <c r="A440" s="1448">
        <f>COUNTIF($C$12:C440,"x")</f>
        <v>17</v>
      </c>
      <c r="B440" s="1453" t="s">
        <v>133</v>
      </c>
      <c r="C440" s="60" t="str">
        <f t="shared" si="71"/>
        <v xml:space="preserve"> </v>
      </c>
      <c r="D440" s="1416"/>
      <c r="E440" s="984" t="str">
        <f>VLOOKUP($B440,DG!A:D,DG!$B$2,)</f>
        <v>02.1103</v>
      </c>
      <c r="F440" s="985" t="str">
        <f>VLOOKUP($B440,DG!A:D,DG!$C$2,)</f>
        <v>Bốc dỡ cát</v>
      </c>
      <c r="G440" s="984" t="str">
        <f>VLOOKUP($B440,DG!A:D,DG!$D$2,)</f>
        <v>m3</v>
      </c>
      <c r="H440" s="1694">
        <f t="shared" si="80"/>
        <v>0</v>
      </c>
      <c r="I440" s="1694"/>
      <c r="J440" s="1694"/>
      <c r="K440" s="1694"/>
      <c r="L440" s="1694"/>
      <c r="M440" s="1694"/>
      <c r="N440" s="1694"/>
      <c r="O440" s="1694"/>
      <c r="P440" s="1694"/>
      <c r="Q440" s="991"/>
      <c r="R440" s="991"/>
      <c r="S440" s="991"/>
      <c r="T440" s="1862">
        <f t="shared" si="70"/>
        <v>0</v>
      </c>
      <c r="U440" s="1416"/>
    </row>
    <row r="441" spans="1:21" ht="22.2" hidden="1" customHeight="1">
      <c r="A441" s="1448">
        <f>COUNTIF($C$12:C441,"x")</f>
        <v>17</v>
      </c>
      <c r="B441" s="1453" t="s">
        <v>135</v>
      </c>
      <c r="C441" s="60" t="str">
        <f t="shared" si="71"/>
        <v xml:space="preserve"> </v>
      </c>
      <c r="D441" s="1416"/>
      <c r="E441" s="984" t="str">
        <f>VLOOKUP($B441,DG!A:D,DG!$B$2,)</f>
        <v>02.1104</v>
      </c>
      <c r="F441" s="985" t="str">
        <f>VLOOKUP($B441,DG!A:D,DG!$C$2,)</f>
        <v>Bốc dỡ đá dăm</v>
      </c>
      <c r="G441" s="984" t="str">
        <f>VLOOKUP($B441,DG!A:D,DG!$D$2,)</f>
        <v>m3</v>
      </c>
      <c r="H441" s="1694">
        <f t="shared" si="80"/>
        <v>0</v>
      </c>
      <c r="I441" s="1694"/>
      <c r="J441" s="1694"/>
      <c r="K441" s="1694"/>
      <c r="L441" s="1694"/>
      <c r="M441" s="1694"/>
      <c r="N441" s="1694"/>
      <c r="O441" s="1694"/>
      <c r="P441" s="1694"/>
      <c r="Q441" s="991"/>
      <c r="R441" s="991"/>
      <c r="S441" s="991"/>
      <c r="T441" s="1862">
        <f t="shared" si="70"/>
        <v>0</v>
      </c>
      <c r="U441" s="1416"/>
    </row>
    <row r="442" spans="1:21" ht="22.2" hidden="1" customHeight="1">
      <c r="A442" s="1448">
        <f>COUNTIF($C$12:C442,"x")</f>
        <v>17</v>
      </c>
      <c r="B442" s="1453" t="s">
        <v>495</v>
      </c>
      <c r="C442" s="60" t="str">
        <f t="shared" si="71"/>
        <v xml:space="preserve"> </v>
      </c>
      <c r="D442" s="1416"/>
      <c r="E442" s="984" t="str">
        <f>VLOOKUP($B442,DG!A:D,DG!$B$2,)</f>
        <v>02.1211</v>
      </c>
      <c r="F442" s="985" t="str">
        <f>VLOOKUP($B442,DG!A:D,DG!$C$2,)</f>
        <v>V/c xi măng ( cự ly &lt;=100m)</v>
      </c>
      <c r="G442" s="984" t="str">
        <f>VLOOKUP($B442,DG!A:D,DG!$D$2,)</f>
        <v>tấn</v>
      </c>
      <c r="H442" s="1694">
        <f t="shared" si="80"/>
        <v>0</v>
      </c>
      <c r="I442" s="1694"/>
      <c r="J442" s="1694"/>
      <c r="K442" s="1694"/>
      <c r="L442" s="1694"/>
      <c r="M442" s="1694"/>
      <c r="N442" s="1694"/>
      <c r="O442" s="1694"/>
      <c r="P442" s="1694"/>
      <c r="Q442" s="991"/>
      <c r="R442" s="991"/>
      <c r="S442" s="991"/>
      <c r="T442" s="1862">
        <f t="shared" si="70"/>
        <v>0</v>
      </c>
      <c r="U442" s="1416"/>
    </row>
    <row r="443" spans="1:21" ht="22.2" hidden="1" customHeight="1">
      <c r="A443" s="1448">
        <f>COUNTIF($C$12:C443,"x")</f>
        <v>17</v>
      </c>
      <c r="B443" s="1453" t="s">
        <v>1611</v>
      </c>
      <c r="C443" s="60" t="str">
        <f t="shared" si="71"/>
        <v xml:space="preserve"> </v>
      </c>
      <c r="D443" s="1416"/>
      <c r="E443" s="984" t="str">
        <f>VLOOKUP($B443,DG!A:D,DG!$B$2,)</f>
        <v>02.1231</v>
      </c>
      <c r="F443" s="985" t="str">
        <f>VLOOKUP($B443,DG!A:D,DG!$C$2,)</f>
        <v>V/c cát vàng cự ly &lt;=100m</v>
      </c>
      <c r="G443" s="984" t="str">
        <f>VLOOKUP($B443,DG!A:D,DG!$D$2,)</f>
        <v>m3</v>
      </c>
      <c r="H443" s="1694">
        <f t="shared" si="80"/>
        <v>0</v>
      </c>
      <c r="I443" s="1694"/>
      <c r="J443" s="1694"/>
      <c r="K443" s="1694"/>
      <c r="L443" s="1694"/>
      <c r="M443" s="1694"/>
      <c r="N443" s="1694"/>
      <c r="O443" s="1694"/>
      <c r="P443" s="1694"/>
      <c r="Q443" s="991"/>
      <c r="R443" s="991"/>
      <c r="S443" s="991"/>
      <c r="T443" s="1862">
        <f t="shared" si="70"/>
        <v>0</v>
      </c>
      <c r="U443" s="1416"/>
    </row>
    <row r="444" spans="1:21" ht="22.2" hidden="1" customHeight="1">
      <c r="A444" s="1448">
        <f>COUNTIF($C$12:C444,"x")</f>
        <v>17</v>
      </c>
      <c r="B444" s="1453" t="s">
        <v>521</v>
      </c>
      <c r="C444" s="60" t="str">
        <f t="shared" si="71"/>
        <v xml:space="preserve"> </v>
      </c>
      <c r="D444" s="1416"/>
      <c r="E444" s="984" t="str">
        <f>VLOOKUP($B444,DG!A:D,DG!$B$2,)</f>
        <v>02.1241</v>
      </c>
      <c r="F444" s="985" t="str">
        <f>VLOOKUP($B444,DG!A:D,DG!$C$2,)</f>
        <v>V/c đá dăm ( cự ly &lt;=100m)</v>
      </c>
      <c r="G444" s="984" t="str">
        <f>VLOOKUP($B444,DG!A:D,DG!$D$2,)</f>
        <v>m3</v>
      </c>
      <c r="H444" s="1694">
        <f t="shared" si="80"/>
        <v>0</v>
      </c>
      <c r="I444" s="1694"/>
      <c r="J444" s="1694"/>
      <c r="K444" s="1694"/>
      <c r="L444" s="1694"/>
      <c r="M444" s="1694"/>
      <c r="N444" s="1694"/>
      <c r="O444" s="1694"/>
      <c r="P444" s="1694"/>
      <c r="Q444" s="991"/>
      <c r="R444" s="991"/>
      <c r="S444" s="991"/>
      <c r="T444" s="1862">
        <f t="shared" si="70"/>
        <v>0</v>
      </c>
      <c r="U444" s="1416"/>
    </row>
    <row r="445" spans="1:21" ht="22.2" hidden="1" customHeight="1">
      <c r="A445" s="1448">
        <f>COUNTIF($C$12:C445,"x")</f>
        <v>17</v>
      </c>
      <c r="B445" s="1453" t="s">
        <v>1981</v>
      </c>
      <c r="C445" s="60" t="str">
        <f t="shared" si="71"/>
        <v xml:space="preserve"> </v>
      </c>
      <c r="D445" s="1416"/>
      <c r="E445" s="984" t="str">
        <f>VLOOKUP($B445,DG!A:D,DG!$B$2,)</f>
        <v>02.1482</v>
      </c>
      <c r="F445" s="985" t="str">
        <f>VLOOKUP($B445,DG!A:D,DG!$C$2,)</f>
        <v>V/c dụng cụ thi công ( cự ly &lt;=100m)</v>
      </c>
      <c r="G445" s="984" t="str">
        <f>VLOOKUP($B445,DG!A:D,DG!$D$2,)</f>
        <v>tấn</v>
      </c>
      <c r="H445" s="1694">
        <f t="shared" si="80"/>
        <v>0</v>
      </c>
      <c r="I445" s="1694"/>
      <c r="J445" s="1694"/>
      <c r="K445" s="1694"/>
      <c r="L445" s="1694"/>
      <c r="M445" s="1694"/>
      <c r="N445" s="1694"/>
      <c r="O445" s="1694"/>
      <c r="P445" s="1694"/>
      <c r="Q445" s="991"/>
      <c r="R445" s="991"/>
      <c r="S445" s="991"/>
      <c r="T445" s="1862">
        <f t="shared" si="70"/>
        <v>0</v>
      </c>
      <c r="U445" s="1416"/>
    </row>
    <row r="446" spans="1:21" ht="22.2" hidden="1" customHeight="1">
      <c r="A446" s="1448">
        <f>COUNTIF($C$12:C446,"x")</f>
        <v>17</v>
      </c>
      <c r="B446" s="1453" t="s">
        <v>997</v>
      </c>
      <c r="C446" s="60" t="str">
        <f t="shared" si="71"/>
        <v xml:space="preserve"> </v>
      </c>
      <c r="D446" s="1416">
        <f>D435</f>
        <v>31.1</v>
      </c>
      <c r="E446" s="984" t="str">
        <f>VLOOKUP($B446,DG!A:D,DG!$B$2,)</f>
        <v>04.5101</v>
      </c>
      <c r="F446" s="985" t="str">
        <f>VLOOKUP($B446,DG!A:D,DG!$C$2,)</f>
        <v>Gia công và lắp dựng cốt thép D&lt;=10</v>
      </c>
      <c r="G446" s="984" t="str">
        <f>VLOOKUP($B446,DG!A:D,DG!$D$2,)</f>
        <v>kg</v>
      </c>
      <c r="H446" s="1694"/>
      <c r="I446" s="1694"/>
      <c r="J446" s="1694"/>
      <c r="K446" s="1694"/>
      <c r="L446" s="1694"/>
      <c r="M446" s="1694"/>
      <c r="N446" s="1694"/>
      <c r="O446" s="1694"/>
      <c r="P446" s="1694"/>
      <c r="Q446" s="991"/>
      <c r="R446" s="991"/>
      <c r="S446" s="991"/>
      <c r="T446" s="1862">
        <f t="shared" si="70"/>
        <v>0</v>
      </c>
      <c r="U446" s="1416">
        <f>U435</f>
        <v>31.1</v>
      </c>
    </row>
    <row r="447" spans="1:21" ht="22.2" hidden="1" customHeight="1">
      <c r="A447" s="1448">
        <f>COUNTIF($C$12:C447,"x")</f>
        <v>17</v>
      </c>
      <c r="B447" s="1453" t="s">
        <v>1835</v>
      </c>
      <c r="C447" s="60" t="str">
        <f t="shared" si="71"/>
        <v xml:space="preserve"> </v>
      </c>
      <c r="D447" s="1416">
        <v>1.1339999999999999</v>
      </c>
      <c r="E447" s="984" t="str">
        <f>VLOOKUP($B447,DG!A:D,DG!$B$2,)</f>
        <v>04.1203b</v>
      </c>
      <c r="F447" s="985" t="str">
        <f>VLOOKUP($B447,DG!A:D,DG!$C$2,)</f>
        <v>Đổ bê tông mác M150 đá 1x2</v>
      </c>
      <c r="G447" s="984" t="str">
        <f>VLOOKUP($B447,DG!A:D,DG!$D$2,)</f>
        <v>m3</v>
      </c>
      <c r="H447" s="1694"/>
      <c r="I447" s="1694"/>
      <c r="J447" s="1694"/>
      <c r="K447" s="1694"/>
      <c r="L447" s="1694"/>
      <c r="M447" s="1694"/>
      <c r="N447" s="1694"/>
      <c r="O447" s="1694"/>
      <c r="P447" s="1694"/>
      <c r="Q447" s="991"/>
      <c r="R447" s="991"/>
      <c r="S447" s="991"/>
      <c r="T447" s="1862">
        <f t="shared" si="70"/>
        <v>0</v>
      </c>
      <c r="U447" s="1416">
        <v>1.1339999999999999</v>
      </c>
    </row>
    <row r="448" spans="1:21" ht="22.2" customHeight="1">
      <c r="A448" s="1448">
        <f>COUNTIF($C$12:C448,"x")</f>
        <v>18</v>
      </c>
      <c r="B448" s="1452" t="s">
        <v>6530</v>
      </c>
      <c r="C448" s="59" t="str">
        <f t="shared" ref="C448:C464" si="81">IF(OR(P448&lt;&gt;0,H448&lt;&gt;0),"x"," ")</f>
        <v>x</v>
      </c>
      <c r="D448" s="1412"/>
      <c r="E448" s="981"/>
      <c r="F448" s="1276" t="s">
        <v>2371</v>
      </c>
      <c r="G448" s="982" t="s">
        <v>2327</v>
      </c>
      <c r="H448" s="1691">
        <f>SUM(I448:O448)</f>
        <v>3</v>
      </c>
      <c r="I448" s="1692"/>
      <c r="J448" s="1692"/>
      <c r="K448" s="1692">
        <f>IFERROR(HLOOKUP(B448,pp3p1m!$1:$3,2,0),0)</f>
        <v>3</v>
      </c>
      <c r="L448" s="1692">
        <f>IFERROR(HLOOKUP(chitiet!B448,pp1p!$1:$3,3,0),0)</f>
        <v>0</v>
      </c>
      <c r="M448" s="1692"/>
      <c r="N448" s="1692"/>
      <c r="O448" s="1692"/>
      <c r="P448" s="1691">
        <f>T448</f>
        <v>3</v>
      </c>
      <c r="Q448" s="983">
        <f>IF(P448&gt;H448,P448-H448,0)</f>
        <v>0</v>
      </c>
      <c r="R448" s="983">
        <f>IF(H448&gt;P448,H448-P448,0)</f>
        <v>0</v>
      </c>
      <c r="S448" s="983"/>
      <c r="T448" s="1862">
        <f>IFERROR(HLOOKUP(B448,pp1p!$1:$3,3,0),0)+IFERROR(HLOOKUP(B448,pp3p1m!$1:$3,3,0),0)</f>
        <v>3</v>
      </c>
    </row>
    <row r="449" spans="1:21" ht="22.2" customHeight="1">
      <c r="A449" s="1448">
        <f>COUNTIF($C$12:C449,"x")</f>
        <v>19</v>
      </c>
      <c r="B449" s="1453" t="s">
        <v>751</v>
      </c>
      <c r="C449" s="60" t="str">
        <f t="shared" si="81"/>
        <v>x</v>
      </c>
      <c r="D449" s="1419">
        <v>324.31</v>
      </c>
      <c r="E449" s="984">
        <f>VLOOKUP($B449,DG!A:D,DG!$B$2,)</f>
        <v>0</v>
      </c>
      <c r="F449" s="985" t="str">
        <f>VLOOKUP($B449,DG!A:D,DG!$C$2,)</f>
        <v>Ximăng (PC40)</v>
      </c>
      <c r="G449" s="984" t="str">
        <f>VLOOKUP($B449,DG!A:D,DG!$D$2,)</f>
        <v>kg</v>
      </c>
      <c r="H449" s="1694">
        <f>H$448*$D449</f>
        <v>972.93000000000006</v>
      </c>
      <c r="I449" s="1694">
        <f t="shared" ref="I449:R464" si="82">I$448*$D449</f>
        <v>0</v>
      </c>
      <c r="J449" s="1694">
        <f t="shared" si="82"/>
        <v>0</v>
      </c>
      <c r="K449" s="1694">
        <f t="shared" si="82"/>
        <v>972.93000000000006</v>
      </c>
      <c r="L449" s="1694">
        <f t="shared" si="82"/>
        <v>0</v>
      </c>
      <c r="M449" s="1694">
        <f t="shared" si="82"/>
        <v>0</v>
      </c>
      <c r="N449" s="1694">
        <f t="shared" si="82"/>
        <v>0</v>
      </c>
      <c r="O449" s="1694">
        <f t="shared" si="82"/>
        <v>0</v>
      </c>
      <c r="P449" s="1694">
        <f t="shared" si="82"/>
        <v>972.93000000000006</v>
      </c>
      <c r="Q449" s="1694">
        <f t="shared" si="82"/>
        <v>0</v>
      </c>
      <c r="R449" s="1694">
        <f t="shared" si="82"/>
        <v>0</v>
      </c>
      <c r="S449" s="988"/>
      <c r="T449" s="1862">
        <f t="shared" ref="T449:T464" si="83">IFERROR(HLOOKUP(B449,BangKeTru,3,0),0)</f>
        <v>0</v>
      </c>
      <c r="U449" s="1419"/>
    </row>
    <row r="450" spans="1:21" ht="22.2" customHeight="1">
      <c r="A450" s="1448">
        <f>COUNTIF($C$12:C450,"x")</f>
        <v>20</v>
      </c>
      <c r="B450" s="1454" t="s">
        <v>4414</v>
      </c>
      <c r="C450" s="60" t="str">
        <f t="shared" si="81"/>
        <v>x</v>
      </c>
      <c r="D450" s="1416">
        <v>0.76100000000000001</v>
      </c>
      <c r="E450" s="984">
        <f>VLOOKUP($B450,DG!A:D,DG!$B$2,)</f>
        <v>0</v>
      </c>
      <c r="F450" s="985" t="str">
        <f>VLOOKUP($B450,DG!A:D,DG!$C$2,)</f>
        <v>Cát vàng</v>
      </c>
      <c r="G450" s="984" t="str">
        <f>VLOOKUP($B450,DG!A:D,DG!$D$2,)</f>
        <v>m3</v>
      </c>
      <c r="H450" s="1694">
        <f t="shared" ref="H450:H464" si="84">H$448*$D450</f>
        <v>2.2829999999999999</v>
      </c>
      <c r="I450" s="1694">
        <f t="shared" si="82"/>
        <v>0</v>
      </c>
      <c r="J450" s="1694">
        <f t="shared" si="82"/>
        <v>0</v>
      </c>
      <c r="K450" s="1694">
        <f t="shared" si="82"/>
        <v>2.2829999999999999</v>
      </c>
      <c r="L450" s="1694">
        <f t="shared" si="82"/>
        <v>0</v>
      </c>
      <c r="M450" s="1694">
        <f t="shared" si="82"/>
        <v>0</v>
      </c>
      <c r="N450" s="1694">
        <f t="shared" si="82"/>
        <v>0</v>
      </c>
      <c r="O450" s="1694">
        <f t="shared" si="82"/>
        <v>0</v>
      </c>
      <c r="P450" s="1694">
        <f t="shared" si="82"/>
        <v>2.2829999999999999</v>
      </c>
      <c r="Q450" s="1694">
        <f t="shared" si="82"/>
        <v>0</v>
      </c>
      <c r="R450" s="1694">
        <f t="shared" si="82"/>
        <v>0</v>
      </c>
      <c r="S450" s="986"/>
      <c r="T450" s="1862">
        <f t="shared" si="83"/>
        <v>0</v>
      </c>
      <c r="U450" s="1416"/>
    </row>
    <row r="451" spans="1:21" ht="22.2" customHeight="1">
      <c r="A451" s="1448">
        <f>COUNTIF($C$12:C451,"x")</f>
        <v>21</v>
      </c>
      <c r="B451" s="1453" t="s">
        <v>867</v>
      </c>
      <c r="C451" s="60" t="str">
        <f t="shared" si="81"/>
        <v>x</v>
      </c>
      <c r="D451" s="1416">
        <v>1.254</v>
      </c>
      <c r="E451" s="984">
        <f>VLOOKUP($B451,DG!A:D,DG!$B$2,)</f>
        <v>0</v>
      </c>
      <c r="F451" s="985" t="str">
        <f>VLOOKUP($B451,DG!A:D,DG!$C$2,)</f>
        <v>Đá 1x2</v>
      </c>
      <c r="G451" s="984" t="str">
        <f>VLOOKUP($B451,DG!A:D,DG!$D$2,)</f>
        <v>m3</v>
      </c>
      <c r="H451" s="1694">
        <f t="shared" si="84"/>
        <v>3.762</v>
      </c>
      <c r="I451" s="1694">
        <f t="shared" si="82"/>
        <v>0</v>
      </c>
      <c r="J451" s="1694">
        <f t="shared" si="82"/>
        <v>0</v>
      </c>
      <c r="K451" s="1694">
        <f t="shared" si="82"/>
        <v>3.762</v>
      </c>
      <c r="L451" s="1694">
        <f t="shared" si="82"/>
        <v>0</v>
      </c>
      <c r="M451" s="1694">
        <f t="shared" si="82"/>
        <v>0</v>
      </c>
      <c r="N451" s="1694">
        <f t="shared" si="82"/>
        <v>0</v>
      </c>
      <c r="O451" s="1694">
        <f t="shared" si="82"/>
        <v>0</v>
      </c>
      <c r="P451" s="1694">
        <f t="shared" si="82"/>
        <v>3.762</v>
      </c>
      <c r="Q451" s="1694">
        <f t="shared" si="82"/>
        <v>0</v>
      </c>
      <c r="R451" s="1694">
        <f t="shared" si="82"/>
        <v>0</v>
      </c>
      <c r="S451" s="986"/>
      <c r="T451" s="1862">
        <f t="shared" si="83"/>
        <v>0</v>
      </c>
      <c r="U451" s="1416"/>
    </row>
    <row r="452" spans="1:21" ht="22.2" hidden="1" customHeight="1">
      <c r="A452" s="1448">
        <f>COUNTIF($C$12:C452,"x")</f>
        <v>21</v>
      </c>
      <c r="B452" s="1453" t="s">
        <v>995</v>
      </c>
      <c r="C452" s="60" t="str">
        <f t="shared" si="81"/>
        <v xml:space="preserve"> </v>
      </c>
      <c r="D452" s="1416"/>
      <c r="E452" s="984">
        <f>VLOOKUP($B452,DG!A:D,DG!$B$2,)</f>
        <v>0</v>
      </c>
      <c r="F452" s="990" t="str">
        <f>VLOOKUP($B452,DG!A:D,DG!$C$2,)</f>
        <v>Sắt Ø10</v>
      </c>
      <c r="G452" s="984" t="str">
        <f>VLOOKUP($B452,DG!A:D,DG!$D$2,)</f>
        <v>kg</v>
      </c>
      <c r="H452" s="1694">
        <f t="shared" si="84"/>
        <v>0</v>
      </c>
      <c r="I452" s="1694">
        <f t="shared" si="82"/>
        <v>0</v>
      </c>
      <c r="J452" s="1694">
        <f t="shared" si="82"/>
        <v>0</v>
      </c>
      <c r="K452" s="1694">
        <f t="shared" si="82"/>
        <v>0</v>
      </c>
      <c r="L452" s="1694">
        <f t="shared" si="82"/>
        <v>0</v>
      </c>
      <c r="M452" s="1694">
        <f t="shared" si="82"/>
        <v>0</v>
      </c>
      <c r="N452" s="1694">
        <f t="shared" si="82"/>
        <v>0</v>
      </c>
      <c r="O452" s="1694">
        <f t="shared" si="82"/>
        <v>0</v>
      </c>
      <c r="P452" s="1694">
        <f t="shared" si="82"/>
        <v>0</v>
      </c>
      <c r="Q452" s="1694">
        <f t="shared" si="82"/>
        <v>0</v>
      </c>
      <c r="R452" s="1694">
        <f t="shared" si="82"/>
        <v>0</v>
      </c>
      <c r="S452" s="986"/>
      <c r="T452" s="1862">
        <f t="shared" si="83"/>
        <v>0</v>
      </c>
      <c r="U452" s="1416"/>
    </row>
    <row r="453" spans="1:21" ht="22.2" hidden="1" customHeight="1">
      <c r="A453" s="1448">
        <f>COUNTIF($C$12:C453,"x")</f>
        <v>21</v>
      </c>
      <c r="B453" s="1453" t="s">
        <v>996</v>
      </c>
      <c r="C453" s="60" t="str">
        <f t="shared" si="81"/>
        <v xml:space="preserve"> </v>
      </c>
      <c r="D453" s="1416"/>
      <c r="E453" s="984">
        <f>VLOOKUP($B453,DG!A:D,DG!$B$2,)</f>
        <v>0</v>
      </c>
      <c r="F453" s="990" t="str">
        <f>VLOOKUP($B453,DG!A:D,DG!$C$2,)</f>
        <v>Kẽm</v>
      </c>
      <c r="G453" s="984" t="str">
        <f>VLOOKUP($B453,DG!A:D,DG!$D$2,)</f>
        <v>kg</v>
      </c>
      <c r="H453" s="1694">
        <f t="shared" si="84"/>
        <v>0</v>
      </c>
      <c r="I453" s="1694">
        <f t="shared" si="82"/>
        <v>0</v>
      </c>
      <c r="J453" s="1694">
        <f t="shared" si="82"/>
        <v>0</v>
      </c>
      <c r="K453" s="1694">
        <f t="shared" si="82"/>
        <v>0</v>
      </c>
      <c r="L453" s="1694">
        <f t="shared" si="82"/>
        <v>0</v>
      </c>
      <c r="M453" s="1694">
        <f t="shared" si="82"/>
        <v>0</v>
      </c>
      <c r="N453" s="1694">
        <f t="shared" si="82"/>
        <v>0</v>
      </c>
      <c r="O453" s="1694">
        <f t="shared" si="82"/>
        <v>0</v>
      </c>
      <c r="P453" s="1694">
        <f t="shared" si="82"/>
        <v>0</v>
      </c>
      <c r="Q453" s="1694">
        <f t="shared" si="82"/>
        <v>0</v>
      </c>
      <c r="R453" s="1694">
        <f t="shared" si="82"/>
        <v>0</v>
      </c>
      <c r="S453" s="986"/>
      <c r="T453" s="1862">
        <f t="shared" si="83"/>
        <v>0</v>
      </c>
      <c r="U453" s="1416"/>
    </row>
    <row r="454" spans="1:21" ht="22.2" customHeight="1">
      <c r="A454" s="1448">
        <f>COUNTIF($C$12:C454,"x")</f>
        <v>22</v>
      </c>
      <c r="B454" s="1453" t="s">
        <v>639</v>
      </c>
      <c r="C454" s="60" t="str">
        <f t="shared" si="81"/>
        <v>x</v>
      </c>
      <c r="D454" s="1416">
        <v>1.988</v>
      </c>
      <c r="E454" s="984" t="str">
        <f>VLOOKUP($B454,DG!A:D,DG!$B$2,)</f>
        <v>03.1013</v>
      </c>
      <c r="F454" s="985" t="str">
        <f>VLOOKUP($B454,DG!A:D,DG!$C$2,)</f>
        <v>Đào hố móng đất cấp 3 sâu &gt;1m</v>
      </c>
      <c r="G454" s="984" t="str">
        <f>VLOOKUP($B454,DG!A:D,DG!$D$2,)</f>
        <v>m3</v>
      </c>
      <c r="H454" s="1694">
        <f t="shared" si="84"/>
        <v>5.9640000000000004</v>
      </c>
      <c r="I454" s="1694">
        <f t="shared" si="82"/>
        <v>0</v>
      </c>
      <c r="J454" s="1694">
        <f t="shared" si="82"/>
        <v>0</v>
      </c>
      <c r="K454" s="1694">
        <f t="shared" si="82"/>
        <v>5.9640000000000004</v>
      </c>
      <c r="L454" s="1694">
        <f t="shared" si="82"/>
        <v>0</v>
      </c>
      <c r="M454" s="1694">
        <f t="shared" si="82"/>
        <v>0</v>
      </c>
      <c r="N454" s="1694">
        <f t="shared" si="82"/>
        <v>0</v>
      </c>
      <c r="O454" s="1694">
        <f t="shared" si="82"/>
        <v>0</v>
      </c>
      <c r="P454" s="1694">
        <f t="shared" si="82"/>
        <v>5.9640000000000004</v>
      </c>
      <c r="Q454" s="1694">
        <f t="shared" si="82"/>
        <v>0</v>
      </c>
      <c r="R454" s="1694">
        <f t="shared" si="82"/>
        <v>0</v>
      </c>
      <c r="S454" s="991"/>
      <c r="T454" s="1862">
        <f t="shared" si="83"/>
        <v>0</v>
      </c>
      <c r="U454" s="1416"/>
    </row>
    <row r="455" spans="1:21" ht="22.2" customHeight="1">
      <c r="A455" s="1448">
        <f>COUNTIF($C$12:C455,"x")</f>
        <v>23</v>
      </c>
      <c r="B455" s="1453" t="s">
        <v>21</v>
      </c>
      <c r="C455" s="60" t="str">
        <f t="shared" si="81"/>
        <v>x</v>
      </c>
      <c r="D455" s="1416">
        <v>0.216</v>
      </c>
      <c r="E455" s="984" t="str">
        <f>VLOOKUP($B455,DG!A:D,DG!$B$2,)</f>
        <v>03.4113</v>
      </c>
      <c r="F455" s="985" t="str">
        <f>VLOOKUP($B455,DG!A:D,DG!$C$2,)</f>
        <v>Đắp đất hố móng, độ chặt k=0,95</v>
      </c>
      <c r="G455" s="984" t="str">
        <f>VLOOKUP($B455,DG!A:D,DG!$D$2,)</f>
        <v>m3</v>
      </c>
      <c r="H455" s="1694">
        <f t="shared" si="84"/>
        <v>0.64800000000000002</v>
      </c>
      <c r="I455" s="1694">
        <f t="shared" si="82"/>
        <v>0</v>
      </c>
      <c r="J455" s="1694">
        <f t="shared" si="82"/>
        <v>0</v>
      </c>
      <c r="K455" s="1694">
        <f t="shared" si="82"/>
        <v>0.64800000000000002</v>
      </c>
      <c r="L455" s="1694">
        <f t="shared" si="82"/>
        <v>0</v>
      </c>
      <c r="M455" s="1694">
        <f t="shared" si="82"/>
        <v>0</v>
      </c>
      <c r="N455" s="1694">
        <f t="shared" si="82"/>
        <v>0</v>
      </c>
      <c r="O455" s="1694">
        <f t="shared" si="82"/>
        <v>0</v>
      </c>
      <c r="P455" s="1694">
        <f t="shared" si="82"/>
        <v>0.64800000000000002</v>
      </c>
      <c r="Q455" s="1694">
        <f t="shared" si="82"/>
        <v>0</v>
      </c>
      <c r="R455" s="1694">
        <f t="shared" si="82"/>
        <v>0</v>
      </c>
      <c r="S455" s="991"/>
      <c r="T455" s="1862">
        <f t="shared" si="83"/>
        <v>0</v>
      </c>
      <c r="U455" s="1416"/>
    </row>
    <row r="456" spans="1:21" ht="22.2" hidden="1" customHeight="1">
      <c r="A456" s="1448">
        <f>COUNTIF($C$12:C456,"x")</f>
        <v>23</v>
      </c>
      <c r="B456" s="1453" t="s">
        <v>1293</v>
      </c>
      <c r="C456" s="60" t="str">
        <f t="shared" si="81"/>
        <v xml:space="preserve"> </v>
      </c>
      <c r="D456" s="1416"/>
      <c r="E456" s="984" t="str">
        <f>VLOOKUP($B456,DG!A:D,DG!$B$2,)</f>
        <v>02.1101</v>
      </c>
      <c r="F456" s="985" t="str">
        <f>VLOOKUP($B456,DG!A:D,DG!$C$2,)</f>
        <v>Bốc dỡ xi măng</v>
      </c>
      <c r="G456" s="984" t="str">
        <f>VLOOKUP($B456,DG!A:D,DG!$D$2,)</f>
        <v>tấn</v>
      </c>
      <c r="H456" s="1694">
        <f t="shared" si="84"/>
        <v>0</v>
      </c>
      <c r="I456" s="1694">
        <f t="shared" si="82"/>
        <v>0</v>
      </c>
      <c r="J456" s="1694">
        <f t="shared" si="82"/>
        <v>0</v>
      </c>
      <c r="K456" s="1694">
        <f t="shared" si="82"/>
        <v>0</v>
      </c>
      <c r="L456" s="1694">
        <f t="shared" si="82"/>
        <v>0</v>
      </c>
      <c r="M456" s="1694">
        <f t="shared" si="82"/>
        <v>0</v>
      </c>
      <c r="N456" s="1694">
        <f t="shared" si="82"/>
        <v>0</v>
      </c>
      <c r="O456" s="1694">
        <f t="shared" si="82"/>
        <v>0</v>
      </c>
      <c r="P456" s="1694">
        <f t="shared" si="82"/>
        <v>0</v>
      </c>
      <c r="Q456" s="1694">
        <f t="shared" si="82"/>
        <v>0</v>
      </c>
      <c r="R456" s="1694">
        <f t="shared" si="82"/>
        <v>0</v>
      </c>
      <c r="S456" s="991"/>
      <c r="T456" s="1862">
        <f t="shared" si="83"/>
        <v>0</v>
      </c>
      <c r="U456" s="1416"/>
    </row>
    <row r="457" spans="1:21" ht="22.2" hidden="1" customHeight="1">
      <c r="A457" s="1448">
        <f>COUNTIF($C$12:C457,"x")</f>
        <v>23</v>
      </c>
      <c r="B457" s="1453" t="s">
        <v>133</v>
      </c>
      <c r="C457" s="60" t="str">
        <f t="shared" si="81"/>
        <v xml:space="preserve"> </v>
      </c>
      <c r="D457" s="1416"/>
      <c r="E457" s="984" t="str">
        <f>VLOOKUP($B457,DG!A:D,DG!$B$2,)</f>
        <v>02.1103</v>
      </c>
      <c r="F457" s="985" t="str">
        <f>VLOOKUP($B457,DG!A:D,DG!$C$2,)</f>
        <v>Bốc dỡ cát</v>
      </c>
      <c r="G457" s="984" t="str">
        <f>VLOOKUP($B457,DG!A:D,DG!$D$2,)</f>
        <v>m3</v>
      </c>
      <c r="H457" s="1694">
        <f t="shared" si="84"/>
        <v>0</v>
      </c>
      <c r="I457" s="1694">
        <f t="shared" si="82"/>
        <v>0</v>
      </c>
      <c r="J457" s="1694">
        <f t="shared" si="82"/>
        <v>0</v>
      </c>
      <c r="K457" s="1694">
        <f t="shared" si="82"/>
        <v>0</v>
      </c>
      <c r="L457" s="1694">
        <f t="shared" si="82"/>
        <v>0</v>
      </c>
      <c r="M457" s="1694">
        <f t="shared" si="82"/>
        <v>0</v>
      </c>
      <c r="N457" s="1694">
        <f t="shared" si="82"/>
        <v>0</v>
      </c>
      <c r="O457" s="1694">
        <f t="shared" si="82"/>
        <v>0</v>
      </c>
      <c r="P457" s="1694">
        <f t="shared" si="82"/>
        <v>0</v>
      </c>
      <c r="Q457" s="1694">
        <f t="shared" si="82"/>
        <v>0</v>
      </c>
      <c r="R457" s="1694">
        <f t="shared" si="82"/>
        <v>0</v>
      </c>
      <c r="S457" s="991"/>
      <c r="T457" s="1862">
        <f t="shared" si="83"/>
        <v>0</v>
      </c>
      <c r="U457" s="1416"/>
    </row>
    <row r="458" spans="1:21" ht="22.2" hidden="1" customHeight="1">
      <c r="A458" s="1448">
        <f>COUNTIF($C$12:C458,"x")</f>
        <v>23</v>
      </c>
      <c r="B458" s="1453" t="s">
        <v>135</v>
      </c>
      <c r="C458" s="60" t="str">
        <f t="shared" si="81"/>
        <v xml:space="preserve"> </v>
      </c>
      <c r="D458" s="1416"/>
      <c r="E458" s="984" t="str">
        <f>VLOOKUP($B458,DG!A:D,DG!$B$2,)</f>
        <v>02.1104</v>
      </c>
      <c r="F458" s="985" t="str">
        <f>VLOOKUP($B458,DG!A:D,DG!$C$2,)</f>
        <v>Bốc dỡ đá dăm</v>
      </c>
      <c r="G458" s="984" t="str">
        <f>VLOOKUP($B458,DG!A:D,DG!$D$2,)</f>
        <v>m3</v>
      </c>
      <c r="H458" s="1694">
        <f t="shared" si="84"/>
        <v>0</v>
      </c>
      <c r="I458" s="1694">
        <f t="shared" si="82"/>
        <v>0</v>
      </c>
      <c r="J458" s="1694">
        <f t="shared" si="82"/>
        <v>0</v>
      </c>
      <c r="K458" s="1694">
        <f t="shared" si="82"/>
        <v>0</v>
      </c>
      <c r="L458" s="1694">
        <f t="shared" si="82"/>
        <v>0</v>
      </c>
      <c r="M458" s="1694">
        <f t="shared" si="82"/>
        <v>0</v>
      </c>
      <c r="N458" s="1694">
        <f t="shared" si="82"/>
        <v>0</v>
      </c>
      <c r="O458" s="1694">
        <f t="shared" si="82"/>
        <v>0</v>
      </c>
      <c r="P458" s="1694">
        <f t="shared" si="82"/>
        <v>0</v>
      </c>
      <c r="Q458" s="1694">
        <f t="shared" si="82"/>
        <v>0</v>
      </c>
      <c r="R458" s="1694">
        <f t="shared" si="82"/>
        <v>0</v>
      </c>
      <c r="S458" s="991"/>
      <c r="T458" s="1862">
        <f t="shared" si="83"/>
        <v>0</v>
      </c>
      <c r="U458" s="1416"/>
    </row>
    <row r="459" spans="1:21" ht="22.2" hidden="1" customHeight="1">
      <c r="A459" s="1448">
        <f>COUNTIF($C$12:C459,"x")</f>
        <v>23</v>
      </c>
      <c r="B459" s="1453" t="s">
        <v>495</v>
      </c>
      <c r="C459" s="60" t="str">
        <f t="shared" si="81"/>
        <v xml:space="preserve"> </v>
      </c>
      <c r="D459" s="1416"/>
      <c r="E459" s="984" t="str">
        <f>VLOOKUP($B459,DG!A:D,DG!$B$2,)</f>
        <v>02.1211</v>
      </c>
      <c r="F459" s="985" t="str">
        <f>VLOOKUP($B459,DG!A:D,DG!$C$2,)</f>
        <v>V/c xi măng ( cự ly &lt;=100m)</v>
      </c>
      <c r="G459" s="984" t="str">
        <f>VLOOKUP($B459,DG!A:D,DG!$D$2,)</f>
        <v>tấn</v>
      </c>
      <c r="H459" s="1694">
        <f t="shared" si="84"/>
        <v>0</v>
      </c>
      <c r="I459" s="1694">
        <f t="shared" si="82"/>
        <v>0</v>
      </c>
      <c r="J459" s="1694">
        <f t="shared" si="82"/>
        <v>0</v>
      </c>
      <c r="K459" s="1694">
        <f t="shared" si="82"/>
        <v>0</v>
      </c>
      <c r="L459" s="1694">
        <f t="shared" si="82"/>
        <v>0</v>
      </c>
      <c r="M459" s="1694">
        <f t="shared" si="82"/>
        <v>0</v>
      </c>
      <c r="N459" s="1694">
        <f t="shared" si="82"/>
        <v>0</v>
      </c>
      <c r="O459" s="1694">
        <f t="shared" si="82"/>
        <v>0</v>
      </c>
      <c r="P459" s="1694">
        <f t="shared" si="82"/>
        <v>0</v>
      </c>
      <c r="Q459" s="1694">
        <f t="shared" si="82"/>
        <v>0</v>
      </c>
      <c r="R459" s="1694">
        <f t="shared" si="82"/>
        <v>0</v>
      </c>
      <c r="S459" s="991"/>
      <c r="T459" s="1862">
        <f t="shared" si="83"/>
        <v>0</v>
      </c>
      <c r="U459" s="1416"/>
    </row>
    <row r="460" spans="1:21" ht="22.2" hidden="1" customHeight="1">
      <c r="A460" s="1448">
        <f>COUNTIF($C$12:C460,"x")</f>
        <v>23</v>
      </c>
      <c r="B460" s="1453" t="s">
        <v>1611</v>
      </c>
      <c r="C460" s="60" t="str">
        <f t="shared" si="81"/>
        <v xml:space="preserve"> </v>
      </c>
      <c r="D460" s="1416"/>
      <c r="E460" s="984" t="str">
        <f>VLOOKUP($B460,DG!A:D,DG!$B$2,)</f>
        <v>02.1231</v>
      </c>
      <c r="F460" s="985" t="str">
        <f>VLOOKUP($B460,DG!A:D,DG!$C$2,)</f>
        <v>V/c cát vàng cự ly &lt;=100m</v>
      </c>
      <c r="G460" s="984" t="str">
        <f>VLOOKUP($B460,DG!A:D,DG!$D$2,)</f>
        <v>m3</v>
      </c>
      <c r="H460" s="1694">
        <f t="shared" si="84"/>
        <v>0</v>
      </c>
      <c r="I460" s="1694">
        <f t="shared" si="82"/>
        <v>0</v>
      </c>
      <c r="J460" s="1694">
        <f t="shared" si="82"/>
        <v>0</v>
      </c>
      <c r="K460" s="1694">
        <f t="shared" si="82"/>
        <v>0</v>
      </c>
      <c r="L460" s="1694">
        <f t="shared" si="82"/>
        <v>0</v>
      </c>
      <c r="M460" s="1694">
        <f t="shared" si="82"/>
        <v>0</v>
      </c>
      <c r="N460" s="1694">
        <f t="shared" si="82"/>
        <v>0</v>
      </c>
      <c r="O460" s="1694">
        <f t="shared" si="82"/>
        <v>0</v>
      </c>
      <c r="P460" s="1694">
        <f t="shared" si="82"/>
        <v>0</v>
      </c>
      <c r="Q460" s="1694">
        <f t="shared" si="82"/>
        <v>0</v>
      </c>
      <c r="R460" s="1694">
        <f t="shared" si="82"/>
        <v>0</v>
      </c>
      <c r="S460" s="991"/>
      <c r="T460" s="1862">
        <f t="shared" si="83"/>
        <v>0</v>
      </c>
      <c r="U460" s="1416"/>
    </row>
    <row r="461" spans="1:21" ht="22.2" hidden="1" customHeight="1">
      <c r="A461" s="1448">
        <f>COUNTIF($C$12:C461,"x")</f>
        <v>23</v>
      </c>
      <c r="B461" s="1453" t="s">
        <v>521</v>
      </c>
      <c r="C461" s="60" t="str">
        <f t="shared" si="81"/>
        <v xml:space="preserve"> </v>
      </c>
      <c r="D461" s="1416"/>
      <c r="E461" s="984" t="str">
        <f>VLOOKUP($B461,DG!A:D,DG!$B$2,)</f>
        <v>02.1241</v>
      </c>
      <c r="F461" s="985" t="str">
        <f>VLOOKUP($B461,DG!A:D,DG!$C$2,)</f>
        <v>V/c đá dăm ( cự ly &lt;=100m)</v>
      </c>
      <c r="G461" s="984" t="str">
        <f>VLOOKUP($B461,DG!A:D,DG!$D$2,)</f>
        <v>m3</v>
      </c>
      <c r="H461" s="1694">
        <f t="shared" si="84"/>
        <v>0</v>
      </c>
      <c r="I461" s="1694">
        <f t="shared" si="82"/>
        <v>0</v>
      </c>
      <c r="J461" s="1694">
        <f t="shared" si="82"/>
        <v>0</v>
      </c>
      <c r="K461" s="1694">
        <f t="shared" si="82"/>
        <v>0</v>
      </c>
      <c r="L461" s="1694">
        <f t="shared" si="82"/>
        <v>0</v>
      </c>
      <c r="M461" s="1694">
        <f t="shared" si="82"/>
        <v>0</v>
      </c>
      <c r="N461" s="1694">
        <f t="shared" si="82"/>
        <v>0</v>
      </c>
      <c r="O461" s="1694">
        <f t="shared" si="82"/>
        <v>0</v>
      </c>
      <c r="P461" s="1694">
        <f t="shared" si="82"/>
        <v>0</v>
      </c>
      <c r="Q461" s="1694">
        <f t="shared" si="82"/>
        <v>0</v>
      </c>
      <c r="R461" s="1694">
        <f t="shared" si="82"/>
        <v>0</v>
      </c>
      <c r="S461" s="991"/>
      <c r="T461" s="1862">
        <f t="shared" si="83"/>
        <v>0</v>
      </c>
      <c r="U461" s="1416"/>
    </row>
    <row r="462" spans="1:21" ht="22.2" hidden="1" customHeight="1">
      <c r="A462" s="1448">
        <f>COUNTIF($C$12:C462,"x")</f>
        <v>23</v>
      </c>
      <c r="B462" s="1453" t="s">
        <v>1981</v>
      </c>
      <c r="C462" s="60" t="str">
        <f t="shared" si="81"/>
        <v xml:space="preserve"> </v>
      </c>
      <c r="D462" s="1416"/>
      <c r="E462" s="984" t="str">
        <f>VLOOKUP($B462,DG!A:D,DG!$B$2,)</f>
        <v>02.1482</v>
      </c>
      <c r="F462" s="985" t="str">
        <f>VLOOKUP($B462,DG!A:D,DG!$C$2,)</f>
        <v>V/c dụng cụ thi công ( cự ly &lt;=100m)</v>
      </c>
      <c r="G462" s="984" t="str">
        <f>VLOOKUP($B462,DG!A:D,DG!$D$2,)</f>
        <v>tấn</v>
      </c>
      <c r="H462" s="1694">
        <f t="shared" si="84"/>
        <v>0</v>
      </c>
      <c r="I462" s="1694">
        <f t="shared" si="82"/>
        <v>0</v>
      </c>
      <c r="J462" s="1694">
        <f t="shared" si="82"/>
        <v>0</v>
      </c>
      <c r="K462" s="1694">
        <f t="shared" si="82"/>
        <v>0</v>
      </c>
      <c r="L462" s="1694">
        <f t="shared" si="82"/>
        <v>0</v>
      </c>
      <c r="M462" s="1694">
        <f t="shared" si="82"/>
        <v>0</v>
      </c>
      <c r="N462" s="1694">
        <f t="shared" si="82"/>
        <v>0</v>
      </c>
      <c r="O462" s="1694">
        <f t="shared" si="82"/>
        <v>0</v>
      </c>
      <c r="P462" s="1694">
        <f t="shared" si="82"/>
        <v>0</v>
      </c>
      <c r="Q462" s="1694">
        <f t="shared" si="82"/>
        <v>0</v>
      </c>
      <c r="R462" s="1694">
        <f t="shared" si="82"/>
        <v>0</v>
      </c>
      <c r="S462" s="991"/>
      <c r="T462" s="1862">
        <f t="shared" si="83"/>
        <v>0</v>
      </c>
      <c r="U462" s="1416"/>
    </row>
    <row r="463" spans="1:21" ht="22.2" hidden="1" customHeight="1">
      <c r="A463" s="1448">
        <f>COUNTIF($C$12:C463,"x")</f>
        <v>23</v>
      </c>
      <c r="B463" s="1453" t="s">
        <v>997</v>
      </c>
      <c r="C463" s="60" t="str">
        <f t="shared" si="81"/>
        <v xml:space="preserve"> </v>
      </c>
      <c r="D463" s="1416">
        <f>D452</f>
        <v>0</v>
      </c>
      <c r="E463" s="984" t="str">
        <f>VLOOKUP($B463,DG!A:D,DG!$B$2,)</f>
        <v>04.5101</v>
      </c>
      <c r="F463" s="985" t="str">
        <f>VLOOKUP($B463,DG!A:D,DG!$C$2,)</f>
        <v>Gia công và lắp dựng cốt thép D&lt;=10</v>
      </c>
      <c r="G463" s="984" t="str">
        <f>VLOOKUP($B463,DG!A:D,DG!$D$2,)</f>
        <v>kg</v>
      </c>
      <c r="H463" s="1694">
        <f t="shared" si="84"/>
        <v>0</v>
      </c>
      <c r="I463" s="1694">
        <f t="shared" si="82"/>
        <v>0</v>
      </c>
      <c r="J463" s="1694">
        <f t="shared" si="82"/>
        <v>0</v>
      </c>
      <c r="K463" s="1694">
        <f t="shared" si="82"/>
        <v>0</v>
      </c>
      <c r="L463" s="1694">
        <f t="shared" si="82"/>
        <v>0</v>
      </c>
      <c r="M463" s="1694">
        <f t="shared" si="82"/>
        <v>0</v>
      </c>
      <c r="N463" s="1694">
        <f t="shared" si="82"/>
        <v>0</v>
      </c>
      <c r="O463" s="1694">
        <f t="shared" si="82"/>
        <v>0</v>
      </c>
      <c r="P463" s="1694">
        <f t="shared" si="82"/>
        <v>0</v>
      </c>
      <c r="Q463" s="1694">
        <f t="shared" si="82"/>
        <v>0</v>
      </c>
      <c r="R463" s="1694">
        <f t="shared" si="82"/>
        <v>0</v>
      </c>
      <c r="S463" s="991"/>
      <c r="T463" s="1862">
        <f t="shared" si="83"/>
        <v>0</v>
      </c>
      <c r="U463" s="1416"/>
    </row>
    <row r="464" spans="1:21" ht="22.2" customHeight="1">
      <c r="A464" s="1448">
        <f>COUNTIF($C$12:C464,"x")</f>
        <v>24</v>
      </c>
      <c r="B464" s="1453" t="s">
        <v>1835</v>
      </c>
      <c r="C464" s="60" t="str">
        <f t="shared" si="81"/>
        <v>x</v>
      </c>
      <c r="D464" s="1416">
        <v>1.4350000000000001</v>
      </c>
      <c r="E464" s="984" t="str">
        <f>VLOOKUP($B464,DG!A:D,DG!$B$2,)</f>
        <v>04.1203b</v>
      </c>
      <c r="F464" s="985" t="str">
        <f>VLOOKUP($B464,DG!A:D,DG!$C$2,)</f>
        <v>Đổ bê tông mác M150 đá 1x2</v>
      </c>
      <c r="G464" s="984" t="str">
        <f>VLOOKUP($B464,DG!A:D,DG!$D$2,)</f>
        <v>m3</v>
      </c>
      <c r="H464" s="1694">
        <f t="shared" si="84"/>
        <v>4.3049999999999997</v>
      </c>
      <c r="I464" s="1694">
        <f t="shared" si="82"/>
        <v>0</v>
      </c>
      <c r="J464" s="1694">
        <f t="shared" si="82"/>
        <v>0</v>
      </c>
      <c r="K464" s="1694">
        <f t="shared" si="82"/>
        <v>4.3049999999999997</v>
      </c>
      <c r="L464" s="1694">
        <f t="shared" si="82"/>
        <v>0</v>
      </c>
      <c r="M464" s="1694">
        <f t="shared" si="82"/>
        <v>0</v>
      </c>
      <c r="N464" s="1694">
        <f t="shared" si="82"/>
        <v>0</v>
      </c>
      <c r="O464" s="1694">
        <f t="shared" si="82"/>
        <v>0</v>
      </c>
      <c r="P464" s="1694">
        <f t="shared" si="82"/>
        <v>4.3049999999999997</v>
      </c>
      <c r="Q464" s="1694">
        <f t="shared" si="82"/>
        <v>0</v>
      </c>
      <c r="R464" s="1694">
        <f t="shared" si="82"/>
        <v>0</v>
      </c>
      <c r="S464" s="991"/>
      <c r="T464" s="1862">
        <f t="shared" si="83"/>
        <v>0</v>
      </c>
      <c r="U464" s="1416"/>
    </row>
    <row r="465" spans="1:20" ht="22.2" hidden="1" customHeight="1">
      <c r="A465" s="1448">
        <f>COUNTIF($C$12:C465,"x")</f>
        <v>24</v>
      </c>
      <c r="B465" s="1452" t="s">
        <v>649</v>
      </c>
      <c r="C465" s="59" t="str">
        <f t="shared" si="71"/>
        <v xml:space="preserve"> </v>
      </c>
      <c r="D465" s="1412"/>
      <c r="E465" s="981"/>
      <c r="F465" s="1276" t="s">
        <v>2372</v>
      </c>
      <c r="G465" s="982" t="s">
        <v>2327</v>
      </c>
      <c r="H465" s="1691">
        <f>SUM(I465:O465)</f>
        <v>0</v>
      </c>
      <c r="I465" s="1692"/>
      <c r="J465" s="1692"/>
      <c r="K465" s="1692">
        <f>IFERROR(HLOOKUP(B465,pp3p1m!$1:$3,2,0),0)</f>
        <v>0</v>
      </c>
      <c r="L465" s="1692">
        <f>IFERROR(HLOOKUP(chitiet!B465,pp1p!$1:$3,3,0),0)</f>
        <v>0</v>
      </c>
      <c r="M465" s="1692"/>
      <c r="N465" s="1692"/>
      <c r="O465" s="1692"/>
      <c r="P465" s="2674">
        <f>T465</f>
        <v>0</v>
      </c>
      <c r="Q465" s="983">
        <f>IF(P465&gt;H465,P465-H465,0)</f>
        <v>0</v>
      </c>
      <c r="R465" s="983">
        <f>IF(H465&gt;P465,H465-P465,0)</f>
        <v>0</v>
      </c>
      <c r="S465" s="983"/>
      <c r="T465" s="1862">
        <f>IFERROR(HLOOKUP(B465,pp1p!$1:$3,3,0),0)+IFERROR(HLOOKUP(B465,pp3p1m!$1:$3,3,0),0)</f>
        <v>0</v>
      </c>
    </row>
    <row r="466" spans="1:20" ht="22.2" hidden="1" customHeight="1">
      <c r="A466" s="1448">
        <f>COUNTIF($C$12:C466,"x")</f>
        <v>24</v>
      </c>
      <c r="B466" s="1465" t="s">
        <v>636</v>
      </c>
      <c r="C466" s="60" t="str">
        <f t="shared" si="71"/>
        <v xml:space="preserve"> </v>
      </c>
      <c r="D466" s="1418">
        <v>2</v>
      </c>
      <c r="E466" s="980" t="str">
        <f>VLOOKUP($B466,DG!A:D,DG!$B$2,)</f>
        <v>04.4001</v>
      </c>
      <c r="F466" s="990" t="str">
        <f>VLOOKUP($B466,DG!A:D,DG!$C$2,)</f>
        <v>Đà cản BTCT 1,2m</v>
      </c>
      <c r="G466" s="984" t="str">
        <f>VLOOKUP($B466,DG!A:D,DG!$D$2,)</f>
        <v>cái</v>
      </c>
      <c r="H466" s="1694">
        <f t="shared" ref="H466:N467" si="85">H$465*$D466</f>
        <v>0</v>
      </c>
      <c r="I466" s="1694">
        <f t="shared" si="85"/>
        <v>0</v>
      </c>
      <c r="J466" s="1694">
        <f t="shared" si="85"/>
        <v>0</v>
      </c>
      <c r="K466" s="1694">
        <f t="shared" si="85"/>
        <v>0</v>
      </c>
      <c r="L466" s="1694">
        <f t="shared" si="85"/>
        <v>0</v>
      </c>
      <c r="M466" s="1694">
        <f t="shared" si="85"/>
        <v>0</v>
      </c>
      <c r="N466" s="1694">
        <f t="shared" si="85"/>
        <v>0</v>
      </c>
      <c r="O466" s="1694"/>
      <c r="P466" s="1694"/>
      <c r="Q466" s="988"/>
      <c r="R466" s="988"/>
      <c r="S466" s="988"/>
      <c r="T466" s="1862">
        <f t="shared" si="70"/>
        <v>0</v>
      </c>
    </row>
    <row r="467" spans="1:20" ht="22.2" hidden="1" customHeight="1">
      <c r="A467" s="1448">
        <f>COUNTIF($C$12:C467,"x")</f>
        <v>24</v>
      </c>
      <c r="B467" s="1465" t="s">
        <v>566</v>
      </c>
      <c r="C467" s="60" t="str">
        <f t="shared" si="71"/>
        <v xml:space="preserve"> </v>
      </c>
      <c r="D467" s="1418">
        <v>2</v>
      </c>
      <c r="E467" s="984"/>
      <c r="F467" s="990" t="str">
        <f>VLOOKUP($B467,DG!A:D,DG!$C$2,)</f>
        <v>Boulon 22x650+ 2 long đền vuông D24-50x50x3/Zn</v>
      </c>
      <c r="G467" s="984" t="str">
        <f>VLOOKUP($B467,DG!A:D,DG!$D$2,)</f>
        <v>bộ</v>
      </c>
      <c r="H467" s="1694">
        <f t="shared" si="85"/>
        <v>0</v>
      </c>
      <c r="I467" s="1694">
        <f t="shared" si="85"/>
        <v>0</v>
      </c>
      <c r="J467" s="1694">
        <f t="shared" si="85"/>
        <v>0</v>
      </c>
      <c r="K467" s="1694">
        <f t="shared" si="85"/>
        <v>0</v>
      </c>
      <c r="L467" s="1694">
        <f t="shared" si="85"/>
        <v>0</v>
      </c>
      <c r="M467" s="1694">
        <f t="shared" si="85"/>
        <v>0</v>
      </c>
      <c r="N467" s="1694">
        <f t="shared" si="85"/>
        <v>0</v>
      </c>
      <c r="O467" s="1694"/>
      <c r="P467" s="1694"/>
      <c r="Q467" s="988"/>
      <c r="R467" s="988"/>
      <c r="S467" s="988"/>
      <c r="T467" s="1862">
        <f t="shared" si="70"/>
        <v>0</v>
      </c>
    </row>
    <row r="468" spans="1:20" ht="22.2" hidden="1" customHeight="1">
      <c r="A468" s="1448">
        <f>COUNTIF($C$12:C468,"x")</f>
        <v>24</v>
      </c>
      <c r="B468" s="1465" t="s">
        <v>639</v>
      </c>
      <c r="C468" s="60" t="str">
        <f t="shared" si="71"/>
        <v xml:space="preserve"> </v>
      </c>
      <c r="D468" s="1417">
        <v>10.33</v>
      </c>
      <c r="E468" s="984" t="str">
        <f>VLOOKUP($B468,DG!A:D,DG!$B$2,)</f>
        <v>03.1013</v>
      </c>
      <c r="F468" s="985" t="str">
        <f>VLOOKUP($B468,DG!A:D,DG!$C$2,)</f>
        <v>Đào hố móng đất cấp 3 sâu &gt;1m</v>
      </c>
      <c r="G468" s="984" t="str">
        <f>VLOOKUP($B468,DG!A:D,DG!$D$2,)</f>
        <v>m3</v>
      </c>
      <c r="H468" s="1694"/>
      <c r="I468" s="1694"/>
      <c r="J468" s="1694"/>
      <c r="K468" s="1694"/>
      <c r="L468" s="1694"/>
      <c r="M468" s="1694"/>
      <c r="N468" s="1694"/>
      <c r="O468" s="1694"/>
      <c r="P468" s="1694"/>
      <c r="Q468" s="991"/>
      <c r="R468" s="991"/>
      <c r="S468" s="991"/>
      <c r="T468" s="1862">
        <f t="shared" si="70"/>
        <v>0</v>
      </c>
    </row>
    <row r="469" spans="1:20" ht="22.2" hidden="1" customHeight="1">
      <c r="A469" s="1448">
        <f>COUNTIF($C$12:C469,"x")</f>
        <v>24</v>
      </c>
      <c r="B469" s="1465" t="s">
        <v>21</v>
      </c>
      <c r="C469" s="60" t="str">
        <f t="shared" si="71"/>
        <v xml:space="preserve"> </v>
      </c>
      <c r="D469" s="1417">
        <v>11.93</v>
      </c>
      <c r="E469" s="984" t="str">
        <f>VLOOKUP($B469,DG!A:D,DG!$B$2,)</f>
        <v>03.4113</v>
      </c>
      <c r="F469" s="985" t="str">
        <f>VLOOKUP($B469,DG!A:D,DG!$C$2,)</f>
        <v>Đắp đất hố móng, độ chặt k=0,95</v>
      </c>
      <c r="G469" s="984" t="str">
        <f>VLOOKUP($B469,DG!A:D,DG!$D$2,)</f>
        <v>m3</v>
      </c>
      <c r="H469" s="1694"/>
      <c r="I469" s="1694"/>
      <c r="J469" s="1694"/>
      <c r="K469" s="1694"/>
      <c r="L469" s="1694"/>
      <c r="M469" s="1694"/>
      <c r="N469" s="1694"/>
      <c r="O469" s="1694"/>
      <c r="P469" s="1694"/>
      <c r="Q469" s="991"/>
      <c r="R469" s="991"/>
      <c r="S469" s="991"/>
      <c r="T469" s="1862">
        <f t="shared" si="70"/>
        <v>0</v>
      </c>
    </row>
    <row r="470" spans="1:20" ht="22.2" hidden="1" customHeight="1">
      <c r="A470" s="1448">
        <f>COUNTIF($C$12:C470,"x")</f>
        <v>24</v>
      </c>
      <c r="B470" s="1465" t="s">
        <v>637</v>
      </c>
      <c r="C470" s="60" t="str">
        <f t="shared" si="71"/>
        <v xml:space="preserve"> </v>
      </c>
      <c r="D470" s="1417">
        <f>0.1*D466</f>
        <v>0.2</v>
      </c>
      <c r="E470" s="984" t="str">
        <f>VLOOKUP($B470,DG!A:D,DG!$B$2,)</f>
        <v>02.1123</v>
      </c>
      <c r="F470" s="985" t="str">
        <f>VLOOKUP($B470,DG!A:D,DG!$C$2,)</f>
        <v>Bốc dỡ đà cản, đế néo</v>
      </c>
      <c r="G470" s="984" t="str">
        <f>VLOOKUP($B470,DG!A:D,DG!$D$2,)</f>
        <v>tấn</v>
      </c>
      <c r="H470" s="1694"/>
      <c r="I470" s="1694"/>
      <c r="J470" s="1694"/>
      <c r="K470" s="1694"/>
      <c r="L470" s="1694"/>
      <c r="M470" s="1694"/>
      <c r="N470" s="1694"/>
      <c r="O470" s="1694"/>
      <c r="P470" s="1694"/>
      <c r="Q470" s="988"/>
      <c r="R470" s="988"/>
      <c r="S470" s="988"/>
      <c r="T470" s="1862">
        <f t="shared" si="70"/>
        <v>0</v>
      </c>
    </row>
    <row r="471" spans="1:20" ht="22.2" hidden="1" customHeight="1">
      <c r="A471" s="1448">
        <f>COUNTIF($C$12:C471,"x")</f>
        <v>24</v>
      </c>
      <c r="B471" s="1453" t="s">
        <v>2063</v>
      </c>
      <c r="C471" s="60" t="str">
        <f t="shared" si="71"/>
        <v xml:space="preserve"> </v>
      </c>
      <c r="D471" s="1417">
        <f>+D470</f>
        <v>0.2</v>
      </c>
      <c r="E471" s="984" t="str">
        <f>VLOOKUP($B471,DG!A:C,2,)</f>
        <v>02.1451</v>
      </c>
      <c r="F471" s="985" t="str">
        <f>VLOOKUP($B471,DG!A:C,3,)</f>
        <v>V/c đà cản vào vị trí (cự ly &lt;=100m)</v>
      </c>
      <c r="G471" s="984" t="str">
        <f>VLOOKUP($B471,DG!A:D,4,0)</f>
        <v>tấn</v>
      </c>
      <c r="H471" s="1694"/>
      <c r="I471" s="1694"/>
      <c r="J471" s="1694"/>
      <c r="K471" s="1694"/>
      <c r="L471" s="1694"/>
      <c r="M471" s="1694"/>
      <c r="N471" s="1694"/>
      <c r="O471" s="1694"/>
      <c r="P471" s="1694"/>
      <c r="Q471" s="991"/>
      <c r="R471" s="991"/>
      <c r="S471" s="991"/>
      <c r="T471" s="1862">
        <f t="shared" si="70"/>
        <v>0</v>
      </c>
    </row>
    <row r="472" spans="1:20" ht="22.2" hidden="1" customHeight="1">
      <c r="A472" s="1448">
        <f>COUNTIF($C$12:C472,"x")</f>
        <v>24</v>
      </c>
      <c r="B472" s="1453" t="s">
        <v>635</v>
      </c>
      <c r="C472" s="60" t="str">
        <f t="shared" si="71"/>
        <v xml:space="preserve"> </v>
      </c>
      <c r="D472" s="1417">
        <v>0.2</v>
      </c>
      <c r="E472" s="984" t="str">
        <f>VLOOKUP($B472,DG!A:C,2,)</f>
        <v>02.1482</v>
      </c>
      <c r="F472" s="985" t="str">
        <f>VLOOKUP($B472,DG!A:C,3,)</f>
        <v>V/c dụng cụ thi công vào vị trí (cự ly &lt;=100m)</v>
      </c>
      <c r="G472" s="984" t="str">
        <f>VLOOKUP($B472,DG!A:D,4,0)</f>
        <v>tấn</v>
      </c>
      <c r="H472" s="1694"/>
      <c r="I472" s="1694"/>
      <c r="J472" s="1694"/>
      <c r="K472" s="1694"/>
      <c r="L472" s="1694"/>
      <c r="M472" s="1694"/>
      <c r="N472" s="1694"/>
      <c r="O472" s="1694"/>
      <c r="P472" s="1694"/>
      <c r="Q472" s="991"/>
      <c r="R472" s="991"/>
      <c r="S472" s="991"/>
      <c r="T472" s="1862">
        <f t="shared" si="70"/>
        <v>0</v>
      </c>
    </row>
    <row r="473" spans="1:20" ht="22.2" hidden="1" customHeight="1">
      <c r="A473" s="1448">
        <f>COUNTIF($C$12:C473,"x")</f>
        <v>24</v>
      </c>
      <c r="B473" s="1452" t="s">
        <v>483</v>
      </c>
      <c r="C473" s="59" t="str">
        <f t="shared" si="71"/>
        <v xml:space="preserve"> </v>
      </c>
      <c r="D473" s="1412"/>
      <c r="E473" s="981"/>
      <c r="F473" s="1276" t="s">
        <v>2373</v>
      </c>
      <c r="G473" s="982" t="s">
        <v>2327</v>
      </c>
      <c r="H473" s="1691">
        <f>SUM(I473:O473)</f>
        <v>0</v>
      </c>
      <c r="I473" s="1692"/>
      <c r="J473" s="1692"/>
      <c r="K473" s="1692">
        <f>IFERROR(HLOOKUP(B473,pp3p1m!$1:$3,2,0),0)</f>
        <v>0</v>
      </c>
      <c r="L473" s="1692">
        <f>IFERROR(HLOOKUP(chitiet!B473,pp1p!$1:$3,3,0),0)</f>
        <v>0</v>
      </c>
      <c r="M473" s="1692"/>
      <c r="N473" s="1692"/>
      <c r="O473" s="1692"/>
      <c r="P473" s="2674">
        <f>T473</f>
        <v>0</v>
      </c>
      <c r="Q473" s="983">
        <f>IF(P473&gt;H473,P473-H473,0)</f>
        <v>0</v>
      </c>
      <c r="R473" s="983">
        <f>IF(H473&gt;P473,H473-P473,0)</f>
        <v>0</v>
      </c>
      <c r="S473" s="983"/>
      <c r="T473" s="1862">
        <f>IFERROR(HLOOKUP(B473,pp1p!$1:$3,3,0),0)+IFERROR(HLOOKUP(B473,pp3p1m!$1:$3,3,0),0)</f>
        <v>0</v>
      </c>
    </row>
    <row r="474" spans="1:20" ht="22.2" hidden="1" customHeight="1">
      <c r="A474" s="1448">
        <f>COUNTIF($C$12:C474,"x")</f>
        <v>24</v>
      </c>
      <c r="B474" s="1465" t="s">
        <v>1575</v>
      </c>
      <c r="C474" s="60" t="str">
        <f t="shared" si="71"/>
        <v xml:space="preserve"> </v>
      </c>
      <c r="D474" s="1418">
        <v>1</v>
      </c>
      <c r="E474" s="980" t="str">
        <f>VLOOKUP($B474,DG!A:D,DG!$B$2,)</f>
        <v>04.3801</v>
      </c>
      <c r="F474" s="990" t="str">
        <f>VLOOKUP($B474,DG!A:D,DG!$C$2,)</f>
        <v>Đà cản BTCT 1,5m</v>
      </c>
      <c r="G474" s="984" t="str">
        <f>VLOOKUP($B474,DG!A:D,DG!$D$2,)</f>
        <v>cái</v>
      </c>
      <c r="H474" s="1694">
        <f t="shared" ref="H474:N476" si="86">H$473*$D474</f>
        <v>0</v>
      </c>
      <c r="I474" s="1694">
        <f t="shared" si="86"/>
        <v>0</v>
      </c>
      <c r="J474" s="1694">
        <f t="shared" si="86"/>
        <v>0</v>
      </c>
      <c r="K474" s="1694">
        <f t="shared" si="86"/>
        <v>0</v>
      </c>
      <c r="L474" s="1694">
        <f t="shared" si="86"/>
        <v>0</v>
      </c>
      <c r="M474" s="1694">
        <f t="shared" si="86"/>
        <v>0</v>
      </c>
      <c r="N474" s="1694">
        <f t="shared" si="86"/>
        <v>0</v>
      </c>
      <c r="O474" s="1694"/>
      <c r="P474" s="1694"/>
      <c r="Q474" s="988"/>
      <c r="R474" s="988"/>
      <c r="S474" s="988"/>
      <c r="T474" s="1862">
        <f t="shared" si="70"/>
        <v>0</v>
      </c>
    </row>
    <row r="475" spans="1:20" ht="22.2" hidden="1" customHeight="1">
      <c r="A475" s="1448">
        <f>COUNTIF($C$12:C475,"x")</f>
        <v>24</v>
      </c>
      <c r="B475" s="1465" t="s">
        <v>636</v>
      </c>
      <c r="C475" s="60" t="str">
        <f t="shared" si="71"/>
        <v xml:space="preserve"> </v>
      </c>
      <c r="D475" s="1418">
        <v>1</v>
      </c>
      <c r="E475" s="980" t="str">
        <f>VLOOKUP($B475,DG!A:D,DG!$B$2,)</f>
        <v>04.4001</v>
      </c>
      <c r="F475" s="990" t="str">
        <f>VLOOKUP($B475,DG!A:D,DG!$C$2,)</f>
        <v>Đà cản BTCT 1,2m</v>
      </c>
      <c r="G475" s="984" t="str">
        <f>VLOOKUP($B475,DG!A:D,DG!$D$2,)</f>
        <v>cái</v>
      </c>
      <c r="H475" s="1694">
        <f t="shared" si="86"/>
        <v>0</v>
      </c>
      <c r="I475" s="1694">
        <f t="shared" si="86"/>
        <v>0</v>
      </c>
      <c r="J475" s="1694">
        <f t="shared" si="86"/>
        <v>0</v>
      </c>
      <c r="K475" s="1694">
        <f t="shared" si="86"/>
        <v>0</v>
      </c>
      <c r="L475" s="1694">
        <f t="shared" si="86"/>
        <v>0</v>
      </c>
      <c r="M475" s="1694">
        <f t="shared" si="86"/>
        <v>0</v>
      </c>
      <c r="N475" s="1694">
        <f t="shared" si="86"/>
        <v>0</v>
      </c>
      <c r="O475" s="1694"/>
      <c r="P475" s="1694"/>
      <c r="Q475" s="988"/>
      <c r="R475" s="988"/>
      <c r="S475" s="988"/>
      <c r="T475" s="1862">
        <f t="shared" si="70"/>
        <v>0</v>
      </c>
    </row>
    <row r="476" spans="1:20" ht="22.2" hidden="1" customHeight="1">
      <c r="A476" s="1448">
        <f>COUNTIF($C$12:C476,"x")</f>
        <v>24</v>
      </c>
      <c r="B476" s="1465" t="s">
        <v>566</v>
      </c>
      <c r="C476" s="60" t="str">
        <f t="shared" si="71"/>
        <v xml:space="preserve"> </v>
      </c>
      <c r="D476" s="1418">
        <v>2</v>
      </c>
      <c r="E476" s="984"/>
      <c r="F476" s="990" t="str">
        <f>VLOOKUP($B476,DG!A:D,DG!$C$2,)</f>
        <v>Boulon 22x650+ 2 long đền vuông D24-50x50x3/Zn</v>
      </c>
      <c r="G476" s="984" t="str">
        <f>VLOOKUP($B476,DG!A:D,DG!$D$2,)</f>
        <v>bộ</v>
      </c>
      <c r="H476" s="1694">
        <f t="shared" si="86"/>
        <v>0</v>
      </c>
      <c r="I476" s="1694">
        <f t="shared" si="86"/>
        <v>0</v>
      </c>
      <c r="J476" s="1694">
        <f t="shared" si="86"/>
        <v>0</v>
      </c>
      <c r="K476" s="1694">
        <f t="shared" si="86"/>
        <v>0</v>
      </c>
      <c r="L476" s="1694">
        <f t="shared" si="86"/>
        <v>0</v>
      </c>
      <c r="M476" s="1694">
        <f t="shared" si="86"/>
        <v>0</v>
      </c>
      <c r="N476" s="1694">
        <f t="shared" si="86"/>
        <v>0</v>
      </c>
      <c r="O476" s="1694"/>
      <c r="P476" s="1694"/>
      <c r="Q476" s="988"/>
      <c r="R476" s="988"/>
      <c r="S476" s="988"/>
      <c r="T476" s="1862">
        <f t="shared" si="70"/>
        <v>0</v>
      </c>
    </row>
    <row r="477" spans="1:20" ht="22.2" hidden="1" customHeight="1">
      <c r="A477" s="1448">
        <f>COUNTIF($C$12:C477,"x")</f>
        <v>24</v>
      </c>
      <c r="B477" s="1465" t="s">
        <v>639</v>
      </c>
      <c r="C477" s="60" t="str">
        <f t="shared" si="71"/>
        <v xml:space="preserve"> </v>
      </c>
      <c r="D477" s="1417">
        <v>10.63</v>
      </c>
      <c r="E477" s="984" t="str">
        <f>VLOOKUP($B477,DG!A:D,DG!$B$2,)</f>
        <v>03.1013</v>
      </c>
      <c r="F477" s="985" t="str">
        <f>VLOOKUP($B477,DG!A:D,DG!$C$2,)</f>
        <v>Đào hố móng đất cấp 3 sâu &gt;1m</v>
      </c>
      <c r="G477" s="984" t="str">
        <f>VLOOKUP($B477,DG!A:D,DG!$D$2,)</f>
        <v>m3</v>
      </c>
      <c r="H477" s="1694"/>
      <c r="I477" s="1694"/>
      <c r="J477" s="1694"/>
      <c r="K477" s="1694"/>
      <c r="L477" s="1694"/>
      <c r="M477" s="1694"/>
      <c r="N477" s="1694"/>
      <c r="O477" s="1694"/>
      <c r="P477" s="1694"/>
      <c r="Q477" s="991"/>
      <c r="R477" s="991"/>
      <c r="S477" s="991"/>
      <c r="T477" s="1862">
        <f t="shared" si="70"/>
        <v>0</v>
      </c>
    </row>
    <row r="478" spans="1:20" ht="22.2" hidden="1" customHeight="1">
      <c r="A478" s="1448">
        <f>COUNTIF($C$12:C478,"x")</f>
        <v>24</v>
      </c>
      <c r="B478" s="1465" t="s">
        <v>21</v>
      </c>
      <c r="C478" s="60" t="str">
        <f t="shared" si="71"/>
        <v xml:space="preserve"> </v>
      </c>
      <c r="D478" s="1417">
        <v>12.23</v>
      </c>
      <c r="E478" s="984" t="str">
        <f>VLOOKUP($B478,DG!A:D,DG!$B$2,)</f>
        <v>03.4113</v>
      </c>
      <c r="F478" s="985" t="str">
        <f>VLOOKUP($B478,DG!A:D,DG!$C$2,)</f>
        <v>Đắp đất hố móng, độ chặt k=0,95</v>
      </c>
      <c r="G478" s="984" t="str">
        <f>VLOOKUP($B478,DG!A:D,DG!$D$2,)</f>
        <v>m3</v>
      </c>
      <c r="H478" s="1694"/>
      <c r="I478" s="1694"/>
      <c r="J478" s="1694"/>
      <c r="K478" s="1694"/>
      <c r="L478" s="1694"/>
      <c r="M478" s="1694"/>
      <c r="N478" s="1694"/>
      <c r="O478" s="1694"/>
      <c r="P478" s="1694"/>
      <c r="Q478" s="991"/>
      <c r="R478" s="991"/>
      <c r="S478" s="991"/>
      <c r="T478" s="1862">
        <f t="shared" si="70"/>
        <v>0</v>
      </c>
    </row>
    <row r="479" spans="1:20" ht="22.2" hidden="1" customHeight="1">
      <c r="A479" s="1448">
        <f>COUNTIF($C$12:C479,"x")</f>
        <v>24</v>
      </c>
      <c r="B479" s="1465" t="s">
        <v>637</v>
      </c>
      <c r="C479" s="60" t="str">
        <f t="shared" si="71"/>
        <v xml:space="preserve"> </v>
      </c>
      <c r="D479" s="1417">
        <f>0.255+0.1</f>
        <v>0.35499999999999998</v>
      </c>
      <c r="E479" s="984" t="str">
        <f>VLOOKUP($B479,DG!A:D,DG!$B$2,)</f>
        <v>02.1123</v>
      </c>
      <c r="F479" s="985" t="str">
        <f>VLOOKUP($B479,DG!A:D,DG!$C$2,)</f>
        <v>Bốc dỡ đà cản, đế néo</v>
      </c>
      <c r="G479" s="984" t="str">
        <f>VLOOKUP($B479,DG!A:D,DG!$D$2,)</f>
        <v>tấn</v>
      </c>
      <c r="H479" s="1694"/>
      <c r="I479" s="1694"/>
      <c r="J479" s="1694"/>
      <c r="K479" s="1694"/>
      <c r="L479" s="1694"/>
      <c r="M479" s="1694"/>
      <c r="N479" s="1694"/>
      <c r="O479" s="1694"/>
      <c r="P479" s="1694"/>
      <c r="Q479" s="988"/>
      <c r="R479" s="988"/>
      <c r="S479" s="988"/>
      <c r="T479" s="1862">
        <f t="shared" si="70"/>
        <v>0</v>
      </c>
    </row>
    <row r="480" spans="1:20" ht="22.2" hidden="1" customHeight="1">
      <c r="A480" s="1448">
        <f>COUNTIF($C$12:C480,"x")</f>
        <v>24</v>
      </c>
      <c r="B480" s="1453" t="s">
        <v>2063</v>
      </c>
      <c r="C480" s="60" t="str">
        <f t="shared" si="71"/>
        <v xml:space="preserve"> </v>
      </c>
      <c r="D480" s="1417">
        <f>D479</f>
        <v>0.35499999999999998</v>
      </c>
      <c r="E480" s="984" t="str">
        <f>VLOOKUP($B480,DG!A:C,2,)</f>
        <v>02.1451</v>
      </c>
      <c r="F480" s="985" t="str">
        <f>VLOOKUP($B480,DG!A:C,3,)</f>
        <v>V/c đà cản vào vị trí (cự ly &lt;=100m)</v>
      </c>
      <c r="G480" s="984" t="str">
        <f>VLOOKUP($B480,DG!A:D,4,0)</f>
        <v>tấn</v>
      </c>
      <c r="H480" s="1694"/>
      <c r="I480" s="1694"/>
      <c r="J480" s="1694"/>
      <c r="K480" s="1694"/>
      <c r="L480" s="1694"/>
      <c r="M480" s="1694"/>
      <c r="N480" s="1694"/>
      <c r="O480" s="1694"/>
      <c r="P480" s="1694"/>
      <c r="Q480" s="991"/>
      <c r="R480" s="991"/>
      <c r="S480" s="991"/>
      <c r="T480" s="1862">
        <f t="shared" si="70"/>
        <v>0</v>
      </c>
    </row>
    <row r="481" spans="1:20" ht="22.2" hidden="1" customHeight="1">
      <c r="A481" s="1448">
        <f>COUNTIF($C$12:C481,"x")</f>
        <v>24</v>
      </c>
      <c r="B481" s="1453" t="s">
        <v>635</v>
      </c>
      <c r="C481" s="60" t="str">
        <f t="shared" si="71"/>
        <v xml:space="preserve"> </v>
      </c>
      <c r="D481" s="1417">
        <v>0.2</v>
      </c>
      <c r="E481" s="984" t="str">
        <f>VLOOKUP($B481,DG!A:C,2,)</f>
        <v>02.1482</v>
      </c>
      <c r="F481" s="985" t="str">
        <f>VLOOKUP($B481,DG!A:C,3,)</f>
        <v>V/c dụng cụ thi công vào vị trí (cự ly &lt;=100m)</v>
      </c>
      <c r="G481" s="984" t="str">
        <f>VLOOKUP($B481,DG!A:D,4,0)</f>
        <v>tấn</v>
      </c>
      <c r="H481" s="1694"/>
      <c r="I481" s="1694"/>
      <c r="J481" s="1694"/>
      <c r="K481" s="1694"/>
      <c r="L481" s="1694"/>
      <c r="M481" s="1694"/>
      <c r="N481" s="1694"/>
      <c r="O481" s="1694"/>
      <c r="P481" s="1694"/>
      <c r="Q481" s="991"/>
      <c r="R481" s="991"/>
      <c r="S481" s="991"/>
      <c r="T481" s="1862">
        <f t="shared" si="70"/>
        <v>0</v>
      </c>
    </row>
    <row r="482" spans="1:20" ht="22.2" hidden="1" customHeight="1">
      <c r="A482" s="1448">
        <f>COUNTIF($C$12:C482,"x")</f>
        <v>24</v>
      </c>
      <c r="B482" s="1452" t="s">
        <v>484</v>
      </c>
      <c r="C482" s="59" t="str">
        <f t="shared" si="71"/>
        <v xml:space="preserve"> </v>
      </c>
      <c r="D482" s="1412"/>
      <c r="E482" s="981"/>
      <c r="F482" s="1276" t="s">
        <v>2374</v>
      </c>
      <c r="G482" s="982" t="s">
        <v>2327</v>
      </c>
      <c r="H482" s="1691">
        <f>SUM(I482:O482)</f>
        <v>0</v>
      </c>
      <c r="I482" s="1692"/>
      <c r="J482" s="1692"/>
      <c r="K482" s="1692">
        <f>IFERROR(HLOOKUP(B482,pp3p1m!$1:$3,2,0),0)</f>
        <v>0</v>
      </c>
      <c r="L482" s="1692">
        <f>IFERROR(HLOOKUP(chitiet!B482,pp1p!$1:$3,3,0),0)</f>
        <v>0</v>
      </c>
      <c r="M482" s="1692"/>
      <c r="N482" s="1692"/>
      <c r="O482" s="1692"/>
      <c r="P482" s="2674">
        <f>T482</f>
        <v>0</v>
      </c>
      <c r="Q482" s="983">
        <f>IF(P482&gt;H482,P482-H482,0)</f>
        <v>0</v>
      </c>
      <c r="R482" s="983">
        <f>IF(H482&gt;P482,H482-P482,0)</f>
        <v>0</v>
      </c>
      <c r="S482" s="983"/>
      <c r="T482" s="1862">
        <f>IFERROR(HLOOKUP(B482,pp1p!$1:$3,3,0),0)+IFERROR(HLOOKUP(B482,pp3p1m!$1:$3,3,0),0)</f>
        <v>0</v>
      </c>
    </row>
    <row r="483" spans="1:20" ht="22.2" hidden="1" customHeight="1">
      <c r="A483" s="1448">
        <f>COUNTIF($C$12:C483,"x")</f>
        <v>24</v>
      </c>
      <c r="B483" s="1465" t="s">
        <v>1575</v>
      </c>
      <c r="C483" s="60" t="str">
        <f t="shared" ref="C483:C546" si="87">IF(OR(P483&lt;&gt;0,H483&lt;&gt;0),"x"," ")</f>
        <v xml:space="preserve"> </v>
      </c>
      <c r="D483" s="1418">
        <v>2</v>
      </c>
      <c r="E483" s="980" t="str">
        <f>VLOOKUP($B483,DG!A:D,DG!$B$2,)</f>
        <v>04.3801</v>
      </c>
      <c r="F483" s="990" t="str">
        <f>VLOOKUP($B483,DG!A:D,DG!$C$2,)</f>
        <v>Đà cản BTCT 1,5m</v>
      </c>
      <c r="G483" s="984" t="str">
        <f>VLOOKUP($B483,DG!A:D,DG!$D$2,)</f>
        <v>cái</v>
      </c>
      <c r="H483" s="1694">
        <f t="shared" ref="H483:N484" si="88">H$482*$D483</f>
        <v>0</v>
      </c>
      <c r="I483" s="1694">
        <f t="shared" si="88"/>
        <v>0</v>
      </c>
      <c r="J483" s="1694">
        <f t="shared" si="88"/>
        <v>0</v>
      </c>
      <c r="K483" s="1694">
        <f t="shared" si="88"/>
        <v>0</v>
      </c>
      <c r="L483" s="1694">
        <f t="shared" si="88"/>
        <v>0</v>
      </c>
      <c r="M483" s="1694">
        <f t="shared" si="88"/>
        <v>0</v>
      </c>
      <c r="N483" s="1694">
        <f t="shared" si="88"/>
        <v>0</v>
      </c>
      <c r="O483" s="1694"/>
      <c r="P483" s="1694"/>
      <c r="Q483" s="988"/>
      <c r="R483" s="988"/>
      <c r="S483" s="988"/>
      <c r="T483" s="1862">
        <f t="shared" ref="T483:T545" si="89">IFERROR(HLOOKUP(B483,BangKeTru,3,0),0)</f>
        <v>0</v>
      </c>
    </row>
    <row r="484" spans="1:20" ht="22.2" hidden="1" customHeight="1">
      <c r="A484" s="1448">
        <f>COUNTIF($C$12:C484,"x")</f>
        <v>24</v>
      </c>
      <c r="B484" s="1465" t="s">
        <v>566</v>
      </c>
      <c r="C484" s="60" t="str">
        <f t="shared" si="87"/>
        <v xml:space="preserve"> </v>
      </c>
      <c r="D484" s="1418">
        <v>2</v>
      </c>
      <c r="E484" s="984"/>
      <c r="F484" s="990" t="str">
        <f>VLOOKUP($B484,DG!A:D,DG!$C$2,)</f>
        <v>Boulon 22x650+ 2 long đền vuông D24-50x50x3/Zn</v>
      </c>
      <c r="G484" s="984" t="str">
        <f>VLOOKUP($B484,DG!A:D,DG!$D$2,)</f>
        <v>bộ</v>
      </c>
      <c r="H484" s="1694">
        <f t="shared" si="88"/>
        <v>0</v>
      </c>
      <c r="I484" s="1694">
        <f t="shared" si="88"/>
        <v>0</v>
      </c>
      <c r="J484" s="1694">
        <f t="shared" si="88"/>
        <v>0</v>
      </c>
      <c r="K484" s="1694">
        <f t="shared" si="88"/>
        <v>0</v>
      </c>
      <c r="L484" s="1694">
        <f t="shared" si="88"/>
        <v>0</v>
      </c>
      <c r="M484" s="1694">
        <f t="shared" si="88"/>
        <v>0</v>
      </c>
      <c r="N484" s="1694">
        <f t="shared" si="88"/>
        <v>0</v>
      </c>
      <c r="O484" s="1694"/>
      <c r="P484" s="1694"/>
      <c r="Q484" s="988"/>
      <c r="R484" s="988"/>
      <c r="S484" s="988"/>
      <c r="T484" s="1862">
        <f t="shared" si="89"/>
        <v>0</v>
      </c>
    </row>
    <row r="485" spans="1:20" ht="22.2" hidden="1" customHeight="1">
      <c r="A485" s="1448">
        <f>COUNTIF($C$12:C485,"x")</f>
        <v>24</v>
      </c>
      <c r="B485" s="1465" t="s">
        <v>639</v>
      </c>
      <c r="C485" s="60" t="str">
        <f t="shared" si="87"/>
        <v xml:space="preserve"> </v>
      </c>
      <c r="D485" s="1417">
        <v>13.55</v>
      </c>
      <c r="E485" s="984" t="str">
        <f>VLOOKUP($B485,DG!A:D,DG!$B$2,)</f>
        <v>03.1013</v>
      </c>
      <c r="F485" s="985" t="str">
        <f>VLOOKUP($B485,DG!A:D,DG!$C$2,)</f>
        <v>Đào hố móng đất cấp 3 sâu &gt;1m</v>
      </c>
      <c r="G485" s="984" t="str">
        <f>VLOOKUP($B485,DG!A:D,DG!$D$2,)</f>
        <v>m3</v>
      </c>
      <c r="H485" s="1694"/>
      <c r="I485" s="1694"/>
      <c r="J485" s="1694"/>
      <c r="K485" s="1694"/>
      <c r="L485" s="1694"/>
      <c r="M485" s="1694"/>
      <c r="N485" s="1694"/>
      <c r="O485" s="1694"/>
      <c r="P485" s="1694"/>
      <c r="Q485" s="991"/>
      <c r="R485" s="991"/>
      <c r="S485" s="991"/>
      <c r="T485" s="1862">
        <f t="shared" si="89"/>
        <v>0</v>
      </c>
    </row>
    <row r="486" spans="1:20" ht="22.2" hidden="1" customHeight="1">
      <c r="A486" s="1448">
        <f>COUNTIF($C$12:C486,"x")</f>
        <v>24</v>
      </c>
      <c r="B486" s="1465" t="s">
        <v>21</v>
      </c>
      <c r="C486" s="60" t="str">
        <f t="shared" si="87"/>
        <v xml:space="preserve"> </v>
      </c>
      <c r="D486" s="1417">
        <v>15.44</v>
      </c>
      <c r="E486" s="984" t="str">
        <f>VLOOKUP($B486,DG!A:D,DG!$B$2,)</f>
        <v>03.4113</v>
      </c>
      <c r="F486" s="985" t="str">
        <f>VLOOKUP($B486,DG!A:D,DG!$C$2,)</f>
        <v>Đắp đất hố móng, độ chặt k=0,95</v>
      </c>
      <c r="G486" s="984" t="str">
        <f>VLOOKUP($B486,DG!A:D,DG!$D$2,)</f>
        <v>m3</v>
      </c>
      <c r="H486" s="1694"/>
      <c r="I486" s="1694"/>
      <c r="J486" s="1694"/>
      <c r="K486" s="1694"/>
      <c r="L486" s="1694"/>
      <c r="M486" s="1694"/>
      <c r="N486" s="1694"/>
      <c r="O486" s="1694"/>
      <c r="P486" s="1694"/>
      <c r="Q486" s="991"/>
      <c r="R486" s="991"/>
      <c r="S486" s="991"/>
      <c r="T486" s="1862">
        <f t="shared" si="89"/>
        <v>0</v>
      </c>
    </row>
    <row r="487" spans="1:20" ht="22.2" hidden="1" customHeight="1">
      <c r="A487" s="1448">
        <f>COUNTIF($C$12:C487,"x")</f>
        <v>24</v>
      </c>
      <c r="B487" s="1465" t="s">
        <v>637</v>
      </c>
      <c r="C487" s="60" t="str">
        <f t="shared" si="87"/>
        <v xml:space="preserve"> </v>
      </c>
      <c r="D487" s="1417">
        <f>0.255*2</f>
        <v>0.51</v>
      </c>
      <c r="E487" s="984" t="str">
        <f>VLOOKUP($B487,DG!A:D,DG!$B$2,)</f>
        <v>02.1123</v>
      </c>
      <c r="F487" s="985" t="str">
        <f>VLOOKUP($B487,DG!A:D,DG!$C$2,)</f>
        <v>Bốc dỡ đà cản, đế néo</v>
      </c>
      <c r="G487" s="984" t="str">
        <f>VLOOKUP($B487,DG!A:D,DG!$D$2,)</f>
        <v>tấn</v>
      </c>
      <c r="H487" s="1694"/>
      <c r="I487" s="1694"/>
      <c r="J487" s="1694"/>
      <c r="K487" s="1694"/>
      <c r="L487" s="1694"/>
      <c r="M487" s="1694"/>
      <c r="N487" s="1694"/>
      <c r="O487" s="1694"/>
      <c r="P487" s="1694"/>
      <c r="Q487" s="988"/>
      <c r="R487" s="988"/>
      <c r="S487" s="988"/>
      <c r="T487" s="1862">
        <f t="shared" si="89"/>
        <v>0</v>
      </c>
    </row>
    <row r="488" spans="1:20" ht="22.2" hidden="1" customHeight="1">
      <c r="A488" s="1448">
        <f>COUNTIF($C$12:C488,"x")</f>
        <v>24</v>
      </c>
      <c r="B488" s="1453" t="s">
        <v>2063</v>
      </c>
      <c r="C488" s="60" t="str">
        <f t="shared" si="87"/>
        <v xml:space="preserve"> </v>
      </c>
      <c r="D488" s="1417">
        <f>D487</f>
        <v>0.51</v>
      </c>
      <c r="E488" s="984" t="str">
        <f>VLOOKUP($B488,DG!A:C,2,)</f>
        <v>02.1451</v>
      </c>
      <c r="F488" s="985" t="str">
        <f>VLOOKUP($B488,DG!A:C,3,)</f>
        <v>V/c đà cản vào vị trí (cự ly &lt;=100m)</v>
      </c>
      <c r="G488" s="984" t="str">
        <f>VLOOKUP($B488,DG!A:D,4,0)</f>
        <v>tấn</v>
      </c>
      <c r="H488" s="1694"/>
      <c r="I488" s="1694"/>
      <c r="J488" s="1694"/>
      <c r="K488" s="1694"/>
      <c r="L488" s="1694"/>
      <c r="M488" s="1694"/>
      <c r="N488" s="1694"/>
      <c r="O488" s="1694"/>
      <c r="P488" s="1694"/>
      <c r="Q488" s="991"/>
      <c r="R488" s="991"/>
      <c r="S488" s="991"/>
      <c r="T488" s="1862">
        <f t="shared" si="89"/>
        <v>0</v>
      </c>
    </row>
    <row r="489" spans="1:20" ht="22.2" hidden="1" customHeight="1">
      <c r="A489" s="1448">
        <f>COUNTIF($C$12:C489,"x")</f>
        <v>24</v>
      </c>
      <c r="B489" s="1453" t="s">
        <v>635</v>
      </c>
      <c r="C489" s="60" t="str">
        <f t="shared" si="87"/>
        <v xml:space="preserve"> </v>
      </c>
      <c r="D489" s="1417">
        <v>0.2</v>
      </c>
      <c r="E489" s="984" t="str">
        <f>VLOOKUP($B489,DG!A:C,2,)</f>
        <v>02.1482</v>
      </c>
      <c r="F489" s="985" t="str">
        <f>VLOOKUP($B489,DG!A:C,3,)</f>
        <v>V/c dụng cụ thi công vào vị trí (cự ly &lt;=100m)</v>
      </c>
      <c r="G489" s="984" t="str">
        <f>VLOOKUP($B489,DG!A:D,4,0)</f>
        <v>tấn</v>
      </c>
      <c r="H489" s="1694"/>
      <c r="I489" s="1694"/>
      <c r="J489" s="1694"/>
      <c r="K489" s="1694"/>
      <c r="L489" s="1694"/>
      <c r="M489" s="1694"/>
      <c r="N489" s="1694"/>
      <c r="O489" s="1694"/>
      <c r="P489" s="1694"/>
      <c r="Q489" s="991"/>
      <c r="R489" s="991"/>
      <c r="S489" s="991"/>
      <c r="T489" s="1862">
        <f t="shared" si="89"/>
        <v>0</v>
      </c>
    </row>
    <row r="490" spans="1:20" ht="22.2" hidden="1" customHeight="1">
      <c r="A490" s="1448">
        <f>COUNTIF($C$12:C490,"x")</f>
        <v>24</v>
      </c>
      <c r="B490" s="1452" t="s">
        <v>285</v>
      </c>
      <c r="C490" s="59" t="str">
        <f t="shared" si="87"/>
        <v xml:space="preserve"> </v>
      </c>
      <c r="D490" s="1412"/>
      <c r="E490" s="981"/>
      <c r="F490" s="1276" t="s">
        <v>2375</v>
      </c>
      <c r="G490" s="982" t="s">
        <v>2327</v>
      </c>
      <c r="H490" s="1691">
        <f>SUM(I490:O490)</f>
        <v>0</v>
      </c>
      <c r="I490" s="1692"/>
      <c r="J490" s="1692"/>
      <c r="K490" s="1692">
        <f>IFERROR(HLOOKUP(B490,pp3p1m!$1:$3,2,0),0)</f>
        <v>0</v>
      </c>
      <c r="L490" s="1692">
        <f>IFERROR(HLOOKUP(chitiet!B490,pp1p!$1:$3,3,0),0)</f>
        <v>0</v>
      </c>
      <c r="M490" s="1692"/>
      <c r="N490" s="1692"/>
      <c r="O490" s="1692"/>
      <c r="P490" s="2674">
        <f>T490</f>
        <v>0</v>
      </c>
      <c r="Q490" s="983">
        <f>IF(P490&gt;H490,P490-H490,0)</f>
        <v>0</v>
      </c>
      <c r="R490" s="983">
        <f>IF(H490&gt;P490,H490-P490,0)</f>
        <v>0</v>
      </c>
      <c r="S490" s="983"/>
      <c r="T490" s="1862">
        <f>IFERROR(HLOOKUP(B490,pp1p!$1:$3,3,0),0)+IFERROR(HLOOKUP(B490,pp3p1m!$1:$3,3,0),0)</f>
        <v>0</v>
      </c>
    </row>
    <row r="491" spans="1:20" ht="22.2" hidden="1" customHeight="1">
      <c r="A491" s="1448">
        <f>COUNTIF($C$12:C491,"x")</f>
        <v>24</v>
      </c>
      <c r="B491" s="1455" t="s">
        <v>224</v>
      </c>
      <c r="C491" s="60" t="str">
        <f t="shared" si="87"/>
        <v xml:space="preserve"> </v>
      </c>
      <c r="D491" s="1415">
        <v>28</v>
      </c>
      <c r="E491" s="980" t="str">
        <f>VLOOKUP($B491,DG!A:D,DG!$B$2,)</f>
        <v>04.5142</v>
      </c>
      <c r="F491" s="992" t="str">
        <f>VLOOKUP($B491,DG!A:D,DG!$C$2,)</f>
        <v>Cừ tràm 5m</v>
      </c>
      <c r="G491" s="980" t="str">
        <f>VLOOKUP($B491,DG!A:D,DG!$D$2,)</f>
        <v>cây</v>
      </c>
      <c r="H491" s="1693">
        <f t="shared" ref="H491:N494" si="90">H$490*$D491</f>
        <v>0</v>
      </c>
      <c r="I491" s="1693">
        <f t="shared" si="90"/>
        <v>0</v>
      </c>
      <c r="J491" s="1693">
        <f t="shared" si="90"/>
        <v>0</v>
      </c>
      <c r="K491" s="1693">
        <f t="shared" si="90"/>
        <v>0</v>
      </c>
      <c r="L491" s="1693">
        <f t="shared" si="90"/>
        <v>0</v>
      </c>
      <c r="M491" s="1693">
        <f t="shared" si="90"/>
        <v>0</v>
      </c>
      <c r="N491" s="1693">
        <f t="shared" si="90"/>
        <v>0</v>
      </c>
      <c r="O491" s="1693"/>
      <c r="P491" s="1693"/>
      <c r="Q491" s="989"/>
      <c r="R491" s="989"/>
      <c r="S491" s="989"/>
      <c r="T491" s="1862">
        <f t="shared" si="89"/>
        <v>0</v>
      </c>
    </row>
    <row r="492" spans="1:20" ht="22.2" hidden="1" customHeight="1">
      <c r="A492" s="1448">
        <f>COUNTIF($C$12:C492,"x")</f>
        <v>24</v>
      </c>
      <c r="B492" s="1455" t="s">
        <v>1575</v>
      </c>
      <c r="C492" s="60" t="str">
        <f t="shared" si="87"/>
        <v xml:space="preserve"> </v>
      </c>
      <c r="D492" s="1415">
        <v>2</v>
      </c>
      <c r="E492" s="980" t="str">
        <f>VLOOKUP($B492,DG!A:D,DG!$B$2,)</f>
        <v>04.3801</v>
      </c>
      <c r="F492" s="992" t="str">
        <f>VLOOKUP($B492,DG!A:D,DG!$C$2,)</f>
        <v>Đà cản BTCT 1,5m</v>
      </c>
      <c r="G492" s="980" t="str">
        <f>VLOOKUP($B492,DG!A:D,DG!$D$2,)</f>
        <v>cái</v>
      </c>
      <c r="H492" s="1693">
        <f t="shared" si="90"/>
        <v>0</v>
      </c>
      <c r="I492" s="1693">
        <f t="shared" si="90"/>
        <v>0</v>
      </c>
      <c r="J492" s="1693">
        <f t="shared" si="90"/>
        <v>0</v>
      </c>
      <c r="K492" s="1693">
        <f t="shared" si="90"/>
        <v>0</v>
      </c>
      <c r="L492" s="1693">
        <f t="shared" si="90"/>
        <v>0</v>
      </c>
      <c r="M492" s="1693">
        <f t="shared" si="90"/>
        <v>0</v>
      </c>
      <c r="N492" s="1693">
        <f t="shared" si="90"/>
        <v>0</v>
      </c>
      <c r="O492" s="1693"/>
      <c r="P492" s="1693"/>
      <c r="Q492" s="989"/>
      <c r="R492" s="989"/>
      <c r="S492" s="989"/>
      <c r="T492" s="1862">
        <f t="shared" si="89"/>
        <v>0</v>
      </c>
    </row>
    <row r="493" spans="1:20" ht="22.2" hidden="1" customHeight="1">
      <c r="A493" s="1448">
        <f>COUNTIF($C$12:C493,"x")</f>
        <v>24</v>
      </c>
      <c r="B493" s="1455" t="s">
        <v>722</v>
      </c>
      <c r="C493" s="60" t="str">
        <f t="shared" si="87"/>
        <v xml:space="preserve"> </v>
      </c>
      <c r="D493" s="1415">
        <v>1</v>
      </c>
      <c r="E493" s="980"/>
      <c r="F493" s="992" t="str">
        <f>VLOOKUP($B493,DG!A:D,DG!$C$2,)</f>
        <v>Boulon 22x850+ 2 long đền vuông D24-50x50x3/Zn</v>
      </c>
      <c r="G493" s="980" t="str">
        <f>VLOOKUP($B493,DG!A:D,DG!$D$2,)</f>
        <v>bộ</v>
      </c>
      <c r="H493" s="1693">
        <f t="shared" si="90"/>
        <v>0</v>
      </c>
      <c r="I493" s="1693">
        <f t="shared" si="90"/>
        <v>0</v>
      </c>
      <c r="J493" s="1693">
        <f t="shared" si="90"/>
        <v>0</v>
      </c>
      <c r="K493" s="1693">
        <f t="shared" si="90"/>
        <v>0</v>
      </c>
      <c r="L493" s="1693">
        <f t="shared" si="90"/>
        <v>0</v>
      </c>
      <c r="M493" s="1693">
        <f t="shared" si="90"/>
        <v>0</v>
      </c>
      <c r="N493" s="1693">
        <f t="shared" si="90"/>
        <v>0</v>
      </c>
      <c r="O493" s="1693"/>
      <c r="P493" s="1693"/>
      <c r="Q493" s="989"/>
      <c r="R493" s="989"/>
      <c r="S493" s="989"/>
      <c r="T493" s="1862">
        <f t="shared" si="89"/>
        <v>0</v>
      </c>
    </row>
    <row r="494" spans="1:20" ht="22.2" hidden="1" customHeight="1">
      <c r="A494" s="1448">
        <f>COUNTIF($C$12:C494,"x")</f>
        <v>24</v>
      </c>
      <c r="B494" s="1455" t="s">
        <v>566</v>
      </c>
      <c r="C494" s="60" t="str">
        <f t="shared" si="87"/>
        <v xml:space="preserve"> </v>
      </c>
      <c r="D494" s="1415">
        <v>2</v>
      </c>
      <c r="E494" s="980"/>
      <c r="F494" s="992" t="str">
        <f>VLOOKUP($B494,DG!A:D,DG!$C$2,)</f>
        <v>Boulon 22x650+ 2 long đền vuông D24-50x50x3/Zn</v>
      </c>
      <c r="G494" s="980" t="str">
        <f>VLOOKUP($B494,DG!A:D,DG!$D$2,)</f>
        <v>bộ</v>
      </c>
      <c r="H494" s="1693">
        <f t="shared" si="90"/>
        <v>0</v>
      </c>
      <c r="I494" s="1693">
        <f t="shared" si="90"/>
        <v>0</v>
      </c>
      <c r="J494" s="1693">
        <f t="shared" si="90"/>
        <v>0</v>
      </c>
      <c r="K494" s="1693">
        <f t="shared" si="90"/>
        <v>0</v>
      </c>
      <c r="L494" s="1693">
        <f t="shared" si="90"/>
        <v>0</v>
      </c>
      <c r="M494" s="1693">
        <f t="shared" si="90"/>
        <v>0</v>
      </c>
      <c r="N494" s="1693">
        <f t="shared" si="90"/>
        <v>0</v>
      </c>
      <c r="O494" s="1693"/>
      <c r="P494" s="1693"/>
      <c r="Q494" s="989"/>
      <c r="R494" s="989"/>
      <c r="S494" s="989"/>
      <c r="T494" s="1862">
        <f t="shared" si="89"/>
        <v>0</v>
      </c>
    </row>
    <row r="495" spans="1:20" ht="22.2" hidden="1" customHeight="1">
      <c r="A495" s="1448">
        <f>COUNTIF($C$12:C495,"x")</f>
        <v>24</v>
      </c>
      <c r="B495" s="1455" t="s">
        <v>639</v>
      </c>
      <c r="C495" s="60" t="str">
        <f t="shared" si="87"/>
        <v xml:space="preserve"> </v>
      </c>
      <c r="D495" s="1417">
        <v>4.03</v>
      </c>
      <c r="E495" s="980" t="str">
        <f>VLOOKUP($B495,DG!A:D,DG!$B$2,)</f>
        <v>03.1013</v>
      </c>
      <c r="F495" s="985" t="str">
        <f>VLOOKUP($B495,DG!A:D,DG!$C$2,)</f>
        <v>Đào hố móng đất cấp 3 sâu &gt;1m</v>
      </c>
      <c r="G495" s="980" t="str">
        <f>VLOOKUP($B495,DG!A:D,DG!$D$2,)</f>
        <v>m3</v>
      </c>
      <c r="H495" s="1693"/>
      <c r="I495" s="1693"/>
      <c r="J495" s="1693"/>
      <c r="K495" s="1693"/>
      <c r="L495" s="1693"/>
      <c r="M495" s="1693"/>
      <c r="N495" s="1693"/>
      <c r="O495" s="1693"/>
      <c r="P495" s="1693"/>
      <c r="Q495" s="994"/>
      <c r="R495" s="994"/>
      <c r="S495" s="994"/>
      <c r="T495" s="1862">
        <f t="shared" si="89"/>
        <v>0</v>
      </c>
    </row>
    <row r="496" spans="1:20" ht="22.2" hidden="1" customHeight="1">
      <c r="A496" s="1448">
        <f>COUNTIF($C$12:C496,"x")</f>
        <v>24</v>
      </c>
      <c r="B496" s="1455" t="s">
        <v>21</v>
      </c>
      <c r="C496" s="60" t="str">
        <f t="shared" si="87"/>
        <v xml:space="preserve"> </v>
      </c>
      <c r="D496" s="1417">
        <v>4.3140000000000001</v>
      </c>
      <c r="E496" s="980" t="str">
        <f>VLOOKUP($B496,DG!A:D,DG!$B$2,)</f>
        <v>03.4113</v>
      </c>
      <c r="F496" s="985" t="str">
        <f>VLOOKUP($B496,DG!A:D,DG!$C$2,)</f>
        <v>Đắp đất hố móng, độ chặt k=0,95</v>
      </c>
      <c r="G496" s="980" t="str">
        <f>VLOOKUP($B496,DG!A:D,DG!$D$2,)</f>
        <v>m3</v>
      </c>
      <c r="H496" s="1693"/>
      <c r="I496" s="1693"/>
      <c r="J496" s="1693"/>
      <c r="K496" s="1693"/>
      <c r="L496" s="1693"/>
      <c r="M496" s="1693"/>
      <c r="N496" s="1693"/>
      <c r="O496" s="1693"/>
      <c r="P496" s="1693"/>
      <c r="Q496" s="994"/>
      <c r="R496" s="994"/>
      <c r="S496" s="994"/>
      <c r="T496" s="1862">
        <f t="shared" si="89"/>
        <v>0</v>
      </c>
    </row>
    <row r="497" spans="1:20" ht="22.2" hidden="1" customHeight="1">
      <c r="A497" s="1448">
        <f>COUNTIF($C$12:C497,"x")</f>
        <v>24</v>
      </c>
      <c r="B497" s="1455" t="s">
        <v>637</v>
      </c>
      <c r="C497" s="60" t="str">
        <f t="shared" si="87"/>
        <v xml:space="preserve"> </v>
      </c>
      <c r="D497" s="1414">
        <f>0.255*2</f>
        <v>0.51</v>
      </c>
      <c r="E497" s="980" t="str">
        <f>VLOOKUP($B497,DG!A:D,DG!$B$2,)</f>
        <v>02.1123</v>
      </c>
      <c r="F497" s="985" t="str">
        <f>VLOOKUP($B497,DG!A:D,DG!$C$2,)</f>
        <v>Bốc dỡ đà cản, đế néo</v>
      </c>
      <c r="G497" s="980" t="str">
        <f>VLOOKUP($B497,DG!A:D,DG!$D$2,)</f>
        <v>tấn</v>
      </c>
      <c r="H497" s="1693"/>
      <c r="I497" s="1693"/>
      <c r="J497" s="1693"/>
      <c r="K497" s="1693"/>
      <c r="L497" s="1693"/>
      <c r="M497" s="1693"/>
      <c r="N497" s="1693"/>
      <c r="O497" s="1693"/>
      <c r="P497" s="1693"/>
      <c r="Q497" s="994"/>
      <c r="R497" s="994"/>
      <c r="S497" s="994"/>
      <c r="T497" s="1862">
        <f t="shared" si="89"/>
        <v>0</v>
      </c>
    </row>
    <row r="498" spans="1:20" ht="22.2" hidden="1" customHeight="1">
      <c r="A498" s="1448">
        <f>COUNTIF($C$12:C498,"x")</f>
        <v>24</v>
      </c>
      <c r="B498" s="1455" t="s">
        <v>1577</v>
      </c>
      <c r="C498" s="60" t="str">
        <f t="shared" si="87"/>
        <v xml:space="preserve"> </v>
      </c>
      <c r="D498" s="1415">
        <f>D491</f>
        <v>28</v>
      </c>
      <c r="E498" s="980" t="str">
        <f>VLOOKUP($B498,DG!A:D,DG!$B$2,)</f>
        <v>02.1119</v>
      </c>
      <c r="F498" s="985" t="str">
        <f>VLOOKUP($B498,DG!A:D,DG!$C$2,)</f>
        <v>Bốc dỡ cừ tràm 5m</v>
      </c>
      <c r="G498" s="980" t="str">
        <f>VLOOKUP($B498,DG!A:D,DG!$D$2,)</f>
        <v>cây</v>
      </c>
      <c r="H498" s="1693"/>
      <c r="I498" s="1693"/>
      <c r="J498" s="1693"/>
      <c r="K498" s="1693"/>
      <c r="L498" s="1693"/>
      <c r="M498" s="1693"/>
      <c r="N498" s="1693"/>
      <c r="O498" s="1693"/>
      <c r="P498" s="1693"/>
      <c r="Q498" s="994"/>
      <c r="R498" s="994"/>
      <c r="S498" s="994"/>
      <c r="T498" s="1862">
        <f t="shared" si="89"/>
        <v>0</v>
      </c>
    </row>
    <row r="499" spans="1:20" ht="22.2" hidden="1" customHeight="1">
      <c r="A499" s="1448">
        <f>COUNTIF($C$12:C499,"x")</f>
        <v>24</v>
      </c>
      <c r="B499" s="1466" t="s">
        <v>634</v>
      </c>
      <c r="C499" s="60" t="str">
        <f t="shared" si="87"/>
        <v xml:space="preserve"> </v>
      </c>
      <c r="D499" s="1415">
        <f>D491</f>
        <v>28</v>
      </c>
      <c r="E499" s="980" t="str">
        <f>VLOOKUP($B499,DG!A:C,2,)</f>
        <v>02.1411</v>
      </c>
      <c r="F499" s="985" t="str">
        <f>VLOOKUP($B499,DG!A:C,3,)</f>
        <v>V/c cừ tràm 5m ( cự ly &lt;=100m)</v>
      </c>
      <c r="G499" s="980" t="str">
        <f>VLOOKUP($B499,DG!A:D,4,0)</f>
        <v>cây</v>
      </c>
      <c r="H499" s="1693"/>
      <c r="I499" s="1693"/>
      <c r="J499" s="1693"/>
      <c r="K499" s="1693"/>
      <c r="L499" s="1693"/>
      <c r="M499" s="1693"/>
      <c r="N499" s="1693"/>
      <c r="O499" s="1693"/>
      <c r="P499" s="1693"/>
      <c r="Q499" s="994"/>
      <c r="R499" s="994"/>
      <c r="S499" s="994"/>
      <c r="T499" s="1862">
        <f t="shared" si="89"/>
        <v>0</v>
      </c>
    </row>
    <row r="500" spans="1:20" ht="22.2" hidden="1" customHeight="1">
      <c r="A500" s="1448">
        <f>COUNTIF($C$12:C500,"x")</f>
        <v>24</v>
      </c>
      <c r="B500" s="1464" t="s">
        <v>2063</v>
      </c>
      <c r="C500" s="60" t="str">
        <f t="shared" si="87"/>
        <v xml:space="preserve"> </v>
      </c>
      <c r="D500" s="1414">
        <f>D497</f>
        <v>0.51</v>
      </c>
      <c r="E500" s="980" t="str">
        <f>VLOOKUP($B500,DG!A:C,2,)</f>
        <v>02.1451</v>
      </c>
      <c r="F500" s="985" t="str">
        <f>VLOOKUP($B500,DG!A:C,3,)</f>
        <v>V/c đà cản vào vị trí (cự ly &lt;=100m)</v>
      </c>
      <c r="G500" s="980" t="str">
        <f>VLOOKUP($B500,DG!A:D,4,0)</f>
        <v>tấn</v>
      </c>
      <c r="H500" s="1693"/>
      <c r="I500" s="1693"/>
      <c r="J500" s="1693"/>
      <c r="K500" s="1693"/>
      <c r="L500" s="1693"/>
      <c r="M500" s="1693"/>
      <c r="N500" s="1693"/>
      <c r="O500" s="1693"/>
      <c r="P500" s="1693"/>
      <c r="Q500" s="994"/>
      <c r="R500" s="994"/>
      <c r="S500" s="994"/>
      <c r="T500" s="1862">
        <f t="shared" si="89"/>
        <v>0</v>
      </c>
    </row>
    <row r="501" spans="1:20" ht="22.2" hidden="1" customHeight="1">
      <c r="A501" s="1448">
        <f>COUNTIF($C$12:C501,"x")</f>
        <v>24</v>
      </c>
      <c r="B501" s="1464" t="s">
        <v>635</v>
      </c>
      <c r="C501" s="60" t="str">
        <f t="shared" si="87"/>
        <v xml:space="preserve"> </v>
      </c>
      <c r="D501" s="1414">
        <v>0.2</v>
      </c>
      <c r="E501" s="980" t="str">
        <f>VLOOKUP($B501,DG!A:C,2,)</f>
        <v>02.1482</v>
      </c>
      <c r="F501" s="985" t="str">
        <f>VLOOKUP($B501,DG!A:C,3,)</f>
        <v>V/c dụng cụ thi công vào vị trí (cự ly &lt;=100m)</v>
      </c>
      <c r="G501" s="980" t="str">
        <f>VLOOKUP($B501,DG!A:D,4,0)</f>
        <v>tấn</v>
      </c>
      <c r="H501" s="1693"/>
      <c r="I501" s="1693"/>
      <c r="J501" s="1693"/>
      <c r="K501" s="1693"/>
      <c r="L501" s="1693"/>
      <c r="M501" s="1693"/>
      <c r="N501" s="1693"/>
      <c r="O501" s="1693"/>
      <c r="P501" s="1693"/>
      <c r="Q501" s="994"/>
      <c r="R501" s="994"/>
      <c r="S501" s="994"/>
      <c r="T501" s="1862">
        <f t="shared" si="89"/>
        <v>0</v>
      </c>
    </row>
    <row r="502" spans="1:20" ht="22.2" hidden="1" customHeight="1">
      <c r="A502" s="1448">
        <f>COUNTIF($C$12:C502,"x")</f>
        <v>24</v>
      </c>
      <c r="B502" s="1452" t="s">
        <v>650</v>
      </c>
      <c r="C502" s="59" t="str">
        <f t="shared" si="87"/>
        <v xml:space="preserve"> </v>
      </c>
      <c r="D502" s="1412"/>
      <c r="E502" s="981"/>
      <c r="F502" s="1276" t="s">
        <v>2376</v>
      </c>
      <c r="G502" s="982" t="s">
        <v>2327</v>
      </c>
      <c r="H502" s="1691">
        <f>SUM(I502:O502)</f>
        <v>0</v>
      </c>
      <c r="I502" s="1692"/>
      <c r="J502" s="1692"/>
      <c r="K502" s="1692">
        <f>IFERROR(HLOOKUP(B502,pp3p1m!$1:$3,2,0),0)</f>
        <v>0</v>
      </c>
      <c r="L502" s="1692">
        <f>IFERROR(HLOOKUP(chitiet!B502,pp1p!$1:$3,3,0),0)</f>
        <v>0</v>
      </c>
      <c r="M502" s="1692"/>
      <c r="N502" s="1692"/>
      <c r="O502" s="1692"/>
      <c r="P502" s="2674">
        <f>T502</f>
        <v>0</v>
      </c>
      <c r="Q502" s="983">
        <f>IF(P502&gt;H502,P502-H502,0)</f>
        <v>0</v>
      </c>
      <c r="R502" s="983">
        <f>IF(H502&gt;P502,H502-P502,0)</f>
        <v>0</v>
      </c>
      <c r="S502" s="983"/>
      <c r="T502" s="1862">
        <f>IFERROR(HLOOKUP(B502,pp1p!$1:$3,3,0),0)+IFERROR(HLOOKUP(B502,pp3p1m!$1:$3,3,0),0)</f>
        <v>0</v>
      </c>
    </row>
    <row r="503" spans="1:20" ht="22.2" hidden="1" customHeight="1">
      <c r="A503" s="1448">
        <f>COUNTIF($C$12:C503,"x")</f>
        <v>24</v>
      </c>
      <c r="B503" s="1465" t="s">
        <v>636</v>
      </c>
      <c r="C503" s="60" t="str">
        <f t="shared" si="87"/>
        <v xml:space="preserve"> </v>
      </c>
      <c r="D503" s="1418">
        <v>2</v>
      </c>
      <c r="E503" s="980" t="str">
        <f>VLOOKUP($B503,DG!A:D,DG!$B$2,)</f>
        <v>04.4001</v>
      </c>
      <c r="F503" s="990" t="str">
        <f>VLOOKUP($B503,DG!A:D,DG!$C$2,)</f>
        <v>Đà cản BTCT 1,2m</v>
      </c>
      <c r="G503" s="984" t="str">
        <f>VLOOKUP($B503,DG!A:D,DG!$D$2,)</f>
        <v>cái</v>
      </c>
      <c r="H503" s="1694">
        <f t="shared" ref="H503:N504" si="91">H$502*$D503</f>
        <v>0</v>
      </c>
      <c r="I503" s="1694">
        <f t="shared" si="91"/>
        <v>0</v>
      </c>
      <c r="J503" s="1694">
        <f t="shared" si="91"/>
        <v>0</v>
      </c>
      <c r="K503" s="1694">
        <f t="shared" si="91"/>
        <v>0</v>
      </c>
      <c r="L503" s="1694">
        <f t="shared" si="91"/>
        <v>0</v>
      </c>
      <c r="M503" s="1694">
        <f t="shared" si="91"/>
        <v>0</v>
      </c>
      <c r="N503" s="1694">
        <f t="shared" si="91"/>
        <v>0</v>
      </c>
      <c r="O503" s="1694"/>
      <c r="P503" s="1694"/>
      <c r="Q503" s="988"/>
      <c r="R503" s="988"/>
      <c r="S503" s="988"/>
      <c r="T503" s="1862">
        <f t="shared" si="89"/>
        <v>0</v>
      </c>
    </row>
    <row r="504" spans="1:20" ht="22.2" hidden="1" customHeight="1">
      <c r="A504" s="1448">
        <f>COUNTIF($C$12:C504,"x")</f>
        <v>24</v>
      </c>
      <c r="B504" s="1465" t="s">
        <v>1828</v>
      </c>
      <c r="C504" s="60" t="str">
        <f t="shared" si="87"/>
        <v xml:space="preserve"> </v>
      </c>
      <c r="D504" s="1418">
        <v>1</v>
      </c>
      <c r="E504" s="984"/>
      <c r="F504" s="990" t="str">
        <f>VLOOKUP($B504,DG!A:D,DG!$C$2,)</f>
        <v>Boulon 22x700+ 2 long đền vuông D24-50x50x3/Zn</v>
      </c>
      <c r="G504" s="984" t="str">
        <f>VLOOKUP($B504,DG!A:D,DG!$D$2,)</f>
        <v>bộ</v>
      </c>
      <c r="H504" s="1694">
        <f t="shared" si="91"/>
        <v>0</v>
      </c>
      <c r="I504" s="1694">
        <f t="shared" si="91"/>
        <v>0</v>
      </c>
      <c r="J504" s="1694">
        <f t="shared" si="91"/>
        <v>0</v>
      </c>
      <c r="K504" s="1694">
        <f t="shared" si="91"/>
        <v>0</v>
      </c>
      <c r="L504" s="1694">
        <f t="shared" si="91"/>
        <v>0</v>
      </c>
      <c r="M504" s="1694">
        <f t="shared" si="91"/>
        <v>0</v>
      </c>
      <c r="N504" s="1694">
        <f t="shared" si="91"/>
        <v>0</v>
      </c>
      <c r="O504" s="1694"/>
      <c r="P504" s="1694"/>
      <c r="Q504" s="988"/>
      <c r="R504" s="988"/>
      <c r="S504" s="988"/>
      <c r="T504" s="1862">
        <f t="shared" si="89"/>
        <v>0</v>
      </c>
    </row>
    <row r="505" spans="1:20" ht="22.2" hidden="1" customHeight="1">
      <c r="A505" s="1448">
        <f>COUNTIF($C$12:C505,"x")</f>
        <v>24</v>
      </c>
      <c r="B505" s="1455" t="s">
        <v>1812</v>
      </c>
      <c r="C505" s="60" t="str">
        <f t="shared" si="87"/>
        <v xml:space="preserve"> </v>
      </c>
      <c r="D505" s="1413">
        <v>0.42099999999999999</v>
      </c>
      <c r="E505" s="980">
        <f>VLOOKUP($B505,DG!A:D,DG!$B$2,)</f>
        <v>0</v>
      </c>
      <c r="F505" s="985" t="str">
        <f>VLOOKUP($B505,DG!A:D,DG!$C$2,)</f>
        <v>Đá 2x4</v>
      </c>
      <c r="G505" s="980" t="str">
        <f>VLOOKUP($B505,DG!A:D,DG!$D$2,)</f>
        <v>m3</v>
      </c>
      <c r="H505" s="1693">
        <f t="shared" ref="H505:N505" si="92">H$18*$D505</f>
        <v>0</v>
      </c>
      <c r="I505" s="1693">
        <f t="shared" si="92"/>
        <v>0</v>
      </c>
      <c r="J505" s="1693">
        <f t="shared" si="92"/>
        <v>0</v>
      </c>
      <c r="K505" s="1693">
        <f t="shared" si="92"/>
        <v>0</v>
      </c>
      <c r="L505" s="1693">
        <f t="shared" si="92"/>
        <v>0</v>
      </c>
      <c r="M505" s="1693">
        <f t="shared" si="92"/>
        <v>0</v>
      </c>
      <c r="N505" s="1693">
        <f t="shared" si="92"/>
        <v>0</v>
      </c>
      <c r="O505" s="1693"/>
      <c r="P505" s="1693"/>
      <c r="Q505" s="989"/>
      <c r="R505" s="989"/>
      <c r="S505" s="989"/>
      <c r="T505" s="1862">
        <f t="shared" si="89"/>
        <v>0</v>
      </c>
    </row>
    <row r="506" spans="1:20" ht="22.2" hidden="1" customHeight="1">
      <c r="A506" s="1448">
        <f>COUNTIF($C$12:C506,"x")</f>
        <v>24</v>
      </c>
      <c r="B506" s="1465" t="s">
        <v>639</v>
      </c>
      <c r="C506" s="60" t="str">
        <f t="shared" si="87"/>
        <v xml:space="preserve"> </v>
      </c>
      <c r="D506" s="1417">
        <v>3.25</v>
      </c>
      <c r="E506" s="984" t="str">
        <f>VLOOKUP($B506,DG!A:D,DG!$B$2,)</f>
        <v>03.1013</v>
      </c>
      <c r="F506" s="985" t="str">
        <f>VLOOKUP($B506,DG!A:D,DG!$C$2,)</f>
        <v>Đào hố móng đất cấp 3 sâu &gt;1m</v>
      </c>
      <c r="G506" s="984" t="str">
        <f>VLOOKUP($B506,DG!A:D,DG!$D$2,)</f>
        <v>m3</v>
      </c>
      <c r="H506" s="1694"/>
      <c r="I506" s="1694"/>
      <c r="J506" s="1694"/>
      <c r="K506" s="1694"/>
      <c r="L506" s="1694"/>
      <c r="M506" s="1694"/>
      <c r="N506" s="1694"/>
      <c r="O506" s="1694"/>
      <c r="P506" s="1694"/>
      <c r="Q506" s="991"/>
      <c r="R506" s="991"/>
      <c r="S506" s="991"/>
      <c r="T506" s="1862">
        <f t="shared" si="89"/>
        <v>0</v>
      </c>
    </row>
    <row r="507" spans="1:20" ht="22.2" hidden="1" customHeight="1">
      <c r="A507" s="1448">
        <f>COUNTIF($C$12:C507,"x")</f>
        <v>24</v>
      </c>
      <c r="B507" s="1465" t="s">
        <v>21</v>
      </c>
      <c r="C507" s="60" t="str">
        <f t="shared" si="87"/>
        <v xml:space="preserve"> </v>
      </c>
      <c r="D507" s="1417">
        <v>3.44</v>
      </c>
      <c r="E507" s="984" t="str">
        <f>VLOOKUP($B507,DG!A:D,DG!$B$2,)</f>
        <v>03.4113</v>
      </c>
      <c r="F507" s="985" t="str">
        <f>VLOOKUP($B507,DG!A:D,DG!$C$2,)</f>
        <v>Đắp đất hố móng, độ chặt k=0,95</v>
      </c>
      <c r="G507" s="984" t="str">
        <f>VLOOKUP($B507,DG!A:D,DG!$D$2,)</f>
        <v>m3</v>
      </c>
      <c r="H507" s="1694"/>
      <c r="I507" s="1694"/>
      <c r="J507" s="1694"/>
      <c r="K507" s="1694"/>
      <c r="L507" s="1694"/>
      <c r="M507" s="1694"/>
      <c r="N507" s="1694"/>
      <c r="O507" s="1694"/>
      <c r="P507" s="1694"/>
      <c r="Q507" s="991"/>
      <c r="R507" s="991"/>
      <c r="S507" s="991"/>
      <c r="T507" s="1862">
        <f t="shared" si="89"/>
        <v>0</v>
      </c>
    </row>
    <row r="508" spans="1:20" ht="22.2" hidden="1" customHeight="1">
      <c r="A508" s="1448">
        <f>COUNTIF($C$12:C508,"x")</f>
        <v>24</v>
      </c>
      <c r="B508" s="1465" t="s">
        <v>637</v>
      </c>
      <c r="C508" s="60" t="str">
        <f t="shared" si="87"/>
        <v xml:space="preserve"> </v>
      </c>
      <c r="D508" s="1417">
        <f>0.1*2</f>
        <v>0.2</v>
      </c>
      <c r="E508" s="984" t="str">
        <f>VLOOKUP($B508,DG!A:D,DG!$B$2,)</f>
        <v>02.1123</v>
      </c>
      <c r="F508" s="985" t="str">
        <f>VLOOKUP($B508,DG!A:D,DG!$C$2,)</f>
        <v>Bốc dỡ đà cản, đế néo</v>
      </c>
      <c r="G508" s="984" t="str">
        <f>VLOOKUP($B508,DG!A:D,DG!$D$2,)</f>
        <v>tấn</v>
      </c>
      <c r="H508" s="1694"/>
      <c r="I508" s="1694"/>
      <c r="J508" s="1694"/>
      <c r="K508" s="1694"/>
      <c r="L508" s="1694"/>
      <c r="M508" s="1694"/>
      <c r="N508" s="1694"/>
      <c r="O508" s="1694"/>
      <c r="P508" s="1694"/>
      <c r="Q508" s="988"/>
      <c r="R508" s="988"/>
      <c r="S508" s="988"/>
      <c r="T508" s="1862">
        <f t="shared" si="89"/>
        <v>0</v>
      </c>
    </row>
    <row r="509" spans="1:20" ht="22.2" hidden="1" customHeight="1">
      <c r="A509" s="1448">
        <f>COUNTIF($C$12:C509,"x")</f>
        <v>24</v>
      </c>
      <c r="B509" s="1453" t="s">
        <v>2063</v>
      </c>
      <c r="C509" s="60" t="str">
        <f t="shared" si="87"/>
        <v xml:space="preserve"> </v>
      </c>
      <c r="D509" s="1417">
        <f>D508</f>
        <v>0.2</v>
      </c>
      <c r="E509" s="984" t="str">
        <f>VLOOKUP($B509,DG!A:C,2,)</f>
        <v>02.1451</v>
      </c>
      <c r="F509" s="985" t="str">
        <f>VLOOKUP($B509,DG!A:C,3,)</f>
        <v>V/c đà cản vào vị trí (cự ly &lt;=100m)</v>
      </c>
      <c r="G509" s="984" t="str">
        <f>VLOOKUP($B509,DG!A:D,4,0)</f>
        <v>tấn</v>
      </c>
      <c r="H509" s="1694"/>
      <c r="I509" s="1694"/>
      <c r="J509" s="1694"/>
      <c r="K509" s="1694"/>
      <c r="L509" s="1694"/>
      <c r="M509" s="1694"/>
      <c r="N509" s="1694"/>
      <c r="O509" s="1694"/>
      <c r="P509" s="1694"/>
      <c r="Q509" s="991"/>
      <c r="R509" s="991"/>
      <c r="S509" s="991"/>
      <c r="T509" s="1862">
        <f t="shared" si="89"/>
        <v>0</v>
      </c>
    </row>
    <row r="510" spans="1:20" ht="22.2" hidden="1" customHeight="1">
      <c r="A510" s="1448">
        <f>COUNTIF($C$12:C510,"x")</f>
        <v>24</v>
      </c>
      <c r="B510" s="1464" t="s">
        <v>674</v>
      </c>
      <c r="C510" s="60" t="str">
        <f t="shared" si="87"/>
        <v xml:space="preserve"> </v>
      </c>
      <c r="D510" s="1413">
        <f>D505</f>
        <v>0.42099999999999999</v>
      </c>
      <c r="E510" s="980" t="str">
        <f>VLOOKUP($B510,DG!A:C,2,)</f>
        <v>02.1241</v>
      </c>
      <c r="F510" s="985" t="str">
        <f>VLOOKUP($B510,DG!A:C,3,)</f>
        <v>V/c đá dăm ( cự ly &lt;=100m)</v>
      </c>
      <c r="G510" s="980" t="str">
        <f>VLOOKUP($B510,DG!A:D,4,0)</f>
        <v>m3</v>
      </c>
      <c r="H510" s="1693"/>
      <c r="I510" s="1693"/>
      <c r="J510" s="1693"/>
      <c r="K510" s="1693"/>
      <c r="L510" s="1693"/>
      <c r="M510" s="1693"/>
      <c r="N510" s="1693"/>
      <c r="O510" s="1693"/>
      <c r="P510" s="1693"/>
      <c r="Q510" s="994"/>
      <c r="R510" s="994"/>
      <c r="S510" s="994"/>
      <c r="T510" s="1862">
        <f t="shared" si="89"/>
        <v>0</v>
      </c>
    </row>
    <row r="511" spans="1:20" ht="22.2" hidden="1" customHeight="1">
      <c r="A511" s="1448">
        <f>COUNTIF($C$12:C511,"x")</f>
        <v>24</v>
      </c>
      <c r="B511" s="1453" t="s">
        <v>635</v>
      </c>
      <c r="C511" s="60" t="str">
        <f t="shared" si="87"/>
        <v xml:space="preserve"> </v>
      </c>
      <c r="D511" s="1417">
        <v>0.2</v>
      </c>
      <c r="E511" s="984" t="str">
        <f>VLOOKUP($B511,DG!A:C,2,)</f>
        <v>02.1482</v>
      </c>
      <c r="F511" s="985" t="str">
        <f>VLOOKUP($B511,DG!A:C,3,)</f>
        <v>V/c dụng cụ thi công vào vị trí (cự ly &lt;=100m)</v>
      </c>
      <c r="G511" s="984" t="str">
        <f>VLOOKUP($B511,DG!A:D,4,0)</f>
        <v>tấn</v>
      </c>
      <c r="H511" s="1694"/>
      <c r="I511" s="1694"/>
      <c r="J511" s="1694"/>
      <c r="K511" s="1694"/>
      <c r="L511" s="1694"/>
      <c r="M511" s="1694"/>
      <c r="N511" s="1694"/>
      <c r="O511" s="1694"/>
      <c r="P511" s="1694"/>
      <c r="Q511" s="991"/>
      <c r="R511" s="991"/>
      <c r="S511" s="991"/>
      <c r="T511" s="1862">
        <f t="shared" si="89"/>
        <v>0</v>
      </c>
    </row>
    <row r="512" spans="1:20" ht="22.2" hidden="1" customHeight="1">
      <c r="A512" s="1448">
        <f>COUNTIF($C$12:C512,"x")</f>
        <v>24</v>
      </c>
      <c r="B512" s="1452" t="s">
        <v>1642</v>
      </c>
      <c r="C512" s="59" t="str">
        <f t="shared" si="87"/>
        <v xml:space="preserve"> </v>
      </c>
      <c r="D512" s="1412"/>
      <c r="E512" s="981"/>
      <c r="F512" s="1276" t="s">
        <v>2377</v>
      </c>
      <c r="G512" s="982" t="s">
        <v>2327</v>
      </c>
      <c r="H512" s="1691">
        <f>SUM(I512:O512)</f>
        <v>0</v>
      </c>
      <c r="I512" s="1692"/>
      <c r="J512" s="1692"/>
      <c r="K512" s="1692">
        <f>IFERROR(HLOOKUP(B512,pp3p1m!$1:$3,2,0),0)</f>
        <v>0</v>
      </c>
      <c r="L512" s="1692">
        <f>IFERROR(HLOOKUP(chitiet!B512,pp1p!$1:$3,3,0),0)</f>
        <v>0</v>
      </c>
      <c r="M512" s="1692"/>
      <c r="N512" s="1692"/>
      <c r="O512" s="1692"/>
      <c r="P512" s="2674">
        <f>T512</f>
        <v>0</v>
      </c>
      <c r="Q512" s="983">
        <f>IF(P512&gt;H512,P512-H512,0)</f>
        <v>0</v>
      </c>
      <c r="R512" s="983">
        <f>IF(H512&gt;P512,H512-P512,0)</f>
        <v>0</v>
      </c>
      <c r="S512" s="983"/>
      <c r="T512" s="1862">
        <f>IFERROR(HLOOKUP(B512,pp1p!$1:$3,3,0),0)+IFERROR(HLOOKUP(B512,pp3p1m!$1:$3,3,0),0)</f>
        <v>0</v>
      </c>
    </row>
    <row r="513" spans="1:20" ht="22.2" hidden="1" customHeight="1">
      <c r="A513" s="1448">
        <f>COUNTIF($C$12:C513,"x")</f>
        <v>24</v>
      </c>
      <c r="B513" s="1465" t="s">
        <v>1575</v>
      </c>
      <c r="C513" s="60" t="str">
        <f t="shared" si="87"/>
        <v xml:space="preserve"> </v>
      </c>
      <c r="D513" s="1418">
        <v>2</v>
      </c>
      <c r="E513" s="980" t="str">
        <f>VLOOKUP($B513,DG!A:D,DG!$B$2,)</f>
        <v>04.3801</v>
      </c>
      <c r="F513" s="990" t="str">
        <f>VLOOKUP($B513,DG!A:D,DG!$C$2,)</f>
        <v>Đà cản BTCT 1,5m</v>
      </c>
      <c r="G513" s="984" t="str">
        <f>VLOOKUP($B513,DG!A:D,DG!$D$2,)</f>
        <v>cái</v>
      </c>
      <c r="H513" s="1694">
        <f t="shared" ref="H513:N514" si="93">H$512*$D513</f>
        <v>0</v>
      </c>
      <c r="I513" s="1694">
        <f t="shared" si="93"/>
        <v>0</v>
      </c>
      <c r="J513" s="1694">
        <f t="shared" si="93"/>
        <v>0</v>
      </c>
      <c r="K513" s="1694">
        <f t="shared" si="93"/>
        <v>0</v>
      </c>
      <c r="L513" s="1694">
        <f t="shared" si="93"/>
        <v>0</v>
      </c>
      <c r="M513" s="1694">
        <f t="shared" si="93"/>
        <v>0</v>
      </c>
      <c r="N513" s="1694">
        <f t="shared" si="93"/>
        <v>0</v>
      </c>
      <c r="O513" s="1694"/>
      <c r="P513" s="1694"/>
      <c r="Q513" s="988"/>
      <c r="R513" s="988"/>
      <c r="S513" s="988"/>
      <c r="T513" s="1862">
        <f t="shared" si="89"/>
        <v>0</v>
      </c>
    </row>
    <row r="514" spans="1:20" ht="22.2" hidden="1" customHeight="1">
      <c r="A514" s="1448">
        <f>COUNTIF($C$12:C514,"x")</f>
        <v>24</v>
      </c>
      <c r="B514" s="1465" t="s">
        <v>416</v>
      </c>
      <c r="C514" s="60" t="str">
        <f t="shared" si="87"/>
        <v xml:space="preserve"> </v>
      </c>
      <c r="D514" s="1418">
        <v>1</v>
      </c>
      <c r="E514" s="984"/>
      <c r="F514" s="990" t="str">
        <f>VLOOKUP($B514,DG!A:D,DG!$C$2,)</f>
        <v>Boulon 22x800+ 2 long đền vuông D24-50x50x3/Zn</v>
      </c>
      <c r="G514" s="984" t="str">
        <f>VLOOKUP($B514,DG!A:D,DG!$D$2,)</f>
        <v>bộ</v>
      </c>
      <c r="H514" s="1694">
        <f t="shared" si="93"/>
        <v>0</v>
      </c>
      <c r="I514" s="1694">
        <f t="shared" si="93"/>
        <v>0</v>
      </c>
      <c r="J514" s="1694">
        <f t="shared" si="93"/>
        <v>0</v>
      </c>
      <c r="K514" s="1694">
        <f t="shared" si="93"/>
        <v>0</v>
      </c>
      <c r="L514" s="1694">
        <f t="shared" si="93"/>
        <v>0</v>
      </c>
      <c r="M514" s="1694">
        <f t="shared" si="93"/>
        <v>0</v>
      </c>
      <c r="N514" s="1694">
        <f t="shared" si="93"/>
        <v>0</v>
      </c>
      <c r="O514" s="1694"/>
      <c r="P514" s="1694"/>
      <c r="Q514" s="988"/>
      <c r="R514" s="988"/>
      <c r="S514" s="988"/>
      <c r="T514" s="1862">
        <f t="shared" si="89"/>
        <v>0</v>
      </c>
    </row>
    <row r="515" spans="1:20" ht="22.2" hidden="1" customHeight="1">
      <c r="A515" s="1448">
        <f>COUNTIF($C$12:C515,"x")</f>
        <v>24</v>
      </c>
      <c r="B515" s="1455" t="s">
        <v>1812</v>
      </c>
      <c r="C515" s="60" t="str">
        <f t="shared" si="87"/>
        <v xml:space="preserve"> </v>
      </c>
      <c r="D515" s="1413">
        <v>0.42099999999999999</v>
      </c>
      <c r="E515" s="980">
        <f>VLOOKUP($B515,DG!A:D,DG!$B$2,)</f>
        <v>0</v>
      </c>
      <c r="F515" s="985" t="str">
        <f>VLOOKUP($B515,DG!A:D,DG!$C$2,)</f>
        <v>Đá 2x4</v>
      </c>
      <c r="G515" s="980" t="str">
        <f>VLOOKUP($B515,DG!A:D,DG!$D$2,)</f>
        <v>m3</v>
      </c>
      <c r="H515" s="1693">
        <f t="shared" ref="H515:N515" si="94">H$18*$D515</f>
        <v>0</v>
      </c>
      <c r="I515" s="1693">
        <f t="shared" si="94"/>
        <v>0</v>
      </c>
      <c r="J515" s="1693">
        <f t="shared" si="94"/>
        <v>0</v>
      </c>
      <c r="K515" s="1693">
        <f t="shared" si="94"/>
        <v>0</v>
      </c>
      <c r="L515" s="1693">
        <f t="shared" si="94"/>
        <v>0</v>
      </c>
      <c r="M515" s="1693">
        <f t="shared" si="94"/>
        <v>0</v>
      </c>
      <c r="N515" s="1693">
        <f t="shared" si="94"/>
        <v>0</v>
      </c>
      <c r="O515" s="1693"/>
      <c r="P515" s="1693"/>
      <c r="Q515" s="989"/>
      <c r="R515" s="989"/>
      <c r="S515" s="989"/>
      <c r="T515" s="1862">
        <f t="shared" si="89"/>
        <v>0</v>
      </c>
    </row>
    <row r="516" spans="1:20" ht="22.2" hidden="1" customHeight="1">
      <c r="A516" s="1448">
        <f>COUNTIF($C$12:C516,"x")</f>
        <v>24</v>
      </c>
      <c r="B516" s="1465" t="s">
        <v>639</v>
      </c>
      <c r="C516" s="60" t="str">
        <f t="shared" si="87"/>
        <v xml:space="preserve"> </v>
      </c>
      <c r="D516" s="1417">
        <v>4.03</v>
      </c>
      <c r="E516" s="984" t="str">
        <f>VLOOKUP($B516,DG!A:D,DG!$B$2,)</f>
        <v>03.1013</v>
      </c>
      <c r="F516" s="985" t="str">
        <f>VLOOKUP($B516,DG!A:D,DG!$C$2,)</f>
        <v>Đào hố móng đất cấp 3 sâu &gt;1m</v>
      </c>
      <c r="G516" s="984" t="str">
        <f>VLOOKUP($B516,DG!A:D,DG!$D$2,)</f>
        <v>m3</v>
      </c>
      <c r="H516" s="1694"/>
      <c r="I516" s="1694"/>
      <c r="J516" s="1694"/>
      <c r="K516" s="1694"/>
      <c r="L516" s="1694"/>
      <c r="M516" s="1694"/>
      <c r="N516" s="1694"/>
      <c r="O516" s="1694"/>
      <c r="P516" s="1694"/>
      <c r="Q516" s="991"/>
      <c r="R516" s="991"/>
      <c r="S516" s="991"/>
      <c r="T516" s="1862">
        <f t="shared" si="89"/>
        <v>0</v>
      </c>
    </row>
    <row r="517" spans="1:20" ht="22.2" hidden="1" customHeight="1">
      <c r="A517" s="1448">
        <f>COUNTIF($C$12:C517,"x")</f>
        <v>24</v>
      </c>
      <c r="B517" s="1465" t="s">
        <v>21</v>
      </c>
      <c r="C517" s="60" t="str">
        <f t="shared" si="87"/>
        <v xml:space="preserve"> </v>
      </c>
      <c r="D517" s="1417">
        <v>4.3140000000000001</v>
      </c>
      <c r="E517" s="984" t="str">
        <f>VLOOKUP($B517,DG!A:D,DG!$B$2,)</f>
        <v>03.4113</v>
      </c>
      <c r="F517" s="985" t="str">
        <f>VLOOKUP($B517,DG!A:D,DG!$C$2,)</f>
        <v>Đắp đất hố móng, độ chặt k=0,95</v>
      </c>
      <c r="G517" s="984" t="str">
        <f>VLOOKUP($B517,DG!A:D,DG!$D$2,)</f>
        <v>m3</v>
      </c>
      <c r="H517" s="1694"/>
      <c r="I517" s="1694"/>
      <c r="J517" s="1694"/>
      <c r="K517" s="1694"/>
      <c r="L517" s="1694"/>
      <c r="M517" s="1694"/>
      <c r="N517" s="1694"/>
      <c r="O517" s="1694"/>
      <c r="P517" s="1694"/>
      <c r="Q517" s="991"/>
      <c r="R517" s="991"/>
      <c r="S517" s="991"/>
      <c r="T517" s="1862">
        <f t="shared" si="89"/>
        <v>0</v>
      </c>
    </row>
    <row r="518" spans="1:20" ht="22.2" hidden="1" customHeight="1">
      <c r="A518" s="1448">
        <f>COUNTIF($C$12:C518,"x")</f>
        <v>24</v>
      </c>
      <c r="B518" s="1465" t="s">
        <v>637</v>
      </c>
      <c r="C518" s="60" t="str">
        <f t="shared" si="87"/>
        <v xml:space="preserve"> </v>
      </c>
      <c r="D518" s="1417">
        <f>0.255*2</f>
        <v>0.51</v>
      </c>
      <c r="E518" s="984" t="str">
        <f>VLOOKUP($B518,DG!A:D,DG!$B$2,)</f>
        <v>02.1123</v>
      </c>
      <c r="F518" s="985" t="str">
        <f>VLOOKUP($B518,DG!A:D,DG!$C$2,)</f>
        <v>Bốc dỡ đà cản, đế néo</v>
      </c>
      <c r="G518" s="984" t="str">
        <f>VLOOKUP($B518,DG!A:D,DG!$D$2,)</f>
        <v>tấn</v>
      </c>
      <c r="H518" s="1694"/>
      <c r="I518" s="1694"/>
      <c r="J518" s="1694"/>
      <c r="K518" s="1694"/>
      <c r="L518" s="1694"/>
      <c r="M518" s="1694"/>
      <c r="N518" s="1694"/>
      <c r="O518" s="1694"/>
      <c r="P518" s="1694"/>
      <c r="Q518" s="988"/>
      <c r="R518" s="988"/>
      <c r="S518" s="988"/>
      <c r="T518" s="1862">
        <f t="shared" si="89"/>
        <v>0</v>
      </c>
    </row>
    <row r="519" spans="1:20" ht="22.2" hidden="1" customHeight="1">
      <c r="A519" s="1448">
        <f>COUNTIF($C$12:C519,"x")</f>
        <v>24</v>
      </c>
      <c r="B519" s="1453" t="s">
        <v>2063</v>
      </c>
      <c r="C519" s="60" t="str">
        <f t="shared" si="87"/>
        <v xml:space="preserve"> </v>
      </c>
      <c r="D519" s="1417">
        <f>D518</f>
        <v>0.51</v>
      </c>
      <c r="E519" s="984" t="str">
        <f>VLOOKUP($B519,DG!A:C,2,)</f>
        <v>02.1451</v>
      </c>
      <c r="F519" s="985" t="str">
        <f>VLOOKUP($B519,DG!A:C,3,)</f>
        <v>V/c đà cản vào vị trí (cự ly &lt;=100m)</v>
      </c>
      <c r="G519" s="984" t="str">
        <f>VLOOKUP($B519,DG!A:D,4,0)</f>
        <v>tấn</v>
      </c>
      <c r="H519" s="1694"/>
      <c r="I519" s="1694"/>
      <c r="J519" s="1694"/>
      <c r="K519" s="1694"/>
      <c r="L519" s="1694"/>
      <c r="M519" s="1694"/>
      <c r="N519" s="1694"/>
      <c r="O519" s="1694"/>
      <c r="P519" s="1694"/>
      <c r="Q519" s="991"/>
      <c r="R519" s="991"/>
      <c r="S519" s="991"/>
      <c r="T519" s="1862">
        <f t="shared" si="89"/>
        <v>0</v>
      </c>
    </row>
    <row r="520" spans="1:20" ht="22.2" hidden="1" customHeight="1">
      <c r="A520" s="1448">
        <f>COUNTIF($C$12:C520,"x")</f>
        <v>24</v>
      </c>
      <c r="B520" s="1464" t="s">
        <v>674</v>
      </c>
      <c r="C520" s="60" t="str">
        <f t="shared" si="87"/>
        <v xml:space="preserve"> </v>
      </c>
      <c r="D520" s="1413">
        <f>D515</f>
        <v>0.42099999999999999</v>
      </c>
      <c r="E520" s="980" t="str">
        <f>VLOOKUP($B520,DG!A:C,2,)</f>
        <v>02.1241</v>
      </c>
      <c r="F520" s="985" t="str">
        <f>VLOOKUP($B520,DG!A:C,3,)</f>
        <v>V/c đá dăm ( cự ly &lt;=100m)</v>
      </c>
      <c r="G520" s="980" t="str">
        <f>VLOOKUP($B520,DG!A:D,4,0)</f>
        <v>m3</v>
      </c>
      <c r="H520" s="1693"/>
      <c r="I520" s="1693"/>
      <c r="J520" s="1693"/>
      <c r="K520" s="1693"/>
      <c r="L520" s="1693"/>
      <c r="M520" s="1693"/>
      <c r="N520" s="1693"/>
      <c r="O520" s="1693"/>
      <c r="P520" s="1693"/>
      <c r="Q520" s="994"/>
      <c r="R520" s="994"/>
      <c r="S520" s="994"/>
      <c r="T520" s="1862">
        <f t="shared" si="89"/>
        <v>0</v>
      </c>
    </row>
    <row r="521" spans="1:20" ht="22.2" hidden="1" customHeight="1">
      <c r="A521" s="1448">
        <f>COUNTIF($C$12:C521,"x")</f>
        <v>24</v>
      </c>
      <c r="B521" s="1453" t="s">
        <v>635</v>
      </c>
      <c r="C521" s="60" t="str">
        <f t="shared" si="87"/>
        <v xml:space="preserve"> </v>
      </c>
      <c r="D521" s="1417">
        <v>0.2</v>
      </c>
      <c r="E521" s="984" t="str">
        <f>VLOOKUP($B521,DG!A:C,2,)</f>
        <v>02.1482</v>
      </c>
      <c r="F521" s="985" t="str">
        <f>VLOOKUP($B521,DG!A:C,3,)</f>
        <v>V/c dụng cụ thi công vào vị trí (cự ly &lt;=100m)</v>
      </c>
      <c r="G521" s="984" t="str">
        <f>VLOOKUP($B521,DG!A:D,4,0)</f>
        <v>tấn</v>
      </c>
      <c r="H521" s="1694"/>
      <c r="I521" s="1694"/>
      <c r="J521" s="1694"/>
      <c r="K521" s="1694"/>
      <c r="L521" s="1694"/>
      <c r="M521" s="1694"/>
      <c r="N521" s="1694"/>
      <c r="O521" s="1694"/>
      <c r="P521" s="1694"/>
      <c r="Q521" s="991"/>
      <c r="R521" s="991"/>
      <c r="S521" s="991"/>
      <c r="T521" s="1862">
        <f t="shared" si="89"/>
        <v>0</v>
      </c>
    </row>
    <row r="522" spans="1:20" ht="22.2" hidden="1" customHeight="1">
      <c r="A522" s="1448">
        <f>COUNTIF($C$12:C522,"x")</f>
        <v>24</v>
      </c>
      <c r="B522" s="1452" t="s">
        <v>987</v>
      </c>
      <c r="C522" s="59" t="str">
        <f t="shared" si="87"/>
        <v xml:space="preserve"> </v>
      </c>
      <c r="D522" s="1412"/>
      <c r="E522" s="981"/>
      <c r="F522" s="1276" t="s">
        <v>2378</v>
      </c>
      <c r="G522" s="982" t="s">
        <v>2327</v>
      </c>
      <c r="H522" s="1691">
        <f>SUM(I522:O522)</f>
        <v>0</v>
      </c>
      <c r="I522" s="1692"/>
      <c r="J522" s="1692"/>
      <c r="K522" s="1692">
        <f>IFERROR(HLOOKUP(B522,pp3p1m!$1:$3,2,0),0)</f>
        <v>0</v>
      </c>
      <c r="L522" s="1692">
        <f>IFERROR(HLOOKUP(chitiet!B522,pp1p!$1:$3,3,0),0)</f>
        <v>0</v>
      </c>
      <c r="M522" s="1692"/>
      <c r="N522" s="1692"/>
      <c r="O522" s="1692"/>
      <c r="P522" s="2674">
        <f>T522</f>
        <v>0</v>
      </c>
      <c r="Q522" s="983">
        <f>IF(P522&gt;H522,P522-H522,0)</f>
        <v>0</v>
      </c>
      <c r="R522" s="983">
        <f>IF(H522&gt;P522,H522-P522,0)</f>
        <v>0</v>
      </c>
      <c r="S522" s="983"/>
      <c r="T522" s="1862">
        <f>IFERROR(HLOOKUP(B522,pp1p!$1:$3,3,0),0)+IFERROR(HLOOKUP(B522,pp3p1m!$1:$3,3,0),0)</f>
        <v>0</v>
      </c>
    </row>
    <row r="523" spans="1:20" ht="22.2" hidden="1" customHeight="1">
      <c r="A523" s="1448">
        <f>COUNTIF($C$12:C523,"x")</f>
        <v>24</v>
      </c>
      <c r="B523" s="1465" t="s">
        <v>1575</v>
      </c>
      <c r="C523" s="60" t="str">
        <f t="shared" si="87"/>
        <v xml:space="preserve"> </v>
      </c>
      <c r="D523" s="1418">
        <v>4</v>
      </c>
      <c r="E523" s="980" t="str">
        <f>VLOOKUP($B523,DG!A:D,DG!$B$2,)</f>
        <v>04.3801</v>
      </c>
      <c r="F523" s="990" t="str">
        <f>VLOOKUP($B523,DG!A:D,DG!$C$2,)</f>
        <v>Đà cản BTCT 1,5m</v>
      </c>
      <c r="G523" s="984" t="str">
        <f>VLOOKUP($B523,DG!A:D,DG!$D$2,)</f>
        <v>cái</v>
      </c>
      <c r="H523" s="1694">
        <f t="shared" ref="H523:N524" si="95">H$522*$D523</f>
        <v>0</v>
      </c>
      <c r="I523" s="1694">
        <f t="shared" si="95"/>
        <v>0</v>
      </c>
      <c r="J523" s="1694">
        <f t="shared" si="95"/>
        <v>0</v>
      </c>
      <c r="K523" s="1694">
        <f t="shared" si="95"/>
        <v>0</v>
      </c>
      <c r="L523" s="1694">
        <f t="shared" si="95"/>
        <v>0</v>
      </c>
      <c r="M523" s="1694">
        <f t="shared" si="95"/>
        <v>0</v>
      </c>
      <c r="N523" s="1694">
        <f t="shared" si="95"/>
        <v>0</v>
      </c>
      <c r="O523" s="1694"/>
      <c r="P523" s="1694"/>
      <c r="Q523" s="988"/>
      <c r="R523" s="988"/>
      <c r="S523" s="988"/>
      <c r="T523" s="1862">
        <f t="shared" si="89"/>
        <v>0</v>
      </c>
    </row>
    <row r="524" spans="1:20" ht="22.2" hidden="1" customHeight="1">
      <c r="A524" s="1448">
        <f>COUNTIF($C$12:C524,"x")</f>
        <v>24</v>
      </c>
      <c r="B524" s="1465" t="s">
        <v>566</v>
      </c>
      <c r="C524" s="60" t="str">
        <f t="shared" si="87"/>
        <v xml:space="preserve"> </v>
      </c>
      <c r="D524" s="1418">
        <v>4</v>
      </c>
      <c r="E524" s="980"/>
      <c r="F524" s="990" t="str">
        <f>VLOOKUP($B524,DG!A:D,DG!$C$2,)</f>
        <v>Boulon 22x650+ 2 long đền vuông D24-50x50x3/Zn</v>
      </c>
      <c r="G524" s="984" t="str">
        <f>VLOOKUP($B524,DG!A:D,DG!$D$2,)</f>
        <v>bộ</v>
      </c>
      <c r="H524" s="1694">
        <f t="shared" si="95"/>
        <v>0</v>
      </c>
      <c r="I524" s="1694">
        <f t="shared" si="95"/>
        <v>0</v>
      </c>
      <c r="J524" s="1694">
        <f t="shared" si="95"/>
        <v>0</v>
      </c>
      <c r="K524" s="1694">
        <f t="shared" si="95"/>
        <v>0</v>
      </c>
      <c r="L524" s="1694">
        <f t="shared" si="95"/>
        <v>0</v>
      </c>
      <c r="M524" s="1694">
        <f t="shared" si="95"/>
        <v>0</v>
      </c>
      <c r="N524" s="1694">
        <f t="shared" si="95"/>
        <v>0</v>
      </c>
      <c r="O524" s="1694"/>
      <c r="P524" s="1694"/>
      <c r="Q524" s="988"/>
      <c r="R524" s="988"/>
      <c r="S524" s="988"/>
      <c r="T524" s="1862">
        <f t="shared" si="89"/>
        <v>0</v>
      </c>
    </row>
    <row r="525" spans="1:20" ht="22.2" hidden="1" customHeight="1">
      <c r="A525" s="1448">
        <f>COUNTIF($C$12:C525,"x")</f>
        <v>24</v>
      </c>
      <c r="B525" s="1465" t="s">
        <v>639</v>
      </c>
      <c r="C525" s="60" t="str">
        <f t="shared" si="87"/>
        <v xml:space="preserve"> </v>
      </c>
      <c r="D525" s="1417">
        <v>10.63</v>
      </c>
      <c r="E525" s="984" t="str">
        <f>VLOOKUP($B525,DG!A:D,DG!$B$2,)</f>
        <v>03.1013</v>
      </c>
      <c r="F525" s="985" t="str">
        <f>VLOOKUP($B525,DG!A:D,DG!$C$2,)</f>
        <v>Đào hố móng đất cấp 3 sâu &gt;1m</v>
      </c>
      <c r="G525" s="984" t="str">
        <f>VLOOKUP($B525,DG!A:D,DG!$D$2,)</f>
        <v>m3</v>
      </c>
      <c r="H525" s="1694"/>
      <c r="I525" s="1694"/>
      <c r="J525" s="1694"/>
      <c r="K525" s="1694"/>
      <c r="L525" s="1694"/>
      <c r="M525" s="1694"/>
      <c r="N525" s="1694"/>
      <c r="O525" s="1694"/>
      <c r="P525" s="1694"/>
      <c r="Q525" s="991"/>
      <c r="R525" s="991"/>
      <c r="S525" s="991"/>
      <c r="T525" s="1862">
        <f t="shared" si="89"/>
        <v>0</v>
      </c>
    </row>
    <row r="526" spans="1:20" ht="22.2" hidden="1" customHeight="1">
      <c r="A526" s="1448">
        <f>COUNTIF($C$12:C526,"x")</f>
        <v>24</v>
      </c>
      <c r="B526" s="1465" t="s">
        <v>21</v>
      </c>
      <c r="C526" s="60" t="str">
        <f t="shared" si="87"/>
        <v xml:space="preserve"> </v>
      </c>
      <c r="D526" s="1417">
        <v>10.63</v>
      </c>
      <c r="E526" s="984" t="str">
        <f>VLOOKUP($B526,DG!A:D,DG!$B$2,)</f>
        <v>03.4113</v>
      </c>
      <c r="F526" s="985" t="str">
        <f>VLOOKUP($B526,DG!A:D,DG!$C$2,)</f>
        <v>Đắp đất hố móng, độ chặt k=0,95</v>
      </c>
      <c r="G526" s="984" t="str">
        <f>VLOOKUP($B526,DG!A:D,DG!$D$2,)</f>
        <v>m3</v>
      </c>
      <c r="H526" s="1694"/>
      <c r="I526" s="1694"/>
      <c r="J526" s="1694"/>
      <c r="K526" s="1694"/>
      <c r="L526" s="1694"/>
      <c r="M526" s="1694"/>
      <c r="N526" s="1694"/>
      <c r="O526" s="1694"/>
      <c r="P526" s="1694"/>
      <c r="Q526" s="991"/>
      <c r="R526" s="991"/>
      <c r="S526" s="991"/>
      <c r="T526" s="1862">
        <f t="shared" si="89"/>
        <v>0</v>
      </c>
    </row>
    <row r="527" spans="1:20" ht="22.2" hidden="1" customHeight="1">
      <c r="A527" s="1448">
        <f>COUNTIF($C$12:C527,"x")</f>
        <v>24</v>
      </c>
      <c r="B527" s="1465" t="s">
        <v>637</v>
      </c>
      <c r="C527" s="60" t="str">
        <f t="shared" si="87"/>
        <v xml:space="preserve"> </v>
      </c>
      <c r="D527" s="1417">
        <f>0.255*D523</f>
        <v>1.02</v>
      </c>
      <c r="E527" s="984" t="str">
        <f>VLOOKUP($B527,DG!A:D,DG!$B$2,)</f>
        <v>02.1123</v>
      </c>
      <c r="F527" s="985" t="str">
        <f>VLOOKUP($B527,DG!A:D,DG!$C$2,)</f>
        <v>Bốc dỡ đà cản, đế néo</v>
      </c>
      <c r="G527" s="984" t="str">
        <f>VLOOKUP($B527,DG!A:D,DG!$D$2,)</f>
        <v>tấn</v>
      </c>
      <c r="H527" s="1694"/>
      <c r="I527" s="1694"/>
      <c r="J527" s="1694"/>
      <c r="K527" s="1694"/>
      <c r="L527" s="1694"/>
      <c r="M527" s="1694"/>
      <c r="N527" s="1694"/>
      <c r="O527" s="1694"/>
      <c r="P527" s="1694"/>
      <c r="Q527" s="988"/>
      <c r="R527" s="988"/>
      <c r="S527" s="988"/>
      <c r="T527" s="1862">
        <f t="shared" si="89"/>
        <v>0</v>
      </c>
    </row>
    <row r="528" spans="1:20" ht="22.2" hidden="1" customHeight="1">
      <c r="A528" s="1448">
        <f>COUNTIF($C$12:C528,"x")</f>
        <v>24</v>
      </c>
      <c r="B528" s="1453" t="s">
        <v>2063</v>
      </c>
      <c r="C528" s="60" t="str">
        <f t="shared" si="87"/>
        <v xml:space="preserve"> </v>
      </c>
      <c r="D528" s="1417">
        <f>D527</f>
        <v>1.02</v>
      </c>
      <c r="E528" s="984" t="str">
        <f>VLOOKUP($B528,DG!A:C,2,)</f>
        <v>02.1451</v>
      </c>
      <c r="F528" s="985" t="str">
        <f>VLOOKUP($B528,DG!A:C,3,)</f>
        <v>V/c đà cản vào vị trí (cự ly &lt;=100m)</v>
      </c>
      <c r="G528" s="984" t="str">
        <f>VLOOKUP($B528,DG!A:D,4,0)</f>
        <v>tấn</v>
      </c>
      <c r="H528" s="1694"/>
      <c r="I528" s="1694"/>
      <c r="J528" s="1694"/>
      <c r="K528" s="1694"/>
      <c r="L528" s="1694"/>
      <c r="M528" s="1694"/>
      <c r="N528" s="1694"/>
      <c r="O528" s="1694"/>
      <c r="P528" s="1694"/>
      <c r="Q528" s="991"/>
      <c r="R528" s="991"/>
      <c r="S528" s="991"/>
      <c r="T528" s="1862">
        <f t="shared" si="89"/>
        <v>0</v>
      </c>
    </row>
    <row r="529" spans="1:20" ht="22.2" hidden="1" customHeight="1">
      <c r="A529" s="1448">
        <f>COUNTIF($C$12:C529,"x")</f>
        <v>24</v>
      </c>
      <c r="B529" s="1453" t="s">
        <v>635</v>
      </c>
      <c r="C529" s="60" t="str">
        <f t="shared" si="87"/>
        <v xml:space="preserve"> </v>
      </c>
      <c r="D529" s="1417">
        <v>0.2</v>
      </c>
      <c r="E529" s="984" t="str">
        <f>VLOOKUP($B529,DG!A:C,2,)</f>
        <v>02.1482</v>
      </c>
      <c r="F529" s="985" t="str">
        <f>VLOOKUP($B529,DG!A:C,3,)</f>
        <v>V/c dụng cụ thi công vào vị trí (cự ly &lt;=100m)</v>
      </c>
      <c r="G529" s="984" t="str">
        <f>VLOOKUP($B529,DG!A:D,4,0)</f>
        <v>tấn</v>
      </c>
      <c r="H529" s="1694"/>
      <c r="I529" s="1694"/>
      <c r="J529" s="1694"/>
      <c r="K529" s="1694"/>
      <c r="L529" s="1694"/>
      <c r="M529" s="1694"/>
      <c r="N529" s="1694"/>
      <c r="O529" s="1694"/>
      <c r="P529" s="1694"/>
      <c r="Q529" s="991"/>
      <c r="R529" s="991"/>
      <c r="S529" s="991"/>
      <c r="T529" s="1862">
        <f t="shared" si="89"/>
        <v>0</v>
      </c>
    </row>
    <row r="530" spans="1:20" ht="22.2" hidden="1" customHeight="1">
      <c r="A530" s="1448">
        <f>COUNTIF($C$12:C530,"x")</f>
        <v>24</v>
      </c>
      <c r="B530" s="1452" t="s">
        <v>312</v>
      </c>
      <c r="C530" s="59" t="str">
        <f t="shared" si="87"/>
        <v xml:space="preserve"> </v>
      </c>
      <c r="D530" s="1412"/>
      <c r="E530" s="981"/>
      <c r="F530" s="1276" t="s">
        <v>2379</v>
      </c>
      <c r="G530" s="982" t="s">
        <v>2327</v>
      </c>
      <c r="H530" s="1691">
        <f>SUM(I530:O530)</f>
        <v>0</v>
      </c>
      <c r="I530" s="1692"/>
      <c r="J530" s="1692"/>
      <c r="K530" s="1692">
        <f>IFERROR(HLOOKUP(B530,pp3p1m!$1:$3,2,0),0)</f>
        <v>0</v>
      </c>
      <c r="L530" s="1692">
        <f>IFERROR(HLOOKUP(chitiet!B530,pp1p!$1:$3,3,0),0)</f>
        <v>0</v>
      </c>
      <c r="M530" s="1692"/>
      <c r="N530" s="1692"/>
      <c r="O530" s="1692"/>
      <c r="P530" s="2674">
        <f>T530</f>
        <v>0</v>
      </c>
      <c r="Q530" s="983">
        <f>IF(P530&gt;H530,P530-H530,0)</f>
        <v>0</v>
      </c>
      <c r="R530" s="983">
        <f>IF(H530&gt;P530,H530-P530,0)</f>
        <v>0</v>
      </c>
      <c r="S530" s="983"/>
      <c r="T530" s="1862">
        <f>IFERROR(HLOOKUP(B530,pp1p!$1:$3,3,0),0)+IFERROR(HLOOKUP(B530,pp3p1m!$1:$3,3,0),0)</f>
        <v>0</v>
      </c>
    </row>
    <row r="531" spans="1:20" ht="22.2" hidden="1" customHeight="1">
      <c r="A531" s="1448">
        <f>COUNTIF($C$12:C531,"x")</f>
        <v>24</v>
      </c>
      <c r="B531" s="1465" t="s">
        <v>1836</v>
      </c>
      <c r="C531" s="60" t="str">
        <f t="shared" si="87"/>
        <v xml:space="preserve"> </v>
      </c>
      <c r="D531" s="1416">
        <v>2.0139999999999998</v>
      </c>
      <c r="E531" s="984" t="str">
        <f>VLOOKUP($B531,DG!A:D,DG!$B$2,)</f>
        <v>04.1203c</v>
      </c>
      <c r="F531" s="985" t="str">
        <f>VLOOKUP($B531,DG!A:D,DG!$C$2,)</f>
        <v>Đổ bê tông móng trụ &lt;=250cm-M200 đá 1x2</v>
      </c>
      <c r="G531" s="984" t="str">
        <f>VLOOKUP($B531,DG!A:D,DG!$D$2,)</f>
        <v>m3</v>
      </c>
      <c r="H531" s="1694">
        <f t="shared" ref="H531:N534" si="96">H$530*$D531</f>
        <v>0</v>
      </c>
      <c r="I531" s="1694">
        <f t="shared" si="96"/>
        <v>0</v>
      </c>
      <c r="J531" s="1694">
        <f t="shared" si="96"/>
        <v>0</v>
      </c>
      <c r="K531" s="1694">
        <f t="shared" si="96"/>
        <v>0</v>
      </c>
      <c r="L531" s="1694">
        <f t="shared" si="96"/>
        <v>0</v>
      </c>
      <c r="M531" s="1694">
        <f t="shared" si="96"/>
        <v>0</v>
      </c>
      <c r="N531" s="1694">
        <f t="shared" si="96"/>
        <v>0</v>
      </c>
      <c r="O531" s="1694"/>
      <c r="P531" s="1694"/>
      <c r="Q531" s="988"/>
      <c r="R531" s="988"/>
      <c r="S531" s="988"/>
      <c r="T531" s="1862">
        <f t="shared" si="89"/>
        <v>0</v>
      </c>
    </row>
    <row r="532" spans="1:20" ht="22.2" hidden="1" customHeight="1">
      <c r="A532" s="1448">
        <f>COUNTIF($C$12:C532,"x")</f>
        <v>24</v>
      </c>
      <c r="B532" s="1465" t="s">
        <v>1955</v>
      </c>
      <c r="C532" s="60" t="str">
        <f t="shared" si="87"/>
        <v xml:space="preserve"> </v>
      </c>
      <c r="D532" s="1416">
        <v>0.20399999999999999</v>
      </c>
      <c r="E532" s="984" t="str">
        <f>VLOOKUP($B532,DG!A:D,DG!$B$2,)</f>
        <v>04.3112</v>
      </c>
      <c r="F532" s="985" t="str">
        <f>VLOOKUP($B532,DG!A:D,DG!$C$2,)</f>
        <v>Đổ bê tông mác M100 đá 4x6</v>
      </c>
      <c r="G532" s="984" t="str">
        <f>VLOOKUP($B532,DG!A:D,DG!$D$2,)</f>
        <v>m3</v>
      </c>
      <c r="H532" s="1694">
        <f t="shared" si="96"/>
        <v>0</v>
      </c>
      <c r="I532" s="1694">
        <f t="shared" si="96"/>
        <v>0</v>
      </c>
      <c r="J532" s="1694">
        <f t="shared" si="96"/>
        <v>0</v>
      </c>
      <c r="K532" s="1694">
        <f t="shared" si="96"/>
        <v>0</v>
      </c>
      <c r="L532" s="1694">
        <f t="shared" si="96"/>
        <v>0</v>
      </c>
      <c r="M532" s="1694">
        <f t="shared" si="96"/>
        <v>0</v>
      </c>
      <c r="N532" s="1694">
        <f t="shared" si="96"/>
        <v>0</v>
      </c>
      <c r="O532" s="1694"/>
      <c r="P532" s="1694"/>
      <c r="Q532" s="988"/>
      <c r="R532" s="988"/>
      <c r="S532" s="988"/>
      <c r="T532" s="1862">
        <f t="shared" si="89"/>
        <v>0</v>
      </c>
    </row>
    <row r="533" spans="1:20" ht="22.2" hidden="1" customHeight="1">
      <c r="A533" s="1448">
        <f>COUNTIF($C$12:C533,"x")</f>
        <v>24</v>
      </c>
      <c r="B533" s="1454" t="s">
        <v>4414</v>
      </c>
      <c r="C533" s="60" t="str">
        <f t="shared" si="87"/>
        <v xml:space="preserve"> </v>
      </c>
      <c r="D533" s="1420">
        <v>0.24</v>
      </c>
      <c r="E533" s="984"/>
      <c r="F533" s="985" t="str">
        <f>VLOOKUP($B533,DG!A:D,DG!$C$2,)</f>
        <v>Cát vàng</v>
      </c>
      <c r="G533" s="984" t="str">
        <f>VLOOKUP($B533,DG!A:D,DG!$D$2,)</f>
        <v>m3</v>
      </c>
      <c r="H533" s="1694">
        <f t="shared" si="96"/>
        <v>0</v>
      </c>
      <c r="I533" s="1694">
        <f t="shared" si="96"/>
        <v>0</v>
      </c>
      <c r="J533" s="1694">
        <f t="shared" si="96"/>
        <v>0</v>
      </c>
      <c r="K533" s="1694">
        <f t="shared" si="96"/>
        <v>0</v>
      </c>
      <c r="L533" s="1694">
        <f t="shared" si="96"/>
        <v>0</v>
      </c>
      <c r="M533" s="1694">
        <f t="shared" si="96"/>
        <v>0</v>
      </c>
      <c r="N533" s="1694">
        <f t="shared" si="96"/>
        <v>0</v>
      </c>
      <c r="O533" s="1694"/>
      <c r="P533" s="1694"/>
      <c r="Q533" s="988"/>
      <c r="R533" s="988"/>
      <c r="S533" s="988"/>
      <c r="T533" s="1862">
        <f t="shared" si="89"/>
        <v>0</v>
      </c>
    </row>
    <row r="534" spans="1:20" ht="22.2" hidden="1" customHeight="1">
      <c r="A534" s="1448">
        <f>COUNTIF($C$12:C534,"x")</f>
        <v>24</v>
      </c>
      <c r="B534" s="1465" t="s">
        <v>1973</v>
      </c>
      <c r="C534" s="60" t="str">
        <f t="shared" si="87"/>
        <v xml:space="preserve"> </v>
      </c>
      <c r="D534" s="1418">
        <v>193.05</v>
      </c>
      <c r="E534" s="984"/>
      <c r="F534" s="990" t="str">
        <f>VLOOKUP($B534,DG!A:D,DG!$C$2,)</f>
        <v>Sắt Ø6</v>
      </c>
      <c r="G534" s="984" t="str">
        <f>VLOOKUP($B534,DG!A:D,DG!$D$2,)</f>
        <v>kg</v>
      </c>
      <c r="H534" s="1694">
        <f t="shared" si="96"/>
        <v>0</v>
      </c>
      <c r="I534" s="1694">
        <f t="shared" si="96"/>
        <v>0</v>
      </c>
      <c r="J534" s="1694">
        <f t="shared" si="96"/>
        <v>0</v>
      </c>
      <c r="K534" s="1694">
        <f t="shared" si="96"/>
        <v>0</v>
      </c>
      <c r="L534" s="1694">
        <f t="shared" si="96"/>
        <v>0</v>
      </c>
      <c r="M534" s="1694">
        <f t="shared" si="96"/>
        <v>0</v>
      </c>
      <c r="N534" s="1694">
        <f t="shared" si="96"/>
        <v>0</v>
      </c>
      <c r="O534" s="1694"/>
      <c r="P534" s="1694"/>
      <c r="Q534" s="988"/>
      <c r="R534" s="988"/>
      <c r="S534" s="988"/>
      <c r="T534" s="1862">
        <f t="shared" si="89"/>
        <v>0</v>
      </c>
    </row>
    <row r="535" spans="1:20" ht="22.2" hidden="1" customHeight="1">
      <c r="A535" s="1448">
        <f>COUNTIF($C$12:C535,"x")</f>
        <v>24</v>
      </c>
      <c r="B535" s="1465" t="s">
        <v>639</v>
      </c>
      <c r="C535" s="60" t="str">
        <f t="shared" si="87"/>
        <v xml:space="preserve"> </v>
      </c>
      <c r="D535" s="1422">
        <v>5.3040000000000003</v>
      </c>
      <c r="E535" s="984" t="str">
        <f>VLOOKUP($B535,DG!A:D,DG!$B$2,)</f>
        <v>03.1013</v>
      </c>
      <c r="F535" s="985" t="str">
        <f>VLOOKUP($B535,DG!A:D,DG!$C$2,)</f>
        <v>Đào hố móng đất cấp 3 sâu &gt;1m</v>
      </c>
      <c r="G535" s="984" t="str">
        <f>VLOOKUP($B535,DG!A:D,DG!$D$2,)</f>
        <v>m3</v>
      </c>
      <c r="H535" s="1694"/>
      <c r="I535" s="1694"/>
      <c r="J535" s="1694"/>
      <c r="K535" s="1694"/>
      <c r="L535" s="1694"/>
      <c r="M535" s="1694"/>
      <c r="N535" s="1694"/>
      <c r="O535" s="1694"/>
      <c r="P535" s="1694"/>
      <c r="Q535" s="991"/>
      <c r="R535" s="991"/>
      <c r="S535" s="991"/>
      <c r="T535" s="1862">
        <f t="shared" si="89"/>
        <v>0</v>
      </c>
    </row>
    <row r="536" spans="1:20" ht="22.2" hidden="1" customHeight="1">
      <c r="A536" s="1448">
        <f>COUNTIF($C$12:C536,"x")</f>
        <v>24</v>
      </c>
      <c r="B536" s="1465" t="s">
        <v>21</v>
      </c>
      <c r="C536" s="60" t="str">
        <f t="shared" si="87"/>
        <v xml:space="preserve"> </v>
      </c>
      <c r="D536" s="1422">
        <v>2.8450000000000002</v>
      </c>
      <c r="E536" s="984" t="str">
        <f>VLOOKUP($B536,DG!A:D,DG!$B$2,)</f>
        <v>03.4113</v>
      </c>
      <c r="F536" s="985" t="str">
        <f>VLOOKUP($B536,DG!A:D,DG!$C$2,)</f>
        <v>Đắp đất hố móng, độ chặt k=0,95</v>
      </c>
      <c r="G536" s="984" t="str">
        <f>VLOOKUP($B536,DG!A:D,DG!$D$2,)</f>
        <v>m3</v>
      </c>
      <c r="H536" s="1694"/>
      <c r="I536" s="1694"/>
      <c r="J536" s="1694"/>
      <c r="K536" s="1694"/>
      <c r="L536" s="1694"/>
      <c r="M536" s="1694"/>
      <c r="N536" s="1694"/>
      <c r="O536" s="1694"/>
      <c r="P536" s="1694"/>
      <c r="Q536" s="991"/>
      <c r="R536" s="991"/>
      <c r="S536" s="991"/>
      <c r="T536" s="1862">
        <f t="shared" si="89"/>
        <v>0</v>
      </c>
    </row>
    <row r="537" spans="1:20" ht="22.2" hidden="1" customHeight="1">
      <c r="A537" s="1448">
        <f>COUNTIF($C$12:C537,"x")</f>
        <v>24</v>
      </c>
      <c r="B537" s="1465" t="s">
        <v>1078</v>
      </c>
      <c r="C537" s="60" t="str">
        <f t="shared" si="87"/>
        <v xml:space="preserve"> </v>
      </c>
      <c r="D537" s="1417">
        <f>D533</f>
        <v>0.24</v>
      </c>
      <c r="E537" s="984" t="str">
        <f>VLOOKUP($B537,DG!A:D,DG!$B$2,)</f>
        <v>03.7000</v>
      </c>
      <c r="F537" s="985" t="str">
        <f>VLOOKUP($B537,DG!A:D,DG!$C$2,)&amp;"san phaúng ñaàu cöø"</f>
        <v>Đắp cát san phaúng ñaàu cöø</v>
      </c>
      <c r="G537" s="984" t="str">
        <f>VLOOKUP($B537,DG!A:D,DG!$D$2,)</f>
        <v>m3</v>
      </c>
      <c r="H537" s="1694"/>
      <c r="I537" s="1694"/>
      <c r="J537" s="1694"/>
      <c r="K537" s="1694"/>
      <c r="L537" s="1694"/>
      <c r="M537" s="1694"/>
      <c r="N537" s="1694"/>
      <c r="O537" s="1694"/>
      <c r="P537" s="1694"/>
      <c r="Q537" s="988"/>
      <c r="R537" s="988"/>
      <c r="S537" s="988"/>
      <c r="T537" s="1862">
        <f t="shared" si="89"/>
        <v>0</v>
      </c>
    </row>
    <row r="538" spans="1:20" ht="22.2" hidden="1" customHeight="1">
      <c r="A538" s="1448">
        <f>COUNTIF($C$12:C538,"x")</f>
        <v>24</v>
      </c>
      <c r="B538" s="1465" t="s">
        <v>9</v>
      </c>
      <c r="C538" s="60" t="str">
        <f t="shared" si="87"/>
        <v xml:space="preserve"> </v>
      </c>
      <c r="D538" s="1418">
        <f>D534</f>
        <v>193.05</v>
      </c>
      <c r="E538" s="984" t="str">
        <f>VLOOKUP($B538,DG!A:D,DG!$B$2,)</f>
        <v>04.5101</v>
      </c>
      <c r="F538" s="985" t="str">
        <f>VLOOKUP($B538,DG!A:D,DG!$C$2,)</f>
        <v>Gia công và lắp dựng cốt thép D&lt;=10</v>
      </c>
      <c r="G538" s="984" t="str">
        <f>VLOOKUP($B538,DG!A:D,DG!$D$2,)</f>
        <v>kg</v>
      </c>
      <c r="H538" s="1694"/>
      <c r="I538" s="1694"/>
      <c r="J538" s="1694"/>
      <c r="K538" s="1694"/>
      <c r="L538" s="1694"/>
      <c r="M538" s="1694"/>
      <c r="N538" s="1694"/>
      <c r="O538" s="1694"/>
      <c r="P538" s="1694"/>
      <c r="Q538" s="988"/>
      <c r="R538" s="988"/>
      <c r="S538" s="988"/>
      <c r="T538" s="1862">
        <f t="shared" si="89"/>
        <v>0</v>
      </c>
    </row>
    <row r="539" spans="1:20" ht="22.2" hidden="1" customHeight="1">
      <c r="A539" s="1448">
        <f>COUNTIF($C$12:C539,"x")</f>
        <v>24</v>
      </c>
      <c r="B539" s="1465" t="s">
        <v>10</v>
      </c>
      <c r="C539" s="60" t="str">
        <f t="shared" si="87"/>
        <v xml:space="preserve"> </v>
      </c>
      <c r="D539" s="1417">
        <v>8</v>
      </c>
      <c r="E539" s="984" t="str">
        <f>VLOOKUP($B539,DG!A:D,DG!$B$2,)</f>
        <v>04.2001</v>
      </c>
      <c r="F539" s="985" t="str">
        <f>VLOOKUP($B539,DG!A:D,DG!$C$2,)</f>
        <v>Gia công và lắp dựng ván khuôn</v>
      </c>
      <c r="G539" s="984" t="str">
        <f>VLOOKUP($B539,DG!A:D,DG!$D$2,)</f>
        <v>m2</v>
      </c>
      <c r="H539" s="1694"/>
      <c r="I539" s="1694"/>
      <c r="J539" s="1694"/>
      <c r="K539" s="1694"/>
      <c r="L539" s="1694"/>
      <c r="M539" s="1694"/>
      <c r="N539" s="1694"/>
      <c r="O539" s="1694"/>
      <c r="P539" s="1694"/>
      <c r="Q539" s="988"/>
      <c r="R539" s="988"/>
      <c r="S539" s="988"/>
      <c r="T539" s="1862">
        <f t="shared" si="89"/>
        <v>0</v>
      </c>
    </row>
    <row r="540" spans="1:20" ht="22.2" hidden="1" customHeight="1">
      <c r="A540" s="1448">
        <f>COUNTIF($C$12:C540,"x")</f>
        <v>24</v>
      </c>
      <c r="B540" s="1453" t="s">
        <v>17</v>
      </c>
      <c r="C540" s="60" t="str">
        <f t="shared" si="87"/>
        <v xml:space="preserve"> </v>
      </c>
      <c r="D540" s="1417">
        <f>D534/1000</f>
        <v>0.19305</v>
      </c>
      <c r="E540" s="984" t="str">
        <f>VLOOKUP($B540,DG!A:C,2,)</f>
        <v>02.1351</v>
      </c>
      <c r="F540" s="985" t="str">
        <f>VLOOKUP($B540,DG!A:C,3,)</f>
        <v>V/c cốt thép ( cự ly &lt;=100m)</v>
      </c>
      <c r="G540" s="984" t="str">
        <f>VLOOKUP($B540,DG!A:D,4,0)</f>
        <v>tấn</v>
      </c>
      <c r="H540" s="1694"/>
      <c r="I540" s="1694"/>
      <c r="J540" s="1694"/>
      <c r="K540" s="1694"/>
      <c r="L540" s="1694"/>
      <c r="M540" s="1694"/>
      <c r="N540" s="1694"/>
      <c r="O540" s="1694"/>
      <c r="P540" s="1694"/>
      <c r="Q540" s="991"/>
      <c r="R540" s="991"/>
      <c r="S540" s="991"/>
      <c r="T540" s="1862">
        <f t="shared" si="89"/>
        <v>0</v>
      </c>
    </row>
    <row r="541" spans="1:20" ht="22.2" hidden="1" customHeight="1">
      <c r="A541" s="1448">
        <f>COUNTIF($C$12:C541,"x")</f>
        <v>24</v>
      </c>
      <c r="B541" s="1453" t="s">
        <v>19</v>
      </c>
      <c r="C541" s="60" t="str">
        <f t="shared" si="87"/>
        <v xml:space="preserve"> </v>
      </c>
      <c r="D541" s="1417">
        <f>D533</f>
        <v>0.24</v>
      </c>
      <c r="E541" s="984">
        <f>VLOOKUP($B541,DG!A:C,2,)</f>
        <v>0</v>
      </c>
      <c r="F541" s="985" t="str">
        <f>VLOOKUP($B541,DG!A:C,3,)</f>
        <v>Cát vàng</v>
      </c>
      <c r="G541" s="984" t="str">
        <f>VLOOKUP($B541,DG!A:D,4,0)</f>
        <v>m3</v>
      </c>
      <c r="H541" s="1694"/>
      <c r="I541" s="1694"/>
      <c r="J541" s="1694"/>
      <c r="K541" s="1694"/>
      <c r="L541" s="1694"/>
      <c r="M541" s="1694"/>
      <c r="N541" s="1694"/>
      <c r="O541" s="1694"/>
      <c r="P541" s="1694"/>
      <c r="Q541" s="991"/>
      <c r="R541" s="991"/>
      <c r="S541" s="991"/>
      <c r="T541" s="1862">
        <f t="shared" si="89"/>
        <v>0</v>
      </c>
    </row>
    <row r="542" spans="1:20" ht="22.2" hidden="1" customHeight="1">
      <c r="A542" s="1448">
        <f>COUNTIF($C$12:C542,"x")</f>
        <v>24</v>
      </c>
      <c r="B542" s="1453" t="s">
        <v>635</v>
      </c>
      <c r="C542" s="60" t="str">
        <f t="shared" si="87"/>
        <v xml:space="preserve"> </v>
      </c>
      <c r="D542" s="1417">
        <v>0.2</v>
      </c>
      <c r="E542" s="984" t="str">
        <f>VLOOKUP($B542,DG!A:C,2,)</f>
        <v>02.1482</v>
      </c>
      <c r="F542" s="985" t="str">
        <f>VLOOKUP($B542,DG!A:C,3,)</f>
        <v>V/c dụng cụ thi công vào vị trí (cự ly &lt;=100m)</v>
      </c>
      <c r="G542" s="984" t="str">
        <f>VLOOKUP($B542,DG!A:D,4,0)</f>
        <v>tấn</v>
      </c>
      <c r="H542" s="1694"/>
      <c r="I542" s="1694"/>
      <c r="J542" s="1694"/>
      <c r="K542" s="1694"/>
      <c r="L542" s="1694"/>
      <c r="M542" s="1694"/>
      <c r="N542" s="1694"/>
      <c r="O542" s="1694"/>
      <c r="P542" s="1694"/>
      <c r="Q542" s="991"/>
      <c r="R542" s="991"/>
      <c r="S542" s="991"/>
      <c r="T542" s="1862">
        <f t="shared" si="89"/>
        <v>0</v>
      </c>
    </row>
    <row r="543" spans="1:20" ht="22.2" hidden="1" customHeight="1">
      <c r="A543" s="1448">
        <f>COUNTIF($C$12:C543,"x")</f>
        <v>24</v>
      </c>
      <c r="B543" s="1452" t="s">
        <v>891</v>
      </c>
      <c r="C543" s="59" t="str">
        <f t="shared" si="87"/>
        <v xml:space="preserve"> </v>
      </c>
      <c r="D543" s="1412"/>
      <c r="E543" s="981"/>
      <c r="F543" s="1276" t="s">
        <v>2380</v>
      </c>
      <c r="G543" s="982" t="s">
        <v>2327</v>
      </c>
      <c r="H543" s="1691">
        <f>SUM(I543:O543)</f>
        <v>0</v>
      </c>
      <c r="I543" s="1692"/>
      <c r="J543" s="1692"/>
      <c r="K543" s="1692">
        <f>IFERROR(HLOOKUP(B543,pp3p1m!$1:$3,2,0),0)</f>
        <v>0</v>
      </c>
      <c r="L543" s="1692">
        <f>IFERROR(HLOOKUP(chitiet!B543,pp1p!$1:$3,3,0),0)</f>
        <v>0</v>
      </c>
      <c r="M543" s="1692"/>
      <c r="N543" s="1692"/>
      <c r="O543" s="1692"/>
      <c r="P543" s="2674">
        <f>T543</f>
        <v>0</v>
      </c>
      <c r="Q543" s="983">
        <f>IF(P543&gt;H543,P543-H543,0)</f>
        <v>0</v>
      </c>
      <c r="R543" s="983">
        <f>IF(H543&gt;P543,H543-P543,0)</f>
        <v>0</v>
      </c>
      <c r="S543" s="983"/>
      <c r="T543" s="1862">
        <f>IFERROR(HLOOKUP(B543,pp1p!$1:$3,3,0),0)+IFERROR(HLOOKUP(B543,pp3p1m!$1:$3,3,0),0)</f>
        <v>0</v>
      </c>
    </row>
    <row r="544" spans="1:20" ht="22.2" hidden="1" customHeight="1">
      <c r="A544" s="1448">
        <f>COUNTIF($C$12:C544,"x")</f>
        <v>24</v>
      </c>
      <c r="B544" s="1465" t="s">
        <v>1575</v>
      </c>
      <c r="C544" s="60" t="str">
        <f t="shared" si="87"/>
        <v xml:space="preserve"> </v>
      </c>
      <c r="D544" s="1418">
        <v>4</v>
      </c>
      <c r="E544" s="980" t="str">
        <f>VLOOKUP($B544,DG!A:D,DG!$B$2,)</f>
        <v>04.3801</v>
      </c>
      <c r="F544" s="990" t="str">
        <f>VLOOKUP($B544,DG!A:D,DG!$C$2,)</f>
        <v>Đà cản BTCT 1,5m</v>
      </c>
      <c r="G544" s="984" t="str">
        <f>VLOOKUP($B544,DG!A:D,DG!$D$2,)</f>
        <v>cái</v>
      </c>
      <c r="H544" s="1694">
        <f t="shared" ref="H544:N545" si="97">H$543*$D544</f>
        <v>0</v>
      </c>
      <c r="I544" s="1694">
        <f t="shared" si="97"/>
        <v>0</v>
      </c>
      <c r="J544" s="1694">
        <f t="shared" si="97"/>
        <v>0</v>
      </c>
      <c r="K544" s="1694">
        <f t="shared" si="97"/>
        <v>0</v>
      </c>
      <c r="L544" s="1694">
        <f t="shared" si="97"/>
        <v>0</v>
      </c>
      <c r="M544" s="1694">
        <f t="shared" si="97"/>
        <v>0</v>
      </c>
      <c r="N544" s="1694">
        <f t="shared" si="97"/>
        <v>0</v>
      </c>
      <c r="O544" s="1694"/>
      <c r="P544" s="1694"/>
      <c r="Q544" s="988"/>
      <c r="R544" s="988"/>
      <c r="S544" s="988"/>
      <c r="T544" s="1862">
        <f t="shared" si="89"/>
        <v>0</v>
      </c>
    </row>
    <row r="545" spans="1:20" ht="22.2" hidden="1" customHeight="1">
      <c r="A545" s="1448">
        <f>COUNTIF($C$12:C545,"x")</f>
        <v>24</v>
      </c>
      <c r="B545" s="1465" t="s">
        <v>416</v>
      </c>
      <c r="C545" s="60" t="str">
        <f t="shared" si="87"/>
        <v xml:space="preserve"> </v>
      </c>
      <c r="D545" s="1418">
        <v>4</v>
      </c>
      <c r="E545" s="980"/>
      <c r="F545" s="1275" t="str">
        <f>VLOOKUP($B545,DG!A:D,DG!$C$2,)</f>
        <v>Boulon 22x800+ 2 long đền vuông D24-50x50x3/Zn</v>
      </c>
      <c r="G545" s="984" t="str">
        <f>VLOOKUP($B545,DG!A:D,DG!$D$2,)</f>
        <v>bộ</v>
      </c>
      <c r="H545" s="1694">
        <f t="shared" si="97"/>
        <v>0</v>
      </c>
      <c r="I545" s="1694">
        <f t="shared" si="97"/>
        <v>0</v>
      </c>
      <c r="J545" s="1694">
        <f t="shared" si="97"/>
        <v>0</v>
      </c>
      <c r="K545" s="1694">
        <f t="shared" si="97"/>
        <v>0</v>
      </c>
      <c r="L545" s="1694">
        <f t="shared" si="97"/>
        <v>0</v>
      </c>
      <c r="M545" s="1694">
        <f t="shared" si="97"/>
        <v>0</v>
      </c>
      <c r="N545" s="1694">
        <f t="shared" si="97"/>
        <v>0</v>
      </c>
      <c r="O545" s="1694"/>
      <c r="P545" s="1694"/>
      <c r="Q545" s="988"/>
      <c r="R545" s="988"/>
      <c r="S545" s="988"/>
      <c r="T545" s="1862">
        <f t="shared" si="89"/>
        <v>0</v>
      </c>
    </row>
    <row r="546" spans="1:20" ht="22.2" hidden="1" customHeight="1">
      <c r="A546" s="1448">
        <f>COUNTIF($C$12:C546,"x")</f>
        <v>24</v>
      </c>
      <c r="B546" s="1465" t="s">
        <v>639</v>
      </c>
      <c r="C546" s="60" t="str">
        <f t="shared" si="87"/>
        <v xml:space="preserve"> </v>
      </c>
      <c r="D546" s="1417">
        <v>21.8</v>
      </c>
      <c r="E546" s="984" t="str">
        <f>VLOOKUP($B546,DG!A:D,DG!$B$2,)</f>
        <v>03.1013</v>
      </c>
      <c r="F546" s="985" t="str">
        <f>VLOOKUP($B546,DG!A:D,DG!$C$2,)</f>
        <v>Đào hố móng đất cấp 3 sâu &gt;1m</v>
      </c>
      <c r="G546" s="984" t="str">
        <f>VLOOKUP($B546,DG!A:D,DG!$D$2,)</f>
        <v>m3</v>
      </c>
      <c r="H546" s="1694"/>
      <c r="I546" s="1694"/>
      <c r="J546" s="1694"/>
      <c r="K546" s="1694"/>
      <c r="L546" s="1694"/>
      <c r="M546" s="1694"/>
      <c r="N546" s="1694"/>
      <c r="O546" s="1694"/>
      <c r="P546" s="1694"/>
      <c r="Q546" s="991"/>
      <c r="R546" s="991"/>
      <c r="S546" s="991"/>
      <c r="T546" s="1862">
        <f t="shared" ref="T546:T609" si="98">IFERROR(HLOOKUP(B546,BangKeTru,3,0),0)</f>
        <v>0</v>
      </c>
    </row>
    <row r="547" spans="1:20" ht="22.2" hidden="1" customHeight="1">
      <c r="A547" s="1448">
        <f>COUNTIF($C$12:C547,"x")</f>
        <v>24</v>
      </c>
      <c r="B547" s="1465" t="s">
        <v>21</v>
      </c>
      <c r="C547" s="60" t="str">
        <f t="shared" ref="C547:C610" si="99">IF(OR(P547&lt;&gt;0,H547&lt;&gt;0),"x"," ")</f>
        <v xml:space="preserve"> </v>
      </c>
      <c r="D547" s="1417">
        <v>23.1</v>
      </c>
      <c r="E547" s="984" t="str">
        <f>VLOOKUP($B547,DG!A:D,DG!$B$2,)</f>
        <v>03.4113</v>
      </c>
      <c r="F547" s="985" t="str">
        <f>VLOOKUP($B547,DG!A:D,DG!$C$2,)</f>
        <v>Đắp đất hố móng, độ chặt k=0,95</v>
      </c>
      <c r="G547" s="984" t="str">
        <f>VLOOKUP($B547,DG!A:D,DG!$D$2,)</f>
        <v>m3</v>
      </c>
      <c r="H547" s="1694"/>
      <c r="I547" s="1694"/>
      <c r="J547" s="1694"/>
      <c r="K547" s="1694"/>
      <c r="L547" s="1694"/>
      <c r="M547" s="1694"/>
      <c r="N547" s="1694"/>
      <c r="O547" s="1694"/>
      <c r="P547" s="1694"/>
      <c r="Q547" s="991"/>
      <c r="R547" s="991"/>
      <c r="S547" s="991"/>
      <c r="T547" s="1862">
        <f t="shared" si="98"/>
        <v>0</v>
      </c>
    </row>
    <row r="548" spans="1:20" ht="22.2" hidden="1" customHeight="1">
      <c r="A548" s="1448">
        <f>COUNTIF($C$12:C548,"x")</f>
        <v>24</v>
      </c>
      <c r="B548" s="1465" t="s">
        <v>637</v>
      </c>
      <c r="C548" s="60" t="str">
        <f t="shared" si="99"/>
        <v xml:space="preserve"> </v>
      </c>
      <c r="D548" s="1417">
        <f>0.255*D544</f>
        <v>1.02</v>
      </c>
      <c r="E548" s="984" t="str">
        <f>VLOOKUP($B548,DG!A:D,DG!$B$2,)</f>
        <v>02.1123</v>
      </c>
      <c r="F548" s="985" t="str">
        <f>VLOOKUP($B548,DG!A:D,DG!$C$2,)</f>
        <v>Bốc dỡ đà cản, đế néo</v>
      </c>
      <c r="G548" s="984" t="str">
        <f>VLOOKUP($B548,DG!A:D,DG!$D$2,)</f>
        <v>tấn</v>
      </c>
      <c r="H548" s="1694"/>
      <c r="I548" s="1694"/>
      <c r="J548" s="1694"/>
      <c r="K548" s="1694"/>
      <c r="L548" s="1694"/>
      <c r="M548" s="1694"/>
      <c r="N548" s="1694"/>
      <c r="O548" s="1694"/>
      <c r="P548" s="1694"/>
      <c r="Q548" s="988"/>
      <c r="R548" s="988"/>
      <c r="S548" s="988"/>
      <c r="T548" s="1862">
        <f t="shared" si="98"/>
        <v>0</v>
      </c>
    </row>
    <row r="549" spans="1:20" ht="22.2" hidden="1" customHeight="1">
      <c r="A549" s="1448">
        <f>COUNTIF($C$12:C549,"x")</f>
        <v>24</v>
      </c>
      <c r="B549" s="1453" t="s">
        <v>2063</v>
      </c>
      <c r="C549" s="60" t="str">
        <f t="shared" si="99"/>
        <v xml:space="preserve"> </v>
      </c>
      <c r="D549" s="1417">
        <f>D548</f>
        <v>1.02</v>
      </c>
      <c r="E549" s="984" t="str">
        <f>VLOOKUP($B549,DG!A:C,2,)</f>
        <v>02.1451</v>
      </c>
      <c r="F549" s="985" t="str">
        <f>VLOOKUP($B549,DG!A:C,3,)</f>
        <v>V/c đà cản vào vị trí (cự ly &lt;=100m)</v>
      </c>
      <c r="G549" s="984" t="str">
        <f>VLOOKUP($B549,DG!A:D,4,0)</f>
        <v>tấn</v>
      </c>
      <c r="H549" s="1694"/>
      <c r="I549" s="1694"/>
      <c r="J549" s="1694"/>
      <c r="K549" s="1694"/>
      <c r="L549" s="1694"/>
      <c r="M549" s="1694"/>
      <c r="N549" s="1694"/>
      <c r="O549" s="1694"/>
      <c r="P549" s="1694"/>
      <c r="Q549" s="991"/>
      <c r="R549" s="991"/>
      <c r="S549" s="991"/>
      <c r="T549" s="1862">
        <f t="shared" si="98"/>
        <v>0</v>
      </c>
    </row>
    <row r="550" spans="1:20" ht="22.2" hidden="1" customHeight="1">
      <c r="A550" s="1448">
        <f>COUNTIF($C$12:C550,"x")</f>
        <v>24</v>
      </c>
      <c r="B550" s="1453" t="s">
        <v>635</v>
      </c>
      <c r="C550" s="60" t="str">
        <f t="shared" si="99"/>
        <v xml:space="preserve"> </v>
      </c>
      <c r="D550" s="1417">
        <v>0.2</v>
      </c>
      <c r="E550" s="984" t="str">
        <f>VLOOKUP($B550,DG!A:C,2,)</f>
        <v>02.1482</v>
      </c>
      <c r="F550" s="985" t="str">
        <f>VLOOKUP($B550,DG!A:C,3,)</f>
        <v>V/c dụng cụ thi công vào vị trí (cự ly &lt;=100m)</v>
      </c>
      <c r="G550" s="984" t="str">
        <f>VLOOKUP($B550,DG!A:D,4,0)</f>
        <v>tấn</v>
      </c>
      <c r="H550" s="1694"/>
      <c r="I550" s="1694"/>
      <c r="J550" s="1694"/>
      <c r="K550" s="1694"/>
      <c r="L550" s="1694"/>
      <c r="M550" s="1694"/>
      <c r="N550" s="1694"/>
      <c r="O550" s="1694"/>
      <c r="P550" s="1694"/>
      <c r="Q550" s="991"/>
      <c r="R550" s="991"/>
      <c r="S550" s="991"/>
      <c r="T550" s="1862">
        <f t="shared" si="98"/>
        <v>0</v>
      </c>
    </row>
    <row r="551" spans="1:20" ht="22.2" hidden="1" customHeight="1">
      <c r="A551" s="1448">
        <f>COUNTIF($C$12:C551,"x")</f>
        <v>24</v>
      </c>
      <c r="B551" s="1452" t="s">
        <v>513</v>
      </c>
      <c r="C551" s="59" t="str">
        <f t="shared" si="99"/>
        <v xml:space="preserve"> </v>
      </c>
      <c r="D551" s="1412"/>
      <c r="E551" s="981"/>
      <c r="F551" s="1276" t="s">
        <v>2381</v>
      </c>
      <c r="G551" s="982" t="s">
        <v>2382</v>
      </c>
      <c r="H551" s="1691">
        <f>SUM(I551:O551)</f>
        <v>0</v>
      </c>
      <c r="I551" s="1692"/>
      <c r="J551" s="1692"/>
      <c r="K551" s="1692">
        <f>IFERROR(HLOOKUP(B551,pp3p1m!$1:$3,2,0),0)</f>
        <v>0</v>
      </c>
      <c r="L551" s="1692">
        <f>IFERROR(HLOOKUP(chitiet!B551,pp1p!$1:$3,3,0),0)</f>
        <v>0</v>
      </c>
      <c r="M551" s="1692"/>
      <c r="N551" s="1692"/>
      <c r="O551" s="1692"/>
      <c r="P551" s="2674">
        <f>T551</f>
        <v>0</v>
      </c>
      <c r="Q551" s="983">
        <f>IF(P551&gt;H551,P551-H551,0)</f>
        <v>0</v>
      </c>
      <c r="R551" s="983">
        <f>IF(H551&gt;P551,H551-P551,0)</f>
        <v>0</v>
      </c>
      <c r="S551" s="983"/>
      <c r="T551" s="1862">
        <f>IFERROR(HLOOKUP(B551,pp1p!$1:$3,3,0),0)+IFERROR(HLOOKUP(B551,pp3p1m!$1:$3,3,0),0)</f>
        <v>0</v>
      </c>
    </row>
    <row r="552" spans="1:20" ht="22.2" hidden="1" customHeight="1">
      <c r="A552" s="1448">
        <f>COUNTIF($C$12:C552,"x")</f>
        <v>24</v>
      </c>
      <c r="B552" s="1453" t="s">
        <v>751</v>
      </c>
      <c r="C552" s="60" t="str">
        <f t="shared" si="99"/>
        <v xml:space="preserve"> </v>
      </c>
      <c r="D552" s="1416">
        <f>D565*P565+D566*P566</f>
        <v>0</v>
      </c>
      <c r="E552" s="980"/>
      <c r="F552" s="985" t="str">
        <f>VLOOKUP($B552,DG!A:D,DG!$C$2,)</f>
        <v>Ximăng (PC40)</v>
      </c>
      <c r="G552" s="984" t="str">
        <f>VLOOKUP($B552,DG!A:D,DG!$D$2,)</f>
        <v>kg</v>
      </c>
      <c r="H552" s="1693">
        <f t="shared" ref="H552:N554" si="100">H$551*$D552</f>
        <v>0</v>
      </c>
      <c r="I552" s="1693">
        <f t="shared" si="100"/>
        <v>0</v>
      </c>
      <c r="J552" s="1693">
        <f t="shared" si="100"/>
        <v>0</v>
      </c>
      <c r="K552" s="1693">
        <f t="shared" si="100"/>
        <v>0</v>
      </c>
      <c r="L552" s="1693">
        <f t="shared" si="100"/>
        <v>0</v>
      </c>
      <c r="M552" s="1693">
        <f t="shared" si="100"/>
        <v>0</v>
      </c>
      <c r="N552" s="1693">
        <f t="shared" si="100"/>
        <v>0</v>
      </c>
      <c r="O552" s="1693"/>
      <c r="P552" s="1693"/>
      <c r="Q552" s="989"/>
      <c r="R552" s="989"/>
      <c r="S552" s="989"/>
      <c r="T552" s="1862">
        <f t="shared" si="98"/>
        <v>0</v>
      </c>
    </row>
    <row r="553" spans="1:20" ht="22.2" hidden="1" customHeight="1">
      <c r="A553" s="1448">
        <f>COUNTIF($C$12:C553,"x")</f>
        <v>24</v>
      </c>
      <c r="B553" s="1454" t="s">
        <v>4414</v>
      </c>
      <c r="C553" s="60" t="str">
        <f t="shared" si="99"/>
        <v xml:space="preserve"> </v>
      </c>
      <c r="D553" s="1416">
        <f>D565*Q565+D566*Q566</f>
        <v>0</v>
      </c>
      <c r="E553" s="984"/>
      <c r="F553" s="985" t="str">
        <f>VLOOKUP($B553,DG!A:D,DG!$C$2,)</f>
        <v>Cát vàng</v>
      </c>
      <c r="G553" s="984" t="str">
        <f>VLOOKUP($B553,DG!A:D,DG!$D$2,)</f>
        <v>m3</v>
      </c>
      <c r="H553" s="1693">
        <f t="shared" si="100"/>
        <v>0</v>
      </c>
      <c r="I553" s="1693">
        <f t="shared" si="100"/>
        <v>0</v>
      </c>
      <c r="J553" s="1693">
        <f t="shared" si="100"/>
        <v>0</v>
      </c>
      <c r="K553" s="1693">
        <f t="shared" si="100"/>
        <v>0</v>
      </c>
      <c r="L553" s="1693">
        <f t="shared" si="100"/>
        <v>0</v>
      </c>
      <c r="M553" s="1693">
        <f t="shared" si="100"/>
        <v>0</v>
      </c>
      <c r="N553" s="1693">
        <f t="shared" si="100"/>
        <v>0</v>
      </c>
      <c r="O553" s="1693"/>
      <c r="P553" s="1693"/>
      <c r="Q553" s="989"/>
      <c r="R553" s="989"/>
      <c r="S553" s="989"/>
      <c r="T553" s="1862">
        <f t="shared" si="98"/>
        <v>0</v>
      </c>
    </row>
    <row r="554" spans="1:20" ht="22.2" hidden="1" customHeight="1">
      <c r="A554" s="1448">
        <f>COUNTIF($C$12:C554,"x")</f>
        <v>24</v>
      </c>
      <c r="B554" s="1453" t="s">
        <v>867</v>
      </c>
      <c r="C554" s="60" t="str">
        <f t="shared" si="99"/>
        <v xml:space="preserve"> </v>
      </c>
      <c r="D554" s="1416">
        <f>D566*R566</f>
        <v>0</v>
      </c>
      <c r="E554" s="984" t="s">
        <v>723</v>
      </c>
      <c r="F554" s="985" t="str">
        <f>VLOOKUP($B554,DG!A:D,DG!$C$2,)</f>
        <v>Đá 1x2</v>
      </c>
      <c r="G554" s="984" t="str">
        <f>VLOOKUP($B554,DG!A:D,DG!$D$2,)</f>
        <v>m3</v>
      </c>
      <c r="H554" s="1693">
        <f t="shared" si="100"/>
        <v>0</v>
      </c>
      <c r="I554" s="1693">
        <f t="shared" si="100"/>
        <v>0</v>
      </c>
      <c r="J554" s="1693">
        <f t="shared" si="100"/>
        <v>0</v>
      </c>
      <c r="K554" s="1693">
        <f t="shared" si="100"/>
        <v>0</v>
      </c>
      <c r="L554" s="1693">
        <f t="shared" si="100"/>
        <v>0</v>
      </c>
      <c r="M554" s="1693">
        <f t="shared" si="100"/>
        <v>0</v>
      </c>
      <c r="N554" s="1693">
        <f t="shared" si="100"/>
        <v>0</v>
      </c>
      <c r="O554" s="1693"/>
      <c r="P554" s="1693"/>
      <c r="Q554" s="989"/>
      <c r="R554" s="989"/>
      <c r="S554" s="989"/>
      <c r="T554" s="1862">
        <f t="shared" si="98"/>
        <v>0</v>
      </c>
    </row>
    <row r="555" spans="1:20" ht="22.2" hidden="1" customHeight="1">
      <c r="A555" s="1448">
        <f>COUNTIF($C$12:C555,"x")</f>
        <v>24</v>
      </c>
      <c r="B555" s="1453" t="s">
        <v>1979</v>
      </c>
      <c r="C555" s="60" t="str">
        <f t="shared" si="99"/>
        <v xml:space="preserve"> </v>
      </c>
      <c r="D555" s="1416">
        <f>D565*R565</f>
        <v>0</v>
      </c>
      <c r="E555" s="984" t="s">
        <v>723</v>
      </c>
      <c r="F555" s="985" t="str">
        <f>VLOOKUP($B555,DG!A:D,DG!$C$2,)</f>
        <v>Đá 4x6</v>
      </c>
      <c r="G555" s="984" t="str">
        <f>VLOOKUP($B555,DG!A:D,DG!$D$2,)</f>
        <v>m3</v>
      </c>
      <c r="H555" s="1693"/>
      <c r="I555" s="1693"/>
      <c r="J555" s="1693"/>
      <c r="K555" s="1693"/>
      <c r="L555" s="1693"/>
      <c r="M555" s="1693"/>
      <c r="N555" s="1693"/>
      <c r="O555" s="1693"/>
      <c r="P555" s="1693"/>
      <c r="Q555" s="989"/>
      <c r="R555" s="989"/>
      <c r="S555" s="989"/>
      <c r="T555" s="1862">
        <f t="shared" si="98"/>
        <v>0</v>
      </c>
    </row>
    <row r="556" spans="1:20" ht="22.2" hidden="1" customHeight="1">
      <c r="A556" s="1448">
        <f>COUNTIF($C$12:C556,"x")</f>
        <v>24</v>
      </c>
      <c r="B556" s="1453" t="s">
        <v>1973</v>
      </c>
      <c r="C556" s="60" t="str">
        <f t="shared" si="99"/>
        <v xml:space="preserve"> </v>
      </c>
      <c r="D556" s="1416">
        <v>4.74</v>
      </c>
      <c r="E556" s="984" t="s">
        <v>723</v>
      </c>
      <c r="F556" s="990" t="str">
        <f>VLOOKUP($B556,DG!A:D,DG!$C$2,)</f>
        <v>Sắt Ø6</v>
      </c>
      <c r="G556" s="984" t="str">
        <f>VLOOKUP($B556,DG!A:D,DG!$D$2,)</f>
        <v>kg</v>
      </c>
      <c r="H556" s="1693"/>
      <c r="I556" s="1693"/>
      <c r="J556" s="1693"/>
      <c r="K556" s="1693"/>
      <c r="L556" s="1693"/>
      <c r="M556" s="1693"/>
      <c r="N556" s="1693"/>
      <c r="O556" s="1693"/>
      <c r="P556" s="1693"/>
      <c r="Q556" s="989"/>
      <c r="R556" s="989"/>
      <c r="S556" s="989"/>
      <c r="T556" s="1862">
        <f t="shared" si="98"/>
        <v>0</v>
      </c>
    </row>
    <row r="557" spans="1:20" ht="22.2" hidden="1" customHeight="1">
      <c r="A557" s="1448">
        <f>COUNTIF($C$12:C557,"x")</f>
        <v>24</v>
      </c>
      <c r="B557" s="1453" t="s">
        <v>857</v>
      </c>
      <c r="C557" s="60" t="str">
        <f t="shared" si="99"/>
        <v xml:space="preserve"> </v>
      </c>
      <c r="D557" s="1423">
        <f>S566*D566</f>
        <v>0</v>
      </c>
      <c r="E557" s="984" t="s">
        <v>723</v>
      </c>
      <c r="F557" s="990" t="str">
        <f>VLOOKUP($B557,DG!A:D,DG!$C$2,)</f>
        <v>Gỗ ván khuôn</v>
      </c>
      <c r="G557" s="984" t="str">
        <f>VLOOKUP($B557,DG!A:D,DG!$D$2,)</f>
        <v>m3</v>
      </c>
      <c r="H557" s="1693"/>
      <c r="I557" s="1693"/>
      <c r="J557" s="1693"/>
      <c r="K557" s="1693"/>
      <c r="L557" s="1693"/>
      <c r="M557" s="1693"/>
      <c r="N557" s="1693"/>
      <c r="O557" s="1693"/>
      <c r="P557" s="1693"/>
      <c r="Q557" s="989"/>
      <c r="R557" s="989"/>
      <c r="S557" s="989"/>
      <c r="T557" s="1862">
        <f t="shared" si="98"/>
        <v>0</v>
      </c>
    </row>
    <row r="558" spans="1:20" ht="22.2" hidden="1" customHeight="1">
      <c r="A558" s="1448">
        <f>COUNTIF($C$12:C558,"x")</f>
        <v>24</v>
      </c>
      <c r="B558" s="1453" t="s">
        <v>871</v>
      </c>
      <c r="C558" s="60" t="str">
        <f t="shared" si="99"/>
        <v xml:space="preserve"> </v>
      </c>
      <c r="D558" s="1420">
        <v>0.1</v>
      </c>
      <c r="E558" s="984" t="s">
        <v>723</v>
      </c>
      <c r="F558" s="990" t="str">
        <f>VLOOKUP($B558,DG!A:D,DG!$C$2,)</f>
        <v>Dây thép buộc A70</v>
      </c>
      <c r="G558" s="984" t="str">
        <f>VLOOKUP($B558,DG!A:D,DG!$D$2,)</f>
        <v>kg</v>
      </c>
      <c r="H558" s="1693"/>
      <c r="I558" s="1693"/>
      <c r="J558" s="1693"/>
      <c r="K558" s="1693"/>
      <c r="L558" s="1693"/>
      <c r="M558" s="1693"/>
      <c r="N558" s="1693"/>
      <c r="O558" s="1693"/>
      <c r="P558" s="1693"/>
      <c r="Q558" s="989"/>
      <c r="R558" s="989"/>
      <c r="S558" s="989"/>
      <c r="T558" s="1862">
        <f t="shared" si="98"/>
        <v>0</v>
      </c>
    </row>
    <row r="559" spans="1:20" ht="22.2" hidden="1" customHeight="1">
      <c r="A559" s="1448">
        <f>COUNTIF($C$12:C559,"x")</f>
        <v>24</v>
      </c>
      <c r="B559" s="1453" t="s">
        <v>639</v>
      </c>
      <c r="C559" s="60" t="str">
        <f t="shared" si="99"/>
        <v xml:space="preserve"> </v>
      </c>
      <c r="D559" s="1413">
        <v>0.29599999999999999</v>
      </c>
      <c r="E559" s="984" t="s">
        <v>707</v>
      </c>
      <c r="F559" s="985" t="str">
        <f>VLOOKUP($B559,DG!A:D,DG!$C$2,)</f>
        <v>Đào hố móng đất cấp 3 sâu &gt;1m</v>
      </c>
      <c r="G559" s="984" t="str">
        <f>VLOOKUP($B559,DG!A:D,DG!$D$2,)</f>
        <v>m3</v>
      </c>
      <c r="H559" s="1693">
        <f t="shared" ref="H559:N560" si="101">H$551*$D559</f>
        <v>0</v>
      </c>
      <c r="I559" s="1693">
        <f t="shared" si="101"/>
        <v>0</v>
      </c>
      <c r="J559" s="1693">
        <f t="shared" si="101"/>
        <v>0</v>
      </c>
      <c r="K559" s="1693">
        <f t="shared" si="101"/>
        <v>0</v>
      </c>
      <c r="L559" s="1693">
        <f t="shared" si="101"/>
        <v>0</v>
      </c>
      <c r="M559" s="1693">
        <f t="shared" si="101"/>
        <v>0</v>
      </c>
      <c r="N559" s="1693">
        <f t="shared" si="101"/>
        <v>0</v>
      </c>
      <c r="O559" s="1693"/>
      <c r="P559" s="1693"/>
      <c r="Q559" s="989"/>
      <c r="R559" s="989"/>
      <c r="S559" s="989"/>
      <c r="T559" s="1862">
        <f t="shared" si="98"/>
        <v>0</v>
      </c>
    </row>
    <row r="560" spans="1:20" ht="22.2" hidden="1" customHeight="1">
      <c r="A560" s="1448">
        <f>COUNTIF($C$12:C560,"x")</f>
        <v>24</v>
      </c>
      <c r="B560" s="1453" t="s">
        <v>21</v>
      </c>
      <c r="C560" s="60" t="str">
        <f t="shared" si="99"/>
        <v xml:space="preserve"> </v>
      </c>
      <c r="D560" s="1413">
        <v>0.218</v>
      </c>
      <c r="E560" s="984" t="s">
        <v>22</v>
      </c>
      <c r="F560" s="985" t="str">
        <f>VLOOKUP($B560,DG!A:D,DG!$C$2,)</f>
        <v>Đắp đất hố móng, độ chặt k=0,95</v>
      </c>
      <c r="G560" s="984" t="str">
        <f>VLOOKUP($B560,DG!A:D,DG!$D$2,)</f>
        <v>m3</v>
      </c>
      <c r="H560" s="1693">
        <f t="shared" si="101"/>
        <v>0</v>
      </c>
      <c r="I560" s="1693">
        <f t="shared" si="101"/>
        <v>0</v>
      </c>
      <c r="J560" s="1693">
        <f t="shared" si="101"/>
        <v>0</v>
      </c>
      <c r="K560" s="1693">
        <f t="shared" si="101"/>
        <v>0</v>
      </c>
      <c r="L560" s="1693">
        <f t="shared" si="101"/>
        <v>0</v>
      </c>
      <c r="M560" s="1693">
        <f t="shared" si="101"/>
        <v>0</v>
      </c>
      <c r="N560" s="1693">
        <f t="shared" si="101"/>
        <v>0</v>
      </c>
      <c r="O560" s="1693"/>
      <c r="P560" s="1693"/>
      <c r="Q560" s="989"/>
      <c r="R560" s="989"/>
      <c r="S560" s="989"/>
      <c r="T560" s="1862">
        <f t="shared" si="98"/>
        <v>0</v>
      </c>
    </row>
    <row r="561" spans="1:20" ht="22.2" hidden="1" customHeight="1">
      <c r="A561" s="1448">
        <f>COUNTIF($C$12:C561,"x")</f>
        <v>24</v>
      </c>
      <c r="B561" s="1453" t="s">
        <v>495</v>
      </c>
      <c r="C561" s="60" t="str">
        <f t="shared" si="99"/>
        <v xml:space="preserve"> </v>
      </c>
      <c r="D561" s="1413">
        <f>D552/1000</f>
        <v>0</v>
      </c>
      <c r="E561" s="984" t="str">
        <f>VLOOKUP($B561,DG!A:D,DG!$B$2,)</f>
        <v>02.1211</v>
      </c>
      <c r="F561" s="985" t="str">
        <f>VLOOKUP($B561,DG!A:D,DG!$C$2,)</f>
        <v>V/c xi măng ( cự ly &lt;=100m)</v>
      </c>
      <c r="G561" s="984" t="str">
        <f>VLOOKUP($B561,DG!A:D,DG!$D$2,)</f>
        <v>tấn</v>
      </c>
      <c r="H561" s="1693"/>
      <c r="I561" s="1693"/>
      <c r="J561" s="1693"/>
      <c r="K561" s="1693"/>
      <c r="L561" s="1693"/>
      <c r="M561" s="1693"/>
      <c r="N561" s="1693"/>
      <c r="O561" s="1693"/>
      <c r="P561" s="1693"/>
      <c r="Q561" s="989"/>
      <c r="R561" s="989"/>
      <c r="S561" s="989"/>
      <c r="T561" s="1862">
        <f t="shared" si="98"/>
        <v>0</v>
      </c>
    </row>
    <row r="562" spans="1:20" ht="22.2" hidden="1" customHeight="1">
      <c r="A562" s="1448">
        <f>COUNTIF($C$12:C562,"x")</f>
        <v>24</v>
      </c>
      <c r="B562" s="1453" t="s">
        <v>1611</v>
      </c>
      <c r="C562" s="60" t="str">
        <f t="shared" si="99"/>
        <v xml:space="preserve"> </v>
      </c>
      <c r="D562" s="1413">
        <f>D553</f>
        <v>0</v>
      </c>
      <c r="E562" s="984" t="str">
        <f>VLOOKUP($B562,DG!A:D,DG!$B$2,)</f>
        <v>02.1231</v>
      </c>
      <c r="F562" s="985" t="str">
        <f>VLOOKUP($B562,DG!A:D,DG!$C$2,)</f>
        <v>V/c cát vàng cự ly &lt;=100m</v>
      </c>
      <c r="G562" s="984" t="str">
        <f>VLOOKUP($B562,DG!A:D,DG!$D$2,)</f>
        <v>m3</v>
      </c>
      <c r="H562" s="1693"/>
      <c r="I562" s="1693"/>
      <c r="J562" s="1693"/>
      <c r="K562" s="1693"/>
      <c r="L562" s="1693"/>
      <c r="M562" s="1693"/>
      <c r="N562" s="1693"/>
      <c r="O562" s="1693"/>
      <c r="P562" s="1693"/>
      <c r="Q562" s="989"/>
      <c r="R562" s="989"/>
      <c r="S562" s="989"/>
      <c r="T562" s="1862">
        <f t="shared" si="98"/>
        <v>0</v>
      </c>
    </row>
    <row r="563" spans="1:20" ht="22.2" hidden="1" customHeight="1">
      <c r="A563" s="1448">
        <f>COUNTIF($C$12:C563,"x")</f>
        <v>24</v>
      </c>
      <c r="B563" s="1453" t="s">
        <v>521</v>
      </c>
      <c r="C563" s="60" t="str">
        <f t="shared" si="99"/>
        <v xml:space="preserve"> </v>
      </c>
      <c r="D563" s="1413">
        <f>D554</f>
        <v>0</v>
      </c>
      <c r="E563" s="984" t="str">
        <f>VLOOKUP($B563,DG!A:D,DG!$B$2,)</f>
        <v>02.1241</v>
      </c>
      <c r="F563" s="985" t="str">
        <f>VLOOKUP($B563,DG!A:D,DG!$C$2,)</f>
        <v>V/c đá dăm ( cự ly &lt;=100m)</v>
      </c>
      <c r="G563" s="984" t="str">
        <f>VLOOKUP($B563,DG!A:D,DG!$D$2,)</f>
        <v>m3</v>
      </c>
      <c r="H563" s="1693"/>
      <c r="I563" s="1693"/>
      <c r="J563" s="1693"/>
      <c r="K563" s="1693"/>
      <c r="L563" s="1693"/>
      <c r="M563" s="1693"/>
      <c r="N563" s="1693"/>
      <c r="O563" s="1693"/>
      <c r="P563" s="1693"/>
      <c r="Q563" s="989"/>
      <c r="R563" s="989"/>
      <c r="S563" s="989"/>
      <c r="T563" s="1862">
        <f t="shared" si="98"/>
        <v>0</v>
      </c>
    </row>
    <row r="564" spans="1:20" ht="22.2" hidden="1" customHeight="1">
      <c r="A564" s="1448">
        <f>COUNTIF($C$12:C564,"x")</f>
        <v>24</v>
      </c>
      <c r="B564" s="1453" t="s">
        <v>9</v>
      </c>
      <c r="C564" s="60" t="str">
        <f t="shared" si="99"/>
        <v xml:space="preserve"> </v>
      </c>
      <c r="D564" s="1413">
        <f>D556</f>
        <v>4.74</v>
      </c>
      <c r="E564" s="984" t="str">
        <f>VLOOKUP($B564,DG!A:D,DG!$B$2,)</f>
        <v>04.5101</v>
      </c>
      <c r="F564" s="985" t="str">
        <f>VLOOKUP($B564,DG!A:D,DG!$C$2,)</f>
        <v>Gia công và lắp dựng cốt thép D&lt;=10</v>
      </c>
      <c r="G564" s="984" t="str">
        <f>VLOOKUP($B564,DG!A:D,DG!$D$2,)</f>
        <v>kg</v>
      </c>
      <c r="H564" s="1693"/>
      <c r="I564" s="1693"/>
      <c r="J564" s="1693"/>
      <c r="K564" s="1693"/>
      <c r="L564" s="1693"/>
      <c r="M564" s="1693"/>
      <c r="N564" s="1693"/>
      <c r="O564" s="1693"/>
      <c r="P564" s="1693"/>
      <c r="Q564" s="989"/>
      <c r="R564" s="989"/>
      <c r="S564" s="989"/>
      <c r="T564" s="1862">
        <f t="shared" si="98"/>
        <v>0</v>
      </c>
    </row>
    <row r="565" spans="1:20" ht="22.2" hidden="1" customHeight="1">
      <c r="A565" s="1448">
        <f>COUNTIF($C$12:C565,"x")</f>
        <v>24</v>
      </c>
      <c r="B565" s="1453" t="s">
        <v>1955</v>
      </c>
      <c r="C565" s="60" t="str">
        <f t="shared" si="99"/>
        <v xml:space="preserve"> </v>
      </c>
      <c r="D565" s="1423">
        <v>3.5000000000000003E-2</v>
      </c>
      <c r="E565" s="984" t="str">
        <f>VLOOKUP($B565,DG!A:D,DG!$B$2,)</f>
        <v>04.3112</v>
      </c>
      <c r="F565" s="985" t="str">
        <f>VLOOKUP($B565,DG!A:D,DG!$C$2,)</f>
        <v>Đổ bê tông mác M100 đá 4x6</v>
      </c>
      <c r="G565" s="984" t="str">
        <f>VLOOKUP($B565,DG!A:D,DG!$D$2,)</f>
        <v>m3</v>
      </c>
      <c r="H565" s="1694"/>
      <c r="I565" s="1694"/>
      <c r="J565" s="1694"/>
      <c r="K565" s="1694"/>
      <c r="L565" s="1694"/>
      <c r="M565" s="1694"/>
      <c r="N565" s="1694"/>
      <c r="O565" s="1694"/>
      <c r="P565" s="1694"/>
      <c r="Q565" s="991"/>
      <c r="R565" s="991"/>
      <c r="S565" s="991"/>
      <c r="T565" s="1862">
        <f t="shared" si="98"/>
        <v>0</v>
      </c>
    </row>
    <row r="566" spans="1:20" ht="22.2" hidden="1" customHeight="1">
      <c r="A566" s="1448">
        <f>COUNTIF($C$12:C566,"x")</f>
        <v>24</v>
      </c>
      <c r="B566" s="1453" t="s">
        <v>1836</v>
      </c>
      <c r="C566" s="60" t="str">
        <f t="shared" si="99"/>
        <v xml:space="preserve"> </v>
      </c>
      <c r="D566" s="1423">
        <v>5.0500000000000003E-2</v>
      </c>
      <c r="E566" s="984" t="str">
        <f>VLOOKUP($B566,DG!A:D,DG!$B$2,)</f>
        <v>04.1203c</v>
      </c>
      <c r="F566" s="985" t="str">
        <f>VLOOKUP($B566,DG!A:D,DG!$C$2,)</f>
        <v>Đổ bê tông móng trụ &lt;=250cm-M200 đá 1x2</v>
      </c>
      <c r="G566" s="984" t="str">
        <f>VLOOKUP($B566,DG!A:D,DG!$D$2,)</f>
        <v>m3</v>
      </c>
      <c r="H566" s="1694"/>
      <c r="I566" s="1694"/>
      <c r="J566" s="1694"/>
      <c r="K566" s="1694"/>
      <c r="L566" s="1694"/>
      <c r="M566" s="1694"/>
      <c r="N566" s="1694"/>
      <c r="O566" s="1694"/>
      <c r="P566" s="1694"/>
      <c r="Q566" s="991"/>
      <c r="R566" s="991"/>
      <c r="S566" s="991"/>
      <c r="T566" s="1862">
        <f t="shared" si="98"/>
        <v>0</v>
      </c>
    </row>
    <row r="567" spans="1:20" ht="22.2" hidden="1" customHeight="1">
      <c r="A567" s="1448">
        <f>COUNTIF($C$12:C567,"x")</f>
        <v>24</v>
      </c>
      <c r="B567" s="1452" t="s">
        <v>549</v>
      </c>
      <c r="C567" s="59" t="str">
        <f t="shared" si="99"/>
        <v xml:space="preserve"> </v>
      </c>
      <c r="D567" s="1412"/>
      <c r="E567" s="981"/>
      <c r="F567" s="1276" t="s">
        <v>2383</v>
      </c>
      <c r="G567" s="982" t="s">
        <v>2382</v>
      </c>
      <c r="H567" s="1691">
        <f>SUM(I567:O567)</f>
        <v>0</v>
      </c>
      <c r="I567" s="1692"/>
      <c r="J567" s="1692"/>
      <c r="K567" s="1692">
        <f>IFERROR(HLOOKUP(B567,pp3p1m!$1:$3,2,0),0)</f>
        <v>0</v>
      </c>
      <c r="L567" s="1692">
        <f>IFERROR(HLOOKUP(chitiet!B567,pp1p!$1:$3,3,0),0)</f>
        <v>0</v>
      </c>
      <c r="M567" s="1692"/>
      <c r="N567" s="1692"/>
      <c r="O567" s="1692"/>
      <c r="P567" s="2674">
        <f>T567</f>
        <v>0</v>
      </c>
      <c r="Q567" s="983">
        <f>IF(P567&gt;H567,P567-H567,0)</f>
        <v>0</v>
      </c>
      <c r="R567" s="983">
        <f>IF(H567&gt;P567,H567-P567,0)</f>
        <v>0</v>
      </c>
      <c r="S567" s="983"/>
      <c r="T567" s="1862">
        <f>IFERROR(HLOOKUP(B567,pp1p!$1:$3,3,0),0)+IFERROR(HLOOKUP(B567,pp3p1m!$1:$3,3,0),0)</f>
        <v>0</v>
      </c>
    </row>
    <row r="568" spans="1:20" ht="22.2" hidden="1" customHeight="1">
      <c r="A568" s="1448">
        <f>COUNTIF($C$12:C568,"x")</f>
        <v>24</v>
      </c>
      <c r="B568" s="1453" t="s">
        <v>751</v>
      </c>
      <c r="C568" s="60" t="str">
        <f t="shared" si="99"/>
        <v xml:space="preserve"> </v>
      </c>
      <c r="D568" s="1416">
        <f>D581*P581+D582*P582</f>
        <v>0</v>
      </c>
      <c r="E568" s="980"/>
      <c r="F568" s="985" t="str">
        <f>VLOOKUP($B568,DG!A:D,DG!$C$2,)</f>
        <v>Ximăng (PC40)</v>
      </c>
      <c r="G568" s="984" t="str">
        <f>VLOOKUP($B568,DG!A:D,DG!$D$2,)</f>
        <v>kg</v>
      </c>
      <c r="H568" s="1693">
        <f>H$567*$D568</f>
        <v>0</v>
      </c>
      <c r="I568" s="1693"/>
      <c r="J568" s="1693"/>
      <c r="K568" s="1693"/>
      <c r="L568" s="1693"/>
      <c r="M568" s="1693"/>
      <c r="N568" s="1693"/>
      <c r="O568" s="1693"/>
      <c r="P568" s="1693"/>
      <c r="Q568" s="993"/>
      <c r="R568" s="993"/>
      <c r="S568" s="993"/>
      <c r="T568" s="1862">
        <f t="shared" si="98"/>
        <v>0</v>
      </c>
    </row>
    <row r="569" spans="1:20" ht="22.2" hidden="1" customHeight="1">
      <c r="A569" s="1448">
        <f>COUNTIF($C$12:C569,"x")</f>
        <v>24</v>
      </c>
      <c r="B569" s="1454" t="s">
        <v>4414</v>
      </c>
      <c r="C569" s="60" t="str">
        <f t="shared" si="99"/>
        <v xml:space="preserve"> </v>
      </c>
      <c r="D569" s="1416">
        <f>D581*Q581+D582*Q582</f>
        <v>0</v>
      </c>
      <c r="E569" s="984"/>
      <c r="F569" s="985" t="str">
        <f>VLOOKUP($B569,DG!A:D,DG!$C$2,)</f>
        <v>Cát vàng</v>
      </c>
      <c r="G569" s="984" t="str">
        <f>VLOOKUP($B569,DG!A:D,DG!$D$2,)</f>
        <v>m3</v>
      </c>
      <c r="H569" s="1693">
        <f>H$567*$D569</f>
        <v>0</v>
      </c>
      <c r="I569" s="1693"/>
      <c r="J569" s="1693"/>
      <c r="K569" s="1693"/>
      <c r="L569" s="1693"/>
      <c r="M569" s="1693"/>
      <c r="N569" s="1693"/>
      <c r="O569" s="1693"/>
      <c r="P569" s="1693"/>
      <c r="Q569" s="993"/>
      <c r="R569" s="993"/>
      <c r="S569" s="993"/>
      <c r="T569" s="1862">
        <f t="shared" si="98"/>
        <v>0</v>
      </c>
    </row>
    <row r="570" spans="1:20" ht="22.2" hidden="1" customHeight="1">
      <c r="A570" s="1448">
        <f>COUNTIF($C$12:C570,"x")</f>
        <v>24</v>
      </c>
      <c r="B570" s="1453" t="s">
        <v>867</v>
      </c>
      <c r="C570" s="60" t="str">
        <f t="shared" si="99"/>
        <v xml:space="preserve"> </v>
      </c>
      <c r="D570" s="1416">
        <f>D582*R582</f>
        <v>0</v>
      </c>
      <c r="E570" s="984" t="s">
        <v>723</v>
      </c>
      <c r="F570" s="985" t="str">
        <f>VLOOKUP($B570,DG!A:D,DG!$C$2,)</f>
        <v>Đá 1x2</v>
      </c>
      <c r="G570" s="984" t="str">
        <f>VLOOKUP($B570,DG!A:D,DG!$D$2,)</f>
        <v>m3</v>
      </c>
      <c r="H570" s="1693">
        <f>H$567*$D570</f>
        <v>0</v>
      </c>
      <c r="I570" s="1693"/>
      <c r="J570" s="1693"/>
      <c r="K570" s="1693"/>
      <c r="L570" s="1693"/>
      <c r="M570" s="1693"/>
      <c r="N570" s="1693"/>
      <c r="O570" s="1693"/>
      <c r="P570" s="1693"/>
      <c r="Q570" s="993"/>
      <c r="R570" s="993"/>
      <c r="S570" s="993"/>
      <c r="T570" s="1862">
        <f t="shared" si="98"/>
        <v>0</v>
      </c>
    </row>
    <row r="571" spans="1:20" ht="22.2" hidden="1" customHeight="1">
      <c r="A571" s="1448">
        <f>COUNTIF($C$12:C571,"x")</f>
        <v>24</v>
      </c>
      <c r="B571" s="1453" t="s">
        <v>1979</v>
      </c>
      <c r="C571" s="60" t="str">
        <f t="shared" si="99"/>
        <v xml:space="preserve"> </v>
      </c>
      <c r="D571" s="1416">
        <f>D581*R581</f>
        <v>0</v>
      </c>
      <c r="E571" s="984" t="s">
        <v>723</v>
      </c>
      <c r="F571" s="985" t="str">
        <f>VLOOKUP($B571,DG!A:D,DG!$C$2,)</f>
        <v>Đá 4x6</v>
      </c>
      <c r="G571" s="984" t="str">
        <f>VLOOKUP($B571,DG!A:D,DG!$D$2,)</f>
        <v>m3</v>
      </c>
      <c r="H571" s="1693">
        <f>H$567*$D571</f>
        <v>0</v>
      </c>
      <c r="I571" s="1693"/>
      <c r="J571" s="1693"/>
      <c r="K571" s="1693"/>
      <c r="L571" s="1693"/>
      <c r="M571" s="1693"/>
      <c r="N571" s="1693"/>
      <c r="O571" s="1693"/>
      <c r="P571" s="1693"/>
      <c r="Q571" s="993"/>
      <c r="R571" s="993"/>
      <c r="S571" s="993"/>
      <c r="T571" s="1862">
        <f t="shared" si="98"/>
        <v>0</v>
      </c>
    </row>
    <row r="572" spans="1:20" ht="22.2" hidden="1" customHeight="1">
      <c r="A572" s="1448">
        <f>COUNTIF($C$12:C572,"x")</f>
        <v>24</v>
      </c>
      <c r="B572" s="1453" t="s">
        <v>1973</v>
      </c>
      <c r="C572" s="60" t="str">
        <f t="shared" si="99"/>
        <v xml:space="preserve"> </v>
      </c>
      <c r="D572" s="1416">
        <v>4.74</v>
      </c>
      <c r="E572" s="984" t="s">
        <v>723</v>
      </c>
      <c r="F572" s="990" t="str">
        <f>VLOOKUP($B572,DG!A:D,DG!$C$2,)</f>
        <v>Sắt Ø6</v>
      </c>
      <c r="G572" s="984" t="str">
        <f>VLOOKUP($B572,DG!A:D,DG!$D$2,)</f>
        <v>kg</v>
      </c>
      <c r="H572" s="1693"/>
      <c r="I572" s="1693"/>
      <c r="J572" s="1693"/>
      <c r="K572" s="1693"/>
      <c r="L572" s="1693"/>
      <c r="M572" s="1693"/>
      <c r="N572" s="1693"/>
      <c r="O572" s="1693"/>
      <c r="P572" s="1693"/>
      <c r="Q572" s="989"/>
      <c r="R572" s="989"/>
      <c r="S572" s="989"/>
      <c r="T572" s="1862">
        <f t="shared" si="98"/>
        <v>0</v>
      </c>
    </row>
    <row r="573" spans="1:20" ht="22.2" hidden="1" customHeight="1">
      <c r="A573" s="1448">
        <f>COUNTIF($C$12:C573,"x")</f>
        <v>24</v>
      </c>
      <c r="B573" s="1453" t="s">
        <v>857</v>
      </c>
      <c r="C573" s="60" t="str">
        <f t="shared" si="99"/>
        <v xml:space="preserve"> </v>
      </c>
      <c r="D573" s="1423">
        <f>S582*D582</f>
        <v>0</v>
      </c>
      <c r="E573" s="984" t="s">
        <v>723</v>
      </c>
      <c r="F573" s="990" t="str">
        <f>VLOOKUP($B573,DG!A:D,DG!$C$2,)</f>
        <v>Gỗ ván khuôn</v>
      </c>
      <c r="G573" s="984" t="str">
        <f>VLOOKUP($B573,DG!A:D,DG!$D$2,)</f>
        <v>m3</v>
      </c>
      <c r="H573" s="1693">
        <f>H$567*$D573</f>
        <v>0</v>
      </c>
      <c r="I573" s="1693"/>
      <c r="J573" s="1693"/>
      <c r="K573" s="1693"/>
      <c r="L573" s="1693"/>
      <c r="M573" s="1693"/>
      <c r="N573" s="1693"/>
      <c r="O573" s="1693"/>
      <c r="P573" s="1693"/>
      <c r="Q573" s="993"/>
      <c r="R573" s="993"/>
      <c r="S573" s="993"/>
      <c r="T573" s="1862">
        <f t="shared" si="98"/>
        <v>0</v>
      </c>
    </row>
    <row r="574" spans="1:20" ht="22.2" hidden="1" customHeight="1">
      <c r="A574" s="1448">
        <f>COUNTIF($C$12:C574,"x")</f>
        <v>24</v>
      </c>
      <c r="B574" s="1453" t="s">
        <v>871</v>
      </c>
      <c r="C574" s="60" t="str">
        <f t="shared" si="99"/>
        <v xml:space="preserve"> </v>
      </c>
      <c r="D574" s="1420">
        <v>0.1</v>
      </c>
      <c r="E574" s="984" t="s">
        <v>723</v>
      </c>
      <c r="F574" s="990" t="str">
        <f>VLOOKUP($B574,DG!A:D,DG!$C$2,)</f>
        <v>Dây thép buộc A70</v>
      </c>
      <c r="G574" s="984" t="str">
        <f>VLOOKUP($B574,DG!A:D,DG!$D$2,)</f>
        <v>kg</v>
      </c>
      <c r="H574" s="1693"/>
      <c r="I574" s="1693"/>
      <c r="J574" s="1693"/>
      <c r="K574" s="1693"/>
      <c r="L574" s="1693"/>
      <c r="M574" s="1693"/>
      <c r="N574" s="1693"/>
      <c r="O574" s="1693"/>
      <c r="P574" s="1693"/>
      <c r="Q574" s="989"/>
      <c r="R574" s="989"/>
      <c r="S574" s="989"/>
      <c r="T574" s="1862">
        <f t="shared" si="98"/>
        <v>0</v>
      </c>
    </row>
    <row r="575" spans="1:20" ht="22.2" hidden="1" customHeight="1">
      <c r="A575" s="1448">
        <f>COUNTIF($C$12:C575,"x")</f>
        <v>24</v>
      </c>
      <c r="B575" s="1453" t="s">
        <v>639</v>
      </c>
      <c r="C575" s="60" t="str">
        <f t="shared" si="99"/>
        <v xml:space="preserve"> </v>
      </c>
      <c r="D575" s="1413">
        <v>0.29599999999999999</v>
      </c>
      <c r="E575" s="984" t="s">
        <v>707</v>
      </c>
      <c r="F575" s="985" t="str">
        <f>VLOOKUP($B575,DG!A:D,DG!$C$2,)</f>
        <v>Đào hố móng đất cấp 3 sâu &gt;1m</v>
      </c>
      <c r="G575" s="984" t="str">
        <f>VLOOKUP($B575,DG!A:D,DG!$D$2,)</f>
        <v>m3</v>
      </c>
      <c r="H575" s="1693">
        <f>H$551*$D575</f>
        <v>0</v>
      </c>
      <c r="I575" s="1693"/>
      <c r="J575" s="1693"/>
      <c r="K575" s="1693"/>
      <c r="L575" s="1693"/>
      <c r="M575" s="1693"/>
      <c r="N575" s="1693"/>
      <c r="O575" s="1693"/>
      <c r="P575" s="1693"/>
      <c r="Q575" s="989"/>
      <c r="R575" s="989"/>
      <c r="S575" s="989"/>
      <c r="T575" s="1862">
        <f t="shared" si="98"/>
        <v>0</v>
      </c>
    </row>
    <row r="576" spans="1:20" ht="22.2" hidden="1" customHeight="1">
      <c r="A576" s="1448">
        <f>COUNTIF($C$12:C576,"x")</f>
        <v>24</v>
      </c>
      <c r="B576" s="1453" t="s">
        <v>21</v>
      </c>
      <c r="C576" s="60" t="str">
        <f t="shared" si="99"/>
        <v xml:space="preserve"> </v>
      </c>
      <c r="D576" s="1413">
        <v>0.218</v>
      </c>
      <c r="E576" s="984" t="s">
        <v>22</v>
      </c>
      <c r="F576" s="985" t="str">
        <f>VLOOKUP($B576,DG!A:D,DG!$C$2,)</f>
        <v>Đắp đất hố móng, độ chặt k=0,95</v>
      </c>
      <c r="G576" s="984" t="str">
        <f>VLOOKUP($B576,DG!A:D,DG!$D$2,)</f>
        <v>m3</v>
      </c>
      <c r="H576" s="1693">
        <f>H$551*$D576</f>
        <v>0</v>
      </c>
      <c r="I576" s="1693"/>
      <c r="J576" s="1693"/>
      <c r="K576" s="1693"/>
      <c r="L576" s="1693"/>
      <c r="M576" s="1693"/>
      <c r="N576" s="1693"/>
      <c r="O576" s="1693"/>
      <c r="P576" s="1693"/>
      <c r="Q576" s="989"/>
      <c r="R576" s="989"/>
      <c r="S576" s="989"/>
      <c r="T576" s="1862">
        <f t="shared" si="98"/>
        <v>0</v>
      </c>
    </row>
    <row r="577" spans="1:20" ht="22.2" hidden="1" customHeight="1">
      <c r="A577" s="1448">
        <f>COUNTIF($C$12:C577,"x")</f>
        <v>24</v>
      </c>
      <c r="B577" s="1453" t="s">
        <v>495</v>
      </c>
      <c r="C577" s="60" t="str">
        <f t="shared" si="99"/>
        <v xml:space="preserve"> </v>
      </c>
      <c r="D577" s="1413">
        <f>D568/1000</f>
        <v>0</v>
      </c>
      <c r="E577" s="984" t="str">
        <f>VLOOKUP($B577,DG!A:D,DG!$B$2,)</f>
        <v>02.1211</v>
      </c>
      <c r="F577" s="985" t="str">
        <f>VLOOKUP($B577,DG!A:D,DG!$C$2,)</f>
        <v>V/c xi măng ( cự ly &lt;=100m)</v>
      </c>
      <c r="G577" s="984" t="str">
        <f>VLOOKUP($B577,DG!A:D,DG!$D$2,)</f>
        <v>tấn</v>
      </c>
      <c r="H577" s="1693"/>
      <c r="I577" s="1693"/>
      <c r="J577" s="1693"/>
      <c r="K577" s="1693"/>
      <c r="L577" s="1693"/>
      <c r="M577" s="1693"/>
      <c r="N577" s="1693"/>
      <c r="O577" s="1693"/>
      <c r="P577" s="1693"/>
      <c r="Q577" s="989"/>
      <c r="R577" s="989"/>
      <c r="S577" s="989"/>
      <c r="T577" s="1862">
        <f t="shared" si="98"/>
        <v>0</v>
      </c>
    </row>
    <row r="578" spans="1:20" ht="22.2" hidden="1" customHeight="1">
      <c r="A578" s="1448">
        <f>COUNTIF($C$12:C578,"x")</f>
        <v>24</v>
      </c>
      <c r="B578" s="1453" t="s">
        <v>1611</v>
      </c>
      <c r="C578" s="60" t="str">
        <f t="shared" si="99"/>
        <v xml:space="preserve"> </v>
      </c>
      <c r="D578" s="1413">
        <f>D569</f>
        <v>0</v>
      </c>
      <c r="E578" s="984" t="str">
        <f>VLOOKUP($B578,DG!A:D,DG!$B$2,)</f>
        <v>02.1231</v>
      </c>
      <c r="F578" s="985" t="str">
        <f>VLOOKUP($B578,DG!A:D,DG!$C$2,)</f>
        <v>V/c cát vàng cự ly &lt;=100m</v>
      </c>
      <c r="G578" s="984" t="str">
        <f>VLOOKUP($B578,DG!A:D,DG!$D$2,)</f>
        <v>m3</v>
      </c>
      <c r="H578" s="1693"/>
      <c r="I578" s="1693"/>
      <c r="J578" s="1693"/>
      <c r="K578" s="1693"/>
      <c r="L578" s="1693"/>
      <c r="M578" s="1693"/>
      <c r="N578" s="1693"/>
      <c r="O578" s="1693"/>
      <c r="P578" s="1693"/>
      <c r="Q578" s="989"/>
      <c r="R578" s="989"/>
      <c r="S578" s="989"/>
      <c r="T578" s="1862">
        <f t="shared" si="98"/>
        <v>0</v>
      </c>
    </row>
    <row r="579" spans="1:20" ht="22.2" hidden="1" customHeight="1">
      <c r="A579" s="1448">
        <f>COUNTIF($C$12:C579,"x")</f>
        <v>24</v>
      </c>
      <c r="B579" s="1453" t="s">
        <v>521</v>
      </c>
      <c r="C579" s="60" t="str">
        <f t="shared" si="99"/>
        <v xml:space="preserve"> </v>
      </c>
      <c r="D579" s="1413">
        <f>D570</f>
        <v>0</v>
      </c>
      <c r="E579" s="984" t="str">
        <f>VLOOKUP($B579,DG!A:D,DG!$B$2,)</f>
        <v>02.1241</v>
      </c>
      <c r="F579" s="985" t="str">
        <f>VLOOKUP($B579,DG!A:D,DG!$C$2,)</f>
        <v>V/c đá dăm ( cự ly &lt;=100m)</v>
      </c>
      <c r="G579" s="984" t="str">
        <f>VLOOKUP($B579,DG!A:D,DG!$D$2,)</f>
        <v>m3</v>
      </c>
      <c r="H579" s="1693"/>
      <c r="I579" s="1693"/>
      <c r="J579" s="1693"/>
      <c r="K579" s="1693"/>
      <c r="L579" s="1693"/>
      <c r="M579" s="1693"/>
      <c r="N579" s="1693"/>
      <c r="O579" s="1693"/>
      <c r="P579" s="1693"/>
      <c r="Q579" s="989"/>
      <c r="R579" s="989"/>
      <c r="S579" s="989"/>
      <c r="T579" s="1862">
        <f t="shared" si="98"/>
        <v>0</v>
      </c>
    </row>
    <row r="580" spans="1:20" ht="22.2" hidden="1" customHeight="1">
      <c r="A580" s="1448">
        <f>COUNTIF($C$12:C580,"x")</f>
        <v>24</v>
      </c>
      <c r="B580" s="1453" t="s">
        <v>9</v>
      </c>
      <c r="C580" s="60" t="str">
        <f t="shared" si="99"/>
        <v xml:space="preserve"> </v>
      </c>
      <c r="D580" s="1413">
        <f>D572</f>
        <v>4.74</v>
      </c>
      <c r="E580" s="984" t="str">
        <f>VLOOKUP($B580,DG!A:D,DG!$B$2,)</f>
        <v>04.5101</v>
      </c>
      <c r="F580" s="985" t="str">
        <f>VLOOKUP($B580,DG!A:D,DG!$C$2,)</f>
        <v>Gia công và lắp dựng cốt thép D&lt;=10</v>
      </c>
      <c r="G580" s="984" t="str">
        <f>VLOOKUP($B580,DG!A:D,DG!$D$2,)</f>
        <v>kg</v>
      </c>
      <c r="H580" s="1693"/>
      <c r="I580" s="1693"/>
      <c r="J580" s="1693"/>
      <c r="K580" s="1693"/>
      <c r="L580" s="1693"/>
      <c r="M580" s="1693"/>
      <c r="N580" s="1693"/>
      <c r="O580" s="1693"/>
      <c r="P580" s="1693"/>
      <c r="Q580" s="989"/>
      <c r="R580" s="989"/>
      <c r="S580" s="989"/>
      <c r="T580" s="1862">
        <f t="shared" si="98"/>
        <v>0</v>
      </c>
    </row>
    <row r="581" spans="1:20" ht="22.2" hidden="1" customHeight="1">
      <c r="A581" s="1448">
        <f>COUNTIF($C$12:C581,"x")</f>
        <v>24</v>
      </c>
      <c r="B581" s="1453" t="s">
        <v>1955</v>
      </c>
      <c r="C581" s="60" t="str">
        <f t="shared" si="99"/>
        <v xml:space="preserve"> </v>
      </c>
      <c r="D581" s="1423">
        <v>3.5000000000000003E-2</v>
      </c>
      <c r="E581" s="984" t="str">
        <f>VLOOKUP($B581,DG!A:D,DG!$B$2,)</f>
        <v>04.3112</v>
      </c>
      <c r="F581" s="985" t="str">
        <f>VLOOKUP($B581,DG!A:D,DG!$C$2,)</f>
        <v>Đổ bê tông mác M100 đá 4x6</v>
      </c>
      <c r="G581" s="984" t="str">
        <f>VLOOKUP($B581,DG!A:D,DG!$D$2,)</f>
        <v>m3</v>
      </c>
      <c r="H581" s="1694"/>
      <c r="I581" s="1694"/>
      <c r="J581" s="1694"/>
      <c r="K581" s="1694"/>
      <c r="L581" s="1694"/>
      <c r="M581" s="1694"/>
      <c r="N581" s="1694"/>
      <c r="O581" s="1694"/>
      <c r="P581" s="1694"/>
      <c r="Q581" s="991"/>
      <c r="R581" s="991"/>
      <c r="S581" s="991"/>
      <c r="T581" s="1862">
        <f t="shared" si="98"/>
        <v>0</v>
      </c>
    </row>
    <row r="582" spans="1:20" ht="22.2" hidden="1" customHeight="1">
      <c r="A582" s="1448">
        <f>COUNTIF($C$12:C582,"x")</f>
        <v>24</v>
      </c>
      <c r="B582" s="1453" t="s">
        <v>1836</v>
      </c>
      <c r="C582" s="60" t="str">
        <f t="shared" si="99"/>
        <v xml:space="preserve"> </v>
      </c>
      <c r="D582" s="1423">
        <v>5.0500000000000003E-2</v>
      </c>
      <c r="E582" s="984" t="str">
        <f>VLOOKUP($B582,DG!A:D,DG!$B$2,)</f>
        <v>04.1203c</v>
      </c>
      <c r="F582" s="985" t="str">
        <f>VLOOKUP($B582,DG!A:D,DG!$C$2,)</f>
        <v>Đổ bê tông móng trụ &lt;=250cm-M200 đá 1x2</v>
      </c>
      <c r="G582" s="984" t="str">
        <f>VLOOKUP($B582,DG!A:D,DG!$D$2,)</f>
        <v>m3</v>
      </c>
      <c r="H582" s="1694"/>
      <c r="I582" s="1694"/>
      <c r="J582" s="1694"/>
      <c r="K582" s="1694"/>
      <c r="L582" s="1694"/>
      <c r="M582" s="1694"/>
      <c r="N582" s="1694"/>
      <c r="O582" s="1694"/>
      <c r="P582" s="1694"/>
      <c r="Q582" s="991"/>
      <c r="R582" s="991"/>
      <c r="S582" s="991"/>
      <c r="T582" s="1862">
        <f t="shared" si="98"/>
        <v>0</v>
      </c>
    </row>
    <row r="583" spans="1:20" ht="22.2" hidden="1" customHeight="1">
      <c r="A583" s="1448">
        <f>COUNTIF($C$12:C583,"x")</f>
        <v>24</v>
      </c>
      <c r="B583" s="1452" t="s">
        <v>1562</v>
      </c>
      <c r="C583" s="59" t="str">
        <f t="shared" si="99"/>
        <v xml:space="preserve"> </v>
      </c>
      <c r="D583" s="1412"/>
      <c r="E583" s="981"/>
      <c r="F583" s="1276" t="s">
        <v>2384</v>
      </c>
      <c r="G583" s="982" t="s">
        <v>2385</v>
      </c>
      <c r="H583" s="1691">
        <f>SUM(I583:O583)</f>
        <v>0</v>
      </c>
      <c r="I583" s="1692"/>
      <c r="J583" s="1692"/>
      <c r="K583" s="1692">
        <f>IFERROR(HLOOKUP(B583,pp3p1m!$1:$3,2,0),0)</f>
        <v>0</v>
      </c>
      <c r="L583" s="1692">
        <f>IFERROR(HLOOKUP(chitiet!B583,pp1p!$1:$3,3,0),0)</f>
        <v>0</v>
      </c>
      <c r="M583" s="1692"/>
      <c r="N583" s="1692"/>
      <c r="O583" s="1692"/>
      <c r="P583" s="2674">
        <f>T583</f>
        <v>0</v>
      </c>
      <c r="Q583" s="983">
        <f>IF(P583&gt;H583,P583-H583,0)</f>
        <v>0</v>
      </c>
      <c r="R583" s="983">
        <f>IF(H583&gt;P583,H583-P583,0)</f>
        <v>0</v>
      </c>
      <c r="S583" s="983"/>
      <c r="T583" s="1862">
        <f>IFERROR(HLOOKUP(B583,pp1p!$1:$3,3,0),0)+IFERROR(HLOOKUP(B583,pp3p1m!$1:$3,3,0),0)</f>
        <v>0</v>
      </c>
    </row>
    <row r="584" spans="1:20" ht="22.2" hidden="1" customHeight="1">
      <c r="A584" s="1448">
        <f>COUNTIF($C$12:C584,"x")</f>
        <v>24</v>
      </c>
      <c r="B584" s="1455" t="s">
        <v>103</v>
      </c>
      <c r="C584" s="60" t="str">
        <f t="shared" si="99"/>
        <v xml:space="preserve"> </v>
      </c>
      <c r="D584" s="1414">
        <v>3.36</v>
      </c>
      <c r="E584" s="980"/>
      <c r="F584" s="992" t="str">
        <f>VLOOKUP($B584,DG!A:D,DG!$C$2,)</f>
        <v>Cáp đồng trần M25mm2</v>
      </c>
      <c r="G584" s="980" t="str">
        <f>VLOOKUP($B584,DG!A:D,DG!$D$2,)</f>
        <v>kg</v>
      </c>
      <c r="H584" s="1693">
        <f>H$583*$D584</f>
        <v>0</v>
      </c>
      <c r="I584" s="1693"/>
      <c r="J584" s="1693"/>
      <c r="K584" s="1693"/>
      <c r="L584" s="1693"/>
      <c r="M584" s="1693">
        <f t="shared" ref="M584:O586" si="102">M$583*$D584</f>
        <v>0</v>
      </c>
      <c r="N584" s="1693">
        <f t="shared" si="102"/>
        <v>0</v>
      </c>
      <c r="O584" s="1693">
        <f t="shared" si="102"/>
        <v>0</v>
      </c>
      <c r="P584" s="1693">
        <f>$P$583*D584</f>
        <v>0</v>
      </c>
      <c r="Q584" s="989"/>
      <c r="R584" s="989"/>
      <c r="S584" s="989"/>
      <c r="T584" s="1862">
        <f t="shared" si="98"/>
        <v>0</v>
      </c>
    </row>
    <row r="585" spans="1:20" ht="22.2" hidden="1" customHeight="1">
      <c r="A585" s="1448">
        <f>COUNTIF($C$12:C585,"x")</f>
        <v>24</v>
      </c>
      <c r="B585" s="1455" t="s">
        <v>1508</v>
      </c>
      <c r="C585" s="60" t="str">
        <f t="shared" si="99"/>
        <v xml:space="preserve"> </v>
      </c>
      <c r="D585" s="1415">
        <v>1</v>
      </c>
      <c r="E585" s="980"/>
      <c r="F585" s="992" t="str">
        <f>VLOOKUP($B585,DG!A:D,DG!$C$2,)</f>
        <v>Cọc tiếp đất Þ 16- 2,4m + kẹp cọc mạ đồng</v>
      </c>
      <c r="G585" s="980" t="str">
        <f>VLOOKUP($B585,DG!A:D,DG!$D$2,)</f>
        <v>bộ</v>
      </c>
      <c r="H585" s="1693">
        <f>H$583*$D585</f>
        <v>0</v>
      </c>
      <c r="I585" s="1693"/>
      <c r="J585" s="1693"/>
      <c r="K585" s="1693"/>
      <c r="L585" s="1693"/>
      <c r="M585" s="1693">
        <f t="shared" si="102"/>
        <v>0</v>
      </c>
      <c r="N585" s="1693">
        <f t="shared" si="102"/>
        <v>0</v>
      </c>
      <c r="O585" s="1693">
        <f t="shared" si="102"/>
        <v>0</v>
      </c>
      <c r="P585" s="1693">
        <f>$P$583*D585</f>
        <v>0</v>
      </c>
      <c r="Q585" s="989"/>
      <c r="R585" s="989"/>
      <c r="S585" s="989"/>
      <c r="T585" s="1862">
        <f t="shared" si="98"/>
        <v>0</v>
      </c>
    </row>
    <row r="586" spans="1:20" ht="22.2" hidden="1" customHeight="1">
      <c r="A586" s="1448">
        <f>COUNTIF($C$12:C586,"x")</f>
        <v>24</v>
      </c>
      <c r="B586" s="1455" t="s">
        <v>2201</v>
      </c>
      <c r="C586" s="60" t="str">
        <f t="shared" si="99"/>
        <v xml:space="preserve"> </v>
      </c>
      <c r="D586" s="1415">
        <v>0</v>
      </c>
      <c r="E586" s="980"/>
      <c r="F586" s="992" t="s">
        <v>2386</v>
      </c>
      <c r="G586" s="980" t="str">
        <f>VLOOKUP($B586,DG!A:D,DG!$D$2,)</f>
        <v>cái</v>
      </c>
      <c r="H586" s="1693">
        <f>H$583*$D586</f>
        <v>0</v>
      </c>
      <c r="I586" s="1693"/>
      <c r="J586" s="1693"/>
      <c r="K586" s="1693"/>
      <c r="L586" s="1693"/>
      <c r="M586" s="1693">
        <f t="shared" si="102"/>
        <v>0</v>
      </c>
      <c r="N586" s="1693">
        <f t="shared" si="102"/>
        <v>0</v>
      </c>
      <c r="O586" s="1693">
        <f t="shared" si="102"/>
        <v>0</v>
      </c>
      <c r="P586" s="1693"/>
      <c r="Q586" s="989"/>
      <c r="R586" s="989"/>
      <c r="S586" s="989"/>
      <c r="T586" s="1862">
        <f t="shared" si="98"/>
        <v>0</v>
      </c>
    </row>
    <row r="587" spans="1:20" ht="22.2" hidden="1" customHeight="1">
      <c r="A587" s="1448">
        <f>COUNTIF($C$12:C587,"x")</f>
        <v>24</v>
      </c>
      <c r="B587" s="1455" t="s">
        <v>1517</v>
      </c>
      <c r="C587" s="60" t="str">
        <f t="shared" si="99"/>
        <v xml:space="preserve"> </v>
      </c>
      <c r="D587" s="1414">
        <f>D584</f>
        <v>3.36</v>
      </c>
      <c r="E587" s="980" t="str">
        <f>VLOOKUP($B587,DG!A:D,DG!$B$2,)</f>
        <v>05.7001</v>
      </c>
      <c r="F587" s="985" t="str">
        <f>VLOOKUP($B587,DG!A:D,DG!$C$2,)</f>
        <v xml:space="preserve">Kéo dây tiếp địa </v>
      </c>
      <c r="G587" s="980" t="str">
        <f>VLOOKUP($B587,DG!A:D,DG!$D$2,)</f>
        <v>mét</v>
      </c>
      <c r="H587" s="1693">
        <f>H$583*$D587</f>
        <v>0</v>
      </c>
      <c r="I587" s="1693"/>
      <c r="J587" s="1693"/>
      <c r="K587" s="1693"/>
      <c r="L587" s="1693"/>
      <c r="M587" s="1693"/>
      <c r="N587" s="1693"/>
      <c r="O587" s="1693"/>
      <c r="P587" s="1693">
        <f>$P$583*D587</f>
        <v>0</v>
      </c>
      <c r="Q587" s="994"/>
      <c r="R587" s="994"/>
      <c r="S587" s="994"/>
      <c r="T587" s="1862">
        <f t="shared" si="98"/>
        <v>0</v>
      </c>
    </row>
    <row r="588" spans="1:20" ht="22.2" hidden="1" customHeight="1">
      <c r="A588" s="1448">
        <f>COUNTIF($C$12:C588,"x")</f>
        <v>24</v>
      </c>
      <c r="B588" s="1455" t="s">
        <v>1104</v>
      </c>
      <c r="C588" s="60" t="str">
        <f t="shared" si="99"/>
        <v xml:space="preserve"> </v>
      </c>
      <c r="D588" s="1415">
        <v>1</v>
      </c>
      <c r="E588" s="980" t="str">
        <f>VLOOKUP($B588,DG!A:D,DG!$B$2,)</f>
        <v>05.8103</v>
      </c>
      <c r="F588" s="985" t="str">
        <f>VLOOKUP($B588,DG!A:D,DG!$C$2,)</f>
        <v>Đóng cọc tiếp địa đất cấp 3</v>
      </c>
      <c r="G588" s="980" t="str">
        <f>VLOOKUP($B588,DG!A:D,DG!$D$2,)</f>
        <v>cọc</v>
      </c>
      <c r="H588" s="1693">
        <f>H$583*$D588</f>
        <v>0</v>
      </c>
      <c r="I588" s="1693"/>
      <c r="J588" s="1693"/>
      <c r="K588" s="1693"/>
      <c r="L588" s="1693"/>
      <c r="M588" s="1693"/>
      <c r="N588" s="1693"/>
      <c r="O588" s="1693"/>
      <c r="P588" s="1693">
        <f>$P$583*D588</f>
        <v>0</v>
      </c>
      <c r="Q588" s="989"/>
      <c r="R588" s="989"/>
      <c r="S588" s="989"/>
      <c r="T588" s="1862">
        <f t="shared" si="98"/>
        <v>0</v>
      </c>
    </row>
    <row r="589" spans="1:20" ht="22.2" hidden="1" customHeight="1">
      <c r="A589" s="1448">
        <f>COUNTIF($C$12:C589,"x")</f>
        <v>24</v>
      </c>
      <c r="B589" s="1455" t="s">
        <v>1902</v>
      </c>
      <c r="C589" s="60" t="str">
        <f t="shared" si="99"/>
        <v xml:space="preserve"> </v>
      </c>
      <c r="D589" s="1413"/>
      <c r="E589" s="980" t="str">
        <f>VLOOKUP($B589,DG!A:D,DG!$B$2,)</f>
        <v>02.1120</v>
      </c>
      <c r="F589" s="985" t="str">
        <f>VLOOKUP($B589,DG!A:D,DG!$C$2,)</f>
        <v>Bốc dỡ phụ kiện</v>
      </c>
      <c r="G589" s="980" t="str">
        <f>VLOOKUP($B589,DG!A:D,DG!$D$2,)</f>
        <v>tấn</v>
      </c>
      <c r="H589" s="1693"/>
      <c r="I589" s="1693"/>
      <c r="J589" s="1693"/>
      <c r="K589" s="1693"/>
      <c r="L589" s="1693"/>
      <c r="M589" s="1693"/>
      <c r="N589" s="1693"/>
      <c r="O589" s="1693"/>
      <c r="P589" s="1693"/>
      <c r="Q589" s="989"/>
      <c r="R589" s="989"/>
      <c r="S589" s="989"/>
      <c r="T589" s="1862">
        <f t="shared" si="98"/>
        <v>0</v>
      </c>
    </row>
    <row r="590" spans="1:20" ht="22.2" hidden="1" customHeight="1">
      <c r="A590" s="1448">
        <f>COUNTIF($C$12:C590,"x")</f>
        <v>24</v>
      </c>
      <c r="B590" s="1464" t="s">
        <v>1903</v>
      </c>
      <c r="C590" s="60" t="str">
        <f t="shared" si="99"/>
        <v xml:space="preserve"> </v>
      </c>
      <c r="D590" s="1413"/>
      <c r="E590" s="980" t="str">
        <f>VLOOKUP($B590,DG!A:C,2,)</f>
        <v>02.1351</v>
      </c>
      <c r="F590" s="985" t="str">
        <f>VLOOKUP($B590,DG!A:C,3,)</f>
        <v>V/c tiếp địa vào vị trí ( cự ly &lt;=100m)</v>
      </c>
      <c r="G590" s="980" t="str">
        <f>VLOOKUP($B590,DG!A:D,4,0)</f>
        <v>tấn</v>
      </c>
      <c r="H590" s="1693"/>
      <c r="I590" s="1693"/>
      <c r="J590" s="1693"/>
      <c r="K590" s="1693"/>
      <c r="L590" s="1693"/>
      <c r="M590" s="1693"/>
      <c r="N590" s="1693"/>
      <c r="O590" s="1693"/>
      <c r="P590" s="1693"/>
      <c r="Q590" s="994"/>
      <c r="R590" s="994"/>
      <c r="S590" s="994"/>
      <c r="T590" s="1862">
        <f t="shared" si="98"/>
        <v>0</v>
      </c>
    </row>
    <row r="591" spans="1:20" ht="22.2" hidden="1" customHeight="1">
      <c r="A591" s="1448">
        <f>COUNTIF($C$12:C591,"x")</f>
        <v>24</v>
      </c>
      <c r="B591" s="1452" t="s">
        <v>1563</v>
      </c>
      <c r="C591" s="59" t="str">
        <f t="shared" si="99"/>
        <v xml:space="preserve"> </v>
      </c>
      <c r="D591" s="1412"/>
      <c r="E591" s="981"/>
      <c r="F591" s="1276" t="s">
        <v>2387</v>
      </c>
      <c r="G591" s="982" t="s">
        <v>2385</v>
      </c>
      <c r="H591" s="1691">
        <f>SUM(I591:O591)</f>
        <v>0</v>
      </c>
      <c r="I591" s="1692"/>
      <c r="J591" s="1692"/>
      <c r="K591" s="1692">
        <f>IFERROR(HLOOKUP(B591,pp3p1m!$1:$3,2,0),0)</f>
        <v>0</v>
      </c>
      <c r="L591" s="1692">
        <f>IFERROR(HLOOKUP(chitiet!B591,pp1p!$1:$3,3,0),0)</f>
        <v>0</v>
      </c>
      <c r="M591" s="1692"/>
      <c r="N591" s="1692"/>
      <c r="O591" s="1692"/>
      <c r="P591" s="2674">
        <f>T591</f>
        <v>0</v>
      </c>
      <c r="Q591" s="983">
        <f>IF(P591&gt;H591,P591-H591,0)</f>
        <v>0</v>
      </c>
      <c r="R591" s="983">
        <f>IF(H591&gt;P591,H591-P591,0)</f>
        <v>0</v>
      </c>
      <c r="S591" s="983"/>
      <c r="T591" s="1862">
        <f>IFERROR(HLOOKUP(B591,pp1p!$1:$3,3,0),0)+IFERROR(HLOOKUP(B591,pp3p1m!$1:$3,3,0),0)</f>
        <v>0</v>
      </c>
    </row>
    <row r="592" spans="1:20" ht="22.2" hidden="1" customHeight="1">
      <c r="A592" s="1448">
        <f>COUNTIF($C$12:C592,"x")</f>
        <v>24</v>
      </c>
      <c r="B592" s="1455" t="s">
        <v>103</v>
      </c>
      <c r="C592" s="60" t="str">
        <f t="shared" si="99"/>
        <v xml:space="preserve"> </v>
      </c>
      <c r="D592" s="1414">
        <f>9*0.224</f>
        <v>2.016</v>
      </c>
      <c r="E592" s="980"/>
      <c r="F592" s="992" t="str">
        <f>VLOOKUP($B592,DG!A:D,DG!$C$2,)&amp;" : 9m"</f>
        <v>Cáp đồng trần M25mm2 : 9m</v>
      </c>
      <c r="G592" s="980" t="str">
        <f>VLOOKUP($B592,DG!A:D,DG!$D$2,)</f>
        <v>kg</v>
      </c>
      <c r="H592" s="1693">
        <f>H$591*$D592</f>
        <v>0</v>
      </c>
      <c r="I592" s="1693"/>
      <c r="J592" s="1693"/>
      <c r="K592" s="1693"/>
      <c r="L592" s="1693"/>
      <c r="M592" s="1693">
        <f t="shared" ref="M592:O594" si="103">M$591*$D592</f>
        <v>0</v>
      </c>
      <c r="N592" s="1693">
        <f t="shared" si="103"/>
        <v>0</v>
      </c>
      <c r="O592" s="1693">
        <f t="shared" si="103"/>
        <v>0</v>
      </c>
      <c r="P592" s="1693"/>
      <c r="Q592" s="989"/>
      <c r="R592" s="989"/>
      <c r="S592" s="989"/>
      <c r="T592" s="1862">
        <f t="shared" si="98"/>
        <v>0</v>
      </c>
    </row>
    <row r="593" spans="1:20" ht="22.2" hidden="1" customHeight="1">
      <c r="A593" s="1448">
        <f>COUNTIF($C$12:C593,"x")</f>
        <v>24</v>
      </c>
      <c r="B593" s="1455" t="s">
        <v>1508</v>
      </c>
      <c r="C593" s="60" t="str">
        <f t="shared" si="99"/>
        <v xml:space="preserve"> </v>
      </c>
      <c r="D593" s="1415">
        <v>1</v>
      </c>
      <c r="E593" s="980"/>
      <c r="F593" s="992" t="str">
        <f>VLOOKUP($B593,DG!A:D,DG!$C$2,)</f>
        <v>Cọc tiếp đất Þ 16- 2,4m + kẹp cọc mạ đồng</v>
      </c>
      <c r="G593" s="980" t="str">
        <f>VLOOKUP($B593,DG!A:D,DG!$D$2,)</f>
        <v>bộ</v>
      </c>
      <c r="H593" s="1693">
        <f>H$591*$D593</f>
        <v>0</v>
      </c>
      <c r="I593" s="1693"/>
      <c r="J593" s="1693"/>
      <c r="K593" s="1693"/>
      <c r="L593" s="1693"/>
      <c r="M593" s="1693">
        <f t="shared" si="103"/>
        <v>0</v>
      </c>
      <c r="N593" s="1693">
        <f t="shared" si="103"/>
        <v>0</v>
      </c>
      <c r="O593" s="1693">
        <f t="shared" si="103"/>
        <v>0</v>
      </c>
      <c r="P593" s="1693"/>
      <c r="Q593" s="989"/>
      <c r="R593" s="989"/>
      <c r="S593" s="989"/>
      <c r="T593" s="1862">
        <f t="shared" si="98"/>
        <v>0</v>
      </c>
    </row>
    <row r="594" spans="1:20" ht="22.2" hidden="1" customHeight="1">
      <c r="A594" s="1448">
        <f>COUNTIF($C$12:C594,"x")</f>
        <v>24</v>
      </c>
      <c r="B594" s="1455" t="s">
        <v>531</v>
      </c>
      <c r="C594" s="60" t="str">
        <f t="shared" si="99"/>
        <v xml:space="preserve"> </v>
      </c>
      <c r="D594" s="1415">
        <v>2</v>
      </c>
      <c r="E594" s="980"/>
      <c r="F594" s="992" t="str">
        <f>VLOOKUP($B594,DG!A:D,DG!$C$2,)</f>
        <v>Kẹp ép WR cỡ dây 50mm2</v>
      </c>
      <c r="G594" s="980" t="str">
        <f>VLOOKUP($B594,DG!A:D,DG!$D$2,)</f>
        <v>cái</v>
      </c>
      <c r="H594" s="1693">
        <f>H$591*$D594</f>
        <v>0</v>
      </c>
      <c r="I594" s="1693"/>
      <c r="J594" s="1693"/>
      <c r="K594" s="1693"/>
      <c r="L594" s="1693"/>
      <c r="M594" s="1693">
        <f t="shared" si="103"/>
        <v>0</v>
      </c>
      <c r="N594" s="1693">
        <f t="shared" si="103"/>
        <v>0</v>
      </c>
      <c r="O594" s="1693">
        <f t="shared" si="103"/>
        <v>0</v>
      </c>
      <c r="P594" s="1693"/>
      <c r="Q594" s="989"/>
      <c r="R594" s="989"/>
      <c r="S594" s="989"/>
      <c r="T594" s="1862">
        <f t="shared" si="98"/>
        <v>0</v>
      </c>
    </row>
    <row r="595" spans="1:20" ht="22.2" hidden="1" customHeight="1">
      <c r="A595" s="1448">
        <f>COUNTIF($C$12:C595,"x")</f>
        <v>24</v>
      </c>
      <c r="B595" s="1455" t="s">
        <v>1052</v>
      </c>
      <c r="C595" s="60" t="str">
        <f t="shared" si="99"/>
        <v xml:space="preserve"> </v>
      </c>
      <c r="D595" s="1415">
        <v>2</v>
      </c>
      <c r="E595" s="980"/>
      <c r="F595" s="992" t="str">
        <f>VLOOKUP($B595,DG!A:D,DG!$C$2,)</f>
        <v>Đầu cosse ép Cu 25mm2</v>
      </c>
      <c r="G595" s="980" t="str">
        <f>VLOOKUP($B595,DG!A:D,DG!$D$2,)</f>
        <v>cái</v>
      </c>
      <c r="H595" s="1693"/>
      <c r="I595" s="1693"/>
      <c r="J595" s="1693"/>
      <c r="K595" s="1693"/>
      <c r="L595" s="1693"/>
      <c r="M595" s="1693"/>
      <c r="N595" s="1693"/>
      <c r="O595" s="1693"/>
      <c r="P595" s="1693"/>
      <c r="Q595" s="989"/>
      <c r="R595" s="989"/>
      <c r="S595" s="989"/>
      <c r="T595" s="1862">
        <f t="shared" si="98"/>
        <v>0</v>
      </c>
    </row>
    <row r="596" spans="1:20" ht="22.2" hidden="1" customHeight="1">
      <c r="A596" s="1448">
        <f>COUNTIF($C$12:C596,"x")</f>
        <v>24</v>
      </c>
      <c r="B596" s="1455" t="s">
        <v>2019</v>
      </c>
      <c r="C596" s="60" t="str">
        <f t="shared" si="99"/>
        <v xml:space="preserve"> </v>
      </c>
      <c r="D596" s="1415">
        <v>1</v>
      </c>
      <c r="E596" s="980"/>
      <c r="F596" s="992" t="str">
        <f>VLOOKUP($B596,DG!A:D,DG!$C$2,)</f>
        <v>Boulon 12x40+ 2 long đền vuông D14-50x50x3/Zn</v>
      </c>
      <c r="G596" s="980" t="str">
        <f>VLOOKUP($B596,DG!A:D,DG!$D$2,)</f>
        <v>bộ</v>
      </c>
      <c r="H596" s="1693"/>
      <c r="I596" s="1693"/>
      <c r="J596" s="1693"/>
      <c r="K596" s="1693"/>
      <c r="L596" s="1693"/>
      <c r="M596" s="1693"/>
      <c r="N596" s="1693"/>
      <c r="O596" s="1693"/>
      <c r="P596" s="1693"/>
      <c r="Q596" s="989"/>
      <c r="R596" s="989"/>
      <c r="S596" s="989"/>
      <c r="T596" s="1862">
        <f t="shared" si="98"/>
        <v>0</v>
      </c>
    </row>
    <row r="597" spans="1:20" ht="22.2" hidden="1" customHeight="1">
      <c r="A597" s="1448">
        <f>COUNTIF($C$12:C597,"x")</f>
        <v>24</v>
      </c>
      <c r="B597" s="1455" t="s">
        <v>1517</v>
      </c>
      <c r="C597" s="60" t="str">
        <f t="shared" si="99"/>
        <v xml:space="preserve"> </v>
      </c>
      <c r="D597" s="1414">
        <f>D592</f>
        <v>2.016</v>
      </c>
      <c r="E597" s="980" t="str">
        <f>VLOOKUP($B597,DG!A:D,DG!$B$2,)</f>
        <v>05.7001</v>
      </c>
      <c r="F597" s="985" t="str">
        <f>VLOOKUP($B597,DG!A:D,DG!$C$2,)</f>
        <v xml:space="preserve">Kéo dây tiếp địa </v>
      </c>
      <c r="G597" s="980" t="str">
        <f>VLOOKUP($B597,DG!A:D,DG!$D$2,)</f>
        <v>mét</v>
      </c>
      <c r="H597" s="1693"/>
      <c r="I597" s="1693"/>
      <c r="J597" s="1693"/>
      <c r="K597" s="1693"/>
      <c r="L597" s="1693"/>
      <c r="M597" s="1693"/>
      <c r="N597" s="1693"/>
      <c r="O597" s="1693"/>
      <c r="P597" s="1693"/>
      <c r="Q597" s="994"/>
      <c r="R597" s="994"/>
      <c r="S597" s="994"/>
      <c r="T597" s="1862">
        <f t="shared" si="98"/>
        <v>0</v>
      </c>
    </row>
    <row r="598" spans="1:20" ht="22.2" hidden="1" customHeight="1">
      <c r="A598" s="1448">
        <f>COUNTIF($C$12:C598,"x")</f>
        <v>24</v>
      </c>
      <c r="B598" s="1455" t="s">
        <v>1104</v>
      </c>
      <c r="C598" s="60" t="str">
        <f t="shared" si="99"/>
        <v xml:space="preserve"> </v>
      </c>
      <c r="D598" s="1415">
        <v>1</v>
      </c>
      <c r="E598" s="980" t="str">
        <f>VLOOKUP($B598,DG!A:D,DG!$B$2,)</f>
        <v>05.8103</v>
      </c>
      <c r="F598" s="985" t="str">
        <f>VLOOKUP($B598,DG!A:D,DG!$C$2,)</f>
        <v>Đóng cọc tiếp địa đất cấp 3</v>
      </c>
      <c r="G598" s="980" t="str">
        <f>VLOOKUP($B598,DG!A:D,DG!$D$2,)</f>
        <v>cọc</v>
      </c>
      <c r="H598" s="1693"/>
      <c r="I598" s="1693"/>
      <c r="J598" s="1693"/>
      <c r="K598" s="1693"/>
      <c r="L598" s="1693"/>
      <c r="M598" s="1693"/>
      <c r="N598" s="1693"/>
      <c r="O598" s="1693"/>
      <c r="P598" s="1693"/>
      <c r="Q598" s="989"/>
      <c r="R598" s="989"/>
      <c r="S598" s="989"/>
      <c r="T598" s="1862">
        <f t="shared" si="98"/>
        <v>0</v>
      </c>
    </row>
    <row r="599" spans="1:20" ht="22.2" hidden="1" customHeight="1">
      <c r="A599" s="1448">
        <f>COUNTIF($C$12:C599,"x")</f>
        <v>24</v>
      </c>
      <c r="B599" s="1455" t="s">
        <v>1902</v>
      </c>
      <c r="C599" s="60" t="str">
        <f t="shared" si="99"/>
        <v xml:space="preserve"> </v>
      </c>
      <c r="D599" s="1413"/>
      <c r="E599" s="980" t="str">
        <f>VLOOKUP($B599,DG!A:D,DG!$B$2,)</f>
        <v>02.1120</v>
      </c>
      <c r="F599" s="985" t="str">
        <f>VLOOKUP($B599,DG!A:D,DG!$C$2,)</f>
        <v>Bốc dỡ phụ kiện</v>
      </c>
      <c r="G599" s="980" t="str">
        <f>VLOOKUP($B599,DG!A:D,DG!$D$2,)</f>
        <v>tấn</v>
      </c>
      <c r="H599" s="1693"/>
      <c r="I599" s="1693"/>
      <c r="J599" s="1693"/>
      <c r="K599" s="1693"/>
      <c r="L599" s="1693"/>
      <c r="M599" s="1693"/>
      <c r="N599" s="1693"/>
      <c r="O599" s="1693"/>
      <c r="P599" s="1693"/>
      <c r="Q599" s="989"/>
      <c r="R599" s="989"/>
      <c r="S599" s="989"/>
      <c r="T599" s="1862">
        <f t="shared" si="98"/>
        <v>0</v>
      </c>
    </row>
    <row r="600" spans="1:20" ht="22.2" hidden="1" customHeight="1">
      <c r="A600" s="1448">
        <f>COUNTIF($C$12:C600,"x")</f>
        <v>24</v>
      </c>
      <c r="B600" s="1464" t="s">
        <v>1903</v>
      </c>
      <c r="C600" s="60" t="str">
        <f t="shared" si="99"/>
        <v xml:space="preserve"> </v>
      </c>
      <c r="D600" s="1413"/>
      <c r="E600" s="980" t="str">
        <f>VLOOKUP($B600,DG!A:C,2,)</f>
        <v>02.1351</v>
      </c>
      <c r="F600" s="985" t="str">
        <f>VLOOKUP($B600,DG!A:C,3,)</f>
        <v>V/c tiếp địa vào vị trí ( cự ly &lt;=100m)</v>
      </c>
      <c r="G600" s="980" t="str">
        <f>VLOOKUP($B600,DG!A:D,4,0)</f>
        <v>tấn</v>
      </c>
      <c r="H600" s="1693"/>
      <c r="I600" s="1693"/>
      <c r="J600" s="1693"/>
      <c r="K600" s="1693"/>
      <c r="L600" s="1693"/>
      <c r="M600" s="1693"/>
      <c r="N600" s="1693"/>
      <c r="O600" s="1693"/>
      <c r="P600" s="1693"/>
      <c r="Q600" s="994"/>
      <c r="R600" s="994"/>
      <c r="S600" s="994"/>
      <c r="T600" s="1862">
        <f t="shared" si="98"/>
        <v>0</v>
      </c>
    </row>
    <row r="601" spans="1:20" ht="22.2" hidden="1" customHeight="1">
      <c r="A601" s="1448">
        <f>COUNTIF($C$12:C601,"x")</f>
        <v>24</v>
      </c>
      <c r="B601" s="1452" t="s">
        <v>5</v>
      </c>
      <c r="C601" s="59" t="str">
        <f t="shared" si="99"/>
        <v xml:space="preserve"> </v>
      </c>
      <c r="D601" s="1412"/>
      <c r="E601" s="981"/>
      <c r="F601" s="1276" t="s">
        <v>4551</v>
      </c>
      <c r="G601" s="982" t="s">
        <v>2385</v>
      </c>
      <c r="H601" s="1691">
        <f>SUM(I601:O601)</f>
        <v>0</v>
      </c>
      <c r="I601" s="1692"/>
      <c r="J601" s="1692"/>
      <c r="K601" s="1692">
        <f>IFERROR(HLOOKUP(B601,pp3p1m!$1:$3,2,0),0)</f>
        <v>0</v>
      </c>
      <c r="L601" s="1692">
        <f>IFERROR(HLOOKUP(chitiet!B601,pp1p!$1:$3,3,0),0)</f>
        <v>0</v>
      </c>
      <c r="M601" s="1692"/>
      <c r="N601" s="1692"/>
      <c r="O601" s="1692"/>
      <c r="P601" s="2674">
        <f>T601</f>
        <v>0</v>
      </c>
      <c r="Q601" s="983">
        <f>IF(P601&gt;H601,P601-H601,0)</f>
        <v>0</v>
      </c>
      <c r="R601" s="983">
        <f>IF(H601&gt;P601,H601-P601,0)</f>
        <v>0</v>
      </c>
      <c r="S601" s="983"/>
      <c r="T601" s="1862">
        <f>IFERROR(HLOOKUP(B601,pp1p!$1:$3,3,0),0)+IFERROR(HLOOKUP(B601,pp3p1m!$1:$3,3,0),0)</f>
        <v>0</v>
      </c>
    </row>
    <row r="602" spans="1:20" ht="22.2" hidden="1" customHeight="1">
      <c r="A602" s="1448">
        <f>COUNTIF($C$12:C602,"x")</f>
        <v>24</v>
      </c>
      <c r="B602" s="1455" t="s">
        <v>103</v>
      </c>
      <c r="C602" s="60" t="str">
        <f t="shared" si="99"/>
        <v xml:space="preserve"> </v>
      </c>
      <c r="D602" s="1414">
        <f>8*0.224</f>
        <v>1.792</v>
      </c>
      <c r="E602" s="980"/>
      <c r="F602" s="992" t="str">
        <f>VLOOKUP($B602,DG!A:D,DG!$C$2,)&amp;" : 8m"</f>
        <v>Cáp đồng trần M25mm2 : 8m</v>
      </c>
      <c r="G602" s="980" t="str">
        <f>VLOOKUP($B602,DG!A:D,DG!$D$2,)</f>
        <v>kg</v>
      </c>
      <c r="H602" s="1693">
        <f t="shared" ref="H602:H608" si="104">H$601*$D602</f>
        <v>0</v>
      </c>
      <c r="I602" s="1693"/>
      <c r="J602" s="1693"/>
      <c r="K602" s="1693"/>
      <c r="L602" s="1693"/>
      <c r="M602" s="1693">
        <f t="shared" ref="M602:O604" si="105">M$591*$D602</f>
        <v>0</v>
      </c>
      <c r="N602" s="1693">
        <f t="shared" si="105"/>
        <v>0</v>
      </c>
      <c r="O602" s="1693">
        <f t="shared" si="105"/>
        <v>0</v>
      </c>
      <c r="P602" s="1692">
        <f>H602+Q602-R602</f>
        <v>0</v>
      </c>
      <c r="Q602" s="995"/>
      <c r="R602" s="995"/>
      <c r="S602" s="995"/>
      <c r="T602" s="1862">
        <f t="shared" si="98"/>
        <v>0</v>
      </c>
    </row>
    <row r="603" spans="1:20" ht="22.2" hidden="1" customHeight="1">
      <c r="A603" s="1448">
        <f>COUNTIF($C$12:C603,"x")</f>
        <v>24</v>
      </c>
      <c r="B603" s="1455" t="s">
        <v>1508</v>
      </c>
      <c r="C603" s="60" t="str">
        <f t="shared" si="99"/>
        <v xml:space="preserve"> </v>
      </c>
      <c r="D603" s="1415">
        <v>1</v>
      </c>
      <c r="E603" s="980"/>
      <c r="F603" s="992" t="str">
        <f>VLOOKUP($B603,DG!A:D,DG!$C$2,)</f>
        <v>Cọc tiếp đất Þ 16- 2,4m + kẹp cọc mạ đồng</v>
      </c>
      <c r="G603" s="980" t="str">
        <f>VLOOKUP($B603,DG!A:D,DG!$D$2,)</f>
        <v>bộ</v>
      </c>
      <c r="H603" s="1693">
        <f t="shared" si="104"/>
        <v>0</v>
      </c>
      <c r="I603" s="1693"/>
      <c r="J603" s="1693"/>
      <c r="K603" s="1693"/>
      <c r="L603" s="1693"/>
      <c r="M603" s="1693">
        <f t="shared" si="105"/>
        <v>0</v>
      </c>
      <c r="N603" s="1693">
        <f t="shared" si="105"/>
        <v>0</v>
      </c>
      <c r="O603" s="1693">
        <f t="shared" si="105"/>
        <v>0</v>
      </c>
      <c r="P603" s="1692">
        <f>H603+Q603-R603</f>
        <v>0</v>
      </c>
      <c r="Q603" s="989"/>
      <c r="R603" s="989"/>
      <c r="S603" s="989"/>
      <c r="T603" s="1862">
        <f t="shared" si="98"/>
        <v>0</v>
      </c>
    </row>
    <row r="604" spans="1:20" ht="22.2" hidden="1" customHeight="1">
      <c r="A604" s="1448">
        <f>COUNTIF($C$12:C604,"x")</f>
        <v>24</v>
      </c>
      <c r="B604" s="1455" t="s">
        <v>2201</v>
      </c>
      <c r="C604" s="60" t="str">
        <f t="shared" si="99"/>
        <v xml:space="preserve"> </v>
      </c>
      <c r="D604" s="1415">
        <v>1</v>
      </c>
      <c r="E604" s="980"/>
      <c r="F604" s="992" t="s">
        <v>2386</v>
      </c>
      <c r="G604" s="980" t="str">
        <f>VLOOKUP($B604,DG!A:D,DG!$D$2,)</f>
        <v>cái</v>
      </c>
      <c r="H604" s="1693">
        <f t="shared" si="104"/>
        <v>0</v>
      </c>
      <c r="I604" s="1693"/>
      <c r="J604" s="1693"/>
      <c r="K604" s="1693"/>
      <c r="L604" s="1693"/>
      <c r="M604" s="1693">
        <f t="shared" si="105"/>
        <v>0</v>
      </c>
      <c r="N604" s="1693">
        <f t="shared" si="105"/>
        <v>0</v>
      </c>
      <c r="O604" s="1693">
        <f t="shared" si="105"/>
        <v>0</v>
      </c>
      <c r="P604" s="1692">
        <f>H604+Q604-R604</f>
        <v>0</v>
      </c>
      <c r="Q604" s="989"/>
      <c r="R604" s="989"/>
      <c r="S604" s="989"/>
      <c r="T604" s="1862">
        <f t="shared" si="98"/>
        <v>0</v>
      </c>
    </row>
    <row r="605" spans="1:20" ht="22.2" hidden="1" customHeight="1">
      <c r="A605" s="1448">
        <f>COUNTIF($C$12:C605,"x")</f>
        <v>24</v>
      </c>
      <c r="B605" s="1455" t="s">
        <v>1052</v>
      </c>
      <c r="C605" s="60" t="str">
        <f t="shared" si="99"/>
        <v xml:space="preserve"> </v>
      </c>
      <c r="D605" s="1415">
        <v>2</v>
      </c>
      <c r="E605" s="980"/>
      <c r="F605" s="992" t="str">
        <f>VLOOKUP($B605,DG!A:D,DG!C$2,)</f>
        <v>Đầu cosse ép Cu 25mm2</v>
      </c>
      <c r="G605" s="980" t="str">
        <f>VLOOKUP($B605,DG!A:D,DG!$D$2,)</f>
        <v>cái</v>
      </c>
      <c r="H605" s="1693">
        <f t="shared" si="104"/>
        <v>0</v>
      </c>
      <c r="I605" s="1693">
        <f t="shared" ref="I605:O606" si="106">I$629*$D605</f>
        <v>0</v>
      </c>
      <c r="J605" s="1693">
        <f t="shared" si="106"/>
        <v>0</v>
      </c>
      <c r="K605" s="1693">
        <f t="shared" si="106"/>
        <v>0</v>
      </c>
      <c r="L605" s="1693">
        <f t="shared" si="106"/>
        <v>0</v>
      </c>
      <c r="M605" s="1693">
        <f t="shared" si="106"/>
        <v>0</v>
      </c>
      <c r="N605" s="1693">
        <f t="shared" si="106"/>
        <v>0</v>
      </c>
      <c r="O605" s="1693">
        <f t="shared" si="106"/>
        <v>0</v>
      </c>
      <c r="P605" s="1693">
        <f>$P$601*D605</f>
        <v>0</v>
      </c>
      <c r="Q605" s="989"/>
      <c r="R605" s="989"/>
      <c r="S605" s="989"/>
      <c r="T605" s="1862">
        <f t="shared" si="98"/>
        <v>0</v>
      </c>
    </row>
    <row r="606" spans="1:20" ht="22.2" hidden="1" customHeight="1">
      <c r="A606" s="1448">
        <f>COUNTIF($C$12:C606,"x")</f>
        <v>24</v>
      </c>
      <c r="B606" s="1455" t="s">
        <v>2019</v>
      </c>
      <c r="C606" s="60" t="str">
        <f t="shared" si="99"/>
        <v xml:space="preserve"> </v>
      </c>
      <c r="D606" s="1415">
        <v>2</v>
      </c>
      <c r="E606" s="980"/>
      <c r="F606" s="992" t="str">
        <f>VLOOKUP($B606,DG!A:D,DG!C$2,)</f>
        <v>Boulon 12x40+ 2 long đền vuông D14-50x50x3/Zn</v>
      </c>
      <c r="G606" s="980" t="str">
        <f>VLOOKUP($B606,DG!A:D,DG!$D$2,)</f>
        <v>bộ</v>
      </c>
      <c r="H606" s="1693">
        <f t="shared" si="104"/>
        <v>0</v>
      </c>
      <c r="I606" s="1693">
        <f t="shared" si="106"/>
        <v>0</v>
      </c>
      <c r="J606" s="1693">
        <f t="shared" si="106"/>
        <v>0</v>
      </c>
      <c r="K606" s="1693">
        <f t="shared" si="106"/>
        <v>0</v>
      </c>
      <c r="L606" s="1693">
        <f t="shared" si="106"/>
        <v>0</v>
      </c>
      <c r="M606" s="1693">
        <f t="shared" si="106"/>
        <v>0</v>
      </c>
      <c r="N606" s="1693">
        <f t="shared" si="106"/>
        <v>0</v>
      </c>
      <c r="O606" s="1693">
        <f t="shared" si="106"/>
        <v>0</v>
      </c>
      <c r="P606" s="1693">
        <f>$P$601*D606</f>
        <v>0</v>
      </c>
      <c r="Q606" s="989"/>
      <c r="R606" s="989"/>
      <c r="S606" s="989"/>
      <c r="T606" s="1862">
        <f t="shared" si="98"/>
        <v>0</v>
      </c>
    </row>
    <row r="607" spans="1:20" ht="22.2" hidden="1" customHeight="1">
      <c r="A607" s="1448">
        <f>COUNTIF($C$12:C607,"x")</f>
        <v>24</v>
      </c>
      <c r="B607" s="1455" t="s">
        <v>1517</v>
      </c>
      <c r="C607" s="60" t="str">
        <f t="shared" si="99"/>
        <v xml:space="preserve"> </v>
      </c>
      <c r="D607" s="1414">
        <v>8</v>
      </c>
      <c r="E607" s="980" t="str">
        <f>VLOOKUP($B607,DG!A:D,DG!$B$2,)</f>
        <v>05.7001</v>
      </c>
      <c r="F607" s="985" t="str">
        <f>VLOOKUP($B607,DG!A:D,DG!$C$2,)</f>
        <v xml:space="preserve">Kéo dây tiếp địa </v>
      </c>
      <c r="G607" s="980" t="str">
        <f>VLOOKUP($B607,DG!A:D,DG!$D$2,)</f>
        <v>mét</v>
      </c>
      <c r="H607" s="1693">
        <f t="shared" si="104"/>
        <v>0</v>
      </c>
      <c r="I607" s="1693"/>
      <c r="J607" s="1693"/>
      <c r="K607" s="1693"/>
      <c r="L607" s="1693"/>
      <c r="M607" s="1693"/>
      <c r="N607" s="1693"/>
      <c r="O607" s="1693"/>
      <c r="P607" s="1692">
        <f>H607+Q607-R607</f>
        <v>0</v>
      </c>
      <c r="Q607" s="995"/>
      <c r="R607" s="995"/>
      <c r="S607" s="995"/>
      <c r="T607" s="1862">
        <f t="shared" si="98"/>
        <v>0</v>
      </c>
    </row>
    <row r="608" spans="1:20" ht="22.2" hidden="1" customHeight="1">
      <c r="A608" s="1448">
        <f>COUNTIF($C$12:C608,"x")</f>
        <v>24</v>
      </c>
      <c r="B608" s="1455" t="s">
        <v>1104</v>
      </c>
      <c r="C608" s="60" t="str">
        <f t="shared" si="99"/>
        <v xml:space="preserve"> </v>
      </c>
      <c r="D608" s="1415">
        <v>1</v>
      </c>
      <c r="E608" s="980" t="str">
        <f>VLOOKUP($B608,DG!A:D,DG!$B$2,)</f>
        <v>05.8103</v>
      </c>
      <c r="F608" s="985" t="str">
        <f>VLOOKUP($B608,DG!A:D,DG!$C$2,)</f>
        <v>Đóng cọc tiếp địa đất cấp 3</v>
      </c>
      <c r="G608" s="980" t="str">
        <f>VLOOKUP($B608,DG!A:D,DG!$D$2,)</f>
        <v>cọc</v>
      </c>
      <c r="H608" s="1693">
        <f t="shared" si="104"/>
        <v>0</v>
      </c>
      <c r="I608" s="1693"/>
      <c r="J608" s="1693"/>
      <c r="K608" s="1693"/>
      <c r="L608" s="1693"/>
      <c r="M608" s="1693"/>
      <c r="N608" s="1693"/>
      <c r="O608" s="1693"/>
      <c r="P608" s="1692">
        <f>H608+Q608-R608</f>
        <v>0</v>
      </c>
      <c r="Q608" s="989"/>
      <c r="R608" s="989"/>
      <c r="S608" s="989"/>
      <c r="T608" s="1862">
        <f t="shared" si="98"/>
        <v>0</v>
      </c>
    </row>
    <row r="609" spans="1:20" ht="22.2" hidden="1" customHeight="1">
      <c r="A609" s="1448">
        <f>COUNTIF($C$12:C609,"x")</f>
        <v>24</v>
      </c>
      <c r="B609" s="1455" t="s">
        <v>1902</v>
      </c>
      <c r="C609" s="60" t="str">
        <f t="shared" si="99"/>
        <v xml:space="preserve"> </v>
      </c>
      <c r="D609" s="1413"/>
      <c r="E609" s="980" t="str">
        <f>VLOOKUP($B609,DG!A:D,DG!$B$2,)</f>
        <v>02.1120</v>
      </c>
      <c r="F609" s="985" t="str">
        <f>VLOOKUP($B609,DG!A:D,DG!$C$2,)</f>
        <v>Bốc dỡ phụ kiện</v>
      </c>
      <c r="G609" s="980" t="str">
        <f>VLOOKUP($B609,DG!A:D,DG!$D$2,)</f>
        <v>tấn</v>
      </c>
      <c r="H609" s="1693"/>
      <c r="I609" s="1693"/>
      <c r="J609" s="1693"/>
      <c r="K609" s="1693"/>
      <c r="L609" s="1693"/>
      <c r="M609" s="1693"/>
      <c r="N609" s="1693"/>
      <c r="O609" s="1693"/>
      <c r="P609" s="1693"/>
      <c r="Q609" s="989"/>
      <c r="R609" s="989"/>
      <c r="S609" s="989"/>
      <c r="T609" s="1862">
        <f t="shared" si="98"/>
        <v>0</v>
      </c>
    </row>
    <row r="610" spans="1:20" ht="22.2" hidden="1" customHeight="1">
      <c r="A610" s="1448">
        <f>COUNTIF($C$12:C610,"x")</f>
        <v>24</v>
      </c>
      <c r="B610" s="1464" t="s">
        <v>1903</v>
      </c>
      <c r="C610" s="60" t="str">
        <f t="shared" si="99"/>
        <v xml:space="preserve"> </v>
      </c>
      <c r="D610" s="1413"/>
      <c r="E610" s="980" t="str">
        <f>VLOOKUP($B610,DG!A:C,2,)</f>
        <v>02.1351</v>
      </c>
      <c r="F610" s="985" t="str">
        <f>VLOOKUP($B610,DG!A:C,3,)</f>
        <v>V/c tiếp địa vào vị trí ( cự ly &lt;=100m)</v>
      </c>
      <c r="G610" s="980" t="str">
        <f>VLOOKUP($B610,DG!A:D,4,0)</f>
        <v>tấn</v>
      </c>
      <c r="H610" s="1693"/>
      <c r="I610" s="1693"/>
      <c r="J610" s="1693"/>
      <c r="K610" s="1693"/>
      <c r="L610" s="1693"/>
      <c r="M610" s="1693"/>
      <c r="N610" s="1693"/>
      <c r="O610" s="1693"/>
      <c r="P610" s="1693"/>
      <c r="Q610" s="994"/>
      <c r="R610" s="994"/>
      <c r="S610" s="994"/>
      <c r="T610" s="1862">
        <f t="shared" ref="T610:T688" si="107">IFERROR(HLOOKUP(B610,BangKeTru,3,0),0)</f>
        <v>0</v>
      </c>
    </row>
    <row r="611" spans="1:20" ht="22.2" hidden="1" customHeight="1">
      <c r="A611" s="1448">
        <f>COUNTIF($C$12:C611,"x")</f>
        <v>24</v>
      </c>
      <c r="B611" s="1452" t="s">
        <v>515</v>
      </c>
      <c r="C611" s="59" t="str">
        <f t="shared" ref="C611:C689" si="108">IF(OR(P611&lt;&gt;0,H611&lt;&gt;0),"x"," ")</f>
        <v xml:space="preserve"> </v>
      </c>
      <c r="D611" s="1412"/>
      <c r="E611" s="981"/>
      <c r="F611" s="1276" t="s">
        <v>2389</v>
      </c>
      <c r="G611" s="982" t="s">
        <v>2385</v>
      </c>
      <c r="H611" s="1691">
        <f>SUM(I611:O611)</f>
        <v>0</v>
      </c>
      <c r="I611" s="1692"/>
      <c r="J611" s="1692"/>
      <c r="K611" s="1692">
        <f>IFERROR(HLOOKUP(B611,pp3p1m!$1:$3,2,0),0)</f>
        <v>0</v>
      </c>
      <c r="L611" s="1692">
        <f>IFERROR(HLOOKUP(chitiet!B611,pp1p!$1:$3,3,0),0)</f>
        <v>0</v>
      </c>
      <c r="M611" s="1692"/>
      <c r="N611" s="1692"/>
      <c r="O611" s="1692"/>
      <c r="P611" s="2674">
        <f>T611</f>
        <v>0</v>
      </c>
      <c r="Q611" s="983">
        <f>IF(P611&gt;H611,P611-H611,0)</f>
        <v>0</v>
      </c>
      <c r="R611" s="983">
        <f>IF(H611&gt;P611,H611-P611,0)</f>
        <v>0</v>
      </c>
      <c r="S611" s="983"/>
      <c r="T611" s="1862">
        <f>IFERROR(HLOOKUP(B611,pp1p!$1:$3,3,0),0)+IFERROR(HLOOKUP(B611,pp3p1m!$1:$3,3,0),0)</f>
        <v>0</v>
      </c>
    </row>
    <row r="612" spans="1:20" ht="22.2" hidden="1" customHeight="1">
      <c r="A612" s="1448">
        <f>COUNTIF($C$12:C612,"x")</f>
        <v>24</v>
      </c>
      <c r="B612" s="1455" t="s">
        <v>103</v>
      </c>
      <c r="C612" s="60" t="str">
        <f t="shared" si="108"/>
        <v xml:space="preserve"> </v>
      </c>
      <c r="D612" s="1414">
        <f>3*0.224</f>
        <v>0.67200000000000004</v>
      </c>
      <c r="E612" s="980"/>
      <c r="F612" s="992" t="str">
        <f>VLOOKUP($B612,DG!A:D,DG!$C$2,)&amp;" : 3m"</f>
        <v>Cáp đồng trần M25mm2 : 3m</v>
      </c>
      <c r="G612" s="980" t="str">
        <f>VLOOKUP($B612,DG!A:D,DG!$D$2,)</f>
        <v>kg</v>
      </c>
      <c r="H612" s="1693">
        <f>H$591*$D612</f>
        <v>0</v>
      </c>
      <c r="I612" s="1693"/>
      <c r="J612" s="1693"/>
      <c r="K612" s="1693"/>
      <c r="L612" s="1693"/>
      <c r="M612" s="1693">
        <f t="shared" ref="M612:O614" si="109">M$591*$D612</f>
        <v>0</v>
      </c>
      <c r="N612" s="1693">
        <f t="shared" si="109"/>
        <v>0</v>
      </c>
      <c r="O612" s="1693">
        <f t="shared" si="109"/>
        <v>0</v>
      </c>
      <c r="P612" s="1693"/>
      <c r="Q612" s="989"/>
      <c r="R612" s="989"/>
      <c r="S612" s="989"/>
      <c r="T612" s="1862">
        <f t="shared" si="107"/>
        <v>0</v>
      </c>
    </row>
    <row r="613" spans="1:20" ht="22.2" hidden="1" customHeight="1">
      <c r="A613" s="1448">
        <f>COUNTIF($C$12:C613,"x")</f>
        <v>24</v>
      </c>
      <c r="B613" s="1455" t="s">
        <v>1508</v>
      </c>
      <c r="C613" s="60" t="str">
        <f t="shared" si="108"/>
        <v xml:space="preserve"> </v>
      </c>
      <c r="D613" s="1415">
        <v>1</v>
      </c>
      <c r="E613" s="980"/>
      <c r="F613" s="992" t="str">
        <f>VLOOKUP($B613,DG!A:D,DG!$C$2,)</f>
        <v>Cọc tiếp đất Þ 16- 2,4m + kẹp cọc mạ đồng</v>
      </c>
      <c r="G613" s="980" t="str">
        <f>VLOOKUP($B613,DG!A:D,DG!$D$2,)</f>
        <v>bộ</v>
      </c>
      <c r="H613" s="1693">
        <f>H$591*$D613</f>
        <v>0</v>
      </c>
      <c r="I613" s="1693"/>
      <c r="J613" s="1693"/>
      <c r="K613" s="1693"/>
      <c r="L613" s="1693"/>
      <c r="M613" s="1693">
        <f t="shared" si="109"/>
        <v>0</v>
      </c>
      <c r="N613" s="1693">
        <f t="shared" si="109"/>
        <v>0</v>
      </c>
      <c r="O613" s="1693">
        <f t="shared" si="109"/>
        <v>0</v>
      </c>
      <c r="P613" s="1693"/>
      <c r="Q613" s="989"/>
      <c r="R613" s="989"/>
      <c r="S613" s="989"/>
      <c r="T613" s="1862">
        <f t="shared" si="107"/>
        <v>0</v>
      </c>
    </row>
    <row r="614" spans="1:20" ht="22.2" hidden="1" customHeight="1">
      <c r="A614" s="1448">
        <f>COUNTIF($C$12:C614,"x")</f>
        <v>24</v>
      </c>
      <c r="B614" s="1455" t="s">
        <v>2212</v>
      </c>
      <c r="C614" s="60" t="str">
        <f t="shared" si="108"/>
        <v xml:space="preserve"> </v>
      </c>
      <c r="D614" s="1415">
        <v>1</v>
      </c>
      <c r="E614" s="980"/>
      <c r="F614" s="992" t="str">
        <f>VLOOKUP($B614,DG!A:D,DG!$C$2,)</f>
        <v>Ghíp nối IPC 50-35</v>
      </c>
      <c r="G614" s="980" t="str">
        <f>VLOOKUP($B614,DG!A:D,DG!$D$2,)</f>
        <v>cái</v>
      </c>
      <c r="H614" s="1693">
        <f>H$591*$D614</f>
        <v>0</v>
      </c>
      <c r="I614" s="1693"/>
      <c r="J614" s="1693"/>
      <c r="K614" s="1693"/>
      <c r="L614" s="1693"/>
      <c r="M614" s="1693">
        <f t="shared" si="109"/>
        <v>0</v>
      </c>
      <c r="N614" s="1693">
        <f t="shared" si="109"/>
        <v>0</v>
      </c>
      <c r="O614" s="1693">
        <f t="shared" si="109"/>
        <v>0</v>
      </c>
      <c r="P614" s="1693"/>
      <c r="Q614" s="989"/>
      <c r="R614" s="989"/>
      <c r="S614" s="989"/>
      <c r="T614" s="1862">
        <f t="shared" si="107"/>
        <v>0</v>
      </c>
    </row>
    <row r="615" spans="1:20" ht="22.2" hidden="1" customHeight="1">
      <c r="A615" s="1448">
        <f>COUNTIF($C$12:C615,"x")</f>
        <v>24</v>
      </c>
      <c r="B615" s="1455" t="s">
        <v>1517</v>
      </c>
      <c r="C615" s="60" t="str">
        <f t="shared" si="108"/>
        <v xml:space="preserve"> </v>
      </c>
      <c r="D615" s="1414">
        <f>D612</f>
        <v>0.67200000000000004</v>
      </c>
      <c r="E615" s="980" t="str">
        <f>VLOOKUP($B615,DG!A:D,DG!$B$2,)</f>
        <v>05.7001</v>
      </c>
      <c r="F615" s="985" t="str">
        <f>VLOOKUP($B615,DG!A:D,DG!$C$2,)</f>
        <v xml:space="preserve">Kéo dây tiếp địa </v>
      </c>
      <c r="G615" s="980" t="str">
        <f>VLOOKUP($B615,DG!A:D,DG!$D$2,)</f>
        <v>mét</v>
      </c>
      <c r="H615" s="1693"/>
      <c r="I615" s="1693"/>
      <c r="J615" s="1693"/>
      <c r="K615" s="1693"/>
      <c r="L615" s="1693"/>
      <c r="M615" s="1693"/>
      <c r="N615" s="1693"/>
      <c r="O615" s="1693"/>
      <c r="P615" s="1693"/>
      <c r="Q615" s="994"/>
      <c r="R615" s="994"/>
      <c r="S615" s="994"/>
      <c r="T615" s="1862">
        <f t="shared" si="107"/>
        <v>0</v>
      </c>
    </row>
    <row r="616" spans="1:20" ht="22.2" hidden="1" customHeight="1">
      <c r="A616" s="1448">
        <f>COUNTIF($C$12:C616,"x")</f>
        <v>24</v>
      </c>
      <c r="B616" s="1455" t="s">
        <v>1104</v>
      </c>
      <c r="C616" s="60" t="str">
        <f t="shared" si="108"/>
        <v xml:space="preserve"> </v>
      </c>
      <c r="D616" s="1415">
        <v>1</v>
      </c>
      <c r="E616" s="980" t="str">
        <f>VLOOKUP($B616,DG!A:D,DG!$B$2,)</f>
        <v>05.8103</v>
      </c>
      <c r="F616" s="985" t="str">
        <f>VLOOKUP($B616,DG!A:D,DG!$C$2,)</f>
        <v>Đóng cọc tiếp địa đất cấp 3</v>
      </c>
      <c r="G616" s="980" t="str">
        <f>VLOOKUP($B616,DG!A:D,DG!$D$2,)</f>
        <v>cọc</v>
      </c>
      <c r="H616" s="1693"/>
      <c r="I616" s="1693"/>
      <c r="J616" s="1693"/>
      <c r="K616" s="1693"/>
      <c r="L616" s="1693"/>
      <c r="M616" s="1693"/>
      <c r="N616" s="1693"/>
      <c r="O616" s="1693"/>
      <c r="P616" s="1693"/>
      <c r="Q616" s="989"/>
      <c r="R616" s="989"/>
      <c r="S616" s="989"/>
      <c r="T616" s="1862">
        <f t="shared" si="107"/>
        <v>0</v>
      </c>
    </row>
    <row r="617" spans="1:20" ht="22.2" hidden="1" customHeight="1">
      <c r="A617" s="1448">
        <f>COUNTIF($C$12:C617,"x")</f>
        <v>24</v>
      </c>
      <c r="B617" s="1455" t="s">
        <v>1902</v>
      </c>
      <c r="C617" s="60" t="str">
        <f t="shared" si="108"/>
        <v xml:space="preserve"> </v>
      </c>
      <c r="D617" s="1413"/>
      <c r="E617" s="980" t="str">
        <f>VLOOKUP($B617,DG!A:D,DG!$B$2,)</f>
        <v>02.1120</v>
      </c>
      <c r="F617" s="985" t="str">
        <f>VLOOKUP($B617,DG!A:D,DG!$C$2,)</f>
        <v>Bốc dỡ phụ kiện</v>
      </c>
      <c r="G617" s="980" t="str">
        <f>VLOOKUP($B617,DG!A:D,DG!$D$2,)</f>
        <v>tấn</v>
      </c>
      <c r="H617" s="1693"/>
      <c r="I617" s="1693"/>
      <c r="J617" s="1693"/>
      <c r="K617" s="1693"/>
      <c r="L617" s="1693"/>
      <c r="M617" s="1693"/>
      <c r="N617" s="1693"/>
      <c r="O617" s="1693"/>
      <c r="P617" s="1693"/>
      <c r="Q617" s="989"/>
      <c r="R617" s="989"/>
      <c r="S617" s="989"/>
      <c r="T617" s="1862">
        <f t="shared" si="107"/>
        <v>0</v>
      </c>
    </row>
    <row r="618" spans="1:20" ht="22.2" hidden="1" customHeight="1">
      <c r="A618" s="1448">
        <f>COUNTIF($C$12:C618,"x")</f>
        <v>24</v>
      </c>
      <c r="B618" s="1464" t="s">
        <v>1903</v>
      </c>
      <c r="C618" s="60" t="str">
        <f t="shared" si="108"/>
        <v xml:space="preserve"> </v>
      </c>
      <c r="D618" s="1413"/>
      <c r="E618" s="980" t="str">
        <f>VLOOKUP($B618,DG!A:C,2,)</f>
        <v>02.1351</v>
      </c>
      <c r="F618" s="985" t="str">
        <f>VLOOKUP($B618,DG!A:C,3,)</f>
        <v>V/c tiếp địa vào vị trí ( cự ly &lt;=100m)</v>
      </c>
      <c r="G618" s="980" t="str">
        <f>VLOOKUP($B618,DG!A:D,4,0)</f>
        <v>tấn</v>
      </c>
      <c r="H618" s="1693"/>
      <c r="I618" s="1693"/>
      <c r="J618" s="1693"/>
      <c r="K618" s="1693"/>
      <c r="L618" s="1693"/>
      <c r="M618" s="1693"/>
      <c r="N618" s="1693"/>
      <c r="O618" s="1693"/>
      <c r="P618" s="1693"/>
      <c r="Q618" s="994"/>
      <c r="R618" s="994"/>
      <c r="S618" s="994"/>
      <c r="T618" s="1862">
        <f t="shared" si="107"/>
        <v>0</v>
      </c>
    </row>
    <row r="619" spans="1:20" ht="22.2" hidden="1" customHeight="1" collapsed="1">
      <c r="A619" s="1448">
        <f>COUNTIF($C$12:C619,"x")</f>
        <v>24</v>
      </c>
      <c r="B619" s="1452" t="s">
        <v>2142</v>
      </c>
      <c r="C619" s="59" t="str">
        <f t="shared" si="108"/>
        <v xml:space="preserve"> </v>
      </c>
      <c r="D619" s="1412"/>
      <c r="E619" s="981"/>
      <c r="F619" s="1276" t="s">
        <v>2390</v>
      </c>
      <c r="G619" s="982" t="s">
        <v>2385</v>
      </c>
      <c r="H619" s="1691">
        <f>SUM(I619:O619)</f>
        <v>0</v>
      </c>
      <c r="I619" s="1692"/>
      <c r="J619" s="1692"/>
      <c r="K619" s="1692">
        <f>IFERROR(HLOOKUP(B619,pp3p1m!$1:$3,2,0),0)</f>
        <v>0</v>
      </c>
      <c r="L619" s="1692">
        <f>IFERROR(HLOOKUP(chitiet!B619,pp1p!$1:$3,3,0),0)</f>
        <v>0</v>
      </c>
      <c r="M619" s="1692"/>
      <c r="N619" s="1692"/>
      <c r="O619" s="1692"/>
      <c r="P619" s="2674">
        <f>T619</f>
        <v>0</v>
      </c>
      <c r="Q619" s="983">
        <f>IF(P619&gt;H619,P619-H619,0)</f>
        <v>0</v>
      </c>
      <c r="R619" s="983">
        <f>IF(H619&gt;P619,H619-P619,0)</f>
        <v>0</v>
      </c>
      <c r="S619" s="983"/>
      <c r="T619" s="1862">
        <f>IFERROR(HLOOKUP(B619,pp1p!$1:$3,3,0),0)+IFERROR(HLOOKUP(B619,pp3p1m!$1:$3,3,0),0)</f>
        <v>0</v>
      </c>
    </row>
    <row r="620" spans="1:20" ht="22.2" hidden="1" customHeight="1">
      <c r="A620" s="1448">
        <f>COUNTIF($C$12:C620,"x")</f>
        <v>24</v>
      </c>
      <c r="B620" s="1455" t="s">
        <v>103</v>
      </c>
      <c r="C620" s="60" t="str">
        <f t="shared" si="108"/>
        <v xml:space="preserve"> </v>
      </c>
      <c r="D620" s="1414">
        <f>10*0.224</f>
        <v>2.2400000000000002</v>
      </c>
      <c r="E620" s="980"/>
      <c r="F620" s="992" t="str">
        <f>VLOOKUP($B620,DG!A:D,DG!C$2,)&amp;" : 10m"</f>
        <v>Cáp đồng trần M25mm2 : 10m</v>
      </c>
      <c r="G620" s="980" t="str">
        <f>VLOOKUP($B620,DG!A:D,DG!$D$2,)</f>
        <v>kg</v>
      </c>
      <c r="H620" s="1693">
        <f t="shared" ref="H620:O622" si="110">H$619*$D620</f>
        <v>0</v>
      </c>
      <c r="I620" s="1693">
        <f t="shared" si="110"/>
        <v>0</v>
      </c>
      <c r="J620" s="1693">
        <f t="shared" si="110"/>
        <v>0</v>
      </c>
      <c r="K620" s="1693">
        <f t="shared" si="110"/>
        <v>0</v>
      </c>
      <c r="L620" s="1693">
        <f t="shared" si="110"/>
        <v>0</v>
      </c>
      <c r="M620" s="1693">
        <f t="shared" si="110"/>
        <v>0</v>
      </c>
      <c r="N620" s="1693">
        <f t="shared" si="110"/>
        <v>0</v>
      </c>
      <c r="O620" s="1693">
        <f t="shared" si="110"/>
        <v>0</v>
      </c>
      <c r="P620" s="1693"/>
      <c r="Q620" s="989"/>
      <c r="R620" s="989"/>
      <c r="S620" s="989"/>
      <c r="T620" s="1862">
        <f t="shared" si="107"/>
        <v>0</v>
      </c>
    </row>
    <row r="621" spans="1:20" ht="22.2" hidden="1" customHeight="1">
      <c r="A621" s="1448">
        <f>COUNTIF($C$12:C621,"x")</f>
        <v>24</v>
      </c>
      <c r="B621" s="1455" t="s">
        <v>1508</v>
      </c>
      <c r="C621" s="60" t="str">
        <f t="shared" si="108"/>
        <v xml:space="preserve"> </v>
      </c>
      <c r="D621" s="1415">
        <v>1</v>
      </c>
      <c r="E621" s="980"/>
      <c r="F621" s="992" t="str">
        <f>VLOOKUP($B621,DG!A:D,DG!C$2,)</f>
        <v>Cọc tiếp đất Þ 16- 2,4m + kẹp cọc mạ đồng</v>
      </c>
      <c r="G621" s="980" t="str">
        <f>VLOOKUP($B621,DG!A:D,DG!$D$2,)</f>
        <v>bộ</v>
      </c>
      <c r="H621" s="1693">
        <f t="shared" si="110"/>
        <v>0</v>
      </c>
      <c r="I621" s="1693">
        <f t="shared" si="110"/>
        <v>0</v>
      </c>
      <c r="J621" s="1693">
        <f t="shared" si="110"/>
        <v>0</v>
      </c>
      <c r="K621" s="1693">
        <f t="shared" si="110"/>
        <v>0</v>
      </c>
      <c r="L621" s="1693">
        <f t="shared" si="110"/>
        <v>0</v>
      </c>
      <c r="M621" s="1693">
        <f t="shared" si="110"/>
        <v>0</v>
      </c>
      <c r="N621" s="1693">
        <f t="shared" si="110"/>
        <v>0</v>
      </c>
      <c r="O621" s="1693">
        <f t="shared" si="110"/>
        <v>0</v>
      </c>
      <c r="P621" s="1693"/>
      <c r="Q621" s="989"/>
      <c r="R621" s="989"/>
      <c r="S621" s="989"/>
      <c r="T621" s="1862">
        <f t="shared" si="107"/>
        <v>0</v>
      </c>
    </row>
    <row r="622" spans="1:20" ht="22.2" hidden="1" customHeight="1">
      <c r="A622" s="1448">
        <f>COUNTIF($C$12:C622,"x")</f>
        <v>24</v>
      </c>
      <c r="B622" s="1455" t="s">
        <v>1478</v>
      </c>
      <c r="C622" s="60" t="str">
        <f t="shared" si="108"/>
        <v xml:space="preserve"> </v>
      </c>
      <c r="D622" s="1415">
        <v>2</v>
      </c>
      <c r="E622" s="980"/>
      <c r="F622" s="992" t="str">
        <f>VLOOKUP($B622,DG!A:D,DG!C$2,)</f>
        <v>Kẹp nối đồng-nhôm</v>
      </c>
      <c r="G622" s="980" t="str">
        <f>VLOOKUP($B622,DG!A:D,DG!$D$2,)</f>
        <v>cái</v>
      </c>
      <c r="H622" s="1693">
        <f t="shared" si="110"/>
        <v>0</v>
      </c>
      <c r="I622" s="1693">
        <f t="shared" si="110"/>
        <v>0</v>
      </c>
      <c r="J622" s="1693">
        <f t="shared" si="110"/>
        <v>0</v>
      </c>
      <c r="K622" s="1693">
        <f t="shared" si="110"/>
        <v>0</v>
      </c>
      <c r="L622" s="1693">
        <f t="shared" si="110"/>
        <v>0</v>
      </c>
      <c r="M622" s="1693">
        <f t="shared" si="110"/>
        <v>0</v>
      </c>
      <c r="N622" s="1693">
        <f t="shared" si="110"/>
        <v>0</v>
      </c>
      <c r="O622" s="1693">
        <f t="shared" si="110"/>
        <v>0</v>
      </c>
      <c r="P622" s="1693"/>
      <c r="Q622" s="989"/>
      <c r="R622" s="989"/>
      <c r="S622" s="989"/>
      <c r="T622" s="1862">
        <f t="shared" si="107"/>
        <v>0</v>
      </c>
    </row>
    <row r="623" spans="1:20" ht="22.2" hidden="1" customHeight="1">
      <c r="A623" s="1448">
        <f>COUNTIF($C$12:C623,"x")</f>
        <v>24</v>
      </c>
      <c r="B623" s="1455" t="s">
        <v>1052</v>
      </c>
      <c r="C623" s="60" t="str">
        <f t="shared" si="108"/>
        <v xml:space="preserve"> </v>
      </c>
      <c r="D623" s="1415">
        <v>2</v>
      </c>
      <c r="E623" s="980"/>
      <c r="F623" s="992" t="str">
        <f>VLOOKUP($B623,DG!A:D,DG!C$2,)</f>
        <v>Đầu cosse ép Cu 25mm2</v>
      </c>
      <c r="G623" s="980" t="str">
        <f>VLOOKUP($B623,DG!A:D,DG!$D$2,)</f>
        <v>cái</v>
      </c>
      <c r="H623" s="1693">
        <f t="shared" ref="H623:H628" si="111">H$619*$D623</f>
        <v>0</v>
      </c>
      <c r="I623" s="1693">
        <f t="shared" ref="I623:N624" si="112">I$629*$D623</f>
        <v>0</v>
      </c>
      <c r="J623" s="1693">
        <f t="shared" si="112"/>
        <v>0</v>
      </c>
      <c r="K623" s="1693">
        <f t="shared" si="112"/>
        <v>0</v>
      </c>
      <c r="L623" s="1693">
        <f t="shared" si="112"/>
        <v>0</v>
      </c>
      <c r="M623" s="1693">
        <f t="shared" si="112"/>
        <v>0</v>
      </c>
      <c r="N623" s="1693">
        <f t="shared" si="112"/>
        <v>0</v>
      </c>
      <c r="O623" s="1693"/>
      <c r="P623" s="1693"/>
      <c r="Q623" s="989"/>
      <c r="R623" s="989"/>
      <c r="S623" s="989"/>
      <c r="T623" s="1862">
        <f t="shared" si="107"/>
        <v>0</v>
      </c>
    </row>
    <row r="624" spans="1:20" ht="22.2" hidden="1" customHeight="1">
      <c r="A624" s="1448">
        <f>COUNTIF($C$12:C624,"x")</f>
        <v>24</v>
      </c>
      <c r="B624" s="1455" t="s">
        <v>2019</v>
      </c>
      <c r="C624" s="60" t="str">
        <f t="shared" si="108"/>
        <v xml:space="preserve"> </v>
      </c>
      <c r="D624" s="1415">
        <v>1</v>
      </c>
      <c r="E624" s="980"/>
      <c r="F624" s="992" t="str">
        <f>VLOOKUP($B624,DG!A:D,DG!C$2,)</f>
        <v>Boulon 12x40+ 2 long đền vuông D14-50x50x3/Zn</v>
      </c>
      <c r="G624" s="980" t="str">
        <f>VLOOKUP($B624,DG!A:D,DG!$D$2,)</f>
        <v>bộ</v>
      </c>
      <c r="H624" s="1693">
        <f t="shared" si="111"/>
        <v>0</v>
      </c>
      <c r="I624" s="1693">
        <f t="shared" si="112"/>
        <v>0</v>
      </c>
      <c r="J624" s="1693">
        <f t="shared" si="112"/>
        <v>0</v>
      </c>
      <c r="K624" s="1693">
        <f t="shared" si="112"/>
        <v>0</v>
      </c>
      <c r="L624" s="1693">
        <f t="shared" si="112"/>
        <v>0</v>
      </c>
      <c r="M624" s="1693">
        <f t="shared" si="112"/>
        <v>0</v>
      </c>
      <c r="N624" s="1693">
        <f t="shared" si="112"/>
        <v>0</v>
      </c>
      <c r="O624" s="1693"/>
      <c r="P624" s="1693"/>
      <c r="Q624" s="989"/>
      <c r="R624" s="989"/>
      <c r="S624" s="989"/>
      <c r="T624" s="1862">
        <f t="shared" si="107"/>
        <v>0</v>
      </c>
    </row>
    <row r="625" spans="1:20" ht="22.2" hidden="1" customHeight="1">
      <c r="A625" s="1448">
        <f>COUNTIF($C$12:C625,"x")</f>
        <v>24</v>
      </c>
      <c r="B625" s="1455" t="s">
        <v>1517</v>
      </c>
      <c r="C625" s="60" t="str">
        <f t="shared" si="108"/>
        <v xml:space="preserve"> </v>
      </c>
      <c r="D625" s="1414">
        <f>D620</f>
        <v>2.2400000000000002</v>
      </c>
      <c r="E625" s="980" t="str">
        <f>VLOOKUP($B625,DG!A:D,DG!$B$2,)</f>
        <v>05.7001</v>
      </c>
      <c r="F625" s="985" t="str">
        <f>VLOOKUP($B625,DG!A:D,DG!C$2,)</f>
        <v xml:space="preserve">Kéo dây tiếp địa </v>
      </c>
      <c r="G625" s="980" t="str">
        <f>VLOOKUP($B625,DG!A:D,DG!$D$2,)</f>
        <v>mét</v>
      </c>
      <c r="H625" s="1693">
        <f t="shared" si="111"/>
        <v>0</v>
      </c>
      <c r="I625" s="1693"/>
      <c r="J625" s="1693"/>
      <c r="K625" s="1693"/>
      <c r="L625" s="1693"/>
      <c r="M625" s="1693"/>
      <c r="N625" s="1693"/>
      <c r="O625" s="1693"/>
      <c r="P625" s="1693"/>
      <c r="Q625" s="994"/>
      <c r="R625" s="994"/>
      <c r="S625" s="994"/>
      <c r="T625" s="1862">
        <f t="shared" si="107"/>
        <v>0</v>
      </c>
    </row>
    <row r="626" spans="1:20" ht="22.2" hidden="1" customHeight="1">
      <c r="A626" s="1448">
        <f>COUNTIF($C$12:C626,"x")</f>
        <v>24</v>
      </c>
      <c r="B626" s="1455" t="s">
        <v>1104</v>
      </c>
      <c r="C626" s="60" t="str">
        <f t="shared" si="108"/>
        <v xml:space="preserve"> </v>
      </c>
      <c r="D626" s="1415">
        <f>+D621</f>
        <v>1</v>
      </c>
      <c r="E626" s="980" t="str">
        <f>VLOOKUP($B626,DG!A:D,DG!$B$2,)</f>
        <v>05.8103</v>
      </c>
      <c r="F626" s="985" t="str">
        <f>VLOOKUP($B626,DG!A:D,DG!C$2,)</f>
        <v>Đóng cọc tiếp địa đất cấp 3</v>
      </c>
      <c r="G626" s="980" t="str">
        <f>VLOOKUP($B626,DG!A:D,DG!$D$2,)</f>
        <v>cọc</v>
      </c>
      <c r="H626" s="1693">
        <f t="shared" si="111"/>
        <v>0</v>
      </c>
      <c r="I626" s="1693"/>
      <c r="J626" s="1693"/>
      <c r="K626" s="1693"/>
      <c r="L626" s="1693"/>
      <c r="M626" s="1693"/>
      <c r="N626" s="1693"/>
      <c r="O626" s="1693"/>
      <c r="P626" s="1693"/>
      <c r="Q626" s="989"/>
      <c r="R626" s="989"/>
      <c r="S626" s="989"/>
      <c r="T626" s="1862">
        <f t="shared" si="107"/>
        <v>0</v>
      </c>
    </row>
    <row r="627" spans="1:20" ht="22.2" hidden="1" customHeight="1">
      <c r="A627" s="1448">
        <f>COUNTIF($C$12:C627,"x")</f>
        <v>24</v>
      </c>
      <c r="B627" s="1455" t="s">
        <v>1902</v>
      </c>
      <c r="C627" s="60" t="str">
        <f t="shared" si="108"/>
        <v xml:space="preserve"> </v>
      </c>
      <c r="D627" s="1413"/>
      <c r="E627" s="980" t="str">
        <f>VLOOKUP($B627,DG!A:D,DG!$B$2,)</f>
        <v>02.1120</v>
      </c>
      <c r="F627" s="985" t="str">
        <f>VLOOKUP($B627,DG!A:D,DG!C$2,)</f>
        <v>Bốc dỡ phụ kiện</v>
      </c>
      <c r="G627" s="980" t="str">
        <f>VLOOKUP($B627,DG!A:D,DG!$D$2,)</f>
        <v>tấn</v>
      </c>
      <c r="H627" s="1693">
        <f t="shared" si="111"/>
        <v>0</v>
      </c>
      <c r="I627" s="1693"/>
      <c r="J627" s="1693"/>
      <c r="K627" s="1693"/>
      <c r="L627" s="1693"/>
      <c r="M627" s="1693"/>
      <c r="N627" s="1693"/>
      <c r="O627" s="1693"/>
      <c r="P627" s="1693"/>
      <c r="Q627" s="989"/>
      <c r="R627" s="989"/>
      <c r="S627" s="989"/>
      <c r="T627" s="1862">
        <f t="shared" si="107"/>
        <v>0</v>
      </c>
    </row>
    <row r="628" spans="1:20" ht="22.2" hidden="1" customHeight="1">
      <c r="A628" s="1448">
        <f>COUNTIF($C$12:C628,"x")</f>
        <v>24</v>
      </c>
      <c r="B628" s="1464" t="s">
        <v>1903</v>
      </c>
      <c r="C628" s="60" t="str">
        <f t="shared" si="108"/>
        <v xml:space="preserve"> </v>
      </c>
      <c r="D628" s="1413"/>
      <c r="E628" s="980" t="str">
        <f>VLOOKUP($B628,DG!A:C,2,)</f>
        <v>02.1351</v>
      </c>
      <c r="F628" s="985" t="str">
        <f>VLOOKUP($B628,DG!A:C,3,)</f>
        <v>V/c tiếp địa vào vị trí ( cự ly &lt;=100m)</v>
      </c>
      <c r="G628" s="980" t="str">
        <f>VLOOKUP($B628,DG!A:D,4,0)</f>
        <v>tấn</v>
      </c>
      <c r="H628" s="1693">
        <f t="shared" si="111"/>
        <v>0</v>
      </c>
      <c r="I628" s="1693"/>
      <c r="J628" s="1693"/>
      <c r="K628" s="1693"/>
      <c r="L628" s="1693"/>
      <c r="M628" s="1693"/>
      <c r="N628" s="1693"/>
      <c r="O628" s="1693"/>
      <c r="P628" s="1693"/>
      <c r="Q628" s="994"/>
      <c r="R628" s="994"/>
      <c r="S628" s="994"/>
      <c r="T628" s="1862">
        <f t="shared" si="107"/>
        <v>0</v>
      </c>
    </row>
    <row r="629" spans="1:20" ht="22.2" hidden="1" customHeight="1">
      <c r="A629" s="1448">
        <f>COUNTIF($C$12:C629,"x")</f>
        <v>24</v>
      </c>
      <c r="B629" s="1452" t="s">
        <v>1637</v>
      </c>
      <c r="C629" s="972" t="str">
        <f t="shared" si="108"/>
        <v xml:space="preserve"> </v>
      </c>
      <c r="D629" s="1424"/>
      <c r="E629" s="981"/>
      <c r="F629" s="1276" t="s">
        <v>2391</v>
      </c>
      <c r="G629" s="982" t="s">
        <v>2385</v>
      </c>
      <c r="H629" s="1691">
        <f>SUM(I629:O629)</f>
        <v>0</v>
      </c>
      <c r="I629" s="1692"/>
      <c r="J629" s="1692"/>
      <c r="K629" s="1692">
        <f>IFERROR(HLOOKUP(B629,pp3p1m!$1:$3,2,0),0)</f>
        <v>0</v>
      </c>
      <c r="L629" s="1692">
        <f>IFERROR(HLOOKUP(chitiet!B629,pp1p!$1:$3,3,0),0)</f>
        <v>0</v>
      </c>
      <c r="M629" s="1692"/>
      <c r="N629" s="1692"/>
      <c r="O629" s="1692"/>
      <c r="P629" s="2674">
        <f>T629</f>
        <v>0</v>
      </c>
      <c r="Q629" s="983">
        <f>IF(P629&gt;H629,P629-H629,0)</f>
        <v>0</v>
      </c>
      <c r="R629" s="983">
        <f>IF(H629&gt;P629,H629-P629,0)</f>
        <v>0</v>
      </c>
      <c r="S629" s="983"/>
      <c r="T629" s="1862">
        <f>IFERROR(HLOOKUP(B629,pp1p!$1:$3,3,0),0)+IFERROR(HLOOKUP(B629,pp3p1m!$1:$3,3,0),0)</f>
        <v>0</v>
      </c>
    </row>
    <row r="630" spans="1:20" ht="22.2" hidden="1" customHeight="1">
      <c r="A630" s="1448">
        <f>COUNTIF($C$12:C630,"x")</f>
        <v>24</v>
      </c>
      <c r="B630" s="1451" t="s">
        <v>103</v>
      </c>
      <c r="C630" s="973" t="str">
        <f t="shared" si="108"/>
        <v xml:space="preserve"> </v>
      </c>
      <c r="D630" s="1414">
        <v>2.2400000000000002</v>
      </c>
      <c r="E630" s="1879">
        <v>12</v>
      </c>
      <c r="F630" s="992" t="str">
        <f>VLOOKUP($B630,DG!A:D,DG!C$2,)</f>
        <v>Cáp đồng trần M25mm2</v>
      </c>
      <c r="G630" s="980" t="str">
        <f>VLOOKUP($B630,DG!A:D,DG!$D$2,)</f>
        <v>kg</v>
      </c>
      <c r="H630" s="1699">
        <f t="shared" ref="H630:N635" si="113">H$629*$D630</f>
        <v>0</v>
      </c>
      <c r="I630" s="1693">
        <f t="shared" si="113"/>
        <v>0</v>
      </c>
      <c r="J630" s="1693">
        <f t="shared" si="113"/>
        <v>0</v>
      </c>
      <c r="K630" s="1693">
        <f t="shared" si="113"/>
        <v>0</v>
      </c>
      <c r="L630" s="1693">
        <f t="shared" si="113"/>
        <v>0</v>
      </c>
      <c r="M630" s="1693">
        <f t="shared" si="113"/>
        <v>0</v>
      </c>
      <c r="N630" s="1693">
        <f t="shared" si="113"/>
        <v>0</v>
      </c>
      <c r="O630" s="1693"/>
      <c r="P630" s="1699">
        <f>D630*$P$629</f>
        <v>0</v>
      </c>
      <c r="Q630" s="989"/>
      <c r="R630" s="989"/>
      <c r="S630" s="989"/>
      <c r="T630" s="1862">
        <f t="shared" si="107"/>
        <v>0</v>
      </c>
    </row>
    <row r="631" spans="1:20" ht="22.2" hidden="1" customHeight="1">
      <c r="A631" s="1448">
        <f>COUNTIF($C$12:C631,"x")</f>
        <v>24</v>
      </c>
      <c r="B631" s="1451" t="s">
        <v>1508</v>
      </c>
      <c r="C631" s="973" t="str">
        <f t="shared" si="108"/>
        <v xml:space="preserve"> </v>
      </c>
      <c r="D631" s="1415">
        <v>1</v>
      </c>
      <c r="E631" s="980"/>
      <c r="F631" s="992" t="str">
        <f>VLOOKUP($B631,DG!A:D,DG!C$2,)</f>
        <v>Cọc tiếp đất Þ 16- 2,4m + kẹp cọc mạ đồng</v>
      </c>
      <c r="G631" s="980" t="str">
        <f>VLOOKUP($B631,DG!A:D,DG!$D$2,)</f>
        <v>bộ</v>
      </c>
      <c r="H631" s="1693">
        <f t="shared" si="113"/>
        <v>0</v>
      </c>
      <c r="I631" s="1693">
        <f t="shared" si="113"/>
        <v>0</v>
      </c>
      <c r="J631" s="1693">
        <f t="shared" si="113"/>
        <v>0</v>
      </c>
      <c r="K631" s="1693">
        <f t="shared" si="113"/>
        <v>0</v>
      </c>
      <c r="L631" s="1693">
        <f t="shared" si="113"/>
        <v>0</v>
      </c>
      <c r="M631" s="1693">
        <f t="shared" si="113"/>
        <v>0</v>
      </c>
      <c r="N631" s="1693">
        <f t="shared" si="113"/>
        <v>0</v>
      </c>
      <c r="O631" s="1693"/>
      <c r="P631" s="1693">
        <f>D631*$P$629</f>
        <v>0</v>
      </c>
      <c r="Q631" s="989"/>
      <c r="R631" s="989"/>
      <c r="S631" s="989"/>
      <c r="T631" s="1862">
        <f t="shared" si="107"/>
        <v>0</v>
      </c>
    </row>
    <row r="632" spans="1:20" ht="22.2" hidden="1" customHeight="1">
      <c r="A632" s="1448">
        <f>COUNTIF($C$12:C632,"x")</f>
        <v>24</v>
      </c>
      <c r="B632" s="1455" t="s">
        <v>1579</v>
      </c>
      <c r="C632" s="60" t="str">
        <f>IF(OR(P632&lt;&gt;0,H632&lt;&gt;0),"x"," ")</f>
        <v xml:space="preserve"> </v>
      </c>
      <c r="D632" s="1415">
        <f>2</f>
        <v>2</v>
      </c>
      <c r="E632" s="980"/>
      <c r="F632" s="992" t="str">
        <f>VLOOKUP($B632,DG!A:D,DG!C$2,)</f>
        <v>Kẹp ép WR cỡ dây 50mm2</v>
      </c>
      <c r="G632" s="980" t="str">
        <f>VLOOKUP($B632,DG!A:D,DG!$D$2,)</f>
        <v>cái</v>
      </c>
      <c r="H632" s="1693">
        <f t="shared" si="113"/>
        <v>0</v>
      </c>
      <c r="I632" s="1693">
        <f t="shared" si="113"/>
        <v>0</v>
      </c>
      <c r="J632" s="1693">
        <f t="shared" si="113"/>
        <v>0</v>
      </c>
      <c r="K632" s="1693">
        <f t="shared" si="113"/>
        <v>0</v>
      </c>
      <c r="L632" s="1693">
        <f t="shared" si="113"/>
        <v>0</v>
      </c>
      <c r="M632" s="1693">
        <f t="shared" si="113"/>
        <v>0</v>
      </c>
      <c r="N632" s="1693">
        <f t="shared" si="113"/>
        <v>0</v>
      </c>
      <c r="O632" s="1693"/>
      <c r="P632" s="1693">
        <f>D632*$P$629</f>
        <v>0</v>
      </c>
      <c r="Q632" s="989"/>
      <c r="R632" s="989"/>
      <c r="S632" s="989"/>
      <c r="T632" s="1862">
        <f>IFERROR(HLOOKUP(B632,BangKeTru,3,0),0)</f>
        <v>0</v>
      </c>
    </row>
    <row r="633" spans="1:20" ht="22.2" hidden="1" customHeight="1">
      <c r="A633" s="1448">
        <f>COUNTIF($C$12:C633,"x")</f>
        <v>24</v>
      </c>
      <c r="B633" s="1455" t="s">
        <v>1062</v>
      </c>
      <c r="C633" s="60" t="str">
        <f t="shared" si="108"/>
        <v xml:space="preserve"> </v>
      </c>
      <c r="D633" s="1415">
        <f>2</f>
        <v>2</v>
      </c>
      <c r="E633" s="980"/>
      <c r="F633" s="992" t="str">
        <f>VLOOKUP($B633,DG!A:D,DG!C$2,)</f>
        <v>Ốc siết cáp cỡ 25mm2</v>
      </c>
      <c r="G633" s="980" t="str">
        <f>VLOOKUP($B633,DG!A:D,DG!$D$2,)</f>
        <v>cái</v>
      </c>
      <c r="H633" s="1693">
        <f t="shared" si="113"/>
        <v>0</v>
      </c>
      <c r="I633" s="1693">
        <f t="shared" si="113"/>
        <v>0</v>
      </c>
      <c r="J633" s="1693">
        <f t="shared" si="113"/>
        <v>0</v>
      </c>
      <c r="K633" s="1693">
        <f t="shared" si="113"/>
        <v>0</v>
      </c>
      <c r="L633" s="1693">
        <f t="shared" si="113"/>
        <v>0</v>
      </c>
      <c r="M633" s="1693">
        <f t="shared" si="113"/>
        <v>0</v>
      </c>
      <c r="N633" s="1693">
        <f t="shared" si="113"/>
        <v>0</v>
      </c>
      <c r="O633" s="1693"/>
      <c r="P633" s="1693">
        <f>D633*$P$629</f>
        <v>0</v>
      </c>
      <c r="Q633" s="989"/>
      <c r="R633" s="989"/>
      <c r="S633" s="989"/>
      <c r="T633" s="1862">
        <f t="shared" si="107"/>
        <v>0</v>
      </c>
    </row>
    <row r="634" spans="1:20" ht="22.2" hidden="1" customHeight="1">
      <c r="A634" s="1448">
        <f>COUNTIF($C$12:C634,"x")</f>
        <v>24</v>
      </c>
      <c r="B634" s="1455" t="s">
        <v>1490</v>
      </c>
      <c r="C634" s="60" t="str">
        <f t="shared" si="108"/>
        <v xml:space="preserve"> </v>
      </c>
      <c r="D634" s="1415">
        <f>6-6</f>
        <v>0</v>
      </c>
      <c r="E634" s="980"/>
      <c r="F634" s="992" t="str">
        <f>VLOOKUP($B634,DG!A:D,DG!C$2,)</f>
        <v xml:space="preserve">Ống PVC D21x1,6mm </v>
      </c>
      <c r="G634" s="980" t="str">
        <f>VLOOKUP($B634,DG!A:D,DG!$D$2,)</f>
        <v>m</v>
      </c>
      <c r="H634" s="1693">
        <f t="shared" si="113"/>
        <v>0</v>
      </c>
      <c r="I634" s="1693">
        <f t="shared" si="113"/>
        <v>0</v>
      </c>
      <c r="J634" s="1693">
        <f t="shared" si="113"/>
        <v>0</v>
      </c>
      <c r="K634" s="1693">
        <f t="shared" si="113"/>
        <v>0</v>
      </c>
      <c r="L634" s="1693">
        <f t="shared" si="113"/>
        <v>0</v>
      </c>
      <c r="M634" s="1693">
        <f t="shared" si="113"/>
        <v>0</v>
      </c>
      <c r="N634" s="1693">
        <f t="shared" si="113"/>
        <v>0</v>
      </c>
      <c r="O634" s="1693"/>
      <c r="P634" s="1693"/>
      <c r="Q634" s="989"/>
      <c r="R634" s="989"/>
      <c r="S634" s="989"/>
      <c r="T634" s="1862">
        <f t="shared" si="107"/>
        <v>0</v>
      </c>
    </row>
    <row r="635" spans="1:20" ht="22.2" hidden="1" customHeight="1">
      <c r="A635" s="1448">
        <f>COUNTIF($C$12:C635,"x")</f>
        <v>24</v>
      </c>
      <c r="B635" s="1455" t="s">
        <v>2019</v>
      </c>
      <c r="C635" s="60" t="str">
        <f>IF(OR(P635&lt;&gt;0,H635&lt;&gt;0),"x"," ")</f>
        <v xml:space="preserve"> </v>
      </c>
      <c r="D635" s="1415"/>
      <c r="E635" s="980"/>
      <c r="F635" s="992" t="str">
        <f>VLOOKUP($B635,DG!A:D,DG!C$2,)</f>
        <v>Boulon 12x40+ 2 long đền vuông D14-50x50x3/Zn</v>
      </c>
      <c r="G635" s="980" t="str">
        <f>VLOOKUP($B635,DG!A:D,DG!$D$2,)</f>
        <v>bộ</v>
      </c>
      <c r="H635" s="1693">
        <f t="shared" si="113"/>
        <v>0</v>
      </c>
      <c r="I635" s="1693">
        <f t="shared" si="113"/>
        <v>0</v>
      </c>
      <c r="J635" s="1693">
        <f t="shared" si="113"/>
        <v>0</v>
      </c>
      <c r="K635" s="1693">
        <f t="shared" si="113"/>
        <v>0</v>
      </c>
      <c r="L635" s="1693">
        <f t="shared" si="113"/>
        <v>0</v>
      </c>
      <c r="M635" s="1693">
        <f t="shared" si="113"/>
        <v>0</v>
      </c>
      <c r="N635" s="1693">
        <f t="shared" si="113"/>
        <v>0</v>
      </c>
      <c r="O635" s="1693"/>
      <c r="P635" s="1693">
        <f>D635*$P$629</f>
        <v>0</v>
      </c>
      <c r="Q635" s="989"/>
      <c r="R635" s="989"/>
      <c r="S635" s="989"/>
      <c r="T635" s="1862">
        <f t="shared" si="107"/>
        <v>0</v>
      </c>
    </row>
    <row r="636" spans="1:20" ht="22.2" hidden="1" customHeight="1">
      <c r="A636" s="1448">
        <f>COUNTIF($C$12:C636,"x")</f>
        <v>24</v>
      </c>
      <c r="B636" s="1451" t="s">
        <v>1517</v>
      </c>
      <c r="C636" s="973" t="str">
        <f t="shared" si="108"/>
        <v xml:space="preserve"> </v>
      </c>
      <c r="D636" s="1414">
        <f>D630</f>
        <v>2.2400000000000002</v>
      </c>
      <c r="E636" s="980" t="str">
        <f>VLOOKUP($B636,DG!A:D,DG!$B$2,)</f>
        <v>05.7001</v>
      </c>
      <c r="F636" s="985" t="str">
        <f>VLOOKUP($B636,DG!A:D,DG!C$2,)</f>
        <v xml:space="preserve">Kéo dây tiếp địa </v>
      </c>
      <c r="G636" s="1926" t="str">
        <f>G630</f>
        <v>kg</v>
      </c>
      <c r="H636" s="1925">
        <f>H$629*$D636</f>
        <v>0</v>
      </c>
      <c r="I636" s="1693"/>
      <c r="J636" s="1693"/>
      <c r="K636" s="1693"/>
      <c r="L636" s="1693"/>
      <c r="M636" s="1693"/>
      <c r="N636" s="1693"/>
      <c r="O636" s="1693"/>
      <c r="P636" s="1693">
        <f>D636*$P$629</f>
        <v>0</v>
      </c>
      <c r="Q636" s="994"/>
      <c r="R636" s="994"/>
      <c r="S636" s="994"/>
      <c r="T636" s="1862">
        <f t="shared" si="107"/>
        <v>0</v>
      </c>
    </row>
    <row r="637" spans="1:20" ht="22.2" hidden="1" customHeight="1">
      <c r="A637" s="1448">
        <f>COUNTIF($C$12:C637,"x")</f>
        <v>24</v>
      </c>
      <c r="B637" s="1451" t="s">
        <v>1104</v>
      </c>
      <c r="C637" s="973" t="str">
        <f t="shared" si="108"/>
        <v xml:space="preserve"> </v>
      </c>
      <c r="D637" s="1415">
        <f>D631</f>
        <v>1</v>
      </c>
      <c r="E637" s="980" t="str">
        <f>VLOOKUP($B637,DG!A:D,DG!$B$2,)</f>
        <v>05.8103</v>
      </c>
      <c r="F637" s="985" t="str">
        <f>VLOOKUP($B637,DG!A:D,DG!C$2,)</f>
        <v>Đóng cọc tiếp địa đất cấp 3</v>
      </c>
      <c r="G637" s="980" t="str">
        <f>VLOOKUP($B637,DG!A:D,DG!$D$2,)</f>
        <v>cọc</v>
      </c>
      <c r="H637" s="1693">
        <f>H$629*$D637</f>
        <v>0</v>
      </c>
      <c r="I637" s="1693"/>
      <c r="J637" s="1693"/>
      <c r="K637" s="1693"/>
      <c r="L637" s="1693"/>
      <c r="M637" s="1693"/>
      <c r="N637" s="1693"/>
      <c r="O637" s="1693"/>
      <c r="P637" s="1693">
        <f>D637*$P$629</f>
        <v>0</v>
      </c>
      <c r="Q637" s="989"/>
      <c r="R637" s="989"/>
      <c r="S637" s="989"/>
      <c r="T637" s="1862">
        <f t="shared" si="107"/>
        <v>0</v>
      </c>
    </row>
    <row r="638" spans="1:20" ht="22.2" hidden="1" customHeight="1">
      <c r="A638" s="1448">
        <f>COUNTIF($C$12:C638,"x")</f>
        <v>24</v>
      </c>
      <c r="B638" s="1455" t="s">
        <v>1902</v>
      </c>
      <c r="C638" s="60" t="str">
        <f t="shared" si="108"/>
        <v xml:space="preserve"> </v>
      </c>
      <c r="D638" s="1413">
        <f>0.008-0.008</f>
        <v>0</v>
      </c>
      <c r="E638" s="980" t="str">
        <f>VLOOKUP($B638,DG!A:D,DG!$B$2,)</f>
        <v>02.1120</v>
      </c>
      <c r="F638" s="985" t="str">
        <f>VLOOKUP($B638,DG!A:D,DG!C$2,)</f>
        <v>Bốc dỡ phụ kiện</v>
      </c>
      <c r="G638" s="980" t="str">
        <f>VLOOKUP($B638,DG!A:D,DG!$D$2,)</f>
        <v>tấn</v>
      </c>
      <c r="H638" s="1693">
        <f>H$629*$D638</f>
        <v>0</v>
      </c>
      <c r="I638" s="1693"/>
      <c r="J638" s="1693"/>
      <c r="K638" s="1693"/>
      <c r="L638" s="1693"/>
      <c r="M638" s="1693"/>
      <c r="N638" s="1693"/>
      <c r="O638" s="1693"/>
      <c r="P638" s="1693"/>
      <c r="Q638" s="989"/>
      <c r="R638" s="989"/>
      <c r="S638" s="989"/>
      <c r="T638" s="1862">
        <f t="shared" si="107"/>
        <v>0</v>
      </c>
    </row>
    <row r="639" spans="1:20" ht="22.2" hidden="1" customHeight="1">
      <c r="A639" s="1448">
        <f>COUNTIF($C$12:C639,"x")</f>
        <v>24</v>
      </c>
      <c r="B639" s="1464" t="s">
        <v>1903</v>
      </c>
      <c r="C639" s="60" t="str">
        <f>IF(OR(P639&lt;&gt;0,H639&lt;&gt;0),"x"," ")</f>
        <v xml:space="preserve"> </v>
      </c>
      <c r="D639" s="1413"/>
      <c r="E639" s="980" t="str">
        <f>VLOOKUP($B639,DG!A:C,2,)</f>
        <v>02.1351</v>
      </c>
      <c r="F639" s="985" t="str">
        <f>VLOOKUP($B639,DG!A:C,3,)</f>
        <v>V/c tiếp địa vào vị trí ( cự ly &lt;=100m)</v>
      </c>
      <c r="G639" s="980" t="str">
        <f>VLOOKUP($B639,DG!A:D,4,0)</f>
        <v>tấn</v>
      </c>
      <c r="H639" s="1693">
        <f>H$629*$D639</f>
        <v>0</v>
      </c>
      <c r="I639" s="1693"/>
      <c r="J639" s="1693"/>
      <c r="K639" s="1693"/>
      <c r="L639" s="1693"/>
      <c r="M639" s="1693"/>
      <c r="N639" s="1693"/>
      <c r="O639" s="1693"/>
      <c r="P639" s="1693"/>
      <c r="Q639" s="994"/>
      <c r="R639" s="994"/>
      <c r="S639" s="994"/>
      <c r="T639" s="1862">
        <f t="shared" si="107"/>
        <v>0</v>
      </c>
    </row>
    <row r="640" spans="1:20" ht="22.2" customHeight="1">
      <c r="A640" s="1448">
        <f>COUNTIF($C$12:C640,"x")</f>
        <v>25</v>
      </c>
      <c r="B640" s="1452" t="s">
        <v>2235</v>
      </c>
      <c r="C640" s="60" t="str">
        <f t="shared" si="108"/>
        <v>x</v>
      </c>
      <c r="D640" s="1424"/>
      <c r="E640" s="981"/>
      <c r="F640" s="1276" t="s">
        <v>2392</v>
      </c>
      <c r="G640" s="982" t="s">
        <v>2385</v>
      </c>
      <c r="H640" s="1691">
        <f>SUM(I640:O640)</f>
        <v>3</v>
      </c>
      <c r="I640" s="1692"/>
      <c r="J640" s="1692"/>
      <c r="K640" s="1692">
        <f>IFERROR(HLOOKUP(B640,pp3p1m!$1:$3,2,0),0)</f>
        <v>3</v>
      </c>
      <c r="L640" s="1692">
        <f>IFERROR(HLOOKUP(chitiet!B640,pp1p!$1:$3,3,0),0)</f>
        <v>0</v>
      </c>
      <c r="M640" s="1692"/>
      <c r="N640" s="1692"/>
      <c r="O640" s="1692"/>
      <c r="P640" s="1691">
        <f>T640</f>
        <v>3</v>
      </c>
      <c r="Q640" s="1691">
        <f>IF(P640&gt;H640,P640-H640,0)</f>
        <v>0</v>
      </c>
      <c r="R640" s="1691">
        <f>IF(H640&gt;P640,H640-P640,0)</f>
        <v>0</v>
      </c>
      <c r="S640" s="983"/>
      <c r="T640" s="1862">
        <f>IFERROR(HLOOKUP(B640,pp1p!$1:$3,3,0),0)+IFERROR(HLOOKUP(B640,pp3p1m!$1:$3,3,0),0)</f>
        <v>3</v>
      </c>
    </row>
    <row r="641" spans="1:20" ht="22.2" customHeight="1">
      <c r="A641" s="1448">
        <f>COUNTIF($C$12:C641,"x")</f>
        <v>26</v>
      </c>
      <c r="B641" s="1455" t="s">
        <v>103</v>
      </c>
      <c r="C641" s="60" t="str">
        <f t="shared" si="108"/>
        <v>x</v>
      </c>
      <c r="D641" s="1414">
        <v>2.2400000000000002</v>
      </c>
      <c r="E641" s="980"/>
      <c r="F641" s="992" t="str">
        <f>VLOOKUP($B641,DG!A:D,DG!C$2,)</f>
        <v>Cáp đồng trần M25mm2</v>
      </c>
      <c r="G641" s="980" t="str">
        <f>VLOOKUP($B641,DG!A:D,DG!$D$2,)</f>
        <v>kg</v>
      </c>
      <c r="H641" s="1693">
        <f t="shared" ref="H641:H649" si="114">$H$640*$D641</f>
        <v>6.7200000000000006</v>
      </c>
      <c r="I641" s="1693">
        <f t="shared" ref="I641:O646" si="115">I$640*$D641</f>
        <v>0</v>
      </c>
      <c r="J641" s="1693">
        <f t="shared" si="115"/>
        <v>0</v>
      </c>
      <c r="K641" s="1693">
        <f t="shared" si="115"/>
        <v>6.7200000000000006</v>
      </c>
      <c r="L641" s="1693">
        <f t="shared" si="115"/>
        <v>0</v>
      </c>
      <c r="M641" s="1693">
        <f t="shared" si="115"/>
        <v>0</v>
      </c>
      <c r="N641" s="1693">
        <f t="shared" si="115"/>
        <v>0</v>
      </c>
      <c r="O641" s="1693">
        <f t="shared" si="115"/>
        <v>0</v>
      </c>
      <c r="P641" s="1694">
        <f>$P$640*D641</f>
        <v>6.7200000000000006</v>
      </c>
      <c r="Q641" s="2679"/>
      <c r="R641" s="989"/>
      <c r="S641" s="989"/>
      <c r="T641" s="1862">
        <f t="shared" si="107"/>
        <v>0</v>
      </c>
    </row>
    <row r="642" spans="1:20" ht="22.2" customHeight="1">
      <c r="A642" s="1448">
        <f>COUNTIF($C$12:C642,"x")</f>
        <v>27</v>
      </c>
      <c r="B642" s="1455" t="s">
        <v>1508</v>
      </c>
      <c r="C642" s="60" t="str">
        <f t="shared" si="108"/>
        <v>x</v>
      </c>
      <c r="D642" s="1415">
        <v>1</v>
      </c>
      <c r="E642" s="980"/>
      <c r="F642" s="992" t="str">
        <f>VLOOKUP($B642,DG!A:D,DG!C$2,)</f>
        <v>Cọc tiếp đất Þ 16- 2,4m + kẹp cọc mạ đồng</v>
      </c>
      <c r="G642" s="980" t="str">
        <f>VLOOKUP($B642,DG!A:D,DG!$D$2,)</f>
        <v>bộ</v>
      </c>
      <c r="H642" s="1693">
        <f t="shared" si="114"/>
        <v>3</v>
      </c>
      <c r="I642" s="1693">
        <f t="shared" si="115"/>
        <v>0</v>
      </c>
      <c r="J642" s="1693">
        <f t="shared" si="115"/>
        <v>0</v>
      </c>
      <c r="K642" s="1693">
        <f t="shared" si="115"/>
        <v>3</v>
      </c>
      <c r="L642" s="1693">
        <f t="shared" si="115"/>
        <v>0</v>
      </c>
      <c r="M642" s="1693">
        <f t="shared" si="115"/>
        <v>0</v>
      </c>
      <c r="N642" s="1693">
        <f t="shared" si="115"/>
        <v>0</v>
      </c>
      <c r="O642" s="1693">
        <f t="shared" si="115"/>
        <v>0</v>
      </c>
      <c r="P642" s="1694">
        <f>$P$640*D642</f>
        <v>3</v>
      </c>
      <c r="Q642" s="2679"/>
      <c r="R642" s="989"/>
      <c r="S642" s="989"/>
      <c r="T642" s="1862">
        <f t="shared" si="107"/>
        <v>0</v>
      </c>
    </row>
    <row r="643" spans="1:20" ht="22.2" customHeight="1">
      <c r="A643" s="1448">
        <f>COUNTIF($C$12:C643,"x")</f>
        <v>28</v>
      </c>
      <c r="B643" s="1455" t="s">
        <v>531</v>
      </c>
      <c r="C643" s="60" t="str">
        <f t="shared" si="108"/>
        <v>x</v>
      </c>
      <c r="D643" s="1415">
        <v>2</v>
      </c>
      <c r="E643" s="980"/>
      <c r="F643" s="992" t="str">
        <f>VLOOKUP($B643,DG!A:D,DG!C$2,)</f>
        <v>Kẹp ép WR cỡ dây 50mm2</v>
      </c>
      <c r="G643" s="980" t="str">
        <f>VLOOKUP($B643,DG!A:D,DG!$D$2,)</f>
        <v>cái</v>
      </c>
      <c r="H643" s="1693">
        <f t="shared" si="114"/>
        <v>6</v>
      </c>
      <c r="I643" s="1693">
        <f t="shared" si="115"/>
        <v>0</v>
      </c>
      <c r="J643" s="1693">
        <f t="shared" si="115"/>
        <v>0</v>
      </c>
      <c r="K643" s="1693">
        <f t="shared" si="115"/>
        <v>6</v>
      </c>
      <c r="L643" s="1693">
        <f t="shared" si="115"/>
        <v>0</v>
      </c>
      <c r="M643" s="1693">
        <f t="shared" si="115"/>
        <v>0</v>
      </c>
      <c r="N643" s="1693">
        <f t="shared" si="115"/>
        <v>0</v>
      </c>
      <c r="O643" s="1693">
        <f t="shared" si="115"/>
        <v>0</v>
      </c>
      <c r="P643" s="1694">
        <f>$P$640*D643</f>
        <v>6</v>
      </c>
      <c r="Q643" s="2679"/>
      <c r="R643" s="989"/>
      <c r="S643" s="989"/>
      <c r="T643" s="1862">
        <f t="shared" si="107"/>
        <v>0</v>
      </c>
    </row>
    <row r="644" spans="1:20" ht="22.2" hidden="1" customHeight="1">
      <c r="A644" s="1448">
        <f>COUNTIF($C$12:C644,"x")</f>
        <v>28</v>
      </c>
      <c r="B644" s="1455" t="s">
        <v>1052</v>
      </c>
      <c r="C644" s="60" t="str">
        <f t="shared" si="108"/>
        <v xml:space="preserve"> </v>
      </c>
      <c r="D644" s="1415"/>
      <c r="E644" s="980"/>
      <c r="F644" s="992" t="str">
        <f>VLOOKUP($B644,DG!A:D,DG!C$2,)</f>
        <v>Đầu cosse ép Cu 25mm2</v>
      </c>
      <c r="G644" s="980" t="str">
        <f>VLOOKUP($B644,DG!A:D,DG!$D$2,)</f>
        <v>cái</v>
      </c>
      <c r="H644" s="1693">
        <f t="shared" si="114"/>
        <v>0</v>
      </c>
      <c r="I644" s="1693">
        <f t="shared" si="115"/>
        <v>0</v>
      </c>
      <c r="J644" s="1693">
        <f t="shared" si="115"/>
        <v>0</v>
      </c>
      <c r="K644" s="1693">
        <f t="shared" si="115"/>
        <v>0</v>
      </c>
      <c r="L644" s="1693">
        <f t="shared" si="115"/>
        <v>0</v>
      </c>
      <c r="M644" s="1693">
        <f t="shared" si="115"/>
        <v>0</v>
      </c>
      <c r="N644" s="1693">
        <f t="shared" si="115"/>
        <v>0</v>
      </c>
      <c r="O644" s="1693">
        <f t="shared" si="115"/>
        <v>0</v>
      </c>
      <c r="P644" s="1693"/>
      <c r="Q644" s="989"/>
      <c r="R644" s="989"/>
      <c r="S644" s="989"/>
      <c r="T644" s="1862">
        <f t="shared" si="107"/>
        <v>0</v>
      </c>
    </row>
    <row r="645" spans="1:20" ht="22.2" hidden="1" customHeight="1">
      <c r="A645" s="1448">
        <f>COUNTIF($C$12:C645,"x")</f>
        <v>28</v>
      </c>
      <c r="B645" s="1455" t="s">
        <v>2019</v>
      </c>
      <c r="C645" s="60" t="str">
        <f>IF(OR(P645&lt;&gt;0,H645&lt;&gt;0),"x"," ")</f>
        <v xml:space="preserve"> </v>
      </c>
      <c r="D645" s="1415"/>
      <c r="E645" s="980"/>
      <c r="F645" s="992" t="str">
        <f>VLOOKUP($B645,DG!A:D,DG!C$2,)</f>
        <v>Boulon 12x40+ 2 long đền vuông D14-50x50x3/Zn</v>
      </c>
      <c r="G645" s="980" t="str">
        <f>VLOOKUP($B645,DG!A:D,DG!$D$2,)</f>
        <v>bộ</v>
      </c>
      <c r="H645" s="1693">
        <f t="shared" si="114"/>
        <v>0</v>
      </c>
      <c r="I645" s="1693">
        <f t="shared" si="115"/>
        <v>0</v>
      </c>
      <c r="J645" s="1693">
        <f t="shared" si="115"/>
        <v>0</v>
      </c>
      <c r="K645" s="1693">
        <f t="shared" si="115"/>
        <v>0</v>
      </c>
      <c r="L645" s="1693">
        <f t="shared" si="115"/>
        <v>0</v>
      </c>
      <c r="M645" s="1693">
        <f t="shared" si="115"/>
        <v>0</v>
      </c>
      <c r="N645" s="1693">
        <f t="shared" si="115"/>
        <v>0</v>
      </c>
      <c r="O645" s="1693">
        <f t="shared" si="115"/>
        <v>0</v>
      </c>
      <c r="P645" s="1693"/>
      <c r="Q645" s="989"/>
      <c r="R645" s="989"/>
      <c r="S645" s="989"/>
      <c r="T645" s="1862">
        <f>IFERROR(HLOOKUP(B645,BangKeTru,3,0),0)</f>
        <v>0</v>
      </c>
    </row>
    <row r="646" spans="1:20" ht="22.2" customHeight="1">
      <c r="A646" s="1448">
        <f>COUNTIF($C$12:C646,"x")</f>
        <v>29</v>
      </c>
      <c r="B646" s="1455" t="s">
        <v>1062</v>
      </c>
      <c r="C646" s="60" t="str">
        <f t="shared" si="108"/>
        <v>x</v>
      </c>
      <c r="D646" s="1415">
        <v>2</v>
      </c>
      <c r="E646" s="980"/>
      <c r="F646" s="992" t="str">
        <f>VLOOKUP($B646,DG!A:D,DG!C$2,)</f>
        <v>Ốc siết cáp cỡ 25mm2</v>
      </c>
      <c r="G646" s="980" t="str">
        <f>VLOOKUP($B646,DG!A:D,DG!$D$2,)</f>
        <v>cái</v>
      </c>
      <c r="H646" s="1693">
        <f t="shared" si="114"/>
        <v>6</v>
      </c>
      <c r="I646" s="1693">
        <f t="shared" si="115"/>
        <v>0</v>
      </c>
      <c r="J646" s="1693">
        <f t="shared" si="115"/>
        <v>0</v>
      </c>
      <c r="K646" s="1693">
        <f t="shared" si="115"/>
        <v>6</v>
      </c>
      <c r="L646" s="1693">
        <f t="shared" si="115"/>
        <v>0</v>
      </c>
      <c r="M646" s="1693">
        <f t="shared" si="115"/>
        <v>0</v>
      </c>
      <c r="N646" s="1693">
        <f t="shared" si="115"/>
        <v>0</v>
      </c>
      <c r="O646" s="1693">
        <f t="shared" si="115"/>
        <v>0</v>
      </c>
      <c r="P646" s="1694">
        <f>$P$640*D646</f>
        <v>6</v>
      </c>
      <c r="Q646" s="2679"/>
      <c r="R646" s="989"/>
      <c r="S646" s="989"/>
      <c r="T646" s="1862">
        <f t="shared" si="107"/>
        <v>0</v>
      </c>
    </row>
    <row r="647" spans="1:20" ht="22.2" customHeight="1">
      <c r="A647" s="1448">
        <f>COUNTIF($C$12:C647,"x")</f>
        <v>30</v>
      </c>
      <c r="B647" s="1455" t="s">
        <v>1517</v>
      </c>
      <c r="C647" s="60" t="str">
        <f t="shared" si="108"/>
        <v>x</v>
      </c>
      <c r="D647" s="1414">
        <f>D641</f>
        <v>2.2400000000000002</v>
      </c>
      <c r="E647" s="980" t="str">
        <f>VLOOKUP($B647,DG!A:D,DG!$B$2,)</f>
        <v>05.7001</v>
      </c>
      <c r="F647" s="985" t="str">
        <f>VLOOKUP($B647,DG!A:D,DG!C$2,)</f>
        <v xml:space="preserve">Kéo dây tiếp địa </v>
      </c>
      <c r="G647" s="980" t="str">
        <f>VLOOKUP($B647,DG!A:D,DG!$D$2,)</f>
        <v>mét</v>
      </c>
      <c r="H647" s="1693">
        <f t="shared" si="114"/>
        <v>6.7200000000000006</v>
      </c>
      <c r="I647" s="1693"/>
      <c r="J647" s="1693"/>
      <c r="K647" s="1693"/>
      <c r="L647" s="1693"/>
      <c r="M647" s="1693"/>
      <c r="N647" s="1693"/>
      <c r="O647" s="1693"/>
      <c r="P647" s="1694">
        <f>$P$640*D647</f>
        <v>6.7200000000000006</v>
      </c>
      <c r="Q647" s="2679"/>
      <c r="R647" s="994"/>
      <c r="S647" s="994"/>
      <c r="T647" s="1862">
        <f t="shared" si="107"/>
        <v>0</v>
      </c>
    </row>
    <row r="648" spans="1:20" ht="22.2" customHeight="1">
      <c r="A648" s="1448">
        <f>COUNTIF($C$12:C648,"x")</f>
        <v>31</v>
      </c>
      <c r="B648" s="1455" t="s">
        <v>1104</v>
      </c>
      <c r="C648" s="60" t="str">
        <f t="shared" si="108"/>
        <v>x</v>
      </c>
      <c r="D648" s="1415">
        <f>D642</f>
        <v>1</v>
      </c>
      <c r="E648" s="980" t="str">
        <f>VLOOKUP($B648,DG!A:D,DG!$B$2,)</f>
        <v>05.8103</v>
      </c>
      <c r="F648" s="985" t="str">
        <f>VLOOKUP($B648,DG!A:D,DG!C$2,)</f>
        <v>Đóng cọc tiếp địa đất cấp 3</v>
      </c>
      <c r="G648" s="980" t="str">
        <f>VLOOKUP($B648,DG!A:D,DG!$D$2,)</f>
        <v>cọc</v>
      </c>
      <c r="H648" s="1693">
        <f t="shared" si="114"/>
        <v>3</v>
      </c>
      <c r="I648" s="1693"/>
      <c r="J648" s="1693"/>
      <c r="K648" s="1693"/>
      <c r="L648" s="1693"/>
      <c r="M648" s="1693"/>
      <c r="N648" s="1693"/>
      <c r="O648" s="1693"/>
      <c r="P648" s="1694">
        <f>$P$640*D648</f>
        <v>3</v>
      </c>
      <c r="Q648" s="2679"/>
      <c r="R648" s="989"/>
      <c r="S648" s="989"/>
      <c r="T648" s="1862">
        <f t="shared" si="107"/>
        <v>0</v>
      </c>
    </row>
    <row r="649" spans="1:20" ht="22.2" hidden="1" customHeight="1">
      <c r="A649" s="1448">
        <f>COUNTIF($C$12:C649,"x")</f>
        <v>31</v>
      </c>
      <c r="B649" s="1455" t="s">
        <v>794</v>
      </c>
      <c r="C649" s="60" t="str">
        <f t="shared" si="108"/>
        <v xml:space="preserve"> </v>
      </c>
      <c r="D649" s="1425"/>
      <c r="E649" s="980" t="str">
        <f>VLOOKUP($B649,DG!A:D,DG!$B$2,)</f>
        <v>03.3123</v>
      </c>
      <c r="F649" s="985" t="str">
        <f>VLOOKUP($B649,DG!A:D,DG!C$2,)</f>
        <v>Đào rãnh tiếp địa đất cấp 3</v>
      </c>
      <c r="G649" s="980" t="str">
        <f>VLOOKUP($B649,DG!A:D,DG!$D$2,)</f>
        <v>m3</v>
      </c>
      <c r="H649" s="1693">
        <f t="shared" si="114"/>
        <v>0</v>
      </c>
      <c r="I649" s="1693"/>
      <c r="J649" s="1693"/>
      <c r="K649" s="1693"/>
      <c r="L649" s="1693"/>
      <c r="M649" s="1693"/>
      <c r="N649" s="1693"/>
      <c r="O649" s="1693"/>
      <c r="P649" s="1694">
        <f>$P$640*D649</f>
        <v>0</v>
      </c>
      <c r="Q649" s="2679"/>
      <c r="R649" s="989"/>
      <c r="S649" s="989"/>
      <c r="T649" s="1862">
        <f t="shared" si="107"/>
        <v>0</v>
      </c>
    </row>
    <row r="650" spans="1:20" ht="22.2" hidden="1" customHeight="1">
      <c r="A650" s="1448">
        <f>COUNTIF($C$12:C650,"x")</f>
        <v>31</v>
      </c>
      <c r="B650" s="1455" t="s">
        <v>798</v>
      </c>
      <c r="C650" s="60" t="str">
        <f t="shared" si="108"/>
        <v xml:space="preserve"> </v>
      </c>
      <c r="D650" s="1413"/>
      <c r="E650" s="980" t="str">
        <f>VLOOKUP($B650,DG!A:D,DG!$B$2,)</f>
        <v>03.4123</v>
      </c>
      <c r="F650" s="985" t="str">
        <f>VLOOKUP($B650,DG!A:D,DG!C$2,)</f>
        <v>Đắp đất rãnh tiếp độ chặt k=0,85</v>
      </c>
      <c r="G650" s="980" t="str">
        <f>VLOOKUP($B650,DG!A:D,DG!$D$2,)</f>
        <v>m3</v>
      </c>
      <c r="H650" s="1693">
        <f>$H$640*$D650</f>
        <v>0</v>
      </c>
      <c r="I650" s="1693"/>
      <c r="J650" s="1693"/>
      <c r="K650" s="1693"/>
      <c r="L650" s="1693"/>
      <c r="M650" s="1693"/>
      <c r="N650" s="1693"/>
      <c r="O650" s="1693"/>
      <c r="P650" s="1694">
        <f>$P$640*D650</f>
        <v>0</v>
      </c>
      <c r="Q650" s="989"/>
      <c r="R650" s="989"/>
      <c r="S650" s="989"/>
      <c r="T650" s="1862">
        <f t="shared" si="107"/>
        <v>0</v>
      </c>
    </row>
    <row r="651" spans="1:20" ht="22.2" hidden="1" customHeight="1">
      <c r="A651" s="1448">
        <f>COUNTIF($C$12:C651,"x")</f>
        <v>31</v>
      </c>
      <c r="B651" s="1464" t="s">
        <v>1903</v>
      </c>
      <c r="C651" s="60" t="str">
        <f t="shared" si="108"/>
        <v xml:space="preserve"> </v>
      </c>
      <c r="D651" s="1413"/>
      <c r="E651" s="980" t="str">
        <f>VLOOKUP($B651,DG!A:C,2,)</f>
        <v>02.1351</v>
      </c>
      <c r="F651" s="985" t="str">
        <f>VLOOKUP($B651,DG!A:C,3,)</f>
        <v>V/c tiếp địa vào vị trí ( cự ly &lt;=100m)</v>
      </c>
      <c r="G651" s="980" t="str">
        <f>VLOOKUP($B651,DG!A:D,4,0)</f>
        <v>tấn</v>
      </c>
      <c r="H651" s="1693">
        <f>$H$640*$D651</f>
        <v>0</v>
      </c>
      <c r="I651" s="1693"/>
      <c r="J651" s="1693"/>
      <c r="K651" s="1693"/>
      <c r="L651" s="1693"/>
      <c r="M651" s="1693"/>
      <c r="N651" s="1693"/>
      <c r="O651" s="1693"/>
      <c r="P651" s="1693"/>
      <c r="Q651" s="994"/>
      <c r="R651" s="994"/>
      <c r="S651" s="994"/>
      <c r="T651" s="1862">
        <f t="shared" si="107"/>
        <v>0</v>
      </c>
    </row>
    <row r="652" spans="1:20" ht="22.2" hidden="1" customHeight="1">
      <c r="A652" s="1448">
        <f>COUNTIF($C$12:C652,"x")</f>
        <v>31</v>
      </c>
      <c r="B652" s="1452" t="s">
        <v>4816</v>
      </c>
      <c r="C652" s="60" t="str">
        <f t="shared" ref="C652:C662" si="116">IF(OR(P652&lt;&gt;0,H652&lt;&gt;0),"x"," ")</f>
        <v xml:space="preserve"> </v>
      </c>
      <c r="D652" s="1424"/>
      <c r="E652" s="981"/>
      <c r="F652" s="1276" t="s">
        <v>4814</v>
      </c>
      <c r="G652" s="982" t="s">
        <v>2385</v>
      </c>
      <c r="H652" s="1691">
        <f>SUM(I652:O652)</f>
        <v>0</v>
      </c>
      <c r="I652" s="1692"/>
      <c r="J652" s="1692"/>
      <c r="K652" s="1692">
        <f>IFERROR(HLOOKUP(B652,pp3p1m!$1:$3,2,0),0)</f>
        <v>0</v>
      </c>
      <c r="L652" s="1692">
        <f>IFERROR(HLOOKUP(chitiet!B652,pp1p!$1:$3,3,0),0)</f>
        <v>0</v>
      </c>
      <c r="M652" s="1692"/>
      <c r="N652" s="1692"/>
      <c r="O652" s="1692"/>
      <c r="P652" s="2674">
        <f>T652</f>
        <v>0</v>
      </c>
      <c r="Q652" s="983">
        <f>IF(P652&gt;H652,P652-H652,0)</f>
        <v>0</v>
      </c>
      <c r="R652" s="983">
        <f>IF(H652&gt;P652,H652-P652,0)</f>
        <v>0</v>
      </c>
      <c r="S652" s="983"/>
      <c r="T652" s="1862">
        <f>IFERROR(HLOOKUP(B652,pp1p!$1:$3,3,0),0)+IFERROR(HLOOKUP(B652,pp3p1m!$1:$3,3,0),0)</f>
        <v>0</v>
      </c>
    </row>
    <row r="653" spans="1:20" ht="22.2" hidden="1" customHeight="1">
      <c r="A653" s="1448">
        <f>COUNTIF($C$12:C653,"x")</f>
        <v>31</v>
      </c>
      <c r="B653" s="1455" t="s">
        <v>103</v>
      </c>
      <c r="C653" s="60" t="str">
        <f t="shared" si="116"/>
        <v xml:space="preserve"> </v>
      </c>
      <c r="D653" s="1414">
        <v>0.45</v>
      </c>
      <c r="E653" s="980"/>
      <c r="F653" s="992" t="str">
        <f>VLOOKUP($B653,DG!A:D,DG!C$2,)</f>
        <v>Cáp đồng trần M25mm2</v>
      </c>
      <c r="G653" s="980" t="str">
        <f>VLOOKUP($B653,DG!A:D,DG!$D$2,)</f>
        <v>kg</v>
      </c>
      <c r="H653" s="1693">
        <f>H$652*$D653</f>
        <v>0</v>
      </c>
      <c r="I653" s="1693">
        <f t="shared" ref="I653:R653" si="117">I$652*$D653</f>
        <v>0</v>
      </c>
      <c r="J653" s="1693">
        <f t="shared" si="117"/>
        <v>0</v>
      </c>
      <c r="K653" s="1693">
        <f t="shared" si="117"/>
        <v>0</v>
      </c>
      <c r="L653" s="1693">
        <f t="shared" si="117"/>
        <v>0</v>
      </c>
      <c r="M653" s="1693">
        <f t="shared" si="117"/>
        <v>0</v>
      </c>
      <c r="N653" s="1693">
        <f t="shared" si="117"/>
        <v>0</v>
      </c>
      <c r="O653" s="1693">
        <f t="shared" si="117"/>
        <v>0</v>
      </c>
      <c r="P653" s="1693">
        <f t="shared" si="117"/>
        <v>0</v>
      </c>
      <c r="Q653" s="1693">
        <f t="shared" si="117"/>
        <v>0</v>
      </c>
      <c r="R653" s="1693">
        <f t="shared" si="117"/>
        <v>0</v>
      </c>
      <c r="S653" s="989"/>
      <c r="T653" s="1862">
        <f t="shared" ref="T653:T662" si="118">IFERROR(HLOOKUP(B653,BangKeTru,3,0),0)</f>
        <v>0</v>
      </c>
    </row>
    <row r="654" spans="1:20" ht="22.2" hidden="1" customHeight="1">
      <c r="A654" s="1448">
        <f>COUNTIF($C$12:C654,"x")</f>
        <v>31</v>
      </c>
      <c r="B654" s="1455" t="s">
        <v>1508</v>
      </c>
      <c r="C654" s="60" t="str">
        <f t="shared" si="116"/>
        <v xml:space="preserve"> </v>
      </c>
      <c r="D654" s="1415">
        <v>0</v>
      </c>
      <c r="E654" s="980"/>
      <c r="F654" s="992" t="str">
        <f>VLOOKUP($B654,DG!A:D,DG!C$2,)</f>
        <v>Cọc tiếp đất Þ 16- 2,4m + kẹp cọc mạ đồng</v>
      </c>
      <c r="G654" s="980" t="str">
        <f>VLOOKUP($B654,DG!A:D,DG!$D$2,)</f>
        <v>bộ</v>
      </c>
      <c r="H654" s="1693">
        <f t="shared" ref="H654:R662" si="119">H$652*$D654</f>
        <v>0</v>
      </c>
      <c r="I654" s="1693">
        <f t="shared" si="119"/>
        <v>0</v>
      </c>
      <c r="J654" s="1693">
        <f t="shared" si="119"/>
        <v>0</v>
      </c>
      <c r="K654" s="1693">
        <f t="shared" si="119"/>
        <v>0</v>
      </c>
      <c r="L654" s="1693">
        <f t="shared" si="119"/>
        <v>0</v>
      </c>
      <c r="M654" s="1693">
        <f t="shared" si="119"/>
        <v>0</v>
      </c>
      <c r="N654" s="1693">
        <f t="shared" si="119"/>
        <v>0</v>
      </c>
      <c r="O654" s="1693">
        <f t="shared" si="119"/>
        <v>0</v>
      </c>
      <c r="P654" s="1693">
        <f t="shared" si="119"/>
        <v>0</v>
      </c>
      <c r="Q654" s="1693">
        <f t="shared" si="119"/>
        <v>0</v>
      </c>
      <c r="R654" s="1693">
        <f t="shared" si="119"/>
        <v>0</v>
      </c>
      <c r="S654" s="989"/>
      <c r="T654" s="1862">
        <f t="shared" si="118"/>
        <v>0</v>
      </c>
    </row>
    <row r="655" spans="1:20" ht="22.2" hidden="1" customHeight="1">
      <c r="A655" s="1448">
        <f>COUNTIF($C$12:C655,"x")</f>
        <v>31</v>
      </c>
      <c r="B655" s="1455" t="s">
        <v>4815</v>
      </c>
      <c r="C655" s="60" t="str">
        <f t="shared" si="116"/>
        <v xml:space="preserve"> </v>
      </c>
      <c r="D655" s="1415">
        <v>2</v>
      </c>
      <c r="E655" s="980"/>
      <c r="F655" s="992" t="str">
        <f>VLOOKUP($B655,DG!A:D,DG!C$2,)</f>
        <v>Kẹp ép WR cỡ dây 70mm2</v>
      </c>
      <c r="G655" s="980" t="str">
        <f>VLOOKUP($B655,DG!A:D,DG!$D$2,)</f>
        <v>cái</v>
      </c>
      <c r="H655" s="1693">
        <f t="shared" si="119"/>
        <v>0</v>
      </c>
      <c r="I655" s="1693">
        <f t="shared" si="119"/>
        <v>0</v>
      </c>
      <c r="J655" s="1693">
        <f t="shared" si="119"/>
        <v>0</v>
      </c>
      <c r="K655" s="1693">
        <f t="shared" si="119"/>
        <v>0</v>
      </c>
      <c r="L655" s="1693">
        <f t="shared" si="119"/>
        <v>0</v>
      </c>
      <c r="M655" s="1693">
        <f t="shared" si="119"/>
        <v>0</v>
      </c>
      <c r="N655" s="1693">
        <f t="shared" si="119"/>
        <v>0</v>
      </c>
      <c r="O655" s="1693">
        <f t="shared" si="119"/>
        <v>0</v>
      </c>
      <c r="P655" s="1693">
        <f t="shared" si="119"/>
        <v>0</v>
      </c>
      <c r="Q655" s="1693">
        <f t="shared" si="119"/>
        <v>0</v>
      </c>
      <c r="R655" s="1693">
        <f t="shared" si="119"/>
        <v>0</v>
      </c>
      <c r="S655" s="989"/>
      <c r="T655" s="1862">
        <f t="shared" si="118"/>
        <v>0</v>
      </c>
    </row>
    <row r="656" spans="1:20" ht="22.2" hidden="1" customHeight="1">
      <c r="A656" s="1448">
        <f>COUNTIF($C$12:C656,"x")</f>
        <v>31</v>
      </c>
      <c r="B656" s="1455" t="s">
        <v>1052</v>
      </c>
      <c r="C656" s="60" t="str">
        <f t="shared" si="116"/>
        <v xml:space="preserve"> </v>
      </c>
      <c r="D656" s="1415"/>
      <c r="E656" s="980"/>
      <c r="F656" s="992" t="str">
        <f>VLOOKUP($B656,DG!A:D,DG!C$2,)</f>
        <v>Đầu cosse ép Cu 25mm2</v>
      </c>
      <c r="G656" s="980" t="str">
        <f>VLOOKUP($B656,DG!A:D,DG!$D$2,)</f>
        <v>cái</v>
      </c>
      <c r="H656" s="1693">
        <f t="shared" si="119"/>
        <v>0</v>
      </c>
      <c r="I656" s="1693">
        <f t="shared" si="119"/>
        <v>0</v>
      </c>
      <c r="J656" s="1693">
        <f t="shared" si="119"/>
        <v>0</v>
      </c>
      <c r="K656" s="1693">
        <f t="shared" si="119"/>
        <v>0</v>
      </c>
      <c r="L656" s="1693">
        <f t="shared" si="119"/>
        <v>0</v>
      </c>
      <c r="M656" s="1693">
        <f t="shared" si="119"/>
        <v>0</v>
      </c>
      <c r="N656" s="1693">
        <f t="shared" si="119"/>
        <v>0</v>
      </c>
      <c r="O656" s="1693">
        <f t="shared" si="119"/>
        <v>0</v>
      </c>
      <c r="P656" s="1693">
        <f t="shared" si="119"/>
        <v>0</v>
      </c>
      <c r="Q656" s="1693">
        <f t="shared" si="119"/>
        <v>0</v>
      </c>
      <c r="R656" s="1693">
        <f t="shared" si="119"/>
        <v>0</v>
      </c>
      <c r="S656" s="989"/>
      <c r="T656" s="1862">
        <f t="shared" si="118"/>
        <v>0</v>
      </c>
    </row>
    <row r="657" spans="1:20" ht="22.2" hidden="1" customHeight="1">
      <c r="A657" s="1448">
        <f>COUNTIF($C$12:C657,"x")</f>
        <v>31</v>
      </c>
      <c r="B657" s="1455" t="s">
        <v>2019</v>
      </c>
      <c r="C657" s="60" t="str">
        <f t="shared" si="116"/>
        <v xml:space="preserve"> </v>
      </c>
      <c r="D657" s="1415"/>
      <c r="E657" s="980"/>
      <c r="F657" s="992" t="str">
        <f>VLOOKUP($B657,DG!A:D,DG!C$2,)</f>
        <v>Boulon 12x40+ 2 long đền vuông D14-50x50x3/Zn</v>
      </c>
      <c r="G657" s="980" t="str">
        <f>VLOOKUP($B657,DG!A:D,DG!$D$2,)</f>
        <v>bộ</v>
      </c>
      <c r="H657" s="1693">
        <f t="shared" si="119"/>
        <v>0</v>
      </c>
      <c r="I657" s="1693">
        <f t="shared" si="119"/>
        <v>0</v>
      </c>
      <c r="J657" s="1693">
        <f t="shared" si="119"/>
        <v>0</v>
      </c>
      <c r="K657" s="1693">
        <f t="shared" si="119"/>
        <v>0</v>
      </c>
      <c r="L657" s="1693">
        <f t="shared" si="119"/>
        <v>0</v>
      </c>
      <c r="M657" s="1693">
        <f t="shared" si="119"/>
        <v>0</v>
      </c>
      <c r="N657" s="1693">
        <f t="shared" si="119"/>
        <v>0</v>
      </c>
      <c r="O657" s="1693">
        <f t="shared" si="119"/>
        <v>0</v>
      </c>
      <c r="P657" s="1693">
        <f t="shared" si="119"/>
        <v>0</v>
      </c>
      <c r="Q657" s="1693">
        <f t="shared" si="119"/>
        <v>0</v>
      </c>
      <c r="R657" s="1693">
        <f t="shared" si="119"/>
        <v>0</v>
      </c>
      <c r="S657" s="989"/>
      <c r="T657" s="1862">
        <f t="shared" si="118"/>
        <v>0</v>
      </c>
    </row>
    <row r="658" spans="1:20" ht="22.2" hidden="1" customHeight="1">
      <c r="A658" s="1448">
        <f>COUNTIF($C$12:C658,"x")</f>
        <v>31</v>
      </c>
      <c r="B658" s="1455" t="s">
        <v>1517</v>
      </c>
      <c r="C658" s="60" t="str">
        <f t="shared" si="116"/>
        <v xml:space="preserve"> </v>
      </c>
      <c r="D658" s="1414">
        <f>D653</f>
        <v>0.45</v>
      </c>
      <c r="E658" s="980" t="str">
        <f>VLOOKUP($B658,DG!A:D,DG!$B$2,)</f>
        <v>05.7001</v>
      </c>
      <c r="F658" s="985" t="str">
        <f>VLOOKUP($B658,DG!A:D,DG!C$2,)</f>
        <v xml:space="preserve">Kéo dây tiếp địa </v>
      </c>
      <c r="G658" s="980" t="str">
        <f>VLOOKUP($B658,DG!A:D,DG!$D$2,)</f>
        <v>mét</v>
      </c>
      <c r="H658" s="1693">
        <f t="shared" si="119"/>
        <v>0</v>
      </c>
      <c r="I658" s="1693">
        <f t="shared" si="119"/>
        <v>0</v>
      </c>
      <c r="J658" s="1693">
        <f t="shared" si="119"/>
        <v>0</v>
      </c>
      <c r="K658" s="1693">
        <f t="shared" si="119"/>
        <v>0</v>
      </c>
      <c r="L658" s="1693">
        <f t="shared" si="119"/>
        <v>0</v>
      </c>
      <c r="M658" s="1693">
        <f t="shared" si="119"/>
        <v>0</v>
      </c>
      <c r="N658" s="1693">
        <f t="shared" si="119"/>
        <v>0</v>
      </c>
      <c r="O658" s="1693">
        <f t="shared" si="119"/>
        <v>0</v>
      </c>
      <c r="P658" s="1693">
        <f t="shared" si="119"/>
        <v>0</v>
      </c>
      <c r="Q658" s="1693">
        <f t="shared" si="119"/>
        <v>0</v>
      </c>
      <c r="R658" s="1693">
        <f t="shared" si="119"/>
        <v>0</v>
      </c>
      <c r="S658" s="994"/>
      <c r="T658" s="1862">
        <f t="shared" si="118"/>
        <v>0</v>
      </c>
    </row>
    <row r="659" spans="1:20" ht="22.2" hidden="1" customHeight="1">
      <c r="A659" s="1448">
        <f>COUNTIF($C$12:C659,"x")</f>
        <v>31</v>
      </c>
      <c r="B659" s="1455" t="s">
        <v>1104</v>
      </c>
      <c r="C659" s="60" t="str">
        <f t="shared" si="116"/>
        <v xml:space="preserve"> </v>
      </c>
      <c r="D659" s="1415">
        <f>D654</f>
        <v>0</v>
      </c>
      <c r="E659" s="980" t="str">
        <f>VLOOKUP($B659,DG!A:D,DG!$B$2,)</f>
        <v>05.8103</v>
      </c>
      <c r="F659" s="985" t="str">
        <f>VLOOKUP($B659,DG!A:D,DG!C$2,)</f>
        <v>Đóng cọc tiếp địa đất cấp 3</v>
      </c>
      <c r="G659" s="980" t="str">
        <f>VLOOKUP($B659,DG!A:D,DG!$D$2,)</f>
        <v>cọc</v>
      </c>
      <c r="H659" s="1693">
        <f t="shared" si="119"/>
        <v>0</v>
      </c>
      <c r="I659" s="1693">
        <f t="shared" si="119"/>
        <v>0</v>
      </c>
      <c r="J659" s="1693">
        <f t="shared" si="119"/>
        <v>0</v>
      </c>
      <c r="K659" s="1693">
        <f t="shared" si="119"/>
        <v>0</v>
      </c>
      <c r="L659" s="1693">
        <f t="shared" si="119"/>
        <v>0</v>
      </c>
      <c r="M659" s="1693">
        <f t="shared" si="119"/>
        <v>0</v>
      </c>
      <c r="N659" s="1693">
        <f t="shared" si="119"/>
        <v>0</v>
      </c>
      <c r="O659" s="1693">
        <f t="shared" si="119"/>
        <v>0</v>
      </c>
      <c r="P659" s="1693">
        <f t="shared" si="119"/>
        <v>0</v>
      </c>
      <c r="Q659" s="1693">
        <f t="shared" si="119"/>
        <v>0</v>
      </c>
      <c r="R659" s="1693">
        <f t="shared" si="119"/>
        <v>0</v>
      </c>
      <c r="S659" s="989"/>
      <c r="T659" s="1862">
        <f t="shared" si="118"/>
        <v>0</v>
      </c>
    </row>
    <row r="660" spans="1:20" ht="22.2" hidden="1" customHeight="1">
      <c r="A660" s="1448">
        <f>COUNTIF($C$12:C660,"x")</f>
        <v>31</v>
      </c>
      <c r="B660" s="1455" t="s">
        <v>794</v>
      </c>
      <c r="C660" s="60" t="str">
        <f t="shared" si="116"/>
        <v xml:space="preserve"> </v>
      </c>
      <c r="D660" s="1425">
        <v>0.3</v>
      </c>
      <c r="E660" s="980" t="str">
        <f>VLOOKUP($B660,DG!A:D,DG!$B$2,)</f>
        <v>03.3123</v>
      </c>
      <c r="F660" s="985" t="str">
        <f>VLOOKUP($B660,DG!A:D,DG!C$2,)</f>
        <v>Đào rãnh tiếp địa đất cấp 3</v>
      </c>
      <c r="G660" s="980" t="str">
        <f>VLOOKUP($B660,DG!A:D,DG!$D$2,)</f>
        <v>m3</v>
      </c>
      <c r="H660" s="1693">
        <f t="shared" si="119"/>
        <v>0</v>
      </c>
      <c r="I660" s="1693">
        <f t="shared" si="119"/>
        <v>0</v>
      </c>
      <c r="J660" s="1693">
        <f t="shared" si="119"/>
        <v>0</v>
      </c>
      <c r="K660" s="1693">
        <f t="shared" si="119"/>
        <v>0</v>
      </c>
      <c r="L660" s="1693">
        <f t="shared" si="119"/>
        <v>0</v>
      </c>
      <c r="M660" s="1693">
        <f t="shared" si="119"/>
        <v>0</v>
      </c>
      <c r="N660" s="1693">
        <f t="shared" si="119"/>
        <v>0</v>
      </c>
      <c r="O660" s="1693">
        <f t="shared" si="119"/>
        <v>0</v>
      </c>
      <c r="P660" s="1693">
        <f t="shared" si="119"/>
        <v>0</v>
      </c>
      <c r="Q660" s="1693">
        <f t="shared" si="119"/>
        <v>0</v>
      </c>
      <c r="R660" s="1693">
        <f t="shared" si="119"/>
        <v>0</v>
      </c>
      <c r="S660" s="989"/>
      <c r="T660" s="1862">
        <f t="shared" si="118"/>
        <v>0</v>
      </c>
    </row>
    <row r="661" spans="1:20" ht="22.2" hidden="1" customHeight="1">
      <c r="A661" s="1448">
        <f>COUNTIF($C$12:C661,"x")</f>
        <v>31</v>
      </c>
      <c r="B661" s="1455" t="s">
        <v>1902</v>
      </c>
      <c r="C661" s="60" t="str">
        <f t="shared" si="116"/>
        <v xml:space="preserve"> </v>
      </c>
      <c r="D661" s="1413"/>
      <c r="E661" s="980" t="str">
        <f>VLOOKUP($B661,DG!A:D,DG!$B$2,)</f>
        <v>02.1120</v>
      </c>
      <c r="F661" s="985" t="str">
        <f>VLOOKUP($B661,DG!A:D,DG!C$2,)</f>
        <v>Bốc dỡ phụ kiện</v>
      </c>
      <c r="G661" s="980" t="str">
        <f>VLOOKUP($B661,DG!A:D,DG!$D$2,)</f>
        <v>tấn</v>
      </c>
      <c r="H661" s="1693">
        <f t="shared" si="119"/>
        <v>0</v>
      </c>
      <c r="I661" s="1693">
        <f t="shared" si="119"/>
        <v>0</v>
      </c>
      <c r="J661" s="1693">
        <f t="shared" si="119"/>
        <v>0</v>
      </c>
      <c r="K661" s="1693">
        <f t="shared" si="119"/>
        <v>0</v>
      </c>
      <c r="L661" s="1693">
        <f t="shared" si="119"/>
        <v>0</v>
      </c>
      <c r="M661" s="1693">
        <f t="shared" si="119"/>
        <v>0</v>
      </c>
      <c r="N661" s="1693">
        <f t="shared" si="119"/>
        <v>0</v>
      </c>
      <c r="O661" s="1693">
        <f t="shared" si="119"/>
        <v>0</v>
      </c>
      <c r="P661" s="1693">
        <f t="shared" si="119"/>
        <v>0</v>
      </c>
      <c r="Q661" s="1693">
        <f t="shared" si="119"/>
        <v>0</v>
      </c>
      <c r="R661" s="1693">
        <f t="shared" si="119"/>
        <v>0</v>
      </c>
      <c r="S661" s="989"/>
      <c r="T661" s="1862">
        <f t="shared" si="118"/>
        <v>0</v>
      </c>
    </row>
    <row r="662" spans="1:20" ht="22.2" hidden="1" customHeight="1">
      <c r="A662" s="1448">
        <f>COUNTIF($C$12:C662,"x")</f>
        <v>31</v>
      </c>
      <c r="B662" s="1464" t="s">
        <v>1903</v>
      </c>
      <c r="C662" s="60" t="str">
        <f t="shared" si="116"/>
        <v xml:space="preserve"> </v>
      </c>
      <c r="D662" s="1413"/>
      <c r="E662" s="980" t="str">
        <f>VLOOKUP($B662,DG!A:C,2,)</f>
        <v>02.1351</v>
      </c>
      <c r="F662" s="985" t="str">
        <f>VLOOKUP($B662,DG!A:C,3,)</f>
        <v>V/c tiếp địa vào vị trí ( cự ly &lt;=100m)</v>
      </c>
      <c r="G662" s="980" t="str">
        <f>VLOOKUP($B662,DG!A:D,4,0)</f>
        <v>tấn</v>
      </c>
      <c r="H662" s="1693">
        <f t="shared" si="119"/>
        <v>0</v>
      </c>
      <c r="I662" s="1693">
        <f t="shared" si="119"/>
        <v>0</v>
      </c>
      <c r="J662" s="1693">
        <f t="shared" si="119"/>
        <v>0</v>
      </c>
      <c r="K662" s="1693">
        <f t="shared" si="119"/>
        <v>0</v>
      </c>
      <c r="L662" s="1693">
        <f t="shared" si="119"/>
        <v>0</v>
      </c>
      <c r="M662" s="1693">
        <f t="shared" si="119"/>
        <v>0</v>
      </c>
      <c r="N662" s="1693">
        <f t="shared" si="119"/>
        <v>0</v>
      </c>
      <c r="O662" s="1693">
        <f t="shared" si="119"/>
        <v>0</v>
      </c>
      <c r="P662" s="1693">
        <f t="shared" si="119"/>
        <v>0</v>
      </c>
      <c r="Q662" s="1693">
        <f t="shared" si="119"/>
        <v>0</v>
      </c>
      <c r="R662" s="1693">
        <f t="shared" si="119"/>
        <v>0</v>
      </c>
      <c r="S662" s="994"/>
      <c r="T662" s="1862">
        <f t="shared" si="118"/>
        <v>0</v>
      </c>
    </row>
    <row r="663" spans="1:20" ht="22.2" customHeight="1">
      <c r="A663" s="1448">
        <f>COUNTIF($C$12:C663,"x")</f>
        <v>32</v>
      </c>
      <c r="B663" s="1452" t="s">
        <v>6574</v>
      </c>
      <c r="C663" s="59" t="str">
        <f t="shared" si="108"/>
        <v>x</v>
      </c>
      <c r="D663" s="1424"/>
      <c r="E663" s="981"/>
      <c r="F663" s="1276" t="str">
        <f>VLOOKUP($B663,DG!A:D,DG!C$2,)</f>
        <v>Tiếp địa trụ Recloser, LBS</v>
      </c>
      <c r="G663" s="982" t="s">
        <v>2385</v>
      </c>
      <c r="H663" s="1691">
        <f>SUM(I663:O663)</f>
        <v>1</v>
      </c>
      <c r="I663" s="1692"/>
      <c r="J663" s="1692"/>
      <c r="K663" s="1692">
        <f>IFERROR(HLOOKUP(B663,pp3p1m!$1:$3,2,0),0)</f>
        <v>1</v>
      </c>
      <c r="L663" s="1692">
        <f>IFERROR(HLOOKUP(chitiet!B663,pp1p!$1:$3,3,0),0)</f>
        <v>0</v>
      </c>
      <c r="M663" s="1692"/>
      <c r="N663" s="1692"/>
      <c r="O663" s="1692"/>
      <c r="P663" s="1691">
        <f>T663</f>
        <v>1</v>
      </c>
      <c r="Q663" s="983">
        <f>IF(P663&gt;H663,P663-H663,0)</f>
        <v>0</v>
      </c>
      <c r="R663" s="983">
        <f>IF(H663&gt;P663,H663-P663,0)</f>
        <v>0</v>
      </c>
      <c r="S663" s="983"/>
      <c r="T663" s="1862">
        <f>IFERROR(HLOOKUP(B663,pp1p!$1:$3,3,0),0)+IFERROR(HLOOKUP(B663,pp3p1m!$1:$3,3,0),0)</f>
        <v>1</v>
      </c>
    </row>
    <row r="664" spans="1:20" ht="22.2" customHeight="1">
      <c r="A664" s="1448">
        <f>COUNTIF($C$12:C664,"x")</f>
        <v>33</v>
      </c>
      <c r="B664" s="1455" t="s">
        <v>103</v>
      </c>
      <c r="C664" s="60" t="str">
        <f t="shared" si="108"/>
        <v>x</v>
      </c>
      <c r="D664" s="1414">
        <v>11.872</v>
      </c>
      <c r="E664" s="980"/>
      <c r="F664" s="992" t="str">
        <f>VLOOKUP($B664,DG!A:D,DG!C$2,)&amp;" : 25m"</f>
        <v>Cáp đồng trần M25mm2 : 25m</v>
      </c>
      <c r="G664" s="980" t="str">
        <f>VLOOKUP($B664,DG!A:D,DG!$D$2,)</f>
        <v>kg</v>
      </c>
      <c r="H664" s="1693">
        <f>H$663*$D664</f>
        <v>11.872</v>
      </c>
      <c r="I664" s="1693">
        <f t="shared" ref="I664:R674" si="120">I$663*$D664</f>
        <v>0</v>
      </c>
      <c r="J664" s="1693">
        <f t="shared" si="120"/>
        <v>0</v>
      </c>
      <c r="K664" s="1693">
        <f t="shared" si="120"/>
        <v>11.872</v>
      </c>
      <c r="L664" s="1693">
        <f t="shared" si="120"/>
        <v>0</v>
      </c>
      <c r="M664" s="1693">
        <f t="shared" si="120"/>
        <v>0</v>
      </c>
      <c r="N664" s="1693">
        <f t="shared" si="120"/>
        <v>0</v>
      </c>
      <c r="O664" s="1693">
        <f t="shared" si="120"/>
        <v>0</v>
      </c>
      <c r="P664" s="1693">
        <f t="shared" si="120"/>
        <v>11.872</v>
      </c>
      <c r="Q664" s="1693">
        <f t="shared" si="120"/>
        <v>0</v>
      </c>
      <c r="R664" s="1693">
        <f t="shared" si="120"/>
        <v>0</v>
      </c>
      <c r="S664" s="989"/>
      <c r="T664" s="1862">
        <f t="shared" si="107"/>
        <v>0</v>
      </c>
    </row>
    <row r="665" spans="1:20" ht="22.2" customHeight="1">
      <c r="A665" s="1448">
        <f>COUNTIF($C$12:C665,"x")</f>
        <v>34</v>
      </c>
      <c r="B665" s="1455" t="s">
        <v>1508</v>
      </c>
      <c r="C665" s="60" t="str">
        <f t="shared" si="108"/>
        <v>x</v>
      </c>
      <c r="D665" s="1415">
        <v>9</v>
      </c>
      <c r="E665" s="980"/>
      <c r="F665" s="992" t="str">
        <f>VLOOKUP($B665,DG!A:D,DG!C$2,)</f>
        <v>Cọc tiếp đất Þ 16- 2,4m + kẹp cọc mạ đồng</v>
      </c>
      <c r="G665" s="980" t="str">
        <f>VLOOKUP($B665,DG!A:D,DG!$D$2,)</f>
        <v>bộ</v>
      </c>
      <c r="H665" s="1693">
        <f t="shared" ref="H665:H674" si="121">H$663*$D665</f>
        <v>9</v>
      </c>
      <c r="I665" s="1693">
        <f t="shared" si="120"/>
        <v>0</v>
      </c>
      <c r="J665" s="1693">
        <f t="shared" si="120"/>
        <v>0</v>
      </c>
      <c r="K665" s="1693">
        <f t="shared" si="120"/>
        <v>9</v>
      </c>
      <c r="L665" s="1693">
        <f t="shared" si="120"/>
        <v>0</v>
      </c>
      <c r="M665" s="1693">
        <f t="shared" si="120"/>
        <v>0</v>
      </c>
      <c r="N665" s="1693">
        <f t="shared" si="120"/>
        <v>0</v>
      </c>
      <c r="O665" s="1693">
        <f t="shared" si="120"/>
        <v>0</v>
      </c>
      <c r="P665" s="1693">
        <f t="shared" si="120"/>
        <v>9</v>
      </c>
      <c r="Q665" s="1693">
        <f t="shared" si="120"/>
        <v>0</v>
      </c>
      <c r="R665" s="1693">
        <f t="shared" si="120"/>
        <v>0</v>
      </c>
      <c r="S665" s="989"/>
      <c r="T665" s="1862">
        <f t="shared" si="107"/>
        <v>0</v>
      </c>
    </row>
    <row r="666" spans="1:20" ht="22.2" customHeight="1">
      <c r="A666" s="1448">
        <f>COUNTIF($C$12:C666,"x")</f>
        <v>35</v>
      </c>
      <c r="B666" s="1455" t="s">
        <v>6575</v>
      </c>
      <c r="C666" s="60" t="str">
        <f t="shared" ref="C666" si="122">IF(OR(P666&lt;&gt;0,H666&lt;&gt;0),"x"," ")</f>
        <v>x</v>
      </c>
      <c r="D666" s="1415">
        <v>2</v>
      </c>
      <c r="E666" s="980"/>
      <c r="F666" s="992" t="str">
        <f>VLOOKUP($B666,DG!A:D,DG!C$2,)</f>
        <v>Kẹp ép WR cỡ dây 185mm2</v>
      </c>
      <c r="G666" s="980" t="str">
        <f>VLOOKUP($B666,DG!A:D,DG!$D$2,)</f>
        <v>cái</v>
      </c>
      <c r="H666" s="1693">
        <f t="shared" si="121"/>
        <v>2</v>
      </c>
      <c r="I666" s="1693">
        <f t="shared" si="120"/>
        <v>0</v>
      </c>
      <c r="J666" s="1693">
        <f t="shared" si="120"/>
        <v>0</v>
      </c>
      <c r="K666" s="1693">
        <f t="shared" si="120"/>
        <v>2</v>
      </c>
      <c r="L666" s="1693">
        <f t="shared" si="120"/>
        <v>0</v>
      </c>
      <c r="M666" s="1693">
        <f t="shared" si="120"/>
        <v>0</v>
      </c>
      <c r="N666" s="1693">
        <f t="shared" si="120"/>
        <v>0</v>
      </c>
      <c r="O666" s="1693">
        <f t="shared" si="120"/>
        <v>0</v>
      </c>
      <c r="P666" s="1693">
        <f t="shared" si="120"/>
        <v>2</v>
      </c>
      <c r="Q666" s="1693">
        <f t="shared" si="120"/>
        <v>0</v>
      </c>
      <c r="R666" s="1693">
        <f t="shared" si="120"/>
        <v>0</v>
      </c>
      <c r="S666" s="989"/>
      <c r="T666" s="1862">
        <f t="shared" ref="T666" si="123">IFERROR(HLOOKUP(B666,BangKeTru,3,0),0)</f>
        <v>0</v>
      </c>
    </row>
    <row r="667" spans="1:20" ht="22.2" customHeight="1">
      <c r="A667" s="1448">
        <f>COUNTIF($C$12:C667,"x")</f>
        <v>36</v>
      </c>
      <c r="B667" s="1455" t="s">
        <v>1062</v>
      </c>
      <c r="C667" s="60" t="str">
        <f t="shared" ref="C667" si="124">IF(OR(P667&lt;&gt;0,H667&lt;&gt;0),"x"," ")</f>
        <v>x</v>
      </c>
      <c r="D667" s="1415">
        <v>8</v>
      </c>
      <c r="E667" s="980"/>
      <c r="F667" s="992" t="str">
        <f>VLOOKUP($B667,DG!A:D,DG!C$2,)</f>
        <v>Ốc siết cáp cỡ 25mm2</v>
      </c>
      <c r="G667" s="980" t="str">
        <f>VLOOKUP($B667,DG!A:D,DG!$D$2,)</f>
        <v>cái</v>
      </c>
      <c r="H667" s="1693">
        <f t="shared" si="121"/>
        <v>8</v>
      </c>
      <c r="I667" s="1693">
        <f t="shared" si="120"/>
        <v>0</v>
      </c>
      <c r="J667" s="1693">
        <f t="shared" si="120"/>
        <v>0</v>
      </c>
      <c r="K667" s="1693">
        <f t="shared" si="120"/>
        <v>8</v>
      </c>
      <c r="L667" s="1693">
        <f t="shared" si="120"/>
        <v>0</v>
      </c>
      <c r="M667" s="1693">
        <f t="shared" si="120"/>
        <v>0</v>
      </c>
      <c r="N667" s="1693">
        <f t="shared" si="120"/>
        <v>0</v>
      </c>
      <c r="O667" s="1693">
        <f t="shared" si="120"/>
        <v>0</v>
      </c>
      <c r="P667" s="1693">
        <f t="shared" si="120"/>
        <v>8</v>
      </c>
      <c r="Q667" s="1693">
        <f t="shared" si="120"/>
        <v>0</v>
      </c>
      <c r="R667" s="1693">
        <f t="shared" si="120"/>
        <v>0</v>
      </c>
      <c r="S667" s="989"/>
      <c r="T667" s="1862">
        <f t="shared" ref="T667" si="125">IFERROR(HLOOKUP(B667,BangKeTru,3,0),0)</f>
        <v>0</v>
      </c>
    </row>
    <row r="668" spans="1:20" ht="22.2" hidden="1" customHeight="1">
      <c r="A668" s="1448">
        <f>COUNTIF($C$12:C668,"x")</f>
        <v>36</v>
      </c>
      <c r="B668" s="1455" t="s">
        <v>1478</v>
      </c>
      <c r="C668" s="60" t="str">
        <f t="shared" si="108"/>
        <v xml:space="preserve"> </v>
      </c>
      <c r="D668" s="1415"/>
      <c r="E668" s="980"/>
      <c r="F668" s="992" t="str">
        <f>VLOOKUP($B668,DG!A:D,DG!C$2,)</f>
        <v>Kẹp nối đồng-nhôm</v>
      </c>
      <c r="G668" s="980" t="str">
        <f>VLOOKUP($B668,DG!A:D,DG!$D$2,)</f>
        <v>cái</v>
      </c>
      <c r="H668" s="1693">
        <f t="shared" si="121"/>
        <v>0</v>
      </c>
      <c r="I668" s="1693">
        <f t="shared" si="120"/>
        <v>0</v>
      </c>
      <c r="J668" s="1693">
        <f t="shared" si="120"/>
        <v>0</v>
      </c>
      <c r="K668" s="1693">
        <f t="shared" si="120"/>
        <v>0</v>
      </c>
      <c r="L668" s="1693">
        <f t="shared" si="120"/>
        <v>0</v>
      </c>
      <c r="M668" s="1693">
        <f t="shared" si="120"/>
        <v>0</v>
      </c>
      <c r="N668" s="1693">
        <f t="shared" si="120"/>
        <v>0</v>
      </c>
      <c r="O668" s="1693">
        <f t="shared" si="120"/>
        <v>0</v>
      </c>
      <c r="P668" s="1693">
        <f t="shared" si="120"/>
        <v>0</v>
      </c>
      <c r="Q668" s="1693">
        <f t="shared" si="120"/>
        <v>0</v>
      </c>
      <c r="R668" s="1693">
        <f t="shared" si="120"/>
        <v>0</v>
      </c>
      <c r="S668" s="989"/>
      <c r="T668" s="1862">
        <f t="shared" si="107"/>
        <v>0</v>
      </c>
    </row>
    <row r="669" spans="1:20" ht="22.2" hidden="1" customHeight="1">
      <c r="A669" s="1448">
        <f>COUNTIF($C$12:C669,"x")</f>
        <v>36</v>
      </c>
      <c r="B669" s="1455" t="s">
        <v>1052</v>
      </c>
      <c r="C669" s="60" t="str">
        <f t="shared" si="108"/>
        <v xml:space="preserve"> </v>
      </c>
      <c r="D669" s="1415"/>
      <c r="E669" s="980"/>
      <c r="F669" s="992" t="str">
        <f>VLOOKUP($B669,DG!A:D,DG!C$2,)</f>
        <v>Đầu cosse ép Cu 25mm2</v>
      </c>
      <c r="G669" s="980" t="str">
        <f>VLOOKUP($B669,DG!A:D,DG!$D$2,)</f>
        <v>cái</v>
      </c>
      <c r="H669" s="1693">
        <f t="shared" si="121"/>
        <v>0</v>
      </c>
      <c r="I669" s="1693">
        <f t="shared" si="120"/>
        <v>0</v>
      </c>
      <c r="J669" s="1693">
        <f t="shared" si="120"/>
        <v>0</v>
      </c>
      <c r="K669" s="1693">
        <f t="shared" si="120"/>
        <v>0</v>
      </c>
      <c r="L669" s="1693">
        <f t="shared" si="120"/>
        <v>0</v>
      </c>
      <c r="M669" s="1693">
        <f t="shared" si="120"/>
        <v>0</v>
      </c>
      <c r="N669" s="1693">
        <f t="shared" si="120"/>
        <v>0</v>
      </c>
      <c r="O669" s="1693">
        <f t="shared" si="120"/>
        <v>0</v>
      </c>
      <c r="P669" s="1693">
        <f t="shared" si="120"/>
        <v>0</v>
      </c>
      <c r="Q669" s="1693">
        <f t="shared" si="120"/>
        <v>0</v>
      </c>
      <c r="R669" s="1693">
        <f t="shared" si="120"/>
        <v>0</v>
      </c>
      <c r="S669" s="989"/>
      <c r="T669" s="1862">
        <f t="shared" si="107"/>
        <v>0</v>
      </c>
    </row>
    <row r="670" spans="1:20" ht="22.2" hidden="1" customHeight="1">
      <c r="A670" s="1448">
        <f>COUNTIF($C$12:C670,"x")</f>
        <v>36</v>
      </c>
      <c r="B670" s="1455" t="s">
        <v>2019</v>
      </c>
      <c r="C670" s="60" t="str">
        <f t="shared" si="108"/>
        <v xml:space="preserve"> </v>
      </c>
      <c r="D670" s="1415"/>
      <c r="E670" s="980"/>
      <c r="F670" s="992" t="str">
        <f>VLOOKUP($B670,DG!A:D,DG!C$2,)</f>
        <v>Boulon 12x40+ 2 long đền vuông D14-50x50x3/Zn</v>
      </c>
      <c r="G670" s="980" t="str">
        <f>VLOOKUP($B670,DG!A:D,DG!$D$2,)</f>
        <v>bộ</v>
      </c>
      <c r="H670" s="1693">
        <f t="shared" si="121"/>
        <v>0</v>
      </c>
      <c r="I670" s="1693">
        <f t="shared" si="120"/>
        <v>0</v>
      </c>
      <c r="J670" s="1693">
        <f t="shared" si="120"/>
        <v>0</v>
      </c>
      <c r="K670" s="1693">
        <f t="shared" si="120"/>
        <v>0</v>
      </c>
      <c r="L670" s="1693">
        <f t="shared" si="120"/>
        <v>0</v>
      </c>
      <c r="M670" s="1693">
        <f t="shared" si="120"/>
        <v>0</v>
      </c>
      <c r="N670" s="1693">
        <f t="shared" si="120"/>
        <v>0</v>
      </c>
      <c r="O670" s="1693">
        <f t="shared" si="120"/>
        <v>0</v>
      </c>
      <c r="P670" s="1693">
        <f t="shared" si="120"/>
        <v>0</v>
      </c>
      <c r="Q670" s="1693">
        <f t="shared" si="120"/>
        <v>0</v>
      </c>
      <c r="R670" s="1693">
        <f t="shared" si="120"/>
        <v>0</v>
      </c>
      <c r="S670" s="989"/>
      <c r="T670" s="1862">
        <f t="shared" si="107"/>
        <v>0</v>
      </c>
    </row>
    <row r="671" spans="1:20" ht="22.2" customHeight="1">
      <c r="A671" s="1448">
        <f>COUNTIF($C$12:C671,"x")</f>
        <v>37</v>
      </c>
      <c r="B671" s="1455" t="s">
        <v>1517</v>
      </c>
      <c r="C671" s="60" t="str">
        <f t="shared" si="108"/>
        <v>x</v>
      </c>
      <c r="D671" s="1414">
        <f>D664</f>
        <v>11.872</v>
      </c>
      <c r="E671" s="980" t="str">
        <f>VLOOKUP($B671,DG!A:D,DG!$B$2,)</f>
        <v>05.7001</v>
      </c>
      <c r="F671" s="985" t="str">
        <f>VLOOKUP($B671,DG!A:D,DG!C$2,)</f>
        <v xml:space="preserve">Kéo dây tiếp địa </v>
      </c>
      <c r="G671" s="980" t="str">
        <f>VLOOKUP($B671,DG!A:D,DG!$D$2,)</f>
        <v>mét</v>
      </c>
      <c r="H671" s="1693">
        <f t="shared" si="121"/>
        <v>11.872</v>
      </c>
      <c r="I671" s="1693">
        <f t="shared" si="120"/>
        <v>0</v>
      </c>
      <c r="J671" s="1693">
        <f t="shared" si="120"/>
        <v>0</v>
      </c>
      <c r="K671" s="1693">
        <f t="shared" si="120"/>
        <v>11.872</v>
      </c>
      <c r="L671" s="1693">
        <f t="shared" si="120"/>
        <v>0</v>
      </c>
      <c r="M671" s="1693">
        <f t="shared" si="120"/>
        <v>0</v>
      </c>
      <c r="N671" s="1693">
        <f t="shared" si="120"/>
        <v>0</v>
      </c>
      <c r="O671" s="1693">
        <f t="shared" si="120"/>
        <v>0</v>
      </c>
      <c r="P671" s="1693">
        <f t="shared" si="120"/>
        <v>11.872</v>
      </c>
      <c r="Q671" s="1693">
        <f t="shared" si="120"/>
        <v>0</v>
      </c>
      <c r="R671" s="1693">
        <f t="shared" si="120"/>
        <v>0</v>
      </c>
      <c r="S671" s="994"/>
      <c r="T671" s="1862">
        <f t="shared" si="107"/>
        <v>0</v>
      </c>
    </row>
    <row r="672" spans="1:20" ht="22.2" customHeight="1">
      <c r="A672" s="1448">
        <f>COUNTIF($C$12:C672,"x")</f>
        <v>38</v>
      </c>
      <c r="B672" s="1455" t="s">
        <v>1104</v>
      </c>
      <c r="C672" s="60" t="str">
        <f t="shared" si="108"/>
        <v>x</v>
      </c>
      <c r="D672" s="1415">
        <f>D665</f>
        <v>9</v>
      </c>
      <c r="E672" s="980" t="str">
        <f>VLOOKUP($B672,DG!A:D,DG!$B$2,)</f>
        <v>05.8103</v>
      </c>
      <c r="F672" s="985" t="str">
        <f>VLOOKUP($B672,DG!A:D,DG!C$2,)</f>
        <v>Đóng cọc tiếp địa đất cấp 3</v>
      </c>
      <c r="G672" s="980" t="str">
        <f>VLOOKUP($B672,DG!A:D,DG!$D$2,)</f>
        <v>cọc</v>
      </c>
      <c r="H672" s="1693">
        <f t="shared" si="121"/>
        <v>9</v>
      </c>
      <c r="I672" s="1693">
        <f t="shared" si="120"/>
        <v>0</v>
      </c>
      <c r="J672" s="1693">
        <f t="shared" si="120"/>
        <v>0</v>
      </c>
      <c r="K672" s="1693">
        <f t="shared" si="120"/>
        <v>9</v>
      </c>
      <c r="L672" s="1693">
        <f t="shared" si="120"/>
        <v>0</v>
      </c>
      <c r="M672" s="1693">
        <f t="shared" si="120"/>
        <v>0</v>
      </c>
      <c r="N672" s="1693">
        <f t="shared" si="120"/>
        <v>0</v>
      </c>
      <c r="O672" s="1693">
        <f t="shared" si="120"/>
        <v>0</v>
      </c>
      <c r="P672" s="1693">
        <f t="shared" si="120"/>
        <v>9</v>
      </c>
      <c r="Q672" s="1693">
        <f t="shared" si="120"/>
        <v>0</v>
      </c>
      <c r="R672" s="1693">
        <f t="shared" si="120"/>
        <v>0</v>
      </c>
      <c r="S672" s="989"/>
      <c r="T672" s="1862">
        <f t="shared" si="107"/>
        <v>0</v>
      </c>
    </row>
    <row r="673" spans="1:20" ht="22.2" hidden="1" customHeight="1">
      <c r="A673" s="1448">
        <f>COUNTIF($C$12:C673,"x")</f>
        <v>38</v>
      </c>
      <c r="B673" s="1455" t="s">
        <v>1902</v>
      </c>
      <c r="C673" s="60" t="str">
        <f t="shared" si="108"/>
        <v xml:space="preserve"> </v>
      </c>
      <c r="D673" s="1413"/>
      <c r="E673" s="980" t="str">
        <f>VLOOKUP($B673,DG!A:D,DG!$B$2,)</f>
        <v>02.1120</v>
      </c>
      <c r="F673" s="985" t="str">
        <f>VLOOKUP($B673,DG!A:D,DG!C$2,)</f>
        <v>Bốc dỡ phụ kiện</v>
      </c>
      <c r="G673" s="980" t="str">
        <f>VLOOKUP($B673,DG!A:D,DG!$D$2,)</f>
        <v>tấn</v>
      </c>
      <c r="H673" s="1693">
        <f t="shared" si="121"/>
        <v>0</v>
      </c>
      <c r="I673" s="1693">
        <f t="shared" si="120"/>
        <v>0</v>
      </c>
      <c r="J673" s="1693">
        <f t="shared" si="120"/>
        <v>0</v>
      </c>
      <c r="K673" s="1693">
        <f t="shared" si="120"/>
        <v>0</v>
      </c>
      <c r="L673" s="1693">
        <f t="shared" si="120"/>
        <v>0</v>
      </c>
      <c r="M673" s="1693">
        <f t="shared" si="120"/>
        <v>0</v>
      </c>
      <c r="N673" s="1693">
        <f t="shared" si="120"/>
        <v>0</v>
      </c>
      <c r="O673" s="1693">
        <f t="shared" si="120"/>
        <v>0</v>
      </c>
      <c r="P673" s="1693">
        <f t="shared" si="120"/>
        <v>0</v>
      </c>
      <c r="Q673" s="1693">
        <f t="shared" si="120"/>
        <v>0</v>
      </c>
      <c r="R673" s="1693">
        <f t="shared" si="120"/>
        <v>0</v>
      </c>
      <c r="S673" s="989"/>
      <c r="T673" s="1862">
        <f t="shared" si="107"/>
        <v>0</v>
      </c>
    </row>
    <row r="674" spans="1:20" ht="22.2" hidden="1" customHeight="1">
      <c r="A674" s="1448">
        <f>COUNTIF($C$12:C674,"x")</f>
        <v>38</v>
      </c>
      <c r="B674" s="1464" t="s">
        <v>1903</v>
      </c>
      <c r="C674" s="60" t="str">
        <f t="shared" si="108"/>
        <v xml:space="preserve"> </v>
      </c>
      <c r="D674" s="1413"/>
      <c r="E674" s="980" t="str">
        <f>VLOOKUP($B674,DG!A:C,2,)</f>
        <v>02.1351</v>
      </c>
      <c r="F674" s="985" t="str">
        <f>VLOOKUP($B674,DG!A:C,3,)</f>
        <v>V/c tiếp địa vào vị trí ( cự ly &lt;=100m)</v>
      </c>
      <c r="G674" s="980" t="str">
        <f>VLOOKUP($B674,DG!A:D,4,0)</f>
        <v>tấn</v>
      </c>
      <c r="H674" s="1693">
        <f t="shared" si="121"/>
        <v>0</v>
      </c>
      <c r="I674" s="1693">
        <f t="shared" si="120"/>
        <v>0</v>
      </c>
      <c r="J674" s="1693">
        <f t="shared" si="120"/>
        <v>0</v>
      </c>
      <c r="K674" s="1693">
        <f t="shared" si="120"/>
        <v>0</v>
      </c>
      <c r="L674" s="1693">
        <f t="shared" si="120"/>
        <v>0</v>
      </c>
      <c r="M674" s="1693">
        <f t="shared" si="120"/>
        <v>0</v>
      </c>
      <c r="N674" s="1693">
        <f t="shared" si="120"/>
        <v>0</v>
      </c>
      <c r="O674" s="1693">
        <f t="shared" si="120"/>
        <v>0</v>
      </c>
      <c r="P674" s="1693">
        <f t="shared" si="120"/>
        <v>0</v>
      </c>
      <c r="Q674" s="1693">
        <f t="shared" si="120"/>
        <v>0</v>
      </c>
      <c r="R674" s="1693">
        <f t="shared" si="120"/>
        <v>0</v>
      </c>
      <c r="S674" s="994"/>
      <c r="T674" s="1862">
        <f t="shared" si="107"/>
        <v>0</v>
      </c>
    </row>
    <row r="675" spans="1:20" ht="22.2" hidden="1" customHeight="1">
      <c r="A675" s="1448">
        <f>COUNTIF($C$12:C675,"x")</f>
        <v>38</v>
      </c>
      <c r="B675" s="1452" t="s">
        <v>1638</v>
      </c>
      <c r="C675" s="59" t="str">
        <f t="shared" si="108"/>
        <v xml:space="preserve"> </v>
      </c>
      <c r="D675" s="1426"/>
      <c r="E675" s="981"/>
      <c r="F675" s="1276" t="s">
        <v>2394</v>
      </c>
      <c r="G675" s="982" t="s">
        <v>2385</v>
      </c>
      <c r="H675" s="1691">
        <f>SUM(I675:O675)</f>
        <v>0</v>
      </c>
      <c r="I675" s="1692"/>
      <c r="J675" s="1692"/>
      <c r="K675" s="1692">
        <f>IFERROR(HLOOKUP(B675,pp3p1m!$1:$3,2,0),0)</f>
        <v>0</v>
      </c>
      <c r="L675" s="1692">
        <f>IFERROR(HLOOKUP(chitiet!B675,pp1p!$1:$3,3,0),0)</f>
        <v>0</v>
      </c>
      <c r="M675" s="1692"/>
      <c r="N675" s="1692"/>
      <c r="O675" s="1692"/>
      <c r="P675" s="2674">
        <f>T675</f>
        <v>0</v>
      </c>
      <c r="Q675" s="983">
        <f>IF(P675&gt;H675,P675-H675,0)</f>
        <v>0</v>
      </c>
      <c r="R675" s="983">
        <f>IF(H675&gt;P675,H675-P675,0)</f>
        <v>0</v>
      </c>
      <c r="S675" s="983"/>
      <c r="T675" s="1862">
        <f>IFERROR(HLOOKUP(B675,pp1p!$1:$3,3,0),0)+IFERROR(HLOOKUP(B675,pp3p1m!$1:$3,3,0),0)</f>
        <v>0</v>
      </c>
    </row>
    <row r="676" spans="1:20" ht="22.2" hidden="1" customHeight="1">
      <c r="A676" s="1448">
        <f>COUNTIF($C$12:C676,"x")</f>
        <v>38</v>
      </c>
      <c r="B676" s="1455" t="s">
        <v>103</v>
      </c>
      <c r="C676" s="60" t="str">
        <f t="shared" si="108"/>
        <v xml:space="preserve"> </v>
      </c>
      <c r="D676" s="1414">
        <f>14*0.224</f>
        <v>3.1360000000000001</v>
      </c>
      <c r="E676" s="980"/>
      <c r="F676" s="992" t="str">
        <f>VLOOKUP($B676,DG!A:D,DG!C$2,)&amp;" (14m)"</f>
        <v>Cáp đồng trần M25mm2 (14m)</v>
      </c>
      <c r="G676" s="980" t="str">
        <f>VLOOKUP($B676,DG!A:D,DG!$D$2,)</f>
        <v>kg</v>
      </c>
      <c r="H676" s="1693">
        <f t="shared" ref="H676:N678" si="126">H$675*$D676</f>
        <v>0</v>
      </c>
      <c r="I676" s="1693">
        <f t="shared" si="126"/>
        <v>0</v>
      </c>
      <c r="J676" s="1693">
        <f t="shared" si="126"/>
        <v>0</v>
      </c>
      <c r="K676" s="1693">
        <f t="shared" si="126"/>
        <v>0</v>
      </c>
      <c r="L676" s="1693">
        <f t="shared" si="126"/>
        <v>0</v>
      </c>
      <c r="M676" s="1693">
        <f t="shared" si="126"/>
        <v>0</v>
      </c>
      <c r="N676" s="1693">
        <f t="shared" si="126"/>
        <v>0</v>
      </c>
      <c r="O676" s="1693"/>
      <c r="P676" s="1693"/>
      <c r="Q676" s="989"/>
      <c r="R676" s="989"/>
      <c r="S676" s="989"/>
      <c r="T676" s="1862">
        <f t="shared" si="107"/>
        <v>0</v>
      </c>
    </row>
    <row r="677" spans="1:20" ht="22.2" hidden="1" customHeight="1">
      <c r="A677" s="1448">
        <f>COUNTIF($C$12:C677,"x")</f>
        <v>38</v>
      </c>
      <c r="B677" s="1455" t="s">
        <v>1508</v>
      </c>
      <c r="C677" s="60" t="str">
        <f t="shared" si="108"/>
        <v xml:space="preserve"> </v>
      </c>
      <c r="D677" s="1415">
        <v>1</v>
      </c>
      <c r="E677" s="980"/>
      <c r="F677" s="992" t="str">
        <f>VLOOKUP($B677,DG!A:D,DG!C$2,)</f>
        <v>Cọc tiếp đất Þ 16- 2,4m + kẹp cọc mạ đồng</v>
      </c>
      <c r="G677" s="980" t="str">
        <f>VLOOKUP($B677,DG!A:D,DG!$D$2,)</f>
        <v>bộ</v>
      </c>
      <c r="H677" s="1693">
        <f t="shared" si="126"/>
        <v>0</v>
      </c>
      <c r="I677" s="1693">
        <f t="shared" si="126"/>
        <v>0</v>
      </c>
      <c r="J677" s="1693">
        <f t="shared" si="126"/>
        <v>0</v>
      </c>
      <c r="K677" s="1693">
        <f t="shared" si="126"/>
        <v>0</v>
      </c>
      <c r="L677" s="1693">
        <f t="shared" si="126"/>
        <v>0</v>
      </c>
      <c r="M677" s="1693">
        <f t="shared" si="126"/>
        <v>0</v>
      </c>
      <c r="N677" s="1693">
        <f t="shared" si="126"/>
        <v>0</v>
      </c>
      <c r="O677" s="1693"/>
      <c r="P677" s="1693"/>
      <c r="Q677" s="989"/>
      <c r="R677" s="989"/>
      <c r="S677" s="989"/>
      <c r="T677" s="1862">
        <f t="shared" si="107"/>
        <v>0</v>
      </c>
    </row>
    <row r="678" spans="1:20" ht="22.2" hidden="1" customHeight="1">
      <c r="A678" s="1448">
        <f>COUNTIF($C$12:C678,"x")</f>
        <v>38</v>
      </c>
      <c r="B678" s="1455" t="s">
        <v>1478</v>
      </c>
      <c r="C678" s="60" t="str">
        <f t="shared" si="108"/>
        <v xml:space="preserve"> </v>
      </c>
      <c r="D678" s="1415">
        <v>2</v>
      </c>
      <c r="E678" s="980"/>
      <c r="F678" s="992" t="str">
        <f>VLOOKUP($B678,DG!A:D,DG!C$2,)</f>
        <v>Kẹp nối đồng-nhôm</v>
      </c>
      <c r="G678" s="980" t="str">
        <f>VLOOKUP($B678,DG!A:D,DG!$D$2,)</f>
        <v>cái</v>
      </c>
      <c r="H678" s="1693">
        <f t="shared" si="126"/>
        <v>0</v>
      </c>
      <c r="I678" s="1693">
        <f t="shared" si="126"/>
        <v>0</v>
      </c>
      <c r="J678" s="1693">
        <f t="shared" si="126"/>
        <v>0</v>
      </c>
      <c r="K678" s="1693">
        <f t="shared" si="126"/>
        <v>0</v>
      </c>
      <c r="L678" s="1693">
        <f t="shared" si="126"/>
        <v>0</v>
      </c>
      <c r="M678" s="1693">
        <f t="shared" si="126"/>
        <v>0</v>
      </c>
      <c r="N678" s="1693">
        <f t="shared" si="126"/>
        <v>0</v>
      </c>
      <c r="O678" s="1693"/>
      <c r="P678" s="1693"/>
      <c r="Q678" s="989"/>
      <c r="R678" s="989"/>
      <c r="S678" s="989"/>
      <c r="T678" s="1862">
        <f t="shared" si="107"/>
        <v>0</v>
      </c>
    </row>
    <row r="679" spans="1:20" ht="22.2" hidden="1" customHeight="1">
      <c r="A679" s="1448">
        <f>COUNTIF($C$12:C679,"x")</f>
        <v>38</v>
      </c>
      <c r="B679" s="1455" t="s">
        <v>1052</v>
      </c>
      <c r="C679" s="60" t="str">
        <f t="shared" si="108"/>
        <v xml:space="preserve"> </v>
      </c>
      <c r="D679" s="1415">
        <v>2</v>
      </c>
      <c r="E679" s="980"/>
      <c r="F679" s="992" t="str">
        <f>VLOOKUP($B679,DG!A:D,DG!C$2,)</f>
        <v>Đầu cosse ép Cu 25mm2</v>
      </c>
      <c r="G679" s="980" t="str">
        <f>VLOOKUP($B679,DG!A:D,DG!$D$2,)</f>
        <v>cái</v>
      </c>
      <c r="H679" s="1693">
        <f t="shared" ref="H679:H684" si="127">H$675*$D679</f>
        <v>0</v>
      </c>
      <c r="I679" s="1693">
        <f t="shared" ref="I679:N680" si="128">I$629*$D679</f>
        <v>0</v>
      </c>
      <c r="J679" s="1693">
        <f t="shared" si="128"/>
        <v>0</v>
      </c>
      <c r="K679" s="1693">
        <f t="shared" si="128"/>
        <v>0</v>
      </c>
      <c r="L679" s="1693">
        <f t="shared" si="128"/>
        <v>0</v>
      </c>
      <c r="M679" s="1693">
        <f t="shared" si="128"/>
        <v>0</v>
      </c>
      <c r="N679" s="1693">
        <f t="shared" si="128"/>
        <v>0</v>
      </c>
      <c r="O679" s="1693"/>
      <c r="P679" s="1693"/>
      <c r="Q679" s="989"/>
      <c r="R679" s="989"/>
      <c r="S679" s="989"/>
      <c r="T679" s="1862">
        <f t="shared" si="107"/>
        <v>0</v>
      </c>
    </row>
    <row r="680" spans="1:20" ht="22.2" hidden="1" customHeight="1">
      <c r="A680" s="1448">
        <f>COUNTIF($C$12:C680,"x")</f>
        <v>38</v>
      </c>
      <c r="B680" s="1455" t="s">
        <v>2019</v>
      </c>
      <c r="C680" s="60" t="str">
        <f t="shared" si="108"/>
        <v xml:space="preserve"> </v>
      </c>
      <c r="D680" s="1415">
        <v>1</v>
      </c>
      <c r="E680" s="980"/>
      <c r="F680" s="992" t="str">
        <f>VLOOKUP($B680,DG!A:D,DG!C$2,)</f>
        <v>Boulon 12x40+ 2 long đền vuông D14-50x50x3/Zn</v>
      </c>
      <c r="G680" s="980" t="str">
        <f>VLOOKUP($B680,DG!A:D,DG!$D$2,)</f>
        <v>bộ</v>
      </c>
      <c r="H680" s="1693">
        <f t="shared" si="127"/>
        <v>0</v>
      </c>
      <c r="I680" s="1693">
        <f t="shared" si="128"/>
        <v>0</v>
      </c>
      <c r="J680" s="1693">
        <f t="shared" si="128"/>
        <v>0</v>
      </c>
      <c r="K680" s="1693">
        <f t="shared" si="128"/>
        <v>0</v>
      </c>
      <c r="L680" s="1693">
        <f t="shared" si="128"/>
        <v>0</v>
      </c>
      <c r="M680" s="1693">
        <f t="shared" si="128"/>
        <v>0</v>
      </c>
      <c r="N680" s="1693">
        <f t="shared" si="128"/>
        <v>0</v>
      </c>
      <c r="O680" s="1693"/>
      <c r="P680" s="1693"/>
      <c r="Q680" s="989"/>
      <c r="R680" s="989"/>
      <c r="S680" s="989"/>
      <c r="T680" s="1862">
        <f t="shared" si="107"/>
        <v>0</v>
      </c>
    </row>
    <row r="681" spans="1:20" ht="22.2" hidden="1" customHeight="1">
      <c r="A681" s="1448">
        <f>COUNTIF($C$12:C681,"x")</f>
        <v>38</v>
      </c>
      <c r="B681" s="1455" t="s">
        <v>1517</v>
      </c>
      <c r="C681" s="60" t="str">
        <f t="shared" si="108"/>
        <v xml:space="preserve"> </v>
      </c>
      <c r="D681" s="1414">
        <f>D676</f>
        <v>3.1360000000000001</v>
      </c>
      <c r="E681" s="980" t="str">
        <f>VLOOKUP($B681,DG!A:D,DG!$B$2,)</f>
        <v>05.7001</v>
      </c>
      <c r="F681" s="985" t="str">
        <f>VLOOKUP($B681,DG!A:D,DG!C$2,)</f>
        <v xml:space="preserve">Kéo dây tiếp địa </v>
      </c>
      <c r="G681" s="980" t="str">
        <f>VLOOKUP($B681,DG!A:D,DG!$D$2,)</f>
        <v>mét</v>
      </c>
      <c r="H681" s="1693">
        <f t="shared" si="127"/>
        <v>0</v>
      </c>
      <c r="I681" s="1693"/>
      <c r="J681" s="1693"/>
      <c r="K681" s="1693"/>
      <c r="L681" s="1693"/>
      <c r="M681" s="1693"/>
      <c r="N681" s="1693"/>
      <c r="O681" s="1693"/>
      <c r="P681" s="1693"/>
      <c r="Q681" s="994"/>
      <c r="R681" s="994"/>
      <c r="S681" s="994"/>
      <c r="T681" s="1862">
        <f t="shared" si="107"/>
        <v>0</v>
      </c>
    </row>
    <row r="682" spans="1:20" ht="22.2" hidden="1" customHeight="1">
      <c r="A682" s="1448">
        <f>COUNTIF($C$12:C682,"x")</f>
        <v>38</v>
      </c>
      <c r="B682" s="1455" t="s">
        <v>1104</v>
      </c>
      <c r="C682" s="60" t="str">
        <f t="shared" si="108"/>
        <v xml:space="preserve"> </v>
      </c>
      <c r="D682" s="1415">
        <v>1</v>
      </c>
      <c r="E682" s="980" t="str">
        <f>VLOOKUP($B682,DG!A:D,DG!$B$2,)</f>
        <v>05.8103</v>
      </c>
      <c r="F682" s="985" t="str">
        <f>VLOOKUP($B682,DG!A:D,DG!C$2,)</f>
        <v>Đóng cọc tiếp địa đất cấp 3</v>
      </c>
      <c r="G682" s="980" t="str">
        <f>VLOOKUP($B682,DG!A:D,DG!$D$2,)</f>
        <v>cọc</v>
      </c>
      <c r="H682" s="1693">
        <f t="shared" si="127"/>
        <v>0</v>
      </c>
      <c r="I682" s="1693"/>
      <c r="J682" s="1693"/>
      <c r="K682" s="1693"/>
      <c r="L682" s="1693"/>
      <c r="M682" s="1693"/>
      <c r="N682" s="1693"/>
      <c r="O682" s="1693"/>
      <c r="P682" s="1693"/>
      <c r="Q682" s="989"/>
      <c r="R682" s="989"/>
      <c r="S682" s="989"/>
      <c r="T682" s="1862">
        <f t="shared" si="107"/>
        <v>0</v>
      </c>
    </row>
    <row r="683" spans="1:20" ht="22.2" hidden="1" customHeight="1">
      <c r="A683" s="1448">
        <f>COUNTIF($C$12:C683,"x")</f>
        <v>38</v>
      </c>
      <c r="B683" s="1455" t="s">
        <v>1902</v>
      </c>
      <c r="C683" s="60" t="str">
        <f t="shared" si="108"/>
        <v xml:space="preserve"> </v>
      </c>
      <c r="D683" s="1413"/>
      <c r="E683" s="980" t="str">
        <f>VLOOKUP($B683,DG!A:D,DG!$B$2,)</f>
        <v>02.1120</v>
      </c>
      <c r="F683" s="985" t="str">
        <f>VLOOKUP($B683,DG!A:D,DG!C$2,)</f>
        <v>Bốc dỡ phụ kiện</v>
      </c>
      <c r="G683" s="980" t="str">
        <f>VLOOKUP($B683,DG!A:D,DG!$D$2,)</f>
        <v>tấn</v>
      </c>
      <c r="H683" s="1693">
        <f t="shared" si="127"/>
        <v>0</v>
      </c>
      <c r="I683" s="1693"/>
      <c r="J683" s="1693"/>
      <c r="K683" s="1693"/>
      <c r="L683" s="1693"/>
      <c r="M683" s="1693"/>
      <c r="N683" s="1693"/>
      <c r="O683" s="1693"/>
      <c r="P683" s="1693"/>
      <c r="Q683" s="989"/>
      <c r="R683" s="989"/>
      <c r="S683" s="989"/>
      <c r="T683" s="1862">
        <f t="shared" si="107"/>
        <v>0</v>
      </c>
    </row>
    <row r="684" spans="1:20" ht="22.2" hidden="1" customHeight="1">
      <c r="A684" s="1448">
        <f>COUNTIF($C$12:C684,"x")</f>
        <v>38</v>
      </c>
      <c r="B684" s="1464" t="s">
        <v>1903</v>
      </c>
      <c r="C684" s="60" t="str">
        <f t="shared" si="108"/>
        <v xml:space="preserve"> </v>
      </c>
      <c r="D684" s="1413"/>
      <c r="E684" s="980" t="str">
        <f>VLOOKUP($B684,DG!A:C,2,)</f>
        <v>02.1351</v>
      </c>
      <c r="F684" s="985" t="str">
        <f>VLOOKUP($B684,DG!A:C,3,)</f>
        <v>V/c tiếp địa vào vị trí ( cự ly &lt;=100m)</v>
      </c>
      <c r="G684" s="980" t="str">
        <f>VLOOKUP($B684,DG!A:D,4,0)</f>
        <v>tấn</v>
      </c>
      <c r="H684" s="1693">
        <f t="shared" si="127"/>
        <v>0</v>
      </c>
      <c r="I684" s="1693"/>
      <c r="J684" s="1693"/>
      <c r="K684" s="1693"/>
      <c r="L684" s="1693"/>
      <c r="M684" s="1693"/>
      <c r="N684" s="1693"/>
      <c r="O684" s="1693"/>
      <c r="P684" s="1693"/>
      <c r="Q684" s="994"/>
      <c r="R684" s="994"/>
      <c r="S684" s="994"/>
      <c r="T684" s="1862">
        <f t="shared" si="107"/>
        <v>0</v>
      </c>
    </row>
    <row r="685" spans="1:20" ht="22.2" hidden="1" customHeight="1">
      <c r="A685" s="1448">
        <f>COUNTIF($C$12:C685,"x")</f>
        <v>38</v>
      </c>
      <c r="B685" s="1452" t="s">
        <v>1984</v>
      </c>
      <c r="C685" s="59" t="str">
        <f t="shared" si="108"/>
        <v xml:space="preserve"> </v>
      </c>
      <c r="D685" s="1426"/>
      <c r="E685" s="981"/>
      <c r="F685" s="1276" t="s">
        <v>2395</v>
      </c>
      <c r="G685" s="982" t="s">
        <v>2385</v>
      </c>
      <c r="H685" s="1691">
        <f>SUM(I685:O685)</f>
        <v>0</v>
      </c>
      <c r="I685" s="1692"/>
      <c r="J685" s="1692"/>
      <c r="K685" s="1692">
        <f>IFERROR(HLOOKUP(B685,pp3p1m!$1:$3,2,0),0)</f>
        <v>0</v>
      </c>
      <c r="L685" s="1692">
        <f>IFERROR(HLOOKUP(chitiet!B685,pp1p!$1:$3,3,0),0)</f>
        <v>0</v>
      </c>
      <c r="M685" s="1692"/>
      <c r="N685" s="1692"/>
      <c r="O685" s="1692"/>
      <c r="P685" s="2674">
        <f>T685</f>
        <v>0</v>
      </c>
      <c r="Q685" s="983">
        <f>IF(P685&gt;H685,P685-H685,0)</f>
        <v>0</v>
      </c>
      <c r="R685" s="983">
        <f>IF(H685&gt;P685,H685-P685,0)</f>
        <v>0</v>
      </c>
      <c r="S685" s="983"/>
      <c r="T685" s="1862">
        <f>IFERROR(HLOOKUP(B685,pp1p!$1:$3,3,0),0)+IFERROR(HLOOKUP(B685,pp3p1m!$1:$3,3,0),0)</f>
        <v>0</v>
      </c>
    </row>
    <row r="686" spans="1:20" ht="22.2" hidden="1" customHeight="1">
      <c r="A686" s="1448">
        <f>COUNTIF($C$12:C686,"x")</f>
        <v>38</v>
      </c>
      <c r="B686" s="1455" t="s">
        <v>103</v>
      </c>
      <c r="C686" s="60" t="str">
        <f t="shared" si="108"/>
        <v xml:space="preserve"> </v>
      </c>
      <c r="D686" s="1414">
        <f>22*0.224</f>
        <v>4.9279999999999999</v>
      </c>
      <c r="E686" s="980"/>
      <c r="F686" s="992" t="str">
        <f>VLOOKUP($B686,DG!A:D,DG!C$2,)&amp;" (22m)"</f>
        <v>Cáp đồng trần M25mm2 (22m)</v>
      </c>
      <c r="G686" s="980" t="str">
        <f>VLOOKUP($B686,DG!A:D,DG!$D$2,)</f>
        <v>kg</v>
      </c>
      <c r="H686" s="1693">
        <f t="shared" ref="H686:N688" si="129">H$685*$D686</f>
        <v>0</v>
      </c>
      <c r="I686" s="1693">
        <f t="shared" si="129"/>
        <v>0</v>
      </c>
      <c r="J686" s="1693">
        <f t="shared" si="129"/>
        <v>0</v>
      </c>
      <c r="K686" s="1693">
        <f t="shared" si="129"/>
        <v>0</v>
      </c>
      <c r="L686" s="1693">
        <f t="shared" si="129"/>
        <v>0</v>
      </c>
      <c r="M686" s="1693">
        <f t="shared" si="129"/>
        <v>0</v>
      </c>
      <c r="N686" s="1693">
        <f t="shared" si="129"/>
        <v>0</v>
      </c>
      <c r="O686" s="1693"/>
      <c r="P686" s="1693"/>
      <c r="Q686" s="989"/>
      <c r="R686" s="989"/>
      <c r="S686" s="989"/>
      <c r="T686" s="1862">
        <f t="shared" si="107"/>
        <v>0</v>
      </c>
    </row>
    <row r="687" spans="1:20" ht="22.2" hidden="1" customHeight="1">
      <c r="A687" s="1448">
        <f>COUNTIF($C$12:C687,"x")</f>
        <v>38</v>
      </c>
      <c r="B687" s="1455" t="s">
        <v>1508</v>
      </c>
      <c r="C687" s="60" t="str">
        <f t="shared" si="108"/>
        <v xml:space="preserve"> </v>
      </c>
      <c r="D687" s="1415">
        <v>1</v>
      </c>
      <c r="E687" s="980"/>
      <c r="F687" s="992" t="str">
        <f>VLOOKUP($B687,DG!A:D,DG!C$2,)</f>
        <v>Cọc tiếp đất Þ 16- 2,4m + kẹp cọc mạ đồng</v>
      </c>
      <c r="G687" s="980" t="str">
        <f>VLOOKUP($B687,DG!A:D,DG!$D$2,)</f>
        <v>bộ</v>
      </c>
      <c r="H687" s="1693">
        <f t="shared" si="129"/>
        <v>0</v>
      </c>
      <c r="I687" s="1693">
        <f t="shared" si="129"/>
        <v>0</v>
      </c>
      <c r="J687" s="1693">
        <f t="shared" si="129"/>
        <v>0</v>
      </c>
      <c r="K687" s="1693">
        <f t="shared" si="129"/>
        <v>0</v>
      </c>
      <c r="L687" s="1693">
        <f t="shared" si="129"/>
        <v>0</v>
      </c>
      <c r="M687" s="1693">
        <f t="shared" si="129"/>
        <v>0</v>
      </c>
      <c r="N687" s="1693">
        <f t="shared" si="129"/>
        <v>0</v>
      </c>
      <c r="O687" s="1693"/>
      <c r="P687" s="1693"/>
      <c r="Q687" s="989"/>
      <c r="R687" s="989"/>
      <c r="S687" s="989"/>
      <c r="T687" s="1862">
        <f t="shared" si="107"/>
        <v>0</v>
      </c>
    </row>
    <row r="688" spans="1:20" ht="22.2" hidden="1" customHeight="1">
      <c r="A688" s="1448">
        <f>COUNTIF($C$12:C688,"x")</f>
        <v>38</v>
      </c>
      <c r="B688" s="1455" t="s">
        <v>1478</v>
      </c>
      <c r="C688" s="60" t="str">
        <f t="shared" si="108"/>
        <v xml:space="preserve"> </v>
      </c>
      <c r="D688" s="1415">
        <v>2</v>
      </c>
      <c r="E688" s="980"/>
      <c r="F688" s="992" t="str">
        <f>VLOOKUP($B688,DG!A:D,DG!C$2,)</f>
        <v>Kẹp nối đồng-nhôm</v>
      </c>
      <c r="G688" s="980" t="str">
        <f>VLOOKUP($B688,DG!A:D,DG!$D$2,)</f>
        <v>cái</v>
      </c>
      <c r="H688" s="1693">
        <f t="shared" si="129"/>
        <v>0</v>
      </c>
      <c r="I688" s="1693">
        <f t="shared" si="129"/>
        <v>0</v>
      </c>
      <c r="J688" s="1693">
        <f t="shared" si="129"/>
        <v>0</v>
      </c>
      <c r="K688" s="1693">
        <f t="shared" si="129"/>
        <v>0</v>
      </c>
      <c r="L688" s="1693">
        <f t="shared" si="129"/>
        <v>0</v>
      </c>
      <c r="M688" s="1693">
        <f t="shared" si="129"/>
        <v>0</v>
      </c>
      <c r="N688" s="1693">
        <f t="shared" si="129"/>
        <v>0</v>
      </c>
      <c r="O688" s="1693"/>
      <c r="P688" s="1693"/>
      <c r="Q688" s="989"/>
      <c r="R688" s="989"/>
      <c r="S688" s="989"/>
      <c r="T688" s="1862">
        <f t="shared" si="107"/>
        <v>0</v>
      </c>
    </row>
    <row r="689" spans="1:20" ht="22.2" hidden="1" customHeight="1">
      <c r="A689" s="1448">
        <f>COUNTIF($C$12:C689,"x")</f>
        <v>38</v>
      </c>
      <c r="B689" s="1455" t="s">
        <v>1517</v>
      </c>
      <c r="C689" s="60" t="str">
        <f t="shared" si="108"/>
        <v xml:space="preserve"> </v>
      </c>
      <c r="D689" s="1414">
        <f>D686</f>
        <v>4.9279999999999999</v>
      </c>
      <c r="E689" s="980" t="str">
        <f>VLOOKUP($B689,DG!A:D,DG!$B$2,)</f>
        <v>05.7001</v>
      </c>
      <c r="F689" s="985" t="str">
        <f>VLOOKUP($B689,DG!A:D,DG!C$2,)</f>
        <v xml:space="preserve">Kéo dây tiếp địa </v>
      </c>
      <c r="G689" s="980" t="str">
        <f>VLOOKUP($B689,DG!A:D,DG!$D$2,)</f>
        <v>mét</v>
      </c>
      <c r="H689" s="1693"/>
      <c r="I689" s="1693"/>
      <c r="J689" s="1693"/>
      <c r="K689" s="1693"/>
      <c r="L689" s="1693"/>
      <c r="M689" s="1693"/>
      <c r="N689" s="1693"/>
      <c r="O689" s="1693"/>
      <c r="P689" s="1693"/>
      <c r="Q689" s="994"/>
      <c r="R689" s="994"/>
      <c r="S689" s="994"/>
      <c r="T689" s="1862">
        <f t="shared" ref="T689:T752" si="130">IFERROR(HLOOKUP(B689,BangKeTru,3,0),0)</f>
        <v>0</v>
      </c>
    </row>
    <row r="690" spans="1:20" ht="22.2" hidden="1" customHeight="1">
      <c r="A690" s="1448">
        <f>COUNTIF($C$12:C690,"x")</f>
        <v>38</v>
      </c>
      <c r="B690" s="1455" t="s">
        <v>1104</v>
      </c>
      <c r="C690" s="60" t="str">
        <f t="shared" ref="C690:C753" si="131">IF(OR(P690&lt;&gt;0,H690&lt;&gt;0),"x"," ")</f>
        <v xml:space="preserve"> </v>
      </c>
      <c r="D690" s="1415">
        <v>1</v>
      </c>
      <c r="E690" s="980" t="str">
        <f>VLOOKUP($B690,DG!A:D,DG!$B$2,)</f>
        <v>05.8103</v>
      </c>
      <c r="F690" s="985" t="str">
        <f>VLOOKUP($B690,DG!A:D,DG!C$2,)</f>
        <v>Đóng cọc tiếp địa đất cấp 3</v>
      </c>
      <c r="G690" s="980" t="str">
        <f>VLOOKUP($B690,DG!A:D,DG!$D$2,)</f>
        <v>cọc</v>
      </c>
      <c r="H690" s="1693"/>
      <c r="I690" s="1693"/>
      <c r="J690" s="1693"/>
      <c r="K690" s="1693"/>
      <c r="L690" s="1693"/>
      <c r="M690" s="1693"/>
      <c r="N690" s="1693"/>
      <c r="O690" s="1693"/>
      <c r="P690" s="1693"/>
      <c r="Q690" s="989"/>
      <c r="R690" s="989"/>
      <c r="S690" s="989"/>
      <c r="T690" s="1862">
        <f t="shared" si="130"/>
        <v>0</v>
      </c>
    </row>
    <row r="691" spans="1:20" ht="22.2" hidden="1" customHeight="1">
      <c r="A691" s="1448">
        <f>COUNTIF($C$12:C691,"x")</f>
        <v>38</v>
      </c>
      <c r="B691" s="1455" t="s">
        <v>1902</v>
      </c>
      <c r="C691" s="60" t="str">
        <f t="shared" si="131"/>
        <v xml:space="preserve"> </v>
      </c>
      <c r="D691" s="1413">
        <v>8.0000000000000002E-3</v>
      </c>
      <c r="E691" s="980" t="str">
        <f>VLOOKUP($B691,DG!A:D,DG!$B$2,)</f>
        <v>02.1120</v>
      </c>
      <c r="F691" s="985" t="str">
        <f>VLOOKUP($B691,DG!A:D,DG!C$2,)</f>
        <v>Bốc dỡ phụ kiện</v>
      </c>
      <c r="G691" s="980" t="str">
        <f>VLOOKUP($B691,DG!A:D,DG!$D$2,)</f>
        <v>tấn</v>
      </c>
      <c r="H691" s="1693"/>
      <c r="I691" s="1693"/>
      <c r="J691" s="1693"/>
      <c r="K691" s="1693"/>
      <c r="L691" s="1693"/>
      <c r="M691" s="1693"/>
      <c r="N691" s="1693"/>
      <c r="O691" s="1693"/>
      <c r="P691" s="1693"/>
      <c r="Q691" s="989"/>
      <c r="R691" s="989"/>
      <c r="S691" s="989"/>
      <c r="T691" s="1862">
        <f t="shared" si="130"/>
        <v>0</v>
      </c>
    </row>
    <row r="692" spans="1:20" ht="22.2" hidden="1" customHeight="1">
      <c r="A692" s="1448">
        <f>COUNTIF($C$12:C692,"x")</f>
        <v>38</v>
      </c>
      <c r="B692" s="1464" t="s">
        <v>1903</v>
      </c>
      <c r="C692" s="60" t="str">
        <f t="shared" si="131"/>
        <v xml:space="preserve"> </v>
      </c>
      <c r="D692" s="1413">
        <v>8.0000000000000002E-3</v>
      </c>
      <c r="E692" s="980" t="str">
        <f>VLOOKUP($B692,DG!A:C,2,)</f>
        <v>02.1351</v>
      </c>
      <c r="F692" s="985" t="str">
        <f>VLOOKUP($B692,DG!A:C,3,)</f>
        <v>V/c tiếp địa vào vị trí ( cự ly &lt;=100m)</v>
      </c>
      <c r="G692" s="980" t="str">
        <f>VLOOKUP($B692,DG!A:D,4,0)</f>
        <v>tấn</v>
      </c>
      <c r="H692" s="1693"/>
      <c r="I692" s="1693"/>
      <c r="J692" s="1693"/>
      <c r="K692" s="1693"/>
      <c r="L692" s="1693"/>
      <c r="M692" s="1693"/>
      <c r="N692" s="1693"/>
      <c r="O692" s="1693"/>
      <c r="P692" s="1693"/>
      <c r="Q692" s="994"/>
      <c r="R692" s="994"/>
      <c r="S692" s="994"/>
      <c r="T692" s="1862">
        <f t="shared" si="130"/>
        <v>0</v>
      </c>
    </row>
    <row r="693" spans="1:20" ht="22.2" hidden="1" customHeight="1">
      <c r="A693" s="1448">
        <f>COUNTIF($C$12:C693,"x")</f>
        <v>38</v>
      </c>
      <c r="B693" s="1452" t="s">
        <v>547</v>
      </c>
      <c r="C693" s="59" t="str">
        <f t="shared" si="131"/>
        <v xml:space="preserve"> </v>
      </c>
      <c r="D693" s="1426"/>
      <c r="E693" s="981"/>
      <c r="F693" s="1276" t="s">
        <v>2396</v>
      </c>
      <c r="G693" s="982" t="s">
        <v>2385</v>
      </c>
      <c r="H693" s="1691">
        <f>SUM(I693:O693)</f>
        <v>0</v>
      </c>
      <c r="I693" s="1692"/>
      <c r="J693" s="1692"/>
      <c r="K693" s="1692">
        <f>IFERROR(HLOOKUP(B693,pp3p1m!$1:$3,2,0),0)</f>
        <v>0</v>
      </c>
      <c r="L693" s="1692">
        <f>IFERROR(HLOOKUP(chitiet!B693,pp1p!$1:$3,3,0),0)</f>
        <v>0</v>
      </c>
      <c r="M693" s="1692"/>
      <c r="N693" s="1692"/>
      <c r="O693" s="1692"/>
      <c r="P693" s="2674">
        <f>T693</f>
        <v>0</v>
      </c>
      <c r="Q693" s="983">
        <f>IF(P693&gt;H693,P693-H693,0)</f>
        <v>0</v>
      </c>
      <c r="R693" s="983">
        <f>IF(H693&gt;P693,H693-P693,0)</f>
        <v>0</v>
      </c>
      <c r="S693" s="983"/>
      <c r="T693" s="1862">
        <f>IFERROR(HLOOKUP(B693,pp1p!$1:$3,3,0),0)+IFERROR(HLOOKUP(B693,pp3p1m!$1:$3,3,0),0)</f>
        <v>0</v>
      </c>
    </row>
    <row r="694" spans="1:20" ht="22.2" hidden="1" customHeight="1">
      <c r="A694" s="1448">
        <f>COUNTIF($C$12:C694,"x")</f>
        <v>38</v>
      </c>
      <c r="B694" s="1455" t="s">
        <v>1033</v>
      </c>
      <c r="C694" s="60" t="str">
        <f t="shared" si="131"/>
        <v xml:space="preserve"> </v>
      </c>
      <c r="D694" s="1414">
        <f>6*0.224</f>
        <v>1.3440000000000001</v>
      </c>
      <c r="E694" s="980"/>
      <c r="F694" s="992" t="str">
        <f>VLOOKUP($B694,DG!A:D,DG!C$2,)&amp;" (6m)"</f>
        <v>Cáp đồng trần M25mm2 (6m)</v>
      </c>
      <c r="G694" s="980" t="str">
        <f>VLOOKUP($B694,DG!A:D,DG!$D$2,)</f>
        <v>kg</v>
      </c>
      <c r="H694" s="1693">
        <f t="shared" ref="H694:N699" si="132">H$685*$D694</f>
        <v>0</v>
      </c>
      <c r="I694" s="1693">
        <f t="shared" si="132"/>
        <v>0</v>
      </c>
      <c r="J694" s="1693">
        <f t="shared" si="132"/>
        <v>0</v>
      </c>
      <c r="K694" s="1693">
        <f t="shared" si="132"/>
        <v>0</v>
      </c>
      <c r="L694" s="1693">
        <f t="shared" si="132"/>
        <v>0</v>
      </c>
      <c r="M694" s="1693">
        <f t="shared" si="132"/>
        <v>0</v>
      </c>
      <c r="N694" s="1693">
        <f t="shared" si="132"/>
        <v>0</v>
      </c>
      <c r="O694" s="1693"/>
      <c r="P694" s="1693"/>
      <c r="Q694" s="989"/>
      <c r="R694" s="989"/>
      <c r="S694" s="989"/>
      <c r="T694" s="1862">
        <f t="shared" si="130"/>
        <v>0</v>
      </c>
    </row>
    <row r="695" spans="1:20" ht="22.2" hidden="1" customHeight="1">
      <c r="A695" s="1448">
        <f>COUNTIF($C$12:C695,"x")</f>
        <v>38</v>
      </c>
      <c r="B695" s="1455" t="s">
        <v>794</v>
      </c>
      <c r="C695" s="60" t="str">
        <f t="shared" si="131"/>
        <v xml:space="preserve"> </v>
      </c>
      <c r="D695" s="1425">
        <f>0.3*1*0.3</f>
        <v>0.09</v>
      </c>
      <c r="E695" s="980"/>
      <c r="F695" s="985" t="str">
        <f>VLOOKUP($B695,DG!A:D,DG!C$2,)&amp;": 0,3x0,3x1"</f>
        <v>Đào rãnh tiếp địa đất cấp 3: 0,3x0,3x1</v>
      </c>
      <c r="G695" s="980" t="str">
        <f>VLOOKUP($B695,DG!A:D,DG!$D$2,)</f>
        <v>m3</v>
      </c>
      <c r="H695" s="1693">
        <f t="shared" si="132"/>
        <v>0</v>
      </c>
      <c r="I695" s="1693">
        <f t="shared" si="132"/>
        <v>0</v>
      </c>
      <c r="J695" s="1693">
        <f t="shared" si="132"/>
        <v>0</v>
      </c>
      <c r="K695" s="1693">
        <f t="shared" si="132"/>
        <v>0</v>
      </c>
      <c r="L695" s="1693">
        <f t="shared" si="132"/>
        <v>0</v>
      </c>
      <c r="M695" s="1693">
        <f t="shared" si="132"/>
        <v>0</v>
      </c>
      <c r="N695" s="1693">
        <f t="shared" si="132"/>
        <v>0</v>
      </c>
      <c r="O695" s="1693"/>
      <c r="P695" s="1693"/>
      <c r="Q695" s="989"/>
      <c r="R695" s="989"/>
      <c r="S695" s="989"/>
      <c r="T695" s="1862">
        <f t="shared" si="130"/>
        <v>0</v>
      </c>
    </row>
    <row r="696" spans="1:20" ht="22.2" hidden="1" customHeight="1">
      <c r="A696" s="1448">
        <f>COUNTIF($C$12:C696,"x")</f>
        <v>38</v>
      </c>
      <c r="B696" s="1455" t="s">
        <v>798</v>
      </c>
      <c r="C696" s="60" t="str">
        <f t="shared" si="131"/>
        <v xml:space="preserve"> </v>
      </c>
      <c r="D696" s="1425">
        <f>D695</f>
        <v>0.09</v>
      </c>
      <c r="E696" s="980"/>
      <c r="F696" s="985" t="str">
        <f>VLOOKUP($B696,DG!A:D,DG!C$2,)&amp;": 0,3x0,3x1"</f>
        <v>Đắp đất rãnh tiếp độ chặt k=0,85: 0,3x0,3x1</v>
      </c>
      <c r="G696" s="980" t="str">
        <f>VLOOKUP($B696,DG!A:D,DG!$D$2,)</f>
        <v>m3</v>
      </c>
      <c r="H696" s="1693">
        <f t="shared" si="132"/>
        <v>0</v>
      </c>
      <c r="I696" s="1693">
        <f t="shared" si="132"/>
        <v>0</v>
      </c>
      <c r="J696" s="1693">
        <f t="shared" si="132"/>
        <v>0</v>
      </c>
      <c r="K696" s="1693">
        <f t="shared" si="132"/>
        <v>0</v>
      </c>
      <c r="L696" s="1693">
        <f t="shared" si="132"/>
        <v>0</v>
      </c>
      <c r="M696" s="1693">
        <f t="shared" si="132"/>
        <v>0</v>
      </c>
      <c r="N696" s="1693">
        <f t="shared" si="132"/>
        <v>0</v>
      </c>
      <c r="O696" s="1693"/>
      <c r="P696" s="1693"/>
      <c r="Q696" s="989"/>
      <c r="R696" s="989"/>
      <c r="S696" s="989"/>
      <c r="T696" s="1862">
        <f t="shared" si="130"/>
        <v>0</v>
      </c>
    </row>
    <row r="697" spans="1:20" ht="22.2" hidden="1" customHeight="1">
      <c r="A697" s="1448">
        <f>COUNTIF($C$12:C697,"x")</f>
        <v>38</v>
      </c>
      <c r="B697" s="1455" t="s">
        <v>104</v>
      </c>
      <c r="C697" s="60" t="str">
        <f t="shared" si="131"/>
        <v xml:space="preserve"> </v>
      </c>
      <c r="D697" s="1415">
        <v>1</v>
      </c>
      <c r="E697" s="980"/>
      <c r="F697" s="992" t="str">
        <f>VLOOKUP($B697,DG!A:D,DG!C$2,)</f>
        <v>Đầu cosse ép Cu 25mm2</v>
      </c>
      <c r="G697" s="980" t="str">
        <f>VLOOKUP($B697,DG!A:D,DG!$D$2,)</f>
        <v>cái</v>
      </c>
      <c r="H697" s="1693">
        <f t="shared" si="132"/>
        <v>0</v>
      </c>
      <c r="I697" s="1693">
        <f t="shared" si="132"/>
        <v>0</v>
      </c>
      <c r="J697" s="1693">
        <f t="shared" si="132"/>
        <v>0</v>
      </c>
      <c r="K697" s="1693">
        <f t="shared" si="132"/>
        <v>0</v>
      </c>
      <c r="L697" s="1693">
        <f t="shared" si="132"/>
        <v>0</v>
      </c>
      <c r="M697" s="1693">
        <f t="shared" si="132"/>
        <v>0</v>
      </c>
      <c r="N697" s="1693">
        <f t="shared" si="132"/>
        <v>0</v>
      </c>
      <c r="O697" s="1693"/>
      <c r="P697" s="1693"/>
      <c r="Q697" s="989"/>
      <c r="R697" s="989"/>
      <c r="S697" s="989"/>
      <c r="T697" s="1862">
        <f t="shared" si="130"/>
        <v>0</v>
      </c>
    </row>
    <row r="698" spans="1:20" ht="22.2" hidden="1" customHeight="1">
      <c r="A698" s="1448">
        <f>COUNTIF($C$12:C698,"x")</f>
        <v>38</v>
      </c>
      <c r="B698" s="1455" t="s">
        <v>138</v>
      </c>
      <c r="C698" s="60" t="str">
        <f t="shared" si="131"/>
        <v xml:space="preserve"> </v>
      </c>
      <c r="D698" s="1415">
        <v>1</v>
      </c>
      <c r="E698" s="980"/>
      <c r="F698" s="992" t="str">
        <f>VLOOKUP($B698,DG!A:D,DG!C$2,)</f>
        <v>Boulon 12x40+ 2 long đền vuông D14-50x50x3/Zn</v>
      </c>
      <c r="G698" s="980" t="str">
        <f>VLOOKUP($B698,DG!A:D,DG!$D$2,)</f>
        <v>bộ</v>
      </c>
      <c r="H698" s="1693">
        <f t="shared" si="132"/>
        <v>0</v>
      </c>
      <c r="I698" s="1693">
        <f t="shared" si="132"/>
        <v>0</v>
      </c>
      <c r="J698" s="1693">
        <f t="shared" si="132"/>
        <v>0</v>
      </c>
      <c r="K698" s="1693">
        <f t="shared" si="132"/>
        <v>0</v>
      </c>
      <c r="L698" s="1693">
        <f t="shared" si="132"/>
        <v>0</v>
      </c>
      <c r="M698" s="1693">
        <f t="shared" si="132"/>
        <v>0</v>
      </c>
      <c r="N698" s="1693">
        <f t="shared" si="132"/>
        <v>0</v>
      </c>
      <c r="O698" s="1693"/>
      <c r="P698" s="1693"/>
      <c r="Q698" s="989"/>
      <c r="R698" s="989"/>
      <c r="S698" s="989"/>
      <c r="T698" s="1862">
        <f t="shared" si="130"/>
        <v>0</v>
      </c>
    </row>
    <row r="699" spans="1:20" ht="22.2" hidden="1" customHeight="1">
      <c r="A699" s="1448">
        <f>COUNTIF($C$12:C699,"x")</f>
        <v>38</v>
      </c>
      <c r="B699" s="1455" t="s">
        <v>576</v>
      </c>
      <c r="C699" s="60" t="str">
        <f t="shared" si="131"/>
        <v xml:space="preserve"> </v>
      </c>
      <c r="D699" s="1415">
        <v>3</v>
      </c>
      <c r="E699" s="980"/>
      <c r="F699" s="992" t="str">
        <f>VLOOKUP($B699,DG!A:D,DG!C$2,)</f>
        <v xml:space="preserve">Ống PVC D21x1,6mm </v>
      </c>
      <c r="G699" s="980" t="str">
        <f>VLOOKUP($B699,DG!A:D,DG!$D$2,)</f>
        <v>m</v>
      </c>
      <c r="H699" s="1693">
        <f t="shared" si="132"/>
        <v>0</v>
      </c>
      <c r="I699" s="1693">
        <f t="shared" si="132"/>
        <v>0</v>
      </c>
      <c r="J699" s="1693">
        <f t="shared" si="132"/>
        <v>0</v>
      </c>
      <c r="K699" s="1693">
        <f t="shared" si="132"/>
        <v>0</v>
      </c>
      <c r="L699" s="1693">
        <f t="shared" si="132"/>
        <v>0</v>
      </c>
      <c r="M699" s="1693">
        <f t="shared" si="132"/>
        <v>0</v>
      </c>
      <c r="N699" s="1693">
        <f t="shared" si="132"/>
        <v>0</v>
      </c>
      <c r="O699" s="1693"/>
      <c r="P699" s="1693"/>
      <c r="Q699" s="989"/>
      <c r="R699" s="989"/>
      <c r="S699" s="989"/>
      <c r="T699" s="1862">
        <f t="shared" si="130"/>
        <v>0</v>
      </c>
    </row>
    <row r="700" spans="1:20" ht="22.2" hidden="1" customHeight="1">
      <c r="A700" s="1448">
        <f>COUNTIF($C$12:C700,"x")</f>
        <v>38</v>
      </c>
      <c r="B700" s="1455" t="s">
        <v>1517</v>
      </c>
      <c r="C700" s="60" t="str">
        <f t="shared" si="131"/>
        <v xml:space="preserve"> </v>
      </c>
      <c r="D700" s="1415">
        <v>1</v>
      </c>
      <c r="E700" s="980" t="str">
        <f>VLOOKUP($B700,DG!A:D,DG!$B$2,)</f>
        <v>05.7001</v>
      </c>
      <c r="F700" s="985" t="str">
        <f>VLOOKUP($B700,DG!A:D,DG!C$2,)</f>
        <v xml:space="preserve">Kéo dây tiếp địa </v>
      </c>
      <c r="G700" s="980" t="str">
        <f>VLOOKUP($B700,DG!A:D,DG!$D$2,)</f>
        <v>mét</v>
      </c>
      <c r="H700" s="1693"/>
      <c r="I700" s="1693"/>
      <c r="J700" s="1693"/>
      <c r="K700" s="1693"/>
      <c r="L700" s="1693"/>
      <c r="M700" s="1693"/>
      <c r="N700" s="1693"/>
      <c r="O700" s="1693"/>
      <c r="P700" s="1693"/>
      <c r="Q700" s="994"/>
      <c r="R700" s="994"/>
      <c r="S700" s="994"/>
      <c r="T700" s="1862">
        <f t="shared" si="130"/>
        <v>0</v>
      </c>
    </row>
    <row r="701" spans="1:20" ht="22.2" hidden="1" customHeight="1">
      <c r="A701" s="1448">
        <f>COUNTIF($C$12:C701,"x")</f>
        <v>38</v>
      </c>
      <c r="B701" s="1455" t="s">
        <v>1115</v>
      </c>
      <c r="C701" s="60" t="str">
        <f t="shared" si="131"/>
        <v xml:space="preserve"> </v>
      </c>
      <c r="D701" s="1415">
        <v>1</v>
      </c>
      <c r="E701" s="980">
        <f>VLOOKUP($B701,DG!A:D,DG!$B$2,)</f>
        <v>0</v>
      </c>
      <c r="F701" s="992" t="str">
        <f>VLOOKUP($B701,DG!A:D,DG!C$2,)</f>
        <v>Kẹp ép cỡ dây 25mm2</v>
      </c>
      <c r="G701" s="980" t="str">
        <f>VLOOKUP($B701,DG!A:D,DG!$D$2,)</f>
        <v>cái</v>
      </c>
      <c r="H701" s="1693"/>
      <c r="I701" s="1693"/>
      <c r="J701" s="1693"/>
      <c r="K701" s="1693"/>
      <c r="L701" s="1693"/>
      <c r="M701" s="1693"/>
      <c r="N701" s="1693"/>
      <c r="O701" s="1693"/>
      <c r="P701" s="1693"/>
      <c r="Q701" s="989"/>
      <c r="R701" s="989"/>
      <c r="S701" s="989"/>
      <c r="T701" s="1862">
        <f t="shared" si="130"/>
        <v>0</v>
      </c>
    </row>
    <row r="702" spans="1:20" ht="22.2" hidden="1" customHeight="1">
      <c r="A702" s="1448">
        <f>COUNTIF($C$12:C702,"x")</f>
        <v>38</v>
      </c>
      <c r="B702" s="1452" t="s">
        <v>1054</v>
      </c>
      <c r="C702" s="59" t="str">
        <f t="shared" si="131"/>
        <v xml:space="preserve"> </v>
      </c>
      <c r="D702" s="1426"/>
      <c r="E702" s="981"/>
      <c r="F702" s="1276" t="s">
        <v>2397</v>
      </c>
      <c r="G702" s="982" t="s">
        <v>2385</v>
      </c>
      <c r="H702" s="1691">
        <f>SUM(I702:O702)</f>
        <v>0</v>
      </c>
      <c r="I702" s="1692"/>
      <c r="J702" s="1692"/>
      <c r="K702" s="1692">
        <f>IFERROR(HLOOKUP(B702,pp3p1m!$1:$3,2,0),0)</f>
        <v>0</v>
      </c>
      <c r="L702" s="1692">
        <f>IFERROR(HLOOKUP(chitiet!B702,pp1p!$1:$3,3,0),0)</f>
        <v>0</v>
      </c>
      <c r="M702" s="1692"/>
      <c r="N702" s="1692"/>
      <c r="O702" s="1692"/>
      <c r="P702" s="2674">
        <f>T702</f>
        <v>0</v>
      </c>
      <c r="Q702" s="983">
        <f>IF(P702&gt;H702,P702-H702,0)</f>
        <v>0</v>
      </c>
      <c r="R702" s="983">
        <f>IF(H702&gt;P702,H702-P702,0)</f>
        <v>0</v>
      </c>
      <c r="S702" s="983"/>
      <c r="T702" s="1862">
        <f>IFERROR(HLOOKUP(B702,pp1p!$1:$3,3,0),0)+IFERROR(HLOOKUP(B702,pp3p1m!$1:$3,3,0),0)</f>
        <v>0</v>
      </c>
    </row>
    <row r="703" spans="1:20" ht="22.2" hidden="1" customHeight="1">
      <c r="A703" s="1448">
        <f>COUNTIF($C$12:C703,"x")</f>
        <v>38</v>
      </c>
      <c r="B703" s="1455" t="s">
        <v>103</v>
      </c>
      <c r="C703" s="60" t="str">
        <f t="shared" si="131"/>
        <v xml:space="preserve"> </v>
      </c>
      <c r="D703" s="1414">
        <f>53*0.224</f>
        <v>11.872</v>
      </c>
      <c r="E703" s="980"/>
      <c r="F703" s="992" t="str">
        <f>VLOOKUP($B703,DG!A:D,DG!C$2,)&amp;" (53m)"</f>
        <v>Cáp đồng trần M25mm2 (53m)</v>
      </c>
      <c r="G703" s="980" t="str">
        <f>VLOOKUP($B703,DG!A:D,DG!$D$2,)</f>
        <v>kg</v>
      </c>
      <c r="H703" s="1693">
        <f t="shared" ref="H703:N710" si="133">H$685*$D703</f>
        <v>0</v>
      </c>
      <c r="I703" s="1693">
        <f t="shared" si="133"/>
        <v>0</v>
      </c>
      <c r="J703" s="1693">
        <f t="shared" si="133"/>
        <v>0</v>
      </c>
      <c r="K703" s="1693">
        <f t="shared" si="133"/>
        <v>0</v>
      </c>
      <c r="L703" s="1693">
        <f t="shared" si="133"/>
        <v>0</v>
      </c>
      <c r="M703" s="1693">
        <f t="shared" si="133"/>
        <v>0</v>
      </c>
      <c r="N703" s="1693">
        <f t="shared" si="133"/>
        <v>0</v>
      </c>
      <c r="O703" s="1693"/>
      <c r="P703" s="1693"/>
      <c r="Q703" s="989"/>
      <c r="R703" s="989"/>
      <c r="S703" s="989"/>
      <c r="T703" s="1862">
        <f t="shared" si="130"/>
        <v>0</v>
      </c>
    </row>
    <row r="704" spans="1:20" ht="22.2" hidden="1" customHeight="1">
      <c r="A704" s="1448">
        <f>COUNTIF($C$12:C704,"x")</f>
        <v>38</v>
      </c>
      <c r="B704" s="1455" t="s">
        <v>1508</v>
      </c>
      <c r="C704" s="60" t="str">
        <f t="shared" si="131"/>
        <v xml:space="preserve"> </v>
      </c>
      <c r="D704" s="1415">
        <v>9</v>
      </c>
      <c r="E704" s="980"/>
      <c r="F704" s="992" t="str">
        <f>VLOOKUP($B704,DG!A:D,DG!C$2,)</f>
        <v>Cọc tiếp đất Þ 16- 2,4m + kẹp cọc mạ đồng</v>
      </c>
      <c r="G704" s="980" t="str">
        <f>VLOOKUP($B704,DG!A:D,DG!$D$2,)</f>
        <v>bộ</v>
      </c>
      <c r="H704" s="1693">
        <f t="shared" si="133"/>
        <v>0</v>
      </c>
      <c r="I704" s="1693">
        <f t="shared" si="133"/>
        <v>0</v>
      </c>
      <c r="J704" s="1693">
        <f t="shared" si="133"/>
        <v>0</v>
      </c>
      <c r="K704" s="1693">
        <f t="shared" si="133"/>
        <v>0</v>
      </c>
      <c r="L704" s="1693">
        <f t="shared" si="133"/>
        <v>0</v>
      </c>
      <c r="M704" s="1693">
        <f t="shared" si="133"/>
        <v>0</v>
      </c>
      <c r="N704" s="1693">
        <f t="shared" si="133"/>
        <v>0</v>
      </c>
      <c r="O704" s="1693"/>
      <c r="P704" s="1693"/>
      <c r="Q704" s="989"/>
      <c r="R704" s="989"/>
      <c r="S704" s="989"/>
      <c r="T704" s="1862">
        <f t="shared" si="130"/>
        <v>0</v>
      </c>
    </row>
    <row r="705" spans="1:20" ht="22.2" hidden="1" customHeight="1">
      <c r="A705" s="1448">
        <f>COUNTIF($C$12:C705,"x")</f>
        <v>38</v>
      </c>
      <c r="B705" s="1455" t="s">
        <v>905</v>
      </c>
      <c r="C705" s="60" t="str">
        <f t="shared" si="131"/>
        <v xml:space="preserve"> </v>
      </c>
      <c r="D705" s="1415">
        <v>2</v>
      </c>
      <c r="E705" s="980"/>
      <c r="F705" s="992" t="str">
        <f>VLOOKUP($B705,DG!A:D,DG!C$2,)</f>
        <v>Kẹp ép WR cỡ dây 50mm2</v>
      </c>
      <c r="G705" s="980" t="str">
        <f>VLOOKUP($B705,DG!A:D,DG!$D$2,)</f>
        <v>cái</v>
      </c>
      <c r="H705" s="1693">
        <f t="shared" si="133"/>
        <v>0</v>
      </c>
      <c r="I705" s="1693">
        <f t="shared" si="133"/>
        <v>0</v>
      </c>
      <c r="J705" s="1693">
        <f t="shared" si="133"/>
        <v>0</v>
      </c>
      <c r="K705" s="1693">
        <f t="shared" si="133"/>
        <v>0</v>
      </c>
      <c r="L705" s="1693">
        <f t="shared" si="133"/>
        <v>0</v>
      </c>
      <c r="M705" s="1693">
        <f t="shared" si="133"/>
        <v>0</v>
      </c>
      <c r="N705" s="1693">
        <f t="shared" si="133"/>
        <v>0</v>
      </c>
      <c r="O705" s="1693"/>
      <c r="P705" s="1693"/>
      <c r="Q705" s="989"/>
      <c r="R705" s="989"/>
      <c r="S705" s="989"/>
      <c r="T705" s="1862">
        <f t="shared" si="130"/>
        <v>0</v>
      </c>
    </row>
    <row r="706" spans="1:20" ht="22.2" hidden="1" customHeight="1">
      <c r="A706" s="1448">
        <f>COUNTIF($C$12:C706,"x")</f>
        <v>38</v>
      </c>
      <c r="B706" s="1455" t="s">
        <v>1114</v>
      </c>
      <c r="C706" s="60" t="str">
        <f t="shared" si="131"/>
        <v xml:space="preserve"> </v>
      </c>
      <c r="D706" s="1415">
        <v>11</v>
      </c>
      <c r="E706" s="980"/>
      <c r="F706" s="992" t="str">
        <f>VLOOKUP($B706,DG!A:D,DG!C$2,)</f>
        <v>Kẹp ép cỡ dây 25mm2</v>
      </c>
      <c r="G706" s="980" t="str">
        <f>VLOOKUP($B706,DG!A:D,DG!$D$2,)</f>
        <v>cái</v>
      </c>
      <c r="H706" s="1693">
        <f t="shared" si="133"/>
        <v>0</v>
      </c>
      <c r="I706" s="1693">
        <f t="shared" si="133"/>
        <v>0</v>
      </c>
      <c r="J706" s="1693">
        <f t="shared" si="133"/>
        <v>0</v>
      </c>
      <c r="K706" s="1693">
        <f t="shared" si="133"/>
        <v>0</v>
      </c>
      <c r="L706" s="1693">
        <f t="shared" si="133"/>
        <v>0</v>
      </c>
      <c r="M706" s="1693">
        <f t="shared" si="133"/>
        <v>0</v>
      </c>
      <c r="N706" s="1693">
        <f t="shared" si="133"/>
        <v>0</v>
      </c>
      <c r="O706" s="1693"/>
      <c r="P706" s="1693"/>
      <c r="Q706" s="989"/>
      <c r="R706" s="989"/>
      <c r="S706" s="989"/>
      <c r="T706" s="1862">
        <f t="shared" si="130"/>
        <v>0</v>
      </c>
    </row>
    <row r="707" spans="1:20" ht="22.2" hidden="1" customHeight="1">
      <c r="A707" s="1448">
        <f>COUNTIF($C$12:C707,"x")</f>
        <v>38</v>
      </c>
      <c r="B707" s="1455" t="s">
        <v>1490</v>
      </c>
      <c r="C707" s="60" t="str">
        <f t="shared" si="131"/>
        <v xml:space="preserve"> </v>
      </c>
      <c r="D707" s="1415">
        <v>6</v>
      </c>
      <c r="E707" s="980"/>
      <c r="F707" s="992" t="str">
        <f>VLOOKUP($B707,DG!A:D,DG!C$2,)</f>
        <v xml:space="preserve">Ống PVC D21x1,6mm </v>
      </c>
      <c r="G707" s="980" t="str">
        <f>VLOOKUP($B707,DG!A:D,DG!$D$2,)</f>
        <v>m</v>
      </c>
      <c r="H707" s="1693">
        <f t="shared" si="133"/>
        <v>0</v>
      </c>
      <c r="I707" s="1693">
        <f t="shared" si="133"/>
        <v>0</v>
      </c>
      <c r="J707" s="1693">
        <f t="shared" si="133"/>
        <v>0</v>
      </c>
      <c r="K707" s="1693">
        <f t="shared" si="133"/>
        <v>0</v>
      </c>
      <c r="L707" s="1693">
        <f t="shared" si="133"/>
        <v>0</v>
      </c>
      <c r="M707" s="1693">
        <f t="shared" si="133"/>
        <v>0</v>
      </c>
      <c r="N707" s="1693">
        <f t="shared" si="133"/>
        <v>0</v>
      </c>
      <c r="O707" s="1693"/>
      <c r="P707" s="1693"/>
      <c r="Q707" s="989"/>
      <c r="R707" s="989"/>
      <c r="S707" s="989"/>
      <c r="T707" s="1862">
        <f t="shared" si="130"/>
        <v>0</v>
      </c>
    </row>
    <row r="708" spans="1:20" ht="22.2" hidden="1" customHeight="1">
      <c r="A708" s="1448">
        <f>COUNTIF($C$12:C708,"x")</f>
        <v>38</v>
      </c>
      <c r="B708" s="1455" t="s">
        <v>525</v>
      </c>
      <c r="C708" s="60" t="str">
        <f t="shared" si="131"/>
        <v xml:space="preserve"> </v>
      </c>
      <c r="D708" s="1415">
        <v>3</v>
      </c>
      <c r="E708" s="980"/>
      <c r="F708" s="992" t="str">
        <f>VLOOKUP($B708,DG!A:D,DG!C$2,)</f>
        <v>Cổ dê kẹp ống PVC  21</v>
      </c>
      <c r="G708" s="980" t="str">
        <f>VLOOKUP($B708,DG!A:D,DG!$D$2,)</f>
        <v>bộ</v>
      </c>
      <c r="H708" s="1693">
        <f t="shared" si="133"/>
        <v>0</v>
      </c>
      <c r="I708" s="1693">
        <f t="shared" si="133"/>
        <v>0</v>
      </c>
      <c r="J708" s="1693">
        <f t="shared" si="133"/>
        <v>0</v>
      </c>
      <c r="K708" s="1693">
        <f t="shared" si="133"/>
        <v>0</v>
      </c>
      <c r="L708" s="1693">
        <f t="shared" si="133"/>
        <v>0</v>
      </c>
      <c r="M708" s="1693">
        <f t="shared" si="133"/>
        <v>0</v>
      </c>
      <c r="N708" s="1693">
        <f t="shared" si="133"/>
        <v>0</v>
      </c>
      <c r="O708" s="1693"/>
      <c r="P708" s="1693"/>
      <c r="Q708" s="989"/>
      <c r="R708" s="989"/>
      <c r="S708" s="989"/>
      <c r="T708" s="1862">
        <f t="shared" si="130"/>
        <v>0</v>
      </c>
    </row>
    <row r="709" spans="1:20" ht="22.2" hidden="1" customHeight="1">
      <c r="A709" s="1448">
        <f>COUNTIF($C$12:C709,"x")</f>
        <v>38</v>
      </c>
      <c r="B709" s="1455" t="s">
        <v>1052</v>
      </c>
      <c r="C709" s="60" t="str">
        <f t="shared" si="131"/>
        <v xml:space="preserve"> </v>
      </c>
      <c r="D709" s="1415">
        <v>2</v>
      </c>
      <c r="E709" s="980"/>
      <c r="F709" s="992" t="str">
        <f>VLOOKUP($B709,DG!A:D,DG!C$2,)</f>
        <v>Đầu cosse ép Cu 25mm2</v>
      </c>
      <c r="G709" s="980" t="str">
        <f>VLOOKUP($B709,DG!A:D,DG!$D$2,)</f>
        <v>cái</v>
      </c>
      <c r="H709" s="1693">
        <f t="shared" si="133"/>
        <v>0</v>
      </c>
      <c r="I709" s="1693">
        <f t="shared" si="133"/>
        <v>0</v>
      </c>
      <c r="J709" s="1693">
        <f t="shared" si="133"/>
        <v>0</v>
      </c>
      <c r="K709" s="1693">
        <f t="shared" si="133"/>
        <v>0</v>
      </c>
      <c r="L709" s="1693">
        <f t="shared" si="133"/>
        <v>0</v>
      </c>
      <c r="M709" s="1693">
        <f t="shared" si="133"/>
        <v>0</v>
      </c>
      <c r="N709" s="1693">
        <f t="shared" si="133"/>
        <v>0</v>
      </c>
      <c r="O709" s="1693"/>
      <c r="P709" s="1693"/>
      <c r="Q709" s="989"/>
      <c r="R709" s="989"/>
      <c r="S709" s="989"/>
      <c r="T709" s="1862">
        <f t="shared" si="130"/>
        <v>0</v>
      </c>
    </row>
    <row r="710" spans="1:20" ht="22.2" hidden="1" customHeight="1">
      <c r="A710" s="1448">
        <f>COUNTIF($C$12:C710,"x")</f>
        <v>38</v>
      </c>
      <c r="B710" s="1455" t="s">
        <v>2019</v>
      </c>
      <c r="C710" s="60" t="str">
        <f t="shared" si="131"/>
        <v xml:space="preserve"> </v>
      </c>
      <c r="D710" s="1415">
        <v>1</v>
      </c>
      <c r="E710" s="980"/>
      <c r="F710" s="992" t="str">
        <f>VLOOKUP($B710,DG!A:D,DG!C$2,)</f>
        <v>Boulon 12x40+ 2 long đền vuông D14-50x50x3/Zn</v>
      </c>
      <c r="G710" s="980" t="str">
        <f>VLOOKUP($B710,DG!A:D,DG!$D$2,)</f>
        <v>bộ</v>
      </c>
      <c r="H710" s="1693">
        <f t="shared" si="133"/>
        <v>0</v>
      </c>
      <c r="I710" s="1693">
        <f t="shared" si="133"/>
        <v>0</v>
      </c>
      <c r="J710" s="1693">
        <f t="shared" si="133"/>
        <v>0</v>
      </c>
      <c r="K710" s="1693">
        <f t="shared" si="133"/>
        <v>0</v>
      </c>
      <c r="L710" s="1693">
        <f t="shared" si="133"/>
        <v>0</v>
      </c>
      <c r="M710" s="1693">
        <f t="shared" si="133"/>
        <v>0</v>
      </c>
      <c r="N710" s="1693">
        <f t="shared" si="133"/>
        <v>0</v>
      </c>
      <c r="O710" s="1693"/>
      <c r="P710" s="1693"/>
      <c r="Q710" s="989"/>
      <c r="R710" s="989"/>
      <c r="S710" s="989"/>
      <c r="T710" s="1862">
        <f t="shared" si="130"/>
        <v>0</v>
      </c>
    </row>
    <row r="711" spans="1:20" ht="22.2" hidden="1" customHeight="1">
      <c r="A711" s="1448">
        <f>COUNTIF($C$12:C711,"x")</f>
        <v>38</v>
      </c>
      <c r="B711" s="1455" t="s">
        <v>1517</v>
      </c>
      <c r="C711" s="60" t="str">
        <f t="shared" si="131"/>
        <v xml:space="preserve"> </v>
      </c>
      <c r="D711" s="1425">
        <f>D703</f>
        <v>11.872</v>
      </c>
      <c r="E711" s="980" t="str">
        <f>VLOOKUP($B711,DG!A:D,DG!$B$2,)</f>
        <v>05.7001</v>
      </c>
      <c r="F711" s="985" t="str">
        <f>VLOOKUP($B711,DG!A:D,DG!C$2,)</f>
        <v xml:space="preserve">Kéo dây tiếp địa </v>
      </c>
      <c r="G711" s="980" t="str">
        <f>VLOOKUP($B711,DG!A:D,DG!$D$2,)</f>
        <v>mét</v>
      </c>
      <c r="H711" s="1693"/>
      <c r="I711" s="1693"/>
      <c r="J711" s="1693"/>
      <c r="K711" s="1693"/>
      <c r="L711" s="1693"/>
      <c r="M711" s="1693"/>
      <c r="N711" s="1693"/>
      <c r="O711" s="1693"/>
      <c r="P711" s="1693"/>
      <c r="Q711" s="994"/>
      <c r="R711" s="994"/>
      <c r="S711" s="994"/>
      <c r="T711" s="1862">
        <f t="shared" si="130"/>
        <v>0</v>
      </c>
    </row>
    <row r="712" spans="1:20" ht="22.2" hidden="1" customHeight="1">
      <c r="A712" s="1448">
        <f>COUNTIF($C$12:C712,"x")</f>
        <v>38</v>
      </c>
      <c r="B712" s="1455" t="s">
        <v>1104</v>
      </c>
      <c r="C712" s="60" t="str">
        <f t="shared" si="131"/>
        <v xml:space="preserve"> </v>
      </c>
      <c r="D712" s="1415">
        <f>D704</f>
        <v>9</v>
      </c>
      <c r="E712" s="980" t="str">
        <f>VLOOKUP($B712,DG!A:D,DG!$B$2,)</f>
        <v>05.8103</v>
      </c>
      <c r="F712" s="985" t="str">
        <f>VLOOKUP($B712,DG!A:D,DG!C$2,)</f>
        <v>Đóng cọc tiếp địa đất cấp 3</v>
      </c>
      <c r="G712" s="980" t="str">
        <f>VLOOKUP($B712,DG!A:D,DG!$D$2,)</f>
        <v>cọc</v>
      </c>
      <c r="H712" s="1693"/>
      <c r="I712" s="1693"/>
      <c r="J712" s="1693"/>
      <c r="K712" s="1693"/>
      <c r="L712" s="1693"/>
      <c r="M712" s="1693"/>
      <c r="N712" s="1693"/>
      <c r="O712" s="1693"/>
      <c r="P712" s="1693"/>
      <c r="Q712" s="989"/>
      <c r="R712" s="989"/>
      <c r="S712" s="989"/>
      <c r="T712" s="1862">
        <f t="shared" si="130"/>
        <v>0</v>
      </c>
    </row>
    <row r="713" spans="1:20" ht="22.2" hidden="1" customHeight="1">
      <c r="A713" s="1448">
        <f>COUNTIF($C$12:C713,"x")</f>
        <v>38</v>
      </c>
      <c r="B713" s="1455" t="s">
        <v>1055</v>
      </c>
      <c r="C713" s="60" t="str">
        <f t="shared" si="131"/>
        <v xml:space="preserve"> </v>
      </c>
      <c r="D713" s="1425">
        <v>13.2</v>
      </c>
      <c r="E713" s="980" t="str">
        <f>VLOOKUP($B713,DG!A:D,DG!$B$2,)</f>
        <v>03.3123</v>
      </c>
      <c r="F713" s="985" t="str">
        <f>VLOOKUP($B713,DG!A:D,DG!C$2,)</f>
        <v>Đào rãnh tiếp địa đất cấp 3</v>
      </c>
      <c r="G713" s="980" t="str">
        <f>VLOOKUP($B713,DG!A:D,DG!$D$2,)</f>
        <v>m3</v>
      </c>
      <c r="H713" s="1693"/>
      <c r="I713" s="1693"/>
      <c r="J713" s="1693"/>
      <c r="K713" s="1693"/>
      <c r="L713" s="1693"/>
      <c r="M713" s="1693"/>
      <c r="N713" s="1693"/>
      <c r="O713" s="1693"/>
      <c r="P713" s="1693"/>
      <c r="Q713" s="994"/>
      <c r="R713" s="994"/>
      <c r="S713" s="994"/>
      <c r="T713" s="1862">
        <f t="shared" si="130"/>
        <v>0</v>
      </c>
    </row>
    <row r="714" spans="1:20" ht="22.2" hidden="1" customHeight="1">
      <c r="A714" s="1448">
        <f>COUNTIF($C$12:C714,"x")</f>
        <v>38</v>
      </c>
      <c r="B714" s="1455" t="s">
        <v>1056</v>
      </c>
      <c r="C714" s="60" t="str">
        <f t="shared" si="131"/>
        <v xml:space="preserve"> </v>
      </c>
      <c r="D714" s="1425">
        <f>D713</f>
        <v>13.2</v>
      </c>
      <c r="E714" s="980" t="str">
        <f>VLOOKUP($B714,DG!A:D,DG!$B$2,)</f>
        <v>03.4123</v>
      </c>
      <c r="F714" s="985" t="str">
        <f>VLOOKUP($B714,DG!A:D,DG!C$2,)</f>
        <v>Đắp đất rãnh tiếp độ chặt k=0,85</v>
      </c>
      <c r="G714" s="980" t="str">
        <f>VLOOKUP($B714,DG!A:D,DG!$D$2,)</f>
        <v>m3</v>
      </c>
      <c r="H714" s="1693"/>
      <c r="I714" s="1693"/>
      <c r="J714" s="1693"/>
      <c r="K714" s="1693"/>
      <c r="L714" s="1693"/>
      <c r="M714" s="1693"/>
      <c r="N714" s="1693"/>
      <c r="O714" s="1693"/>
      <c r="P714" s="1693"/>
      <c r="Q714" s="989"/>
      <c r="R714" s="989"/>
      <c r="S714" s="989"/>
      <c r="T714" s="1862">
        <f t="shared" si="130"/>
        <v>0</v>
      </c>
    </row>
    <row r="715" spans="1:20" ht="22.2" hidden="1" customHeight="1">
      <c r="A715" s="1448">
        <f>COUNTIF($C$12:C715,"x")</f>
        <v>38</v>
      </c>
      <c r="B715" s="1455" t="s">
        <v>1902</v>
      </c>
      <c r="C715" s="60" t="str">
        <f t="shared" si="131"/>
        <v xml:space="preserve"> </v>
      </c>
      <c r="D715" s="1413"/>
      <c r="E715" s="980" t="str">
        <f>VLOOKUP($B715,DG!A:D,DG!$B$2,)</f>
        <v>02.1120</v>
      </c>
      <c r="F715" s="985" t="str">
        <f>VLOOKUP($B715,DG!A:D,DG!C$2,)</f>
        <v>Bốc dỡ phụ kiện</v>
      </c>
      <c r="G715" s="980" t="str">
        <f>VLOOKUP($B715,DG!A:D,DG!$D$2,)</f>
        <v>tấn</v>
      </c>
      <c r="H715" s="1693"/>
      <c r="I715" s="1693"/>
      <c r="J715" s="1693"/>
      <c r="K715" s="1693"/>
      <c r="L715" s="1693"/>
      <c r="M715" s="1693"/>
      <c r="N715" s="1693"/>
      <c r="O715" s="1693"/>
      <c r="P715" s="1693"/>
      <c r="Q715" s="989"/>
      <c r="R715" s="989"/>
      <c r="S715" s="989"/>
      <c r="T715" s="1862">
        <f t="shared" si="130"/>
        <v>0</v>
      </c>
    </row>
    <row r="716" spans="1:20" ht="22.2" hidden="1" customHeight="1">
      <c r="A716" s="1448">
        <f>COUNTIF($C$12:C716,"x")</f>
        <v>38</v>
      </c>
      <c r="B716" s="1464" t="s">
        <v>1903</v>
      </c>
      <c r="C716" s="60" t="str">
        <f t="shared" si="131"/>
        <v xml:space="preserve"> </v>
      </c>
      <c r="D716" s="1413"/>
      <c r="E716" s="980" t="str">
        <f>VLOOKUP($B716,DG!A:C,2,)</f>
        <v>02.1351</v>
      </c>
      <c r="F716" s="985" t="str">
        <f>VLOOKUP($B716,DG!A:C,3,)</f>
        <v>V/c tiếp địa vào vị trí ( cự ly &lt;=100m)</v>
      </c>
      <c r="G716" s="980" t="str">
        <f>VLOOKUP($B716,DG!A:D,4,0)</f>
        <v>tấn</v>
      </c>
      <c r="H716" s="1693"/>
      <c r="I716" s="1693"/>
      <c r="J716" s="1693"/>
      <c r="K716" s="1693"/>
      <c r="L716" s="1693"/>
      <c r="M716" s="1693"/>
      <c r="N716" s="1693"/>
      <c r="O716" s="1693"/>
      <c r="P716" s="1693"/>
      <c r="Q716" s="994"/>
      <c r="R716" s="994"/>
      <c r="S716" s="994"/>
      <c r="T716" s="1862">
        <f t="shared" si="130"/>
        <v>0</v>
      </c>
    </row>
    <row r="717" spans="1:20" ht="22.2" hidden="1" customHeight="1">
      <c r="A717" s="1448">
        <f>COUNTIF($C$12:C717,"x")</f>
        <v>38</v>
      </c>
      <c r="B717" s="1456"/>
      <c r="C717" s="1701" t="str">
        <f>IF(OR(H717&lt;&gt;0,P717&lt;&gt;0),"x"," ")</f>
        <v xml:space="preserve"> </v>
      </c>
      <c r="D717" s="1427">
        <f>SUM(H717:N717)+S717</f>
        <v>0</v>
      </c>
      <c r="E717" s="982" t="s">
        <v>939</v>
      </c>
      <c r="F717" s="979" t="s">
        <v>2289</v>
      </c>
      <c r="G717" s="981"/>
      <c r="H717" s="1691">
        <f>SUM(I717:O717)</f>
        <v>0</v>
      </c>
      <c r="I717" s="1687"/>
      <c r="J717" s="1687"/>
      <c r="K717" s="1692">
        <f>IFERROR(HLOOKUP(B717,pp3p1m!$1:$3,2,0),0)</f>
        <v>0</v>
      </c>
      <c r="L717" s="1692">
        <f>IFERROR(HLOOKUP(chitiet!B717,pp1p!$1:$3,3,0),0)</f>
        <v>0</v>
      </c>
      <c r="M717" s="1687"/>
      <c r="N717" s="1687"/>
      <c r="O717" s="1687"/>
      <c r="P717" s="2674">
        <f>T717</f>
        <v>0</v>
      </c>
      <c r="Q717" s="983">
        <f>IF(P717&gt;H717,P717-H717,0)</f>
        <v>0</v>
      </c>
      <c r="R717" s="983">
        <f>IF(H717&gt;P717,H717-P717,0)</f>
        <v>0</v>
      </c>
      <c r="S717" s="981"/>
      <c r="T717" s="1862">
        <f>IFERROR(HLOOKUP(B717,pp1p!$1:$3,3,0),0)+IFERROR(HLOOKUP(B717,pp3p1m!$1:$3,3,0),0)</f>
        <v>0</v>
      </c>
    </row>
    <row r="718" spans="1:20" ht="22.2" hidden="1" customHeight="1">
      <c r="A718" s="1448">
        <f>COUNTIF($C$12:C718,"x")</f>
        <v>38</v>
      </c>
      <c r="B718" s="1457" t="s">
        <v>954</v>
      </c>
      <c r="C718" s="970" t="str">
        <f t="shared" si="131"/>
        <v xml:space="preserve"> </v>
      </c>
      <c r="D718" s="1412"/>
      <c r="E718" s="981"/>
      <c r="F718" s="1276" t="s">
        <v>2398</v>
      </c>
      <c r="G718" s="982" t="s">
        <v>2277</v>
      </c>
      <c r="H718" s="1691">
        <f>SUM(I718:O718)</f>
        <v>0</v>
      </c>
      <c r="I718" s="1692"/>
      <c r="J718" s="1692"/>
      <c r="K718" s="1692">
        <f>IFERROR(HLOOKUP(B718,pp3p1m!$1:$3,2,0),0)</f>
        <v>0</v>
      </c>
      <c r="L718" s="1692">
        <f>IFERROR(HLOOKUP(chitiet!B718,pp1p!$1:$3,3,0),0)</f>
        <v>0</v>
      </c>
      <c r="M718" s="1692"/>
      <c r="N718" s="1692"/>
      <c r="O718" s="1692"/>
      <c r="P718" s="2674">
        <f>T718</f>
        <v>0</v>
      </c>
      <c r="Q718" s="983">
        <f>IF(P718&gt;H718,P718-H718,0)</f>
        <v>0</v>
      </c>
      <c r="R718" s="983">
        <f>IF(H718&gt;P718,H718-P718,0)</f>
        <v>0</v>
      </c>
      <c r="S718" s="983"/>
      <c r="T718" s="1862">
        <f>IFERROR(HLOOKUP(B718,pp1p!$1:$3,3,0),0)+IFERROR(HLOOKUP(B718,pp3p1m!$1:$3,3,0),0)</f>
        <v>0</v>
      </c>
    </row>
    <row r="719" spans="1:20" ht="22.2" hidden="1" customHeight="1">
      <c r="A719" s="1448">
        <f>COUNTIF($C$12:C719,"x")</f>
        <v>38</v>
      </c>
      <c r="B719" s="1455" t="s">
        <v>441</v>
      </c>
      <c r="C719" s="970" t="str">
        <f t="shared" si="131"/>
        <v xml:space="preserve"> </v>
      </c>
      <c r="D719" s="1415">
        <v>1</v>
      </c>
      <c r="E719" s="980"/>
      <c r="F719" s="992" t="str">
        <f>VLOOKUP($B719,DG!A:D,DG!$C$2,)</f>
        <v>Trụ thép tròn cao 6 mét</v>
      </c>
      <c r="G719" s="980" t="str">
        <f>VLOOKUP($B719,DG!A:D,DG!$D$2,)</f>
        <v>trụ</v>
      </c>
      <c r="H719" s="1693">
        <f t="shared" ref="H719:N720" si="134">H$725*$D719</f>
        <v>0</v>
      </c>
      <c r="I719" s="1693">
        <f t="shared" si="134"/>
        <v>0</v>
      </c>
      <c r="J719" s="1693">
        <f t="shared" si="134"/>
        <v>0</v>
      </c>
      <c r="K719" s="1693">
        <f t="shared" si="134"/>
        <v>0</v>
      </c>
      <c r="L719" s="1693">
        <f t="shared" si="134"/>
        <v>0</v>
      </c>
      <c r="M719" s="1693">
        <f t="shared" si="134"/>
        <v>0</v>
      </c>
      <c r="N719" s="1693">
        <f t="shared" si="134"/>
        <v>0</v>
      </c>
      <c r="O719" s="1693"/>
      <c r="P719" s="1693"/>
      <c r="Q719" s="989"/>
      <c r="R719" s="989"/>
      <c r="S719" s="989"/>
      <c r="T719" s="1862">
        <f t="shared" si="130"/>
        <v>0</v>
      </c>
    </row>
    <row r="720" spans="1:20" ht="22.2" hidden="1" customHeight="1">
      <c r="A720" s="1448">
        <f>COUNTIF($C$12:C720,"x")</f>
        <v>38</v>
      </c>
      <c r="B720" s="1455" t="s">
        <v>1814</v>
      </c>
      <c r="C720" s="970" t="str">
        <f t="shared" si="131"/>
        <v xml:space="preserve"> </v>
      </c>
      <c r="D720" s="1415">
        <v>1</v>
      </c>
      <c r="E720" s="980"/>
      <c r="F720" s="992" t="str">
        <f>VLOOKUP($B720,DG!A:D,DG!$C$2,)</f>
        <v>Vật liệu dựng trụ</v>
      </c>
      <c r="G720" s="980" t="str">
        <f>VLOOKUP($B720,DG!A:D,DG!$D$2,)</f>
        <v>trụ</v>
      </c>
      <c r="H720" s="1693">
        <f t="shared" si="134"/>
        <v>0</v>
      </c>
      <c r="I720" s="1693">
        <f t="shared" si="134"/>
        <v>0</v>
      </c>
      <c r="J720" s="1693">
        <f t="shared" si="134"/>
        <v>0</v>
      </c>
      <c r="K720" s="1693">
        <f t="shared" si="134"/>
        <v>0</v>
      </c>
      <c r="L720" s="1693">
        <f t="shared" si="134"/>
        <v>0</v>
      </c>
      <c r="M720" s="1693">
        <f t="shared" si="134"/>
        <v>0</v>
      </c>
      <c r="N720" s="1693">
        <f t="shared" si="134"/>
        <v>0</v>
      </c>
      <c r="O720" s="1693"/>
      <c r="P720" s="1693"/>
      <c r="Q720" s="989"/>
      <c r="R720" s="989"/>
      <c r="S720" s="989"/>
      <c r="T720" s="1862">
        <f t="shared" si="130"/>
        <v>0</v>
      </c>
    </row>
    <row r="721" spans="1:20" ht="22.2" hidden="1" customHeight="1">
      <c r="A721" s="1448">
        <f>COUNTIF($C$12:C721,"x")</f>
        <v>38</v>
      </c>
      <c r="B721" s="1455" t="s">
        <v>1436</v>
      </c>
      <c r="C721" s="970" t="str">
        <f t="shared" si="131"/>
        <v xml:space="preserve"> </v>
      </c>
      <c r="D721" s="1415">
        <v>1</v>
      </c>
      <c r="E721" s="980" t="str">
        <f>VLOOKUP($B721,DG!A:D,DG!$B$2,)</f>
        <v>CS3.01.013</v>
      </c>
      <c r="F721" s="985" t="str">
        <f>VLOOKUP($B721,DG!A:D,DG!$C$2,)</f>
        <v>Lắp trụ thép ≤ 8m bằng thủ công</v>
      </c>
      <c r="G721" s="980" t="str">
        <f>VLOOKUP($B721,DG!A:D,DG!$D$2,)</f>
        <v>trụ</v>
      </c>
      <c r="H721" s="1693"/>
      <c r="I721" s="1693"/>
      <c r="J721" s="1693"/>
      <c r="K721" s="1693"/>
      <c r="L721" s="1693"/>
      <c r="M721" s="1693"/>
      <c r="N721" s="1693"/>
      <c r="O721" s="1693"/>
      <c r="P721" s="1693"/>
      <c r="Q721" s="994"/>
      <c r="R721" s="994"/>
      <c r="S721" s="994"/>
      <c r="T721" s="1862">
        <f t="shared" si="130"/>
        <v>0</v>
      </c>
    </row>
    <row r="722" spans="1:20" ht="22.2" hidden="1" customHeight="1">
      <c r="A722" s="1448">
        <f>COUNTIF($C$12:C722,"x")</f>
        <v>38</v>
      </c>
      <c r="B722" s="1455" t="s">
        <v>1198</v>
      </c>
      <c r="C722" s="970" t="str">
        <f t="shared" si="131"/>
        <v xml:space="preserve"> </v>
      </c>
      <c r="D722" s="1414">
        <v>0.2</v>
      </c>
      <c r="E722" s="980" t="str">
        <f>VLOOKUP($B722,DG!A:D,DG!$B$2,)</f>
        <v>02.1124</v>
      </c>
      <c r="F722" s="985" t="str">
        <f>VLOOKUP($B722,DG!A:D,DG!$C$2,)</f>
        <v xml:space="preserve">Bốc dỡ trụ </v>
      </c>
      <c r="G722" s="980" t="str">
        <f>VLOOKUP($B722,DG!A:D,DG!$D$2,)</f>
        <v>tấn</v>
      </c>
      <c r="H722" s="1693"/>
      <c r="I722" s="1693"/>
      <c r="J722" s="1693"/>
      <c r="K722" s="1693"/>
      <c r="L722" s="1693"/>
      <c r="M722" s="1693"/>
      <c r="N722" s="1693"/>
      <c r="O722" s="1693"/>
      <c r="P722" s="1693"/>
      <c r="Q722" s="994"/>
      <c r="R722" s="994"/>
      <c r="S722" s="994"/>
      <c r="T722" s="1862">
        <f t="shared" si="130"/>
        <v>0</v>
      </c>
    </row>
    <row r="723" spans="1:20" ht="22.2" hidden="1" customHeight="1">
      <c r="A723" s="1448">
        <f>COUNTIF($C$12:C723,"x")</f>
        <v>38</v>
      </c>
      <c r="B723" s="1464" t="s">
        <v>1199</v>
      </c>
      <c r="C723" s="970" t="str">
        <f t="shared" si="131"/>
        <v xml:space="preserve"> </v>
      </c>
      <c r="D723" s="1414">
        <f>D722</f>
        <v>0.2</v>
      </c>
      <c r="E723" s="980" t="str">
        <f>VLOOKUP($B723,DG!A:C,2,)</f>
        <v>02.1461</v>
      </c>
      <c r="F723" s="985" t="str">
        <f>VLOOKUP($B723,DG!A:C,3,)</f>
        <v>V/c cột vào vị trí (cự ly &lt;=100m)</v>
      </c>
      <c r="G723" s="980" t="str">
        <f>VLOOKUP($B723,DG!A:D,4,0)</f>
        <v>tấn</v>
      </c>
      <c r="H723" s="1693"/>
      <c r="I723" s="1693"/>
      <c r="J723" s="1693"/>
      <c r="K723" s="1693"/>
      <c r="L723" s="1693"/>
      <c r="M723" s="1693"/>
      <c r="N723" s="1693"/>
      <c r="O723" s="1693"/>
      <c r="P723" s="1693"/>
      <c r="Q723" s="994"/>
      <c r="R723" s="994"/>
      <c r="S723" s="994"/>
      <c r="T723" s="1862">
        <f t="shared" si="130"/>
        <v>0</v>
      </c>
    </row>
    <row r="724" spans="1:20" ht="22.2" hidden="1" customHeight="1">
      <c r="A724" s="1448">
        <f>COUNTIF($C$12:C724,"x")</f>
        <v>38</v>
      </c>
      <c r="B724" s="1464" t="s">
        <v>635</v>
      </c>
      <c r="C724" s="970" t="str">
        <f t="shared" si="131"/>
        <v xml:space="preserve"> </v>
      </c>
      <c r="D724" s="1414">
        <v>0.25</v>
      </c>
      <c r="E724" s="980" t="str">
        <f>VLOOKUP($B724,DG!A:C,2,)</f>
        <v>02.1482</v>
      </c>
      <c r="F724" s="985" t="str">
        <f>VLOOKUP($B724,DG!A:C,3,)</f>
        <v>V/c dụng cụ thi công vào vị trí (cự ly &lt;=100m)</v>
      </c>
      <c r="G724" s="980" t="str">
        <f>VLOOKUP($B724,DG!A:D,4,0)</f>
        <v>tấn</v>
      </c>
      <c r="H724" s="1693"/>
      <c r="I724" s="1693"/>
      <c r="J724" s="1693"/>
      <c r="K724" s="1693"/>
      <c r="L724" s="1693"/>
      <c r="M724" s="1693"/>
      <c r="N724" s="1693"/>
      <c r="O724" s="1693"/>
      <c r="P724" s="1693"/>
      <c r="Q724" s="994"/>
      <c r="R724" s="994"/>
      <c r="S724" s="994"/>
      <c r="T724" s="1862">
        <f t="shared" si="130"/>
        <v>0</v>
      </c>
    </row>
    <row r="725" spans="1:20" ht="22.2" hidden="1" customHeight="1">
      <c r="A725" s="1448">
        <f>COUNTIF($C$12:C725,"x")</f>
        <v>38</v>
      </c>
      <c r="B725" s="1457" t="s">
        <v>233</v>
      </c>
      <c r="C725" s="970" t="str">
        <f t="shared" si="131"/>
        <v xml:space="preserve"> </v>
      </c>
      <c r="D725" s="1412"/>
      <c r="E725" s="981"/>
      <c r="F725" s="1276" t="s">
        <v>2399</v>
      </c>
      <c r="G725" s="982" t="s">
        <v>2277</v>
      </c>
      <c r="H725" s="1691">
        <f>SUM(I725:O725)</f>
        <v>0</v>
      </c>
      <c r="I725" s="1692"/>
      <c r="J725" s="1692"/>
      <c r="K725" s="1692">
        <f>IFERROR(HLOOKUP(B725,pp3p1m!$1:$3,2,0),0)</f>
        <v>0</v>
      </c>
      <c r="L725" s="1692">
        <f>IFERROR(HLOOKUP(chitiet!B725,pp1p!$1:$3,3,0),0)</f>
        <v>0</v>
      </c>
      <c r="M725" s="1692"/>
      <c r="N725" s="1692"/>
      <c r="O725" s="1692"/>
      <c r="P725" s="2674">
        <f>T725</f>
        <v>0</v>
      </c>
      <c r="Q725" s="983">
        <f>IF(P725&gt;H725,P725-H725,0)</f>
        <v>0</v>
      </c>
      <c r="R725" s="983">
        <f>IF(H725&gt;P725,H725-P725,0)</f>
        <v>0</v>
      </c>
      <c r="S725" s="983"/>
      <c r="T725" s="1862">
        <f>IFERROR(HLOOKUP(B725,pp1p!$1:$3,3,0),0)+IFERROR(HLOOKUP(B725,pp3p1m!$1:$3,3,0),0)</f>
        <v>0</v>
      </c>
    </row>
    <row r="726" spans="1:20" ht="22.2" hidden="1" customHeight="1">
      <c r="A726" s="1448">
        <f>COUNTIF($C$12:C726,"x")</f>
        <v>38</v>
      </c>
      <c r="B726" s="1455" t="s">
        <v>1533</v>
      </c>
      <c r="C726" s="970" t="str">
        <f t="shared" si="131"/>
        <v xml:space="preserve"> </v>
      </c>
      <c r="D726" s="1415">
        <v>1</v>
      </c>
      <c r="E726" s="980"/>
      <c r="F726" s="992" t="str">
        <f>VLOOKUP($B726,DG!A:D,DG!$C$2,)</f>
        <v>Trụ BTLT 7,5m F200 dự ứng lực</v>
      </c>
      <c r="G726" s="980" t="str">
        <f>VLOOKUP($B726,DG!A:D,DG!$D$2,)</f>
        <v>trụ</v>
      </c>
      <c r="H726" s="1693">
        <f t="shared" ref="H726:O727" si="135">H$725*$D726</f>
        <v>0</v>
      </c>
      <c r="I726" s="1693">
        <f t="shared" si="135"/>
        <v>0</v>
      </c>
      <c r="J726" s="1693">
        <f t="shared" si="135"/>
        <v>0</v>
      </c>
      <c r="K726" s="1693">
        <f t="shared" si="135"/>
        <v>0</v>
      </c>
      <c r="L726" s="1693">
        <f t="shared" si="135"/>
        <v>0</v>
      </c>
      <c r="M726" s="1693">
        <f t="shared" si="135"/>
        <v>0</v>
      </c>
      <c r="N726" s="1693">
        <f t="shared" si="135"/>
        <v>0</v>
      </c>
      <c r="O726" s="1693">
        <f t="shared" si="135"/>
        <v>0</v>
      </c>
      <c r="P726" s="1694">
        <f>$P$725*D726</f>
        <v>0</v>
      </c>
      <c r="Q726" s="989"/>
      <c r="R726" s="989"/>
      <c r="S726" s="989"/>
      <c r="T726" s="1862">
        <f t="shared" si="130"/>
        <v>0</v>
      </c>
    </row>
    <row r="727" spans="1:20" ht="22.2" hidden="1" customHeight="1">
      <c r="A727" s="1448">
        <f>COUNTIF($C$12:C727,"x")</f>
        <v>38</v>
      </c>
      <c r="B727" s="1455" t="s">
        <v>1814</v>
      </c>
      <c r="C727" s="970" t="str">
        <f t="shared" si="131"/>
        <v xml:space="preserve"> </v>
      </c>
      <c r="D727" s="1415">
        <v>1</v>
      </c>
      <c r="E727" s="980"/>
      <c r="F727" s="992" t="str">
        <f>VLOOKUP($B727,DG!A:D,DG!$C$2,)</f>
        <v>Vật liệu dựng trụ</v>
      </c>
      <c r="G727" s="980" t="str">
        <f>VLOOKUP($B727,DG!A:D,DG!$D$2,)</f>
        <v>trụ</v>
      </c>
      <c r="H727" s="1693">
        <f t="shared" si="135"/>
        <v>0</v>
      </c>
      <c r="I727" s="1693">
        <f t="shared" si="135"/>
        <v>0</v>
      </c>
      <c r="J727" s="1693">
        <f t="shared" si="135"/>
        <v>0</v>
      </c>
      <c r="K727" s="1693">
        <f t="shared" si="135"/>
        <v>0</v>
      </c>
      <c r="L727" s="1693">
        <f t="shared" si="135"/>
        <v>0</v>
      </c>
      <c r="M727" s="1693">
        <f t="shared" si="135"/>
        <v>0</v>
      </c>
      <c r="N727" s="1693">
        <f t="shared" si="135"/>
        <v>0</v>
      </c>
      <c r="O727" s="1693">
        <f t="shared" si="135"/>
        <v>0</v>
      </c>
      <c r="P727" s="1694">
        <f>$P$725*D727</f>
        <v>0</v>
      </c>
      <c r="Q727" s="989"/>
      <c r="R727" s="989"/>
      <c r="S727" s="989"/>
      <c r="T727" s="1862">
        <f t="shared" si="130"/>
        <v>0</v>
      </c>
    </row>
    <row r="728" spans="1:20" ht="22.2" hidden="1" customHeight="1">
      <c r="A728" s="1448">
        <f>COUNTIF($C$12:C728,"x")</f>
        <v>38</v>
      </c>
      <c r="B728" s="1455" t="s">
        <v>1599</v>
      </c>
      <c r="C728" s="970" t="str">
        <f t="shared" si="131"/>
        <v xml:space="preserve"> </v>
      </c>
      <c r="D728" s="1415">
        <v>1</v>
      </c>
      <c r="E728" s="980" t="str">
        <f>VLOOKUP($B728,DG!A:D,DG!$B$2,)</f>
        <v>05.5202</v>
      </c>
      <c r="F728" s="992" t="str">
        <f>VLOOKUP($B728,DG!A:D,DG!$C$2,)</f>
        <v>Dựng trụ BTLT &lt;8m thủ công +cơ giới</v>
      </c>
      <c r="G728" s="980" t="str">
        <f>VLOOKUP($B728,DG!A:D,DG!$D$2,)</f>
        <v>trụ</v>
      </c>
      <c r="H728" s="1693">
        <f>H$725*$D728</f>
        <v>0</v>
      </c>
      <c r="I728" s="1693"/>
      <c r="J728" s="1693"/>
      <c r="K728" s="1693"/>
      <c r="L728" s="1693"/>
      <c r="M728" s="1693"/>
      <c r="N728" s="1693"/>
      <c r="O728" s="1693"/>
      <c r="P728" s="1694">
        <f>$P$725*D728</f>
        <v>0</v>
      </c>
      <c r="Q728" s="989"/>
      <c r="R728" s="989"/>
      <c r="S728" s="989"/>
      <c r="T728" s="1862">
        <f t="shared" si="130"/>
        <v>0</v>
      </c>
    </row>
    <row r="729" spans="1:20" ht="22.2" hidden="1" customHeight="1">
      <c r="A729" s="1448">
        <f>COUNTIF($C$12:C729,"x")</f>
        <v>38</v>
      </c>
      <c r="B729" s="1455" t="s">
        <v>1198</v>
      </c>
      <c r="C729" s="970" t="str">
        <f t="shared" si="131"/>
        <v xml:space="preserve"> </v>
      </c>
      <c r="D729" s="1414"/>
      <c r="E729" s="980" t="str">
        <f>VLOOKUP($B729,DG!A:D,DG!$B$2,)</f>
        <v>02.1124</v>
      </c>
      <c r="F729" s="985" t="str">
        <f>VLOOKUP($B729,DG!A:D,DG!$C$2,)</f>
        <v xml:space="preserve">Bốc dỡ trụ </v>
      </c>
      <c r="G729" s="980" t="str">
        <f>VLOOKUP($B729,DG!A:D,DG!$D$2,)</f>
        <v>tấn</v>
      </c>
      <c r="H729" s="1693"/>
      <c r="I729" s="1693"/>
      <c r="J729" s="1693"/>
      <c r="K729" s="1693"/>
      <c r="L729" s="1693"/>
      <c r="M729" s="1693"/>
      <c r="N729" s="1693"/>
      <c r="O729" s="1693"/>
      <c r="P729" s="1693"/>
      <c r="Q729" s="994"/>
      <c r="R729" s="994"/>
      <c r="S729" s="994"/>
      <c r="T729" s="1862">
        <f t="shared" si="130"/>
        <v>0</v>
      </c>
    </row>
    <row r="730" spans="1:20" ht="22.2" hidden="1" customHeight="1">
      <c r="A730" s="1448">
        <f>COUNTIF($C$12:C730,"x")</f>
        <v>38</v>
      </c>
      <c r="B730" s="1464" t="s">
        <v>1199</v>
      </c>
      <c r="C730" s="970" t="str">
        <f t="shared" si="131"/>
        <v xml:space="preserve"> </v>
      </c>
      <c r="D730" s="1414"/>
      <c r="E730" s="980" t="str">
        <f>VLOOKUP($B730,DG!A:C,2,)</f>
        <v>02.1461</v>
      </c>
      <c r="F730" s="985" t="str">
        <f>VLOOKUP($B730,DG!A:C,3,)</f>
        <v>V/c cột vào vị trí (cự ly &lt;=100m)</v>
      </c>
      <c r="G730" s="980" t="str">
        <f>VLOOKUP($B730,DG!A:D,4,0)</f>
        <v>tấn</v>
      </c>
      <c r="H730" s="1693"/>
      <c r="I730" s="1693"/>
      <c r="J730" s="1693"/>
      <c r="K730" s="1693"/>
      <c r="L730" s="1693"/>
      <c r="M730" s="1693"/>
      <c r="N730" s="1693"/>
      <c r="O730" s="1693"/>
      <c r="P730" s="1693"/>
      <c r="Q730" s="994"/>
      <c r="R730" s="994"/>
      <c r="S730" s="994"/>
      <c r="T730" s="1862">
        <f t="shared" si="130"/>
        <v>0</v>
      </c>
    </row>
    <row r="731" spans="1:20" ht="22.2" hidden="1" customHeight="1">
      <c r="A731" s="1448">
        <f>COUNTIF($C$12:C731,"x")</f>
        <v>38</v>
      </c>
      <c r="B731" s="1464" t="s">
        <v>635</v>
      </c>
      <c r="C731" s="970" t="str">
        <f t="shared" si="131"/>
        <v xml:space="preserve"> </v>
      </c>
      <c r="D731" s="1414"/>
      <c r="E731" s="980" t="str">
        <f>VLOOKUP($B731,DG!A:C,2,)</f>
        <v>02.1482</v>
      </c>
      <c r="F731" s="985" t="str">
        <f>VLOOKUP($B731,DG!A:C,3,)</f>
        <v>V/c dụng cụ thi công vào vị trí (cự ly &lt;=100m)</v>
      </c>
      <c r="G731" s="980" t="str">
        <f>VLOOKUP($B731,DG!A:D,4,0)</f>
        <v>tấn</v>
      </c>
      <c r="H731" s="1693"/>
      <c r="I731" s="1693"/>
      <c r="J731" s="1693"/>
      <c r="K731" s="1693"/>
      <c r="L731" s="1693"/>
      <c r="M731" s="1693"/>
      <c r="N731" s="1693"/>
      <c r="O731" s="1693"/>
      <c r="P731" s="1693"/>
      <c r="Q731" s="994"/>
      <c r="R731" s="994"/>
      <c r="S731" s="994"/>
      <c r="T731" s="1862">
        <f t="shared" si="130"/>
        <v>0</v>
      </c>
    </row>
    <row r="732" spans="1:20" ht="22.2" hidden="1" customHeight="1">
      <c r="A732" s="1448">
        <f>COUNTIF($C$12:C732,"x")</f>
        <v>38</v>
      </c>
      <c r="B732" s="1457" t="s">
        <v>232</v>
      </c>
      <c r="C732" s="970" t="str">
        <f t="shared" si="131"/>
        <v xml:space="preserve"> </v>
      </c>
      <c r="D732" s="1412"/>
      <c r="E732" s="981"/>
      <c r="F732" s="1276" t="s">
        <v>4552</v>
      </c>
      <c r="G732" s="982" t="s">
        <v>2277</v>
      </c>
      <c r="H732" s="1691">
        <f>SUM(I732:O732)</f>
        <v>0</v>
      </c>
      <c r="I732" s="1692"/>
      <c r="J732" s="1692"/>
      <c r="K732" s="1692">
        <f>IFERROR(HLOOKUP(B732,pp3p1m!$1:$3,2,0),0)</f>
        <v>0</v>
      </c>
      <c r="L732" s="1692">
        <f>IFERROR(HLOOKUP(chitiet!B732,pp1p!$1:$3,3,0),0)</f>
        <v>0</v>
      </c>
      <c r="M732" s="1692"/>
      <c r="N732" s="1692"/>
      <c r="O732" s="1692"/>
      <c r="P732" s="2674">
        <f>T732</f>
        <v>0</v>
      </c>
      <c r="Q732" s="983">
        <f>IF(P732&gt;H732,P732-H732,0)</f>
        <v>0</v>
      </c>
      <c r="R732" s="983">
        <f>IF(H732&gt;P732,H732-P732,0)</f>
        <v>0</v>
      </c>
      <c r="S732" s="983"/>
      <c r="T732" s="1862">
        <f>IFERROR(HLOOKUP(B732,pp1p!$1:$3,3,0),0)+IFERROR(HLOOKUP(B732,pp3p1m!$1:$3,3,0),0)</f>
        <v>0</v>
      </c>
    </row>
    <row r="733" spans="1:20" ht="22.2" hidden="1" customHeight="1">
      <c r="A733" s="1448">
        <f>COUNTIF($C$12:C733,"x")</f>
        <v>38</v>
      </c>
      <c r="B733" s="1455" t="s">
        <v>874</v>
      </c>
      <c r="C733" s="970" t="str">
        <f t="shared" si="131"/>
        <v xml:space="preserve"> </v>
      </c>
      <c r="D733" s="1415">
        <v>1</v>
      </c>
      <c r="E733" s="980"/>
      <c r="F733" s="992" t="str">
        <f>VLOOKUP($B733,DG!A:D,DG!$C$2,)</f>
        <v>Trụ BTLT 8,4m F200 dự ứng lực</v>
      </c>
      <c r="G733" s="980" t="str">
        <f>VLOOKUP($B733,DG!A:D,DG!$D$2,)</f>
        <v>trụ</v>
      </c>
      <c r="H733" s="1693">
        <f t="shared" ref="H733:O734" si="136">H$732*$D733</f>
        <v>0</v>
      </c>
      <c r="I733" s="1693">
        <f t="shared" si="136"/>
        <v>0</v>
      </c>
      <c r="J733" s="1693">
        <f t="shared" si="136"/>
        <v>0</v>
      </c>
      <c r="K733" s="1693">
        <f t="shared" si="136"/>
        <v>0</v>
      </c>
      <c r="L733" s="1693">
        <f t="shared" si="136"/>
        <v>0</v>
      </c>
      <c r="M733" s="1693">
        <f t="shared" si="136"/>
        <v>0</v>
      </c>
      <c r="N733" s="1693">
        <f t="shared" si="136"/>
        <v>0</v>
      </c>
      <c r="O733" s="1693">
        <f t="shared" si="136"/>
        <v>0</v>
      </c>
      <c r="P733" s="1693">
        <f>$P$732*D733</f>
        <v>0</v>
      </c>
      <c r="Q733" s="989"/>
      <c r="R733" s="989"/>
      <c r="S733" s="989"/>
      <c r="T733" s="1862">
        <f t="shared" si="130"/>
        <v>0</v>
      </c>
    </row>
    <row r="734" spans="1:20" ht="22.2" hidden="1" customHeight="1">
      <c r="A734" s="1448">
        <f>COUNTIF($C$12:C734,"x")</f>
        <v>38</v>
      </c>
      <c r="B734" s="1455" t="s">
        <v>1814</v>
      </c>
      <c r="C734" s="970" t="str">
        <f t="shared" si="131"/>
        <v xml:space="preserve"> </v>
      </c>
      <c r="D734" s="1415">
        <v>1</v>
      </c>
      <c r="E734" s="980"/>
      <c r="F734" s="992" t="str">
        <f>VLOOKUP($B734,DG!A:D,DG!$C$2,)</f>
        <v>Vật liệu dựng trụ</v>
      </c>
      <c r="G734" s="980" t="str">
        <f>VLOOKUP($B734,DG!A:D,DG!$D$2,)</f>
        <v>trụ</v>
      </c>
      <c r="H734" s="1693">
        <f t="shared" si="136"/>
        <v>0</v>
      </c>
      <c r="I734" s="1693">
        <f t="shared" si="136"/>
        <v>0</v>
      </c>
      <c r="J734" s="1693">
        <f t="shared" si="136"/>
        <v>0</v>
      </c>
      <c r="K734" s="1693">
        <f t="shared" si="136"/>
        <v>0</v>
      </c>
      <c r="L734" s="1693">
        <f t="shared" si="136"/>
        <v>0</v>
      </c>
      <c r="M734" s="1693">
        <f t="shared" si="136"/>
        <v>0</v>
      </c>
      <c r="N734" s="1693">
        <f t="shared" si="136"/>
        <v>0</v>
      </c>
      <c r="O734" s="1693">
        <f t="shared" si="136"/>
        <v>0</v>
      </c>
      <c r="P734" s="1693">
        <f>$P$732*D734</f>
        <v>0</v>
      </c>
      <c r="Q734" s="989"/>
      <c r="R734" s="989"/>
      <c r="S734" s="989"/>
      <c r="T734" s="1862">
        <f t="shared" si="130"/>
        <v>0</v>
      </c>
    </row>
    <row r="735" spans="1:20" ht="22.2" hidden="1" customHeight="1">
      <c r="A735" s="1448">
        <f>COUNTIF($C$12:C735,"x")</f>
        <v>38</v>
      </c>
      <c r="B735" s="1455" t="s">
        <v>2252</v>
      </c>
      <c r="C735" s="970" t="str">
        <f t="shared" si="131"/>
        <v xml:space="preserve"> </v>
      </c>
      <c r="D735" s="1415">
        <v>1</v>
      </c>
      <c r="E735" s="980" t="str">
        <f>VLOOKUP($B735,DG!A:D,DG!$B$2,)</f>
        <v>05.5302</v>
      </c>
      <c r="F735" s="992" t="str">
        <f>VLOOKUP($B735,DG!A:D,DG!$C$2,)</f>
        <v>Dựng trụ BTLT &lt;10m thủ công +cơ giới</v>
      </c>
      <c r="G735" s="980" t="str">
        <f>VLOOKUP($B735,DG!A:D,DG!$D$2,)</f>
        <v>trụ</v>
      </c>
      <c r="H735" s="1693">
        <f>H$732*$D735</f>
        <v>0</v>
      </c>
      <c r="I735" s="1693"/>
      <c r="J735" s="1693"/>
      <c r="K735" s="1693"/>
      <c r="L735" s="1693"/>
      <c r="M735" s="1693"/>
      <c r="N735" s="1693"/>
      <c r="O735" s="1693"/>
      <c r="P735" s="1693">
        <f>$P$732*D735</f>
        <v>0</v>
      </c>
      <c r="Q735" s="994"/>
      <c r="R735" s="994"/>
      <c r="S735" s="994"/>
      <c r="T735" s="1862">
        <f t="shared" si="130"/>
        <v>0</v>
      </c>
    </row>
    <row r="736" spans="1:20" ht="22.2" hidden="1" customHeight="1">
      <c r="A736" s="1448">
        <f>COUNTIF($C$12:C736,"x")</f>
        <v>38</v>
      </c>
      <c r="B736" s="1455" t="s">
        <v>1198</v>
      </c>
      <c r="C736" s="970" t="str">
        <f t="shared" si="131"/>
        <v xml:space="preserve"> </v>
      </c>
      <c r="D736" s="1414"/>
      <c r="E736" s="980" t="str">
        <f>VLOOKUP($B736,DG!A:D,DG!$B$2,)</f>
        <v>02.1124</v>
      </c>
      <c r="F736" s="985" t="str">
        <f>VLOOKUP($B736,DG!A:D,DG!$C$2,)</f>
        <v xml:space="preserve">Bốc dỡ trụ </v>
      </c>
      <c r="G736" s="980" t="str">
        <f>VLOOKUP($B736,DG!A:D,DG!$D$2,)</f>
        <v>tấn</v>
      </c>
      <c r="H736" s="1693"/>
      <c r="I736" s="1693"/>
      <c r="J736" s="1693"/>
      <c r="K736" s="1693"/>
      <c r="L736" s="1693"/>
      <c r="M736" s="1693"/>
      <c r="N736" s="1693"/>
      <c r="O736" s="1693"/>
      <c r="P736" s="1693"/>
      <c r="Q736" s="994"/>
      <c r="R736" s="994"/>
      <c r="S736" s="994"/>
      <c r="T736" s="1862">
        <f t="shared" si="130"/>
        <v>0</v>
      </c>
    </row>
    <row r="737" spans="1:20" ht="22.2" hidden="1" customHeight="1">
      <c r="A737" s="1448">
        <f>COUNTIF($C$12:C737,"x")</f>
        <v>38</v>
      </c>
      <c r="B737" s="1464" t="s">
        <v>1199</v>
      </c>
      <c r="C737" s="970" t="str">
        <f t="shared" si="131"/>
        <v xml:space="preserve"> </v>
      </c>
      <c r="D737" s="1414"/>
      <c r="E737" s="980" t="str">
        <f>VLOOKUP($B737,DG!A:C,2,)</f>
        <v>02.1461</v>
      </c>
      <c r="F737" s="985" t="str">
        <f>VLOOKUP($B737,DG!A:C,3,)</f>
        <v>V/c cột vào vị trí (cự ly &lt;=100m)</v>
      </c>
      <c r="G737" s="980" t="str">
        <f>VLOOKUP($B737,DG!A:D,4,0)</f>
        <v>tấn</v>
      </c>
      <c r="H737" s="1693"/>
      <c r="I737" s="1693"/>
      <c r="J737" s="1693"/>
      <c r="K737" s="1693"/>
      <c r="L737" s="1693"/>
      <c r="M737" s="1693"/>
      <c r="N737" s="1693"/>
      <c r="O737" s="1693"/>
      <c r="P737" s="1693"/>
      <c r="Q737" s="994"/>
      <c r="R737" s="994"/>
      <c r="S737" s="994"/>
      <c r="T737" s="1862">
        <f t="shared" si="130"/>
        <v>0</v>
      </c>
    </row>
    <row r="738" spans="1:20" ht="22.2" hidden="1" customHeight="1">
      <c r="A738" s="1448">
        <f>COUNTIF($C$12:C738,"x")</f>
        <v>38</v>
      </c>
      <c r="B738" s="1464" t="s">
        <v>635</v>
      </c>
      <c r="C738" s="970" t="str">
        <f t="shared" si="131"/>
        <v xml:space="preserve"> </v>
      </c>
      <c r="D738" s="1414"/>
      <c r="E738" s="980" t="str">
        <f>VLOOKUP($B738,DG!A:C,2,)</f>
        <v>02.1482</v>
      </c>
      <c r="F738" s="985" t="str">
        <f>VLOOKUP($B738,DG!A:C,3,)</f>
        <v>V/c dụng cụ thi công vào vị trí (cự ly &lt;=100m)</v>
      </c>
      <c r="G738" s="980" t="str">
        <f>VLOOKUP($B738,DG!A:D,4,0)</f>
        <v>tấn</v>
      </c>
      <c r="H738" s="1693"/>
      <c r="I738" s="1693"/>
      <c r="J738" s="1693"/>
      <c r="K738" s="1693"/>
      <c r="L738" s="1693"/>
      <c r="M738" s="1693"/>
      <c r="N738" s="1693"/>
      <c r="O738" s="1693"/>
      <c r="P738" s="1693"/>
      <c r="Q738" s="994"/>
      <c r="R738" s="994"/>
      <c r="S738" s="994"/>
      <c r="T738" s="1862">
        <f t="shared" si="130"/>
        <v>0</v>
      </c>
    </row>
    <row r="739" spans="1:20" ht="22.2" hidden="1" customHeight="1">
      <c r="A739" s="1448">
        <f>COUNTIF($C$12:C739,"x")</f>
        <v>38</v>
      </c>
      <c r="B739" s="1457" t="s">
        <v>185</v>
      </c>
      <c r="C739" s="970" t="str">
        <f t="shared" si="131"/>
        <v xml:space="preserve"> </v>
      </c>
      <c r="D739" s="1412"/>
      <c r="E739" s="981"/>
      <c r="F739" s="1276" t="s">
        <v>2401</v>
      </c>
      <c r="G739" s="982" t="s">
        <v>2277</v>
      </c>
      <c r="H739" s="1691">
        <f>SUM(I739:O739)</f>
        <v>0</v>
      </c>
      <c r="I739" s="1692"/>
      <c r="J739" s="1692"/>
      <c r="K739" s="1692">
        <f>IFERROR(HLOOKUP(B739,pp3p1m!$1:$3,2,0),0)</f>
        <v>0</v>
      </c>
      <c r="L739" s="1692">
        <f>IFERROR(HLOOKUP(chitiet!B739,pp1p!$1:$3,3,0),0)</f>
        <v>0</v>
      </c>
      <c r="M739" s="1692"/>
      <c r="N739" s="1692"/>
      <c r="O739" s="1692"/>
      <c r="P739" s="2674">
        <f>T739</f>
        <v>0</v>
      </c>
      <c r="Q739" s="983">
        <f>IF(P739&gt;H739,P739-H739,0)</f>
        <v>0</v>
      </c>
      <c r="R739" s="983">
        <f>IF(H739&gt;P739,H739-P739,0)</f>
        <v>0</v>
      </c>
      <c r="S739" s="983"/>
      <c r="T739" s="1862">
        <f>IFERROR(HLOOKUP(B739,pp1p!$1:$3,3,0),0)+IFERROR(HLOOKUP(B739,pp3p1m!$1:$3,3,0),0)</f>
        <v>0</v>
      </c>
    </row>
    <row r="740" spans="1:20" ht="22.2" hidden="1" customHeight="1">
      <c r="A740" s="1448">
        <f>COUNTIF($C$12:C740,"x")</f>
        <v>38</v>
      </c>
      <c r="B740" s="1455" t="s">
        <v>186</v>
      </c>
      <c r="C740" s="970" t="str">
        <f t="shared" si="131"/>
        <v xml:space="preserve"> </v>
      </c>
      <c r="D740" s="1415">
        <v>1</v>
      </c>
      <c r="E740" s="980"/>
      <c r="F740" s="992" t="str">
        <f>VLOOKUP($B740,DG!A:D,DG!$C$2,)</f>
        <v>Trụ BTLT 8,4m F200 dự ứng lực có dây tiếp địa</v>
      </c>
      <c r="G740" s="980" t="str">
        <f>VLOOKUP($B740,DG!A:D,DG!$D$2,)</f>
        <v>trụ</v>
      </c>
      <c r="H740" s="1693">
        <f>H739*$D740</f>
        <v>0</v>
      </c>
      <c r="I740" s="1693">
        <f t="shared" ref="I740:O741" si="137">I$732*$D740</f>
        <v>0</v>
      </c>
      <c r="J740" s="1693">
        <f t="shared" si="137"/>
        <v>0</v>
      </c>
      <c r="K740" s="1693">
        <f t="shared" si="137"/>
        <v>0</v>
      </c>
      <c r="L740" s="1693">
        <f t="shared" si="137"/>
        <v>0</v>
      </c>
      <c r="M740" s="1693">
        <f t="shared" si="137"/>
        <v>0</v>
      </c>
      <c r="N740" s="1693">
        <f t="shared" si="137"/>
        <v>0</v>
      </c>
      <c r="O740" s="1693">
        <f t="shared" si="137"/>
        <v>0</v>
      </c>
      <c r="P740" s="1693"/>
      <c r="Q740" s="989"/>
      <c r="R740" s="989"/>
      <c r="S740" s="989"/>
      <c r="T740" s="1862">
        <f t="shared" si="130"/>
        <v>0</v>
      </c>
    </row>
    <row r="741" spans="1:20" ht="22.2" hidden="1" customHeight="1">
      <c r="A741" s="1448">
        <f>COUNTIF($C$12:C741,"x")</f>
        <v>38</v>
      </c>
      <c r="B741" s="1455" t="s">
        <v>1814</v>
      </c>
      <c r="C741" s="970" t="str">
        <f t="shared" si="131"/>
        <v xml:space="preserve"> </v>
      </c>
      <c r="D741" s="1415">
        <v>1</v>
      </c>
      <c r="E741" s="980"/>
      <c r="F741" s="992" t="str">
        <f>VLOOKUP($B741,DG!A:D,DG!$C$2,)</f>
        <v>Vật liệu dựng trụ</v>
      </c>
      <c r="G741" s="980" t="str">
        <f>VLOOKUP($B741,DG!A:D,DG!$D$2,)</f>
        <v>trụ</v>
      </c>
      <c r="H741" s="1693">
        <f>H740*$D741</f>
        <v>0</v>
      </c>
      <c r="I741" s="1693">
        <f t="shared" si="137"/>
        <v>0</v>
      </c>
      <c r="J741" s="1693">
        <f t="shared" si="137"/>
        <v>0</v>
      </c>
      <c r="K741" s="1693">
        <f t="shared" si="137"/>
        <v>0</v>
      </c>
      <c r="L741" s="1693">
        <f t="shared" si="137"/>
        <v>0</v>
      </c>
      <c r="M741" s="1693">
        <f t="shared" si="137"/>
        <v>0</v>
      </c>
      <c r="N741" s="1693">
        <f t="shared" si="137"/>
        <v>0</v>
      </c>
      <c r="O741" s="1693">
        <f t="shared" si="137"/>
        <v>0</v>
      </c>
      <c r="P741" s="1693"/>
      <c r="Q741" s="989"/>
      <c r="R741" s="989"/>
      <c r="S741" s="989"/>
      <c r="T741" s="1862">
        <f t="shared" si="130"/>
        <v>0</v>
      </c>
    </row>
    <row r="742" spans="1:20" ht="22.2" hidden="1" customHeight="1">
      <c r="A742" s="1448">
        <f>COUNTIF($C$12:C742,"x")</f>
        <v>38</v>
      </c>
      <c r="B742" s="1455" t="s">
        <v>2252</v>
      </c>
      <c r="C742" s="970" t="str">
        <f t="shared" si="131"/>
        <v xml:space="preserve"> </v>
      </c>
      <c r="D742" s="1415">
        <v>1</v>
      </c>
      <c r="E742" s="980" t="str">
        <f>VLOOKUP($B742,DG!A:D,DG!$B$2,)</f>
        <v>05.5302</v>
      </c>
      <c r="F742" s="992" t="str">
        <f>VLOOKUP($B742,DG!A:D,DG!$C$2,)</f>
        <v>Dựng trụ BTLT &lt;10m thủ công +cơ giới</v>
      </c>
      <c r="G742" s="980" t="str">
        <f>VLOOKUP($B742,DG!A:D,DG!$D$2,)</f>
        <v>trụ</v>
      </c>
      <c r="H742" s="1693">
        <f>H741*$D742</f>
        <v>0</v>
      </c>
      <c r="I742" s="1693"/>
      <c r="J742" s="1693"/>
      <c r="K742" s="1693"/>
      <c r="L742" s="1693"/>
      <c r="M742" s="1693"/>
      <c r="N742" s="1693"/>
      <c r="O742" s="1693"/>
      <c r="P742" s="1693"/>
      <c r="Q742" s="994"/>
      <c r="R742" s="994"/>
      <c r="S742" s="994"/>
      <c r="T742" s="1862">
        <f t="shared" si="130"/>
        <v>0</v>
      </c>
    </row>
    <row r="743" spans="1:20" ht="22.2" hidden="1" customHeight="1">
      <c r="A743" s="1448">
        <f>COUNTIF($C$12:C743,"x")</f>
        <v>38</v>
      </c>
      <c r="B743" s="1455" t="s">
        <v>1198</v>
      </c>
      <c r="C743" s="970" t="str">
        <f t="shared" si="131"/>
        <v xml:space="preserve"> </v>
      </c>
      <c r="D743" s="1414"/>
      <c r="E743" s="980" t="str">
        <f>VLOOKUP($B743,DG!A:D,DG!$B$2,)</f>
        <v>02.1124</v>
      </c>
      <c r="F743" s="985" t="str">
        <f>VLOOKUP($B743,DG!A:D,DG!$C$2,)</f>
        <v xml:space="preserve">Bốc dỡ trụ </v>
      </c>
      <c r="G743" s="980" t="str">
        <f>VLOOKUP($B743,DG!A:D,DG!$D$2,)</f>
        <v>tấn</v>
      </c>
      <c r="H743" s="1693"/>
      <c r="I743" s="1693"/>
      <c r="J743" s="1693"/>
      <c r="K743" s="1693"/>
      <c r="L743" s="1693"/>
      <c r="M743" s="1693"/>
      <c r="N743" s="1693"/>
      <c r="O743" s="1693"/>
      <c r="P743" s="1693"/>
      <c r="Q743" s="994"/>
      <c r="R743" s="994"/>
      <c r="S743" s="994"/>
      <c r="T743" s="1862">
        <f t="shared" si="130"/>
        <v>0</v>
      </c>
    </row>
    <row r="744" spans="1:20" ht="22.2" hidden="1" customHeight="1">
      <c r="A744" s="1448">
        <f>COUNTIF($C$12:C744,"x")</f>
        <v>38</v>
      </c>
      <c r="B744" s="1464" t="s">
        <v>1199</v>
      </c>
      <c r="C744" s="970" t="str">
        <f t="shared" si="131"/>
        <v xml:space="preserve"> </v>
      </c>
      <c r="D744" s="1414"/>
      <c r="E744" s="980" t="str">
        <f>VLOOKUP($B744,DG!A:C,2,)</f>
        <v>02.1461</v>
      </c>
      <c r="F744" s="985" t="str">
        <f>VLOOKUP($B744,DG!A:C,3,)</f>
        <v>V/c cột vào vị trí (cự ly &lt;=100m)</v>
      </c>
      <c r="G744" s="980" t="str">
        <f>VLOOKUP($B744,DG!A:D,4,0)</f>
        <v>tấn</v>
      </c>
      <c r="H744" s="1693"/>
      <c r="I744" s="1693"/>
      <c r="J744" s="1693"/>
      <c r="K744" s="1693"/>
      <c r="L744" s="1693"/>
      <c r="M744" s="1693"/>
      <c r="N744" s="1693"/>
      <c r="O744" s="1693"/>
      <c r="P744" s="1693"/>
      <c r="Q744" s="994"/>
      <c r="R744" s="994"/>
      <c r="S744" s="994"/>
      <c r="T744" s="1862">
        <f t="shared" si="130"/>
        <v>0</v>
      </c>
    </row>
    <row r="745" spans="1:20" ht="22.2" hidden="1" customHeight="1">
      <c r="A745" s="1448">
        <f>COUNTIF($C$12:C745,"x")</f>
        <v>38</v>
      </c>
      <c r="B745" s="1464" t="s">
        <v>635</v>
      </c>
      <c r="C745" s="970" t="str">
        <f t="shared" si="131"/>
        <v xml:space="preserve"> </v>
      </c>
      <c r="D745" s="1414"/>
      <c r="E745" s="980" t="str">
        <f>VLOOKUP($B745,DG!A:C,2,)</f>
        <v>02.1482</v>
      </c>
      <c r="F745" s="985" t="str">
        <f>VLOOKUP($B745,DG!A:C,3,)</f>
        <v>V/c dụng cụ thi công vào vị trí (cự ly &lt;=100m)</v>
      </c>
      <c r="G745" s="980" t="str">
        <f>VLOOKUP($B745,DG!A:D,4,0)</f>
        <v>tấn</v>
      </c>
      <c r="H745" s="1693"/>
      <c r="I745" s="1693"/>
      <c r="J745" s="1693"/>
      <c r="K745" s="1693"/>
      <c r="L745" s="1693"/>
      <c r="M745" s="1693"/>
      <c r="N745" s="1693"/>
      <c r="O745" s="1693"/>
      <c r="P745" s="1693"/>
      <c r="Q745" s="994"/>
      <c r="R745" s="994"/>
      <c r="S745" s="994"/>
      <c r="T745" s="1862">
        <f t="shared" si="130"/>
        <v>0</v>
      </c>
    </row>
    <row r="746" spans="1:20" ht="22.2" hidden="1" customHeight="1">
      <c r="A746" s="1448">
        <f>COUNTIF($C$12:C746,"x")</f>
        <v>38</v>
      </c>
      <c r="B746" s="1457" t="s">
        <v>232</v>
      </c>
      <c r="C746" s="970" t="str">
        <f t="shared" si="131"/>
        <v xml:space="preserve"> </v>
      </c>
      <c r="D746" s="1412"/>
      <c r="E746" s="981"/>
      <c r="F746" s="1276" t="s">
        <v>2402</v>
      </c>
      <c r="G746" s="982" t="s">
        <v>2277</v>
      </c>
      <c r="H746" s="1691">
        <f>SUM(I746:O746)</f>
        <v>0</v>
      </c>
      <c r="I746" s="1692"/>
      <c r="J746" s="1692"/>
      <c r="K746" s="1692">
        <f>IFERROR(HLOOKUP(B746,pp3p1m!$1:$3,2,0),0)</f>
        <v>0</v>
      </c>
      <c r="L746" s="1692">
        <f>IFERROR(HLOOKUP(chitiet!B746,pp1p!$1:$3,3,0),0)</f>
        <v>0</v>
      </c>
      <c r="M746" s="1692"/>
      <c r="N746" s="1692"/>
      <c r="O746" s="1692"/>
      <c r="P746" s="2674">
        <f>T746</f>
        <v>0</v>
      </c>
      <c r="Q746" s="983">
        <f>IF(P746&gt;H746,P746-H746,0)</f>
        <v>0</v>
      </c>
      <c r="R746" s="983">
        <f>IF(H746&gt;P746,H746-P746,0)</f>
        <v>0</v>
      </c>
      <c r="S746" s="983"/>
      <c r="T746" s="1862">
        <f>IFERROR(HLOOKUP(B746,pp1p!$1:$3,3,0),0)+IFERROR(HLOOKUP(B746,pp3p1m!$1:$3,3,0),0)</f>
        <v>0</v>
      </c>
    </row>
    <row r="747" spans="1:20" ht="22.2" hidden="1" customHeight="1">
      <c r="A747" s="1448">
        <f>COUNTIF($C$12:C747,"x")</f>
        <v>38</v>
      </c>
      <c r="B747" s="1455" t="s">
        <v>1814</v>
      </c>
      <c r="C747" s="970" t="str">
        <f t="shared" si="131"/>
        <v xml:space="preserve"> </v>
      </c>
      <c r="D747" s="1415">
        <v>1</v>
      </c>
      <c r="E747" s="980"/>
      <c r="F747" s="992" t="s">
        <v>2403</v>
      </c>
      <c r="G747" s="980" t="str">
        <f>VLOOKUP($B747,DG!A:D,DG!$D$2,)</f>
        <v>trụ</v>
      </c>
      <c r="H747" s="1693">
        <f t="shared" ref="H747:O747" si="138">H$746*$D747</f>
        <v>0</v>
      </c>
      <c r="I747" s="1693">
        <f t="shared" si="138"/>
        <v>0</v>
      </c>
      <c r="J747" s="1693">
        <f t="shared" si="138"/>
        <v>0</v>
      </c>
      <c r="K747" s="1693">
        <f t="shared" si="138"/>
        <v>0</v>
      </c>
      <c r="L747" s="1693">
        <f t="shared" si="138"/>
        <v>0</v>
      </c>
      <c r="M747" s="1693">
        <f t="shared" si="138"/>
        <v>0</v>
      </c>
      <c r="N747" s="1693">
        <f t="shared" si="138"/>
        <v>0</v>
      </c>
      <c r="O747" s="1693">
        <f t="shared" si="138"/>
        <v>0</v>
      </c>
      <c r="P747" s="1693"/>
      <c r="Q747" s="989"/>
      <c r="R747" s="989"/>
      <c r="S747" s="989"/>
      <c r="T747" s="1862">
        <f t="shared" si="130"/>
        <v>0</v>
      </c>
    </row>
    <row r="748" spans="1:20" ht="22.2" hidden="1" customHeight="1">
      <c r="A748" s="1448">
        <f>COUNTIF($C$12:C748,"x")</f>
        <v>38</v>
      </c>
      <c r="B748" s="1455" t="s">
        <v>2252</v>
      </c>
      <c r="C748" s="970" t="str">
        <f t="shared" si="131"/>
        <v xml:space="preserve"> </v>
      </c>
      <c r="D748" s="1415">
        <v>1</v>
      </c>
      <c r="E748" s="980" t="str">
        <f>VLOOKUP($B748,DG!A:D,DG!$B$2,)</f>
        <v>05.5302</v>
      </c>
      <c r="F748" s="992" t="s">
        <v>2404</v>
      </c>
      <c r="G748" s="980" t="str">
        <f>VLOOKUP($B748,DG!A:D,DG!$D$2,)</f>
        <v>trụ</v>
      </c>
      <c r="H748" s="1693"/>
      <c r="I748" s="1693"/>
      <c r="J748" s="1693"/>
      <c r="K748" s="1693"/>
      <c r="L748" s="1693"/>
      <c r="M748" s="1693"/>
      <c r="N748" s="1693"/>
      <c r="O748" s="1693"/>
      <c r="P748" s="1693"/>
      <c r="Q748" s="994"/>
      <c r="R748" s="994"/>
      <c r="S748" s="994"/>
      <c r="T748" s="1862">
        <f t="shared" si="130"/>
        <v>0</v>
      </c>
    </row>
    <row r="749" spans="1:20" ht="22.2" hidden="1" customHeight="1">
      <c r="A749" s="1448">
        <f>COUNTIF($C$12:C749,"x")</f>
        <v>38</v>
      </c>
      <c r="B749" s="1464" t="s">
        <v>635</v>
      </c>
      <c r="C749" s="970" t="str">
        <f t="shared" si="131"/>
        <v xml:space="preserve"> </v>
      </c>
      <c r="D749" s="1414">
        <v>0.25</v>
      </c>
      <c r="E749" s="980" t="str">
        <f>VLOOKUP($B749,DG!A:C,2,)</f>
        <v>02.1482</v>
      </c>
      <c r="F749" s="985" t="str">
        <f>VLOOKUP($B749,DG!A:C,3,)</f>
        <v>V/c dụng cụ thi công vào vị trí (cự ly &lt;=100m)</v>
      </c>
      <c r="G749" s="980" t="str">
        <f>VLOOKUP($B749,DG!A:D,4,0)</f>
        <v>tấn</v>
      </c>
      <c r="H749" s="1693"/>
      <c r="I749" s="1693"/>
      <c r="J749" s="1693"/>
      <c r="K749" s="1693"/>
      <c r="L749" s="1693"/>
      <c r="M749" s="1693"/>
      <c r="N749" s="1693"/>
      <c r="O749" s="1693"/>
      <c r="P749" s="1693"/>
      <c r="Q749" s="994"/>
      <c r="R749" s="994"/>
      <c r="S749" s="994"/>
      <c r="T749" s="1862">
        <f t="shared" si="130"/>
        <v>0</v>
      </c>
    </row>
    <row r="750" spans="1:20" ht="22.2" hidden="1" customHeight="1">
      <c r="A750" s="1448">
        <f>COUNTIF($C$12:C750,"x")</f>
        <v>38</v>
      </c>
      <c r="B750" s="1457" t="s">
        <v>510</v>
      </c>
      <c r="C750" s="970" t="str">
        <f t="shared" si="131"/>
        <v xml:space="preserve"> </v>
      </c>
      <c r="D750" s="1412"/>
      <c r="E750" s="981"/>
      <c r="F750" s="1276" t="s">
        <v>2405</v>
      </c>
      <c r="G750" s="982" t="s">
        <v>2277</v>
      </c>
      <c r="H750" s="1691">
        <f>SUM(I750:O750)</f>
        <v>0</v>
      </c>
      <c r="I750" s="1692"/>
      <c r="J750" s="1692"/>
      <c r="K750" s="1692">
        <f>IFERROR(HLOOKUP(B750,pp3p1m!$1:$3,2,0),0)</f>
        <v>0</v>
      </c>
      <c r="L750" s="1692">
        <f>IFERROR(HLOOKUP(chitiet!B750,pp1p!$1:$3,3,0),0)</f>
        <v>0</v>
      </c>
      <c r="M750" s="1692"/>
      <c r="N750" s="1692"/>
      <c r="O750" s="1692"/>
      <c r="P750" s="2674">
        <f>T750</f>
        <v>0</v>
      </c>
      <c r="Q750" s="983">
        <f>IF(P750&gt;H750,P750-H750,0)</f>
        <v>0</v>
      </c>
      <c r="R750" s="983">
        <f>IF(H750&gt;P750,H750-P750,0)</f>
        <v>0</v>
      </c>
      <c r="S750" s="983"/>
      <c r="T750" s="1862">
        <f>IFERROR(HLOOKUP(B750,pp1p!$1:$3,3,0),0)+IFERROR(HLOOKUP(B750,pp3p1m!$1:$3,3,0),0)</f>
        <v>0</v>
      </c>
    </row>
    <row r="751" spans="1:20" ht="22.2" hidden="1" customHeight="1">
      <c r="A751" s="1448">
        <f>COUNTIF($C$12:C751,"x")</f>
        <v>38</v>
      </c>
      <c r="B751" s="1455" t="s">
        <v>1814</v>
      </c>
      <c r="C751" s="970" t="str">
        <f t="shared" si="131"/>
        <v xml:space="preserve"> </v>
      </c>
      <c r="D751" s="1415">
        <v>1</v>
      </c>
      <c r="E751" s="980"/>
      <c r="F751" s="992" t="s">
        <v>2403</v>
      </c>
      <c r="G751" s="980" t="str">
        <f>VLOOKUP($B751,DG!A:D,DG!$D$2,)</f>
        <v>trụ</v>
      </c>
      <c r="H751" s="1693">
        <f t="shared" ref="H751:O754" si="139">H$750*$D751</f>
        <v>0</v>
      </c>
      <c r="I751" s="1693">
        <f t="shared" si="139"/>
        <v>0</v>
      </c>
      <c r="J751" s="1693">
        <f t="shared" si="139"/>
        <v>0</v>
      </c>
      <c r="K751" s="1693">
        <f t="shared" si="139"/>
        <v>0</v>
      </c>
      <c r="L751" s="1693">
        <f t="shared" si="139"/>
        <v>0</v>
      </c>
      <c r="M751" s="1693">
        <f t="shared" si="139"/>
        <v>0</v>
      </c>
      <c r="N751" s="1693">
        <f t="shared" si="139"/>
        <v>0</v>
      </c>
      <c r="O751" s="1693">
        <f t="shared" si="139"/>
        <v>0</v>
      </c>
      <c r="P751" s="1693"/>
      <c r="Q751" s="989"/>
      <c r="R751" s="989"/>
      <c r="S751" s="989"/>
      <c r="T751" s="1862">
        <f t="shared" si="130"/>
        <v>0</v>
      </c>
    </row>
    <row r="752" spans="1:20" ht="22.2" hidden="1" customHeight="1">
      <c r="A752" s="1448">
        <f>COUNTIF($C$12:C752,"x")</f>
        <v>38</v>
      </c>
      <c r="B752" s="1455" t="s">
        <v>2252</v>
      </c>
      <c r="C752" s="970" t="str">
        <f t="shared" si="131"/>
        <v xml:space="preserve"> </v>
      </c>
      <c r="D752" s="1415">
        <v>1</v>
      </c>
      <c r="E752" s="980" t="str">
        <f>VLOOKUP($B752,DG!A:D,DG!$B$2,)</f>
        <v>05.5302</v>
      </c>
      <c r="F752" s="992" t="s">
        <v>2404</v>
      </c>
      <c r="G752" s="980" t="str">
        <f>VLOOKUP($B752,DG!A:D,DG!$D$2,)</f>
        <v>trụ</v>
      </c>
      <c r="H752" s="1693">
        <f t="shared" si="139"/>
        <v>0</v>
      </c>
      <c r="I752" s="1693">
        <f t="shared" si="139"/>
        <v>0</v>
      </c>
      <c r="J752" s="1693">
        <f t="shared" si="139"/>
        <v>0</v>
      </c>
      <c r="K752" s="1693">
        <f t="shared" si="139"/>
        <v>0</v>
      </c>
      <c r="L752" s="1693">
        <f t="shared" si="139"/>
        <v>0</v>
      </c>
      <c r="M752" s="1693">
        <f t="shared" si="139"/>
        <v>0</v>
      </c>
      <c r="N752" s="1693">
        <f t="shared" si="139"/>
        <v>0</v>
      </c>
      <c r="O752" s="1693">
        <f t="shared" si="139"/>
        <v>0</v>
      </c>
      <c r="P752" s="1693"/>
      <c r="Q752" s="989"/>
      <c r="R752" s="989"/>
      <c r="S752" s="989"/>
      <c r="T752" s="1862">
        <f t="shared" si="130"/>
        <v>0</v>
      </c>
    </row>
    <row r="753" spans="1:20" ht="22.2" hidden="1" customHeight="1">
      <c r="A753" s="1448">
        <f>COUNTIF($C$12:C753,"x")</f>
        <v>38</v>
      </c>
      <c r="B753" s="1455" t="s">
        <v>1814</v>
      </c>
      <c r="C753" s="970" t="str">
        <f t="shared" si="131"/>
        <v xml:space="preserve"> </v>
      </c>
      <c r="D753" s="1415">
        <v>1</v>
      </c>
      <c r="E753" s="980">
        <f>VLOOKUP($B753,DG!A:D,DG!$B$2,)</f>
        <v>0</v>
      </c>
      <c r="F753" s="992" t="str">
        <f>VLOOKUP($B753,DG!A:D,DG!$C$2,)</f>
        <v>Vật liệu dựng trụ</v>
      </c>
      <c r="G753" s="980" t="str">
        <f>VLOOKUP($B753,DG!A:D,DG!$D$2,)</f>
        <v>trụ</v>
      </c>
      <c r="H753" s="1693">
        <f t="shared" si="139"/>
        <v>0</v>
      </c>
      <c r="I753" s="1693">
        <f t="shared" si="139"/>
        <v>0</v>
      </c>
      <c r="J753" s="1693">
        <f t="shared" si="139"/>
        <v>0</v>
      </c>
      <c r="K753" s="1693">
        <f t="shared" si="139"/>
        <v>0</v>
      </c>
      <c r="L753" s="1693">
        <f t="shared" si="139"/>
        <v>0</v>
      </c>
      <c r="M753" s="1693">
        <f t="shared" si="139"/>
        <v>0</v>
      </c>
      <c r="N753" s="1693">
        <f t="shared" si="139"/>
        <v>0</v>
      </c>
      <c r="O753" s="1693">
        <f t="shared" si="139"/>
        <v>0</v>
      </c>
      <c r="P753" s="1693"/>
      <c r="Q753" s="989"/>
      <c r="R753" s="989"/>
      <c r="S753" s="989"/>
      <c r="T753" s="1862">
        <f t="shared" ref="T753:T816" si="140">IFERROR(HLOOKUP(B753,BangKeTru,3,0),0)</f>
        <v>0</v>
      </c>
    </row>
    <row r="754" spans="1:20" ht="22.2" hidden="1" customHeight="1">
      <c r="A754" s="1448">
        <f>COUNTIF($C$12:C754,"x")</f>
        <v>38</v>
      </c>
      <c r="B754" s="1455" t="s">
        <v>2252</v>
      </c>
      <c r="C754" s="970" t="str">
        <f t="shared" ref="C754:C810" si="141">IF(OR(P754&lt;&gt;0,H754&lt;&gt;0),"x"," ")</f>
        <v xml:space="preserve"> </v>
      </c>
      <c r="D754" s="1415">
        <v>1</v>
      </c>
      <c r="E754" s="980" t="str">
        <f>VLOOKUP($B754,DG!A:D,DG!$B$2,)</f>
        <v>05.5302</v>
      </c>
      <c r="F754" s="992" t="str">
        <f>VLOOKUP($B754,DG!A:D,DG!$C$2,)</f>
        <v>Dựng trụ BTLT &lt;10m thủ công +cơ giới</v>
      </c>
      <c r="G754" s="980" t="str">
        <f>VLOOKUP($B754,DG!A:D,DG!$D$2,)</f>
        <v>trụ</v>
      </c>
      <c r="H754" s="1693">
        <f t="shared" si="139"/>
        <v>0</v>
      </c>
      <c r="I754" s="1693">
        <f t="shared" si="139"/>
        <v>0</v>
      </c>
      <c r="J754" s="1693">
        <f t="shared" si="139"/>
        <v>0</v>
      </c>
      <c r="K754" s="1693">
        <f t="shared" si="139"/>
        <v>0</v>
      </c>
      <c r="L754" s="1693">
        <f t="shared" si="139"/>
        <v>0</v>
      </c>
      <c r="M754" s="1693">
        <f t="shared" si="139"/>
        <v>0</v>
      </c>
      <c r="N754" s="1693">
        <f t="shared" si="139"/>
        <v>0</v>
      </c>
      <c r="O754" s="1693">
        <f t="shared" si="139"/>
        <v>0</v>
      </c>
      <c r="P754" s="1693"/>
      <c r="Q754" s="989"/>
      <c r="R754" s="989"/>
      <c r="S754" s="989"/>
      <c r="T754" s="1862">
        <f t="shared" si="140"/>
        <v>0</v>
      </c>
    </row>
    <row r="755" spans="1:20" ht="22.2" hidden="1" customHeight="1">
      <c r="A755" s="1448">
        <f>COUNTIF($C$12:C755,"x")</f>
        <v>38</v>
      </c>
      <c r="B755" s="1464" t="s">
        <v>635</v>
      </c>
      <c r="C755" s="970" t="str">
        <f t="shared" si="141"/>
        <v xml:space="preserve"> </v>
      </c>
      <c r="D755" s="1414"/>
      <c r="E755" s="980" t="str">
        <f>VLOOKUP($B755,DG!A:C,2,)</f>
        <v>02.1482</v>
      </c>
      <c r="F755" s="985" t="str">
        <f>VLOOKUP($B755,DG!A:C,3,)</f>
        <v>V/c dụng cụ thi công vào vị trí (cự ly &lt;=100m)</v>
      </c>
      <c r="G755" s="980" t="str">
        <f>VLOOKUP($B755,DG!A:D,4,0)</f>
        <v>tấn</v>
      </c>
      <c r="H755" s="1693"/>
      <c r="I755" s="1693"/>
      <c r="J755" s="1693"/>
      <c r="K755" s="1693"/>
      <c r="L755" s="1693"/>
      <c r="M755" s="1693"/>
      <c r="N755" s="1693"/>
      <c r="O755" s="1693"/>
      <c r="P755" s="1693"/>
      <c r="Q755" s="994"/>
      <c r="R755" s="994"/>
      <c r="S755" s="994"/>
      <c r="T755" s="1862">
        <f t="shared" si="140"/>
        <v>0</v>
      </c>
    </row>
    <row r="756" spans="1:20" ht="22.2" hidden="1" customHeight="1">
      <c r="A756" s="1448">
        <f>COUNTIF($C$12:C756,"x")</f>
        <v>38</v>
      </c>
      <c r="B756" s="1457" t="s">
        <v>300</v>
      </c>
      <c r="C756" s="970" t="str">
        <f t="shared" si="141"/>
        <v xml:space="preserve"> </v>
      </c>
      <c r="D756" s="1412"/>
      <c r="E756" s="981"/>
      <c r="F756" s="1276" t="s">
        <v>2406</v>
      </c>
      <c r="G756" s="982" t="s">
        <v>2277</v>
      </c>
      <c r="H756" s="1691">
        <f>SUM(I756:O756)</f>
        <v>0</v>
      </c>
      <c r="I756" s="1692"/>
      <c r="J756" s="1692"/>
      <c r="K756" s="1692">
        <f>IFERROR(HLOOKUP(B756,pp3p1m!$1:$3,2,0),0)</f>
        <v>0</v>
      </c>
      <c r="L756" s="1692">
        <f>IFERROR(HLOOKUP(chitiet!B756,pp1p!$1:$3,3,0),0)</f>
        <v>0</v>
      </c>
      <c r="M756" s="1692"/>
      <c r="N756" s="1692"/>
      <c r="O756" s="1692"/>
      <c r="P756" s="2674">
        <f>T756</f>
        <v>0</v>
      </c>
      <c r="Q756" s="983">
        <f>IF(P756&gt;H756,P756-H756,0)</f>
        <v>0</v>
      </c>
      <c r="R756" s="983">
        <f>IF(H756&gt;P756,H756-P756,0)</f>
        <v>0</v>
      </c>
      <c r="S756" s="983"/>
      <c r="T756" s="1862">
        <f>IFERROR(HLOOKUP(B756,pp1p!$1:$3,3,0),0)+IFERROR(HLOOKUP(B756,pp3p1m!$1:$3,3,0),0)</f>
        <v>0</v>
      </c>
    </row>
    <row r="757" spans="1:20" ht="22.2" hidden="1" customHeight="1">
      <c r="A757" s="1448">
        <f>COUNTIF($C$12:C757,"x")</f>
        <v>38</v>
      </c>
      <c r="B757" s="1455" t="s">
        <v>114</v>
      </c>
      <c r="C757" s="970" t="str">
        <f t="shared" si="141"/>
        <v xml:space="preserve"> </v>
      </c>
      <c r="D757" s="1415">
        <v>1</v>
      </c>
      <c r="E757" s="980"/>
      <c r="F757" s="992" t="str">
        <f>VLOOKUP($B757,DG!A:D,DG!$C$2,)</f>
        <v>Trụ BTLT 10,5m F350 dự ứng lực</v>
      </c>
      <c r="G757" s="980" t="str">
        <f>VLOOKUP($B757,DG!A:D,DG!$D$2,)</f>
        <v>trụ</v>
      </c>
      <c r="H757" s="1693">
        <f t="shared" ref="H757:O758" si="142">H$756*$D757</f>
        <v>0</v>
      </c>
      <c r="I757" s="1693">
        <f t="shared" si="142"/>
        <v>0</v>
      </c>
      <c r="J757" s="1693">
        <f t="shared" si="142"/>
        <v>0</v>
      </c>
      <c r="K757" s="1693">
        <f t="shared" si="142"/>
        <v>0</v>
      </c>
      <c r="L757" s="1693">
        <f t="shared" si="142"/>
        <v>0</v>
      </c>
      <c r="M757" s="1693">
        <f t="shared" si="142"/>
        <v>0</v>
      </c>
      <c r="N757" s="1693">
        <f t="shared" si="142"/>
        <v>0</v>
      </c>
      <c r="O757" s="1693">
        <f t="shared" si="142"/>
        <v>0</v>
      </c>
      <c r="P757" s="1693"/>
      <c r="Q757" s="989"/>
      <c r="R757" s="989"/>
      <c r="S757" s="989"/>
      <c r="T757" s="1862">
        <f t="shared" si="140"/>
        <v>0</v>
      </c>
    </row>
    <row r="758" spans="1:20" ht="22.2" hidden="1" customHeight="1">
      <c r="A758" s="1448">
        <f>COUNTIF($C$12:C758,"x")</f>
        <v>38</v>
      </c>
      <c r="B758" s="1455" t="s">
        <v>1814</v>
      </c>
      <c r="C758" s="970" t="str">
        <f t="shared" si="141"/>
        <v xml:space="preserve"> </v>
      </c>
      <c r="D758" s="1415">
        <v>1</v>
      </c>
      <c r="E758" s="980"/>
      <c r="F758" s="992" t="str">
        <f>VLOOKUP($B758,DG!A:D,DG!$C$2,)</f>
        <v>Vật liệu dựng trụ</v>
      </c>
      <c r="G758" s="980" t="str">
        <f>VLOOKUP($B758,DG!A:D,DG!$D$2,)</f>
        <v>trụ</v>
      </c>
      <c r="H758" s="1693">
        <f t="shared" si="142"/>
        <v>0</v>
      </c>
      <c r="I758" s="1693">
        <f t="shared" si="142"/>
        <v>0</v>
      </c>
      <c r="J758" s="1693">
        <f t="shared" si="142"/>
        <v>0</v>
      </c>
      <c r="K758" s="1693">
        <f t="shared" si="142"/>
        <v>0</v>
      </c>
      <c r="L758" s="1693">
        <f t="shared" si="142"/>
        <v>0</v>
      </c>
      <c r="M758" s="1693">
        <f t="shared" si="142"/>
        <v>0</v>
      </c>
      <c r="N758" s="1693">
        <f t="shared" si="142"/>
        <v>0</v>
      </c>
      <c r="O758" s="1693">
        <f t="shared" si="142"/>
        <v>0</v>
      </c>
      <c r="P758" s="1693"/>
      <c r="Q758" s="989"/>
      <c r="R758" s="989"/>
      <c r="S758" s="989"/>
      <c r="T758" s="1862">
        <f t="shared" si="140"/>
        <v>0</v>
      </c>
    </row>
    <row r="759" spans="1:20" ht="22.2" hidden="1" customHeight="1">
      <c r="A759" s="1448">
        <f>COUNTIF($C$12:C759,"x")</f>
        <v>38</v>
      </c>
      <c r="B759" s="1455" t="s">
        <v>1612</v>
      </c>
      <c r="C759" s="970" t="str">
        <f t="shared" si="141"/>
        <v xml:space="preserve"> </v>
      </c>
      <c r="D759" s="1415">
        <v>1</v>
      </c>
      <c r="E759" s="980" t="str">
        <f>VLOOKUP($B759,DG!A:D,DG!$B$2,)</f>
        <v>05.5402</v>
      </c>
      <c r="F759" s="992" t="str">
        <f>VLOOKUP($B759,DG!A:D,DG!$C$2,)</f>
        <v>Dựng trụ BTLT 10,5m thủ công + cơ giới</v>
      </c>
      <c r="G759" s="980" t="str">
        <f>VLOOKUP($B759,DG!A:D,DG!$D$2,)</f>
        <v>trụ</v>
      </c>
      <c r="H759" s="1693"/>
      <c r="I759" s="1693"/>
      <c r="J759" s="1693"/>
      <c r="K759" s="1693"/>
      <c r="L759" s="1693"/>
      <c r="M759" s="1693"/>
      <c r="N759" s="1693"/>
      <c r="O759" s="1693"/>
      <c r="P759" s="1693"/>
      <c r="Q759" s="994"/>
      <c r="R759" s="994"/>
      <c r="S759" s="994"/>
      <c r="T759" s="1862">
        <f t="shared" si="140"/>
        <v>0</v>
      </c>
    </row>
    <row r="760" spans="1:20" ht="22.2" hidden="1" customHeight="1">
      <c r="A760" s="1448">
        <f>COUNTIF($C$12:C760,"x")</f>
        <v>38</v>
      </c>
      <c r="B760" s="1455" t="s">
        <v>1198</v>
      </c>
      <c r="C760" s="970" t="str">
        <f t="shared" si="141"/>
        <v xml:space="preserve"> </v>
      </c>
      <c r="D760" s="1414"/>
      <c r="E760" s="980" t="str">
        <f>VLOOKUP($B760,DG!A:D,DG!$B$2,)</f>
        <v>02.1124</v>
      </c>
      <c r="F760" s="985" t="str">
        <f>VLOOKUP($B760,DG!A:D,DG!$C$2,)</f>
        <v xml:space="preserve">Bốc dỡ trụ </v>
      </c>
      <c r="G760" s="980" t="str">
        <f>VLOOKUP($B760,DG!A:D,DG!$D$2,)</f>
        <v>tấn</v>
      </c>
      <c r="H760" s="1693"/>
      <c r="I760" s="1693"/>
      <c r="J760" s="1693"/>
      <c r="K760" s="1693"/>
      <c r="L760" s="1693"/>
      <c r="M760" s="1693"/>
      <c r="N760" s="1693"/>
      <c r="O760" s="1693"/>
      <c r="P760" s="1693"/>
      <c r="Q760" s="994"/>
      <c r="R760" s="994"/>
      <c r="S760" s="994"/>
      <c r="T760" s="1862">
        <f t="shared" si="140"/>
        <v>0</v>
      </c>
    </row>
    <row r="761" spans="1:20" ht="22.2" hidden="1" customHeight="1">
      <c r="A761" s="1448">
        <f>COUNTIF($C$12:C761,"x")</f>
        <v>38</v>
      </c>
      <c r="B761" s="1464" t="s">
        <v>1199</v>
      </c>
      <c r="C761" s="970" t="str">
        <f t="shared" si="141"/>
        <v xml:space="preserve"> </v>
      </c>
      <c r="D761" s="1414"/>
      <c r="E761" s="980" t="str">
        <f>VLOOKUP($B761,DG!A:C,2,)</f>
        <v>02.1461</v>
      </c>
      <c r="F761" s="985" t="str">
        <f>VLOOKUP($B761,DG!A:C,3,)</f>
        <v>V/c cột vào vị trí (cự ly &lt;=100m)</v>
      </c>
      <c r="G761" s="980" t="str">
        <f>VLOOKUP($B761,DG!A:D,4,0)</f>
        <v>tấn</v>
      </c>
      <c r="H761" s="1693"/>
      <c r="I761" s="1693"/>
      <c r="J761" s="1693"/>
      <c r="K761" s="1693"/>
      <c r="L761" s="1693"/>
      <c r="M761" s="1693"/>
      <c r="N761" s="1693"/>
      <c r="O761" s="1693"/>
      <c r="P761" s="1693"/>
      <c r="Q761" s="994"/>
      <c r="R761" s="994"/>
      <c r="S761" s="994"/>
      <c r="T761" s="1862">
        <f t="shared" si="140"/>
        <v>0</v>
      </c>
    </row>
    <row r="762" spans="1:20" ht="22.2" hidden="1" customHeight="1">
      <c r="A762" s="1448">
        <f>COUNTIF($C$12:C762,"x")</f>
        <v>38</v>
      </c>
      <c r="B762" s="1464" t="s">
        <v>635</v>
      </c>
      <c r="C762" s="970" t="str">
        <f t="shared" si="141"/>
        <v xml:space="preserve"> </v>
      </c>
      <c r="D762" s="1414"/>
      <c r="E762" s="980" t="str">
        <f>VLOOKUP($B762,DG!A:C,2,)</f>
        <v>02.1482</v>
      </c>
      <c r="F762" s="985" t="str">
        <f>VLOOKUP($B762,DG!A:C,3,)</f>
        <v>V/c dụng cụ thi công vào vị trí (cự ly &lt;=100m)</v>
      </c>
      <c r="G762" s="980" t="str">
        <f>VLOOKUP($B762,DG!A:D,4,0)</f>
        <v>tấn</v>
      </c>
      <c r="H762" s="1693"/>
      <c r="I762" s="1693"/>
      <c r="J762" s="1693"/>
      <c r="K762" s="1693"/>
      <c r="L762" s="1693"/>
      <c r="M762" s="1693"/>
      <c r="N762" s="1693"/>
      <c r="O762" s="1693"/>
      <c r="P762" s="1693"/>
      <c r="Q762" s="994"/>
      <c r="R762" s="994"/>
      <c r="S762" s="994"/>
      <c r="T762" s="1862">
        <f t="shared" si="140"/>
        <v>0</v>
      </c>
    </row>
    <row r="763" spans="1:20" ht="22.2" hidden="1" customHeight="1">
      <c r="A763" s="1448">
        <f>COUNTIF($C$12:C763,"x")</f>
        <v>38</v>
      </c>
      <c r="B763" s="1457" t="s">
        <v>370</v>
      </c>
      <c r="C763" s="970" t="str">
        <f t="shared" si="141"/>
        <v xml:space="preserve"> </v>
      </c>
      <c r="D763" s="1412"/>
      <c r="E763" s="981"/>
      <c r="F763" s="1276" t="s">
        <v>2407</v>
      </c>
      <c r="G763" s="982" t="s">
        <v>2277</v>
      </c>
      <c r="H763" s="1691">
        <f>SUM(I763:O763)</f>
        <v>0</v>
      </c>
      <c r="I763" s="1692"/>
      <c r="J763" s="1692"/>
      <c r="K763" s="1692">
        <f>IFERROR(HLOOKUP(B763,pp3p1m!$1:$3,2,0),0)</f>
        <v>0</v>
      </c>
      <c r="L763" s="1692">
        <f>IFERROR(HLOOKUP(chitiet!B763,pp1p!$1:$3,3,0),0)</f>
        <v>0</v>
      </c>
      <c r="M763" s="1692"/>
      <c r="N763" s="1692"/>
      <c r="O763" s="1692"/>
      <c r="P763" s="2674">
        <f>T763</f>
        <v>0</v>
      </c>
      <c r="Q763" s="983">
        <f>IF(P763&gt;H763,P763-H763,0)</f>
        <v>0</v>
      </c>
      <c r="R763" s="983">
        <f>IF(H763&gt;P763,H763-P763,0)</f>
        <v>0</v>
      </c>
      <c r="S763" s="983"/>
      <c r="T763" s="1862">
        <f>IFERROR(HLOOKUP(B763,pp1p!$1:$3,3,0),0)+IFERROR(HLOOKUP(B763,pp3p1m!$1:$3,3,0),0)</f>
        <v>0</v>
      </c>
    </row>
    <row r="764" spans="1:20" ht="22.2" hidden="1" customHeight="1">
      <c r="A764" s="1448">
        <f>COUNTIF($C$12:C764,"x")</f>
        <v>38</v>
      </c>
      <c r="B764" s="1455" t="s">
        <v>1612</v>
      </c>
      <c r="C764" s="970" t="str">
        <f t="shared" si="141"/>
        <v xml:space="preserve"> </v>
      </c>
      <c r="D764" s="1415">
        <v>1</v>
      </c>
      <c r="E764" s="980" t="str">
        <f>VLOOKUP($B764,DG!A:D,DG!$B$2,)</f>
        <v>05.5402</v>
      </c>
      <c r="F764" s="992" t="s">
        <v>2408</v>
      </c>
      <c r="G764" s="980" t="str">
        <f>VLOOKUP($B764,DG!A:D,DG!$D$2,)</f>
        <v>trụ</v>
      </c>
      <c r="H764" s="1693"/>
      <c r="I764" s="1693"/>
      <c r="J764" s="1693"/>
      <c r="K764" s="1693"/>
      <c r="L764" s="1693"/>
      <c r="M764" s="1693"/>
      <c r="N764" s="1693"/>
      <c r="O764" s="1693"/>
      <c r="P764" s="1693"/>
      <c r="Q764" s="994"/>
      <c r="R764" s="994"/>
      <c r="S764" s="994"/>
      <c r="T764" s="1862">
        <f t="shared" si="140"/>
        <v>0</v>
      </c>
    </row>
    <row r="765" spans="1:20" ht="22.2" hidden="1" customHeight="1">
      <c r="A765" s="1448">
        <f>COUNTIF($C$12:C765,"x")</f>
        <v>38</v>
      </c>
      <c r="B765" s="1457" t="s">
        <v>1186</v>
      </c>
      <c r="C765" s="970" t="str">
        <f t="shared" si="141"/>
        <v xml:space="preserve"> </v>
      </c>
      <c r="D765" s="1412"/>
      <c r="E765" s="981"/>
      <c r="F765" s="1276" t="s">
        <v>2409</v>
      </c>
      <c r="G765" s="982" t="s">
        <v>2277</v>
      </c>
      <c r="H765" s="1691">
        <f>SUM(I765:O765)</f>
        <v>0</v>
      </c>
      <c r="I765" s="1692"/>
      <c r="J765" s="1692"/>
      <c r="K765" s="1692">
        <f>IFERROR(HLOOKUP(B765,pp3p1m!$1:$3,2,0),0)</f>
        <v>0</v>
      </c>
      <c r="L765" s="1692">
        <f>IFERROR(HLOOKUP(chitiet!B765,pp1p!$1:$3,3,0),0)</f>
        <v>0</v>
      </c>
      <c r="M765" s="1692"/>
      <c r="N765" s="1692"/>
      <c r="O765" s="1692"/>
      <c r="P765" s="2674">
        <f>T765</f>
        <v>0</v>
      </c>
      <c r="Q765" s="983">
        <f>IF(P765&gt;H765,P765-H765,0)</f>
        <v>0</v>
      </c>
      <c r="R765" s="983">
        <f>IF(H765&gt;P765,H765-P765,0)</f>
        <v>0</v>
      </c>
      <c r="S765" s="983"/>
      <c r="T765" s="1862">
        <f>IFERROR(HLOOKUP(B765,pp1p!$1:$3,3,0),0)+IFERROR(HLOOKUP(B765,pp3p1m!$1:$3,3,0),0)</f>
        <v>0</v>
      </c>
    </row>
    <row r="766" spans="1:20" ht="22.2" hidden="1" customHeight="1">
      <c r="A766" s="1448">
        <f>COUNTIF($C$12:C766,"x")</f>
        <v>38</v>
      </c>
      <c r="B766" s="1455" t="s">
        <v>115</v>
      </c>
      <c r="C766" s="970" t="str">
        <f t="shared" si="141"/>
        <v xml:space="preserve"> </v>
      </c>
      <c r="D766" s="1415">
        <v>1</v>
      </c>
      <c r="E766" s="980"/>
      <c r="F766" s="992" t="str">
        <f>VLOOKUP($B766,DG!A:D,DG!$C$2,)</f>
        <v>Trụ BTLT 12m F540 dự ứng lực</v>
      </c>
      <c r="G766" s="980" t="str">
        <f>VLOOKUP($B766,DG!A:D,DG!$D$2,)</f>
        <v>trụ</v>
      </c>
      <c r="H766" s="1693">
        <f t="shared" ref="H766:R767" si="143">H$765*$D766</f>
        <v>0</v>
      </c>
      <c r="I766" s="1693">
        <f t="shared" si="143"/>
        <v>0</v>
      </c>
      <c r="J766" s="1693">
        <f t="shared" si="143"/>
        <v>0</v>
      </c>
      <c r="K766" s="1693">
        <f t="shared" si="143"/>
        <v>0</v>
      </c>
      <c r="L766" s="1693">
        <f t="shared" si="143"/>
        <v>0</v>
      </c>
      <c r="M766" s="1693">
        <f t="shared" si="143"/>
        <v>0</v>
      </c>
      <c r="N766" s="1693">
        <f t="shared" si="143"/>
        <v>0</v>
      </c>
      <c r="O766" s="1693">
        <f t="shared" si="143"/>
        <v>0</v>
      </c>
      <c r="P766" s="1693">
        <f t="shared" si="143"/>
        <v>0</v>
      </c>
      <c r="Q766" s="1693">
        <f t="shared" si="143"/>
        <v>0</v>
      </c>
      <c r="R766" s="1693">
        <f t="shared" si="143"/>
        <v>0</v>
      </c>
      <c r="S766" s="989"/>
      <c r="T766" s="1862">
        <f t="shared" si="140"/>
        <v>0</v>
      </c>
    </row>
    <row r="767" spans="1:20" ht="22.2" hidden="1" customHeight="1">
      <c r="A767" s="1448">
        <f>COUNTIF($C$12:C767,"x")</f>
        <v>38</v>
      </c>
      <c r="B767" s="1455" t="s">
        <v>1814</v>
      </c>
      <c r="C767" s="970" t="str">
        <f t="shared" si="141"/>
        <v xml:space="preserve"> </v>
      </c>
      <c r="D767" s="1415">
        <v>1</v>
      </c>
      <c r="E767" s="980"/>
      <c r="F767" s="992" t="str">
        <f>VLOOKUP($B767,DG!A:D,DG!$C$2,)</f>
        <v>Vật liệu dựng trụ</v>
      </c>
      <c r="G767" s="980" t="str">
        <f>VLOOKUP($B767,DG!A:D,DG!$D$2,)</f>
        <v>trụ</v>
      </c>
      <c r="H767" s="1693">
        <f t="shared" si="143"/>
        <v>0</v>
      </c>
      <c r="I767" s="1693">
        <f t="shared" si="143"/>
        <v>0</v>
      </c>
      <c r="J767" s="1693">
        <f t="shared" si="143"/>
        <v>0</v>
      </c>
      <c r="K767" s="1693">
        <f t="shared" si="143"/>
        <v>0</v>
      </c>
      <c r="L767" s="1693">
        <f t="shared" si="143"/>
        <v>0</v>
      </c>
      <c r="M767" s="1693">
        <f t="shared" si="143"/>
        <v>0</v>
      </c>
      <c r="N767" s="1693">
        <f t="shared" si="143"/>
        <v>0</v>
      </c>
      <c r="O767" s="1693">
        <f t="shared" si="143"/>
        <v>0</v>
      </c>
      <c r="P767" s="1693">
        <f t="shared" si="143"/>
        <v>0</v>
      </c>
      <c r="Q767" s="1693">
        <f t="shared" si="143"/>
        <v>0</v>
      </c>
      <c r="R767" s="1693">
        <f t="shared" si="143"/>
        <v>0</v>
      </c>
      <c r="S767" s="989"/>
      <c r="T767" s="1862">
        <f t="shared" si="140"/>
        <v>0</v>
      </c>
    </row>
    <row r="768" spans="1:20" ht="22.2" hidden="1" customHeight="1">
      <c r="A768" s="1448">
        <f>COUNTIF($C$12:C768,"x")</f>
        <v>38</v>
      </c>
      <c r="B768" s="1455" t="s">
        <v>1614</v>
      </c>
      <c r="C768" s="970" t="str">
        <f t="shared" si="141"/>
        <v xml:space="preserve"> </v>
      </c>
      <c r="D768" s="1415">
        <v>1</v>
      </c>
      <c r="E768" s="980" t="str">
        <f>VLOOKUP($B768,DG!A:D,DG!$B$2,)</f>
        <v>05.5213</v>
      </c>
      <c r="F768" s="992" t="str">
        <f>VLOOKUP($B768,DG!A:D,DG!$C$2,)</f>
        <v>Dựng trụ BTLT 12m bằng thủ công</v>
      </c>
      <c r="G768" s="980" t="str">
        <f>VLOOKUP($B768,DG!A:D,DG!$D$2,)</f>
        <v>trụ</v>
      </c>
      <c r="H768" s="1693"/>
      <c r="I768" s="1693"/>
      <c r="J768" s="1693"/>
      <c r="K768" s="1693"/>
      <c r="L768" s="1693"/>
      <c r="M768" s="1693"/>
      <c r="N768" s="1693"/>
      <c r="O768" s="1693"/>
      <c r="P768" s="1693"/>
      <c r="Q768" s="994"/>
      <c r="R768" s="994"/>
      <c r="S768" s="994"/>
      <c r="T768" s="1862">
        <f t="shared" si="140"/>
        <v>0</v>
      </c>
    </row>
    <row r="769" spans="1:20" ht="22.2" hidden="1" customHeight="1">
      <c r="A769" s="1448">
        <f>COUNTIF($C$12:C769,"x")</f>
        <v>38</v>
      </c>
      <c r="B769" s="1455" t="s">
        <v>1198</v>
      </c>
      <c r="C769" s="970" t="str">
        <f t="shared" si="141"/>
        <v xml:space="preserve"> </v>
      </c>
      <c r="D769" s="1414">
        <f>1.2*0</f>
        <v>0</v>
      </c>
      <c r="E769" s="980" t="str">
        <f>VLOOKUP($B769,DG!A:D,DG!$B$2,)</f>
        <v>02.1124</v>
      </c>
      <c r="F769" s="985" t="str">
        <f>VLOOKUP($B769,DG!A:D,DG!$C$2,)</f>
        <v xml:space="preserve">Bốc dỡ trụ </v>
      </c>
      <c r="G769" s="980" t="str">
        <f>VLOOKUP($B769,DG!A:D,DG!$D$2,)</f>
        <v>tấn</v>
      </c>
      <c r="H769" s="1693"/>
      <c r="I769" s="1693"/>
      <c r="J769" s="1693"/>
      <c r="K769" s="1693"/>
      <c r="L769" s="1693"/>
      <c r="M769" s="1693"/>
      <c r="N769" s="1693"/>
      <c r="O769" s="1693"/>
      <c r="P769" s="1693"/>
      <c r="Q769" s="994"/>
      <c r="R769" s="994"/>
      <c r="S769" s="994"/>
      <c r="T769" s="1862">
        <f t="shared" si="140"/>
        <v>0</v>
      </c>
    </row>
    <row r="770" spans="1:20" ht="22.2" hidden="1" customHeight="1">
      <c r="A770" s="1448">
        <f>COUNTIF($C$12:C770,"x")</f>
        <v>38</v>
      </c>
      <c r="B770" s="1464" t="s">
        <v>1199</v>
      </c>
      <c r="C770" s="970" t="str">
        <f t="shared" si="141"/>
        <v xml:space="preserve"> </v>
      </c>
      <c r="D770" s="1414">
        <f>1.2*0</f>
        <v>0</v>
      </c>
      <c r="E770" s="980" t="str">
        <f>VLOOKUP($B770,DG!A:C,2,)</f>
        <v>02.1461</v>
      </c>
      <c r="F770" s="985" t="str">
        <f>VLOOKUP($B770,DG!A:C,3,)</f>
        <v>V/c cột vào vị trí (cự ly &lt;=100m)</v>
      </c>
      <c r="G770" s="980" t="str">
        <f>VLOOKUP($B770,DG!A:D,4,0)</f>
        <v>tấn</v>
      </c>
      <c r="H770" s="1693"/>
      <c r="I770" s="1693"/>
      <c r="J770" s="1693"/>
      <c r="K770" s="1693"/>
      <c r="L770" s="1693"/>
      <c r="M770" s="1693"/>
      <c r="N770" s="1693"/>
      <c r="O770" s="1693"/>
      <c r="P770" s="1693"/>
      <c r="Q770" s="994"/>
      <c r="R770" s="994"/>
      <c r="S770" s="994"/>
      <c r="T770" s="1862">
        <f t="shared" si="140"/>
        <v>0</v>
      </c>
    </row>
    <row r="771" spans="1:20" ht="22.2" hidden="1" customHeight="1">
      <c r="A771" s="1448">
        <f>COUNTIF($C$12:C771,"x")</f>
        <v>38</v>
      </c>
      <c r="B771" s="1464" t="s">
        <v>635</v>
      </c>
      <c r="C771" s="970" t="str">
        <f t="shared" si="141"/>
        <v xml:space="preserve"> </v>
      </c>
      <c r="D771" s="1414">
        <f>0.25*0</f>
        <v>0</v>
      </c>
      <c r="E771" s="980" t="str">
        <f>VLOOKUP($B771,DG!A:C,2,)</f>
        <v>02.1482</v>
      </c>
      <c r="F771" s="985" t="str">
        <f>VLOOKUP($B771,DG!A:C,3,)</f>
        <v>V/c dụng cụ thi công vào vị trí (cự ly &lt;=100m)</v>
      </c>
      <c r="G771" s="980" t="str">
        <f>VLOOKUP($B771,DG!A:D,4,0)</f>
        <v>tấn</v>
      </c>
      <c r="H771" s="1693"/>
      <c r="I771" s="1693"/>
      <c r="J771" s="1693"/>
      <c r="K771" s="1693"/>
      <c r="L771" s="1693"/>
      <c r="M771" s="1693"/>
      <c r="N771" s="1693"/>
      <c r="O771" s="1693"/>
      <c r="P771" s="1693"/>
      <c r="Q771" s="994"/>
      <c r="R771" s="994"/>
      <c r="S771" s="994"/>
      <c r="T771" s="1862">
        <f t="shared" si="140"/>
        <v>0</v>
      </c>
    </row>
    <row r="772" spans="1:20" ht="22.2" customHeight="1">
      <c r="A772" s="1448">
        <f>COUNTIF($C$12:C772,"x")</f>
        <v>39</v>
      </c>
      <c r="B772" s="1457" t="s">
        <v>301</v>
      </c>
      <c r="C772" s="1701" t="str">
        <f t="shared" si="141"/>
        <v>x</v>
      </c>
      <c r="D772" s="1412"/>
      <c r="E772" s="981"/>
      <c r="F772" s="1276" t="s">
        <v>2410</v>
      </c>
      <c r="G772" s="982" t="s">
        <v>2277</v>
      </c>
      <c r="H772" s="1691">
        <f>SUM(I772:O772)</f>
        <v>17</v>
      </c>
      <c r="I772" s="1692"/>
      <c r="J772" s="1692"/>
      <c r="K772" s="1692">
        <f>IFERROR(HLOOKUP(B772,pp3p1m!$1:$3,2,0),0)</f>
        <v>17</v>
      </c>
      <c r="L772" s="1692">
        <f>IFERROR(HLOOKUP(chitiet!B772,pp1p!$1:$3,3,0),0)</f>
        <v>0</v>
      </c>
      <c r="M772" s="1692"/>
      <c r="N772" s="1692"/>
      <c r="O772" s="1692"/>
      <c r="P772" s="1691">
        <f>T772</f>
        <v>17</v>
      </c>
      <c r="Q772" s="1691">
        <f>IF(P772&gt;H772,P772-H772,0)</f>
        <v>0</v>
      </c>
      <c r="R772" s="1957">
        <f>IF(H772&gt;P772,H772-P772,0)</f>
        <v>0</v>
      </c>
      <c r="S772" s="983"/>
      <c r="T772" s="1862">
        <f>IFERROR(HLOOKUP(B772,pp1p!$1:$3,3,0),0)+IFERROR(HLOOKUP(B772,pp3p1m!$1:$3,3,0),0)</f>
        <v>17</v>
      </c>
    </row>
    <row r="773" spans="1:20" ht="22.2" customHeight="1">
      <c r="A773" s="1448">
        <f>COUNTIF($C$12:C773,"x")</f>
        <v>40</v>
      </c>
      <c r="B773" s="1451" t="s">
        <v>115</v>
      </c>
      <c r="C773" s="1701" t="str">
        <f t="shared" si="141"/>
        <v>x</v>
      </c>
      <c r="D773" s="1415">
        <v>1</v>
      </c>
      <c r="E773" s="980"/>
      <c r="F773" s="992" t="str">
        <f>VLOOKUP($B773,DG!A:D,DG!$C$2,)</f>
        <v>Trụ BTLT 12m F540 dự ứng lực</v>
      </c>
      <c r="G773" s="980" t="str">
        <f>VLOOKUP($B773,DG!A:D,DG!$D$2,)</f>
        <v>trụ</v>
      </c>
      <c r="H773" s="1693">
        <f>H$772*$D773</f>
        <v>17</v>
      </c>
      <c r="I773" s="1693">
        <f t="shared" ref="I773:R775" si="144">I$772*$D773</f>
        <v>0</v>
      </c>
      <c r="J773" s="1693">
        <f t="shared" si="144"/>
        <v>0</v>
      </c>
      <c r="K773" s="1693">
        <f t="shared" si="144"/>
        <v>17</v>
      </c>
      <c r="L773" s="1693">
        <f t="shared" si="144"/>
        <v>0</v>
      </c>
      <c r="M773" s="1693">
        <f t="shared" si="144"/>
        <v>0</v>
      </c>
      <c r="N773" s="1693">
        <f t="shared" si="144"/>
        <v>0</v>
      </c>
      <c r="O773" s="1693">
        <f t="shared" si="144"/>
        <v>0</v>
      </c>
      <c r="P773" s="1693">
        <f t="shared" si="144"/>
        <v>17</v>
      </c>
      <c r="Q773" s="1693">
        <f t="shared" si="144"/>
        <v>0</v>
      </c>
      <c r="R773" s="1693">
        <f t="shared" si="144"/>
        <v>0</v>
      </c>
      <c r="S773" s="989"/>
      <c r="T773" s="1862">
        <f t="shared" si="140"/>
        <v>0</v>
      </c>
    </row>
    <row r="774" spans="1:20" ht="22.2" hidden="1" customHeight="1">
      <c r="A774" s="1448">
        <f>COUNTIF($C$12:C774,"x")</f>
        <v>40</v>
      </c>
      <c r="B774" s="1451" t="s">
        <v>1814</v>
      </c>
      <c r="C774" s="1701" t="str">
        <f t="shared" si="141"/>
        <v xml:space="preserve"> </v>
      </c>
      <c r="D774" s="1415"/>
      <c r="E774" s="980"/>
      <c r="F774" s="985" t="str">
        <f>VLOOKUP($B774,DG!A:D,DG!$C$2,)</f>
        <v>Vật liệu dựng trụ</v>
      </c>
      <c r="G774" s="980" t="str">
        <f>VLOOKUP($B774,DG!A:D,DG!$D$2,)</f>
        <v>trụ</v>
      </c>
      <c r="H774" s="1693">
        <f>H$772*$D774</f>
        <v>0</v>
      </c>
      <c r="I774" s="1693">
        <f>I$765*$D774</f>
        <v>0</v>
      </c>
      <c r="J774" s="1693">
        <f>J$765*$D774</f>
        <v>0</v>
      </c>
      <c r="K774" s="1693">
        <f>K$772*$D774</f>
        <v>0</v>
      </c>
      <c r="L774" s="1693">
        <f>L$772*$D774</f>
        <v>0</v>
      </c>
      <c r="M774" s="1693">
        <f t="shared" ref="M774:O774" si="145">M$765*$D774</f>
        <v>0</v>
      </c>
      <c r="N774" s="1693">
        <f t="shared" si="145"/>
        <v>0</v>
      </c>
      <c r="O774" s="1693">
        <f t="shared" si="145"/>
        <v>0</v>
      </c>
      <c r="P774" s="1693">
        <f t="shared" si="144"/>
        <v>0</v>
      </c>
      <c r="Q774" s="1693">
        <f t="shared" si="144"/>
        <v>0</v>
      </c>
      <c r="R774" s="1693">
        <f t="shared" si="144"/>
        <v>0</v>
      </c>
      <c r="S774" s="989"/>
      <c r="T774" s="1862">
        <f t="shared" si="140"/>
        <v>0</v>
      </c>
    </row>
    <row r="775" spans="1:20" ht="22.2" customHeight="1">
      <c r="A775" s="1448">
        <f>COUNTIF($C$12:C775,"x")</f>
        <v>41</v>
      </c>
      <c r="B775" s="1451" t="s">
        <v>2169</v>
      </c>
      <c r="C775" s="1701" t="str">
        <f t="shared" si="141"/>
        <v>x</v>
      </c>
      <c r="D775" s="1415">
        <v>1</v>
      </c>
      <c r="E775" s="980" t="str">
        <f>VLOOKUP($B775,DG!A:D,DG!$B$2,)</f>
        <v>05.5402</v>
      </c>
      <c r="F775" s="985" t="str">
        <f>VLOOKUP($B775,DG!A:D,DG!$C$2,)</f>
        <v>Dựng trụ BTLT 12m thủ công + cơ giới</v>
      </c>
      <c r="G775" s="980" t="str">
        <f>VLOOKUP($B775,DG!A:D,DG!$D$2,)</f>
        <v>trụ</v>
      </c>
      <c r="H775" s="1693">
        <f>H$772*$D775</f>
        <v>17</v>
      </c>
      <c r="I775" s="1693"/>
      <c r="J775" s="1693"/>
      <c r="K775" s="1693"/>
      <c r="L775" s="1693"/>
      <c r="M775" s="1693"/>
      <c r="N775" s="1693"/>
      <c r="O775" s="1693"/>
      <c r="P775" s="1693">
        <f t="shared" si="144"/>
        <v>17</v>
      </c>
      <c r="Q775" s="1693">
        <f t="shared" si="144"/>
        <v>0</v>
      </c>
      <c r="R775" s="1693">
        <f t="shared" si="144"/>
        <v>0</v>
      </c>
      <c r="S775" s="994"/>
      <c r="T775" s="1862">
        <f t="shared" si="140"/>
        <v>0</v>
      </c>
    </row>
    <row r="776" spans="1:20" ht="22.2" hidden="1" customHeight="1">
      <c r="A776" s="1448">
        <f>COUNTIF($C$12:C776,"x")</f>
        <v>41</v>
      </c>
      <c r="B776" s="1455" t="s">
        <v>1198</v>
      </c>
      <c r="C776" s="970" t="str">
        <f t="shared" si="141"/>
        <v xml:space="preserve"> </v>
      </c>
      <c r="D776" s="1414">
        <f>1.2*0</f>
        <v>0</v>
      </c>
      <c r="E776" s="980" t="str">
        <f>VLOOKUP($B776,DG!A:D,DG!$B$2,)</f>
        <v>02.1124</v>
      </c>
      <c r="F776" s="985" t="str">
        <f>VLOOKUP($B776,DG!A:D,DG!$C$2,)</f>
        <v xml:space="preserve">Bốc dỡ trụ </v>
      </c>
      <c r="G776" s="980" t="str">
        <f>VLOOKUP($B776,DG!A:D,DG!$D$2,)</f>
        <v>tấn</v>
      </c>
      <c r="H776" s="1693"/>
      <c r="I776" s="1693"/>
      <c r="J776" s="1693"/>
      <c r="K776" s="1693"/>
      <c r="L776" s="1693"/>
      <c r="M776" s="1693"/>
      <c r="N776" s="1693"/>
      <c r="O776" s="1693"/>
      <c r="P776" s="1693"/>
      <c r="Q776" s="994"/>
      <c r="R776" s="994"/>
      <c r="S776" s="994"/>
      <c r="T776" s="1862">
        <f t="shared" si="140"/>
        <v>0</v>
      </c>
    </row>
    <row r="777" spans="1:20" ht="22.2" hidden="1" customHeight="1">
      <c r="A777" s="1448">
        <f>COUNTIF($C$12:C777,"x")</f>
        <v>41</v>
      </c>
      <c r="B777" s="1464" t="s">
        <v>1199</v>
      </c>
      <c r="C777" s="970" t="str">
        <f t="shared" si="141"/>
        <v xml:space="preserve"> </v>
      </c>
      <c r="D777" s="1414">
        <f>1.2*0</f>
        <v>0</v>
      </c>
      <c r="E777" s="980" t="str">
        <f>VLOOKUP($B777,DG!A:C,2,)</f>
        <v>02.1461</v>
      </c>
      <c r="F777" s="985" t="str">
        <f>VLOOKUP($B777,DG!A:C,3,)</f>
        <v>V/c cột vào vị trí (cự ly &lt;=100m)</v>
      </c>
      <c r="G777" s="980" t="str">
        <f>VLOOKUP($B777,DG!A:D,4,0)</f>
        <v>tấn</v>
      </c>
      <c r="H777" s="1693"/>
      <c r="I777" s="1693"/>
      <c r="J777" s="1693"/>
      <c r="K777" s="1693"/>
      <c r="L777" s="1693"/>
      <c r="M777" s="1693"/>
      <c r="N777" s="1693"/>
      <c r="O777" s="1693"/>
      <c r="P777" s="1693"/>
      <c r="Q777" s="994"/>
      <c r="R777" s="994"/>
      <c r="S777" s="994"/>
      <c r="T777" s="1862">
        <f t="shared" si="140"/>
        <v>0</v>
      </c>
    </row>
    <row r="778" spans="1:20" ht="22.2" hidden="1" customHeight="1">
      <c r="A778" s="1448">
        <f>COUNTIF($C$12:C778,"x")</f>
        <v>41</v>
      </c>
      <c r="B778" s="1464" t="s">
        <v>635</v>
      </c>
      <c r="C778" s="970" t="str">
        <f t="shared" si="141"/>
        <v xml:space="preserve"> </v>
      </c>
      <c r="D778" s="1414">
        <f>0.25*0</f>
        <v>0</v>
      </c>
      <c r="E778" s="980" t="str">
        <f>VLOOKUP($B778,DG!A:C,2,)</f>
        <v>02.1482</v>
      </c>
      <c r="F778" s="985" t="str">
        <f>VLOOKUP($B778,DG!A:C,3,)</f>
        <v>V/c dụng cụ thi công vào vị trí (cự ly &lt;=100m)</v>
      </c>
      <c r="G778" s="980" t="str">
        <f>VLOOKUP($B778,DG!A:D,4,0)</f>
        <v>tấn</v>
      </c>
      <c r="H778" s="1693"/>
      <c r="I778" s="1693"/>
      <c r="J778" s="1693"/>
      <c r="K778" s="1693"/>
      <c r="L778" s="1693"/>
      <c r="M778" s="1693"/>
      <c r="N778" s="1693"/>
      <c r="O778" s="1693"/>
      <c r="P778" s="1693"/>
      <c r="Q778" s="994"/>
      <c r="R778" s="994"/>
      <c r="S778" s="994"/>
      <c r="T778" s="1862">
        <f t="shared" si="140"/>
        <v>0</v>
      </c>
    </row>
    <row r="779" spans="1:20" ht="22.2" hidden="1" customHeight="1">
      <c r="A779" s="1448">
        <f>COUNTIF($C$12:C779,"x")</f>
        <v>41</v>
      </c>
      <c r="B779" s="1457" t="s">
        <v>2308</v>
      </c>
      <c r="C779" s="970" t="str">
        <f t="shared" si="141"/>
        <v xml:space="preserve"> </v>
      </c>
      <c r="D779" s="1412"/>
      <c r="E779" s="981"/>
      <c r="F779" s="1276" t="s">
        <v>2411</v>
      </c>
      <c r="G779" s="982" t="s">
        <v>2277</v>
      </c>
      <c r="H779" s="1691">
        <f>SUM(I779:O779)</f>
        <v>0</v>
      </c>
      <c r="I779" s="1692"/>
      <c r="J779" s="1692"/>
      <c r="K779" s="1692">
        <f>IFERROR(HLOOKUP(B779,pp3p1m!$1:$3,2,0),0)</f>
        <v>0</v>
      </c>
      <c r="L779" s="1692">
        <f>IFERROR(HLOOKUP(chitiet!B779,pp1p!$1:$3,3,0),0)</f>
        <v>0</v>
      </c>
      <c r="M779" s="1692"/>
      <c r="N779" s="1692"/>
      <c r="O779" s="1692"/>
      <c r="P779" s="2674">
        <f>T779</f>
        <v>0</v>
      </c>
      <c r="Q779" s="983">
        <f>IF(P779&gt;H779,P779-H779,0)</f>
        <v>0</v>
      </c>
      <c r="R779" s="983">
        <f>IF(H779&gt;P779,H779-P779,0)</f>
        <v>0</v>
      </c>
      <c r="S779" s="983"/>
      <c r="T779" s="1862">
        <f>IFERROR(HLOOKUP(B779,pp1p!$1:$3,3,0),0)+IFERROR(HLOOKUP(B779,pp3p1m!$1:$3,3,0),0)</f>
        <v>0</v>
      </c>
    </row>
    <row r="780" spans="1:20" ht="22.2" hidden="1" customHeight="1">
      <c r="A780" s="1448">
        <f>COUNTIF($C$12:C780,"x")</f>
        <v>41</v>
      </c>
      <c r="B780" s="1455" t="s">
        <v>2412</v>
      </c>
      <c r="C780" s="970" t="str">
        <f t="shared" si="141"/>
        <v xml:space="preserve"> </v>
      </c>
      <c r="D780" s="1415">
        <v>1</v>
      </c>
      <c r="E780" s="980"/>
      <c r="F780" s="992" t="str">
        <f>VLOOKUP($B780,DG!A:D,DG!$C$2,)</f>
        <v>Trụ BTLT 12m F540 dự ứng lực (tiếp địa có sẵn)</v>
      </c>
      <c r="G780" s="980" t="str">
        <f>VLOOKUP($B780,DG!A:D,DG!$D$2,)</f>
        <v>trụ</v>
      </c>
      <c r="H780" s="1693">
        <f>H$779*$D780</f>
        <v>0</v>
      </c>
      <c r="I780" s="1693">
        <f>I$765*$D780</f>
        <v>0</v>
      </c>
      <c r="J780" s="1693">
        <f>J$765*$D780</f>
        <v>0</v>
      </c>
      <c r="K780" s="1693">
        <f>K$779*$D780</f>
        <v>0</v>
      </c>
      <c r="L780" s="1693">
        <f>L$779*$D780</f>
        <v>0</v>
      </c>
      <c r="M780" s="1693">
        <f t="shared" ref="M780:O781" si="146">M$765*$D780</f>
        <v>0</v>
      </c>
      <c r="N780" s="1693">
        <f t="shared" si="146"/>
        <v>0</v>
      </c>
      <c r="O780" s="1693">
        <f t="shared" si="146"/>
        <v>0</v>
      </c>
      <c r="P780" s="1693"/>
      <c r="Q780" s="989"/>
      <c r="R780" s="989"/>
      <c r="S780" s="989"/>
      <c r="T780" s="1862">
        <f t="shared" si="140"/>
        <v>0</v>
      </c>
    </row>
    <row r="781" spans="1:20" ht="22.2" hidden="1" customHeight="1">
      <c r="A781" s="1448">
        <f>COUNTIF($C$12:C781,"x")</f>
        <v>41</v>
      </c>
      <c r="B781" s="1455" t="s">
        <v>1814</v>
      </c>
      <c r="C781" s="970" t="str">
        <f t="shared" si="141"/>
        <v xml:space="preserve"> </v>
      </c>
      <c r="D781" s="1415">
        <v>1</v>
      </c>
      <c r="E781" s="980"/>
      <c r="F781" s="992" t="str">
        <f>VLOOKUP($B781,DG!A:D,DG!$C$2,)</f>
        <v>Vật liệu dựng trụ</v>
      </c>
      <c r="G781" s="980" t="str">
        <f>VLOOKUP($B781,DG!A:D,DG!$D$2,)</f>
        <v>trụ</v>
      </c>
      <c r="H781" s="1693">
        <f>H$779*$D781</f>
        <v>0</v>
      </c>
      <c r="I781" s="1693">
        <f>I$765*$D781</f>
        <v>0</v>
      </c>
      <c r="J781" s="1693">
        <f>J$765*$D781</f>
        <v>0</v>
      </c>
      <c r="K781" s="1693">
        <f>K$779*$D781</f>
        <v>0</v>
      </c>
      <c r="L781" s="1693">
        <f>L$779*$D781</f>
        <v>0</v>
      </c>
      <c r="M781" s="1693">
        <f t="shared" si="146"/>
        <v>0</v>
      </c>
      <c r="N781" s="1693">
        <f t="shared" si="146"/>
        <v>0</v>
      </c>
      <c r="O781" s="1693">
        <f t="shared" si="146"/>
        <v>0</v>
      </c>
      <c r="P781" s="1693"/>
      <c r="Q781" s="989"/>
      <c r="R781" s="989"/>
      <c r="S781" s="989"/>
      <c r="T781" s="1862">
        <f t="shared" si="140"/>
        <v>0</v>
      </c>
    </row>
    <row r="782" spans="1:20" ht="22.2" hidden="1" customHeight="1">
      <c r="A782" s="1448">
        <f>COUNTIF($C$12:C782,"x")</f>
        <v>41</v>
      </c>
      <c r="B782" s="1455" t="s">
        <v>2169</v>
      </c>
      <c r="C782" s="970" t="str">
        <f t="shared" si="141"/>
        <v xml:space="preserve"> </v>
      </c>
      <c r="D782" s="1415">
        <v>1</v>
      </c>
      <c r="E782" s="980" t="str">
        <f>VLOOKUP($B782,DG!A:D,DG!$B$2,)</f>
        <v>05.5402</v>
      </c>
      <c r="F782" s="992" t="str">
        <f>VLOOKUP($B782,DG!A:D,DG!$C$2,)</f>
        <v>Dựng trụ BTLT 12m thủ công + cơ giới</v>
      </c>
      <c r="G782" s="980" t="str">
        <f>VLOOKUP($B782,DG!A:D,DG!$D$2,)</f>
        <v>trụ</v>
      </c>
      <c r="H782" s="1693"/>
      <c r="I782" s="1693"/>
      <c r="J782" s="1693"/>
      <c r="K782" s="1693"/>
      <c r="L782" s="1693"/>
      <c r="M782" s="1693"/>
      <c r="N782" s="1693"/>
      <c r="O782" s="1693"/>
      <c r="P782" s="1693"/>
      <c r="Q782" s="994"/>
      <c r="R782" s="994"/>
      <c r="S782" s="994"/>
      <c r="T782" s="1862">
        <f t="shared" si="140"/>
        <v>0</v>
      </c>
    </row>
    <row r="783" spans="1:20" ht="22.2" customHeight="1">
      <c r="A783" s="1448">
        <f>COUNTIF($C$12:C783,"x")</f>
        <v>42</v>
      </c>
      <c r="B783" s="1457" t="s">
        <v>302</v>
      </c>
      <c r="C783" s="970" t="str">
        <f t="shared" si="141"/>
        <v>x</v>
      </c>
      <c r="D783" s="1412"/>
      <c r="E783" s="981"/>
      <c r="F783" s="1276" t="s">
        <v>2413</v>
      </c>
      <c r="G783" s="982" t="s">
        <v>2277</v>
      </c>
      <c r="H783" s="1691">
        <f>SUM(I783:O783)</f>
        <v>7</v>
      </c>
      <c r="I783" s="1692"/>
      <c r="J783" s="1692"/>
      <c r="K783" s="1692">
        <f>IFERROR(HLOOKUP(B783,pp3p1m!$1:$3,2,0),0)</f>
        <v>7</v>
      </c>
      <c r="L783" s="1692">
        <f>IFERROR(HLOOKUP(chitiet!B783,pp1p!$1:$3,3,0),0)</f>
        <v>0</v>
      </c>
      <c r="M783" s="1692"/>
      <c r="N783" s="1692"/>
      <c r="O783" s="1692"/>
      <c r="P783" s="1691">
        <f>T783</f>
        <v>7</v>
      </c>
      <c r="Q783" s="983">
        <f>IF(P783&gt;H783,P783-H783,0)</f>
        <v>0</v>
      </c>
      <c r="R783" s="983">
        <f>IF(H783&gt;P783,H783-P783,0)</f>
        <v>0</v>
      </c>
      <c r="S783" s="983"/>
      <c r="T783" s="1862">
        <f>IFERROR(HLOOKUP(B783,pp1p!$1:$3,3,0),0)+IFERROR(HLOOKUP(B783,pp3p1m!$1:$3,3,0),0)</f>
        <v>7</v>
      </c>
    </row>
    <row r="784" spans="1:20" ht="22.2" customHeight="1">
      <c r="A784" s="1448">
        <f>COUNTIF($C$12:C784,"x")</f>
        <v>43</v>
      </c>
      <c r="B784" s="1455" t="s">
        <v>107</v>
      </c>
      <c r="C784" s="970" t="str">
        <f t="shared" si="141"/>
        <v>x</v>
      </c>
      <c r="D784" s="1415">
        <v>1</v>
      </c>
      <c r="E784" s="980"/>
      <c r="F784" s="992" t="str">
        <f>VLOOKUP($B784,DG!A:D,DG!$C$2,)</f>
        <v>Trụ BTLT 14m F650 dự ứng lực</v>
      </c>
      <c r="G784" s="980" t="str">
        <f>VLOOKUP($B784,DG!A:D,DG!$D$2,)</f>
        <v>trụ</v>
      </c>
      <c r="H784" s="1693">
        <f t="shared" ref="H784:R789" si="147">H$783*$D784</f>
        <v>7</v>
      </c>
      <c r="I784" s="1693">
        <f t="shared" si="147"/>
        <v>0</v>
      </c>
      <c r="J784" s="1693">
        <f t="shared" si="147"/>
        <v>0</v>
      </c>
      <c r="K784" s="1693">
        <f t="shared" si="147"/>
        <v>7</v>
      </c>
      <c r="L784" s="1693">
        <f t="shared" si="147"/>
        <v>0</v>
      </c>
      <c r="M784" s="1693">
        <f t="shared" si="147"/>
        <v>0</v>
      </c>
      <c r="N784" s="1693">
        <f t="shared" si="147"/>
        <v>0</v>
      </c>
      <c r="O784" s="1693">
        <f t="shared" si="147"/>
        <v>0</v>
      </c>
      <c r="P784" s="1693">
        <f t="shared" si="147"/>
        <v>7</v>
      </c>
      <c r="Q784" s="1693">
        <f t="shared" si="147"/>
        <v>0</v>
      </c>
      <c r="R784" s="1693">
        <f t="shared" si="147"/>
        <v>0</v>
      </c>
      <c r="S784" s="989"/>
      <c r="T784" s="1862">
        <f t="shared" si="140"/>
        <v>0</v>
      </c>
    </row>
    <row r="785" spans="1:20" ht="22.2" hidden="1" customHeight="1">
      <c r="A785" s="1448">
        <f>COUNTIF($C$12:C785,"x")</f>
        <v>43</v>
      </c>
      <c r="B785" s="1455" t="s">
        <v>1814</v>
      </c>
      <c r="C785" s="970" t="str">
        <f t="shared" si="141"/>
        <v xml:space="preserve"> </v>
      </c>
      <c r="D785" s="1415"/>
      <c r="E785" s="980"/>
      <c r="F785" s="992" t="str">
        <f>VLOOKUP($B785,DG!A:D,DG!$C$2,)</f>
        <v>Vật liệu dựng trụ</v>
      </c>
      <c r="G785" s="980" t="str">
        <f>VLOOKUP($B785,DG!A:D,DG!$D$2,)</f>
        <v>trụ</v>
      </c>
      <c r="H785" s="1693">
        <f t="shared" si="147"/>
        <v>0</v>
      </c>
      <c r="I785" s="1693">
        <f t="shared" si="147"/>
        <v>0</v>
      </c>
      <c r="J785" s="1693">
        <f t="shared" si="147"/>
        <v>0</v>
      </c>
      <c r="K785" s="1693">
        <f t="shared" si="147"/>
        <v>0</v>
      </c>
      <c r="L785" s="1693">
        <f t="shared" si="147"/>
        <v>0</v>
      </c>
      <c r="M785" s="1693">
        <f t="shared" si="147"/>
        <v>0</v>
      </c>
      <c r="N785" s="1693">
        <f t="shared" si="147"/>
        <v>0</v>
      </c>
      <c r="O785" s="1693">
        <f t="shared" si="147"/>
        <v>0</v>
      </c>
      <c r="P785" s="1693">
        <f t="shared" si="147"/>
        <v>0</v>
      </c>
      <c r="Q785" s="1693">
        <f t="shared" si="147"/>
        <v>0</v>
      </c>
      <c r="R785" s="1693">
        <f t="shared" si="147"/>
        <v>0</v>
      </c>
      <c r="S785" s="989"/>
      <c r="T785" s="1862">
        <f t="shared" si="140"/>
        <v>0</v>
      </c>
    </row>
    <row r="786" spans="1:20" ht="22.2" customHeight="1">
      <c r="A786" s="1448">
        <f>COUNTIF($C$12:C786,"x")</f>
        <v>44</v>
      </c>
      <c r="B786" s="1455" t="s">
        <v>1659</v>
      </c>
      <c r="C786" s="970" t="str">
        <f t="shared" si="141"/>
        <v>x</v>
      </c>
      <c r="D786" s="1415">
        <v>1</v>
      </c>
      <c r="E786" s="980" t="str">
        <f>VLOOKUP($B786,DG!A:D,DG!$B$2,)</f>
        <v>05.5224</v>
      </c>
      <c r="F786" s="992" t="str">
        <f>VLOOKUP($B786,DG!A:D,DG!$C$2,)</f>
        <v>Dựng trụ BTLT 14m thủ công + cơ giới</v>
      </c>
      <c r="G786" s="980" t="str">
        <f>VLOOKUP($B786,DG!A:D,DG!$D$2,)</f>
        <v>trụ</v>
      </c>
      <c r="H786" s="1693">
        <f t="shared" si="147"/>
        <v>7</v>
      </c>
      <c r="I786" s="1693">
        <f t="shared" si="147"/>
        <v>0</v>
      </c>
      <c r="J786" s="1693">
        <f t="shared" si="147"/>
        <v>0</v>
      </c>
      <c r="K786" s="1693">
        <f t="shared" si="147"/>
        <v>7</v>
      </c>
      <c r="L786" s="1693">
        <f t="shared" si="147"/>
        <v>0</v>
      </c>
      <c r="M786" s="1693">
        <f t="shared" si="147"/>
        <v>0</v>
      </c>
      <c r="N786" s="1693">
        <f t="shared" si="147"/>
        <v>0</v>
      </c>
      <c r="O786" s="1693">
        <f t="shared" si="147"/>
        <v>0</v>
      </c>
      <c r="P786" s="1693">
        <f t="shared" si="147"/>
        <v>7</v>
      </c>
      <c r="Q786" s="1693">
        <f t="shared" si="147"/>
        <v>0</v>
      </c>
      <c r="R786" s="1693">
        <f t="shared" si="147"/>
        <v>0</v>
      </c>
      <c r="S786" s="994"/>
      <c r="T786" s="1862">
        <f t="shared" si="140"/>
        <v>0</v>
      </c>
    </row>
    <row r="787" spans="1:20" ht="22.2" hidden="1" customHeight="1">
      <c r="A787" s="1448">
        <f>COUNTIF($C$12:C787,"x")</f>
        <v>44</v>
      </c>
      <c r="B787" s="1455" t="s">
        <v>1198</v>
      </c>
      <c r="C787" s="970" t="str">
        <f t="shared" si="141"/>
        <v xml:space="preserve"> </v>
      </c>
      <c r="D787" s="1414"/>
      <c r="E787" s="980" t="str">
        <f>VLOOKUP($B787,DG!A:D,DG!$B$2,)</f>
        <v>02.1124</v>
      </c>
      <c r="F787" s="985" t="str">
        <f>VLOOKUP($B787,DG!A:D,DG!$C$2,)</f>
        <v xml:space="preserve">Bốc dỡ trụ </v>
      </c>
      <c r="G787" s="980" t="str">
        <f>VLOOKUP($B787,DG!A:D,DG!$D$2,)</f>
        <v>tấn</v>
      </c>
      <c r="H787" s="1693">
        <f t="shared" si="147"/>
        <v>0</v>
      </c>
      <c r="I787" s="1693">
        <f t="shared" si="147"/>
        <v>0</v>
      </c>
      <c r="J787" s="1693">
        <f t="shared" si="147"/>
        <v>0</v>
      </c>
      <c r="K787" s="1693">
        <f t="shared" si="147"/>
        <v>0</v>
      </c>
      <c r="L787" s="1693">
        <f t="shared" si="147"/>
        <v>0</v>
      </c>
      <c r="M787" s="1693">
        <f t="shared" si="147"/>
        <v>0</v>
      </c>
      <c r="N787" s="1693">
        <f t="shared" si="147"/>
        <v>0</v>
      </c>
      <c r="O787" s="1693">
        <f t="shared" si="147"/>
        <v>0</v>
      </c>
      <c r="P787" s="1693">
        <f t="shared" si="147"/>
        <v>0</v>
      </c>
      <c r="Q787" s="1693">
        <f t="shared" si="147"/>
        <v>0</v>
      </c>
      <c r="R787" s="1693">
        <f t="shared" si="147"/>
        <v>0</v>
      </c>
      <c r="S787" s="994"/>
      <c r="T787" s="1862">
        <f t="shared" si="140"/>
        <v>0</v>
      </c>
    </row>
    <row r="788" spans="1:20" ht="22.2" hidden="1" customHeight="1">
      <c r="A788" s="1448">
        <f>COUNTIF($C$12:C788,"x")</f>
        <v>44</v>
      </c>
      <c r="B788" s="1464" t="s">
        <v>1199</v>
      </c>
      <c r="C788" s="970" t="str">
        <f t="shared" si="141"/>
        <v xml:space="preserve"> </v>
      </c>
      <c r="D788" s="1414"/>
      <c r="E788" s="980" t="str">
        <f>VLOOKUP($B788,DG!A:C,2,)</f>
        <v>02.1461</v>
      </c>
      <c r="F788" s="985" t="str">
        <f>VLOOKUP($B788,DG!A:C,3,)</f>
        <v>V/c cột vào vị trí (cự ly &lt;=100m)</v>
      </c>
      <c r="G788" s="980" t="str">
        <f>VLOOKUP($B788,DG!A:D,4,0)</f>
        <v>tấn</v>
      </c>
      <c r="H788" s="1693">
        <f t="shared" si="147"/>
        <v>0</v>
      </c>
      <c r="I788" s="1693">
        <f t="shared" si="147"/>
        <v>0</v>
      </c>
      <c r="J788" s="1693">
        <f t="shared" si="147"/>
        <v>0</v>
      </c>
      <c r="K788" s="1693">
        <f t="shared" si="147"/>
        <v>0</v>
      </c>
      <c r="L788" s="1693">
        <f t="shared" si="147"/>
        <v>0</v>
      </c>
      <c r="M788" s="1693">
        <f t="shared" si="147"/>
        <v>0</v>
      </c>
      <c r="N788" s="1693">
        <f t="shared" si="147"/>
        <v>0</v>
      </c>
      <c r="O788" s="1693">
        <f t="shared" si="147"/>
        <v>0</v>
      </c>
      <c r="P788" s="1693">
        <f t="shared" si="147"/>
        <v>0</v>
      </c>
      <c r="Q788" s="1693">
        <f t="shared" si="147"/>
        <v>0</v>
      </c>
      <c r="R788" s="1693">
        <f t="shared" si="147"/>
        <v>0</v>
      </c>
      <c r="S788" s="994"/>
      <c r="T788" s="1862">
        <f t="shared" si="140"/>
        <v>0</v>
      </c>
    </row>
    <row r="789" spans="1:20" ht="22.2" hidden="1" customHeight="1">
      <c r="A789" s="1448">
        <f>COUNTIF($C$12:C789,"x")</f>
        <v>44</v>
      </c>
      <c r="B789" s="1464" t="s">
        <v>635</v>
      </c>
      <c r="C789" s="970" t="str">
        <f t="shared" si="141"/>
        <v xml:space="preserve"> </v>
      </c>
      <c r="D789" s="1414"/>
      <c r="E789" s="980" t="str">
        <f>VLOOKUP($B789,DG!A:C,2,)</f>
        <v>02.1482</v>
      </c>
      <c r="F789" s="985" t="str">
        <f>VLOOKUP($B789,DG!A:C,3,)</f>
        <v>V/c dụng cụ thi công vào vị trí (cự ly &lt;=100m)</v>
      </c>
      <c r="G789" s="980" t="str">
        <f>VLOOKUP($B789,DG!A:D,4,0)</f>
        <v>tấn</v>
      </c>
      <c r="H789" s="1693">
        <f t="shared" si="147"/>
        <v>0</v>
      </c>
      <c r="I789" s="1693">
        <f t="shared" si="147"/>
        <v>0</v>
      </c>
      <c r="J789" s="1693">
        <f t="shared" si="147"/>
        <v>0</v>
      </c>
      <c r="K789" s="1693">
        <f t="shared" si="147"/>
        <v>0</v>
      </c>
      <c r="L789" s="1693">
        <f t="shared" si="147"/>
        <v>0</v>
      </c>
      <c r="M789" s="1693">
        <f t="shared" si="147"/>
        <v>0</v>
      </c>
      <c r="N789" s="1693">
        <f t="shared" si="147"/>
        <v>0</v>
      </c>
      <c r="O789" s="1693">
        <f t="shared" si="147"/>
        <v>0</v>
      </c>
      <c r="P789" s="1693">
        <f t="shared" si="147"/>
        <v>0</v>
      </c>
      <c r="Q789" s="1693">
        <f t="shared" si="147"/>
        <v>0</v>
      </c>
      <c r="R789" s="1693">
        <f t="shared" si="147"/>
        <v>0</v>
      </c>
      <c r="S789" s="994"/>
      <c r="T789" s="1862">
        <f t="shared" si="140"/>
        <v>0</v>
      </c>
    </row>
    <row r="790" spans="1:20" ht="22.2" hidden="1" customHeight="1">
      <c r="A790" s="1448">
        <f>COUNTIF($C$12:C790,"x")</f>
        <v>44</v>
      </c>
      <c r="B790" s="1457" t="s">
        <v>759</v>
      </c>
      <c r="C790" s="970" t="str">
        <f t="shared" si="141"/>
        <v xml:space="preserve"> </v>
      </c>
      <c r="D790" s="1412"/>
      <c r="E790" s="981"/>
      <c r="F790" s="1276" t="s">
        <v>2414</v>
      </c>
      <c r="G790" s="982" t="s">
        <v>2277</v>
      </c>
      <c r="H790" s="1691">
        <f>SUM(I790:O790)</f>
        <v>0</v>
      </c>
      <c r="I790" s="1692"/>
      <c r="J790" s="1692"/>
      <c r="K790" s="1692">
        <f>IFERROR(HLOOKUP(B790,pp3p1m!$1:$3,2,0),0)</f>
        <v>0</v>
      </c>
      <c r="L790" s="1692">
        <f>IFERROR(HLOOKUP(chitiet!B790,pp1p!$1:$3,3,0),0)</f>
        <v>0</v>
      </c>
      <c r="M790" s="1692"/>
      <c r="N790" s="1692"/>
      <c r="O790" s="1692"/>
      <c r="P790" s="2674">
        <f>T790</f>
        <v>0</v>
      </c>
      <c r="Q790" s="983">
        <f>IF(P790&gt;H790,P790-H790,0)</f>
        <v>0</v>
      </c>
      <c r="R790" s="983">
        <f>IF(H790&gt;P790,H790-P790,0)</f>
        <v>0</v>
      </c>
      <c r="S790" s="983"/>
      <c r="T790" s="1862">
        <f>IFERROR(HLOOKUP(B790,pp1p!$1:$3,3,0),0)+IFERROR(HLOOKUP(B790,pp3p1m!$1:$3,3,0),0)</f>
        <v>0</v>
      </c>
    </row>
    <row r="791" spans="1:20" ht="22.2" hidden="1" customHeight="1">
      <c r="A791" s="1448">
        <f>COUNTIF($C$12:C791,"x")</f>
        <v>44</v>
      </c>
      <c r="B791" s="1455" t="s">
        <v>2091</v>
      </c>
      <c r="C791" s="970" t="str">
        <f t="shared" si="141"/>
        <v xml:space="preserve"> </v>
      </c>
      <c r="D791" s="1415">
        <v>1</v>
      </c>
      <c r="E791" s="980"/>
      <c r="F791" s="992" t="str">
        <f>VLOOKUP($B791,DG!A:D,DG!$C$2,)</f>
        <v>Trụ BTLT 20m F1000 dự ứng lực</v>
      </c>
      <c r="G791" s="980" t="str">
        <f>VLOOKUP($B791,DG!A:D,DG!$D$2,)</f>
        <v>trụ</v>
      </c>
      <c r="H791" s="1693">
        <f t="shared" ref="H791:J792" si="148">H$790*$D791</f>
        <v>0</v>
      </c>
      <c r="I791" s="1693">
        <f t="shared" si="148"/>
        <v>0</v>
      </c>
      <c r="J791" s="1693">
        <f t="shared" si="148"/>
        <v>0</v>
      </c>
      <c r="K791" s="1693">
        <f>K$783*$D791</f>
        <v>7</v>
      </c>
      <c r="L791" s="1693">
        <f>L$783*$D791</f>
        <v>0</v>
      </c>
      <c r="M791" s="1693"/>
      <c r="N791" s="1693"/>
      <c r="O791" s="1693"/>
      <c r="P791" s="1693"/>
      <c r="Q791" s="989"/>
      <c r="R791" s="989"/>
      <c r="S791" s="989"/>
      <c r="T791" s="1862">
        <f t="shared" si="140"/>
        <v>0</v>
      </c>
    </row>
    <row r="792" spans="1:20" ht="22.2" hidden="1" customHeight="1">
      <c r="A792" s="1448">
        <f>COUNTIF($C$12:C792,"x")</f>
        <v>44</v>
      </c>
      <c r="B792" s="1455" t="s">
        <v>1814</v>
      </c>
      <c r="C792" s="970" t="str">
        <f t="shared" si="141"/>
        <v xml:space="preserve"> </v>
      </c>
      <c r="D792" s="1415">
        <v>1</v>
      </c>
      <c r="E792" s="980"/>
      <c r="F792" s="992" t="str">
        <f>VLOOKUP($B792,DG!A:D,DG!$C$2,)</f>
        <v>Vật liệu dựng trụ</v>
      </c>
      <c r="G792" s="980" t="str">
        <f>VLOOKUP($B792,DG!A:D,DG!$D$2,)</f>
        <v>trụ</v>
      </c>
      <c r="H792" s="1693">
        <f t="shared" si="148"/>
        <v>0</v>
      </c>
      <c r="I792" s="1693">
        <f t="shared" si="148"/>
        <v>0</v>
      </c>
      <c r="J792" s="1693">
        <f t="shared" si="148"/>
        <v>0</v>
      </c>
      <c r="K792" s="1693">
        <f>K$783*$D792</f>
        <v>7</v>
      </c>
      <c r="L792" s="1693">
        <f>L$783*$D792</f>
        <v>0</v>
      </c>
      <c r="M792" s="1693"/>
      <c r="N792" s="1693"/>
      <c r="O792" s="1693"/>
      <c r="P792" s="1693"/>
      <c r="Q792" s="989"/>
      <c r="R792" s="989"/>
      <c r="S792" s="989"/>
      <c r="T792" s="1862">
        <f t="shared" si="140"/>
        <v>0</v>
      </c>
    </row>
    <row r="793" spans="1:20" ht="22.2" hidden="1" customHeight="1">
      <c r="A793" s="1448">
        <f>COUNTIF($C$12:C793,"x")</f>
        <v>44</v>
      </c>
      <c r="B793" s="1455" t="s">
        <v>1661</v>
      </c>
      <c r="C793" s="970" t="str">
        <f t="shared" si="141"/>
        <v xml:space="preserve"> </v>
      </c>
      <c r="D793" s="1415">
        <v>1</v>
      </c>
      <c r="E793" s="980" t="str">
        <f>VLOOKUP($B793,DG!A:D,DG!$B$2,)</f>
        <v>05.5227</v>
      </c>
      <c r="F793" s="992" t="str">
        <f>VLOOKUP($B793,DG!A:D,DG!$C$2,)</f>
        <v>Dựng trụ BTLT 20m thủ công + cơ giới</v>
      </c>
      <c r="G793" s="980" t="str">
        <f>VLOOKUP($B793,DG!A:D,DG!$D$2,)</f>
        <v>trụ</v>
      </c>
      <c r="H793" s="1693"/>
      <c r="I793" s="1693"/>
      <c r="J793" s="1693"/>
      <c r="K793" s="1693"/>
      <c r="L793" s="1693"/>
      <c r="M793" s="1693"/>
      <c r="N793" s="1693"/>
      <c r="O793" s="1693"/>
      <c r="P793" s="1693"/>
      <c r="Q793" s="994"/>
      <c r="R793" s="994"/>
      <c r="S793" s="994"/>
      <c r="T793" s="1862">
        <f t="shared" si="140"/>
        <v>0</v>
      </c>
    </row>
    <row r="794" spans="1:20" ht="22.2" hidden="1" customHeight="1">
      <c r="A794" s="1448">
        <f>COUNTIF($C$12:C794,"x")</f>
        <v>44</v>
      </c>
      <c r="B794" s="1455" t="s">
        <v>1198</v>
      </c>
      <c r="C794" s="970" t="str">
        <f t="shared" si="141"/>
        <v xml:space="preserve"> </v>
      </c>
      <c r="D794" s="1414">
        <v>2.72</v>
      </c>
      <c r="E794" s="980" t="str">
        <f>VLOOKUP($B794,DG!A:D,DG!$B$2,)</f>
        <v>02.1124</v>
      </c>
      <c r="F794" s="985" t="str">
        <f>VLOOKUP($B794,DG!A:D,DG!$C$2,)</f>
        <v xml:space="preserve">Bốc dỡ trụ </v>
      </c>
      <c r="G794" s="980" t="str">
        <f>VLOOKUP($B794,DG!A:D,DG!$D$2,)</f>
        <v>tấn</v>
      </c>
      <c r="H794" s="1693"/>
      <c r="I794" s="1693"/>
      <c r="J794" s="1693"/>
      <c r="K794" s="1693"/>
      <c r="L794" s="1693"/>
      <c r="M794" s="1693"/>
      <c r="N794" s="1693"/>
      <c r="O794" s="1693"/>
      <c r="P794" s="1693"/>
      <c r="Q794" s="994"/>
      <c r="R794" s="994"/>
      <c r="S794" s="994"/>
      <c r="T794" s="1862">
        <f t="shared" si="140"/>
        <v>0</v>
      </c>
    </row>
    <row r="795" spans="1:20" ht="22.2" hidden="1" customHeight="1">
      <c r="A795" s="1448">
        <f>COUNTIF($C$12:C795,"x")</f>
        <v>44</v>
      </c>
      <c r="B795" s="1464" t="s">
        <v>1199</v>
      </c>
      <c r="C795" s="970" t="str">
        <f t="shared" si="141"/>
        <v xml:space="preserve"> </v>
      </c>
      <c r="D795" s="1414">
        <v>2.72</v>
      </c>
      <c r="E795" s="980" t="str">
        <f>VLOOKUP($B795,DG!A:C,2,)</f>
        <v>02.1461</v>
      </c>
      <c r="F795" s="985" t="str">
        <f>VLOOKUP($B795,DG!A:C,3,)</f>
        <v>V/c cột vào vị trí (cự ly &lt;=100m)</v>
      </c>
      <c r="G795" s="980" t="str">
        <f>VLOOKUP($B795,DG!A:D,4,0)</f>
        <v>tấn</v>
      </c>
      <c r="H795" s="1693"/>
      <c r="I795" s="1693"/>
      <c r="J795" s="1693"/>
      <c r="K795" s="1693"/>
      <c r="L795" s="1693"/>
      <c r="M795" s="1693"/>
      <c r="N795" s="1693"/>
      <c r="O795" s="1693"/>
      <c r="P795" s="1693"/>
      <c r="Q795" s="994"/>
      <c r="R795" s="994"/>
      <c r="S795" s="994"/>
      <c r="T795" s="1862">
        <f t="shared" si="140"/>
        <v>0</v>
      </c>
    </row>
    <row r="796" spans="1:20" ht="22.2" hidden="1" customHeight="1">
      <c r="A796" s="1448">
        <f>COUNTIF($C$12:C796,"x")</f>
        <v>44</v>
      </c>
      <c r="B796" s="1464" t="s">
        <v>635</v>
      </c>
      <c r="C796" s="970" t="str">
        <f t="shared" si="141"/>
        <v xml:space="preserve"> </v>
      </c>
      <c r="D796" s="1414">
        <v>0.25</v>
      </c>
      <c r="E796" s="980" t="str">
        <f>VLOOKUP($B796,DG!A:C,2,)</f>
        <v>02.1482</v>
      </c>
      <c r="F796" s="985" t="str">
        <f>VLOOKUP($B796,DG!A:C,3,)</f>
        <v>V/c dụng cụ thi công vào vị trí (cự ly &lt;=100m)</v>
      </c>
      <c r="G796" s="980" t="str">
        <f>VLOOKUP($B796,DG!A:D,4,0)</f>
        <v>tấn</v>
      </c>
      <c r="H796" s="1693"/>
      <c r="I796" s="1693"/>
      <c r="J796" s="1693"/>
      <c r="K796" s="1693"/>
      <c r="L796" s="1693"/>
      <c r="M796" s="1693"/>
      <c r="N796" s="1693"/>
      <c r="O796" s="1693"/>
      <c r="P796" s="1693"/>
      <c r="Q796" s="994"/>
      <c r="R796" s="994"/>
      <c r="S796" s="994"/>
      <c r="T796" s="1862">
        <f t="shared" si="140"/>
        <v>0</v>
      </c>
    </row>
    <row r="797" spans="1:20" ht="22.2" customHeight="1">
      <c r="A797" s="1448">
        <f>COUNTIF($C$12:C797,"x")</f>
        <v>45</v>
      </c>
      <c r="B797" s="1452">
        <v>0</v>
      </c>
      <c r="C797" s="970" t="str">
        <f>IF(SUM(I797:O797)&gt;0,"x"," ")</f>
        <v>x</v>
      </c>
      <c r="D797" s="1427">
        <f>SUM(H797:N797)+S797</f>
        <v>395</v>
      </c>
      <c r="E797" s="982" t="s">
        <v>1615</v>
      </c>
      <c r="F797" s="1276" t="s">
        <v>2290</v>
      </c>
      <c r="G797" s="981"/>
      <c r="H797" s="1691"/>
      <c r="I797" s="1692">
        <f t="shared" ref="I797:O797" si="149">SUM(I798:I1501)</f>
        <v>0</v>
      </c>
      <c r="J797" s="1692">
        <f t="shared" si="149"/>
        <v>0</v>
      </c>
      <c r="K797" s="1692">
        <f t="shared" si="149"/>
        <v>395</v>
      </c>
      <c r="L797" s="1692">
        <f t="shared" si="149"/>
        <v>0</v>
      </c>
      <c r="M797" s="1692">
        <f t="shared" si="149"/>
        <v>0</v>
      </c>
      <c r="N797" s="1692">
        <f t="shared" si="149"/>
        <v>0</v>
      </c>
      <c r="O797" s="1692">
        <f t="shared" si="149"/>
        <v>0</v>
      </c>
      <c r="P797" s="2674">
        <f>T797</f>
        <v>0</v>
      </c>
      <c r="Q797" s="2677">
        <f>IF(P797&gt;H797,P797-H797,0)</f>
        <v>0</v>
      </c>
      <c r="R797" s="983">
        <f>IF(H797&gt;P797,H797-P797,0)</f>
        <v>0</v>
      </c>
      <c r="S797" s="981"/>
      <c r="T797" s="1862">
        <f>IFERROR(HLOOKUP(B797,pp1p!$1:$3,3,0),0)+IFERROR(HLOOKUP(B797,pp3p1m!$1:$3,3,0),0)</f>
        <v>0</v>
      </c>
    </row>
    <row r="798" spans="1:20" ht="22.2" hidden="1" customHeight="1">
      <c r="A798" s="1448">
        <f>COUNTIF($C$12:C798,"x")</f>
        <v>45</v>
      </c>
      <c r="B798" s="1452" t="s">
        <v>2309</v>
      </c>
      <c r="C798" s="970" t="str">
        <f t="shared" si="141"/>
        <v xml:space="preserve"> </v>
      </c>
      <c r="D798" s="1412"/>
      <c r="E798" s="981"/>
      <c r="F798" s="1276" t="s">
        <v>2415</v>
      </c>
      <c r="G798" s="982" t="s">
        <v>2385</v>
      </c>
      <c r="H798" s="1691">
        <f>SUM(I798:O798)</f>
        <v>0</v>
      </c>
      <c r="I798" s="1692"/>
      <c r="J798" s="1692"/>
      <c r="K798" s="1692">
        <f>IFERROR(HLOOKUP(B798,pp3p1m!$1:$3,2,0),0)</f>
        <v>0</v>
      </c>
      <c r="L798" s="1692">
        <f>IFERROR(HLOOKUP(chitiet!B798,pp1p!$1:$3,3,0),0)</f>
        <v>0</v>
      </c>
      <c r="M798" s="1692"/>
      <c r="N798" s="1692"/>
      <c r="O798" s="1692"/>
      <c r="P798" s="2674">
        <f>T798</f>
        <v>0</v>
      </c>
      <c r="Q798" s="983">
        <f>IF(P798&gt;H798,P798-H798,0)</f>
        <v>0</v>
      </c>
      <c r="R798" s="983">
        <f>IF(H798&gt;P798,H798-P798,0)</f>
        <v>0</v>
      </c>
      <c r="S798" s="983"/>
      <c r="T798" s="1862">
        <f>IFERROR(HLOOKUP(B798,pp1p!$1:$3,3,0),0)+IFERROR(HLOOKUP(B798,pp3p1m!$1:$3,3,0),0)</f>
        <v>0</v>
      </c>
    </row>
    <row r="799" spans="1:20" ht="22.2" hidden="1" customHeight="1">
      <c r="A799" s="1448">
        <f>COUNTIF($C$12:C799,"x")</f>
        <v>45</v>
      </c>
      <c r="B799" s="1455" t="s">
        <v>4689</v>
      </c>
      <c r="C799" s="970" t="str">
        <f t="shared" si="141"/>
        <v xml:space="preserve"> </v>
      </c>
      <c r="D799" s="1414">
        <v>1</v>
      </c>
      <c r="E799" s="980"/>
      <c r="F799" s="992" t="str">
        <f>VLOOKUP($B799,DG!A:D,DG!$C$2,)</f>
        <v>Đà 1,66m X-16Đ</v>
      </c>
      <c r="G799" s="980" t="str">
        <f>VLOOKUP($B799,DG!A:D,DG!$D$2,)</f>
        <v>Cái</v>
      </c>
      <c r="H799" s="1693">
        <f>H$798*$D799</f>
        <v>0</v>
      </c>
      <c r="I799" s="1925">
        <f t="shared" ref="I799:O799" si="150">I$798*$D799</f>
        <v>0</v>
      </c>
      <c r="J799" s="1925">
        <f t="shared" si="150"/>
        <v>0</v>
      </c>
      <c r="K799" s="1925">
        <f t="shared" si="150"/>
        <v>0</v>
      </c>
      <c r="L799" s="1925">
        <f t="shared" si="150"/>
        <v>0</v>
      </c>
      <c r="M799" s="1925">
        <f t="shared" si="150"/>
        <v>0</v>
      </c>
      <c r="N799" s="1925">
        <f t="shared" si="150"/>
        <v>0</v>
      </c>
      <c r="O799" s="1925">
        <f t="shared" si="150"/>
        <v>0</v>
      </c>
      <c r="P799" s="1693">
        <f>P$798*$D799</f>
        <v>0</v>
      </c>
      <c r="Q799" s="1925"/>
      <c r="R799" s="1925"/>
      <c r="S799" s="989"/>
      <c r="T799" s="1862">
        <f t="shared" si="140"/>
        <v>0</v>
      </c>
    </row>
    <row r="800" spans="1:20" ht="22.2" hidden="1" customHeight="1">
      <c r="A800" s="1448">
        <f>COUNTIF($C$12:C800,"x")</f>
        <v>45</v>
      </c>
      <c r="B800" s="1455" t="s">
        <v>4685</v>
      </c>
      <c r="C800" s="970" t="str">
        <f t="shared" si="141"/>
        <v xml:space="preserve"> </v>
      </c>
      <c r="D800" s="1414">
        <v>2</v>
      </c>
      <c r="E800" s="980"/>
      <c r="F800" s="992" t="str">
        <f>VLOOKUP($B800,DG!A:D,DG!$C$2,)</f>
        <v>Thanh chống đà  810</v>
      </c>
      <c r="G800" s="980" t="str">
        <f>VLOOKUP($B800,DG!A:D,DG!$D$2,)</f>
        <v>cái</v>
      </c>
      <c r="H800" s="1693">
        <f t="shared" ref="H800:P807" si="151">H$798*$D800</f>
        <v>0</v>
      </c>
      <c r="I800" s="1925">
        <f t="shared" si="151"/>
        <v>0</v>
      </c>
      <c r="J800" s="1925">
        <f t="shared" si="151"/>
        <v>0</v>
      </c>
      <c r="K800" s="1925">
        <f t="shared" si="151"/>
        <v>0</v>
      </c>
      <c r="L800" s="1925">
        <f t="shared" si="151"/>
        <v>0</v>
      </c>
      <c r="M800" s="1925">
        <f t="shared" si="151"/>
        <v>0</v>
      </c>
      <c r="N800" s="1925">
        <f t="shared" si="151"/>
        <v>0</v>
      </c>
      <c r="O800" s="1925">
        <f t="shared" si="151"/>
        <v>0</v>
      </c>
      <c r="P800" s="1693">
        <f t="shared" si="151"/>
        <v>0</v>
      </c>
      <c r="Q800" s="1925"/>
      <c r="R800" s="1925"/>
      <c r="S800" s="989"/>
      <c r="T800" s="1862">
        <f t="shared" si="140"/>
        <v>0</v>
      </c>
    </row>
    <row r="801" spans="1:20" ht="22.2" hidden="1" customHeight="1">
      <c r="A801" s="1448">
        <f>COUNTIF($C$12:C801,"x")</f>
        <v>45</v>
      </c>
      <c r="B801" s="1455" t="s">
        <v>1266</v>
      </c>
      <c r="C801" s="970" t="str">
        <f t="shared" si="141"/>
        <v xml:space="preserve"> </v>
      </c>
      <c r="D801" s="1415">
        <v>1</v>
      </c>
      <c r="E801" s="980"/>
      <c r="F801" s="992" t="str">
        <f>VLOOKUP($B801,DG!A:D,DG!$C$2,)</f>
        <v>Chân sứ đỉnh thẳng dài 870mm</v>
      </c>
      <c r="G801" s="980" t="str">
        <f>VLOOKUP($B801,DG!A:D,DG!$D$2,)</f>
        <v>cái</v>
      </c>
      <c r="H801" s="1693">
        <f t="shared" si="151"/>
        <v>0</v>
      </c>
      <c r="I801" s="1925">
        <f t="shared" si="151"/>
        <v>0</v>
      </c>
      <c r="J801" s="1925">
        <f t="shared" si="151"/>
        <v>0</v>
      </c>
      <c r="K801" s="1925">
        <f t="shared" si="151"/>
        <v>0</v>
      </c>
      <c r="L801" s="1925">
        <f t="shared" si="151"/>
        <v>0</v>
      </c>
      <c r="M801" s="1925">
        <f t="shared" si="151"/>
        <v>0</v>
      </c>
      <c r="N801" s="1925">
        <f t="shared" si="151"/>
        <v>0</v>
      </c>
      <c r="O801" s="1925">
        <f t="shared" si="151"/>
        <v>0</v>
      </c>
      <c r="P801" s="1693">
        <f t="shared" si="151"/>
        <v>0</v>
      </c>
      <c r="Q801" s="1925"/>
      <c r="R801" s="1925"/>
      <c r="S801" s="989"/>
      <c r="T801" s="1862">
        <f t="shared" si="140"/>
        <v>0</v>
      </c>
    </row>
    <row r="802" spans="1:20" ht="22.2" hidden="1" customHeight="1">
      <c r="A802" s="1448">
        <f>COUNTIF($C$12:C802,"x")</f>
        <v>45</v>
      </c>
      <c r="B802" s="1455" t="s">
        <v>1609</v>
      </c>
      <c r="C802" s="970" t="str">
        <f t="shared" si="141"/>
        <v xml:space="preserve"> </v>
      </c>
      <c r="D802" s="1415">
        <v>4</v>
      </c>
      <c r="E802" s="980"/>
      <c r="F802" s="992" t="str">
        <f>VLOOKUP($B802,DG!A:D,DG!$C$2,)</f>
        <v>Boulon 16x250+ 2 long đền vuông D18-50x50x3/Zn</v>
      </c>
      <c r="G802" s="980" t="str">
        <f>VLOOKUP($B802,DG!A:D,DG!$D$2,)</f>
        <v>bộ</v>
      </c>
      <c r="H802" s="1693">
        <f t="shared" si="151"/>
        <v>0</v>
      </c>
      <c r="I802" s="1925">
        <f t="shared" si="151"/>
        <v>0</v>
      </c>
      <c r="J802" s="1925">
        <f t="shared" si="151"/>
        <v>0</v>
      </c>
      <c r="K802" s="1925">
        <f t="shared" si="151"/>
        <v>0</v>
      </c>
      <c r="L802" s="1925">
        <f t="shared" si="151"/>
        <v>0</v>
      </c>
      <c r="M802" s="1925">
        <f t="shared" si="151"/>
        <v>0</v>
      </c>
      <c r="N802" s="1925">
        <f t="shared" si="151"/>
        <v>0</v>
      </c>
      <c r="O802" s="1925">
        <f t="shared" si="151"/>
        <v>0</v>
      </c>
      <c r="P802" s="1693">
        <f t="shared" si="151"/>
        <v>0</v>
      </c>
      <c r="Q802" s="1925"/>
      <c r="R802" s="1925"/>
      <c r="S802" s="989"/>
      <c r="T802" s="1862">
        <f t="shared" si="140"/>
        <v>0</v>
      </c>
    </row>
    <row r="803" spans="1:20" ht="22.2" hidden="1" customHeight="1">
      <c r="A803" s="1448">
        <f>COUNTIF($C$12:C803,"x")</f>
        <v>45</v>
      </c>
      <c r="B803" s="1455" t="s">
        <v>1786</v>
      </c>
      <c r="C803" s="970" t="str">
        <f t="shared" si="141"/>
        <v xml:space="preserve"> </v>
      </c>
      <c r="D803" s="1415">
        <v>2</v>
      </c>
      <c r="E803" s="980"/>
      <c r="F803" s="992" t="str">
        <f>VLOOKUP($B803,DG!A:D,DG!$C$2,)</f>
        <v>Boulon 16x50+ 2 long đền vuông D18-50x50x3/Zn</v>
      </c>
      <c r="G803" s="980" t="str">
        <f>VLOOKUP($B803,DG!A:D,DG!$D$2,)</f>
        <v>bộ</v>
      </c>
      <c r="H803" s="1693">
        <f t="shared" si="151"/>
        <v>0</v>
      </c>
      <c r="I803" s="1925">
        <f t="shared" si="151"/>
        <v>0</v>
      </c>
      <c r="J803" s="1925">
        <f t="shared" si="151"/>
        <v>0</v>
      </c>
      <c r="K803" s="1925">
        <f t="shared" si="151"/>
        <v>0</v>
      </c>
      <c r="L803" s="1925">
        <f t="shared" si="151"/>
        <v>0</v>
      </c>
      <c r="M803" s="1925">
        <f t="shared" si="151"/>
        <v>0</v>
      </c>
      <c r="N803" s="1925">
        <f t="shared" si="151"/>
        <v>0</v>
      </c>
      <c r="O803" s="1925">
        <f t="shared" si="151"/>
        <v>0</v>
      </c>
      <c r="P803" s="1693">
        <f t="shared" si="151"/>
        <v>0</v>
      </c>
      <c r="Q803" s="1925"/>
      <c r="R803" s="1925"/>
      <c r="S803" s="989"/>
      <c r="T803" s="1862">
        <f t="shared" si="140"/>
        <v>0</v>
      </c>
    </row>
    <row r="804" spans="1:20" ht="22.2" hidden="1" customHeight="1">
      <c r="A804" s="1448">
        <f>COUNTIF($C$12:C804,"x")</f>
        <v>45</v>
      </c>
      <c r="B804" s="1455" t="s">
        <v>1995</v>
      </c>
      <c r="C804" s="970" t="str">
        <f t="shared" si="141"/>
        <v xml:space="preserve"> </v>
      </c>
      <c r="D804" s="1415">
        <v>1</v>
      </c>
      <c r="E804" s="984" t="str">
        <f>VLOOKUP($B804,DG!A:D,DG!$B$2,)</f>
        <v>05.6401</v>
      </c>
      <c r="F804" s="985" t="str">
        <f>VLOOKUP($B804,DG!A:D,DG!$C$2,)</f>
        <v>Lắp xà đỡ ≤ 25kg</v>
      </c>
      <c r="G804" s="980" t="str">
        <f>VLOOKUP($B804,DG!A:D,DG!$D$2,)</f>
        <v>bộ</v>
      </c>
      <c r="H804" s="1693">
        <f t="shared" si="151"/>
        <v>0</v>
      </c>
      <c r="I804" s="1925">
        <f t="shared" si="151"/>
        <v>0</v>
      </c>
      <c r="J804" s="1925">
        <f t="shared" si="151"/>
        <v>0</v>
      </c>
      <c r="K804" s="1925">
        <f t="shared" si="151"/>
        <v>0</v>
      </c>
      <c r="L804" s="1925">
        <f t="shared" si="151"/>
        <v>0</v>
      </c>
      <c r="M804" s="1925">
        <f t="shared" si="151"/>
        <v>0</v>
      </c>
      <c r="N804" s="1925">
        <f t="shared" si="151"/>
        <v>0</v>
      </c>
      <c r="O804" s="1925">
        <f t="shared" si="151"/>
        <v>0</v>
      </c>
      <c r="P804" s="1693">
        <f t="shared" si="151"/>
        <v>0</v>
      </c>
      <c r="Q804" s="1925"/>
      <c r="R804" s="1925"/>
      <c r="S804" s="994"/>
      <c r="T804" s="1862">
        <f t="shared" si="140"/>
        <v>0</v>
      </c>
    </row>
    <row r="805" spans="1:20" ht="22.2" hidden="1" customHeight="1">
      <c r="A805" s="1448">
        <f>COUNTIF($C$12:C805,"x")</f>
        <v>45</v>
      </c>
      <c r="B805" s="1455" t="s">
        <v>1996</v>
      </c>
      <c r="C805" s="970" t="str">
        <f t="shared" si="141"/>
        <v xml:space="preserve"> </v>
      </c>
      <c r="D805" s="1413"/>
      <c r="E805" s="980" t="str">
        <f>VLOOKUP($B805,DG!A:D,DG!$B$2,)</f>
        <v>02.1115</v>
      </c>
      <c r="F805" s="985" t="str">
        <f>VLOOKUP($B805,DG!A:D,DG!$C$2,)</f>
        <v>Bốc dỡ xà, thép thanh</v>
      </c>
      <c r="G805" s="980" t="str">
        <f>VLOOKUP($B805,DG!A:D,DG!$D$2,)</f>
        <v>tấn</v>
      </c>
      <c r="H805" s="1925">
        <f t="shared" si="151"/>
        <v>0</v>
      </c>
      <c r="I805" s="1925">
        <f t="shared" si="151"/>
        <v>0</v>
      </c>
      <c r="J805" s="1925">
        <f t="shared" si="151"/>
        <v>0</v>
      </c>
      <c r="K805" s="1925">
        <f t="shared" si="151"/>
        <v>0</v>
      </c>
      <c r="L805" s="1925">
        <f t="shared" si="151"/>
        <v>0</v>
      </c>
      <c r="M805" s="1925">
        <f t="shared" si="151"/>
        <v>0</v>
      </c>
      <c r="N805" s="1925">
        <f t="shared" si="151"/>
        <v>0</v>
      </c>
      <c r="O805" s="1925">
        <f t="shared" si="151"/>
        <v>0</v>
      </c>
      <c r="P805" s="1925"/>
      <c r="Q805" s="1925"/>
      <c r="R805" s="1925"/>
      <c r="S805" s="994"/>
      <c r="T805" s="1862">
        <f t="shared" si="140"/>
        <v>0</v>
      </c>
    </row>
    <row r="806" spans="1:20" ht="22.2" hidden="1" customHeight="1">
      <c r="A806" s="1448">
        <f>COUNTIF($C$12:C806,"x")</f>
        <v>45</v>
      </c>
      <c r="B806" s="1464" t="s">
        <v>1997</v>
      </c>
      <c r="C806" s="970" t="str">
        <f t="shared" si="141"/>
        <v xml:space="preserve"> </v>
      </c>
      <c r="D806" s="1413"/>
      <c r="E806" s="980" t="str">
        <f>VLOOKUP($B806,DG!A:C,2,)</f>
        <v>02.1361</v>
      </c>
      <c r="F806" s="985" t="str">
        <f>VLOOKUP($B806,DG!A:C,3,)</f>
        <v>V/c xà vào vị trí (cư ly &lt;=100m)</v>
      </c>
      <c r="G806" s="980" t="str">
        <f>VLOOKUP($B806,DG!A:D,4,0)</f>
        <v>tấn</v>
      </c>
      <c r="H806" s="1925">
        <f t="shared" si="151"/>
        <v>0</v>
      </c>
      <c r="I806" s="1925">
        <f t="shared" si="151"/>
        <v>0</v>
      </c>
      <c r="J806" s="1925">
        <f t="shared" si="151"/>
        <v>0</v>
      </c>
      <c r="K806" s="1925">
        <f t="shared" si="151"/>
        <v>0</v>
      </c>
      <c r="L806" s="1925">
        <f t="shared" si="151"/>
        <v>0</v>
      </c>
      <c r="M806" s="1925">
        <f t="shared" si="151"/>
        <v>0</v>
      </c>
      <c r="N806" s="1925">
        <f t="shared" si="151"/>
        <v>0</v>
      </c>
      <c r="O806" s="1925">
        <f t="shared" si="151"/>
        <v>0</v>
      </c>
      <c r="P806" s="1925"/>
      <c r="Q806" s="1925"/>
      <c r="R806" s="1925"/>
      <c r="S806" s="994"/>
      <c r="T806" s="1862">
        <f t="shared" si="140"/>
        <v>0</v>
      </c>
    </row>
    <row r="807" spans="1:20" ht="22.2" hidden="1" customHeight="1">
      <c r="A807" s="1448">
        <f>COUNTIF($C$12:C807,"x")</f>
        <v>45</v>
      </c>
      <c r="B807" s="1464" t="s">
        <v>635</v>
      </c>
      <c r="C807" s="970" t="str">
        <f t="shared" si="141"/>
        <v xml:space="preserve"> </v>
      </c>
      <c r="D807" s="1414"/>
      <c r="E807" s="980" t="str">
        <f>VLOOKUP($B807,DG!A:C,2,)</f>
        <v>02.1482</v>
      </c>
      <c r="F807" s="985" t="str">
        <f>VLOOKUP($B807,DG!A:C,3,)</f>
        <v>V/c dụng cụ thi công vào vị trí (cự ly &lt;=100m)</v>
      </c>
      <c r="G807" s="980" t="str">
        <f>VLOOKUP($B807,DG!A:D,4,0)</f>
        <v>tấn</v>
      </c>
      <c r="H807" s="1925">
        <f t="shared" si="151"/>
        <v>0</v>
      </c>
      <c r="I807" s="1925">
        <f t="shared" si="151"/>
        <v>0</v>
      </c>
      <c r="J807" s="1925">
        <f t="shared" si="151"/>
        <v>0</v>
      </c>
      <c r="K807" s="1925">
        <f t="shared" si="151"/>
        <v>0</v>
      </c>
      <c r="L807" s="1925">
        <f t="shared" si="151"/>
        <v>0</v>
      </c>
      <c r="M807" s="1925">
        <f t="shared" si="151"/>
        <v>0</v>
      </c>
      <c r="N807" s="1925">
        <f t="shared" si="151"/>
        <v>0</v>
      </c>
      <c r="O807" s="1925">
        <f t="shared" si="151"/>
        <v>0</v>
      </c>
      <c r="P807" s="1925"/>
      <c r="Q807" s="1925"/>
      <c r="R807" s="1925"/>
      <c r="S807" s="994"/>
      <c r="T807" s="1862">
        <f t="shared" si="140"/>
        <v>0</v>
      </c>
    </row>
    <row r="808" spans="1:20" ht="22.2" hidden="1" customHeight="1">
      <c r="A808" s="1448">
        <f>COUNTIF($C$12:C808,"x")</f>
        <v>45</v>
      </c>
      <c r="B808" s="1452" t="s">
        <v>1291</v>
      </c>
      <c r="C808" s="970" t="str">
        <f t="shared" si="141"/>
        <v xml:space="preserve"> </v>
      </c>
      <c r="D808" s="1412"/>
      <c r="E808" s="981"/>
      <c r="F808" s="1276" t="s">
        <v>2416</v>
      </c>
      <c r="G808" s="982" t="s">
        <v>2385</v>
      </c>
      <c r="H808" s="1691">
        <f>SUM(I808:O808)</f>
        <v>0</v>
      </c>
      <c r="I808" s="1692"/>
      <c r="J808" s="1692"/>
      <c r="K808" s="1692">
        <f>IFERROR(HLOOKUP(B808,pp3p1m!$1:$3,2,0),0)</f>
        <v>0</v>
      </c>
      <c r="L808" s="1692">
        <f>IFERROR(HLOOKUP(chitiet!B808,pp1p!$1:$3,3,0),0)</f>
        <v>0</v>
      </c>
      <c r="M808" s="1692"/>
      <c r="N808" s="1692"/>
      <c r="O808" s="1692"/>
      <c r="P808" s="2674">
        <f>T808</f>
        <v>0</v>
      </c>
      <c r="Q808" s="983">
        <f>IF(P808&gt;H808,P808-H808,0)</f>
        <v>0</v>
      </c>
      <c r="R808" s="983">
        <f>IF(H808&gt;P808,H808-P808,0)</f>
        <v>0</v>
      </c>
      <c r="S808" s="983"/>
      <c r="T808" s="1862">
        <f>IFERROR(HLOOKUP(B808,pp1p!$1:$3,3,0),0)+IFERROR(HLOOKUP(B808,pp3p1m!$1:$3,3,0),0)</f>
        <v>0</v>
      </c>
    </row>
    <row r="809" spans="1:20" ht="22.2" hidden="1" customHeight="1">
      <c r="A809" s="1448">
        <f>COUNTIF($C$12:C809,"x")</f>
        <v>45</v>
      </c>
      <c r="B809" s="1455" t="s">
        <v>109</v>
      </c>
      <c r="C809" s="970" t="str">
        <f t="shared" si="141"/>
        <v xml:space="preserve"> </v>
      </c>
      <c r="D809" s="1414">
        <f>9.02*(1.66+0.07*2)*2</f>
        <v>32.471999999999994</v>
      </c>
      <c r="E809" s="980"/>
      <c r="F809" s="992" t="str">
        <f>VLOOKUP($B809,DG!A:D,DG!$C$2,)</f>
        <v>Sắt góc L75 x75 x8</v>
      </c>
      <c r="G809" s="980" t="str">
        <f>VLOOKUP($B809,DG!A:D,DG!$D$2,)</f>
        <v>kg</v>
      </c>
      <c r="H809" s="1693">
        <f>H$818*$D809</f>
        <v>0</v>
      </c>
      <c r="I809" s="1693">
        <f t="shared" ref="I809:O813" si="152">I$808*$D809</f>
        <v>0</v>
      </c>
      <c r="J809" s="1693">
        <f t="shared" si="152"/>
        <v>0</v>
      </c>
      <c r="K809" s="1693">
        <f t="shared" si="152"/>
        <v>0</v>
      </c>
      <c r="L809" s="1693">
        <f t="shared" si="152"/>
        <v>0</v>
      </c>
      <c r="M809" s="1693">
        <f t="shared" si="152"/>
        <v>0</v>
      </c>
      <c r="N809" s="1693">
        <f t="shared" si="152"/>
        <v>0</v>
      </c>
      <c r="O809" s="1693">
        <f t="shared" si="152"/>
        <v>0</v>
      </c>
      <c r="P809" s="1693"/>
      <c r="Q809" s="989"/>
      <c r="R809" s="989"/>
      <c r="S809" s="989"/>
      <c r="T809" s="1862">
        <f t="shared" si="140"/>
        <v>0</v>
      </c>
    </row>
    <row r="810" spans="1:20" ht="22.2" hidden="1" customHeight="1">
      <c r="A810" s="1448">
        <f>COUNTIF($C$12:C810,"x")</f>
        <v>45</v>
      </c>
      <c r="B810" s="1455" t="s">
        <v>457</v>
      </c>
      <c r="C810" s="970" t="str">
        <f t="shared" si="141"/>
        <v xml:space="preserve"> </v>
      </c>
      <c r="D810" s="1414">
        <f>3.77*0.81*4</f>
        <v>12.2148</v>
      </c>
      <c r="E810" s="980"/>
      <c r="F810" s="992" t="str">
        <f>VLOOKUP($B810,DG!A:D,DG!$C$2,)</f>
        <v>Sắt góc L50 x50 x5</v>
      </c>
      <c r="G810" s="980" t="str">
        <f>VLOOKUP($B810,DG!A:D,DG!$D$2,)</f>
        <v>kg</v>
      </c>
      <c r="H810" s="1693">
        <f>H$818*$D810</f>
        <v>0</v>
      </c>
      <c r="I810" s="1693">
        <f t="shared" si="152"/>
        <v>0</v>
      </c>
      <c r="J810" s="1693">
        <f t="shared" si="152"/>
        <v>0</v>
      </c>
      <c r="K810" s="1693">
        <f t="shared" si="152"/>
        <v>0</v>
      </c>
      <c r="L810" s="1693">
        <f t="shared" si="152"/>
        <v>0</v>
      </c>
      <c r="M810" s="1693">
        <f t="shared" si="152"/>
        <v>0</v>
      </c>
      <c r="N810" s="1693">
        <f t="shared" si="152"/>
        <v>0</v>
      </c>
      <c r="O810" s="1693">
        <f t="shared" si="152"/>
        <v>0</v>
      </c>
      <c r="P810" s="1693"/>
      <c r="Q810" s="989"/>
      <c r="R810" s="989"/>
      <c r="S810" s="989"/>
      <c r="T810" s="1862">
        <f t="shared" si="140"/>
        <v>0</v>
      </c>
    </row>
    <row r="811" spans="1:20" ht="22.2" hidden="1" customHeight="1">
      <c r="A811" s="1448">
        <f>COUNTIF($C$12:C811,"x")</f>
        <v>45</v>
      </c>
      <c r="B811" s="1455" t="s">
        <v>1609</v>
      </c>
      <c r="C811" s="970" t="str">
        <f t="shared" ref="C811:C874" si="153">IF(OR(P811&lt;&gt;0,H811&lt;&gt;0),"x"," ")</f>
        <v xml:space="preserve"> </v>
      </c>
      <c r="D811" s="1415">
        <v>4</v>
      </c>
      <c r="E811" s="980"/>
      <c r="F811" s="992" t="str">
        <f>VLOOKUP($B811,DG!A:D,DG!$C$2,)</f>
        <v>Boulon 16x250+ 2 long đền vuông D18-50x50x3/Zn</v>
      </c>
      <c r="G811" s="980" t="str">
        <f>VLOOKUP($B811,DG!A:D,DG!$D$2,)</f>
        <v>bộ</v>
      </c>
      <c r="H811" s="1693">
        <f>H$818*$D811</f>
        <v>0</v>
      </c>
      <c r="I811" s="1693">
        <f t="shared" si="152"/>
        <v>0</v>
      </c>
      <c r="J811" s="1693">
        <f t="shared" si="152"/>
        <v>0</v>
      </c>
      <c r="K811" s="1693">
        <f t="shared" si="152"/>
        <v>0</v>
      </c>
      <c r="L811" s="1693">
        <f t="shared" si="152"/>
        <v>0</v>
      </c>
      <c r="M811" s="1693">
        <f t="shared" si="152"/>
        <v>0</v>
      </c>
      <c r="N811" s="1693">
        <f t="shared" si="152"/>
        <v>0</v>
      </c>
      <c r="O811" s="1693">
        <f t="shared" si="152"/>
        <v>0</v>
      </c>
      <c r="P811" s="1693"/>
      <c r="Q811" s="989"/>
      <c r="R811" s="989"/>
      <c r="S811" s="989"/>
      <c r="T811" s="1862">
        <f t="shared" si="140"/>
        <v>0</v>
      </c>
    </row>
    <row r="812" spans="1:20" ht="22.2" hidden="1" customHeight="1">
      <c r="A812" s="1448">
        <f>COUNTIF($C$12:C812,"x")</f>
        <v>45</v>
      </c>
      <c r="B812" s="1455" t="s">
        <v>1292</v>
      </c>
      <c r="C812" s="970" t="str">
        <f t="shared" si="153"/>
        <v xml:space="preserve"> </v>
      </c>
      <c r="D812" s="1415">
        <v>2</v>
      </c>
      <c r="E812" s="980"/>
      <c r="F812" s="992" t="str">
        <f>VLOOKUP($B812,DG!A:D,DG!$C$2,)</f>
        <v>Boulon 16x250VRS+ 4 long đền vuông D18-50x50x3/Zn</v>
      </c>
      <c r="G812" s="980" t="str">
        <f>VLOOKUP($B812,DG!A:D,DG!$D$2,)</f>
        <v>bộ</v>
      </c>
      <c r="H812" s="1693">
        <f>H$818*$D812</f>
        <v>0</v>
      </c>
      <c r="I812" s="1693">
        <f t="shared" si="152"/>
        <v>0</v>
      </c>
      <c r="J812" s="1693">
        <f t="shared" si="152"/>
        <v>0</v>
      </c>
      <c r="K812" s="1693">
        <f t="shared" si="152"/>
        <v>0</v>
      </c>
      <c r="L812" s="1693">
        <f t="shared" si="152"/>
        <v>0</v>
      </c>
      <c r="M812" s="1693">
        <f t="shared" si="152"/>
        <v>0</v>
      </c>
      <c r="N812" s="1693">
        <f t="shared" si="152"/>
        <v>0</v>
      </c>
      <c r="O812" s="1693">
        <f t="shared" si="152"/>
        <v>0</v>
      </c>
      <c r="P812" s="1693"/>
      <c r="Q812" s="989"/>
      <c r="R812" s="989"/>
      <c r="S812" s="989"/>
      <c r="T812" s="1862">
        <f t="shared" si="140"/>
        <v>0</v>
      </c>
    </row>
    <row r="813" spans="1:20" ht="22.2" hidden="1" customHeight="1">
      <c r="A813" s="1448">
        <f>COUNTIF($C$12:C813,"x")</f>
        <v>45</v>
      </c>
      <c r="B813" s="1455" t="s">
        <v>1786</v>
      </c>
      <c r="C813" s="970" t="str">
        <f t="shared" si="153"/>
        <v xml:space="preserve"> </v>
      </c>
      <c r="D813" s="1415">
        <v>4</v>
      </c>
      <c r="E813" s="980"/>
      <c r="F813" s="992" t="str">
        <f>VLOOKUP($B813,DG!A:D,DG!$C$2,)</f>
        <v>Boulon 16x50+ 2 long đền vuông D18-50x50x3/Zn</v>
      </c>
      <c r="G813" s="980" t="str">
        <f>VLOOKUP($B813,DG!A:D,DG!$D$2,)</f>
        <v>bộ</v>
      </c>
      <c r="H813" s="1693">
        <f>H$818*$D813</f>
        <v>0</v>
      </c>
      <c r="I813" s="1693">
        <f t="shared" si="152"/>
        <v>0</v>
      </c>
      <c r="J813" s="1693">
        <f t="shared" si="152"/>
        <v>0</v>
      </c>
      <c r="K813" s="1693">
        <f t="shared" si="152"/>
        <v>0</v>
      </c>
      <c r="L813" s="1693">
        <f t="shared" si="152"/>
        <v>0</v>
      </c>
      <c r="M813" s="1693">
        <f t="shared" si="152"/>
        <v>0</v>
      </c>
      <c r="N813" s="1693">
        <f t="shared" si="152"/>
        <v>0</v>
      </c>
      <c r="O813" s="1693">
        <f t="shared" si="152"/>
        <v>0</v>
      </c>
      <c r="P813" s="1693"/>
      <c r="Q813" s="989"/>
      <c r="R813" s="989"/>
      <c r="S813" s="989"/>
      <c r="T813" s="1862">
        <f t="shared" si="140"/>
        <v>0</v>
      </c>
    </row>
    <row r="814" spans="1:20" ht="22.2" hidden="1" customHeight="1">
      <c r="A814" s="1448">
        <f>COUNTIF($C$12:C814,"x")</f>
        <v>45</v>
      </c>
      <c r="B814" s="1455" t="s">
        <v>1779</v>
      </c>
      <c r="C814" s="970" t="str">
        <f t="shared" si="153"/>
        <v xml:space="preserve"> </v>
      </c>
      <c r="D814" s="1415">
        <v>1</v>
      </c>
      <c r="E814" s="996" t="str">
        <f>VLOOKUP($B814,DG!A:D,DG!$B$2,)</f>
        <v>05.6202</v>
      </c>
      <c r="F814" s="985" t="str">
        <f>VLOOKUP($B814,DG!A:D,DG!$C$2,)</f>
        <v>Lắp xà néo ≤ 50kg</v>
      </c>
      <c r="G814" s="980" t="str">
        <f>VLOOKUP($B814,DG!A:D,DG!$D$2,)</f>
        <v>bộ</v>
      </c>
      <c r="H814" s="1693"/>
      <c r="I814" s="1693"/>
      <c r="J814" s="1693"/>
      <c r="K814" s="1693"/>
      <c r="L814" s="1693"/>
      <c r="M814" s="1693"/>
      <c r="N814" s="1693"/>
      <c r="O814" s="1693"/>
      <c r="P814" s="1693"/>
      <c r="Q814" s="994"/>
      <c r="R814" s="994"/>
      <c r="S814" s="994"/>
      <c r="T814" s="1862">
        <f t="shared" si="140"/>
        <v>0</v>
      </c>
    </row>
    <row r="815" spans="1:20" ht="22.2" hidden="1" customHeight="1">
      <c r="A815" s="1448">
        <f>COUNTIF($C$12:C815,"x")</f>
        <v>45</v>
      </c>
      <c r="B815" s="1455" t="s">
        <v>1996</v>
      </c>
      <c r="C815" s="970" t="str">
        <f t="shared" si="153"/>
        <v xml:space="preserve"> </v>
      </c>
      <c r="D815" s="1413"/>
      <c r="E815" s="980" t="str">
        <f>VLOOKUP($B815,DG!A:D,DG!$B$2,)</f>
        <v>02.1115</v>
      </c>
      <c r="F815" s="985" t="str">
        <f>VLOOKUP($B815,DG!A:D,DG!$C$2,)</f>
        <v>Bốc dỡ xà, thép thanh</v>
      </c>
      <c r="G815" s="980" t="str">
        <f>VLOOKUP($B815,DG!A:D,DG!$D$2,)</f>
        <v>tấn</v>
      </c>
      <c r="H815" s="1693"/>
      <c r="I815" s="1693"/>
      <c r="J815" s="1693"/>
      <c r="K815" s="1693"/>
      <c r="L815" s="1693"/>
      <c r="M815" s="1693"/>
      <c r="N815" s="1693"/>
      <c r="O815" s="1693"/>
      <c r="P815" s="1693"/>
      <c r="Q815" s="994"/>
      <c r="R815" s="994"/>
      <c r="S815" s="994"/>
      <c r="T815" s="1862">
        <f t="shared" si="140"/>
        <v>0</v>
      </c>
    </row>
    <row r="816" spans="1:20" ht="22.2" hidden="1" customHeight="1">
      <c r="A816" s="1448">
        <f>COUNTIF($C$12:C816,"x")</f>
        <v>45</v>
      </c>
      <c r="B816" s="1464" t="s">
        <v>1997</v>
      </c>
      <c r="C816" s="970" t="str">
        <f t="shared" si="153"/>
        <v xml:space="preserve"> </v>
      </c>
      <c r="D816" s="1413"/>
      <c r="E816" s="980" t="str">
        <f>VLOOKUP($B816,DG!A:C,2,)</f>
        <v>02.1361</v>
      </c>
      <c r="F816" s="985" t="str">
        <f>VLOOKUP($B816,DG!A:C,3,)</f>
        <v>V/c xà vào vị trí (cư ly &lt;=100m)</v>
      </c>
      <c r="G816" s="980" t="str">
        <f>VLOOKUP($B816,DG!A:D,4,0)</f>
        <v>tấn</v>
      </c>
      <c r="H816" s="1693"/>
      <c r="I816" s="1693"/>
      <c r="J816" s="1693"/>
      <c r="K816" s="1693"/>
      <c r="L816" s="1693"/>
      <c r="M816" s="1693"/>
      <c r="N816" s="1693"/>
      <c r="O816" s="1693"/>
      <c r="P816" s="1693"/>
      <c r="Q816" s="994"/>
      <c r="R816" s="994"/>
      <c r="S816" s="994"/>
      <c r="T816" s="1862">
        <f t="shared" si="140"/>
        <v>0</v>
      </c>
    </row>
    <row r="817" spans="1:20" ht="22.2" hidden="1" customHeight="1">
      <c r="A817" s="1448">
        <f>COUNTIF($C$12:C817,"x")</f>
        <v>45</v>
      </c>
      <c r="B817" s="1464" t="s">
        <v>635</v>
      </c>
      <c r="C817" s="970" t="str">
        <f t="shared" si="153"/>
        <v xml:space="preserve"> </v>
      </c>
      <c r="D817" s="1414"/>
      <c r="E817" s="980" t="str">
        <f>VLOOKUP($B817,DG!A:C,2,)</f>
        <v>02.1482</v>
      </c>
      <c r="F817" s="985" t="str">
        <f>VLOOKUP($B817,DG!A:C,3,)</f>
        <v>V/c dụng cụ thi công vào vị trí (cự ly &lt;=100m)</v>
      </c>
      <c r="G817" s="980" t="str">
        <f>VLOOKUP($B817,DG!A:D,4,0)</f>
        <v>tấn</v>
      </c>
      <c r="H817" s="1693"/>
      <c r="I817" s="1693"/>
      <c r="J817" s="1693"/>
      <c r="K817" s="1693"/>
      <c r="L817" s="1693"/>
      <c r="M817" s="1693"/>
      <c r="N817" s="1693"/>
      <c r="O817" s="1693"/>
      <c r="P817" s="1693"/>
      <c r="Q817" s="994"/>
      <c r="R817" s="994"/>
      <c r="S817" s="994"/>
      <c r="T817" s="1862">
        <f t="shared" ref="T817:T880" si="154">IFERROR(HLOOKUP(B817,BangKeTru,3,0),0)</f>
        <v>0</v>
      </c>
    </row>
    <row r="818" spans="1:20" ht="22.2" hidden="1" customHeight="1">
      <c r="A818" s="1448">
        <f>COUNTIF($C$12:C818,"x")</f>
        <v>45</v>
      </c>
      <c r="B818" s="1452" t="s">
        <v>2291</v>
      </c>
      <c r="C818" s="970" t="str">
        <f t="shared" si="153"/>
        <v xml:space="preserve"> </v>
      </c>
      <c r="D818" s="1412"/>
      <c r="E818" s="981"/>
      <c r="F818" s="1276" t="s">
        <v>2417</v>
      </c>
      <c r="G818" s="982" t="s">
        <v>2385</v>
      </c>
      <c r="H818" s="1691">
        <f>SUM(I818:O818)</f>
        <v>0</v>
      </c>
      <c r="I818" s="1692"/>
      <c r="J818" s="1692"/>
      <c r="K818" s="1692">
        <f>IFERROR(HLOOKUP(B818,pp3p1m!$1:$3,2,0),0)</f>
        <v>0</v>
      </c>
      <c r="L818" s="1692">
        <f>IFERROR(HLOOKUP(chitiet!B818,pp1p!$1:$3,3,0),0)</f>
        <v>0</v>
      </c>
      <c r="M818" s="1692"/>
      <c r="N818" s="1692"/>
      <c r="O818" s="1692"/>
      <c r="P818" s="2674">
        <f>T818</f>
        <v>0</v>
      </c>
      <c r="Q818" s="983">
        <f>IF(P818&gt;H818,P818-H818,0)</f>
        <v>0</v>
      </c>
      <c r="R818" s="983">
        <f>IF(H818&gt;P818,H818-P818,0)</f>
        <v>0</v>
      </c>
      <c r="S818" s="983"/>
      <c r="T818" s="1862">
        <f>IFERROR(HLOOKUP(B818,pp1p!$1:$3,3,0),0)+IFERROR(HLOOKUP(B818,pp3p1m!$1:$3,3,0),0)</f>
        <v>0</v>
      </c>
    </row>
    <row r="819" spans="1:20" ht="22.2" hidden="1" customHeight="1">
      <c r="A819" s="1448">
        <f>COUNTIF($C$12:C819,"x")</f>
        <v>45</v>
      </c>
      <c r="B819" s="1455" t="s">
        <v>109</v>
      </c>
      <c r="C819" s="970" t="str">
        <f t="shared" si="153"/>
        <v xml:space="preserve"> </v>
      </c>
      <c r="D819" s="1414">
        <f>9.02*2.2</f>
        <v>19.844000000000001</v>
      </c>
      <c r="E819" s="980"/>
      <c r="F819" s="992" t="str">
        <f>VLOOKUP($B819,DG!A:D,DG!$C$2,)</f>
        <v>Sắt góc L75 x75 x8</v>
      </c>
      <c r="G819" s="980" t="str">
        <f>VLOOKUP($B819,DG!A:D,DG!$D$2,)</f>
        <v>kg</v>
      </c>
      <c r="H819" s="1693">
        <f t="shared" ref="H819:N822" si="155">H$818*$D819</f>
        <v>0</v>
      </c>
      <c r="I819" s="1693">
        <f t="shared" si="155"/>
        <v>0</v>
      </c>
      <c r="J819" s="1693">
        <f t="shared" si="155"/>
        <v>0</v>
      </c>
      <c r="K819" s="1693">
        <f t="shared" si="155"/>
        <v>0</v>
      </c>
      <c r="L819" s="1693">
        <f t="shared" si="155"/>
        <v>0</v>
      </c>
      <c r="M819" s="1693">
        <f t="shared" si="155"/>
        <v>0</v>
      </c>
      <c r="N819" s="1693">
        <f t="shared" si="155"/>
        <v>0</v>
      </c>
      <c r="O819" s="1693"/>
      <c r="P819" s="1693"/>
      <c r="Q819" s="989"/>
      <c r="R819" s="989"/>
      <c r="S819" s="989"/>
      <c r="T819" s="1862">
        <f t="shared" si="154"/>
        <v>0</v>
      </c>
    </row>
    <row r="820" spans="1:20" ht="22.2" hidden="1" customHeight="1">
      <c r="A820" s="1448">
        <f>COUNTIF($C$12:C820,"x")</f>
        <v>45</v>
      </c>
      <c r="B820" s="1455" t="s">
        <v>457</v>
      </c>
      <c r="C820" s="970" t="str">
        <f t="shared" si="153"/>
        <v xml:space="preserve"> </v>
      </c>
      <c r="D820" s="1414">
        <f>3.77*0.72*2</f>
        <v>5.4287999999999998</v>
      </c>
      <c r="E820" s="980"/>
      <c r="F820" s="992" t="str">
        <f>VLOOKUP($B820,DG!A:D,DG!$C$2,)</f>
        <v>Sắt góc L50 x50 x5</v>
      </c>
      <c r="G820" s="980" t="str">
        <f>VLOOKUP($B820,DG!A:D,DG!$D$2,)</f>
        <v>kg</v>
      </c>
      <c r="H820" s="1693">
        <f t="shared" si="155"/>
        <v>0</v>
      </c>
      <c r="I820" s="1693">
        <f t="shared" si="155"/>
        <v>0</v>
      </c>
      <c r="J820" s="1693">
        <f t="shared" si="155"/>
        <v>0</v>
      </c>
      <c r="K820" s="1693">
        <f t="shared" si="155"/>
        <v>0</v>
      </c>
      <c r="L820" s="1693">
        <f t="shared" si="155"/>
        <v>0</v>
      </c>
      <c r="M820" s="1693">
        <f t="shared" si="155"/>
        <v>0</v>
      </c>
      <c r="N820" s="1693">
        <f t="shared" si="155"/>
        <v>0</v>
      </c>
      <c r="O820" s="1693"/>
      <c r="P820" s="1693"/>
      <c r="Q820" s="989"/>
      <c r="R820" s="989"/>
      <c r="S820" s="989"/>
      <c r="T820" s="1862">
        <f t="shared" si="154"/>
        <v>0</v>
      </c>
    </row>
    <row r="821" spans="1:20" ht="22.2" hidden="1" customHeight="1">
      <c r="A821" s="1448">
        <f>COUNTIF($C$12:C821,"x")</f>
        <v>45</v>
      </c>
      <c r="B821" s="1455" t="s">
        <v>1609</v>
      </c>
      <c r="C821" s="970" t="str">
        <f t="shared" si="153"/>
        <v xml:space="preserve"> </v>
      </c>
      <c r="D821" s="1415">
        <v>2</v>
      </c>
      <c r="E821" s="980"/>
      <c r="F821" s="992" t="str">
        <f>VLOOKUP($B821,DG!A:D,DG!$C$2,)</f>
        <v>Boulon 16x250+ 2 long đền vuông D18-50x50x3/Zn</v>
      </c>
      <c r="G821" s="980" t="str">
        <f>VLOOKUP($B821,DG!A:D,DG!$D$2,)</f>
        <v>bộ</v>
      </c>
      <c r="H821" s="1693">
        <f t="shared" si="155"/>
        <v>0</v>
      </c>
      <c r="I821" s="1693">
        <f t="shared" si="155"/>
        <v>0</v>
      </c>
      <c r="J821" s="1693">
        <f t="shared" si="155"/>
        <v>0</v>
      </c>
      <c r="K821" s="1693">
        <f t="shared" si="155"/>
        <v>0</v>
      </c>
      <c r="L821" s="1693">
        <f t="shared" si="155"/>
        <v>0</v>
      </c>
      <c r="M821" s="1693">
        <f t="shared" si="155"/>
        <v>0</v>
      </c>
      <c r="N821" s="1693">
        <f t="shared" si="155"/>
        <v>0</v>
      </c>
      <c r="O821" s="1693"/>
      <c r="P821" s="1693"/>
      <c r="Q821" s="989"/>
      <c r="R821" s="989"/>
      <c r="S821" s="989"/>
      <c r="T821" s="1862">
        <f t="shared" si="154"/>
        <v>0</v>
      </c>
    </row>
    <row r="822" spans="1:20" ht="22.2" hidden="1" customHeight="1">
      <c r="A822" s="1448">
        <f>COUNTIF($C$12:C822,"x")</f>
        <v>45</v>
      </c>
      <c r="B822" s="1455" t="s">
        <v>1786</v>
      </c>
      <c r="C822" s="970" t="str">
        <f t="shared" si="153"/>
        <v xml:space="preserve"> </v>
      </c>
      <c r="D822" s="1415">
        <v>1</v>
      </c>
      <c r="E822" s="980"/>
      <c r="F822" s="992" t="str">
        <f>VLOOKUP($B822,DG!A:D,DG!$C$2,)</f>
        <v>Boulon 16x50+ 2 long đền vuông D18-50x50x3/Zn</v>
      </c>
      <c r="G822" s="980" t="str">
        <f>VLOOKUP($B822,DG!A:D,DG!$D$2,)</f>
        <v>bộ</v>
      </c>
      <c r="H822" s="1693">
        <f t="shared" si="155"/>
        <v>0</v>
      </c>
      <c r="I822" s="1693">
        <f t="shared" si="155"/>
        <v>0</v>
      </c>
      <c r="J822" s="1693">
        <f t="shared" si="155"/>
        <v>0</v>
      </c>
      <c r="K822" s="1693">
        <f t="shared" si="155"/>
        <v>0</v>
      </c>
      <c r="L822" s="1693">
        <f t="shared" si="155"/>
        <v>0</v>
      </c>
      <c r="M822" s="1693">
        <f t="shared" si="155"/>
        <v>0</v>
      </c>
      <c r="N822" s="1693">
        <f t="shared" si="155"/>
        <v>0</v>
      </c>
      <c r="O822" s="1693"/>
      <c r="P822" s="1693"/>
      <c r="Q822" s="989"/>
      <c r="R822" s="989"/>
      <c r="S822" s="989"/>
      <c r="T822" s="1862">
        <f t="shared" si="154"/>
        <v>0</v>
      </c>
    </row>
    <row r="823" spans="1:20" ht="22.2" hidden="1" customHeight="1">
      <c r="A823" s="1448">
        <f>COUNTIF($C$12:C823,"x")</f>
        <v>45</v>
      </c>
      <c r="B823" s="1455" t="s">
        <v>1995</v>
      </c>
      <c r="C823" s="970" t="str">
        <f t="shared" si="153"/>
        <v xml:space="preserve"> </v>
      </c>
      <c r="D823" s="1415">
        <v>1</v>
      </c>
      <c r="E823" s="980" t="str">
        <f>VLOOKUP($B823,DG!A:D,DG!$B$2,)</f>
        <v>05.6401</v>
      </c>
      <c r="F823" s="985" t="str">
        <f>VLOOKUP($B823,DG!A:D,DG!$C$2,)</f>
        <v>Lắp xà đỡ ≤ 25kg</v>
      </c>
      <c r="G823" s="980" t="str">
        <f>VLOOKUP($B823,DG!A:D,DG!$D$2,)</f>
        <v>bộ</v>
      </c>
      <c r="H823" s="1693"/>
      <c r="I823" s="1693"/>
      <c r="J823" s="1693"/>
      <c r="K823" s="1693"/>
      <c r="L823" s="1693"/>
      <c r="M823" s="1693"/>
      <c r="N823" s="1693"/>
      <c r="O823" s="1693"/>
      <c r="P823" s="1693"/>
      <c r="Q823" s="994"/>
      <c r="R823" s="994"/>
      <c r="S823" s="994"/>
      <c r="T823" s="1862">
        <f t="shared" si="154"/>
        <v>0</v>
      </c>
    </row>
    <row r="824" spans="1:20" ht="22.2" hidden="1" customHeight="1">
      <c r="A824" s="1448">
        <f>COUNTIF($C$12:C824,"x")</f>
        <v>45</v>
      </c>
      <c r="B824" s="1455" t="s">
        <v>1996</v>
      </c>
      <c r="C824" s="970" t="str">
        <f t="shared" si="153"/>
        <v xml:space="preserve"> </v>
      </c>
      <c r="D824" s="1413"/>
      <c r="E824" s="980" t="str">
        <f>VLOOKUP($B824,DG!A:D,DG!$B$2,)</f>
        <v>02.1115</v>
      </c>
      <c r="F824" s="985" t="str">
        <f>VLOOKUP($B824,DG!A:D,DG!$C$2,)</f>
        <v>Bốc dỡ xà, thép thanh</v>
      </c>
      <c r="G824" s="980" t="str">
        <f>VLOOKUP($B824,DG!A:D,DG!$D$2,)</f>
        <v>tấn</v>
      </c>
      <c r="H824" s="1693"/>
      <c r="I824" s="1693"/>
      <c r="J824" s="1693"/>
      <c r="K824" s="1693"/>
      <c r="L824" s="1693"/>
      <c r="M824" s="1693"/>
      <c r="N824" s="1693"/>
      <c r="O824" s="1693"/>
      <c r="P824" s="1693"/>
      <c r="Q824" s="994"/>
      <c r="R824" s="994"/>
      <c r="S824" s="994"/>
      <c r="T824" s="1862">
        <f t="shared" si="154"/>
        <v>0</v>
      </c>
    </row>
    <row r="825" spans="1:20" ht="22.2" hidden="1" customHeight="1">
      <c r="A825" s="1448">
        <f>COUNTIF($C$12:C825,"x")</f>
        <v>45</v>
      </c>
      <c r="B825" s="1464" t="s">
        <v>1997</v>
      </c>
      <c r="C825" s="970" t="str">
        <f t="shared" si="153"/>
        <v xml:space="preserve"> </v>
      </c>
      <c r="D825" s="1413"/>
      <c r="E825" s="980" t="str">
        <f>VLOOKUP($B825,DG!A:C,2,)</f>
        <v>02.1361</v>
      </c>
      <c r="F825" s="985" t="str">
        <f>VLOOKUP($B825,DG!A:C,3,)</f>
        <v>V/c xà vào vị trí (cư ly &lt;=100m)</v>
      </c>
      <c r="G825" s="980" t="str">
        <f>VLOOKUP($B825,DG!A:D,4,0)</f>
        <v>tấn</v>
      </c>
      <c r="H825" s="1693"/>
      <c r="I825" s="1693"/>
      <c r="J825" s="1693"/>
      <c r="K825" s="1693"/>
      <c r="L825" s="1693"/>
      <c r="M825" s="1693"/>
      <c r="N825" s="1693"/>
      <c r="O825" s="1693"/>
      <c r="P825" s="1693"/>
      <c r="Q825" s="994"/>
      <c r="R825" s="994"/>
      <c r="S825" s="994"/>
      <c r="T825" s="1862">
        <f t="shared" si="154"/>
        <v>0</v>
      </c>
    </row>
    <row r="826" spans="1:20" ht="22.2" hidden="1" customHeight="1">
      <c r="A826" s="1448">
        <f>COUNTIF($C$12:C826,"x")</f>
        <v>45</v>
      </c>
      <c r="B826" s="1464" t="s">
        <v>635</v>
      </c>
      <c r="C826" s="970" t="str">
        <f t="shared" si="153"/>
        <v xml:space="preserve"> </v>
      </c>
      <c r="D826" s="1414"/>
      <c r="E826" s="980" t="str">
        <f>VLOOKUP($B826,DG!A:C,2,)</f>
        <v>02.1482</v>
      </c>
      <c r="F826" s="985" t="str">
        <f>VLOOKUP($B826,DG!A:C,3,)</f>
        <v>V/c dụng cụ thi công vào vị trí (cự ly &lt;=100m)</v>
      </c>
      <c r="G826" s="980" t="str">
        <f>VLOOKUP($B826,DG!A:D,4,0)</f>
        <v>tấn</v>
      </c>
      <c r="H826" s="1693"/>
      <c r="I826" s="1693"/>
      <c r="J826" s="1693"/>
      <c r="K826" s="1693"/>
      <c r="L826" s="1693"/>
      <c r="M826" s="1693"/>
      <c r="N826" s="1693"/>
      <c r="O826" s="1693"/>
      <c r="P826" s="1693"/>
      <c r="Q826" s="994"/>
      <c r="R826" s="994"/>
      <c r="S826" s="994"/>
      <c r="T826" s="1862">
        <f t="shared" si="154"/>
        <v>0</v>
      </c>
    </row>
    <row r="827" spans="1:20" ht="22.2" hidden="1" customHeight="1">
      <c r="A827" s="1448">
        <f>COUNTIF($C$12:C827,"x")</f>
        <v>45</v>
      </c>
      <c r="B827" s="1452" t="s">
        <v>909</v>
      </c>
      <c r="C827" s="970" t="str">
        <f t="shared" si="153"/>
        <v xml:space="preserve"> </v>
      </c>
      <c r="D827" s="1412"/>
      <c r="E827" s="981"/>
      <c r="F827" s="1276" t="s">
        <v>2418</v>
      </c>
      <c r="G827" s="982" t="s">
        <v>2385</v>
      </c>
      <c r="H827" s="1691">
        <f>SUM(I827:O827)</f>
        <v>0</v>
      </c>
      <c r="I827" s="1692"/>
      <c r="J827" s="1692"/>
      <c r="K827" s="1692">
        <f>IFERROR(HLOOKUP(B827,pp3p1m!$1:$3,2,0),0)</f>
        <v>0</v>
      </c>
      <c r="L827" s="1692">
        <f>IFERROR(HLOOKUP(chitiet!B827,pp1p!$1:$3,3,0),0)</f>
        <v>0</v>
      </c>
      <c r="M827" s="1692"/>
      <c r="N827" s="1692"/>
      <c r="O827" s="1692"/>
      <c r="P827" s="2674">
        <f>T827</f>
        <v>0</v>
      </c>
      <c r="Q827" s="983">
        <f>IF(P827&gt;H827,P827-H827,0)</f>
        <v>0</v>
      </c>
      <c r="R827" s="983">
        <f>IF(H827&gt;P827,H827-P827,0)</f>
        <v>0</v>
      </c>
      <c r="S827" s="983"/>
      <c r="T827" s="1862">
        <f>IFERROR(HLOOKUP(B827,pp1p!$1:$3,3,0),0)+IFERROR(HLOOKUP(B827,pp3p1m!$1:$3,3,0),0)</f>
        <v>0</v>
      </c>
    </row>
    <row r="828" spans="1:20" ht="22.2" hidden="1" customHeight="1">
      <c r="A828" s="1448">
        <f>COUNTIF($C$12:C828,"x")</f>
        <v>45</v>
      </c>
      <c r="B828" s="1455" t="s">
        <v>4818</v>
      </c>
      <c r="C828" s="970" t="str">
        <f t="shared" si="153"/>
        <v xml:space="preserve"> </v>
      </c>
      <c r="D828" s="1414">
        <f>9.02*2.2*2</f>
        <v>39.688000000000002</v>
      </c>
      <c r="E828" s="980"/>
      <c r="F828" s="992" t="str">
        <f>VLOOKUP($B828,DG!A:D,DG!$C$2,)</f>
        <v>Sắt góc L75 x75 x8-2.200</v>
      </c>
      <c r="G828" s="980" t="str">
        <f>VLOOKUP($B828,DG!A:D,DG!$D$2,)</f>
        <v>cái</v>
      </c>
      <c r="H828" s="1693">
        <f t="shared" ref="H828:H833" si="156">H$827*$D828</f>
        <v>0</v>
      </c>
      <c r="I828" s="1693">
        <f t="shared" ref="I828:K831" si="157">I$818*$D828</f>
        <v>0</v>
      </c>
      <c r="J828" s="1693">
        <f t="shared" si="157"/>
        <v>0</v>
      </c>
      <c r="K828" s="1693">
        <f t="shared" si="157"/>
        <v>0</v>
      </c>
      <c r="L828" s="1693">
        <f t="shared" ref="L828:N833" si="158">L$827*$D828</f>
        <v>0</v>
      </c>
      <c r="M828" s="1693">
        <f t="shared" si="158"/>
        <v>0</v>
      </c>
      <c r="N828" s="1693">
        <f t="shared" si="158"/>
        <v>0</v>
      </c>
      <c r="O828" s="1693"/>
      <c r="P828" s="1693"/>
      <c r="Q828" s="989"/>
      <c r="R828" s="989"/>
      <c r="S828" s="989"/>
      <c r="T828" s="1862">
        <f t="shared" si="154"/>
        <v>0</v>
      </c>
    </row>
    <row r="829" spans="1:20" ht="22.2" hidden="1" customHeight="1">
      <c r="A829" s="1448">
        <f>COUNTIF($C$12:C829,"x")</f>
        <v>45</v>
      </c>
      <c r="B829" s="1455" t="s">
        <v>457</v>
      </c>
      <c r="C829" s="970" t="str">
        <f t="shared" si="153"/>
        <v xml:space="preserve"> </v>
      </c>
      <c r="D829" s="1414">
        <f>3.77*0.72*4</f>
        <v>10.8576</v>
      </c>
      <c r="E829" s="980"/>
      <c r="F829" s="992" t="str">
        <f>VLOOKUP($B829,DG!A:D,DG!$C$2,)</f>
        <v>Sắt góc L50 x50 x5</v>
      </c>
      <c r="G829" s="980" t="str">
        <f>VLOOKUP($B829,DG!A:D,DG!$D$2,)</f>
        <v>kg</v>
      </c>
      <c r="H829" s="1693">
        <f t="shared" si="156"/>
        <v>0</v>
      </c>
      <c r="I829" s="1693">
        <f t="shared" si="157"/>
        <v>0</v>
      </c>
      <c r="J829" s="1693">
        <f t="shared" si="157"/>
        <v>0</v>
      </c>
      <c r="K829" s="1693">
        <f t="shared" si="157"/>
        <v>0</v>
      </c>
      <c r="L829" s="1693">
        <f t="shared" si="158"/>
        <v>0</v>
      </c>
      <c r="M829" s="1693">
        <f t="shared" si="158"/>
        <v>0</v>
      </c>
      <c r="N829" s="1693">
        <f t="shared" si="158"/>
        <v>0</v>
      </c>
      <c r="O829" s="1693"/>
      <c r="P829" s="1693"/>
      <c r="Q829" s="989"/>
      <c r="R829" s="989"/>
      <c r="S829" s="989"/>
      <c r="T829" s="1862">
        <f t="shared" si="154"/>
        <v>0</v>
      </c>
    </row>
    <row r="830" spans="1:20" ht="22.2" hidden="1" customHeight="1">
      <c r="A830" s="1448">
        <f>COUNTIF($C$12:C830,"x")</f>
        <v>45</v>
      </c>
      <c r="B830" s="1455" t="s">
        <v>1786</v>
      </c>
      <c r="C830" s="970" t="str">
        <f t="shared" si="153"/>
        <v xml:space="preserve"> </v>
      </c>
      <c r="D830" s="1415">
        <v>4</v>
      </c>
      <c r="E830" s="980"/>
      <c r="F830" s="992" t="str">
        <f>VLOOKUP($B830,DG!A:D,DG!$C$2,)</f>
        <v>Boulon 16x50+ 2 long đền vuông D18-50x50x3/Zn</v>
      </c>
      <c r="G830" s="980" t="str">
        <f>VLOOKUP($B830,DG!A:D,DG!$D$2,)</f>
        <v>bộ</v>
      </c>
      <c r="H830" s="1693">
        <f t="shared" si="156"/>
        <v>0</v>
      </c>
      <c r="I830" s="1693">
        <f t="shared" si="157"/>
        <v>0</v>
      </c>
      <c r="J830" s="1693">
        <f t="shared" si="157"/>
        <v>0</v>
      </c>
      <c r="K830" s="1693">
        <f t="shared" si="157"/>
        <v>0</v>
      </c>
      <c r="L830" s="1693">
        <f t="shared" si="158"/>
        <v>0</v>
      </c>
      <c r="M830" s="1693">
        <f t="shared" si="158"/>
        <v>0</v>
      </c>
      <c r="N830" s="1693">
        <f t="shared" si="158"/>
        <v>0</v>
      </c>
      <c r="O830" s="1693"/>
      <c r="P830" s="1693"/>
      <c r="Q830" s="989"/>
      <c r="R830" s="989"/>
      <c r="S830" s="989"/>
      <c r="T830" s="1862">
        <f t="shared" si="154"/>
        <v>0</v>
      </c>
    </row>
    <row r="831" spans="1:20" ht="22.2" hidden="1" customHeight="1">
      <c r="A831" s="1448">
        <f>COUNTIF($C$12:C831,"x")</f>
        <v>45</v>
      </c>
      <c r="B831" s="1455" t="s">
        <v>1609</v>
      </c>
      <c r="C831" s="970" t="str">
        <f t="shared" si="153"/>
        <v xml:space="preserve"> </v>
      </c>
      <c r="D831" s="1415">
        <v>1</v>
      </c>
      <c r="E831" s="980"/>
      <c r="F831" s="992" t="str">
        <f>VLOOKUP($B831,DG!A:D,DG!$C$2,)</f>
        <v>Boulon 16x250+ 2 long đền vuông D18-50x50x3/Zn</v>
      </c>
      <c r="G831" s="980" t="str">
        <f>VLOOKUP($B831,DG!A:D,DG!$D$2,)</f>
        <v>bộ</v>
      </c>
      <c r="H831" s="1693">
        <f t="shared" si="156"/>
        <v>0</v>
      </c>
      <c r="I831" s="1693">
        <f t="shared" si="157"/>
        <v>0</v>
      </c>
      <c r="J831" s="1693">
        <f t="shared" si="157"/>
        <v>0</v>
      </c>
      <c r="K831" s="1693">
        <f t="shared" si="157"/>
        <v>0</v>
      </c>
      <c r="L831" s="1693">
        <f t="shared" si="158"/>
        <v>0</v>
      </c>
      <c r="M831" s="1693">
        <f t="shared" si="158"/>
        <v>0</v>
      </c>
      <c r="N831" s="1693">
        <f t="shared" si="158"/>
        <v>0</v>
      </c>
      <c r="O831" s="1693"/>
      <c r="P831" s="1693"/>
      <c r="Q831" s="989"/>
      <c r="R831" s="989"/>
      <c r="S831" s="989"/>
      <c r="T831" s="1862">
        <f t="shared" si="154"/>
        <v>0</v>
      </c>
    </row>
    <row r="832" spans="1:20" ht="22.2" hidden="1" customHeight="1">
      <c r="A832" s="1448">
        <f>COUNTIF($C$12:C832,"x")</f>
        <v>45</v>
      </c>
      <c r="B832" s="1455" t="s">
        <v>1610</v>
      </c>
      <c r="C832" s="970" t="str">
        <f t="shared" si="153"/>
        <v xml:space="preserve"> </v>
      </c>
      <c r="D832" s="1415">
        <v>1</v>
      </c>
      <c r="E832" s="980"/>
      <c r="F832" s="992" t="str">
        <f>VLOOKUP($B832,DG!A:D,DG!$C$2,)</f>
        <v>Boulon 16x300+ 2 long đền vuông D18-50x50x3/Zn</v>
      </c>
      <c r="G832" s="980" t="str">
        <f>VLOOKUP($B832,DG!A:D,DG!$D$2,)</f>
        <v>bộ</v>
      </c>
      <c r="H832" s="1693">
        <f t="shared" si="156"/>
        <v>0</v>
      </c>
      <c r="I832" s="1693">
        <f t="shared" ref="I832:K833" si="159">I$827*$D832</f>
        <v>0</v>
      </c>
      <c r="J832" s="1693">
        <f t="shared" si="159"/>
        <v>0</v>
      </c>
      <c r="K832" s="1693">
        <f t="shared" si="159"/>
        <v>0</v>
      </c>
      <c r="L832" s="1693">
        <f t="shared" si="158"/>
        <v>0</v>
      </c>
      <c r="M832" s="1693">
        <f t="shared" si="158"/>
        <v>0</v>
      </c>
      <c r="N832" s="1693">
        <f t="shared" si="158"/>
        <v>0</v>
      </c>
      <c r="O832" s="1693"/>
      <c r="P832" s="1693"/>
      <c r="Q832" s="989"/>
      <c r="R832" s="989"/>
      <c r="S832" s="989"/>
      <c r="T832" s="1862">
        <f t="shared" si="154"/>
        <v>0</v>
      </c>
    </row>
    <row r="833" spans="1:20" ht="22.2" hidden="1" customHeight="1">
      <c r="A833" s="1448">
        <f>COUNTIF($C$12:C833,"x")</f>
        <v>45</v>
      </c>
      <c r="B833" s="1455" t="s">
        <v>415</v>
      </c>
      <c r="C833" s="970" t="str">
        <f t="shared" si="153"/>
        <v xml:space="preserve"> </v>
      </c>
      <c r="D833" s="1415">
        <v>2</v>
      </c>
      <c r="E833" s="980"/>
      <c r="F833" s="992" t="str">
        <f>VLOOKUP($B833,DG!A:D,DG!$C$2,)</f>
        <v>Boulon 16x300VRS+ 4 long đền vuông D18-50x50x3/Zn</v>
      </c>
      <c r="G833" s="980" t="str">
        <f>VLOOKUP($B833,DG!A:D,DG!$D$2,)</f>
        <v>bộ</v>
      </c>
      <c r="H833" s="1693">
        <f t="shared" si="156"/>
        <v>0</v>
      </c>
      <c r="I833" s="1693">
        <f t="shared" si="159"/>
        <v>0</v>
      </c>
      <c r="J833" s="1693">
        <f t="shared" si="159"/>
        <v>0</v>
      </c>
      <c r="K833" s="1693">
        <f t="shared" si="159"/>
        <v>0</v>
      </c>
      <c r="L833" s="1693">
        <f t="shared" si="158"/>
        <v>0</v>
      </c>
      <c r="M833" s="1693">
        <f t="shared" si="158"/>
        <v>0</v>
      </c>
      <c r="N833" s="1693">
        <f t="shared" si="158"/>
        <v>0</v>
      </c>
      <c r="O833" s="1693"/>
      <c r="P833" s="1693"/>
      <c r="Q833" s="989"/>
      <c r="R833" s="989"/>
      <c r="S833" s="989"/>
      <c r="T833" s="1862">
        <f t="shared" si="154"/>
        <v>0</v>
      </c>
    </row>
    <row r="834" spans="1:20" ht="22.2" hidden="1" customHeight="1">
      <c r="A834" s="1448">
        <f>COUNTIF($C$12:C834,"x")</f>
        <v>45</v>
      </c>
      <c r="B834" s="1455" t="s">
        <v>1998</v>
      </c>
      <c r="C834" s="970" t="str">
        <f t="shared" si="153"/>
        <v xml:space="preserve"> </v>
      </c>
      <c r="D834" s="1415">
        <v>1</v>
      </c>
      <c r="E834" s="980" t="str">
        <f>VLOOKUP($B834,DG!A:D,DG!$B$2,)</f>
        <v>05.6202</v>
      </c>
      <c r="F834" s="985" t="str">
        <f>VLOOKUP($B834,DG!A:D,DG!$C$2,)</f>
        <v>Lắp xà néo ≤ 50kg</v>
      </c>
      <c r="G834" s="980" t="str">
        <f>VLOOKUP($B834,DG!A:D,DG!$D$2,)</f>
        <v>bộ</v>
      </c>
      <c r="H834" s="1693"/>
      <c r="I834" s="1693"/>
      <c r="J834" s="1693"/>
      <c r="K834" s="1693"/>
      <c r="L834" s="1693"/>
      <c r="M834" s="1693"/>
      <c r="N834" s="1693"/>
      <c r="O834" s="1693"/>
      <c r="P834" s="1693"/>
      <c r="Q834" s="994"/>
      <c r="R834" s="994"/>
      <c r="S834" s="994"/>
      <c r="T834" s="1862">
        <f t="shared" si="154"/>
        <v>0</v>
      </c>
    </row>
    <row r="835" spans="1:20" ht="22.2" hidden="1" customHeight="1">
      <c r="A835" s="1448">
        <f>COUNTIF($C$12:C835,"x")</f>
        <v>45</v>
      </c>
      <c r="B835" s="1455" t="s">
        <v>1996</v>
      </c>
      <c r="C835" s="970" t="str">
        <f t="shared" si="153"/>
        <v xml:space="preserve"> </v>
      </c>
      <c r="D835" s="1413"/>
      <c r="E835" s="980" t="str">
        <f>VLOOKUP($B835,DG!A:D,DG!$B$2,)</f>
        <v>02.1115</v>
      </c>
      <c r="F835" s="985" t="str">
        <f>VLOOKUP($B835,DG!A:D,DG!$C$2,)</f>
        <v>Bốc dỡ xà, thép thanh</v>
      </c>
      <c r="G835" s="980" t="str">
        <f>VLOOKUP($B835,DG!A:D,DG!$D$2,)</f>
        <v>tấn</v>
      </c>
      <c r="H835" s="1693"/>
      <c r="I835" s="1693"/>
      <c r="J835" s="1693"/>
      <c r="K835" s="1693"/>
      <c r="L835" s="1693"/>
      <c r="M835" s="1693"/>
      <c r="N835" s="1693"/>
      <c r="O835" s="1693"/>
      <c r="P835" s="1693"/>
      <c r="Q835" s="994"/>
      <c r="R835" s="994"/>
      <c r="S835" s="994"/>
      <c r="T835" s="1862">
        <f t="shared" si="154"/>
        <v>0</v>
      </c>
    </row>
    <row r="836" spans="1:20" ht="22.2" hidden="1" customHeight="1">
      <c r="A836" s="1448">
        <f>COUNTIF($C$12:C836,"x")</f>
        <v>45</v>
      </c>
      <c r="B836" s="1464" t="s">
        <v>1997</v>
      </c>
      <c r="C836" s="970" t="str">
        <f t="shared" si="153"/>
        <v xml:space="preserve"> </v>
      </c>
      <c r="D836" s="1413"/>
      <c r="E836" s="980" t="str">
        <f>VLOOKUP($B836,DG!A:C,2,)</f>
        <v>02.1361</v>
      </c>
      <c r="F836" s="985" t="str">
        <f>VLOOKUP($B836,DG!A:C,3,)</f>
        <v>V/c xà vào vị trí (cư ly &lt;=100m)</v>
      </c>
      <c r="G836" s="980" t="str">
        <f>VLOOKUP($B836,DG!A:D,4,0)</f>
        <v>tấn</v>
      </c>
      <c r="H836" s="1693"/>
      <c r="I836" s="1693"/>
      <c r="J836" s="1693"/>
      <c r="K836" s="1693"/>
      <c r="L836" s="1693"/>
      <c r="M836" s="1693"/>
      <c r="N836" s="1693"/>
      <c r="O836" s="1693"/>
      <c r="P836" s="1693"/>
      <c r="Q836" s="994"/>
      <c r="R836" s="994"/>
      <c r="S836" s="994"/>
      <c r="T836" s="1862">
        <f t="shared" si="154"/>
        <v>0</v>
      </c>
    </row>
    <row r="837" spans="1:20" ht="22.2" hidden="1" customHeight="1">
      <c r="A837" s="1448">
        <f>COUNTIF($C$12:C837,"x")</f>
        <v>45</v>
      </c>
      <c r="B837" s="1464" t="s">
        <v>635</v>
      </c>
      <c r="C837" s="970" t="str">
        <f t="shared" si="153"/>
        <v xml:space="preserve"> </v>
      </c>
      <c r="D837" s="1414"/>
      <c r="E837" s="980" t="str">
        <f>VLOOKUP($B837,DG!A:C,2,)</f>
        <v>02.1482</v>
      </c>
      <c r="F837" s="985" t="str">
        <f>VLOOKUP($B837,DG!A:C,3,)</f>
        <v>V/c dụng cụ thi công vào vị trí (cự ly &lt;=100m)</v>
      </c>
      <c r="G837" s="980" t="str">
        <f>VLOOKUP($B837,DG!A:D,4,0)</f>
        <v>tấn</v>
      </c>
      <c r="H837" s="1693"/>
      <c r="I837" s="1693"/>
      <c r="J837" s="1693"/>
      <c r="K837" s="1693"/>
      <c r="L837" s="1693"/>
      <c r="M837" s="1693"/>
      <c r="N837" s="1693"/>
      <c r="O837" s="1693"/>
      <c r="P837" s="1693"/>
      <c r="Q837" s="994"/>
      <c r="R837" s="994"/>
      <c r="S837" s="994"/>
      <c r="T837" s="1862">
        <f t="shared" si="154"/>
        <v>0</v>
      </c>
    </row>
    <row r="838" spans="1:20" ht="22.2" hidden="1" customHeight="1">
      <c r="A838" s="1448">
        <f>COUNTIF($C$12:C838,"x")</f>
        <v>45</v>
      </c>
      <c r="B838" s="1452" t="s">
        <v>2294</v>
      </c>
      <c r="C838" s="1701" t="str">
        <f t="shared" si="153"/>
        <v xml:space="preserve"> </v>
      </c>
      <c r="D838" s="1412"/>
      <c r="E838" s="981"/>
      <c r="F838" s="1276" t="s">
        <v>2419</v>
      </c>
      <c r="G838" s="982" t="s">
        <v>2385</v>
      </c>
      <c r="H838" s="1691">
        <f>SUM(I838:O838)</f>
        <v>0</v>
      </c>
      <c r="I838" s="1692"/>
      <c r="J838" s="1692"/>
      <c r="K838" s="1692">
        <f>IFERROR(HLOOKUP(B838,pp3p1m!$1:$3,2,0),0)</f>
        <v>0</v>
      </c>
      <c r="L838" s="1692">
        <f>IFERROR(HLOOKUP(chitiet!B838,pp1p!$1:$3,3,0),0)</f>
        <v>0</v>
      </c>
      <c r="M838" s="1692"/>
      <c r="N838" s="1692"/>
      <c r="O838" s="1692"/>
      <c r="P838" s="2674">
        <f>T838</f>
        <v>0</v>
      </c>
      <c r="Q838" s="983">
        <f>IF(P838&gt;H838,P838-H838,0)</f>
        <v>0</v>
      </c>
      <c r="R838" s="983">
        <f>IF(H838&gt;P838,H838-P838,0)</f>
        <v>0</v>
      </c>
      <c r="S838" s="983"/>
      <c r="T838" s="1862">
        <f>IFERROR(HLOOKUP(B838,pp1p!$1:$3,3,0),0)+IFERROR(HLOOKUP(B838,pp3p1m!$1:$3,3,0),0)</f>
        <v>0</v>
      </c>
    </row>
    <row r="839" spans="1:20" ht="22.2" hidden="1" customHeight="1">
      <c r="A839" s="1448">
        <f>COUNTIF($C$12:C839,"x")</f>
        <v>45</v>
      </c>
      <c r="B839" s="1455" t="s">
        <v>109</v>
      </c>
      <c r="C839" s="1701" t="str">
        <f t="shared" si="153"/>
        <v xml:space="preserve"> </v>
      </c>
      <c r="D839" s="1414">
        <v>1</v>
      </c>
      <c r="E839" s="980"/>
      <c r="F839" s="992" t="str">
        <f>VLOOKUP($B839,DG!A:D,DG!$C$2,)</f>
        <v>Sắt góc L75 x75 x8</v>
      </c>
      <c r="G839" s="980" t="str">
        <f>VLOOKUP($B839,DG!A:D,DG!$D$2,)</f>
        <v>kg</v>
      </c>
      <c r="H839" s="1693">
        <f t="shared" ref="H839:N840" si="160">H$838*$D839</f>
        <v>0</v>
      </c>
      <c r="I839" s="1693">
        <f t="shared" si="160"/>
        <v>0</v>
      </c>
      <c r="J839" s="1693">
        <f t="shared" si="160"/>
        <v>0</v>
      </c>
      <c r="K839" s="1693">
        <f t="shared" si="160"/>
        <v>0</v>
      </c>
      <c r="L839" s="1693">
        <f t="shared" si="160"/>
        <v>0</v>
      </c>
      <c r="M839" s="1693">
        <f t="shared" si="160"/>
        <v>0</v>
      </c>
      <c r="N839" s="1693">
        <f t="shared" si="160"/>
        <v>0</v>
      </c>
      <c r="O839" s="1693"/>
      <c r="P839" s="1693">
        <f>$P$838*D839</f>
        <v>0</v>
      </c>
      <c r="Q839" s="993">
        <f>$Q$838*D839</f>
        <v>0</v>
      </c>
      <c r="R839" s="989"/>
      <c r="S839" s="989"/>
      <c r="T839" s="1862">
        <f t="shared" si="154"/>
        <v>0</v>
      </c>
    </row>
    <row r="840" spans="1:20" ht="22.2" hidden="1" customHeight="1">
      <c r="A840" s="1448">
        <f>COUNTIF($C$12:C840,"x")</f>
        <v>45</v>
      </c>
      <c r="B840" s="1455" t="s">
        <v>457</v>
      </c>
      <c r="C840" s="1701" t="str">
        <f t="shared" si="153"/>
        <v xml:space="preserve"> </v>
      </c>
      <c r="D840" s="1414">
        <v>2</v>
      </c>
      <c r="E840" s="980"/>
      <c r="F840" s="992" t="str">
        <f>VLOOKUP($B840,DG!A:D,DG!$C$2,)&amp;": thanh chống 810"</f>
        <v>Sắt góc L50 x50 x5: thanh chống 810</v>
      </c>
      <c r="G840" s="980" t="str">
        <f>VLOOKUP($B840,DG!A:D,DG!$D$2,)</f>
        <v>kg</v>
      </c>
      <c r="H840" s="1693">
        <f t="shared" si="160"/>
        <v>0</v>
      </c>
      <c r="I840" s="1693">
        <f t="shared" si="160"/>
        <v>0</v>
      </c>
      <c r="J840" s="1693">
        <f t="shared" si="160"/>
        <v>0</v>
      </c>
      <c r="K840" s="1693">
        <f t="shared" si="160"/>
        <v>0</v>
      </c>
      <c r="L840" s="1693">
        <f t="shared" si="160"/>
        <v>0</v>
      </c>
      <c r="M840" s="1693">
        <f t="shared" si="160"/>
        <v>0</v>
      </c>
      <c r="N840" s="1693">
        <f t="shared" si="160"/>
        <v>0</v>
      </c>
      <c r="O840" s="1693"/>
      <c r="P840" s="1693">
        <f>$P$838*D840</f>
        <v>0</v>
      </c>
      <c r="Q840" s="989">
        <f>$Q$838*D840</f>
        <v>0</v>
      </c>
      <c r="R840" s="989"/>
      <c r="S840" s="989"/>
      <c r="T840" s="1862">
        <f t="shared" si="154"/>
        <v>0</v>
      </c>
    </row>
    <row r="841" spans="1:20" ht="22.2" hidden="1" customHeight="1">
      <c r="A841" s="1448">
        <f>COUNTIF($C$12:C841,"x")</f>
        <v>45</v>
      </c>
      <c r="B841" s="1455" t="s">
        <v>2420</v>
      </c>
      <c r="C841" s="970" t="str">
        <f t="shared" si="153"/>
        <v xml:space="preserve"> </v>
      </c>
      <c r="D841" s="1414"/>
      <c r="E841" s="980"/>
      <c r="F841" s="992" t="str">
        <f>VLOOKUP($B841,DG!A:D,DG!$C$2,)&amp;": thanh chống 810"</f>
        <v>Cổ dê bắt xà + bulon: thanh chống 810</v>
      </c>
      <c r="G841" s="980" t="str">
        <f>VLOOKUP($B841,DG!A:D,DG!$D$2,)</f>
        <v>bộ</v>
      </c>
      <c r="H841" s="1693"/>
      <c r="I841" s="1693"/>
      <c r="J841" s="1693"/>
      <c r="K841" s="1693"/>
      <c r="L841" s="1693"/>
      <c r="M841" s="1693"/>
      <c r="N841" s="1693"/>
      <c r="O841" s="1693"/>
      <c r="P841" s="1693"/>
      <c r="Q841" s="989"/>
      <c r="R841" s="989"/>
      <c r="S841" s="989"/>
      <c r="T841" s="1862">
        <f t="shared" si="154"/>
        <v>0</v>
      </c>
    </row>
    <row r="842" spans="1:20" ht="22.2" hidden="1" customHeight="1">
      <c r="A842" s="1448">
        <f>COUNTIF($C$12:C842,"x")</f>
        <v>45</v>
      </c>
      <c r="B842" s="1455" t="s">
        <v>569</v>
      </c>
      <c r="C842" s="970" t="str">
        <f t="shared" si="153"/>
        <v xml:space="preserve"> </v>
      </c>
      <c r="D842" s="1414"/>
      <c r="E842" s="980"/>
      <c r="F842" s="992" t="str">
        <f>VLOOKUP($B842,DG!A:D,DG!$C$2,)&amp;": thanh chống 810"</f>
        <v>Cổ dê chống lắc 8x80x800 : thanh chống 810</v>
      </c>
      <c r="G842" s="980" t="str">
        <f>VLOOKUP($B842,DG!A:D,DG!$D$2,)</f>
        <v>bộ</v>
      </c>
      <c r="H842" s="1693"/>
      <c r="I842" s="1693"/>
      <c r="J842" s="1693"/>
      <c r="K842" s="1693"/>
      <c r="L842" s="1693"/>
      <c r="M842" s="1693"/>
      <c r="N842" s="1693"/>
      <c r="O842" s="1693"/>
      <c r="P842" s="1693"/>
      <c r="Q842" s="989"/>
      <c r="R842" s="989"/>
      <c r="S842" s="989"/>
      <c r="T842" s="1862">
        <f t="shared" si="154"/>
        <v>0</v>
      </c>
    </row>
    <row r="843" spans="1:20" ht="22.2" hidden="1" customHeight="1">
      <c r="A843" s="1448">
        <f>COUNTIF($C$12:C843,"x")</f>
        <v>45</v>
      </c>
      <c r="B843" s="1455" t="s">
        <v>1609</v>
      </c>
      <c r="C843" s="1701" t="str">
        <f t="shared" si="153"/>
        <v xml:space="preserve"> </v>
      </c>
      <c r="D843" s="1415">
        <v>2</v>
      </c>
      <c r="E843" s="980"/>
      <c r="F843" s="992" t="str">
        <f>VLOOKUP($B843,DG!A:D,DG!$C$2,)</f>
        <v>Boulon 16x250+ 2 long đền vuông D18-50x50x3/Zn</v>
      </c>
      <c r="G843" s="980" t="str">
        <f>VLOOKUP($B843,DG!A:D,DG!$D$2,)</f>
        <v>bộ</v>
      </c>
      <c r="H843" s="1693">
        <f t="shared" ref="H843:N844" si="161">H$838*$D843</f>
        <v>0</v>
      </c>
      <c r="I843" s="1693">
        <f t="shared" si="161"/>
        <v>0</v>
      </c>
      <c r="J843" s="1693">
        <f t="shared" si="161"/>
        <v>0</v>
      </c>
      <c r="K843" s="1693">
        <f t="shared" si="161"/>
        <v>0</v>
      </c>
      <c r="L843" s="1693">
        <f t="shared" si="161"/>
        <v>0</v>
      </c>
      <c r="M843" s="1693">
        <f t="shared" si="161"/>
        <v>0</v>
      </c>
      <c r="N843" s="1693">
        <f t="shared" si="161"/>
        <v>0</v>
      </c>
      <c r="O843" s="1693"/>
      <c r="P843" s="1693">
        <f>$P$838*D843</f>
        <v>0</v>
      </c>
      <c r="Q843" s="989">
        <f>$Q$838*D843</f>
        <v>0</v>
      </c>
      <c r="R843" s="989"/>
      <c r="S843" s="989"/>
      <c r="T843" s="1862">
        <f t="shared" si="154"/>
        <v>0</v>
      </c>
    </row>
    <row r="844" spans="1:20" ht="22.2" hidden="1" customHeight="1">
      <c r="A844" s="1448">
        <f>COUNTIF($C$12:C844,"x")</f>
        <v>45</v>
      </c>
      <c r="B844" s="1455" t="s">
        <v>1786</v>
      </c>
      <c r="C844" s="1701" t="str">
        <f t="shared" si="153"/>
        <v xml:space="preserve"> </v>
      </c>
      <c r="D844" s="1415">
        <v>2</v>
      </c>
      <c r="E844" s="980"/>
      <c r="F844" s="992" t="str">
        <f>VLOOKUP($B844,DG!A:D,DG!$C$2,)</f>
        <v>Boulon 16x50+ 2 long đền vuông D18-50x50x3/Zn</v>
      </c>
      <c r="G844" s="980" t="str">
        <f>VLOOKUP($B844,DG!A:D,DG!$D$2,)</f>
        <v>bộ</v>
      </c>
      <c r="H844" s="1693">
        <f t="shared" si="161"/>
        <v>0</v>
      </c>
      <c r="I844" s="1693">
        <f t="shared" si="161"/>
        <v>0</v>
      </c>
      <c r="J844" s="1693">
        <f t="shared" si="161"/>
        <v>0</v>
      </c>
      <c r="K844" s="1693">
        <f t="shared" si="161"/>
        <v>0</v>
      </c>
      <c r="L844" s="1693">
        <f t="shared" si="161"/>
        <v>0</v>
      </c>
      <c r="M844" s="1693">
        <f t="shared" si="161"/>
        <v>0</v>
      </c>
      <c r="N844" s="1693">
        <f t="shared" si="161"/>
        <v>0</v>
      </c>
      <c r="O844" s="1693"/>
      <c r="P844" s="1693">
        <f>$P$838*D844</f>
        <v>0</v>
      </c>
      <c r="Q844" s="989">
        <f>$Q$838*D844</f>
        <v>0</v>
      </c>
      <c r="R844" s="989"/>
      <c r="S844" s="989"/>
      <c r="T844" s="1862">
        <f t="shared" si="154"/>
        <v>0</v>
      </c>
    </row>
    <row r="845" spans="1:20" ht="22.2" hidden="1" customHeight="1">
      <c r="A845" s="1448">
        <f>COUNTIF($C$12:C845,"x")</f>
        <v>45</v>
      </c>
      <c r="B845" s="1455" t="s">
        <v>516</v>
      </c>
      <c r="C845" s="1701" t="str">
        <f t="shared" si="153"/>
        <v xml:space="preserve"> </v>
      </c>
      <c r="D845" s="1415">
        <v>1</v>
      </c>
      <c r="E845" s="996" t="str">
        <f>VLOOKUP($B845,DG!A:D,DG!$B$2,)</f>
        <v>05.6102</v>
      </c>
      <c r="F845" s="985" t="str">
        <f>VLOOKUP($B845,DG!A:D,DG!$C$2,)</f>
        <v>Lắp xà đỡ ≤ 50kg</v>
      </c>
      <c r="G845" s="980" t="str">
        <f>VLOOKUP($B845,DG!A:D,DG!$D$2,)</f>
        <v>bộ</v>
      </c>
      <c r="H845" s="1693">
        <f>H$838*$D845</f>
        <v>0</v>
      </c>
      <c r="I845" s="1693"/>
      <c r="J845" s="1693"/>
      <c r="K845" s="1693"/>
      <c r="L845" s="1693"/>
      <c r="M845" s="1693"/>
      <c r="N845" s="1693"/>
      <c r="O845" s="1693"/>
      <c r="P845" s="1693">
        <f>$P$838*D845</f>
        <v>0</v>
      </c>
      <c r="Q845" s="989">
        <f>$Q$838*D845</f>
        <v>0</v>
      </c>
      <c r="R845" s="994"/>
      <c r="S845" s="994"/>
      <c r="T845" s="1862">
        <f t="shared" si="154"/>
        <v>0</v>
      </c>
    </row>
    <row r="846" spans="1:20" ht="22.2" hidden="1" customHeight="1">
      <c r="A846" s="1448">
        <f>COUNTIF($C$12:C846,"x")</f>
        <v>45</v>
      </c>
      <c r="B846" s="1455" t="s">
        <v>1996</v>
      </c>
      <c r="C846" s="970" t="str">
        <f t="shared" si="153"/>
        <v xml:space="preserve"> </v>
      </c>
      <c r="D846" s="1413">
        <f>D847</f>
        <v>0</v>
      </c>
      <c r="E846" s="980" t="str">
        <f>VLOOKUP($B846,DG!A:D,DG!$B$2,)</f>
        <v>02.1115</v>
      </c>
      <c r="F846" s="985" t="str">
        <f>VLOOKUP($B846,DG!A:D,DG!$C$2,)</f>
        <v>Bốc dỡ xà, thép thanh</v>
      </c>
      <c r="G846" s="980" t="str">
        <f>VLOOKUP($B846,DG!A:D,DG!$D$2,)</f>
        <v>tấn</v>
      </c>
      <c r="H846" s="1693"/>
      <c r="I846" s="1693"/>
      <c r="J846" s="1693"/>
      <c r="K846" s="1693"/>
      <c r="L846" s="1693"/>
      <c r="M846" s="1693"/>
      <c r="N846" s="1693"/>
      <c r="O846" s="1693"/>
      <c r="P846" s="1693"/>
      <c r="Q846" s="994"/>
      <c r="R846" s="994"/>
      <c r="S846" s="994"/>
      <c r="T846" s="1862">
        <f t="shared" si="154"/>
        <v>0</v>
      </c>
    </row>
    <row r="847" spans="1:20" ht="22.2" hidden="1" customHeight="1">
      <c r="A847" s="1448">
        <f>COUNTIF($C$12:C847,"x")</f>
        <v>45</v>
      </c>
      <c r="B847" s="1464" t="s">
        <v>1997</v>
      </c>
      <c r="C847" s="970" t="str">
        <f t="shared" si="153"/>
        <v xml:space="preserve"> </v>
      </c>
      <c r="D847" s="1413">
        <f>ROUND(SUM(D839:D840)*1.05/1000,3)*0</f>
        <v>0</v>
      </c>
      <c r="E847" s="980" t="str">
        <f>VLOOKUP($B847,DG!A:C,2,)</f>
        <v>02.1361</v>
      </c>
      <c r="F847" s="985" t="str">
        <f>VLOOKUP($B847,DG!A:C,3,)</f>
        <v>V/c xà vào vị trí (cư ly &lt;=100m)</v>
      </c>
      <c r="G847" s="980" t="str">
        <f>VLOOKUP($B847,DG!A:D,4,0)</f>
        <v>tấn</v>
      </c>
      <c r="H847" s="1693"/>
      <c r="I847" s="1693"/>
      <c r="J847" s="1693"/>
      <c r="K847" s="1693"/>
      <c r="L847" s="1693"/>
      <c r="M847" s="1693"/>
      <c r="N847" s="1693"/>
      <c r="O847" s="1693"/>
      <c r="P847" s="1693"/>
      <c r="Q847" s="994"/>
      <c r="R847" s="994"/>
      <c r="S847" s="994"/>
      <c r="T847" s="1862">
        <f t="shared" si="154"/>
        <v>0</v>
      </c>
    </row>
    <row r="848" spans="1:20" ht="22.2" hidden="1" customHeight="1">
      <c r="A848" s="1448">
        <f>COUNTIF($C$12:C848,"x")</f>
        <v>45</v>
      </c>
      <c r="B848" s="1464" t="s">
        <v>635</v>
      </c>
      <c r="C848" s="970" t="str">
        <f t="shared" si="153"/>
        <v xml:space="preserve"> </v>
      </c>
      <c r="D848" s="1414">
        <f>0.05*0</f>
        <v>0</v>
      </c>
      <c r="E848" s="980" t="str">
        <f>VLOOKUP($B848,DG!A:C,2,)</f>
        <v>02.1482</v>
      </c>
      <c r="F848" s="985" t="str">
        <f>VLOOKUP($B848,DG!A:C,3,)</f>
        <v>V/c dụng cụ thi công vào vị trí (cự ly &lt;=100m)</v>
      </c>
      <c r="G848" s="980" t="str">
        <f>VLOOKUP($B848,DG!A:D,4,0)</f>
        <v>tấn</v>
      </c>
      <c r="H848" s="1693"/>
      <c r="I848" s="1693"/>
      <c r="J848" s="1693"/>
      <c r="K848" s="1693"/>
      <c r="L848" s="1693"/>
      <c r="M848" s="1693"/>
      <c r="N848" s="1693"/>
      <c r="O848" s="1693"/>
      <c r="P848" s="1693"/>
      <c r="Q848" s="994"/>
      <c r="R848" s="994"/>
      <c r="S848" s="994"/>
      <c r="T848" s="1862">
        <f t="shared" si="154"/>
        <v>0</v>
      </c>
    </row>
    <row r="849" spans="1:20" ht="22.2" hidden="1" customHeight="1">
      <c r="A849" s="1448">
        <f>COUNTIF($C$12:C849,"x")</f>
        <v>45</v>
      </c>
      <c r="B849" s="1452" t="s">
        <v>2310</v>
      </c>
      <c r="C849" s="970" t="str">
        <f t="shared" si="153"/>
        <v xml:space="preserve"> </v>
      </c>
      <c r="D849" s="1412"/>
      <c r="E849" s="981"/>
      <c r="F849" s="1276" t="s">
        <v>2421</v>
      </c>
      <c r="G849" s="982" t="s">
        <v>2385</v>
      </c>
      <c r="H849" s="1691">
        <f>SUM(I849:O849)</f>
        <v>0</v>
      </c>
      <c r="I849" s="1692"/>
      <c r="J849" s="1692"/>
      <c r="K849" s="1692">
        <f>IFERROR(HLOOKUP(B849,pp3p1m!$1:$3,2,0),0)</f>
        <v>0</v>
      </c>
      <c r="L849" s="1692">
        <f>IFERROR(HLOOKUP(chitiet!B849,pp1p!$1:$3,3,0),0)</f>
        <v>0</v>
      </c>
      <c r="M849" s="1692"/>
      <c r="N849" s="1692"/>
      <c r="O849" s="1692"/>
      <c r="P849" s="2674">
        <f>T849</f>
        <v>0</v>
      </c>
      <c r="Q849" s="983">
        <f>IF(P849&gt;H849,P849-H849,0)</f>
        <v>0</v>
      </c>
      <c r="R849" s="983">
        <f>IF(H849&gt;P849,H849-P849,0)</f>
        <v>0</v>
      </c>
      <c r="S849" s="983"/>
      <c r="T849" s="1862">
        <f>IFERROR(HLOOKUP(B849,pp1p!$1:$3,3,0),0)+IFERROR(HLOOKUP(B849,pp3p1m!$1:$3,3,0),0)</f>
        <v>0</v>
      </c>
    </row>
    <row r="850" spans="1:20" ht="22.2" hidden="1" customHeight="1">
      <c r="A850" s="1448">
        <f>COUNTIF($C$12:C850,"x")</f>
        <v>45</v>
      </c>
      <c r="B850" s="1455" t="s">
        <v>109</v>
      </c>
      <c r="C850" s="970" t="str">
        <f t="shared" si="153"/>
        <v xml:space="preserve"> </v>
      </c>
      <c r="D850" s="1414">
        <f>9.02*(2.2+4*0.07)</f>
        <v>22.369600000000002</v>
      </c>
      <c r="E850" s="980"/>
      <c r="F850" s="992" t="str">
        <f>VLOOKUP($B850,DG!A:D,DG!$C$2,)</f>
        <v>Sắt góc L75 x75 x8</v>
      </c>
      <c r="G850" s="980" t="str">
        <f>VLOOKUP($B850,DG!A:D,DG!$D$2,)</f>
        <v>kg</v>
      </c>
      <c r="H850" s="1693">
        <f t="shared" ref="H850:H857" si="162">$H$849*$D850</f>
        <v>0</v>
      </c>
      <c r="I850" s="1693">
        <f t="shared" ref="I850:I857" si="163">$I$849*$D850</f>
        <v>0</v>
      </c>
      <c r="J850" s="1693">
        <f t="shared" ref="J850:N853" si="164">J$838*$D850</f>
        <v>0</v>
      </c>
      <c r="K850" s="1693">
        <f t="shared" si="164"/>
        <v>0</v>
      </c>
      <c r="L850" s="1693">
        <f t="shared" si="164"/>
        <v>0</v>
      </c>
      <c r="M850" s="1693">
        <f t="shared" si="164"/>
        <v>0</v>
      </c>
      <c r="N850" s="1693">
        <f t="shared" si="164"/>
        <v>0</v>
      </c>
      <c r="O850" s="1693"/>
      <c r="P850" s="1693"/>
      <c r="Q850" s="989"/>
      <c r="R850" s="989"/>
      <c r="S850" s="989"/>
      <c r="T850" s="1862">
        <f t="shared" si="154"/>
        <v>0</v>
      </c>
    </row>
    <row r="851" spans="1:20" ht="22.2" hidden="1" customHeight="1">
      <c r="A851" s="1448">
        <f>COUNTIF($C$12:C851,"x")</f>
        <v>45</v>
      </c>
      <c r="B851" s="1455" t="s">
        <v>457</v>
      </c>
      <c r="C851" s="970" t="str">
        <f t="shared" si="153"/>
        <v xml:space="preserve"> </v>
      </c>
      <c r="D851" s="1414">
        <f>3.77*0.92*2</f>
        <v>6.9368000000000007</v>
      </c>
      <c r="E851" s="980"/>
      <c r="F851" s="992" t="str">
        <f>VLOOKUP($B851,DG!A:D,DG!$C$2,)&amp;" thanh chống 920"</f>
        <v>Sắt góc L50 x50 x5 thanh chống 920</v>
      </c>
      <c r="G851" s="980" t="str">
        <f>VLOOKUP($B851,DG!A:D,DG!$D$2,)</f>
        <v>kg</v>
      </c>
      <c r="H851" s="1693">
        <f t="shared" si="162"/>
        <v>0</v>
      </c>
      <c r="I851" s="1693">
        <f t="shared" si="163"/>
        <v>0</v>
      </c>
      <c r="J851" s="1693">
        <f t="shared" si="164"/>
        <v>0</v>
      </c>
      <c r="K851" s="1693">
        <f t="shared" si="164"/>
        <v>0</v>
      </c>
      <c r="L851" s="1693">
        <f t="shared" si="164"/>
        <v>0</v>
      </c>
      <c r="M851" s="1693">
        <f t="shared" si="164"/>
        <v>0</v>
      </c>
      <c r="N851" s="1693">
        <f t="shared" si="164"/>
        <v>0</v>
      </c>
      <c r="O851" s="1693"/>
      <c r="P851" s="1693"/>
      <c r="Q851" s="989"/>
      <c r="R851" s="989"/>
      <c r="S851" s="989"/>
      <c r="T851" s="1862">
        <f t="shared" si="154"/>
        <v>0</v>
      </c>
    </row>
    <row r="852" spans="1:20" ht="22.2" hidden="1" customHeight="1">
      <c r="A852" s="1448">
        <f>COUNTIF($C$12:C852,"x")</f>
        <v>45</v>
      </c>
      <c r="B852" s="1455" t="s">
        <v>1609</v>
      </c>
      <c r="C852" s="970" t="str">
        <f t="shared" si="153"/>
        <v xml:space="preserve"> </v>
      </c>
      <c r="D852" s="1415">
        <v>2</v>
      </c>
      <c r="E852" s="980"/>
      <c r="F852" s="992" t="str">
        <f>VLOOKUP($B852,DG!A:D,DG!$C$2,)</f>
        <v>Boulon 16x250+ 2 long đền vuông D18-50x50x3/Zn</v>
      </c>
      <c r="G852" s="980" t="str">
        <f>VLOOKUP($B852,DG!A:D,DG!$D$2,)</f>
        <v>bộ</v>
      </c>
      <c r="H852" s="1693">
        <f t="shared" si="162"/>
        <v>0</v>
      </c>
      <c r="I852" s="1693">
        <f t="shared" si="163"/>
        <v>0</v>
      </c>
      <c r="J852" s="1693">
        <f t="shared" si="164"/>
        <v>0</v>
      </c>
      <c r="K852" s="1693">
        <f t="shared" si="164"/>
        <v>0</v>
      </c>
      <c r="L852" s="1693">
        <f t="shared" si="164"/>
        <v>0</v>
      </c>
      <c r="M852" s="1693">
        <f t="shared" si="164"/>
        <v>0</v>
      </c>
      <c r="N852" s="1693">
        <f t="shared" si="164"/>
        <v>0</v>
      </c>
      <c r="O852" s="1693"/>
      <c r="P852" s="1693"/>
      <c r="Q852" s="989"/>
      <c r="R852" s="989"/>
      <c r="S852" s="989"/>
      <c r="T852" s="1862">
        <f t="shared" si="154"/>
        <v>0</v>
      </c>
    </row>
    <row r="853" spans="1:20" ht="22.2" hidden="1" customHeight="1">
      <c r="A853" s="1448">
        <f>COUNTIF($C$12:C853,"x")</f>
        <v>45</v>
      </c>
      <c r="B853" s="1455" t="s">
        <v>1786</v>
      </c>
      <c r="C853" s="970" t="str">
        <f t="shared" si="153"/>
        <v xml:space="preserve"> </v>
      </c>
      <c r="D853" s="1415">
        <v>2</v>
      </c>
      <c r="E853" s="980"/>
      <c r="F853" s="992" t="str">
        <f>VLOOKUP($B853,DG!A:D,DG!$C$2,)</f>
        <v>Boulon 16x50+ 2 long đền vuông D18-50x50x3/Zn</v>
      </c>
      <c r="G853" s="980" t="str">
        <f>VLOOKUP($B853,DG!A:D,DG!$D$2,)</f>
        <v>bộ</v>
      </c>
      <c r="H853" s="1693">
        <f t="shared" si="162"/>
        <v>0</v>
      </c>
      <c r="I853" s="1693">
        <f t="shared" si="163"/>
        <v>0</v>
      </c>
      <c r="J853" s="1693">
        <f t="shared" si="164"/>
        <v>0</v>
      </c>
      <c r="K853" s="1693">
        <f t="shared" si="164"/>
        <v>0</v>
      </c>
      <c r="L853" s="1693">
        <f t="shared" si="164"/>
        <v>0</v>
      </c>
      <c r="M853" s="1693">
        <f t="shared" si="164"/>
        <v>0</v>
      </c>
      <c r="N853" s="1693">
        <f t="shared" si="164"/>
        <v>0</v>
      </c>
      <c r="O853" s="1693"/>
      <c r="P853" s="1693"/>
      <c r="Q853" s="989"/>
      <c r="R853" s="989"/>
      <c r="S853" s="989"/>
      <c r="T853" s="1862">
        <f t="shared" si="154"/>
        <v>0</v>
      </c>
    </row>
    <row r="854" spans="1:20" ht="22.2" hidden="1" customHeight="1">
      <c r="A854" s="1448">
        <f>COUNTIF($C$12:C854,"x")</f>
        <v>45</v>
      </c>
      <c r="B854" s="1455" t="s">
        <v>516</v>
      </c>
      <c r="C854" s="970" t="str">
        <f t="shared" si="153"/>
        <v xml:space="preserve"> </v>
      </c>
      <c r="D854" s="1415">
        <v>1</v>
      </c>
      <c r="E854" s="980" t="str">
        <f>VLOOKUP($B854,DG!A:D,DG!$B$2,)</f>
        <v>05.6102</v>
      </c>
      <c r="F854" s="985" t="str">
        <f>VLOOKUP($B854,DG!A:D,DG!$C$2,)</f>
        <v>Lắp xà đỡ ≤ 50kg</v>
      </c>
      <c r="G854" s="980" t="str">
        <f>VLOOKUP($B854,DG!A:D,DG!$D$2,)</f>
        <v>bộ</v>
      </c>
      <c r="H854" s="1693">
        <f t="shared" si="162"/>
        <v>0</v>
      </c>
      <c r="I854" s="1693">
        <f t="shared" si="163"/>
        <v>0</v>
      </c>
      <c r="J854" s="1693"/>
      <c r="K854" s="1693"/>
      <c r="L854" s="1693"/>
      <c r="M854" s="1693"/>
      <c r="N854" s="1693"/>
      <c r="O854" s="1693"/>
      <c r="P854" s="1693"/>
      <c r="Q854" s="994"/>
      <c r="R854" s="994"/>
      <c r="S854" s="994"/>
      <c r="T854" s="1862">
        <f t="shared" si="154"/>
        <v>0</v>
      </c>
    </row>
    <row r="855" spans="1:20" ht="22.2" hidden="1" customHeight="1">
      <c r="A855" s="1448">
        <f>COUNTIF($C$12:C855,"x")</f>
        <v>45</v>
      </c>
      <c r="B855" s="1455" t="s">
        <v>1996</v>
      </c>
      <c r="C855" s="970" t="str">
        <f t="shared" si="153"/>
        <v xml:space="preserve"> </v>
      </c>
      <c r="D855" s="1413">
        <f>D856</f>
        <v>0</v>
      </c>
      <c r="E855" s="980" t="str">
        <f>VLOOKUP($B855,DG!A:D,DG!$B$2,)</f>
        <v>02.1115</v>
      </c>
      <c r="F855" s="985" t="str">
        <f>VLOOKUP($B855,DG!A:D,DG!$C$2,)</f>
        <v>Bốc dỡ xà, thép thanh</v>
      </c>
      <c r="G855" s="980" t="str">
        <f>VLOOKUP($B855,DG!A:D,DG!$D$2,)</f>
        <v>tấn</v>
      </c>
      <c r="H855" s="1693">
        <f t="shared" si="162"/>
        <v>0</v>
      </c>
      <c r="I855" s="1693">
        <f t="shared" si="163"/>
        <v>0</v>
      </c>
      <c r="J855" s="1693"/>
      <c r="K855" s="1693"/>
      <c r="L855" s="1693"/>
      <c r="M855" s="1693"/>
      <c r="N855" s="1693"/>
      <c r="O855" s="1693"/>
      <c r="P855" s="1693"/>
      <c r="Q855" s="994"/>
      <c r="R855" s="994"/>
      <c r="S855" s="994"/>
      <c r="T855" s="1862">
        <f t="shared" si="154"/>
        <v>0</v>
      </c>
    </row>
    <row r="856" spans="1:20" ht="22.2" hidden="1" customHeight="1">
      <c r="A856" s="1448">
        <f>COUNTIF($C$12:C856,"x")</f>
        <v>45</v>
      </c>
      <c r="B856" s="1464" t="s">
        <v>1997</v>
      </c>
      <c r="C856" s="970" t="str">
        <f t="shared" si="153"/>
        <v xml:space="preserve"> </v>
      </c>
      <c r="D856" s="1413">
        <f>ROUND(SUM(D850:D851)*1.05/1000,3)*0</f>
        <v>0</v>
      </c>
      <c r="E856" s="980" t="str">
        <f>VLOOKUP($B856,DG!A:C,2,)</f>
        <v>02.1361</v>
      </c>
      <c r="F856" s="985" t="str">
        <f>VLOOKUP($B856,DG!A:C,3,)</f>
        <v>V/c xà vào vị trí (cư ly &lt;=100m)</v>
      </c>
      <c r="G856" s="980" t="str">
        <f>VLOOKUP($B856,DG!A:D,4,0)</f>
        <v>tấn</v>
      </c>
      <c r="H856" s="1693">
        <f t="shared" si="162"/>
        <v>0</v>
      </c>
      <c r="I856" s="1693">
        <f t="shared" si="163"/>
        <v>0</v>
      </c>
      <c r="J856" s="1693"/>
      <c r="K856" s="1693"/>
      <c r="L856" s="1693"/>
      <c r="M856" s="1693"/>
      <c r="N856" s="1693"/>
      <c r="O856" s="1693"/>
      <c r="P856" s="1693"/>
      <c r="Q856" s="994"/>
      <c r="R856" s="994"/>
      <c r="S856" s="994"/>
      <c r="T856" s="1862">
        <f t="shared" si="154"/>
        <v>0</v>
      </c>
    </row>
    <row r="857" spans="1:20" ht="22.2" hidden="1" customHeight="1">
      <c r="A857" s="1448">
        <f>COUNTIF($C$12:C857,"x")</f>
        <v>45</v>
      </c>
      <c r="B857" s="1464" t="s">
        <v>635</v>
      </c>
      <c r="C857" s="970" t="str">
        <f t="shared" si="153"/>
        <v xml:space="preserve"> </v>
      </c>
      <c r="D857" s="1414">
        <f>0.05*0</f>
        <v>0</v>
      </c>
      <c r="E857" s="980" t="str">
        <f>VLOOKUP($B857,DG!A:C,2,)</f>
        <v>02.1482</v>
      </c>
      <c r="F857" s="985" t="str">
        <f>VLOOKUP($B857,DG!A:C,3,)</f>
        <v>V/c dụng cụ thi công vào vị trí (cự ly &lt;=100m)</v>
      </c>
      <c r="G857" s="980" t="str">
        <f>VLOOKUP($B857,DG!A:D,4,0)</f>
        <v>tấn</v>
      </c>
      <c r="H857" s="1693">
        <f t="shared" si="162"/>
        <v>0</v>
      </c>
      <c r="I857" s="1693">
        <f t="shared" si="163"/>
        <v>0</v>
      </c>
      <c r="J857" s="1693"/>
      <c r="K857" s="1693"/>
      <c r="L857" s="1693"/>
      <c r="M857" s="1693"/>
      <c r="N857" s="1693"/>
      <c r="O857" s="1693"/>
      <c r="P857" s="1693"/>
      <c r="Q857" s="994"/>
      <c r="R857" s="994"/>
      <c r="S857" s="994"/>
      <c r="T857" s="1862">
        <f t="shared" si="154"/>
        <v>0</v>
      </c>
    </row>
    <row r="858" spans="1:20" ht="22.2" hidden="1" customHeight="1">
      <c r="A858" s="1448">
        <f>COUNTIF($C$12:C858,"x")</f>
        <v>45</v>
      </c>
      <c r="B858" s="1452" t="s">
        <v>1082</v>
      </c>
      <c r="C858" s="970" t="str">
        <f t="shared" si="153"/>
        <v xml:space="preserve"> </v>
      </c>
      <c r="D858" s="1412"/>
      <c r="E858" s="981"/>
      <c r="F858" s="1276" t="s">
        <v>2422</v>
      </c>
      <c r="G858" s="982" t="s">
        <v>2385</v>
      </c>
      <c r="H858" s="1691">
        <f>SUM(I858:O858)</f>
        <v>0</v>
      </c>
      <c r="I858" s="1692"/>
      <c r="J858" s="1692"/>
      <c r="K858" s="1692">
        <f>IFERROR(HLOOKUP(B858,pp3p1m!$1:$3,2,0),0)</f>
        <v>0</v>
      </c>
      <c r="L858" s="1692">
        <f>IFERROR(HLOOKUP(chitiet!B858,pp1p!$1:$3,3,0),0)</f>
        <v>0</v>
      </c>
      <c r="M858" s="1692"/>
      <c r="N858" s="1692"/>
      <c r="O858" s="1692"/>
      <c r="P858" s="2674">
        <f>T858</f>
        <v>0</v>
      </c>
      <c r="Q858" s="983">
        <f>IF(P858&gt;H858,P858-H858,0)</f>
        <v>0</v>
      </c>
      <c r="R858" s="983">
        <f>IF(H858&gt;P858,H858-P858,0)</f>
        <v>0</v>
      </c>
      <c r="S858" s="983"/>
      <c r="T858" s="1862">
        <f>IFERROR(HLOOKUP(B858,pp1p!$1:$3,3,0),0)+IFERROR(HLOOKUP(B858,pp3p1m!$1:$3,3,0),0)</f>
        <v>0</v>
      </c>
    </row>
    <row r="859" spans="1:20" ht="22.2" hidden="1" customHeight="1">
      <c r="A859" s="1448">
        <f>COUNTIF($C$12:C859,"x")</f>
        <v>45</v>
      </c>
      <c r="B859" s="1468" t="s">
        <v>1879</v>
      </c>
      <c r="C859" s="970" t="str">
        <f t="shared" si="153"/>
        <v xml:space="preserve"> </v>
      </c>
      <c r="D859" s="1414">
        <v>1</v>
      </c>
      <c r="E859" s="980"/>
      <c r="F859" s="985" t="str">
        <f>VLOOKUP($B859,DG!A:D,DG!$C$2,)</f>
        <v>Lắp xà trụ ghép ≤ 140kg</v>
      </c>
      <c r="G859" s="980" t="str">
        <f>VLOOKUP($B859,DG!A:D,DG!$D$2,)</f>
        <v>bộ</v>
      </c>
      <c r="H859" s="1693">
        <f>$H$8448*$D859</f>
        <v>0</v>
      </c>
      <c r="I859" s="1693">
        <f t="shared" ref="I859:N860" si="165">I$858*$D859</f>
        <v>0</v>
      </c>
      <c r="J859" s="1693">
        <f t="shared" si="165"/>
        <v>0</v>
      </c>
      <c r="K859" s="1693">
        <f t="shared" si="165"/>
        <v>0</v>
      </c>
      <c r="L859" s="1693">
        <f t="shared" si="165"/>
        <v>0</v>
      </c>
      <c r="M859" s="1693">
        <f t="shared" si="165"/>
        <v>0</v>
      </c>
      <c r="N859" s="1693">
        <f t="shared" si="165"/>
        <v>0</v>
      </c>
      <c r="O859" s="1693"/>
      <c r="P859" s="1693"/>
      <c r="Q859" s="989"/>
      <c r="R859" s="989"/>
      <c r="S859" s="989"/>
      <c r="T859" s="1862">
        <f t="shared" si="154"/>
        <v>0</v>
      </c>
    </row>
    <row r="860" spans="1:20" ht="22.2" hidden="1" customHeight="1">
      <c r="A860" s="1448">
        <f>COUNTIF($C$12:C860,"x")</f>
        <v>45</v>
      </c>
      <c r="B860" s="1455" t="s">
        <v>1996</v>
      </c>
      <c r="C860" s="970" t="str">
        <f t="shared" si="153"/>
        <v xml:space="preserve"> </v>
      </c>
      <c r="D860" s="1414">
        <f>D861</f>
        <v>0.06</v>
      </c>
      <c r="E860" s="980"/>
      <c r="F860" s="985" t="str">
        <f>VLOOKUP($B860,DG!A:D,DG!$C$2,)</f>
        <v>Bốc dỡ xà, thép thanh</v>
      </c>
      <c r="G860" s="980" t="str">
        <f>VLOOKUP($B860,DG!A:D,DG!$D$2,)</f>
        <v>tấn</v>
      </c>
      <c r="H860" s="1693">
        <f>$H$8448*$D860</f>
        <v>0</v>
      </c>
      <c r="I860" s="1693">
        <f t="shared" si="165"/>
        <v>0</v>
      </c>
      <c r="J860" s="1693">
        <f t="shared" si="165"/>
        <v>0</v>
      </c>
      <c r="K860" s="1693">
        <f t="shared" si="165"/>
        <v>0</v>
      </c>
      <c r="L860" s="1693">
        <f t="shared" si="165"/>
        <v>0</v>
      </c>
      <c r="M860" s="1693">
        <f t="shared" si="165"/>
        <v>0</v>
      </c>
      <c r="N860" s="1693">
        <f t="shared" si="165"/>
        <v>0</v>
      </c>
      <c r="O860" s="1693"/>
      <c r="P860" s="1693"/>
      <c r="Q860" s="989"/>
      <c r="R860" s="989"/>
      <c r="S860" s="989"/>
      <c r="T860" s="1862">
        <f t="shared" si="154"/>
        <v>0</v>
      </c>
    </row>
    <row r="861" spans="1:20" ht="22.2" hidden="1" customHeight="1">
      <c r="A861" s="1448">
        <f>COUNTIF($C$12:C861,"x")</f>
        <v>45</v>
      </c>
      <c r="B861" s="1464" t="s">
        <v>1997</v>
      </c>
      <c r="C861" s="970" t="str">
        <f t="shared" si="153"/>
        <v xml:space="preserve"> </v>
      </c>
      <c r="D861" s="1413">
        <v>0.06</v>
      </c>
      <c r="E861" s="980" t="str">
        <f>VLOOKUP($B861,DG!A:C,2,)</f>
        <v>02.1361</v>
      </c>
      <c r="F861" s="985" t="str">
        <f>VLOOKUP($B861,DG!A:C,3,)</f>
        <v>V/c xà vào vị trí (cư ly &lt;=100m)</v>
      </c>
      <c r="G861" s="980" t="str">
        <f>VLOOKUP($B861,DG!A:D,4,0)</f>
        <v>tấn</v>
      </c>
      <c r="H861" s="1693">
        <f>$H$8448*$D861</f>
        <v>0</v>
      </c>
      <c r="I861" s="1693"/>
      <c r="J861" s="1693"/>
      <c r="K861" s="1693"/>
      <c r="L861" s="1693"/>
      <c r="M861" s="1693"/>
      <c r="N861" s="1693"/>
      <c r="O861" s="1693"/>
      <c r="P861" s="1693"/>
      <c r="Q861" s="994"/>
      <c r="R861" s="994"/>
      <c r="S861" s="994"/>
      <c r="T861" s="1862">
        <f t="shared" si="154"/>
        <v>0</v>
      </c>
    </row>
    <row r="862" spans="1:20" ht="22.2" hidden="1" customHeight="1">
      <c r="A862" s="1448">
        <f>COUNTIF($C$12:C862,"x")</f>
        <v>45</v>
      </c>
      <c r="B862" s="1464" t="s">
        <v>635</v>
      </c>
      <c r="C862" s="970" t="str">
        <f t="shared" si="153"/>
        <v xml:space="preserve"> </v>
      </c>
      <c r="D862" s="1414">
        <v>0.05</v>
      </c>
      <c r="E862" s="980" t="str">
        <f>VLOOKUP($B862,DG!A:C,2,)</f>
        <v>02.1482</v>
      </c>
      <c r="F862" s="985" t="str">
        <f>VLOOKUP($B862,DG!A:C,3,)</f>
        <v>V/c dụng cụ thi công vào vị trí (cự ly &lt;=100m)</v>
      </c>
      <c r="G862" s="980" t="str">
        <f>VLOOKUP($B862,DG!A:D,4,0)</f>
        <v>tấn</v>
      </c>
      <c r="H862" s="1693">
        <f>$H$8448*$D862</f>
        <v>0</v>
      </c>
      <c r="I862" s="1693"/>
      <c r="J862" s="1693"/>
      <c r="K862" s="1693"/>
      <c r="L862" s="1693"/>
      <c r="M862" s="1693"/>
      <c r="N862" s="1693"/>
      <c r="O862" s="1693"/>
      <c r="P862" s="1693"/>
      <c r="Q862" s="994"/>
      <c r="R862" s="994"/>
      <c r="S862" s="994"/>
      <c r="T862" s="1862">
        <f t="shared" si="154"/>
        <v>0</v>
      </c>
    </row>
    <row r="863" spans="1:20" ht="22.2" customHeight="1">
      <c r="A863" s="1448">
        <f>COUNTIF($C$12:C863,"x")</f>
        <v>46</v>
      </c>
      <c r="B863" s="1452" t="s">
        <v>2295</v>
      </c>
      <c r="C863" s="1701" t="str">
        <f t="shared" ref="C863:C873" si="166">IF(OR(P863&lt;&gt;0,H863&lt;&gt;0),"x"," ")</f>
        <v>x</v>
      </c>
      <c r="D863" s="1412"/>
      <c r="E863" s="981"/>
      <c r="F863" s="1276" t="s">
        <v>4327</v>
      </c>
      <c r="G863" s="982" t="s">
        <v>2385</v>
      </c>
      <c r="H863" s="1691">
        <f>SUM(I863:O863)</f>
        <v>7</v>
      </c>
      <c r="I863" s="1692"/>
      <c r="J863" s="1692"/>
      <c r="K863" s="1692">
        <f>IFERROR(HLOOKUP(B863,pp3p1m!$1:$3,2,0),0)</f>
        <v>7</v>
      </c>
      <c r="L863" s="1692">
        <f>IFERROR(HLOOKUP(chitiet!B863,pp1p!$1:$3,3,0),0)</f>
        <v>0</v>
      </c>
      <c r="M863" s="1692"/>
      <c r="N863" s="1692"/>
      <c r="O863" s="1692"/>
      <c r="P863" s="1691">
        <f>T863</f>
        <v>7</v>
      </c>
      <c r="Q863" s="983">
        <f>IF(P863&gt;H863,P863-H863,0)</f>
        <v>0</v>
      </c>
      <c r="R863" s="983">
        <f>IF(H863&gt;P863,H863-P863,0)</f>
        <v>0</v>
      </c>
      <c r="S863" s="983"/>
      <c r="T863" s="1862">
        <f>IFERROR(HLOOKUP(B863,pp1p!$1:$3,3,0),0)+IFERROR(HLOOKUP(B863,pp3p1m!$1:$3,3,0),0)</f>
        <v>7</v>
      </c>
    </row>
    <row r="864" spans="1:20" ht="22.2" customHeight="1">
      <c r="A864" s="1448">
        <f>COUNTIF($C$12:C864,"x")</f>
        <v>47</v>
      </c>
      <c r="B864" s="1451" t="s">
        <v>4819</v>
      </c>
      <c r="C864" s="1701" t="str">
        <f t="shared" si="166"/>
        <v>x</v>
      </c>
      <c r="D864" s="1415">
        <v>2</v>
      </c>
      <c r="E864" s="980"/>
      <c r="F864" s="992" t="str">
        <f>VLOOKUP($B864,DG!A:D,DG!$C$2,)</f>
        <v>Sắt góc L75 x75 x8 x2200</v>
      </c>
      <c r="G864" s="980" t="str">
        <f>VLOOKUP($B864,DG!A:D,DG!$D$2,)</f>
        <v>cái</v>
      </c>
      <c r="H864" s="1693">
        <f t="shared" ref="H864:N865" si="167">H$863*$D864</f>
        <v>14</v>
      </c>
      <c r="I864" s="1693">
        <f t="shared" si="167"/>
        <v>0</v>
      </c>
      <c r="J864" s="1693">
        <f t="shared" si="167"/>
        <v>0</v>
      </c>
      <c r="K864" s="1693">
        <f t="shared" si="167"/>
        <v>14</v>
      </c>
      <c r="L864" s="1693">
        <f t="shared" si="167"/>
        <v>0</v>
      </c>
      <c r="M864" s="1693">
        <f t="shared" si="167"/>
        <v>0</v>
      </c>
      <c r="N864" s="1693">
        <f t="shared" si="167"/>
        <v>0</v>
      </c>
      <c r="O864" s="1693"/>
      <c r="P864" s="1693">
        <f>$P$863*D864</f>
        <v>14</v>
      </c>
      <c r="Q864" s="995">
        <f t="shared" ref="Q864:Q870" si="168">$Q$863*D864</f>
        <v>0</v>
      </c>
      <c r="R864" s="995">
        <f t="shared" ref="R864:R873" si="169">$R$863*D864</f>
        <v>0</v>
      </c>
      <c r="S864" s="989"/>
      <c r="T864" s="1862">
        <f>IFERROR(HLOOKUP(B864,BangKeTru,3,0),0)</f>
        <v>0</v>
      </c>
    </row>
    <row r="865" spans="1:20" ht="22.2" customHeight="1">
      <c r="A865" s="1448">
        <f>COUNTIF($C$12:C865,"x")</f>
        <v>48</v>
      </c>
      <c r="B865" s="1451" t="s">
        <v>4928</v>
      </c>
      <c r="C865" s="1701" t="str">
        <f t="shared" si="166"/>
        <v>x</v>
      </c>
      <c r="D865" s="1415">
        <v>4</v>
      </c>
      <c r="E865" s="980"/>
      <c r="F865" s="992" t="str">
        <f>VLOOKUP($B865,DG!A:D,DG!$C$2,)</f>
        <v>Sắt góc L50 x50 x5 - 810</v>
      </c>
      <c r="G865" s="980" t="str">
        <f>VLOOKUP($B865,DG!A:D,DG!$D$2,)</f>
        <v>cái</v>
      </c>
      <c r="H865" s="1693">
        <f t="shared" si="167"/>
        <v>28</v>
      </c>
      <c r="I865" s="1693">
        <f t="shared" si="167"/>
        <v>0</v>
      </c>
      <c r="J865" s="1693">
        <f t="shared" si="167"/>
        <v>0</v>
      </c>
      <c r="K865" s="1693">
        <f t="shared" si="167"/>
        <v>28</v>
      </c>
      <c r="L865" s="1693">
        <f t="shared" si="167"/>
        <v>0</v>
      </c>
      <c r="M865" s="1693">
        <f t="shared" si="167"/>
        <v>0</v>
      </c>
      <c r="N865" s="1693">
        <f t="shared" si="167"/>
        <v>0</v>
      </c>
      <c r="O865" s="1693"/>
      <c r="P865" s="1693">
        <f>$P$863*D865</f>
        <v>28</v>
      </c>
      <c r="Q865" s="995">
        <f t="shared" si="168"/>
        <v>0</v>
      </c>
      <c r="R865" s="995">
        <f t="shared" si="169"/>
        <v>0</v>
      </c>
      <c r="S865" s="989"/>
      <c r="T865" s="1862">
        <f>IFERROR(HLOOKUP(B865,BangKeTru,3,0),0)</f>
        <v>0</v>
      </c>
    </row>
    <row r="866" spans="1:20" ht="22.2" hidden="1" customHeight="1">
      <c r="A866" s="1448">
        <f>COUNTIF($C$12:C866,"x")</f>
        <v>48</v>
      </c>
      <c r="B866" s="1451" t="s">
        <v>1609</v>
      </c>
      <c r="C866" s="1701" t="str">
        <f t="shared" si="166"/>
        <v xml:space="preserve"> </v>
      </c>
      <c r="D866" s="1415"/>
      <c r="E866" s="980"/>
      <c r="F866" s="992" t="str">
        <f>VLOOKUP($B866,DG!A:D,DG!$C$2,)</f>
        <v>Boulon 16x250+ 2 long đền vuông D18-50x50x3/Zn</v>
      </c>
      <c r="G866" s="980" t="str">
        <f>VLOOKUP($B866,DG!A:D,DG!$D$2,)</f>
        <v>bộ</v>
      </c>
      <c r="H866" s="1693"/>
      <c r="I866" s="1693"/>
      <c r="J866" s="1693"/>
      <c r="K866" s="1693"/>
      <c r="L866" s="1693"/>
      <c r="M866" s="1693"/>
      <c r="N866" s="1693"/>
      <c r="O866" s="1693"/>
      <c r="P866" s="1693"/>
      <c r="Q866" s="989">
        <f t="shared" si="168"/>
        <v>0</v>
      </c>
      <c r="R866" s="989">
        <f t="shared" si="169"/>
        <v>0</v>
      </c>
      <c r="S866" s="989"/>
      <c r="T866" s="1862">
        <f>IFERROR(HLOOKUP(B866,BangKeTru,3,0),0)</f>
        <v>0</v>
      </c>
    </row>
    <row r="867" spans="1:20" ht="22.2" hidden="1" customHeight="1">
      <c r="A867" s="1448">
        <f>COUNTIF($C$12:C867,"x")</f>
        <v>48</v>
      </c>
      <c r="B867" s="1451" t="s">
        <v>1610</v>
      </c>
      <c r="C867" s="1701" t="str">
        <f t="shared" si="166"/>
        <v xml:space="preserve"> </v>
      </c>
      <c r="D867" s="1415">
        <v>2</v>
      </c>
      <c r="E867" s="980"/>
      <c r="F867" s="992" t="str">
        <f>VLOOKUP($B867,DG!A:D,DG!$C$2,)</f>
        <v>Boulon 16x300+ 2 long đền vuông D18-50x50x3/Zn</v>
      </c>
      <c r="G867" s="980" t="str">
        <f>VLOOKUP($B867,DG!A:D,DG!$D$2,)</f>
        <v>bộ</v>
      </c>
      <c r="H867" s="1693"/>
      <c r="I867" s="1693"/>
      <c r="J867" s="1693"/>
      <c r="K867" s="1693"/>
      <c r="L867" s="1693"/>
      <c r="M867" s="1693"/>
      <c r="N867" s="1693"/>
      <c r="O867" s="1693"/>
      <c r="P867" s="1693"/>
      <c r="Q867" s="989">
        <f t="shared" si="168"/>
        <v>0</v>
      </c>
      <c r="R867" s="989">
        <f t="shared" si="169"/>
        <v>0</v>
      </c>
      <c r="S867" s="989"/>
      <c r="T867" s="1862">
        <f>IFERROR(HLOOKUP(B867,BangKeTru,3,0),0)</f>
        <v>0</v>
      </c>
    </row>
    <row r="868" spans="1:20" ht="22.2" hidden="1" customHeight="1">
      <c r="A868" s="1448">
        <f>COUNTIF($C$12:C868,"x")</f>
        <v>48</v>
      </c>
      <c r="B868" s="1451" t="s">
        <v>415</v>
      </c>
      <c r="C868" s="1701" t="str">
        <f t="shared" si="166"/>
        <v xml:space="preserve"> </v>
      </c>
      <c r="D868" s="1415">
        <v>2</v>
      </c>
      <c r="E868" s="980"/>
      <c r="F868" s="992" t="str">
        <f>VLOOKUP($B868,DG!A:D,DG!$C$2,)</f>
        <v>Boulon 16x300VRS+ 4 long đền vuông D18-50x50x3/Zn</v>
      </c>
      <c r="G868" s="980" t="str">
        <f>VLOOKUP($B868,DG!A:D,DG!$D$2,)</f>
        <v>bộ</v>
      </c>
      <c r="H868" s="1693"/>
      <c r="I868" s="1693"/>
      <c r="J868" s="1693"/>
      <c r="K868" s="1693"/>
      <c r="L868" s="1693"/>
      <c r="M868" s="1693"/>
      <c r="N868" s="1693"/>
      <c r="O868" s="1693"/>
      <c r="P868" s="1693"/>
      <c r="Q868" s="989">
        <f t="shared" si="168"/>
        <v>0</v>
      </c>
      <c r="R868" s="989">
        <f t="shared" si="169"/>
        <v>0</v>
      </c>
      <c r="S868" s="989"/>
      <c r="T868" s="1862">
        <f>IFERROR(HLOOKUP(B868,BangKeTru,3,0),0)</f>
        <v>0</v>
      </c>
    </row>
    <row r="869" spans="1:20" ht="22.2" hidden="1" customHeight="1">
      <c r="A869" s="1448">
        <f>COUNTIF($C$12:C869,"x")</f>
        <v>48</v>
      </c>
      <c r="B869" s="1451" t="s">
        <v>1786</v>
      </c>
      <c r="C869" s="1701" t="str">
        <f t="shared" si="166"/>
        <v xml:space="preserve"> </v>
      </c>
      <c r="D869" s="1415">
        <v>4</v>
      </c>
      <c r="E869" s="980"/>
      <c r="F869" s="992" t="str">
        <f>VLOOKUP($B869,DG!A:D,DG!$C$2,)</f>
        <v>Boulon 16x50+ 2 long đền vuông D18-50x50x3/Zn</v>
      </c>
      <c r="G869" s="980" t="str">
        <f>VLOOKUP($B869,DG!A:D,DG!$D$2,)</f>
        <v>bộ</v>
      </c>
      <c r="H869" s="1693"/>
      <c r="I869" s="1693"/>
      <c r="J869" s="1693"/>
      <c r="K869" s="1693"/>
      <c r="L869" s="1693"/>
      <c r="M869" s="1693"/>
      <c r="N869" s="1693"/>
      <c r="O869" s="1693"/>
      <c r="P869" s="1693"/>
      <c r="Q869" s="989">
        <f t="shared" si="168"/>
        <v>0</v>
      </c>
      <c r="R869" s="989">
        <f t="shared" si="169"/>
        <v>0</v>
      </c>
      <c r="S869" s="989"/>
      <c r="T869" s="1862">
        <f>IFERROR(HLOOKUP(B869,BangKeTru,3,0),0)</f>
        <v>0</v>
      </c>
    </row>
    <row r="870" spans="1:20" ht="22.2" hidden="1" customHeight="1">
      <c r="A870" s="1448">
        <f>COUNTIF($C$12:C870,"x")</f>
        <v>48</v>
      </c>
      <c r="B870" s="1451" t="s">
        <v>517</v>
      </c>
      <c r="C870" s="1701" t="str">
        <f t="shared" si="166"/>
        <v xml:space="preserve"> </v>
      </c>
      <c r="D870" s="1415">
        <v>1</v>
      </c>
      <c r="E870" s="984" t="str">
        <f>VLOOKUP($B870,DG!A:D,DG!$B$2,)</f>
        <v>05.6203</v>
      </c>
      <c r="F870" s="985" t="str">
        <f>VLOOKUP($B870,DG!A:D,DG!$C$2,)</f>
        <v>Lắp xà néo ≤ 100kg</v>
      </c>
      <c r="G870" s="980" t="str">
        <f>VLOOKUP($B870,DG!A:D,DG!$D$2,)</f>
        <v>bộ</v>
      </c>
      <c r="H870" s="1693"/>
      <c r="I870" s="1693"/>
      <c r="J870" s="1693"/>
      <c r="K870" s="1693"/>
      <c r="L870" s="1693"/>
      <c r="M870" s="1693"/>
      <c r="N870" s="1693"/>
      <c r="O870" s="1693"/>
      <c r="P870" s="1693"/>
      <c r="Q870" s="989">
        <f t="shared" si="168"/>
        <v>0</v>
      </c>
      <c r="R870" s="989">
        <f t="shared" si="169"/>
        <v>0</v>
      </c>
      <c r="S870" s="994"/>
      <c r="T870" s="1862">
        <f>IFERROR(HLOOKUP(B870,BangKeTru,3,0),0)</f>
        <v>0</v>
      </c>
    </row>
    <row r="871" spans="1:20" ht="22.2" hidden="1" customHeight="1">
      <c r="A871" s="1448">
        <f>COUNTIF($C$12:C871,"x")</f>
        <v>48</v>
      </c>
      <c r="B871" s="1455" t="s">
        <v>1996</v>
      </c>
      <c r="C871" s="970" t="str">
        <f t="shared" si="166"/>
        <v xml:space="preserve"> </v>
      </c>
      <c r="D871" s="1413">
        <f>D872</f>
        <v>0</v>
      </c>
      <c r="E871" s="980" t="str">
        <f>VLOOKUP($B871,DG!A:D,DG!$B$2,)</f>
        <v>02.1115</v>
      </c>
      <c r="F871" s="985" t="str">
        <f>VLOOKUP($B871,DG!A:D,DG!$C$2,)</f>
        <v>Bốc dỡ xà, thép thanh</v>
      </c>
      <c r="G871" s="980" t="str">
        <f>VLOOKUP($B871,DG!A:D,DG!$D$2,)</f>
        <v>tấn</v>
      </c>
      <c r="H871" s="1693"/>
      <c r="I871" s="1693"/>
      <c r="J871" s="1693"/>
      <c r="K871" s="1693"/>
      <c r="L871" s="1693"/>
      <c r="M871" s="1693"/>
      <c r="N871" s="1693"/>
      <c r="O871" s="1693"/>
      <c r="P871" s="1693"/>
      <c r="Q871" s="994"/>
      <c r="R871" s="989">
        <f t="shared" si="169"/>
        <v>0</v>
      </c>
      <c r="S871" s="994"/>
      <c r="T871" s="1862">
        <f>IFERROR(HLOOKUP(B871,BangKeTru,3,0),0)</f>
        <v>0</v>
      </c>
    </row>
    <row r="872" spans="1:20" ht="22.2" hidden="1" customHeight="1">
      <c r="A872" s="1448">
        <f>COUNTIF($C$12:C872,"x")</f>
        <v>48</v>
      </c>
      <c r="B872" s="1464" t="s">
        <v>1997</v>
      </c>
      <c r="C872" s="970" t="str">
        <f t="shared" si="166"/>
        <v xml:space="preserve"> </v>
      </c>
      <c r="D872" s="1413">
        <f>ROUND(SUM(D864:D865)*1.05/1000,3)*0</f>
        <v>0</v>
      </c>
      <c r="E872" s="980" t="str">
        <f>VLOOKUP($B872,DG!A:C,2,)</f>
        <v>02.1361</v>
      </c>
      <c r="F872" s="985" t="str">
        <f>VLOOKUP($B872,DG!A:C,3,)</f>
        <v>V/c xà vào vị trí (cư ly &lt;=100m)</v>
      </c>
      <c r="G872" s="980" t="str">
        <f>VLOOKUP($B872,DG!A:D,4,0)</f>
        <v>tấn</v>
      </c>
      <c r="H872" s="1693"/>
      <c r="I872" s="1693"/>
      <c r="J872" s="1693"/>
      <c r="K872" s="1693"/>
      <c r="L872" s="1693"/>
      <c r="M872" s="1693"/>
      <c r="N872" s="1693"/>
      <c r="O872" s="1693"/>
      <c r="P872" s="1693"/>
      <c r="Q872" s="994"/>
      <c r="R872" s="989">
        <f t="shared" si="169"/>
        <v>0</v>
      </c>
      <c r="S872" s="994"/>
      <c r="T872" s="1862">
        <f>IFERROR(HLOOKUP(B872,BangKeTru,3,0),0)</f>
        <v>0</v>
      </c>
    </row>
    <row r="873" spans="1:20" ht="22.2" hidden="1" customHeight="1">
      <c r="A873" s="1448">
        <f>COUNTIF($C$12:C873,"x")</f>
        <v>48</v>
      </c>
      <c r="B873" s="1464" t="s">
        <v>635</v>
      </c>
      <c r="C873" s="970" t="str">
        <f t="shared" si="166"/>
        <v xml:space="preserve"> </v>
      </c>
      <c r="D873" s="1414">
        <f>0.05*0</f>
        <v>0</v>
      </c>
      <c r="E873" s="980" t="str">
        <f>VLOOKUP($B873,DG!A:C,2,)</f>
        <v>02.1482</v>
      </c>
      <c r="F873" s="985" t="str">
        <f>VLOOKUP($B873,DG!A:C,3,)</f>
        <v>V/c dụng cụ thi công vào vị trí (cự ly &lt;=100m)</v>
      </c>
      <c r="G873" s="980" t="str">
        <f>VLOOKUP($B873,DG!A:D,4,0)</f>
        <v>tấn</v>
      </c>
      <c r="H873" s="1693"/>
      <c r="I873" s="1693"/>
      <c r="J873" s="1693"/>
      <c r="K873" s="1693"/>
      <c r="L873" s="1693"/>
      <c r="M873" s="1693"/>
      <c r="N873" s="1693"/>
      <c r="O873" s="1693"/>
      <c r="P873" s="1693"/>
      <c r="Q873" s="994"/>
      <c r="R873" s="989">
        <f t="shared" si="169"/>
        <v>0</v>
      </c>
      <c r="S873" s="994"/>
      <c r="T873" s="1862">
        <f>IFERROR(HLOOKUP(B873,BangKeTru,3,0),0)</f>
        <v>0</v>
      </c>
    </row>
    <row r="874" spans="1:20" ht="22.2" customHeight="1">
      <c r="A874" s="1448">
        <f>COUNTIF($C$12:C874,"x")</f>
        <v>49</v>
      </c>
      <c r="B874" s="1452" t="s">
        <v>533</v>
      </c>
      <c r="C874" s="970" t="str">
        <f t="shared" si="153"/>
        <v>x</v>
      </c>
      <c r="D874" s="1412"/>
      <c r="E874" s="981"/>
      <c r="F874" s="1380" t="s">
        <v>2423</v>
      </c>
      <c r="G874" s="982" t="s">
        <v>2385</v>
      </c>
      <c r="H874" s="1691">
        <f>SUM(I874:O874)</f>
        <v>10</v>
      </c>
      <c r="I874" s="1692"/>
      <c r="J874" s="1692"/>
      <c r="K874" s="1692">
        <f>IFERROR(HLOOKUP(B874,pp3p1m!$1:$3,2,0),0)</f>
        <v>10</v>
      </c>
      <c r="L874" s="1692">
        <f>IFERROR(HLOOKUP(chitiet!B874,pp1p!$1:$3,3,0),0)</f>
        <v>0</v>
      </c>
      <c r="M874" s="1692"/>
      <c r="N874" s="1692"/>
      <c r="O874" s="1692"/>
      <c r="P874" s="1691">
        <f>T874</f>
        <v>10</v>
      </c>
      <c r="Q874" s="1691">
        <f>IF(P874&gt;H874,P874-H874,0)</f>
        <v>0</v>
      </c>
      <c r="R874" s="983">
        <f>IF(H874&gt;P874,H874-P874,0)</f>
        <v>0</v>
      </c>
      <c r="S874" s="983"/>
      <c r="T874" s="1862">
        <f>IFERROR(HLOOKUP(B874,pp1p!$1:$3,3,0),0)+IFERROR(HLOOKUP(B874,pp3p1m!$1:$3,3,0),0)</f>
        <v>10</v>
      </c>
    </row>
    <row r="875" spans="1:20" ht="22.2" customHeight="1">
      <c r="A875" s="1448">
        <f>COUNTIF($C$12:C875,"x")</f>
        <v>50</v>
      </c>
      <c r="B875" s="1451" t="s">
        <v>4819</v>
      </c>
      <c r="C875" s="970" t="str">
        <f t="shared" ref="C875:C949" si="170">IF(OR(P875&lt;&gt;0,H875&lt;&gt;0),"x"," ")</f>
        <v>x</v>
      </c>
      <c r="D875" s="1414">
        <v>2</v>
      </c>
      <c r="E875" s="980"/>
      <c r="F875" s="992" t="str">
        <f>VLOOKUP($B875,DG!A:D,DG!$C$2,)</f>
        <v>Sắt góc L75 x75 x8 x2200</v>
      </c>
      <c r="G875" s="980" t="str">
        <f>VLOOKUP($B875,DG!A:D,DG!$D$2,)</f>
        <v>cái</v>
      </c>
      <c r="H875" s="1693">
        <f t="shared" ref="H875:H881" si="171">$H$874*$D875</f>
        <v>20</v>
      </c>
      <c r="I875" s="1693">
        <f t="shared" ref="I875:J880" si="172">I$863*$D875</f>
        <v>0</v>
      </c>
      <c r="J875" s="1693">
        <f t="shared" si="172"/>
        <v>0</v>
      </c>
      <c r="K875" s="1693">
        <f t="shared" ref="K875:K880" si="173">K$874*$D875</f>
        <v>20</v>
      </c>
      <c r="L875" s="1693">
        <f t="shared" ref="L875:N880" si="174">L$863*$D875</f>
        <v>0</v>
      </c>
      <c r="M875" s="1693">
        <f t="shared" si="174"/>
        <v>0</v>
      </c>
      <c r="N875" s="1693">
        <f t="shared" si="174"/>
        <v>0</v>
      </c>
      <c r="O875" s="1693"/>
      <c r="P875" s="1693">
        <f t="shared" ref="P875:P881" si="175">$P$874*D875</f>
        <v>20</v>
      </c>
      <c r="Q875" s="1693">
        <f t="shared" ref="Q875:Q881" si="176">$Q$874*D875</f>
        <v>0</v>
      </c>
      <c r="R875" s="989"/>
      <c r="S875" s="989"/>
      <c r="T875" s="1862">
        <f t="shared" si="154"/>
        <v>0</v>
      </c>
    </row>
    <row r="876" spans="1:20" ht="22.2" customHeight="1">
      <c r="A876" s="1448">
        <f>COUNTIF($C$12:C876,"x")</f>
        <v>51</v>
      </c>
      <c r="B876" s="1451" t="s">
        <v>4928</v>
      </c>
      <c r="C876" s="970" t="str">
        <f t="shared" si="170"/>
        <v>x</v>
      </c>
      <c r="D876" s="1414">
        <v>4</v>
      </c>
      <c r="E876" s="980"/>
      <c r="F876" s="992" t="str">
        <f>VLOOKUP($B876,DG!A:D,DG!$C$2,)</f>
        <v>Sắt góc L50 x50 x5 - 810</v>
      </c>
      <c r="G876" s="980" t="str">
        <f>VLOOKUP($B876,DG!A:D,DG!$D$2,)</f>
        <v>cái</v>
      </c>
      <c r="H876" s="1693">
        <f t="shared" si="171"/>
        <v>40</v>
      </c>
      <c r="I876" s="1693">
        <f t="shared" si="172"/>
        <v>0</v>
      </c>
      <c r="J876" s="1693">
        <f t="shared" si="172"/>
        <v>0</v>
      </c>
      <c r="K876" s="1693">
        <f t="shared" si="173"/>
        <v>40</v>
      </c>
      <c r="L876" s="1693">
        <f t="shared" si="174"/>
        <v>0</v>
      </c>
      <c r="M876" s="1693">
        <f t="shared" si="174"/>
        <v>0</v>
      </c>
      <c r="N876" s="1693">
        <f t="shared" si="174"/>
        <v>0</v>
      </c>
      <c r="O876" s="1693"/>
      <c r="P876" s="1693">
        <f t="shared" si="175"/>
        <v>40</v>
      </c>
      <c r="Q876" s="1693">
        <f t="shared" si="176"/>
        <v>0</v>
      </c>
      <c r="R876" s="989"/>
      <c r="S876" s="989"/>
      <c r="T876" s="1862">
        <f t="shared" si="154"/>
        <v>0</v>
      </c>
    </row>
    <row r="877" spans="1:20" ht="22.2" customHeight="1">
      <c r="A877" s="1448">
        <f>COUNTIF($C$12:C877,"x")</f>
        <v>52</v>
      </c>
      <c r="B877" s="1451" t="s">
        <v>1539</v>
      </c>
      <c r="C877" s="970" t="str">
        <f t="shared" si="170"/>
        <v>x</v>
      </c>
      <c r="D877" s="1415">
        <v>1</v>
      </c>
      <c r="E877" s="980"/>
      <c r="F877" s="992" t="str">
        <f>VLOOKUP($B877,DG!A:D,DG!$C$2,)</f>
        <v>Boulon 16x500+ 2 long đền vuông D18-50x50x3/Zn</v>
      </c>
      <c r="G877" s="980" t="str">
        <f>VLOOKUP($B877,DG!A:D,DG!$D$2,)</f>
        <v>bộ</v>
      </c>
      <c r="H877" s="1693">
        <f t="shared" si="171"/>
        <v>10</v>
      </c>
      <c r="I877" s="1693">
        <f t="shared" si="172"/>
        <v>0</v>
      </c>
      <c r="J877" s="1693">
        <f t="shared" si="172"/>
        <v>0</v>
      </c>
      <c r="K877" s="1693">
        <f t="shared" si="173"/>
        <v>10</v>
      </c>
      <c r="L877" s="1693">
        <f t="shared" si="174"/>
        <v>0</v>
      </c>
      <c r="M877" s="1693">
        <f t="shared" si="174"/>
        <v>0</v>
      </c>
      <c r="N877" s="1693">
        <f t="shared" si="174"/>
        <v>0</v>
      </c>
      <c r="O877" s="1693"/>
      <c r="P877" s="1693">
        <f t="shared" si="175"/>
        <v>10</v>
      </c>
      <c r="Q877" s="1693">
        <f t="shared" si="176"/>
        <v>0</v>
      </c>
      <c r="R877" s="989"/>
      <c r="S877" s="989"/>
      <c r="T877" s="1862">
        <f t="shared" si="154"/>
        <v>0</v>
      </c>
    </row>
    <row r="878" spans="1:20" ht="22.2" customHeight="1">
      <c r="A878" s="1448">
        <f>COUNTIF($C$12:C878,"x")</f>
        <v>53</v>
      </c>
      <c r="B878" s="1451" t="s">
        <v>1782</v>
      </c>
      <c r="C878" s="970" t="str">
        <f t="shared" si="170"/>
        <v>x</v>
      </c>
      <c r="D878" s="1415">
        <v>1</v>
      </c>
      <c r="E878" s="980"/>
      <c r="F878" s="992" t="str">
        <f>VLOOKUP($B878,DG!A:D,DG!$C$2,)</f>
        <v>Boulon 16x600+ 2 long đền vuông D18-50x50x3/Zn</v>
      </c>
      <c r="G878" s="980" t="str">
        <f>VLOOKUP($B878,DG!A:D,DG!$D$2,)</f>
        <v>bộ</v>
      </c>
      <c r="H878" s="1693">
        <f t="shared" si="171"/>
        <v>10</v>
      </c>
      <c r="I878" s="1693">
        <f t="shared" si="172"/>
        <v>0</v>
      </c>
      <c r="J878" s="1693">
        <f t="shared" si="172"/>
        <v>0</v>
      </c>
      <c r="K878" s="1693">
        <f t="shared" si="173"/>
        <v>10</v>
      </c>
      <c r="L878" s="1693">
        <f t="shared" si="174"/>
        <v>0</v>
      </c>
      <c r="M878" s="1693">
        <f t="shared" si="174"/>
        <v>0</v>
      </c>
      <c r="N878" s="1693">
        <f t="shared" si="174"/>
        <v>0</v>
      </c>
      <c r="O878" s="1693"/>
      <c r="P878" s="1693">
        <f t="shared" si="175"/>
        <v>10</v>
      </c>
      <c r="Q878" s="1693">
        <f t="shared" si="176"/>
        <v>0</v>
      </c>
      <c r="R878" s="989"/>
      <c r="S878" s="989"/>
      <c r="T878" s="1862">
        <f t="shared" si="154"/>
        <v>0</v>
      </c>
    </row>
    <row r="879" spans="1:20" ht="22.2" customHeight="1">
      <c r="A879" s="1448">
        <f>COUNTIF($C$12:C879,"x")</f>
        <v>54</v>
      </c>
      <c r="B879" s="1451" t="s">
        <v>532</v>
      </c>
      <c r="C879" s="970" t="str">
        <f t="shared" si="170"/>
        <v>x</v>
      </c>
      <c r="D879" s="1415">
        <v>2</v>
      </c>
      <c r="E879" s="980"/>
      <c r="F879" s="992" t="str">
        <f>VLOOKUP($B879,DG!A:D,DG!$C$2,)</f>
        <v>Boulon 16x550VRS+ 4 long đền vuông D18-50x50x3/Zn</v>
      </c>
      <c r="G879" s="980" t="str">
        <f>VLOOKUP($B879,DG!A:D,DG!$D$2,)</f>
        <v>bộ</v>
      </c>
      <c r="H879" s="1693">
        <f t="shared" si="171"/>
        <v>20</v>
      </c>
      <c r="I879" s="1693">
        <f t="shared" si="172"/>
        <v>0</v>
      </c>
      <c r="J879" s="1693">
        <f t="shared" si="172"/>
        <v>0</v>
      </c>
      <c r="K879" s="1693">
        <f t="shared" si="173"/>
        <v>20</v>
      </c>
      <c r="L879" s="1693">
        <f t="shared" si="174"/>
        <v>0</v>
      </c>
      <c r="M879" s="1693">
        <f t="shared" si="174"/>
        <v>0</v>
      </c>
      <c r="N879" s="1693">
        <f t="shared" si="174"/>
        <v>0</v>
      </c>
      <c r="O879" s="1693"/>
      <c r="P879" s="1693">
        <f t="shared" si="175"/>
        <v>20</v>
      </c>
      <c r="Q879" s="1693">
        <f t="shared" si="176"/>
        <v>0</v>
      </c>
      <c r="R879" s="989"/>
      <c r="S879" s="989"/>
      <c r="T879" s="1862">
        <f t="shared" si="154"/>
        <v>0</v>
      </c>
    </row>
    <row r="880" spans="1:20" ht="22.2" customHeight="1">
      <c r="A880" s="1448">
        <f>COUNTIF($C$12:C880,"x")</f>
        <v>55</v>
      </c>
      <c r="B880" s="1451" t="s">
        <v>1786</v>
      </c>
      <c r="C880" s="970" t="str">
        <f t="shared" si="170"/>
        <v>x</v>
      </c>
      <c r="D880" s="1415">
        <v>4</v>
      </c>
      <c r="E880" s="980"/>
      <c r="F880" s="992" t="str">
        <f>VLOOKUP($B880,DG!A:D,DG!$C$2,)</f>
        <v>Boulon 16x50+ 2 long đền vuông D18-50x50x3/Zn</v>
      </c>
      <c r="G880" s="980" t="str">
        <f>VLOOKUP($B880,DG!A:D,DG!$D$2,)</f>
        <v>bộ</v>
      </c>
      <c r="H880" s="1693">
        <f t="shared" si="171"/>
        <v>40</v>
      </c>
      <c r="I880" s="1693">
        <f t="shared" si="172"/>
        <v>0</v>
      </c>
      <c r="J880" s="1693">
        <f t="shared" si="172"/>
        <v>0</v>
      </c>
      <c r="K880" s="1693">
        <f t="shared" si="173"/>
        <v>40</v>
      </c>
      <c r="L880" s="1693">
        <f t="shared" si="174"/>
        <v>0</v>
      </c>
      <c r="M880" s="1693">
        <f t="shared" si="174"/>
        <v>0</v>
      </c>
      <c r="N880" s="1693">
        <f t="shared" si="174"/>
        <v>0</v>
      </c>
      <c r="O880" s="1693"/>
      <c r="P880" s="1693">
        <f t="shared" si="175"/>
        <v>40</v>
      </c>
      <c r="Q880" s="1693">
        <f t="shared" si="176"/>
        <v>0</v>
      </c>
      <c r="R880" s="989"/>
      <c r="S880" s="989"/>
      <c r="T880" s="1862">
        <f t="shared" si="154"/>
        <v>0</v>
      </c>
    </row>
    <row r="881" spans="1:20" ht="22.2" customHeight="1">
      <c r="A881" s="1448">
        <f>COUNTIF($C$12:C881,"x")</f>
        <v>56</v>
      </c>
      <c r="B881" s="1451" t="s">
        <v>517</v>
      </c>
      <c r="C881" s="970" t="str">
        <f t="shared" si="170"/>
        <v>x</v>
      </c>
      <c r="D881" s="1415">
        <v>1</v>
      </c>
      <c r="E881" s="996" t="str">
        <f>VLOOKUP($B881,DG!A:D,DG!$B$2,)</f>
        <v>05.6203</v>
      </c>
      <c r="F881" s="985" t="str">
        <f>VLOOKUP($B881,DG!A:D,DG!$C$2,)</f>
        <v>Lắp xà néo ≤ 100kg</v>
      </c>
      <c r="G881" s="980" t="str">
        <f>VLOOKUP($B881,DG!A:D,DG!$D$2,)</f>
        <v>bộ</v>
      </c>
      <c r="H881" s="1693">
        <f t="shared" si="171"/>
        <v>10</v>
      </c>
      <c r="I881" s="1693"/>
      <c r="J881" s="1693"/>
      <c r="K881" s="1693"/>
      <c r="L881" s="1693"/>
      <c r="M881" s="1693"/>
      <c r="N881" s="1693"/>
      <c r="O881" s="1693"/>
      <c r="P881" s="1693">
        <f t="shared" si="175"/>
        <v>10</v>
      </c>
      <c r="Q881" s="1693">
        <f t="shared" si="176"/>
        <v>0</v>
      </c>
      <c r="R881" s="994"/>
      <c r="S881" s="994"/>
      <c r="T881" s="1862">
        <f t="shared" ref="T881:T955" si="177">IFERROR(HLOOKUP(B881,BangKeTru,3,0),0)</f>
        <v>0</v>
      </c>
    </row>
    <row r="882" spans="1:20" ht="22.2" hidden="1" customHeight="1">
      <c r="A882" s="1448">
        <f>COUNTIF($C$12:C882,"x")</f>
        <v>56</v>
      </c>
      <c r="B882" s="1455" t="s">
        <v>1996</v>
      </c>
      <c r="C882" s="970" t="str">
        <f t="shared" si="170"/>
        <v xml:space="preserve"> </v>
      </c>
      <c r="D882" s="1413">
        <f>D883</f>
        <v>0</v>
      </c>
      <c r="E882" s="980" t="str">
        <f>VLOOKUP($B882,DG!A:D,DG!$B$2,)</f>
        <v>02.1115</v>
      </c>
      <c r="F882" s="985" t="str">
        <f>VLOOKUP($B882,DG!A:D,DG!$C$2,)</f>
        <v>Bốc dỡ xà, thép thanh</v>
      </c>
      <c r="G882" s="980" t="str">
        <f>VLOOKUP($B882,DG!A:D,DG!$D$2,)</f>
        <v>tấn</v>
      </c>
      <c r="H882" s="1693"/>
      <c r="I882" s="1693"/>
      <c r="J882" s="1693"/>
      <c r="K882" s="1693"/>
      <c r="L882" s="1693"/>
      <c r="M882" s="1693"/>
      <c r="N882" s="1693"/>
      <c r="O882" s="1693"/>
      <c r="P882" s="1693"/>
      <c r="Q882" s="994"/>
      <c r="R882" s="994"/>
      <c r="S882" s="994"/>
      <c r="T882" s="1862">
        <f t="shared" si="177"/>
        <v>0</v>
      </c>
    </row>
    <row r="883" spans="1:20" ht="22.2" hidden="1" customHeight="1">
      <c r="A883" s="1448">
        <f>COUNTIF($C$12:C883,"x")</f>
        <v>56</v>
      </c>
      <c r="B883" s="1464" t="s">
        <v>1997</v>
      </c>
      <c r="C883" s="970" t="str">
        <f t="shared" si="170"/>
        <v xml:space="preserve"> </v>
      </c>
      <c r="D883" s="1413">
        <f>ROUND(SUM(D875:D876)*1.05/1000,3)*0</f>
        <v>0</v>
      </c>
      <c r="E883" s="980" t="str">
        <f>VLOOKUP($B883,DG!A:C,2,)</f>
        <v>02.1361</v>
      </c>
      <c r="F883" s="985" t="str">
        <f>VLOOKUP($B883,DG!A:C,3,)</f>
        <v>V/c xà vào vị trí (cư ly &lt;=100m)</v>
      </c>
      <c r="G883" s="980" t="str">
        <f>VLOOKUP($B883,DG!A:D,4,0)</f>
        <v>tấn</v>
      </c>
      <c r="H883" s="1693"/>
      <c r="I883" s="1693"/>
      <c r="J883" s="1693"/>
      <c r="K883" s="1693"/>
      <c r="L883" s="1693"/>
      <c r="M883" s="1693"/>
      <c r="N883" s="1693"/>
      <c r="O883" s="1693"/>
      <c r="P883" s="1693"/>
      <c r="Q883" s="994"/>
      <c r="R883" s="994"/>
      <c r="S883" s="994"/>
      <c r="T883" s="1862">
        <f t="shared" si="177"/>
        <v>0</v>
      </c>
    </row>
    <row r="884" spans="1:20" ht="22.2" hidden="1" customHeight="1">
      <c r="A884" s="1448">
        <f>COUNTIF($C$12:C884,"x")</f>
        <v>56</v>
      </c>
      <c r="B884" s="1464" t="s">
        <v>635</v>
      </c>
      <c r="C884" s="970" t="str">
        <f t="shared" si="170"/>
        <v xml:space="preserve"> </v>
      </c>
      <c r="D884" s="1414">
        <f>0.05*0</f>
        <v>0</v>
      </c>
      <c r="E884" s="980" t="str">
        <f>VLOOKUP($B884,DG!A:C,2,)</f>
        <v>02.1482</v>
      </c>
      <c r="F884" s="985" t="str">
        <f>VLOOKUP($B884,DG!A:C,3,)</f>
        <v>V/c dụng cụ thi công vào vị trí (cự ly &lt;=100m)</v>
      </c>
      <c r="G884" s="980" t="str">
        <f>VLOOKUP($B884,DG!A:D,4,0)</f>
        <v>tấn</v>
      </c>
      <c r="H884" s="1693"/>
      <c r="I884" s="1693"/>
      <c r="J884" s="1693"/>
      <c r="K884" s="1693"/>
      <c r="L884" s="1693"/>
      <c r="M884" s="1693"/>
      <c r="N884" s="1693"/>
      <c r="O884" s="1693"/>
      <c r="P884" s="1693"/>
      <c r="Q884" s="994"/>
      <c r="R884" s="994"/>
      <c r="S884" s="994"/>
      <c r="T884" s="1862">
        <f t="shared" si="177"/>
        <v>0</v>
      </c>
    </row>
    <row r="885" spans="1:20" ht="22.2" hidden="1" customHeight="1">
      <c r="A885" s="1448">
        <f>COUNTIF($C$12:C885,"x")</f>
        <v>56</v>
      </c>
      <c r="B885" s="1464"/>
      <c r="C885" s="970" t="str">
        <f t="shared" si="170"/>
        <v xml:space="preserve"> </v>
      </c>
      <c r="D885" s="1414"/>
      <c r="E885" s="980"/>
      <c r="F885" s="992"/>
      <c r="G885" s="980"/>
      <c r="H885" s="1693"/>
      <c r="I885" s="1693"/>
      <c r="J885" s="1693"/>
      <c r="K885" s="1693"/>
      <c r="L885" s="1693"/>
      <c r="M885" s="1693"/>
      <c r="N885" s="1693"/>
      <c r="O885" s="1693"/>
      <c r="P885" s="1693"/>
      <c r="Q885" s="994"/>
      <c r="R885" s="994"/>
      <c r="S885" s="994"/>
      <c r="T885" s="1862">
        <f t="shared" si="177"/>
        <v>0</v>
      </c>
    </row>
    <row r="886" spans="1:20" ht="22.2" hidden="1" customHeight="1">
      <c r="A886" s="1448">
        <f>COUNTIF($C$12:C886,"x")</f>
        <v>56</v>
      </c>
      <c r="B886" s="1464"/>
      <c r="C886" s="970" t="str">
        <f t="shared" si="170"/>
        <v xml:space="preserve"> </v>
      </c>
      <c r="D886" s="1414"/>
      <c r="E886" s="980"/>
      <c r="F886" s="992"/>
      <c r="G886" s="980"/>
      <c r="H886" s="1693"/>
      <c r="I886" s="1693"/>
      <c r="J886" s="1693"/>
      <c r="K886" s="1693"/>
      <c r="L886" s="1693"/>
      <c r="M886" s="1693"/>
      <c r="N886" s="1693"/>
      <c r="O886" s="1693"/>
      <c r="P886" s="1693"/>
      <c r="Q886" s="994"/>
      <c r="R886" s="994"/>
      <c r="S886" s="994"/>
      <c r="T886" s="1862">
        <f t="shared" si="177"/>
        <v>0</v>
      </c>
    </row>
    <row r="887" spans="1:20" ht="22.2" hidden="1" customHeight="1">
      <c r="A887" s="1448">
        <f>COUNTIF($C$12:C887,"x")</f>
        <v>56</v>
      </c>
      <c r="B887" s="1452" t="s">
        <v>4811</v>
      </c>
      <c r="C887" s="970" t="str">
        <f t="shared" si="170"/>
        <v xml:space="preserve"> </v>
      </c>
      <c r="D887" s="1412"/>
      <c r="E887" s="981"/>
      <c r="F887" s="1276" t="s">
        <v>4813</v>
      </c>
      <c r="G887" s="982" t="s">
        <v>2385</v>
      </c>
      <c r="H887" s="1691">
        <f>SUM(I887:O887)</f>
        <v>0</v>
      </c>
      <c r="I887" s="1692"/>
      <c r="J887" s="1692"/>
      <c r="K887" s="1692">
        <f>IFERROR(HLOOKUP(B887,pp3p1m!$1:$3,2,0),0)</f>
        <v>0</v>
      </c>
      <c r="L887" s="1692">
        <f>IFERROR(HLOOKUP(chitiet!B887,pp1p!$1:$3,3,0),0)</f>
        <v>0</v>
      </c>
      <c r="M887" s="1692"/>
      <c r="N887" s="1692"/>
      <c r="O887" s="1692"/>
      <c r="P887" s="2674">
        <f>T887</f>
        <v>0</v>
      </c>
      <c r="Q887" s="983">
        <f>IF(P887&gt;H887,P887-H887,0)</f>
        <v>0</v>
      </c>
      <c r="R887" s="983">
        <f>IF(H887&gt;P887,H887-P887,0)</f>
        <v>0</v>
      </c>
      <c r="S887" s="983"/>
      <c r="T887" s="1862">
        <f>IFERROR(HLOOKUP(B887,pp1p!$1:$3,3,0),0)+IFERROR(HLOOKUP(B887,pp3p1m!$1:$3,3,0),0)</f>
        <v>0</v>
      </c>
    </row>
    <row r="888" spans="1:20" ht="22.2" hidden="1" customHeight="1">
      <c r="A888" s="1448">
        <f>COUNTIF($C$12:C888,"x")</f>
        <v>56</v>
      </c>
      <c r="B888" s="1455" t="s">
        <v>4819</v>
      </c>
      <c r="C888" s="970" t="str">
        <f t="shared" si="170"/>
        <v xml:space="preserve"> </v>
      </c>
      <c r="D888" s="1414">
        <v>1</v>
      </c>
      <c r="E888" s="980"/>
      <c r="F888" s="992" t="str">
        <f>VLOOKUP($B888,DG!A:D,DG!$C$2,)</f>
        <v>Sắt góc L75 x75 x8 x2200</v>
      </c>
      <c r="G888" s="980" t="str">
        <f>VLOOKUP($B888,DG!A:D,DG!$D$2,)</f>
        <v>cái</v>
      </c>
      <c r="H888" s="1996">
        <f t="shared" ref="H888:R888" si="178">H$887*$D888</f>
        <v>0</v>
      </c>
      <c r="I888" s="1693">
        <f t="shared" si="178"/>
        <v>0</v>
      </c>
      <c r="J888" s="1693">
        <f t="shared" si="178"/>
        <v>0</v>
      </c>
      <c r="K888" s="1693">
        <f t="shared" si="178"/>
        <v>0</v>
      </c>
      <c r="L888" s="1693">
        <f t="shared" si="178"/>
        <v>0</v>
      </c>
      <c r="M888" s="1693">
        <f t="shared" si="178"/>
        <v>0</v>
      </c>
      <c r="N888" s="1693">
        <f t="shared" si="178"/>
        <v>0</v>
      </c>
      <c r="O888" s="1693">
        <f t="shared" si="178"/>
        <v>0</v>
      </c>
      <c r="P888" s="1996">
        <f t="shared" si="178"/>
        <v>0</v>
      </c>
      <c r="Q888" s="1693">
        <f t="shared" si="178"/>
        <v>0</v>
      </c>
      <c r="R888" s="1693">
        <f t="shared" si="178"/>
        <v>0</v>
      </c>
      <c r="S888" s="989"/>
      <c r="T888" s="1862">
        <f t="shared" si="177"/>
        <v>0</v>
      </c>
    </row>
    <row r="889" spans="1:20" ht="22.2" hidden="1" customHeight="1">
      <c r="A889" s="1448">
        <f>COUNTIF($C$12:C889,"x")</f>
        <v>56</v>
      </c>
      <c r="B889" s="1455" t="s">
        <v>4820</v>
      </c>
      <c r="C889" s="970" t="str">
        <f t="shared" si="170"/>
        <v xml:space="preserve"> </v>
      </c>
      <c r="D889" s="1414">
        <v>2</v>
      </c>
      <c r="E889" s="980"/>
      <c r="F889" s="992" t="str">
        <f>VLOOKUP($B889,DG!A:D,DG!$C$2,)</f>
        <v>Sắt góc L50 x50 x5 x920</v>
      </c>
      <c r="G889" s="980" t="str">
        <f>VLOOKUP($B889,DG!A:D,DG!$D$2,)</f>
        <v>cái</v>
      </c>
      <c r="H889" s="1996">
        <f>H$887*$D889</f>
        <v>0</v>
      </c>
      <c r="I889" s="1693">
        <f t="shared" ref="I889:J893" si="179">I$863*$D889</f>
        <v>0</v>
      </c>
      <c r="J889" s="1693">
        <f t="shared" si="179"/>
        <v>0</v>
      </c>
      <c r="K889" s="1693">
        <f>K$887*$D889</f>
        <v>0</v>
      </c>
      <c r="L889" s="1693">
        <f t="shared" ref="L889:N893" si="180">L$863*$D889</f>
        <v>0</v>
      </c>
      <c r="M889" s="1693">
        <f t="shared" si="180"/>
        <v>0</v>
      </c>
      <c r="N889" s="1693">
        <f t="shared" si="180"/>
        <v>0</v>
      </c>
      <c r="O889" s="1693"/>
      <c r="P889" s="1996">
        <f t="shared" ref="P889:R893" si="181">P$887*$D889</f>
        <v>0</v>
      </c>
      <c r="Q889" s="1693">
        <f t="shared" si="181"/>
        <v>0</v>
      </c>
      <c r="R889" s="1693">
        <f t="shared" si="181"/>
        <v>0</v>
      </c>
      <c r="S889" s="989"/>
      <c r="T889" s="1862">
        <f t="shared" si="177"/>
        <v>0</v>
      </c>
    </row>
    <row r="890" spans="1:20" ht="22.2" hidden="1" customHeight="1">
      <c r="A890" s="1448">
        <f>COUNTIF($C$12:C890,"x")</f>
        <v>56</v>
      </c>
      <c r="B890" s="1455" t="s">
        <v>1609</v>
      </c>
      <c r="C890" s="970" t="str">
        <f t="shared" si="170"/>
        <v xml:space="preserve"> </v>
      </c>
      <c r="D890" s="1415">
        <v>1</v>
      </c>
      <c r="E890" s="980"/>
      <c r="F890" s="992" t="str">
        <f>VLOOKUP($B890,DG!A:D,DG!$C$2,)</f>
        <v>Boulon 16x250+ 2 long đền vuông D18-50x50x3/Zn</v>
      </c>
      <c r="G890" s="980" t="str">
        <f>VLOOKUP($B890,DG!A:D,DG!$D$2,)</f>
        <v>bộ</v>
      </c>
      <c r="H890" s="1693">
        <f>H$887*$D890</f>
        <v>0</v>
      </c>
      <c r="I890" s="1693">
        <f t="shared" si="179"/>
        <v>0</v>
      </c>
      <c r="J890" s="1693">
        <f t="shared" si="179"/>
        <v>0</v>
      </c>
      <c r="K890" s="1693">
        <f>K$887*$D890</f>
        <v>0</v>
      </c>
      <c r="L890" s="1693">
        <f t="shared" si="180"/>
        <v>0</v>
      </c>
      <c r="M890" s="1693">
        <f t="shared" si="180"/>
        <v>0</v>
      </c>
      <c r="N890" s="1693">
        <f t="shared" si="180"/>
        <v>0</v>
      </c>
      <c r="O890" s="1693"/>
      <c r="P890" s="1693">
        <f t="shared" si="181"/>
        <v>0</v>
      </c>
      <c r="Q890" s="1693">
        <f t="shared" si="181"/>
        <v>0</v>
      </c>
      <c r="R890" s="1693">
        <f t="shared" si="181"/>
        <v>0</v>
      </c>
      <c r="S890" s="989"/>
      <c r="T890" s="1862">
        <f t="shared" si="177"/>
        <v>0</v>
      </c>
    </row>
    <row r="891" spans="1:20" ht="22.2" hidden="1" customHeight="1">
      <c r="A891" s="1448">
        <f>COUNTIF($C$12:C891,"x")</f>
        <v>56</v>
      </c>
      <c r="B891" s="1455" t="s">
        <v>1610</v>
      </c>
      <c r="C891" s="970" t="str">
        <f t="shared" si="170"/>
        <v xml:space="preserve"> </v>
      </c>
      <c r="D891" s="1415">
        <v>1</v>
      </c>
      <c r="E891" s="980"/>
      <c r="F891" s="992" t="str">
        <f>VLOOKUP($B891,DG!A:D,DG!$C$2,)</f>
        <v>Boulon 16x300+ 2 long đền vuông D18-50x50x3/Zn</v>
      </c>
      <c r="G891" s="980" t="str">
        <f>VLOOKUP($B891,DG!A:D,DG!$D$2,)</f>
        <v>bộ</v>
      </c>
      <c r="H891" s="1693">
        <f>H$887*$D891</f>
        <v>0</v>
      </c>
      <c r="I891" s="1693">
        <f t="shared" si="179"/>
        <v>0</v>
      </c>
      <c r="J891" s="1693">
        <f t="shared" si="179"/>
        <v>0</v>
      </c>
      <c r="K891" s="1693">
        <f>K$887*$D891</f>
        <v>0</v>
      </c>
      <c r="L891" s="1693">
        <f t="shared" si="180"/>
        <v>0</v>
      </c>
      <c r="M891" s="1693">
        <f t="shared" si="180"/>
        <v>0</v>
      </c>
      <c r="N891" s="1693">
        <f t="shared" si="180"/>
        <v>0</v>
      </c>
      <c r="O891" s="1693"/>
      <c r="P891" s="1693">
        <f t="shared" si="181"/>
        <v>0</v>
      </c>
      <c r="Q891" s="1693">
        <f t="shared" si="181"/>
        <v>0</v>
      </c>
      <c r="R891" s="1693">
        <f t="shared" si="181"/>
        <v>0</v>
      </c>
      <c r="S891" s="989"/>
      <c r="T891" s="1862">
        <f t="shared" si="177"/>
        <v>0</v>
      </c>
    </row>
    <row r="892" spans="1:20" ht="22.2" hidden="1" customHeight="1">
      <c r="A892" s="1448">
        <f>COUNTIF($C$12:C892,"x")</f>
        <v>56</v>
      </c>
      <c r="B892" s="1455" t="s">
        <v>415</v>
      </c>
      <c r="C892" s="970" t="str">
        <f t="shared" si="170"/>
        <v xml:space="preserve"> </v>
      </c>
      <c r="D892" s="1415">
        <v>4</v>
      </c>
      <c r="E892" s="980"/>
      <c r="F892" s="992" t="str">
        <f>VLOOKUP($B892,DG!A:D,DG!$C$2,)</f>
        <v>Boulon 16x300VRS+ 4 long đền vuông D18-50x50x3/Zn</v>
      </c>
      <c r="G892" s="980" t="str">
        <f>VLOOKUP($B892,DG!A:D,DG!$D$2,)</f>
        <v>bộ</v>
      </c>
      <c r="H892" s="1693">
        <f>H$887*$D892</f>
        <v>0</v>
      </c>
      <c r="I892" s="1693">
        <f t="shared" si="179"/>
        <v>0</v>
      </c>
      <c r="J892" s="1693">
        <f t="shared" si="179"/>
        <v>0</v>
      </c>
      <c r="K892" s="1693">
        <f>K$887*$D892</f>
        <v>0</v>
      </c>
      <c r="L892" s="1693">
        <f t="shared" si="180"/>
        <v>0</v>
      </c>
      <c r="M892" s="1693">
        <f t="shared" si="180"/>
        <v>0</v>
      </c>
      <c r="N892" s="1693">
        <f t="shared" si="180"/>
        <v>0</v>
      </c>
      <c r="O892" s="1693"/>
      <c r="P892" s="1693">
        <f t="shared" si="181"/>
        <v>0</v>
      </c>
      <c r="Q892" s="1693">
        <f t="shared" si="181"/>
        <v>0</v>
      </c>
      <c r="R892" s="1693">
        <f t="shared" si="181"/>
        <v>0</v>
      </c>
      <c r="S892" s="989"/>
      <c r="T892" s="1862">
        <f t="shared" si="177"/>
        <v>0</v>
      </c>
    </row>
    <row r="893" spans="1:20" ht="22.2" hidden="1" customHeight="1">
      <c r="A893" s="1448">
        <f>COUNTIF($C$12:C893,"x")</f>
        <v>56</v>
      </c>
      <c r="B893" s="1455" t="s">
        <v>1786</v>
      </c>
      <c r="C893" s="970" t="str">
        <f t="shared" si="170"/>
        <v xml:space="preserve"> </v>
      </c>
      <c r="D893" s="1415">
        <v>4</v>
      </c>
      <c r="E893" s="980"/>
      <c r="F893" s="992" t="str">
        <f>VLOOKUP($B893,DG!A:D,DG!$C$2,)</f>
        <v>Boulon 16x50+ 2 long đền vuông D18-50x50x3/Zn</v>
      </c>
      <c r="G893" s="980" t="str">
        <f>VLOOKUP($B893,DG!A:D,DG!$D$2,)</f>
        <v>bộ</v>
      </c>
      <c r="H893" s="1693">
        <f>H$887*$D893</f>
        <v>0</v>
      </c>
      <c r="I893" s="1693">
        <f t="shared" si="179"/>
        <v>0</v>
      </c>
      <c r="J893" s="1693">
        <f t="shared" si="179"/>
        <v>0</v>
      </c>
      <c r="K893" s="1693">
        <f>K$887*$D893</f>
        <v>0</v>
      </c>
      <c r="L893" s="1693">
        <f t="shared" si="180"/>
        <v>0</v>
      </c>
      <c r="M893" s="1693">
        <f t="shared" si="180"/>
        <v>0</v>
      </c>
      <c r="N893" s="1693">
        <f t="shared" si="180"/>
        <v>0</v>
      </c>
      <c r="O893" s="1693"/>
      <c r="P893" s="1693">
        <f t="shared" si="181"/>
        <v>0</v>
      </c>
      <c r="Q893" s="1693">
        <f t="shared" si="181"/>
        <v>0</v>
      </c>
      <c r="R893" s="1693">
        <f t="shared" si="181"/>
        <v>0</v>
      </c>
      <c r="S893" s="989"/>
      <c r="T893" s="1862">
        <f t="shared" si="177"/>
        <v>0</v>
      </c>
    </row>
    <row r="894" spans="1:20" ht="22.2" hidden="1" customHeight="1">
      <c r="A894" s="1448">
        <f>COUNTIF($C$12:C894,"x")</f>
        <v>56</v>
      </c>
      <c r="B894" s="1455" t="s">
        <v>518</v>
      </c>
      <c r="C894" s="970" t="str">
        <f t="shared" si="170"/>
        <v xml:space="preserve"> </v>
      </c>
      <c r="D894" s="1415">
        <v>1</v>
      </c>
      <c r="E894" s="980" t="str">
        <f>VLOOKUP($B894,DG!A:D,DG!$B$2,)</f>
        <v>05.6203</v>
      </c>
      <c r="F894" s="985" t="str">
        <f>VLOOKUP($B894,DG!A:D,DG!$C$2,)</f>
        <v>Lắp xà néo ≤ 100kg</v>
      </c>
      <c r="G894" s="980" t="str">
        <f>VLOOKUP($B894,DG!A:D,DG!$D$2,)</f>
        <v>bộ</v>
      </c>
      <c r="H894" s="1693"/>
      <c r="I894" s="1693"/>
      <c r="J894" s="1693"/>
      <c r="K894" s="1693"/>
      <c r="L894" s="1693"/>
      <c r="M894" s="1693"/>
      <c r="N894" s="1693"/>
      <c r="O894" s="1693"/>
      <c r="P894" s="1693"/>
      <c r="Q894" s="994"/>
      <c r="R894" s="994"/>
      <c r="S894" s="994"/>
      <c r="T894" s="1862">
        <f t="shared" si="177"/>
        <v>0</v>
      </c>
    </row>
    <row r="895" spans="1:20" ht="22.2" hidden="1" customHeight="1">
      <c r="A895" s="1448">
        <f>COUNTIF($C$12:C895,"x")</f>
        <v>56</v>
      </c>
      <c r="B895" s="1455" t="s">
        <v>1996</v>
      </c>
      <c r="C895" s="970" t="str">
        <f t="shared" si="170"/>
        <v xml:space="preserve"> </v>
      </c>
      <c r="D895" s="1413">
        <f>D896</f>
        <v>0</v>
      </c>
      <c r="E895" s="980" t="str">
        <f>VLOOKUP($B895,DG!A:D,DG!$B$2,)</f>
        <v>02.1115</v>
      </c>
      <c r="F895" s="985" t="str">
        <f>VLOOKUP($B895,DG!A:D,DG!$C$2,)</f>
        <v>Bốc dỡ xà, thép thanh</v>
      </c>
      <c r="G895" s="980" t="str">
        <f>VLOOKUP($B895,DG!A:D,DG!$D$2,)</f>
        <v>tấn</v>
      </c>
      <c r="H895" s="1693"/>
      <c r="I895" s="1693"/>
      <c r="J895" s="1693"/>
      <c r="K895" s="1693"/>
      <c r="L895" s="1693"/>
      <c r="M895" s="1693"/>
      <c r="N895" s="1693"/>
      <c r="O895" s="1693"/>
      <c r="P895" s="1693"/>
      <c r="Q895" s="994"/>
      <c r="R895" s="994"/>
      <c r="S895" s="994"/>
      <c r="T895" s="1862">
        <f t="shared" si="177"/>
        <v>0</v>
      </c>
    </row>
    <row r="896" spans="1:20" ht="22.2" hidden="1" customHeight="1">
      <c r="A896" s="1448">
        <f>COUNTIF($C$12:C896,"x")</f>
        <v>56</v>
      </c>
      <c r="B896" s="1464" t="s">
        <v>1997</v>
      </c>
      <c r="C896" s="970" t="str">
        <f t="shared" si="170"/>
        <v xml:space="preserve"> </v>
      </c>
      <c r="D896" s="1413">
        <f>ROUND(SUM(D888:D889)*1.05/1000,3)*0</f>
        <v>0</v>
      </c>
      <c r="E896" s="980" t="str">
        <f>VLOOKUP($B896,DG!A:C,2,)</f>
        <v>02.1361</v>
      </c>
      <c r="F896" s="985" t="str">
        <f>VLOOKUP($B896,DG!A:C,3,)</f>
        <v>V/c xà vào vị trí (cư ly &lt;=100m)</v>
      </c>
      <c r="G896" s="980" t="str">
        <f>VLOOKUP($B896,DG!A:D,4,0)</f>
        <v>tấn</v>
      </c>
      <c r="H896" s="1693"/>
      <c r="I896" s="1693"/>
      <c r="J896" s="1693"/>
      <c r="K896" s="1693"/>
      <c r="L896" s="1693"/>
      <c r="M896" s="1693"/>
      <c r="N896" s="1693"/>
      <c r="O896" s="1693"/>
      <c r="P896" s="1693"/>
      <c r="Q896" s="994"/>
      <c r="R896" s="994"/>
      <c r="S896" s="994"/>
      <c r="T896" s="1862">
        <f t="shared" si="177"/>
        <v>0</v>
      </c>
    </row>
    <row r="897" spans="1:20" ht="22.2" hidden="1" customHeight="1">
      <c r="A897" s="1448">
        <f>COUNTIF($C$12:C897,"x")</f>
        <v>56</v>
      </c>
      <c r="B897" s="1464" t="s">
        <v>635</v>
      </c>
      <c r="C897" s="970" t="str">
        <f t="shared" si="170"/>
        <v xml:space="preserve"> </v>
      </c>
      <c r="D897" s="1414">
        <f>0.05*0</f>
        <v>0</v>
      </c>
      <c r="E897" s="980" t="str">
        <f>VLOOKUP($B897,DG!A:C,2,)</f>
        <v>02.1482</v>
      </c>
      <c r="F897" s="985" t="str">
        <f>VLOOKUP($B897,DG!A:C,3,)</f>
        <v>V/c dụng cụ thi công vào vị trí (cự ly &lt;=100m)</v>
      </c>
      <c r="G897" s="980" t="str">
        <f>VLOOKUP($B897,DG!A:D,4,0)</f>
        <v>tấn</v>
      </c>
      <c r="H897" s="1693"/>
      <c r="I897" s="1693"/>
      <c r="J897" s="1693"/>
      <c r="K897" s="1693"/>
      <c r="L897" s="1693"/>
      <c r="M897" s="1693"/>
      <c r="N897" s="1693"/>
      <c r="O897" s="1693"/>
      <c r="P897" s="1693"/>
      <c r="Q897" s="994"/>
      <c r="R897" s="994"/>
      <c r="S897" s="994"/>
      <c r="T897" s="1862">
        <f t="shared" si="177"/>
        <v>0</v>
      </c>
    </row>
    <row r="898" spans="1:20" ht="22.2" hidden="1" customHeight="1">
      <c r="A898" s="1448">
        <f>COUNTIF($C$12:C898,"x")</f>
        <v>56</v>
      </c>
      <c r="B898" s="1452" t="s">
        <v>4812</v>
      </c>
      <c r="C898" s="970" t="str">
        <f t="shared" ref="C898:C908" si="182">IF(OR(P898&lt;&gt;0,H898&lt;&gt;0),"x"," ")</f>
        <v xml:space="preserve"> </v>
      </c>
      <c r="D898" s="1412"/>
      <c r="E898" s="981"/>
      <c r="F898" s="1276" t="s">
        <v>4817</v>
      </c>
      <c r="G898" s="982" t="s">
        <v>2385</v>
      </c>
      <c r="H898" s="1691">
        <f>SUM(I898:O898)</f>
        <v>0</v>
      </c>
      <c r="I898" s="1692"/>
      <c r="J898" s="1692"/>
      <c r="K898" s="1692">
        <f>IFERROR(HLOOKUP(B898,pp3p1m!$1:$3,2,0),0)</f>
        <v>0</v>
      </c>
      <c r="L898" s="1692">
        <f>IFERROR(HLOOKUP(chitiet!B898,pp1p!$1:$3,3,0),0)</f>
        <v>0</v>
      </c>
      <c r="M898" s="1692"/>
      <c r="N898" s="1692"/>
      <c r="O898" s="1692"/>
      <c r="P898" s="2674">
        <f>T898</f>
        <v>0</v>
      </c>
      <c r="Q898" s="983">
        <f>IF(P898&gt;H898,P898-H898,0)</f>
        <v>0</v>
      </c>
      <c r="R898" s="983">
        <f>IF(H898&gt;P898,H898-P898,0)</f>
        <v>0</v>
      </c>
      <c r="S898" s="983"/>
      <c r="T898" s="1862">
        <f>IFERROR(HLOOKUP(B898,pp1p!$1:$3,3,0),0)+IFERROR(HLOOKUP(B898,pp3p1m!$1:$3,3,0),0)</f>
        <v>0</v>
      </c>
    </row>
    <row r="899" spans="1:20" ht="22.2" hidden="1" customHeight="1">
      <c r="A899" s="1448">
        <f>COUNTIF($C$12:C899,"x")</f>
        <v>56</v>
      </c>
      <c r="B899" s="1455" t="s">
        <v>4819</v>
      </c>
      <c r="C899" s="970" t="str">
        <f t="shared" si="182"/>
        <v xml:space="preserve"> </v>
      </c>
      <c r="D899" s="1414">
        <v>2</v>
      </c>
      <c r="E899" s="980"/>
      <c r="F899" s="992" t="str">
        <f>VLOOKUP($B899,DG!A:D,DG!$C$2,)</f>
        <v>Sắt góc L75 x75 x8 x2200</v>
      </c>
      <c r="G899" s="980" t="str">
        <f>VLOOKUP($B899,DG!A:D,DG!$D$2,)</f>
        <v>cái</v>
      </c>
      <c r="H899" s="1996">
        <f t="shared" ref="H899:H904" si="183">H$887*$D899</f>
        <v>0</v>
      </c>
      <c r="I899" s="1693">
        <f t="shared" ref="I899:J904" si="184">I$863*$D899</f>
        <v>0</v>
      </c>
      <c r="J899" s="1693">
        <f t="shared" si="184"/>
        <v>0</v>
      </c>
      <c r="K899" s="1693">
        <f t="shared" ref="K899:K904" si="185">K$887*$D899</f>
        <v>0</v>
      </c>
      <c r="L899" s="1693">
        <f t="shared" ref="L899:N904" si="186">L$863*$D899</f>
        <v>0</v>
      </c>
      <c r="M899" s="1693">
        <f t="shared" si="186"/>
        <v>0</v>
      </c>
      <c r="N899" s="1693">
        <f t="shared" si="186"/>
        <v>0</v>
      </c>
      <c r="O899" s="1693"/>
      <c r="P899" s="1996">
        <f t="shared" ref="P899:R904" si="187">P$887*$D899</f>
        <v>0</v>
      </c>
      <c r="Q899" s="1996">
        <f t="shared" si="187"/>
        <v>0</v>
      </c>
      <c r="R899" s="1996">
        <f t="shared" si="187"/>
        <v>0</v>
      </c>
      <c r="S899" s="989"/>
      <c r="T899" s="1862">
        <f t="shared" ref="T899:T908" si="188">IFERROR(HLOOKUP(B899,BangKeTru,3,0),0)</f>
        <v>0</v>
      </c>
    </row>
    <row r="900" spans="1:20" ht="22.2" hidden="1" customHeight="1">
      <c r="A900" s="1448">
        <f>COUNTIF($C$12:C900,"x")</f>
        <v>56</v>
      </c>
      <c r="B900" s="1455" t="s">
        <v>4820</v>
      </c>
      <c r="C900" s="970" t="str">
        <f t="shared" si="182"/>
        <v xml:space="preserve"> </v>
      </c>
      <c r="D900" s="1414">
        <v>4</v>
      </c>
      <c r="E900" s="980"/>
      <c r="F900" s="992" t="str">
        <f>VLOOKUP($B900,DG!A:D,DG!$C$2,)</f>
        <v>Sắt góc L50 x50 x5 x920</v>
      </c>
      <c r="G900" s="980" t="str">
        <f>VLOOKUP($B900,DG!A:D,DG!$D$2,)</f>
        <v>cái</v>
      </c>
      <c r="H900" s="1996">
        <f t="shared" si="183"/>
        <v>0</v>
      </c>
      <c r="I900" s="1693">
        <f t="shared" si="184"/>
        <v>0</v>
      </c>
      <c r="J900" s="1693">
        <f t="shared" si="184"/>
        <v>0</v>
      </c>
      <c r="K900" s="1693">
        <f t="shared" si="185"/>
        <v>0</v>
      </c>
      <c r="L900" s="1693">
        <f t="shared" si="186"/>
        <v>0</v>
      </c>
      <c r="M900" s="1693">
        <f t="shared" si="186"/>
        <v>0</v>
      </c>
      <c r="N900" s="1693">
        <f t="shared" si="186"/>
        <v>0</v>
      </c>
      <c r="O900" s="1693"/>
      <c r="P900" s="1996">
        <f t="shared" si="187"/>
        <v>0</v>
      </c>
      <c r="Q900" s="1996">
        <f t="shared" si="187"/>
        <v>0</v>
      </c>
      <c r="R900" s="1996">
        <f t="shared" si="187"/>
        <v>0</v>
      </c>
      <c r="S900" s="989"/>
      <c r="T900" s="1862">
        <f t="shared" si="188"/>
        <v>0</v>
      </c>
    </row>
    <row r="901" spans="1:20" ht="22.2" hidden="1" customHeight="1">
      <c r="A901" s="1448">
        <f>COUNTIF($C$12:C901,"x")</f>
        <v>56</v>
      </c>
      <c r="B901" s="1455" t="s">
        <v>1609</v>
      </c>
      <c r="C901" s="970" t="str">
        <f t="shared" si="182"/>
        <v xml:space="preserve"> </v>
      </c>
      <c r="D901" s="1415">
        <v>2</v>
      </c>
      <c r="E901" s="980"/>
      <c r="F901" s="992" t="str">
        <f>VLOOKUP($B901,DG!A:D,DG!$C$2,)</f>
        <v>Boulon 16x250+ 2 long đền vuông D18-50x50x3/Zn</v>
      </c>
      <c r="G901" s="980" t="str">
        <f>VLOOKUP($B901,DG!A:D,DG!$D$2,)</f>
        <v>bộ</v>
      </c>
      <c r="H901" s="1693">
        <f t="shared" si="183"/>
        <v>0</v>
      </c>
      <c r="I901" s="1693">
        <f t="shared" si="184"/>
        <v>0</v>
      </c>
      <c r="J901" s="1693">
        <f t="shared" si="184"/>
        <v>0</v>
      </c>
      <c r="K901" s="1693">
        <f t="shared" si="185"/>
        <v>0</v>
      </c>
      <c r="L901" s="1693">
        <f t="shared" si="186"/>
        <v>0</v>
      </c>
      <c r="M901" s="1693">
        <f t="shared" si="186"/>
        <v>0</v>
      </c>
      <c r="N901" s="1693">
        <f t="shared" si="186"/>
        <v>0</v>
      </c>
      <c r="O901" s="1693"/>
      <c r="P901" s="1693">
        <f t="shared" si="187"/>
        <v>0</v>
      </c>
      <c r="Q901" s="1693">
        <f t="shared" si="187"/>
        <v>0</v>
      </c>
      <c r="R901" s="1693">
        <f t="shared" si="187"/>
        <v>0</v>
      </c>
      <c r="S901" s="989"/>
      <c r="T901" s="1862">
        <f t="shared" si="188"/>
        <v>0</v>
      </c>
    </row>
    <row r="902" spans="1:20" ht="22.2" hidden="1" customHeight="1">
      <c r="A902" s="1448">
        <f>COUNTIF($C$12:C902,"x")</f>
        <v>56</v>
      </c>
      <c r="B902" s="1455" t="s">
        <v>1610</v>
      </c>
      <c r="C902" s="970" t="str">
        <f t="shared" si="182"/>
        <v xml:space="preserve"> </v>
      </c>
      <c r="D902" s="1415">
        <v>2</v>
      </c>
      <c r="E902" s="980"/>
      <c r="F902" s="992" t="str">
        <f>VLOOKUP($B902,DG!A:D,DG!$C$2,)</f>
        <v>Boulon 16x300+ 2 long đền vuông D18-50x50x3/Zn</v>
      </c>
      <c r="G902" s="980" t="str">
        <f>VLOOKUP($B902,DG!A:D,DG!$D$2,)</f>
        <v>bộ</v>
      </c>
      <c r="H902" s="1693">
        <f t="shared" si="183"/>
        <v>0</v>
      </c>
      <c r="I902" s="1693">
        <f t="shared" si="184"/>
        <v>0</v>
      </c>
      <c r="J902" s="1693">
        <f t="shared" si="184"/>
        <v>0</v>
      </c>
      <c r="K902" s="1693">
        <f t="shared" si="185"/>
        <v>0</v>
      </c>
      <c r="L902" s="1693">
        <f t="shared" si="186"/>
        <v>0</v>
      </c>
      <c r="M902" s="1693">
        <f t="shared" si="186"/>
        <v>0</v>
      </c>
      <c r="N902" s="1693">
        <f t="shared" si="186"/>
        <v>0</v>
      </c>
      <c r="O902" s="1693"/>
      <c r="P902" s="1693">
        <f t="shared" si="187"/>
        <v>0</v>
      </c>
      <c r="Q902" s="1693">
        <f t="shared" si="187"/>
        <v>0</v>
      </c>
      <c r="R902" s="1693">
        <f t="shared" si="187"/>
        <v>0</v>
      </c>
      <c r="S902" s="989"/>
      <c r="T902" s="1862">
        <f t="shared" si="188"/>
        <v>0</v>
      </c>
    </row>
    <row r="903" spans="1:20" ht="22.2" hidden="1" customHeight="1">
      <c r="A903" s="1448">
        <f>COUNTIF($C$12:C903,"x")</f>
        <v>56</v>
      </c>
      <c r="B903" s="1455" t="s">
        <v>415</v>
      </c>
      <c r="C903" s="970" t="str">
        <f t="shared" si="182"/>
        <v xml:space="preserve"> </v>
      </c>
      <c r="D903" s="1415">
        <v>4</v>
      </c>
      <c r="E903" s="980"/>
      <c r="F903" s="992" t="str">
        <f>VLOOKUP($B903,DG!A:D,DG!$C$2,)</f>
        <v>Boulon 16x300VRS+ 4 long đền vuông D18-50x50x3/Zn</v>
      </c>
      <c r="G903" s="980" t="str">
        <f>VLOOKUP($B903,DG!A:D,DG!$D$2,)</f>
        <v>bộ</v>
      </c>
      <c r="H903" s="1693">
        <f t="shared" si="183"/>
        <v>0</v>
      </c>
      <c r="I903" s="1693">
        <f t="shared" si="184"/>
        <v>0</v>
      </c>
      <c r="J903" s="1693">
        <f t="shared" si="184"/>
        <v>0</v>
      </c>
      <c r="K903" s="1693">
        <f t="shared" si="185"/>
        <v>0</v>
      </c>
      <c r="L903" s="1693">
        <f t="shared" si="186"/>
        <v>0</v>
      </c>
      <c r="M903" s="1693">
        <f t="shared" si="186"/>
        <v>0</v>
      </c>
      <c r="N903" s="1693">
        <f t="shared" si="186"/>
        <v>0</v>
      </c>
      <c r="O903" s="1693"/>
      <c r="P903" s="1693">
        <f t="shared" si="187"/>
        <v>0</v>
      </c>
      <c r="Q903" s="1693">
        <f t="shared" si="187"/>
        <v>0</v>
      </c>
      <c r="R903" s="1693">
        <f t="shared" si="187"/>
        <v>0</v>
      </c>
      <c r="S903" s="989"/>
      <c r="T903" s="1862">
        <f t="shared" si="188"/>
        <v>0</v>
      </c>
    </row>
    <row r="904" spans="1:20" ht="22.2" hidden="1" customHeight="1">
      <c r="A904" s="1448">
        <f>COUNTIF($C$12:C904,"x")</f>
        <v>56</v>
      </c>
      <c r="B904" s="1455" t="s">
        <v>1786</v>
      </c>
      <c r="C904" s="970" t="str">
        <f t="shared" si="182"/>
        <v xml:space="preserve"> </v>
      </c>
      <c r="D904" s="1415">
        <v>4</v>
      </c>
      <c r="E904" s="980"/>
      <c r="F904" s="992" t="str">
        <f>VLOOKUP($B904,DG!A:D,DG!$C$2,)</f>
        <v>Boulon 16x50+ 2 long đền vuông D18-50x50x3/Zn</v>
      </c>
      <c r="G904" s="980" t="str">
        <f>VLOOKUP($B904,DG!A:D,DG!$D$2,)</f>
        <v>bộ</v>
      </c>
      <c r="H904" s="1693">
        <f t="shared" si="183"/>
        <v>0</v>
      </c>
      <c r="I904" s="1693">
        <f t="shared" si="184"/>
        <v>0</v>
      </c>
      <c r="J904" s="1693">
        <f t="shared" si="184"/>
        <v>0</v>
      </c>
      <c r="K904" s="1693">
        <f t="shared" si="185"/>
        <v>0</v>
      </c>
      <c r="L904" s="1693">
        <f t="shared" si="186"/>
        <v>0</v>
      </c>
      <c r="M904" s="1693">
        <f t="shared" si="186"/>
        <v>0</v>
      </c>
      <c r="N904" s="1693">
        <f t="shared" si="186"/>
        <v>0</v>
      </c>
      <c r="O904" s="1693"/>
      <c r="P904" s="1693">
        <f t="shared" si="187"/>
        <v>0</v>
      </c>
      <c r="Q904" s="1693">
        <f t="shared" si="187"/>
        <v>0</v>
      </c>
      <c r="R904" s="1693">
        <f t="shared" si="187"/>
        <v>0</v>
      </c>
      <c r="S904" s="989"/>
      <c r="T904" s="1862">
        <f t="shared" si="188"/>
        <v>0</v>
      </c>
    </row>
    <row r="905" spans="1:20" ht="22.2" hidden="1" customHeight="1">
      <c r="A905" s="1448">
        <f>COUNTIF($C$12:C905,"x")</f>
        <v>56</v>
      </c>
      <c r="B905" s="1455" t="s">
        <v>518</v>
      </c>
      <c r="C905" s="970" t="str">
        <f t="shared" si="182"/>
        <v xml:space="preserve"> </v>
      </c>
      <c r="D905" s="1415">
        <v>1</v>
      </c>
      <c r="E905" s="980" t="str">
        <f>VLOOKUP($B905,DG!A:D,DG!$B$2,)</f>
        <v>05.6203</v>
      </c>
      <c r="F905" s="985" t="str">
        <f>VLOOKUP($B905,DG!A:D,DG!$C$2,)</f>
        <v>Lắp xà néo ≤ 100kg</v>
      </c>
      <c r="G905" s="980" t="str">
        <f>VLOOKUP($B905,DG!A:D,DG!$D$2,)</f>
        <v>bộ</v>
      </c>
      <c r="H905" s="1693"/>
      <c r="I905" s="1693"/>
      <c r="J905" s="1693"/>
      <c r="K905" s="1693"/>
      <c r="L905" s="1693"/>
      <c r="M905" s="1693"/>
      <c r="N905" s="1693"/>
      <c r="O905" s="1693"/>
      <c r="P905" s="1693"/>
      <c r="Q905" s="994"/>
      <c r="R905" s="994"/>
      <c r="S905" s="994"/>
      <c r="T905" s="1862">
        <f t="shared" si="188"/>
        <v>0</v>
      </c>
    </row>
    <row r="906" spans="1:20" ht="22.2" hidden="1" customHeight="1">
      <c r="A906" s="1448">
        <f>COUNTIF($C$12:C906,"x")</f>
        <v>56</v>
      </c>
      <c r="B906" s="1455" t="s">
        <v>1996</v>
      </c>
      <c r="C906" s="970" t="str">
        <f t="shared" si="182"/>
        <v xml:space="preserve"> </v>
      </c>
      <c r="D906" s="1413">
        <f>D907</f>
        <v>0</v>
      </c>
      <c r="E906" s="980" t="str">
        <f>VLOOKUP($B906,DG!A:D,DG!$B$2,)</f>
        <v>02.1115</v>
      </c>
      <c r="F906" s="985" t="str">
        <f>VLOOKUP($B906,DG!A:D,DG!$C$2,)</f>
        <v>Bốc dỡ xà, thép thanh</v>
      </c>
      <c r="G906" s="980" t="str">
        <f>VLOOKUP($B906,DG!A:D,DG!$D$2,)</f>
        <v>tấn</v>
      </c>
      <c r="H906" s="1693"/>
      <c r="I906" s="1693"/>
      <c r="J906" s="1693"/>
      <c r="K906" s="1693"/>
      <c r="L906" s="1693"/>
      <c r="M906" s="1693"/>
      <c r="N906" s="1693"/>
      <c r="O906" s="1693"/>
      <c r="P906" s="1693"/>
      <c r="Q906" s="994"/>
      <c r="R906" s="994"/>
      <c r="S906" s="994"/>
      <c r="T906" s="1862">
        <f t="shared" si="188"/>
        <v>0</v>
      </c>
    </row>
    <row r="907" spans="1:20" ht="22.2" hidden="1" customHeight="1">
      <c r="A907" s="1448">
        <f>COUNTIF($C$12:C907,"x")</f>
        <v>56</v>
      </c>
      <c r="B907" s="1464" t="s">
        <v>1997</v>
      </c>
      <c r="C907" s="970" t="str">
        <f t="shared" si="182"/>
        <v xml:space="preserve"> </v>
      </c>
      <c r="D907" s="1413">
        <f>ROUND(SUM(D899:D900)*1.05/1000,3)*0</f>
        <v>0</v>
      </c>
      <c r="E907" s="980" t="str">
        <f>VLOOKUP($B907,DG!A:C,2,)</f>
        <v>02.1361</v>
      </c>
      <c r="F907" s="985" t="str">
        <f>VLOOKUP($B907,DG!A:C,3,)</f>
        <v>V/c xà vào vị trí (cư ly &lt;=100m)</v>
      </c>
      <c r="G907" s="980" t="str">
        <f>VLOOKUP($B907,DG!A:D,4,0)</f>
        <v>tấn</v>
      </c>
      <c r="H907" s="1693"/>
      <c r="I907" s="1693"/>
      <c r="J907" s="1693"/>
      <c r="K907" s="1693"/>
      <c r="L907" s="1693"/>
      <c r="M907" s="1693"/>
      <c r="N907" s="1693"/>
      <c r="O907" s="1693"/>
      <c r="P907" s="1693"/>
      <c r="Q907" s="994"/>
      <c r="R907" s="994"/>
      <c r="S907" s="994"/>
      <c r="T907" s="1862">
        <f t="shared" si="188"/>
        <v>0</v>
      </c>
    </row>
    <row r="908" spans="1:20" ht="22.2" hidden="1" customHeight="1">
      <c r="A908" s="1448">
        <f>COUNTIF($C$12:C908,"x")</f>
        <v>56</v>
      </c>
      <c r="B908" s="1464" t="s">
        <v>635</v>
      </c>
      <c r="C908" s="970" t="str">
        <f t="shared" si="182"/>
        <v xml:space="preserve"> </v>
      </c>
      <c r="D908" s="1414">
        <f>0.05*0</f>
        <v>0</v>
      </c>
      <c r="E908" s="980" t="str">
        <f>VLOOKUP($B908,DG!A:C,2,)</f>
        <v>02.1482</v>
      </c>
      <c r="F908" s="985" t="str">
        <f>VLOOKUP($B908,DG!A:C,3,)</f>
        <v>V/c dụng cụ thi công vào vị trí (cự ly &lt;=100m)</v>
      </c>
      <c r="G908" s="980" t="str">
        <f>VLOOKUP($B908,DG!A:D,4,0)</f>
        <v>tấn</v>
      </c>
      <c r="H908" s="1693"/>
      <c r="I908" s="1693"/>
      <c r="J908" s="1693"/>
      <c r="K908" s="1693"/>
      <c r="L908" s="1693"/>
      <c r="M908" s="1693"/>
      <c r="N908" s="1693"/>
      <c r="O908" s="1693"/>
      <c r="P908" s="1693"/>
      <c r="Q908" s="994"/>
      <c r="R908" s="994"/>
      <c r="S908" s="994"/>
      <c r="T908" s="1862">
        <f t="shared" si="188"/>
        <v>0</v>
      </c>
    </row>
    <row r="909" spans="1:20" ht="22.2" hidden="1" customHeight="1">
      <c r="A909" s="1448">
        <f>COUNTIF($C$12:C909,"x")</f>
        <v>56</v>
      </c>
      <c r="B909" s="1452" t="s">
        <v>2296</v>
      </c>
      <c r="C909" s="970" t="str">
        <f t="shared" si="170"/>
        <v xml:space="preserve"> </v>
      </c>
      <c r="D909" s="1412"/>
      <c r="E909" s="981"/>
      <c r="F909" s="1276" t="s">
        <v>2425</v>
      </c>
      <c r="G909" s="982" t="s">
        <v>2385</v>
      </c>
      <c r="H909" s="1691">
        <f>SUM(I909:O909)</f>
        <v>0</v>
      </c>
      <c r="I909" s="1692"/>
      <c r="J909" s="1692"/>
      <c r="K909" s="1692">
        <f>IFERROR(HLOOKUP(B909,pp3p1m!$1:$3,2,0),0)</f>
        <v>0</v>
      </c>
      <c r="L909" s="1692">
        <f>IFERROR(HLOOKUP(chitiet!B909,pp1p!$1:$3,3,0),0)</f>
        <v>0</v>
      </c>
      <c r="M909" s="1692"/>
      <c r="N909" s="1692"/>
      <c r="O909" s="1692"/>
      <c r="P909" s="2674">
        <f>T909</f>
        <v>0</v>
      </c>
      <c r="Q909" s="983">
        <f>IF(P909&gt;H909,P909-H909,0)</f>
        <v>0</v>
      </c>
      <c r="R909" s="983">
        <f>IF(H909&gt;P909,H909-P909,0)</f>
        <v>0</v>
      </c>
      <c r="S909" s="983"/>
      <c r="T909" s="1862">
        <f>IFERROR(HLOOKUP(B909,pp1p!$1:$3,3,0),0)+IFERROR(HLOOKUP(B909,pp3p1m!$1:$3,3,0),0)</f>
        <v>0</v>
      </c>
    </row>
    <row r="910" spans="1:20" ht="22.2" hidden="1" customHeight="1">
      <c r="A910" s="1448">
        <f>COUNTIF($C$12:C910,"x")</f>
        <v>56</v>
      </c>
      <c r="B910" s="1455" t="s">
        <v>109</v>
      </c>
      <c r="C910" s="970" t="str">
        <f t="shared" si="170"/>
        <v xml:space="preserve"> </v>
      </c>
      <c r="D910" s="1414">
        <f>9.02*(2.4+4*0.07)</f>
        <v>24.173599999999997</v>
      </c>
      <c r="E910" s="980"/>
      <c r="F910" s="992" t="str">
        <f>VLOOKUP($B910,DG!A:D,DG!$C$2,)</f>
        <v>Sắt góc L75 x75 x8</v>
      </c>
      <c r="G910" s="980" t="str">
        <f>VLOOKUP($B910,DG!A:D,DG!$D$2,)</f>
        <v>kg</v>
      </c>
      <c r="H910" s="1693">
        <f t="shared" ref="H910:N913" si="189">H$909*$D910</f>
        <v>0</v>
      </c>
      <c r="I910" s="1693">
        <f t="shared" si="189"/>
        <v>0</v>
      </c>
      <c r="J910" s="1693">
        <f t="shared" si="189"/>
        <v>0</v>
      </c>
      <c r="K910" s="1693">
        <f t="shared" si="189"/>
        <v>0</v>
      </c>
      <c r="L910" s="1693">
        <f t="shared" si="189"/>
        <v>0</v>
      </c>
      <c r="M910" s="1693">
        <f t="shared" si="189"/>
        <v>0</v>
      </c>
      <c r="N910" s="1693">
        <f t="shared" si="189"/>
        <v>0</v>
      </c>
      <c r="O910" s="1693"/>
      <c r="P910" s="1693"/>
      <c r="Q910" s="989"/>
      <c r="R910" s="989"/>
      <c r="S910" s="989"/>
      <c r="T910" s="1862">
        <f t="shared" si="177"/>
        <v>0</v>
      </c>
    </row>
    <row r="911" spans="1:20" ht="22.2" hidden="1" customHeight="1">
      <c r="A911" s="1448">
        <f>COUNTIF($C$12:C911,"x")</f>
        <v>56</v>
      </c>
      <c r="B911" s="1455" t="s">
        <v>457</v>
      </c>
      <c r="C911" s="970" t="str">
        <f t="shared" si="170"/>
        <v xml:space="preserve"> </v>
      </c>
      <c r="D911" s="1414">
        <f>3.77*0.92*2</f>
        <v>6.9368000000000007</v>
      </c>
      <c r="E911" s="980"/>
      <c r="F911" s="992" t="str">
        <f>VLOOKUP($B911,DG!A:D,DG!$C$2,)&amp;" (chống 920)"</f>
        <v>Sắt góc L50 x50 x5 (chống 920)</v>
      </c>
      <c r="G911" s="980" t="str">
        <f>VLOOKUP($B911,DG!A:D,DG!$D$2,)</f>
        <v>kg</v>
      </c>
      <c r="H911" s="1693">
        <f t="shared" si="189"/>
        <v>0</v>
      </c>
      <c r="I911" s="1693">
        <f t="shared" si="189"/>
        <v>0</v>
      </c>
      <c r="J911" s="1693">
        <f t="shared" si="189"/>
        <v>0</v>
      </c>
      <c r="K911" s="1693">
        <f t="shared" si="189"/>
        <v>0</v>
      </c>
      <c r="L911" s="1693">
        <f t="shared" si="189"/>
        <v>0</v>
      </c>
      <c r="M911" s="1693">
        <f t="shared" si="189"/>
        <v>0</v>
      </c>
      <c r="N911" s="1693">
        <f t="shared" si="189"/>
        <v>0</v>
      </c>
      <c r="O911" s="1693"/>
      <c r="P911" s="1693"/>
      <c r="Q911" s="989"/>
      <c r="R911" s="989"/>
      <c r="S911" s="989"/>
      <c r="T911" s="1862">
        <f t="shared" si="177"/>
        <v>0</v>
      </c>
    </row>
    <row r="912" spans="1:20" ht="22.2" hidden="1" customHeight="1">
      <c r="A912" s="1448">
        <f>COUNTIF($C$12:C912,"x")</f>
        <v>56</v>
      </c>
      <c r="B912" s="1455" t="s">
        <v>1610</v>
      </c>
      <c r="C912" s="970" t="str">
        <f t="shared" si="170"/>
        <v xml:space="preserve"> </v>
      </c>
      <c r="D912" s="1415">
        <v>2</v>
      </c>
      <c r="E912" s="980"/>
      <c r="F912" s="992" t="str">
        <f>VLOOKUP($B912,DG!A:D,DG!$C$2,)</f>
        <v>Boulon 16x300+ 2 long đền vuông D18-50x50x3/Zn</v>
      </c>
      <c r="G912" s="980" t="str">
        <f>VLOOKUP($B912,DG!A:D,DG!$D$2,)</f>
        <v>bộ</v>
      </c>
      <c r="H912" s="1693">
        <f t="shared" si="189"/>
        <v>0</v>
      </c>
      <c r="I912" s="1693">
        <f t="shared" si="189"/>
        <v>0</v>
      </c>
      <c r="J912" s="1693">
        <f t="shared" si="189"/>
        <v>0</v>
      </c>
      <c r="K912" s="1693">
        <f t="shared" si="189"/>
        <v>0</v>
      </c>
      <c r="L912" s="1693">
        <f t="shared" si="189"/>
        <v>0</v>
      </c>
      <c r="M912" s="1693">
        <f t="shared" si="189"/>
        <v>0</v>
      </c>
      <c r="N912" s="1693">
        <f t="shared" si="189"/>
        <v>0</v>
      </c>
      <c r="O912" s="1693"/>
      <c r="P912" s="1693"/>
      <c r="Q912" s="989"/>
      <c r="R912" s="989"/>
      <c r="S912" s="989"/>
      <c r="T912" s="1862">
        <f t="shared" si="177"/>
        <v>0</v>
      </c>
    </row>
    <row r="913" spans="1:20" ht="22.2" hidden="1" customHeight="1">
      <c r="A913" s="1448">
        <f>COUNTIF($C$12:C913,"x")</f>
        <v>56</v>
      </c>
      <c r="B913" s="1455" t="s">
        <v>1786</v>
      </c>
      <c r="C913" s="970" t="str">
        <f t="shared" si="170"/>
        <v xml:space="preserve"> </v>
      </c>
      <c r="D913" s="1415">
        <v>2</v>
      </c>
      <c r="E913" s="980"/>
      <c r="F913" s="992" t="str">
        <f>VLOOKUP($B913,DG!A:D,DG!$C$2,)</f>
        <v>Boulon 16x50+ 2 long đền vuông D18-50x50x3/Zn</v>
      </c>
      <c r="G913" s="980" t="str">
        <f>VLOOKUP($B913,DG!A:D,DG!$D$2,)</f>
        <v>bộ</v>
      </c>
      <c r="H913" s="1693">
        <f t="shared" si="189"/>
        <v>0</v>
      </c>
      <c r="I913" s="1693">
        <f t="shared" si="189"/>
        <v>0</v>
      </c>
      <c r="J913" s="1693">
        <f t="shared" si="189"/>
        <v>0</v>
      </c>
      <c r="K913" s="1693">
        <f t="shared" si="189"/>
        <v>0</v>
      </c>
      <c r="L913" s="1693">
        <f t="shared" si="189"/>
        <v>0</v>
      </c>
      <c r="M913" s="1693">
        <f t="shared" si="189"/>
        <v>0</v>
      </c>
      <c r="N913" s="1693">
        <f t="shared" si="189"/>
        <v>0</v>
      </c>
      <c r="O913" s="1693"/>
      <c r="P913" s="1693"/>
      <c r="Q913" s="989"/>
      <c r="R913" s="989"/>
      <c r="S913" s="989"/>
      <c r="T913" s="1862">
        <f t="shared" si="177"/>
        <v>0</v>
      </c>
    </row>
    <row r="914" spans="1:20" ht="22.2" hidden="1" customHeight="1">
      <c r="A914" s="1448">
        <f>COUNTIF($C$12:C914,"x")</f>
        <v>56</v>
      </c>
      <c r="B914" s="1455" t="s">
        <v>516</v>
      </c>
      <c r="C914" s="970" t="str">
        <f t="shared" si="170"/>
        <v xml:space="preserve"> </v>
      </c>
      <c r="D914" s="1415">
        <v>1</v>
      </c>
      <c r="E914" s="980" t="str">
        <f>VLOOKUP($B914,DG!A:D,DG!$B$2,)</f>
        <v>05.6102</v>
      </c>
      <c r="F914" s="985" t="str">
        <f>VLOOKUP($B914,DG!A:D,DG!$C$2,)</f>
        <v>Lắp xà đỡ ≤ 50kg</v>
      </c>
      <c r="G914" s="980" t="str">
        <f>VLOOKUP($B914,DG!A:D,DG!$D$2,)</f>
        <v>bộ</v>
      </c>
      <c r="H914" s="1693"/>
      <c r="I914" s="1693"/>
      <c r="J914" s="1693"/>
      <c r="K914" s="1693"/>
      <c r="L914" s="1693"/>
      <c r="M914" s="1693"/>
      <c r="N914" s="1693"/>
      <c r="O914" s="1693"/>
      <c r="P914" s="1693"/>
      <c r="Q914" s="994"/>
      <c r="R914" s="994"/>
      <c r="S914" s="994"/>
      <c r="T914" s="1862">
        <f t="shared" si="177"/>
        <v>0</v>
      </c>
    </row>
    <row r="915" spans="1:20" ht="22.2" hidden="1" customHeight="1">
      <c r="A915" s="1448">
        <f>COUNTIF($C$12:C915,"x")</f>
        <v>56</v>
      </c>
      <c r="B915" s="1455" t="s">
        <v>1996</v>
      </c>
      <c r="C915" s="970" t="str">
        <f t="shared" si="170"/>
        <v xml:space="preserve"> </v>
      </c>
      <c r="D915" s="1413"/>
      <c r="E915" s="980" t="str">
        <f>VLOOKUP($B915,DG!A:D,DG!$B$2,)</f>
        <v>02.1115</v>
      </c>
      <c r="F915" s="985" t="str">
        <f>VLOOKUP($B915,DG!A:D,DG!$C$2,)</f>
        <v>Bốc dỡ xà, thép thanh</v>
      </c>
      <c r="G915" s="980" t="str">
        <f>VLOOKUP($B915,DG!A:D,DG!$D$2,)</f>
        <v>tấn</v>
      </c>
      <c r="H915" s="1693"/>
      <c r="I915" s="1693"/>
      <c r="J915" s="1693"/>
      <c r="K915" s="1693"/>
      <c r="L915" s="1693"/>
      <c r="M915" s="1693"/>
      <c r="N915" s="1693"/>
      <c r="O915" s="1693"/>
      <c r="P915" s="1693"/>
      <c r="Q915" s="994"/>
      <c r="R915" s="994"/>
      <c r="S915" s="994"/>
      <c r="T915" s="1862">
        <f t="shared" si="177"/>
        <v>0</v>
      </c>
    </row>
    <row r="916" spans="1:20" ht="22.2" hidden="1" customHeight="1">
      <c r="A916" s="1448">
        <f>COUNTIF($C$12:C916,"x")</f>
        <v>56</v>
      </c>
      <c r="B916" s="1464" t="s">
        <v>1997</v>
      </c>
      <c r="C916" s="970" t="str">
        <f t="shared" si="170"/>
        <v xml:space="preserve"> </v>
      </c>
      <c r="D916" s="1413"/>
      <c r="E916" s="980" t="str">
        <f>VLOOKUP($B916,DG!A:C,2,)</f>
        <v>02.1361</v>
      </c>
      <c r="F916" s="985" t="str">
        <f>VLOOKUP($B916,DG!A:C,3,)</f>
        <v>V/c xà vào vị trí (cư ly &lt;=100m)</v>
      </c>
      <c r="G916" s="980" t="str">
        <f>VLOOKUP($B916,DG!A:D,4,0)</f>
        <v>tấn</v>
      </c>
      <c r="H916" s="1693"/>
      <c r="I916" s="1693"/>
      <c r="J916" s="1693"/>
      <c r="K916" s="1693"/>
      <c r="L916" s="1693"/>
      <c r="M916" s="1693"/>
      <c r="N916" s="1693"/>
      <c r="O916" s="1693"/>
      <c r="P916" s="1693"/>
      <c r="Q916" s="994"/>
      <c r="R916" s="994"/>
      <c r="S916" s="994"/>
      <c r="T916" s="1862">
        <f t="shared" si="177"/>
        <v>0</v>
      </c>
    </row>
    <row r="917" spans="1:20" ht="22.2" hidden="1" customHeight="1">
      <c r="A917" s="1448">
        <f>COUNTIF($C$12:C917,"x")</f>
        <v>56</v>
      </c>
      <c r="B917" s="1464" t="s">
        <v>635</v>
      </c>
      <c r="C917" s="970" t="str">
        <f t="shared" si="170"/>
        <v xml:space="preserve"> </v>
      </c>
      <c r="D917" s="1414"/>
      <c r="E917" s="980" t="str">
        <f>VLOOKUP($B917,DG!A:C,2,)</f>
        <v>02.1482</v>
      </c>
      <c r="F917" s="985" t="str">
        <f>VLOOKUP($B917,DG!A:C,3,)</f>
        <v>V/c dụng cụ thi công vào vị trí (cự ly &lt;=100m)</v>
      </c>
      <c r="G917" s="980" t="str">
        <f>VLOOKUP($B917,DG!A:D,4,0)</f>
        <v>tấn</v>
      </c>
      <c r="H917" s="1693"/>
      <c r="I917" s="1693"/>
      <c r="J917" s="1693"/>
      <c r="K917" s="1693"/>
      <c r="L917" s="1693"/>
      <c r="M917" s="1693"/>
      <c r="N917" s="1693"/>
      <c r="O917" s="1693"/>
      <c r="P917" s="1693"/>
      <c r="Q917" s="994"/>
      <c r="R917" s="994"/>
      <c r="S917" s="994"/>
      <c r="T917" s="1862">
        <f t="shared" si="177"/>
        <v>0</v>
      </c>
    </row>
    <row r="918" spans="1:20" ht="22.2" hidden="1" customHeight="1">
      <c r="A918" s="1448">
        <f>COUNTIF($C$12:C918,"x")</f>
        <v>56</v>
      </c>
      <c r="B918" s="1452" t="s">
        <v>910</v>
      </c>
      <c r="C918" s="970" t="str">
        <f t="shared" si="170"/>
        <v xml:space="preserve"> </v>
      </c>
      <c r="D918" s="1412"/>
      <c r="E918" s="981"/>
      <c r="F918" s="1276" t="s">
        <v>2426</v>
      </c>
      <c r="G918" s="982" t="s">
        <v>2385</v>
      </c>
      <c r="H918" s="1691">
        <f>SUM(I918:O918)</f>
        <v>0</v>
      </c>
      <c r="I918" s="1692"/>
      <c r="J918" s="1692"/>
      <c r="K918" s="1692">
        <f>IFERROR(HLOOKUP(B918,pp3p1m!$1:$3,2,0),0)</f>
        <v>0</v>
      </c>
      <c r="L918" s="1692">
        <f>IFERROR(HLOOKUP(chitiet!B918,pp1p!$1:$3,3,0),0)</f>
        <v>0</v>
      </c>
      <c r="M918" s="1692"/>
      <c r="N918" s="1692"/>
      <c r="O918" s="1692"/>
      <c r="P918" s="1691">
        <f>T918</f>
        <v>0</v>
      </c>
      <c r="Q918" s="2677">
        <f>IF(P918&gt;H918,P918-H918,0)</f>
        <v>0</v>
      </c>
      <c r="R918" s="983">
        <f>IF(H918&gt;P918,H918-P918,0)</f>
        <v>0</v>
      </c>
      <c r="S918" s="983"/>
      <c r="T918" s="1862">
        <f>IFERROR(HLOOKUP(B918,pp1p!$1:$3,3,0),0)+IFERROR(HLOOKUP(B918,pp3p1m!$1:$3,3,0),0)</f>
        <v>0</v>
      </c>
    </row>
    <row r="919" spans="1:20" ht="22.2" hidden="1" customHeight="1">
      <c r="A919" s="1448">
        <f>COUNTIF($C$12:C919,"x")</f>
        <v>56</v>
      </c>
      <c r="B919" s="1455" t="s">
        <v>6431</v>
      </c>
      <c r="C919" s="970" t="str">
        <f t="shared" si="170"/>
        <v xml:space="preserve"> </v>
      </c>
      <c r="D919" s="1414">
        <v>2</v>
      </c>
      <c r="E919" s="980"/>
      <c r="F919" s="992" t="str">
        <f>VLOOKUP($B919,DG!A:D,DG!$C$2,)</f>
        <v>Sắt góc L75 x75 x8 x2400</v>
      </c>
      <c r="G919" s="980" t="str">
        <f>VLOOKUP($B919,DG!A:D,DG!$D$2,)</f>
        <v>cái</v>
      </c>
      <c r="H919" s="1693">
        <f t="shared" ref="H919:R923" si="190">H$918*$D919</f>
        <v>0</v>
      </c>
      <c r="I919" s="1693">
        <f t="shared" si="190"/>
        <v>0</v>
      </c>
      <c r="J919" s="1693">
        <f t="shared" si="190"/>
        <v>0</v>
      </c>
      <c r="K919" s="1693">
        <f t="shared" si="190"/>
        <v>0</v>
      </c>
      <c r="L919" s="1693">
        <f t="shared" si="190"/>
        <v>0</v>
      </c>
      <c r="M919" s="1693">
        <f t="shared" si="190"/>
        <v>0</v>
      </c>
      <c r="N919" s="1693">
        <f t="shared" si="190"/>
        <v>0</v>
      </c>
      <c r="O919" s="1693">
        <f t="shared" si="190"/>
        <v>0</v>
      </c>
      <c r="P919" s="1693">
        <f t="shared" si="190"/>
        <v>0</v>
      </c>
      <c r="Q919" s="1693">
        <f t="shared" si="190"/>
        <v>0</v>
      </c>
      <c r="R919" s="1693">
        <f t="shared" si="190"/>
        <v>0</v>
      </c>
      <c r="S919" s="989"/>
      <c r="T919" s="1862">
        <f t="shared" si="177"/>
        <v>0</v>
      </c>
    </row>
    <row r="920" spans="1:20" ht="22.2" hidden="1" customHeight="1">
      <c r="A920" s="1448">
        <f>COUNTIF($C$12:C920,"x")</f>
        <v>56</v>
      </c>
      <c r="B920" s="1455" t="s">
        <v>4820</v>
      </c>
      <c r="C920" s="970" t="str">
        <f t="shared" si="170"/>
        <v xml:space="preserve"> </v>
      </c>
      <c r="D920" s="1414"/>
      <c r="E920" s="980"/>
      <c r="F920" s="992" t="str">
        <f>VLOOKUP($B920,DG!A:D,DG!$C$2,)</f>
        <v>Sắt góc L50 x50 x5 x920</v>
      </c>
      <c r="G920" s="980" t="str">
        <f>VLOOKUP($B920,DG!A:D,DG!$D$2,)</f>
        <v>cái</v>
      </c>
      <c r="H920" s="1693">
        <f t="shared" si="190"/>
        <v>0</v>
      </c>
      <c r="I920" s="1693">
        <f t="shared" si="190"/>
        <v>0</v>
      </c>
      <c r="J920" s="1693">
        <f t="shared" si="190"/>
        <v>0</v>
      </c>
      <c r="K920" s="1693">
        <f t="shared" si="190"/>
        <v>0</v>
      </c>
      <c r="L920" s="1693">
        <f t="shared" si="190"/>
        <v>0</v>
      </c>
      <c r="M920" s="1693">
        <f t="shared" si="190"/>
        <v>0</v>
      </c>
      <c r="N920" s="1693">
        <f t="shared" si="190"/>
        <v>0</v>
      </c>
      <c r="O920" s="1693"/>
      <c r="P920" s="1693">
        <f t="shared" si="190"/>
        <v>0</v>
      </c>
      <c r="Q920" s="1693">
        <f t="shared" si="190"/>
        <v>0</v>
      </c>
      <c r="R920" s="1693">
        <f t="shared" si="190"/>
        <v>0</v>
      </c>
      <c r="S920" s="989"/>
      <c r="T920" s="1862">
        <f t="shared" si="177"/>
        <v>0</v>
      </c>
    </row>
    <row r="921" spans="1:20" ht="22.2" hidden="1" customHeight="1">
      <c r="A921" s="1448">
        <f>COUNTIF($C$12:C921,"x")</f>
        <v>56</v>
      </c>
      <c r="B921" s="1455" t="s">
        <v>1609</v>
      </c>
      <c r="C921" s="970" t="str">
        <f t="shared" si="170"/>
        <v xml:space="preserve"> </v>
      </c>
      <c r="D921" s="1415">
        <v>1</v>
      </c>
      <c r="E921" s="980"/>
      <c r="F921" s="992" t="str">
        <f>VLOOKUP($B921,DG!A:D,DG!$C$2,)</f>
        <v>Boulon 16x250+ 2 long đền vuông D18-50x50x3/Zn</v>
      </c>
      <c r="G921" s="980" t="str">
        <f>VLOOKUP($B921,DG!A:D,DG!$D$2,)</f>
        <v>bộ</v>
      </c>
      <c r="H921" s="1693">
        <f t="shared" si="190"/>
        <v>0</v>
      </c>
      <c r="I921" s="1693">
        <f t="shared" si="190"/>
        <v>0</v>
      </c>
      <c r="J921" s="1693">
        <f t="shared" si="190"/>
        <v>0</v>
      </c>
      <c r="K921" s="1693">
        <f t="shared" si="190"/>
        <v>0</v>
      </c>
      <c r="L921" s="1693">
        <f t="shared" si="190"/>
        <v>0</v>
      </c>
      <c r="M921" s="1693">
        <f t="shared" si="190"/>
        <v>0</v>
      </c>
      <c r="N921" s="1693">
        <f t="shared" si="190"/>
        <v>0</v>
      </c>
      <c r="O921" s="1693"/>
      <c r="P921" s="1693">
        <f t="shared" si="190"/>
        <v>0</v>
      </c>
      <c r="Q921" s="1693">
        <f t="shared" si="190"/>
        <v>0</v>
      </c>
      <c r="R921" s="1693">
        <f t="shared" si="190"/>
        <v>0</v>
      </c>
      <c r="S921" s="989"/>
      <c r="T921" s="1862">
        <f t="shared" si="177"/>
        <v>0</v>
      </c>
    </row>
    <row r="922" spans="1:20" ht="22.2" hidden="1" customHeight="1">
      <c r="A922" s="1448">
        <f>COUNTIF($C$12:C922,"x")</f>
        <v>56</v>
      </c>
      <c r="B922" s="1455" t="s">
        <v>1610</v>
      </c>
      <c r="C922" s="970" t="str">
        <f t="shared" si="170"/>
        <v xml:space="preserve"> </v>
      </c>
      <c r="D922" s="1415">
        <v>1</v>
      </c>
      <c r="E922" s="980"/>
      <c r="F922" s="992" t="str">
        <f>VLOOKUP($B922,DG!A:D,DG!$C$2,)</f>
        <v>Boulon 16x300+ 2 long đền vuông D18-50x50x3/Zn</v>
      </c>
      <c r="G922" s="980" t="str">
        <f>VLOOKUP($B922,DG!A:D,DG!$D$2,)</f>
        <v>bộ</v>
      </c>
      <c r="H922" s="1693">
        <f t="shared" si="190"/>
        <v>0</v>
      </c>
      <c r="I922" s="1693">
        <f t="shared" si="190"/>
        <v>0</v>
      </c>
      <c r="J922" s="1693">
        <f t="shared" si="190"/>
        <v>0</v>
      </c>
      <c r="K922" s="1693">
        <f t="shared" si="190"/>
        <v>0</v>
      </c>
      <c r="L922" s="1693">
        <f t="shared" si="190"/>
        <v>0</v>
      </c>
      <c r="M922" s="1693">
        <f t="shared" si="190"/>
        <v>0</v>
      </c>
      <c r="N922" s="1693">
        <f t="shared" si="190"/>
        <v>0</v>
      </c>
      <c r="O922" s="1693"/>
      <c r="P922" s="1693">
        <f t="shared" si="190"/>
        <v>0</v>
      </c>
      <c r="Q922" s="1693">
        <f t="shared" si="190"/>
        <v>0</v>
      </c>
      <c r="R922" s="1693">
        <f t="shared" si="190"/>
        <v>0</v>
      </c>
      <c r="S922" s="989"/>
      <c r="T922" s="1862">
        <f t="shared" si="177"/>
        <v>0</v>
      </c>
    </row>
    <row r="923" spans="1:20" ht="22.2" hidden="1" customHeight="1">
      <c r="A923" s="1448">
        <f>COUNTIF($C$12:C923,"x")</f>
        <v>56</v>
      </c>
      <c r="B923" s="1455" t="s">
        <v>415</v>
      </c>
      <c r="C923" s="970" t="str">
        <f t="shared" si="170"/>
        <v xml:space="preserve"> </v>
      </c>
      <c r="D923" s="1415">
        <v>4</v>
      </c>
      <c r="E923" s="980"/>
      <c r="F923" s="992" t="str">
        <f>VLOOKUP($B923,DG!A:D,DG!$C$2,)</f>
        <v>Boulon 16x300VRS+ 4 long đền vuông D18-50x50x3/Zn</v>
      </c>
      <c r="G923" s="980" t="str">
        <f>VLOOKUP($B923,DG!A:D,DG!$D$2,)</f>
        <v>bộ</v>
      </c>
      <c r="H923" s="1693">
        <f t="shared" si="190"/>
        <v>0</v>
      </c>
      <c r="I923" s="1693">
        <f t="shared" si="190"/>
        <v>0</v>
      </c>
      <c r="J923" s="1693">
        <f t="shared" si="190"/>
        <v>0</v>
      </c>
      <c r="K923" s="1693">
        <f t="shared" si="190"/>
        <v>0</v>
      </c>
      <c r="L923" s="1693">
        <f t="shared" si="190"/>
        <v>0</v>
      </c>
      <c r="M923" s="1693">
        <f t="shared" si="190"/>
        <v>0</v>
      </c>
      <c r="N923" s="1693">
        <f t="shared" si="190"/>
        <v>0</v>
      </c>
      <c r="O923" s="1693"/>
      <c r="P923" s="1693">
        <f t="shared" si="190"/>
        <v>0</v>
      </c>
      <c r="Q923" s="1693">
        <f t="shared" si="190"/>
        <v>0</v>
      </c>
      <c r="R923" s="1693">
        <f t="shared" si="190"/>
        <v>0</v>
      </c>
      <c r="S923" s="989"/>
      <c r="T923" s="1862">
        <f t="shared" si="177"/>
        <v>0</v>
      </c>
    </row>
    <row r="924" spans="1:20" ht="22.2" hidden="1" customHeight="1">
      <c r="A924" s="1448">
        <f>COUNTIF($C$12:C924,"x")</f>
        <v>56</v>
      </c>
      <c r="B924" s="1455" t="s">
        <v>517</v>
      </c>
      <c r="C924" s="970" t="str">
        <f t="shared" si="170"/>
        <v xml:space="preserve"> </v>
      </c>
      <c r="D924" s="1415">
        <v>1</v>
      </c>
      <c r="E924" s="996" t="str">
        <f>VLOOKUP($B924,DG!A:D,DG!$B$2,)</f>
        <v>05.6203</v>
      </c>
      <c r="F924" s="985" t="str">
        <f>VLOOKUP($B924,DG!A:D,DG!$C$2,)</f>
        <v>Lắp xà néo ≤ 100kg</v>
      </c>
      <c r="G924" s="980" t="str">
        <f>VLOOKUP($B924,DG!A:D,DG!$D$2,)</f>
        <v>bộ</v>
      </c>
      <c r="H924" s="1693"/>
      <c r="I924" s="1693"/>
      <c r="J924" s="1693"/>
      <c r="K924" s="1693"/>
      <c r="L924" s="1693"/>
      <c r="M924" s="1693"/>
      <c r="N924" s="1693"/>
      <c r="O924" s="1693"/>
      <c r="P924" s="1693"/>
      <c r="Q924" s="994"/>
      <c r="R924" s="994"/>
      <c r="S924" s="994"/>
      <c r="T924" s="1862">
        <f t="shared" si="177"/>
        <v>0</v>
      </c>
    </row>
    <row r="925" spans="1:20" ht="22.2" hidden="1" customHeight="1">
      <c r="A925" s="1448">
        <f>COUNTIF($C$12:C925,"x")</f>
        <v>56</v>
      </c>
      <c r="B925" s="1455" t="s">
        <v>1996</v>
      </c>
      <c r="C925" s="970" t="str">
        <f t="shared" si="170"/>
        <v xml:space="preserve"> </v>
      </c>
      <c r="D925" s="1413">
        <f>D926</f>
        <v>0</v>
      </c>
      <c r="E925" s="980" t="str">
        <f>VLOOKUP($B925,DG!A:D,DG!$B$2,)</f>
        <v>02.1115</v>
      </c>
      <c r="F925" s="985" t="str">
        <f>VLOOKUP($B925,DG!A:D,DG!$C$2,)</f>
        <v>Bốc dỡ xà, thép thanh</v>
      </c>
      <c r="G925" s="980" t="str">
        <f>VLOOKUP($B925,DG!A:D,DG!$D$2,)</f>
        <v>tấn</v>
      </c>
      <c r="H925" s="1693"/>
      <c r="I925" s="1693"/>
      <c r="J925" s="1693"/>
      <c r="K925" s="1693"/>
      <c r="L925" s="1693"/>
      <c r="M925" s="1693"/>
      <c r="N925" s="1693"/>
      <c r="O925" s="1693"/>
      <c r="P925" s="1693"/>
      <c r="Q925" s="994"/>
      <c r="R925" s="994"/>
      <c r="S925" s="994"/>
      <c r="T925" s="1862">
        <f t="shared" si="177"/>
        <v>0</v>
      </c>
    </row>
    <row r="926" spans="1:20" ht="22.2" hidden="1" customHeight="1">
      <c r="A926" s="1448">
        <f>COUNTIF($C$12:C926,"x")</f>
        <v>56</v>
      </c>
      <c r="B926" s="1464" t="s">
        <v>1997</v>
      </c>
      <c r="C926" s="970" t="str">
        <f t="shared" si="170"/>
        <v xml:space="preserve"> </v>
      </c>
      <c r="D926" s="1413">
        <f>ROUND(SUM(D919:D920)*1.05/1000,3)*0</f>
        <v>0</v>
      </c>
      <c r="E926" s="980" t="str">
        <f>VLOOKUP($B926,DG!A:C,2,)</f>
        <v>02.1361</v>
      </c>
      <c r="F926" s="985" t="str">
        <f>VLOOKUP($B926,DG!A:C,3,)</f>
        <v>V/c xà vào vị trí (cư ly &lt;=100m)</v>
      </c>
      <c r="G926" s="980" t="str">
        <f>VLOOKUP($B926,DG!A:D,4,0)</f>
        <v>tấn</v>
      </c>
      <c r="H926" s="1693"/>
      <c r="I926" s="1693"/>
      <c r="J926" s="1693"/>
      <c r="K926" s="1693"/>
      <c r="L926" s="1693"/>
      <c r="M926" s="1693"/>
      <c r="N926" s="1693"/>
      <c r="O926" s="1693"/>
      <c r="P926" s="1693"/>
      <c r="Q926" s="994"/>
      <c r="R926" s="994"/>
      <c r="S926" s="994"/>
      <c r="T926" s="1862">
        <f t="shared" si="177"/>
        <v>0</v>
      </c>
    </row>
    <row r="927" spans="1:20" ht="22.2" hidden="1" customHeight="1">
      <c r="A927" s="1448">
        <f>COUNTIF($C$12:C927,"x")</f>
        <v>56</v>
      </c>
      <c r="B927" s="1464" t="s">
        <v>635</v>
      </c>
      <c r="C927" s="970" t="str">
        <f t="shared" si="170"/>
        <v xml:space="preserve"> </v>
      </c>
      <c r="D927" s="1414">
        <f>0.05*0</f>
        <v>0</v>
      </c>
      <c r="E927" s="980" t="str">
        <f>VLOOKUP($B927,DG!A:C,2,)</f>
        <v>02.1482</v>
      </c>
      <c r="F927" s="985" t="str">
        <f>VLOOKUP($B927,DG!A:C,3,)</f>
        <v>V/c dụng cụ thi công vào vị trí (cự ly &lt;=100m)</v>
      </c>
      <c r="G927" s="980" t="str">
        <f>VLOOKUP($B927,DG!A:D,4,0)</f>
        <v>tấn</v>
      </c>
      <c r="H927" s="1693"/>
      <c r="I927" s="1693"/>
      <c r="J927" s="1693"/>
      <c r="K927" s="1693"/>
      <c r="L927" s="1693"/>
      <c r="M927" s="1693"/>
      <c r="N927" s="1693"/>
      <c r="O927" s="1693"/>
      <c r="P927" s="1693"/>
      <c r="Q927" s="994"/>
      <c r="R927" s="994"/>
      <c r="S927" s="994"/>
      <c r="T927" s="1862">
        <f t="shared" si="177"/>
        <v>0</v>
      </c>
    </row>
    <row r="928" spans="1:20" ht="22.2" hidden="1" customHeight="1">
      <c r="A928" s="1448">
        <f>COUNTIF($C$12:C928,"x")</f>
        <v>56</v>
      </c>
      <c r="B928" s="1452" t="s">
        <v>713</v>
      </c>
      <c r="C928" s="970" t="str">
        <f t="shared" si="170"/>
        <v xml:space="preserve"> </v>
      </c>
      <c r="D928" s="1412"/>
      <c r="E928" s="981"/>
      <c r="F928" s="1276" t="s">
        <v>2427</v>
      </c>
      <c r="G928" s="982" t="s">
        <v>2385</v>
      </c>
      <c r="H928" s="1691">
        <f>SUM(I928:O928)</f>
        <v>0</v>
      </c>
      <c r="I928" s="1692"/>
      <c r="J928" s="1692"/>
      <c r="K928" s="1692">
        <f>IFERROR(HLOOKUP(B928,pp3p1m!$1:$3,2,0),0)</f>
        <v>0</v>
      </c>
      <c r="L928" s="1692">
        <f>IFERROR(HLOOKUP(chitiet!B928,pp1p!$1:$3,3,0),0)</f>
        <v>0</v>
      </c>
      <c r="M928" s="1692"/>
      <c r="N928" s="1692"/>
      <c r="O928" s="1692"/>
      <c r="P928" s="2674">
        <f>T928</f>
        <v>0</v>
      </c>
      <c r="Q928" s="983">
        <f>IF(P928&gt;H928,P928-H928,0)</f>
        <v>0</v>
      </c>
      <c r="R928" s="983">
        <f>IF(H928&gt;P928,H928-P928,0)</f>
        <v>0</v>
      </c>
      <c r="S928" s="983"/>
      <c r="T928" s="1862">
        <f>IFERROR(HLOOKUP(B928,pp1p!$1:$3,3,0),0)+IFERROR(HLOOKUP(B928,pp3p1m!$1:$3,3,0),0)</f>
        <v>0</v>
      </c>
    </row>
    <row r="929" spans="1:20" ht="22.2" hidden="1" customHeight="1">
      <c r="A929" s="1448">
        <f>COUNTIF($C$12:C929,"x")</f>
        <v>56</v>
      </c>
      <c r="B929" s="1455" t="s">
        <v>518</v>
      </c>
      <c r="C929" s="970" t="str">
        <f t="shared" si="170"/>
        <v xml:space="preserve"> </v>
      </c>
      <c r="D929" s="1415">
        <v>1</v>
      </c>
      <c r="E929" s="980" t="str">
        <f>VLOOKUP($B929,DG!A:D,DG!$B$2,)</f>
        <v>05.6203</v>
      </c>
      <c r="F929" s="985" t="str">
        <f>VLOOKUP($B929,DG!A:D,DG!$C$2,)</f>
        <v>Lắp xà néo ≤ 100kg</v>
      </c>
      <c r="G929" s="980" t="str">
        <f>VLOOKUP($B929,DG!A:D,DG!$D$2,)</f>
        <v>bộ</v>
      </c>
      <c r="H929" s="1693"/>
      <c r="I929" s="1693"/>
      <c r="J929" s="1693"/>
      <c r="K929" s="1693"/>
      <c r="L929" s="1693"/>
      <c r="M929" s="1693"/>
      <c r="N929" s="1693"/>
      <c r="O929" s="1693"/>
      <c r="P929" s="1693"/>
      <c r="Q929" s="994"/>
      <c r="R929" s="994"/>
      <c r="S929" s="994"/>
      <c r="T929" s="1862">
        <f t="shared" si="177"/>
        <v>0</v>
      </c>
    </row>
    <row r="930" spans="1:20" ht="22.2" hidden="1" customHeight="1">
      <c r="A930" s="1448">
        <f>COUNTIF($C$12:C930,"x")</f>
        <v>56</v>
      </c>
      <c r="B930" s="1455" t="s">
        <v>1996</v>
      </c>
      <c r="C930" s="970" t="str">
        <f t="shared" si="170"/>
        <v xml:space="preserve"> </v>
      </c>
      <c r="D930" s="1413">
        <v>5.0999999999999997E-2</v>
      </c>
      <c r="E930" s="980" t="str">
        <f>VLOOKUP($B930,DG!A:D,DG!$B$2,)</f>
        <v>02.1115</v>
      </c>
      <c r="F930" s="985" t="str">
        <f>VLOOKUP($B930,DG!A:D,DG!$C$2,)</f>
        <v>Bốc dỡ xà, thép thanh</v>
      </c>
      <c r="G930" s="980" t="str">
        <f>VLOOKUP($B930,DG!A:D,DG!$D$2,)</f>
        <v>tấn</v>
      </c>
      <c r="H930" s="1693"/>
      <c r="I930" s="1693"/>
      <c r="J930" s="1693"/>
      <c r="K930" s="1693"/>
      <c r="L930" s="1693"/>
      <c r="M930" s="1693"/>
      <c r="N930" s="1693"/>
      <c r="O930" s="1693"/>
      <c r="P930" s="1693"/>
      <c r="Q930" s="994"/>
      <c r="R930" s="994"/>
      <c r="S930" s="994"/>
      <c r="T930" s="1862">
        <f t="shared" si="177"/>
        <v>0</v>
      </c>
    </row>
    <row r="931" spans="1:20" ht="22.2" hidden="1" customHeight="1">
      <c r="A931" s="1448">
        <f>COUNTIF($C$12:C931,"x")</f>
        <v>56</v>
      </c>
      <c r="B931" s="1464" t="s">
        <v>1997</v>
      </c>
      <c r="C931" s="970" t="str">
        <f t="shared" si="170"/>
        <v xml:space="preserve"> </v>
      </c>
      <c r="D931" s="1413">
        <v>5.0999999999999997E-2</v>
      </c>
      <c r="E931" s="980" t="str">
        <f>VLOOKUP($B931,DG!A:C,2,)</f>
        <v>02.1361</v>
      </c>
      <c r="F931" s="985" t="str">
        <f>VLOOKUP($B931,DG!A:C,3,)</f>
        <v>V/c xà vào vị trí (cư ly &lt;=100m)</v>
      </c>
      <c r="G931" s="980" t="str">
        <f>VLOOKUP($B931,DG!A:D,4,0)</f>
        <v>tấn</v>
      </c>
      <c r="H931" s="1693"/>
      <c r="I931" s="1693"/>
      <c r="J931" s="1693"/>
      <c r="K931" s="1693"/>
      <c r="L931" s="1693"/>
      <c r="M931" s="1693"/>
      <c r="N931" s="1693"/>
      <c r="O931" s="1693"/>
      <c r="P931" s="1693"/>
      <c r="Q931" s="994"/>
      <c r="R931" s="994"/>
      <c r="S931" s="994"/>
      <c r="T931" s="1862">
        <f t="shared" si="177"/>
        <v>0</v>
      </c>
    </row>
    <row r="932" spans="1:20" ht="22.2" hidden="1" customHeight="1">
      <c r="A932" s="1448">
        <f>COUNTIF($C$12:C932,"x")</f>
        <v>56</v>
      </c>
      <c r="B932" s="1464" t="s">
        <v>635</v>
      </c>
      <c r="C932" s="970" t="str">
        <f t="shared" si="170"/>
        <v xml:space="preserve"> </v>
      </c>
      <c r="D932" s="1414"/>
      <c r="E932" s="980" t="str">
        <f>VLOOKUP($B932,DG!A:C,2,)</f>
        <v>02.1482</v>
      </c>
      <c r="F932" s="985" t="str">
        <f>VLOOKUP($B932,DG!A:C,3,)</f>
        <v>V/c dụng cụ thi công vào vị trí (cự ly &lt;=100m)</v>
      </c>
      <c r="G932" s="980" t="str">
        <f>VLOOKUP($B932,DG!A:D,4,0)</f>
        <v>tấn</v>
      </c>
      <c r="H932" s="1693"/>
      <c r="I932" s="1693"/>
      <c r="J932" s="1693"/>
      <c r="K932" s="1693"/>
      <c r="L932" s="1693"/>
      <c r="M932" s="1693"/>
      <c r="N932" s="1693"/>
      <c r="O932" s="1693"/>
      <c r="P932" s="1693"/>
      <c r="Q932" s="994"/>
      <c r="R932" s="994"/>
      <c r="S932" s="994"/>
      <c r="T932" s="1862">
        <f t="shared" si="177"/>
        <v>0</v>
      </c>
    </row>
    <row r="933" spans="1:20" ht="22.2" hidden="1" customHeight="1">
      <c r="A933" s="1448">
        <f>COUNTIF($C$12:C933,"x")</f>
        <v>56</v>
      </c>
      <c r="B933" s="1452" t="s">
        <v>2297</v>
      </c>
      <c r="C933" s="970" t="str">
        <f t="shared" si="170"/>
        <v xml:space="preserve"> </v>
      </c>
      <c r="D933" s="1412"/>
      <c r="E933" s="981"/>
      <c r="F933" s="1276" t="s">
        <v>2428</v>
      </c>
      <c r="G933" s="982" t="s">
        <v>2385</v>
      </c>
      <c r="H933" s="1691">
        <f>SUM(I933:O933)</f>
        <v>0</v>
      </c>
      <c r="I933" s="1692"/>
      <c r="J933" s="1692"/>
      <c r="K933" s="1692">
        <f>IFERROR(HLOOKUP(B933,pp3p1m!$1:$3,2,0),0)</f>
        <v>0</v>
      </c>
      <c r="L933" s="1692">
        <f>IFERROR(HLOOKUP(chitiet!B933,pp1p!$1:$3,3,0),0)</f>
        <v>0</v>
      </c>
      <c r="M933" s="1692"/>
      <c r="N933" s="1692"/>
      <c r="O933" s="1692"/>
      <c r="P933" s="2674">
        <f>T933</f>
        <v>0</v>
      </c>
      <c r="Q933" s="983">
        <f>IF(P933&gt;H933,P933-H933,0)</f>
        <v>0</v>
      </c>
      <c r="R933" s="983">
        <f>IF(H933&gt;P933,H933-P933,0)</f>
        <v>0</v>
      </c>
      <c r="S933" s="983"/>
      <c r="T933" s="1862">
        <f>IFERROR(HLOOKUP(B933,pp1p!$1:$3,3,0),0)+IFERROR(HLOOKUP(B933,pp3p1m!$1:$3,3,0),0)</f>
        <v>0</v>
      </c>
    </row>
    <row r="934" spans="1:20" ht="22.2" hidden="1" customHeight="1">
      <c r="A934" s="1448">
        <f>COUNTIF($C$12:C934,"x")</f>
        <v>56</v>
      </c>
      <c r="B934" s="1455" t="s">
        <v>109</v>
      </c>
      <c r="C934" s="970" t="str">
        <f t="shared" si="170"/>
        <v xml:space="preserve"> </v>
      </c>
      <c r="D934" s="1414">
        <f>9.42*(0.8+0.07)</f>
        <v>8.1954000000000011</v>
      </c>
      <c r="E934" s="980"/>
      <c r="F934" s="992" t="str">
        <f>VLOOKUP($B934,DG!A:D,DG!$C$2,)</f>
        <v>Sắt góc L75 x75 x8</v>
      </c>
      <c r="G934" s="980" t="str">
        <f>VLOOKUP($B934,DG!A:D,DG!$D$2,)</f>
        <v>kg</v>
      </c>
      <c r="H934" s="1693">
        <f t="shared" ref="H934:N937" si="191">H$933*$D934</f>
        <v>0</v>
      </c>
      <c r="I934" s="1693">
        <f t="shared" si="191"/>
        <v>0</v>
      </c>
      <c r="J934" s="1693">
        <f t="shared" si="191"/>
        <v>0</v>
      </c>
      <c r="K934" s="1693">
        <f t="shared" si="191"/>
        <v>0</v>
      </c>
      <c r="L934" s="1693">
        <f t="shared" si="191"/>
        <v>0</v>
      </c>
      <c r="M934" s="1693">
        <f t="shared" si="191"/>
        <v>0</v>
      </c>
      <c r="N934" s="1693">
        <f t="shared" si="191"/>
        <v>0</v>
      </c>
      <c r="O934" s="1693"/>
      <c r="P934" s="1693"/>
      <c r="Q934" s="989"/>
      <c r="R934" s="989"/>
      <c r="S934" s="989"/>
      <c r="T934" s="1862">
        <f t="shared" si="177"/>
        <v>0</v>
      </c>
    </row>
    <row r="935" spans="1:20" ht="22.2" hidden="1" customHeight="1">
      <c r="A935" s="1448">
        <f>COUNTIF($C$12:C935,"x")</f>
        <v>56</v>
      </c>
      <c r="B935" s="1455" t="s">
        <v>457</v>
      </c>
      <c r="C935" s="970" t="str">
        <f t="shared" si="170"/>
        <v xml:space="preserve"> </v>
      </c>
      <c r="D935" s="1414">
        <f>3.77*0.81</f>
        <v>3.0537000000000001</v>
      </c>
      <c r="E935" s="980"/>
      <c r="F935" s="992" t="str">
        <f>VLOOKUP($B935,DG!A:D,DG!$C$2,)</f>
        <v>Sắt góc L50 x50 x5</v>
      </c>
      <c r="G935" s="980" t="str">
        <f>VLOOKUP($B935,DG!A:D,DG!$D$2,)</f>
        <v>kg</v>
      </c>
      <c r="H935" s="1693">
        <f t="shared" si="191"/>
        <v>0</v>
      </c>
      <c r="I935" s="1693">
        <f t="shared" si="191"/>
        <v>0</v>
      </c>
      <c r="J935" s="1693">
        <f t="shared" si="191"/>
        <v>0</v>
      </c>
      <c r="K935" s="1693">
        <f t="shared" si="191"/>
        <v>0</v>
      </c>
      <c r="L935" s="1693">
        <f t="shared" si="191"/>
        <v>0</v>
      </c>
      <c r="M935" s="1693">
        <f t="shared" si="191"/>
        <v>0</v>
      </c>
      <c r="N935" s="1693">
        <f t="shared" si="191"/>
        <v>0</v>
      </c>
      <c r="O935" s="1693"/>
      <c r="P935" s="1693"/>
      <c r="Q935" s="989"/>
      <c r="R935" s="989"/>
      <c r="S935" s="989"/>
      <c r="T935" s="1862">
        <f t="shared" si="177"/>
        <v>0</v>
      </c>
    </row>
    <row r="936" spans="1:20" ht="22.2" hidden="1" customHeight="1">
      <c r="A936" s="1448">
        <f>COUNTIF($C$12:C936,"x")</f>
        <v>56</v>
      </c>
      <c r="B936" s="1455" t="s">
        <v>1609</v>
      </c>
      <c r="C936" s="970" t="str">
        <f t="shared" si="170"/>
        <v xml:space="preserve"> </v>
      </c>
      <c r="D936" s="1415">
        <v>2</v>
      </c>
      <c r="E936" s="980"/>
      <c r="F936" s="992" t="str">
        <f>VLOOKUP($B936,DG!A:D,DG!$C$2,)</f>
        <v>Boulon 16x250+ 2 long đền vuông D18-50x50x3/Zn</v>
      </c>
      <c r="G936" s="980" t="str">
        <f>VLOOKUP($B936,DG!A:D,DG!$D$2,)</f>
        <v>bộ</v>
      </c>
      <c r="H936" s="1693">
        <f t="shared" si="191"/>
        <v>0</v>
      </c>
      <c r="I936" s="1693">
        <f t="shared" si="191"/>
        <v>0</v>
      </c>
      <c r="J936" s="1693">
        <f t="shared" si="191"/>
        <v>0</v>
      </c>
      <c r="K936" s="1693">
        <f t="shared" si="191"/>
        <v>0</v>
      </c>
      <c r="L936" s="1693">
        <f t="shared" si="191"/>
        <v>0</v>
      </c>
      <c r="M936" s="1693">
        <f t="shared" si="191"/>
        <v>0</v>
      </c>
      <c r="N936" s="1693">
        <f t="shared" si="191"/>
        <v>0</v>
      </c>
      <c r="O936" s="1693"/>
      <c r="P936" s="1693"/>
      <c r="Q936" s="989"/>
      <c r="R936" s="989"/>
      <c r="S936" s="989"/>
      <c r="T936" s="1862">
        <f t="shared" si="177"/>
        <v>0</v>
      </c>
    </row>
    <row r="937" spans="1:20" ht="22.2" hidden="1" customHeight="1">
      <c r="A937" s="1448">
        <f>COUNTIF($C$12:C937,"x")</f>
        <v>56</v>
      </c>
      <c r="B937" s="1455" t="s">
        <v>1786</v>
      </c>
      <c r="C937" s="970" t="str">
        <f t="shared" si="170"/>
        <v xml:space="preserve"> </v>
      </c>
      <c r="D937" s="1415">
        <v>1</v>
      </c>
      <c r="E937" s="980"/>
      <c r="F937" s="992" t="str">
        <f>VLOOKUP($B937,DG!A:D,DG!$C$2,)</f>
        <v>Boulon 16x50+ 2 long đền vuông D18-50x50x3/Zn</v>
      </c>
      <c r="G937" s="980" t="str">
        <f>VLOOKUP($B937,DG!A:D,DG!$D$2,)</f>
        <v>bộ</v>
      </c>
      <c r="H937" s="1693">
        <f t="shared" si="191"/>
        <v>0</v>
      </c>
      <c r="I937" s="1693">
        <f t="shared" si="191"/>
        <v>0</v>
      </c>
      <c r="J937" s="1693">
        <f t="shared" si="191"/>
        <v>0</v>
      </c>
      <c r="K937" s="1693">
        <f t="shared" si="191"/>
        <v>0</v>
      </c>
      <c r="L937" s="1693">
        <f t="shared" si="191"/>
        <v>0</v>
      </c>
      <c r="M937" s="1693">
        <f t="shared" si="191"/>
        <v>0</v>
      </c>
      <c r="N937" s="1693">
        <f t="shared" si="191"/>
        <v>0</v>
      </c>
      <c r="O937" s="1693"/>
      <c r="P937" s="1693"/>
      <c r="Q937" s="989"/>
      <c r="R937" s="989"/>
      <c r="S937" s="989"/>
      <c r="T937" s="1862">
        <f t="shared" si="177"/>
        <v>0</v>
      </c>
    </row>
    <row r="938" spans="1:20" ht="22.2" hidden="1" customHeight="1">
      <c r="A938" s="1448">
        <f>COUNTIF($C$12:C938,"x")</f>
        <v>56</v>
      </c>
      <c r="B938" s="1469" t="s">
        <v>1995</v>
      </c>
      <c r="C938" s="970" t="str">
        <f t="shared" si="170"/>
        <v xml:space="preserve"> </v>
      </c>
      <c r="D938" s="1415">
        <v>1</v>
      </c>
      <c r="E938" s="980" t="str">
        <f>VLOOKUP($B938,DG!A:D,DG!$B$2,)</f>
        <v>05.6401</v>
      </c>
      <c r="F938" s="985" t="str">
        <f>VLOOKUP($B938,DG!A:D,DG!$C$2,)</f>
        <v>Lắp xà đỡ ≤ 25kg</v>
      </c>
      <c r="G938" s="980" t="str">
        <f>VLOOKUP($B938,DG!A:D,DG!$D$2,)</f>
        <v>bộ</v>
      </c>
      <c r="H938" s="1693"/>
      <c r="I938" s="1693"/>
      <c r="J938" s="1693"/>
      <c r="K938" s="1693"/>
      <c r="L938" s="1693"/>
      <c r="M938" s="1693"/>
      <c r="N938" s="1693"/>
      <c r="O938" s="1693"/>
      <c r="P938" s="1693"/>
      <c r="Q938" s="994"/>
      <c r="R938" s="994"/>
      <c r="S938" s="994"/>
      <c r="T938" s="1862">
        <f t="shared" si="177"/>
        <v>0</v>
      </c>
    </row>
    <row r="939" spans="1:20" ht="22.2" hidden="1" customHeight="1">
      <c r="A939" s="1448">
        <f>COUNTIF($C$12:C939,"x")</f>
        <v>56</v>
      </c>
      <c r="B939" s="1455" t="s">
        <v>1996</v>
      </c>
      <c r="C939" s="970" t="str">
        <f t="shared" si="170"/>
        <v xml:space="preserve"> </v>
      </c>
      <c r="D939" s="1413"/>
      <c r="E939" s="980" t="str">
        <f>VLOOKUP($B939,DG!A:D,DG!$B$2,)</f>
        <v>02.1115</v>
      </c>
      <c r="F939" s="985" t="str">
        <f>VLOOKUP($B939,DG!A:D,DG!$C$2,)</f>
        <v>Bốc dỡ xà, thép thanh</v>
      </c>
      <c r="G939" s="980" t="str">
        <f>VLOOKUP($B939,DG!A:D,DG!$D$2,)</f>
        <v>tấn</v>
      </c>
      <c r="H939" s="1693"/>
      <c r="I939" s="1693"/>
      <c r="J939" s="1693"/>
      <c r="K939" s="1693"/>
      <c r="L939" s="1693"/>
      <c r="M939" s="1693"/>
      <c r="N939" s="1693"/>
      <c r="O939" s="1693"/>
      <c r="P939" s="1693"/>
      <c r="Q939" s="994"/>
      <c r="R939" s="994"/>
      <c r="S939" s="994"/>
      <c r="T939" s="1862">
        <f t="shared" si="177"/>
        <v>0</v>
      </c>
    </row>
    <row r="940" spans="1:20" ht="22.2" hidden="1" customHeight="1">
      <c r="A940" s="1448">
        <f>COUNTIF($C$12:C940,"x")</f>
        <v>56</v>
      </c>
      <c r="B940" s="1464" t="s">
        <v>1997</v>
      </c>
      <c r="C940" s="970" t="str">
        <f t="shared" si="170"/>
        <v xml:space="preserve"> </v>
      </c>
      <c r="D940" s="1413"/>
      <c r="E940" s="980" t="str">
        <f>VLOOKUP($B940,DG!A:C,2,)</f>
        <v>02.1361</v>
      </c>
      <c r="F940" s="985" t="str">
        <f>VLOOKUP($B940,DG!A:C,3,)</f>
        <v>V/c xà vào vị trí (cư ly &lt;=100m)</v>
      </c>
      <c r="G940" s="980" t="str">
        <f>VLOOKUP($B940,DG!A:D,4,0)</f>
        <v>tấn</v>
      </c>
      <c r="H940" s="1693"/>
      <c r="I940" s="1693"/>
      <c r="J940" s="1693"/>
      <c r="K940" s="1693"/>
      <c r="L940" s="1693"/>
      <c r="M940" s="1693"/>
      <c r="N940" s="1693"/>
      <c r="O940" s="1693"/>
      <c r="P940" s="1693"/>
      <c r="Q940" s="994"/>
      <c r="R940" s="994"/>
      <c r="S940" s="994"/>
      <c r="T940" s="1862">
        <f t="shared" si="177"/>
        <v>0</v>
      </c>
    </row>
    <row r="941" spans="1:20" ht="22.2" hidden="1" customHeight="1">
      <c r="A941" s="1448">
        <f>COUNTIF($C$12:C941,"x")</f>
        <v>56</v>
      </c>
      <c r="B941" s="1464" t="s">
        <v>635</v>
      </c>
      <c r="C941" s="970" t="str">
        <f t="shared" si="170"/>
        <v xml:space="preserve"> </v>
      </c>
      <c r="D941" s="1414"/>
      <c r="E941" s="980" t="str">
        <f>VLOOKUP($B941,DG!A:C,2,)</f>
        <v>02.1482</v>
      </c>
      <c r="F941" s="985" t="str">
        <f>VLOOKUP($B941,DG!A:C,3,)</f>
        <v>V/c dụng cụ thi công vào vị trí (cự ly &lt;=100m)</v>
      </c>
      <c r="G941" s="980" t="str">
        <f>VLOOKUP($B941,DG!A:D,4,0)</f>
        <v>tấn</v>
      </c>
      <c r="H941" s="1693"/>
      <c r="I941" s="1693"/>
      <c r="J941" s="1693"/>
      <c r="K941" s="1693"/>
      <c r="L941" s="1693"/>
      <c r="M941" s="1693"/>
      <c r="N941" s="1693"/>
      <c r="O941" s="1693"/>
      <c r="P941" s="1693"/>
      <c r="Q941" s="994"/>
      <c r="R941" s="994"/>
      <c r="S941" s="994"/>
      <c r="T941" s="1862">
        <f t="shared" si="177"/>
        <v>0</v>
      </c>
    </row>
    <row r="942" spans="1:20" ht="22.2" hidden="1" customHeight="1">
      <c r="A942" s="1448">
        <f>COUNTIF($C$12:C942,"x")</f>
        <v>56</v>
      </c>
      <c r="B942" s="1452" t="s">
        <v>344</v>
      </c>
      <c r="C942" s="970" t="str">
        <f t="shared" si="170"/>
        <v xml:space="preserve"> </v>
      </c>
      <c r="D942" s="1412"/>
      <c r="E942" s="981"/>
      <c r="F942" s="1276" t="s">
        <v>2429</v>
      </c>
      <c r="G942" s="982" t="s">
        <v>2385</v>
      </c>
      <c r="H942" s="1691">
        <f>SUM(I942:O942)</f>
        <v>0</v>
      </c>
      <c r="I942" s="1692"/>
      <c r="J942" s="1692"/>
      <c r="K942" s="1692">
        <f>IFERROR(HLOOKUP(B942,pp3p1m!$1:$3,2,0),0)</f>
        <v>0</v>
      </c>
      <c r="L942" s="1692">
        <f>IFERROR(HLOOKUP(chitiet!B942,pp1p!$1:$3,3,0),0)</f>
        <v>0</v>
      </c>
      <c r="M942" s="1692"/>
      <c r="N942" s="1692"/>
      <c r="O942" s="1692"/>
      <c r="P942" s="2674">
        <f>T942</f>
        <v>0</v>
      </c>
      <c r="Q942" s="983">
        <f>IF(P942&gt;H942,P942-H942,0)</f>
        <v>0</v>
      </c>
      <c r="R942" s="983">
        <f>IF(H942&gt;P942,H942-P942,0)</f>
        <v>0</v>
      </c>
      <c r="S942" s="983"/>
      <c r="T942" s="1862">
        <f>IFERROR(HLOOKUP(B942,pp1p!$1:$3,3,0),0)+IFERROR(HLOOKUP(B942,pp3p1m!$1:$3,3,0),0)</f>
        <v>0</v>
      </c>
    </row>
    <row r="943" spans="1:20" ht="22.2" hidden="1" customHeight="1">
      <c r="A943" s="1448">
        <f>COUNTIF($C$12:C943,"x")</f>
        <v>56</v>
      </c>
      <c r="B943" s="1455" t="s">
        <v>109</v>
      </c>
      <c r="C943" s="970" t="str">
        <f t="shared" si="170"/>
        <v xml:space="preserve"> </v>
      </c>
      <c r="D943" s="1414">
        <f>9.02*(0.8+0.07)*2</f>
        <v>15.694800000000001</v>
      </c>
      <c r="E943" s="980"/>
      <c r="F943" s="992" t="str">
        <f>VLOOKUP($B943,DG!A:D,DG!$C$2,)</f>
        <v>Sắt góc L75 x75 x8</v>
      </c>
      <c r="G943" s="980" t="str">
        <f>VLOOKUP($B943,DG!A:D,DG!$D$2,)</f>
        <v>kg</v>
      </c>
      <c r="H943" s="1693">
        <f t="shared" ref="H943:N947" si="192">H$942*$D943</f>
        <v>0</v>
      </c>
      <c r="I943" s="1693">
        <f t="shared" si="192"/>
        <v>0</v>
      </c>
      <c r="J943" s="1693">
        <f t="shared" si="192"/>
        <v>0</v>
      </c>
      <c r="K943" s="1693">
        <f t="shared" si="192"/>
        <v>0</v>
      </c>
      <c r="L943" s="1693">
        <f t="shared" si="192"/>
        <v>0</v>
      </c>
      <c r="M943" s="1693">
        <f t="shared" si="192"/>
        <v>0</v>
      </c>
      <c r="N943" s="1693">
        <f t="shared" si="192"/>
        <v>0</v>
      </c>
      <c r="O943" s="1693"/>
      <c r="P943" s="1693"/>
      <c r="Q943" s="989"/>
      <c r="R943" s="989"/>
      <c r="S943" s="989"/>
      <c r="T943" s="1862">
        <f t="shared" si="177"/>
        <v>0</v>
      </c>
    </row>
    <row r="944" spans="1:20" ht="22.2" hidden="1" customHeight="1">
      <c r="A944" s="1448">
        <f>COUNTIF($C$12:C944,"x")</f>
        <v>56</v>
      </c>
      <c r="B944" s="1455" t="s">
        <v>457</v>
      </c>
      <c r="C944" s="970" t="str">
        <f t="shared" si="170"/>
        <v xml:space="preserve"> </v>
      </c>
      <c r="D944" s="1414">
        <f>3.77*0.81*2</f>
        <v>6.1074000000000002</v>
      </c>
      <c r="E944" s="980"/>
      <c r="F944" s="992" t="str">
        <f>VLOOKUP($B944,DG!A:D,DG!$C$2,)</f>
        <v>Sắt góc L50 x50 x5</v>
      </c>
      <c r="G944" s="980" t="str">
        <f>VLOOKUP($B944,DG!A:D,DG!$D$2,)</f>
        <v>kg</v>
      </c>
      <c r="H944" s="1693">
        <f t="shared" si="192"/>
        <v>0</v>
      </c>
      <c r="I944" s="1693">
        <f t="shared" si="192"/>
        <v>0</v>
      </c>
      <c r="J944" s="1693">
        <f t="shared" si="192"/>
        <v>0</v>
      </c>
      <c r="K944" s="1693">
        <f t="shared" si="192"/>
        <v>0</v>
      </c>
      <c r="L944" s="1693">
        <f t="shared" si="192"/>
        <v>0</v>
      </c>
      <c r="M944" s="1693">
        <f t="shared" si="192"/>
        <v>0</v>
      </c>
      <c r="N944" s="1693">
        <f t="shared" si="192"/>
        <v>0</v>
      </c>
      <c r="O944" s="1693"/>
      <c r="P944" s="1693"/>
      <c r="Q944" s="989"/>
      <c r="R944" s="989"/>
      <c r="S944" s="989"/>
      <c r="T944" s="1862">
        <f t="shared" si="177"/>
        <v>0</v>
      </c>
    </row>
    <row r="945" spans="1:20" ht="22.2" hidden="1" customHeight="1">
      <c r="A945" s="1448">
        <f>COUNTIF($C$12:C945,"x")</f>
        <v>56</v>
      </c>
      <c r="B945" s="1455" t="s">
        <v>1083</v>
      </c>
      <c r="C945" s="970" t="str">
        <f t="shared" si="170"/>
        <v xml:space="preserve"> </v>
      </c>
      <c r="D945" s="1415">
        <v>2</v>
      </c>
      <c r="E945" s="980"/>
      <c r="F945" s="992" t="str">
        <f>VLOOKUP($B945,DG!A:D,DG!$C$2,)</f>
        <v>Boulon 16x400+ 2 long đền vuông D18-50x50x3/Zn</v>
      </c>
      <c r="G945" s="980" t="str">
        <f>VLOOKUP($B945,DG!A:D,DG!$D$2,)</f>
        <v>bộ</v>
      </c>
      <c r="H945" s="1693">
        <f t="shared" si="192"/>
        <v>0</v>
      </c>
      <c r="I945" s="1693">
        <f t="shared" si="192"/>
        <v>0</v>
      </c>
      <c r="J945" s="1693">
        <f t="shared" si="192"/>
        <v>0</v>
      </c>
      <c r="K945" s="1693">
        <f t="shared" si="192"/>
        <v>0</v>
      </c>
      <c r="L945" s="1693">
        <f t="shared" si="192"/>
        <v>0</v>
      </c>
      <c r="M945" s="1693">
        <f t="shared" si="192"/>
        <v>0</v>
      </c>
      <c r="N945" s="1693">
        <f t="shared" si="192"/>
        <v>0</v>
      </c>
      <c r="O945" s="1693"/>
      <c r="P945" s="1693"/>
      <c r="Q945" s="989"/>
      <c r="R945" s="989"/>
      <c r="S945" s="989"/>
      <c r="T945" s="1862">
        <f t="shared" si="177"/>
        <v>0</v>
      </c>
    </row>
    <row r="946" spans="1:20" ht="22.2" hidden="1" customHeight="1">
      <c r="A946" s="1448">
        <f>COUNTIF($C$12:C946,"x")</f>
        <v>56</v>
      </c>
      <c r="B946" s="1455" t="s">
        <v>1739</v>
      </c>
      <c r="C946" s="970" t="str">
        <f t="shared" si="170"/>
        <v xml:space="preserve"> </v>
      </c>
      <c r="D946" s="1415">
        <v>1</v>
      </c>
      <c r="E946" s="980"/>
      <c r="F946" s="992" t="str">
        <f>VLOOKUP($B946,DG!A:D,DG!$C$2,)</f>
        <v>Boulon 16x400VRS+ 4 long đền vuông D18-50x50x3/Zn</v>
      </c>
      <c r="G946" s="980" t="str">
        <f>VLOOKUP($B946,DG!A:D,DG!$D$2,)</f>
        <v>bộ</v>
      </c>
      <c r="H946" s="1693">
        <f t="shared" si="192"/>
        <v>0</v>
      </c>
      <c r="I946" s="1693">
        <f t="shared" si="192"/>
        <v>0</v>
      </c>
      <c r="J946" s="1693">
        <f t="shared" si="192"/>
        <v>0</v>
      </c>
      <c r="K946" s="1693">
        <f t="shared" si="192"/>
        <v>0</v>
      </c>
      <c r="L946" s="1693">
        <f t="shared" si="192"/>
        <v>0</v>
      </c>
      <c r="M946" s="1693">
        <f t="shared" si="192"/>
        <v>0</v>
      </c>
      <c r="N946" s="1693">
        <f t="shared" si="192"/>
        <v>0</v>
      </c>
      <c r="O946" s="1693"/>
      <c r="P946" s="1693"/>
      <c r="Q946" s="989"/>
      <c r="R946" s="989"/>
      <c r="S946" s="989"/>
      <c r="T946" s="1862">
        <f t="shared" si="177"/>
        <v>0</v>
      </c>
    </row>
    <row r="947" spans="1:20" ht="22.2" hidden="1" customHeight="1">
      <c r="A947" s="1448">
        <f>COUNTIF($C$12:C947,"x")</f>
        <v>56</v>
      </c>
      <c r="B947" s="1455" t="s">
        <v>1786</v>
      </c>
      <c r="C947" s="970" t="str">
        <f t="shared" si="170"/>
        <v xml:space="preserve"> </v>
      </c>
      <c r="D947" s="1415">
        <v>2</v>
      </c>
      <c r="E947" s="980"/>
      <c r="F947" s="992" t="str">
        <f>VLOOKUP($B947,DG!A:D,DG!$C$2,)</f>
        <v>Boulon 16x50+ 2 long đền vuông D18-50x50x3/Zn</v>
      </c>
      <c r="G947" s="980" t="str">
        <f>VLOOKUP($B947,DG!A:D,DG!$D$2,)</f>
        <v>bộ</v>
      </c>
      <c r="H947" s="1693">
        <f t="shared" si="192"/>
        <v>0</v>
      </c>
      <c r="I947" s="1693">
        <f t="shared" si="192"/>
        <v>0</v>
      </c>
      <c r="J947" s="1693">
        <f t="shared" si="192"/>
        <v>0</v>
      </c>
      <c r="K947" s="1693">
        <f t="shared" si="192"/>
        <v>0</v>
      </c>
      <c r="L947" s="1693">
        <f t="shared" si="192"/>
        <v>0</v>
      </c>
      <c r="M947" s="1693">
        <f t="shared" si="192"/>
        <v>0</v>
      </c>
      <c r="N947" s="1693">
        <f t="shared" si="192"/>
        <v>0</v>
      </c>
      <c r="O947" s="1693"/>
      <c r="P947" s="1693"/>
      <c r="Q947" s="989"/>
      <c r="R947" s="989"/>
      <c r="S947" s="989"/>
      <c r="T947" s="1862">
        <f t="shared" si="177"/>
        <v>0</v>
      </c>
    </row>
    <row r="948" spans="1:20" ht="22.2" hidden="1" customHeight="1">
      <c r="A948" s="1448">
        <f>COUNTIF($C$12:C948,"x")</f>
        <v>56</v>
      </c>
      <c r="B948" s="1469" t="s">
        <v>2007</v>
      </c>
      <c r="C948" s="970" t="str">
        <f t="shared" si="170"/>
        <v xml:space="preserve"> </v>
      </c>
      <c r="D948" s="1415">
        <v>1</v>
      </c>
      <c r="E948" s="980" t="str">
        <f>VLOOKUP($B948,DG!A:D,DG!$B$2,)</f>
        <v>05.6201</v>
      </c>
      <c r="F948" s="985" t="str">
        <f>VLOOKUP($B948,DG!A:D,DG!$C$2,)</f>
        <v>Lắp xà néo ≤ 25kg</v>
      </c>
      <c r="G948" s="980" t="str">
        <f>VLOOKUP($B948,DG!A:D,DG!$D$2,)</f>
        <v>bộ</v>
      </c>
      <c r="H948" s="1693"/>
      <c r="I948" s="1693"/>
      <c r="J948" s="1693"/>
      <c r="K948" s="1693"/>
      <c r="L948" s="1693"/>
      <c r="M948" s="1693"/>
      <c r="N948" s="1693"/>
      <c r="O948" s="1693"/>
      <c r="P948" s="1693"/>
      <c r="Q948" s="994"/>
      <c r="R948" s="994"/>
      <c r="S948" s="994"/>
      <c r="T948" s="1862">
        <f t="shared" si="177"/>
        <v>0</v>
      </c>
    </row>
    <row r="949" spans="1:20" ht="22.2" hidden="1" customHeight="1">
      <c r="A949" s="1448">
        <f>COUNTIF($C$12:C949,"x")</f>
        <v>56</v>
      </c>
      <c r="B949" s="1455" t="s">
        <v>1996</v>
      </c>
      <c r="C949" s="970" t="str">
        <f t="shared" si="170"/>
        <v xml:space="preserve"> </v>
      </c>
      <c r="D949" s="1413"/>
      <c r="E949" s="980" t="str">
        <f>VLOOKUP($B949,DG!A:D,DG!$B$2,)</f>
        <v>02.1115</v>
      </c>
      <c r="F949" s="985" t="str">
        <f>VLOOKUP($B949,DG!A:D,DG!$C$2,)</f>
        <v>Bốc dỡ xà, thép thanh</v>
      </c>
      <c r="G949" s="980" t="str">
        <f>VLOOKUP($B949,DG!A:D,DG!$D$2,)</f>
        <v>tấn</v>
      </c>
      <c r="H949" s="1693"/>
      <c r="I949" s="1693"/>
      <c r="J949" s="1693"/>
      <c r="K949" s="1693"/>
      <c r="L949" s="1693"/>
      <c r="M949" s="1693"/>
      <c r="N949" s="1693"/>
      <c r="O949" s="1693"/>
      <c r="P949" s="1693"/>
      <c r="Q949" s="994"/>
      <c r="R949" s="994"/>
      <c r="S949" s="994"/>
      <c r="T949" s="1862">
        <f t="shared" si="177"/>
        <v>0</v>
      </c>
    </row>
    <row r="950" spans="1:20" ht="22.2" hidden="1" customHeight="1">
      <c r="A950" s="1448">
        <f>COUNTIF($C$12:C950,"x")</f>
        <v>56</v>
      </c>
      <c r="B950" s="1464" t="s">
        <v>1997</v>
      </c>
      <c r="C950" s="970" t="str">
        <f t="shared" ref="C950:C1013" si="193">IF(OR(P950&lt;&gt;0,H950&lt;&gt;0),"x"," ")</f>
        <v xml:space="preserve"> </v>
      </c>
      <c r="D950" s="1413"/>
      <c r="E950" s="980" t="str">
        <f>VLOOKUP($B950,DG!A:C,2,)</f>
        <v>02.1361</v>
      </c>
      <c r="F950" s="985" t="str">
        <f>VLOOKUP($B950,DG!A:C,3,)</f>
        <v>V/c xà vào vị trí (cư ly &lt;=100m)</v>
      </c>
      <c r="G950" s="980" t="str">
        <f>VLOOKUP($B950,DG!A:D,4,0)</f>
        <v>tấn</v>
      </c>
      <c r="H950" s="1693"/>
      <c r="I950" s="1693"/>
      <c r="J950" s="1693"/>
      <c r="K950" s="1693"/>
      <c r="L950" s="1693"/>
      <c r="M950" s="1693"/>
      <c r="N950" s="1693"/>
      <c r="O950" s="1693"/>
      <c r="P950" s="1693"/>
      <c r="Q950" s="994"/>
      <c r="R950" s="994"/>
      <c r="S950" s="994"/>
      <c r="T950" s="1862">
        <f t="shared" si="177"/>
        <v>0</v>
      </c>
    </row>
    <row r="951" spans="1:20" ht="22.2" hidden="1" customHeight="1">
      <c r="A951" s="1448">
        <f>COUNTIF($C$12:C951,"x")</f>
        <v>56</v>
      </c>
      <c r="B951" s="1464" t="s">
        <v>635</v>
      </c>
      <c r="C951" s="970" t="str">
        <f t="shared" si="193"/>
        <v xml:space="preserve"> </v>
      </c>
      <c r="D951" s="1414"/>
      <c r="E951" s="980" t="str">
        <f>VLOOKUP($B951,DG!A:C,2,)</f>
        <v>02.1482</v>
      </c>
      <c r="F951" s="985" t="str">
        <f>VLOOKUP($B951,DG!A:C,3,)</f>
        <v>V/c dụng cụ thi công vào vị trí (cự ly &lt;=100m)</v>
      </c>
      <c r="G951" s="980" t="str">
        <f>VLOOKUP($B951,DG!A:D,4,0)</f>
        <v>tấn</v>
      </c>
      <c r="H951" s="1693"/>
      <c r="I951" s="1693"/>
      <c r="J951" s="1693"/>
      <c r="K951" s="1693"/>
      <c r="L951" s="1693"/>
      <c r="M951" s="1693"/>
      <c r="N951" s="1693"/>
      <c r="O951" s="1693"/>
      <c r="P951" s="1693"/>
      <c r="Q951" s="994"/>
      <c r="R951" s="994"/>
      <c r="S951" s="994"/>
      <c r="T951" s="1862">
        <f t="shared" si="177"/>
        <v>0</v>
      </c>
    </row>
    <row r="952" spans="1:20" ht="22.2" customHeight="1">
      <c r="A952" s="1448">
        <f>COUNTIF($C$12:C952,"x")</f>
        <v>57</v>
      </c>
      <c r="B952" s="1452" t="s">
        <v>2292</v>
      </c>
      <c r="C952" s="970" t="str">
        <f t="shared" si="193"/>
        <v>x</v>
      </c>
      <c r="D952" s="1426"/>
      <c r="E952" s="981"/>
      <c r="F952" s="1276" t="s">
        <v>2430</v>
      </c>
      <c r="G952" s="982" t="s">
        <v>2385</v>
      </c>
      <c r="H952" s="1691">
        <f>SUM(I952:O952)</f>
        <v>1</v>
      </c>
      <c r="I952" s="1692"/>
      <c r="J952" s="1692"/>
      <c r="K952" s="1692">
        <f>IFERROR(HLOOKUP(B952,pp3p1m!$1:$3,2,0),0)</f>
        <v>1</v>
      </c>
      <c r="L952" s="1692">
        <f>IFERROR(HLOOKUP(chitiet!B952,pp1p!$1:$3,3,0),0)</f>
        <v>0</v>
      </c>
      <c r="M952" s="1692"/>
      <c r="N952" s="1692"/>
      <c r="O952" s="1692"/>
      <c r="P952" s="1691">
        <f>T952</f>
        <v>1</v>
      </c>
      <c r="Q952" s="2677">
        <f>IF(P952&gt;H952,P952-H952,0)</f>
        <v>0</v>
      </c>
      <c r="R952" s="1691">
        <f>IF(H952&gt;P952,H952-P952,0)</f>
        <v>0</v>
      </c>
      <c r="S952" s="983"/>
      <c r="T952" s="1862">
        <f>IFERROR(HLOOKUP(B952,pp1p!$1:$3,3,0),0)+IFERROR(HLOOKUP(B952,pp3p1m!$1:$3,3,0),0)</f>
        <v>1</v>
      </c>
    </row>
    <row r="953" spans="1:20" ht="22.2" customHeight="1">
      <c r="A953" s="1448">
        <f>COUNTIF($C$12:C953,"x")</f>
        <v>58</v>
      </c>
      <c r="B953" s="1455" t="s">
        <v>4821</v>
      </c>
      <c r="C953" s="970" t="str">
        <f t="shared" si="193"/>
        <v>x</v>
      </c>
      <c r="D953" s="1414">
        <v>1</v>
      </c>
      <c r="E953" s="980"/>
      <c r="F953" s="992" t="str">
        <f>VLOOKUP($B953,DG!A:D,DG!$C$2,)</f>
        <v>Sắt góc L75 x75 x8-2100</v>
      </c>
      <c r="G953" s="980" t="str">
        <f>VLOOKUP($B953,DG!A:D,DG!$D$2,)</f>
        <v>cái</v>
      </c>
      <c r="H953" s="1693">
        <f t="shared" ref="H953:R957" si="194">H$952*$D953</f>
        <v>1</v>
      </c>
      <c r="I953" s="1693">
        <f t="shared" si="194"/>
        <v>0</v>
      </c>
      <c r="J953" s="1693">
        <f t="shared" si="194"/>
        <v>0</v>
      </c>
      <c r="K953" s="1693">
        <f t="shared" si="194"/>
        <v>1</v>
      </c>
      <c r="L953" s="1693">
        <f t="shared" si="194"/>
        <v>0</v>
      </c>
      <c r="M953" s="1693">
        <f t="shared" si="194"/>
        <v>0</v>
      </c>
      <c r="N953" s="1693">
        <f t="shared" si="194"/>
        <v>0</v>
      </c>
      <c r="O953" s="1693">
        <f t="shared" si="194"/>
        <v>0</v>
      </c>
      <c r="P953" s="1693">
        <f t="shared" si="194"/>
        <v>1</v>
      </c>
      <c r="Q953" s="1693">
        <f t="shared" si="194"/>
        <v>0</v>
      </c>
      <c r="R953" s="1693">
        <f t="shared" si="194"/>
        <v>0</v>
      </c>
      <c r="S953" s="989"/>
      <c r="T953" s="1862">
        <f t="shared" si="177"/>
        <v>0</v>
      </c>
    </row>
    <row r="954" spans="1:20" ht="22.2" customHeight="1">
      <c r="A954" s="1448">
        <f>COUNTIF($C$12:C954,"x")</f>
        <v>59</v>
      </c>
      <c r="B954" s="1455" t="s">
        <v>4822</v>
      </c>
      <c r="C954" s="970" t="str">
        <f t="shared" si="193"/>
        <v>x</v>
      </c>
      <c r="D954" s="1414">
        <v>1</v>
      </c>
      <c r="E954" s="980"/>
      <c r="F954" s="992" t="str">
        <f>VLOOKUP($B954,DG!A:D,DG!$C$2,)</f>
        <v>Sắt góc L50 x50 x5 x1190</v>
      </c>
      <c r="G954" s="980" t="str">
        <f>VLOOKUP($B954,DG!A:D,DG!$D$2,)</f>
        <v>cái</v>
      </c>
      <c r="H954" s="1693">
        <f t="shared" si="194"/>
        <v>1</v>
      </c>
      <c r="I954" s="1693">
        <f t="shared" si="194"/>
        <v>0</v>
      </c>
      <c r="J954" s="1693">
        <f t="shared" si="194"/>
        <v>0</v>
      </c>
      <c r="K954" s="1693">
        <f t="shared" si="194"/>
        <v>1</v>
      </c>
      <c r="L954" s="1693">
        <f t="shared" si="194"/>
        <v>0</v>
      </c>
      <c r="M954" s="1693">
        <f t="shared" si="194"/>
        <v>0</v>
      </c>
      <c r="N954" s="1693">
        <f t="shared" si="194"/>
        <v>0</v>
      </c>
      <c r="O954" s="1693"/>
      <c r="P954" s="1693">
        <f t="shared" si="194"/>
        <v>1</v>
      </c>
      <c r="Q954" s="1693">
        <f t="shared" si="194"/>
        <v>0</v>
      </c>
      <c r="R954" s="1693">
        <f t="shared" si="194"/>
        <v>0</v>
      </c>
      <c r="S954" s="989"/>
      <c r="T954" s="1862">
        <f t="shared" si="177"/>
        <v>0</v>
      </c>
    </row>
    <row r="955" spans="1:20" ht="22.2" hidden="1" customHeight="1">
      <c r="A955" s="1448">
        <f>COUNTIF($C$12:C955,"x")</f>
        <v>59</v>
      </c>
      <c r="B955" s="1455" t="s">
        <v>2106</v>
      </c>
      <c r="C955" s="970" t="str">
        <f t="shared" si="193"/>
        <v xml:space="preserve"> </v>
      </c>
      <c r="D955" s="1414"/>
      <c r="E955" s="980"/>
      <c r="F955" s="992" t="str">
        <f>VLOOKUP($B955,DG!A:D,DG!$C$2,)</f>
        <v>Sắt dẹt 50x5</v>
      </c>
      <c r="G955" s="980" t="str">
        <f>VLOOKUP($B955,DG!A:D,DG!$D$2,)</f>
        <v>kg</v>
      </c>
      <c r="H955" s="1693">
        <f t="shared" si="194"/>
        <v>0</v>
      </c>
      <c r="I955" s="1693">
        <f t="shared" si="194"/>
        <v>0</v>
      </c>
      <c r="J955" s="1693">
        <f t="shared" si="194"/>
        <v>0</v>
      </c>
      <c r="K955" s="1693">
        <f t="shared" si="194"/>
        <v>0</v>
      </c>
      <c r="L955" s="1693">
        <f t="shared" si="194"/>
        <v>0</v>
      </c>
      <c r="M955" s="1693">
        <f t="shared" si="194"/>
        <v>0</v>
      </c>
      <c r="N955" s="1693">
        <f t="shared" si="194"/>
        <v>0</v>
      </c>
      <c r="O955" s="1693"/>
      <c r="P955" s="1693"/>
      <c r="Q955" s="989"/>
      <c r="R955" s="1693"/>
      <c r="S955" s="989"/>
      <c r="T955" s="1862">
        <f t="shared" si="177"/>
        <v>0</v>
      </c>
    </row>
    <row r="956" spans="1:20" ht="22.2" customHeight="1">
      <c r="A956" s="1448">
        <f>COUNTIF($C$12:C956,"x")</f>
        <v>60</v>
      </c>
      <c r="B956" s="1455" t="s">
        <v>1610</v>
      </c>
      <c r="C956" s="970" t="str">
        <f t="shared" si="193"/>
        <v>x</v>
      </c>
      <c r="D956" s="1415">
        <v>2</v>
      </c>
      <c r="E956" s="980"/>
      <c r="F956" s="992" t="str">
        <f>VLOOKUP($B956,DG!A:D,DG!$C$2,)</f>
        <v>Boulon 16x300+ 2 long đền vuông D18-50x50x3/Zn</v>
      </c>
      <c r="G956" s="980" t="str">
        <f>VLOOKUP($B956,DG!A:D,DG!$D$2,)</f>
        <v>bộ</v>
      </c>
      <c r="H956" s="1693">
        <f t="shared" si="194"/>
        <v>2</v>
      </c>
      <c r="I956" s="1693">
        <f t="shared" si="194"/>
        <v>0</v>
      </c>
      <c r="J956" s="1693">
        <f t="shared" si="194"/>
        <v>0</v>
      </c>
      <c r="K956" s="1693">
        <f t="shared" si="194"/>
        <v>2</v>
      </c>
      <c r="L956" s="1693">
        <f t="shared" si="194"/>
        <v>0</v>
      </c>
      <c r="M956" s="1693">
        <f t="shared" si="194"/>
        <v>0</v>
      </c>
      <c r="N956" s="1693">
        <f t="shared" si="194"/>
        <v>0</v>
      </c>
      <c r="O956" s="1693"/>
      <c r="P956" s="1693">
        <f t="shared" si="194"/>
        <v>2</v>
      </c>
      <c r="Q956" s="1693">
        <f t="shared" si="194"/>
        <v>0</v>
      </c>
      <c r="R956" s="1693">
        <f t="shared" si="194"/>
        <v>0</v>
      </c>
      <c r="S956" s="989"/>
      <c r="T956" s="1862">
        <f t="shared" ref="T956:T1019" si="195">IFERROR(HLOOKUP(B956,BangKeTru,3,0),0)</f>
        <v>0</v>
      </c>
    </row>
    <row r="957" spans="1:20" ht="22.2" customHeight="1">
      <c r="A957" s="1448">
        <f>COUNTIF($C$12:C957,"x")</f>
        <v>61</v>
      </c>
      <c r="B957" s="1455" t="s">
        <v>1786</v>
      </c>
      <c r="C957" s="970" t="str">
        <f t="shared" si="193"/>
        <v>x</v>
      </c>
      <c r="D957" s="1415">
        <v>1</v>
      </c>
      <c r="E957" s="980"/>
      <c r="F957" s="992" t="str">
        <f>VLOOKUP($B957,DG!A:D,DG!$C$2,)</f>
        <v>Boulon 16x50+ 2 long đền vuông D18-50x50x3/Zn</v>
      </c>
      <c r="G957" s="980" t="str">
        <f>VLOOKUP($B957,DG!A:D,DG!$D$2,)</f>
        <v>bộ</v>
      </c>
      <c r="H957" s="1693">
        <f t="shared" si="194"/>
        <v>1</v>
      </c>
      <c r="I957" s="1693">
        <f t="shared" si="194"/>
        <v>0</v>
      </c>
      <c r="J957" s="1693">
        <f t="shared" si="194"/>
        <v>0</v>
      </c>
      <c r="K957" s="1693">
        <f t="shared" si="194"/>
        <v>1</v>
      </c>
      <c r="L957" s="1693">
        <f t="shared" si="194"/>
        <v>0</v>
      </c>
      <c r="M957" s="1693">
        <f t="shared" si="194"/>
        <v>0</v>
      </c>
      <c r="N957" s="1693">
        <f t="shared" si="194"/>
        <v>0</v>
      </c>
      <c r="O957" s="1693"/>
      <c r="P957" s="1693">
        <f t="shared" si="194"/>
        <v>1</v>
      </c>
      <c r="Q957" s="1693">
        <f t="shared" si="194"/>
        <v>0</v>
      </c>
      <c r="R957" s="1693">
        <f t="shared" si="194"/>
        <v>0</v>
      </c>
      <c r="S957" s="989"/>
      <c r="T957" s="1862">
        <f t="shared" si="195"/>
        <v>0</v>
      </c>
    </row>
    <row r="958" spans="1:20" ht="22.2" hidden="1" customHeight="1">
      <c r="A958" s="1448">
        <f>COUNTIF($C$12:C958,"x")</f>
        <v>61</v>
      </c>
      <c r="B958" s="1465" t="s">
        <v>985</v>
      </c>
      <c r="C958" s="970" t="str">
        <f t="shared" si="193"/>
        <v xml:space="preserve"> </v>
      </c>
      <c r="D958" s="1415">
        <v>1</v>
      </c>
      <c r="E958" s="984" t="str">
        <f>VLOOKUP($B958,DG!A:D,DG!$B$2,)</f>
        <v>05.6102</v>
      </c>
      <c r="F958" s="985" t="str">
        <f>VLOOKUP($B958,DG!A:D,DG!$C$2,)</f>
        <v>Lắp xà đỡ ≤ 50kg</v>
      </c>
      <c r="G958" s="980" t="str">
        <f>VLOOKUP($B958,DG!A:D,DG!$D$2,)</f>
        <v>bộ</v>
      </c>
      <c r="H958" s="1693"/>
      <c r="I958" s="1693"/>
      <c r="J958" s="1693"/>
      <c r="K958" s="1693"/>
      <c r="L958" s="1693"/>
      <c r="M958" s="1693"/>
      <c r="N958" s="1693"/>
      <c r="O958" s="1693"/>
      <c r="P958" s="1693"/>
      <c r="Q958" s="994"/>
      <c r="R958" s="1693"/>
      <c r="S958" s="994"/>
      <c r="T958" s="1862">
        <f t="shared" si="195"/>
        <v>0</v>
      </c>
    </row>
    <row r="959" spans="1:20" ht="22.2" hidden="1" customHeight="1">
      <c r="A959" s="1448">
        <f>COUNTIF($C$12:C959,"x")</f>
        <v>61</v>
      </c>
      <c r="B959" s="1455" t="s">
        <v>1996</v>
      </c>
      <c r="C959" s="970" t="str">
        <f t="shared" si="193"/>
        <v xml:space="preserve"> </v>
      </c>
      <c r="D959" s="1413"/>
      <c r="E959" s="980" t="str">
        <f>VLOOKUP($B959,DG!A:D,DG!$B$2,)</f>
        <v>02.1115</v>
      </c>
      <c r="F959" s="985" t="str">
        <f>VLOOKUP($B959,DG!A:D,DG!$C$2,)</f>
        <v>Bốc dỡ xà, thép thanh</v>
      </c>
      <c r="G959" s="980" t="str">
        <f>VLOOKUP($B959,DG!A:D,DG!$D$2,)</f>
        <v>tấn</v>
      </c>
      <c r="H959" s="1693"/>
      <c r="I959" s="1693"/>
      <c r="J959" s="1693"/>
      <c r="K959" s="1693"/>
      <c r="L959" s="1693"/>
      <c r="M959" s="1693"/>
      <c r="N959" s="1693"/>
      <c r="O959" s="1693"/>
      <c r="P959" s="1693"/>
      <c r="Q959" s="994"/>
      <c r="R959" s="1693"/>
      <c r="S959" s="994"/>
      <c r="T959" s="1862">
        <f t="shared" si="195"/>
        <v>0</v>
      </c>
    </row>
    <row r="960" spans="1:20" ht="22.2" hidden="1" customHeight="1">
      <c r="A960" s="1448">
        <f>COUNTIF($C$12:C960,"x")</f>
        <v>61</v>
      </c>
      <c r="B960" s="1464" t="s">
        <v>1997</v>
      </c>
      <c r="C960" s="970" t="str">
        <f t="shared" si="193"/>
        <v xml:space="preserve"> </v>
      </c>
      <c r="D960" s="1413"/>
      <c r="E960" s="980" t="str">
        <f>VLOOKUP($B960,DG!A:C,2,)</f>
        <v>02.1361</v>
      </c>
      <c r="F960" s="985" t="str">
        <f>VLOOKUP($B960,DG!A:C,3,)</f>
        <v>V/c xà vào vị trí (cư ly &lt;=100m)</v>
      </c>
      <c r="G960" s="980" t="str">
        <f>VLOOKUP($B960,DG!A:D,4,0)</f>
        <v>tấn</v>
      </c>
      <c r="H960" s="1693"/>
      <c r="I960" s="1693"/>
      <c r="J960" s="1693"/>
      <c r="K960" s="1693"/>
      <c r="L960" s="1693"/>
      <c r="M960" s="1693"/>
      <c r="N960" s="1693"/>
      <c r="O960" s="1693"/>
      <c r="P960" s="1693"/>
      <c r="Q960" s="994"/>
      <c r="R960" s="1693"/>
      <c r="S960" s="994"/>
      <c r="T960" s="1862">
        <f t="shared" si="195"/>
        <v>0</v>
      </c>
    </row>
    <row r="961" spans="1:20" ht="22.2" hidden="1" customHeight="1">
      <c r="A961" s="1448">
        <f>COUNTIF($C$12:C961,"x")</f>
        <v>61</v>
      </c>
      <c r="B961" s="1464" t="s">
        <v>635</v>
      </c>
      <c r="C961" s="970" t="str">
        <f t="shared" si="193"/>
        <v xml:space="preserve"> </v>
      </c>
      <c r="D961" s="1414"/>
      <c r="E961" s="980" t="str">
        <f>VLOOKUP($B961,DG!A:C,2,)</f>
        <v>02.1482</v>
      </c>
      <c r="F961" s="985" t="str">
        <f>VLOOKUP($B961,DG!A:C,3,)</f>
        <v>V/c dụng cụ thi công vào vị trí (cự ly &lt;=100m)</v>
      </c>
      <c r="G961" s="980" t="str">
        <f>VLOOKUP($B961,DG!A:D,4,0)</f>
        <v>tấn</v>
      </c>
      <c r="H961" s="1693"/>
      <c r="I961" s="1693"/>
      <c r="J961" s="1693"/>
      <c r="K961" s="1693"/>
      <c r="L961" s="1693"/>
      <c r="M961" s="1693"/>
      <c r="N961" s="1693"/>
      <c r="O961" s="1693"/>
      <c r="P961" s="1693"/>
      <c r="Q961" s="994"/>
      <c r="R961" s="1693"/>
      <c r="S961" s="994"/>
      <c r="T961" s="1862">
        <f t="shared" si="195"/>
        <v>0</v>
      </c>
    </row>
    <row r="962" spans="1:20" ht="22.2" customHeight="1">
      <c r="A962" s="1448">
        <f>COUNTIF($C$12:C962,"x")</f>
        <v>62</v>
      </c>
      <c r="B962" s="1452" t="s">
        <v>893</v>
      </c>
      <c r="C962" s="970" t="str">
        <f t="shared" si="193"/>
        <v>x</v>
      </c>
      <c r="D962" s="1424"/>
      <c r="E962" s="981"/>
      <c r="F962" s="1276" t="s">
        <v>2431</v>
      </c>
      <c r="G962" s="982" t="s">
        <v>2385</v>
      </c>
      <c r="H962" s="1691">
        <f>SUM(I962:O962)</f>
        <v>1</v>
      </c>
      <c r="I962" s="1692"/>
      <c r="J962" s="1692"/>
      <c r="K962" s="1692">
        <f>IFERROR(HLOOKUP(B962,pp3p1m!$1:$3,2,0),0)</f>
        <v>1</v>
      </c>
      <c r="L962" s="1692">
        <f>IFERROR(HLOOKUP(chitiet!B962,pp1p!$1:$3,3,0),0)</f>
        <v>0</v>
      </c>
      <c r="M962" s="1692"/>
      <c r="N962" s="1692"/>
      <c r="O962" s="1692"/>
      <c r="P962" s="1691">
        <f>T962</f>
        <v>1</v>
      </c>
      <c r="Q962" s="1691">
        <f>IF(P962&gt;H962,P962-H962,0)</f>
        <v>0</v>
      </c>
      <c r="R962" s="983">
        <f>IF(H962&gt;P962,H962-P962,0)</f>
        <v>0</v>
      </c>
      <c r="S962" s="983"/>
      <c r="T962" s="1862">
        <f>IFERROR(HLOOKUP(B962,pp1p!$1:$3,3,0),0)+IFERROR(HLOOKUP(B962,pp3p1m!$1:$3,3,0),0)</f>
        <v>1</v>
      </c>
    </row>
    <row r="963" spans="1:20" ht="22.2" customHeight="1">
      <c r="A963" s="1448">
        <f>COUNTIF($C$12:C963,"x")</f>
        <v>63</v>
      </c>
      <c r="B963" s="1455" t="s">
        <v>4821</v>
      </c>
      <c r="C963" s="970" t="str">
        <f t="shared" si="193"/>
        <v>x</v>
      </c>
      <c r="D963" s="1414">
        <v>2</v>
      </c>
      <c r="E963" s="980"/>
      <c r="F963" s="992" t="str">
        <f>VLOOKUP($B963,DG!A:D,DG!$C$2,)</f>
        <v>Sắt góc L75 x75 x8-2100</v>
      </c>
      <c r="G963" s="980" t="str">
        <f>VLOOKUP($B963,DG!A:D,DG!$D$2,)</f>
        <v>cái</v>
      </c>
      <c r="H963" s="1693">
        <f t="shared" ref="H963:R968" si="196">H$962*$D963</f>
        <v>2</v>
      </c>
      <c r="I963" s="1693">
        <f t="shared" si="196"/>
        <v>0</v>
      </c>
      <c r="J963" s="1693">
        <f t="shared" si="196"/>
        <v>0</v>
      </c>
      <c r="K963" s="1693">
        <f t="shared" si="196"/>
        <v>2</v>
      </c>
      <c r="L963" s="1693">
        <f t="shared" si="196"/>
        <v>0</v>
      </c>
      <c r="M963" s="1693">
        <f t="shared" si="196"/>
        <v>0</v>
      </c>
      <c r="N963" s="1693">
        <f t="shared" si="196"/>
        <v>0</v>
      </c>
      <c r="O963" s="1693">
        <f t="shared" si="196"/>
        <v>0</v>
      </c>
      <c r="P963" s="1693">
        <f t="shared" si="196"/>
        <v>2</v>
      </c>
      <c r="Q963" s="1693">
        <f t="shared" si="196"/>
        <v>0</v>
      </c>
      <c r="R963" s="1693">
        <f t="shared" si="196"/>
        <v>0</v>
      </c>
      <c r="S963" s="989"/>
      <c r="T963" s="1862">
        <f t="shared" si="195"/>
        <v>0</v>
      </c>
    </row>
    <row r="964" spans="1:20" ht="22.2" customHeight="1">
      <c r="A964" s="1448">
        <f>COUNTIF($C$12:C964,"x")</f>
        <v>64</v>
      </c>
      <c r="B964" s="1455" t="s">
        <v>4822</v>
      </c>
      <c r="C964" s="970" t="str">
        <f t="shared" si="193"/>
        <v>x</v>
      </c>
      <c r="D964" s="1414">
        <v>2</v>
      </c>
      <c r="E964" s="980"/>
      <c r="F964" s="992" t="str">
        <f>VLOOKUP($B964,DG!A:D,DG!$C$2,)</f>
        <v>Sắt góc L50 x50 x5 x1190</v>
      </c>
      <c r="G964" s="980" t="str">
        <f>VLOOKUP($B964,DG!A:D,DG!$D$2,)</f>
        <v>cái</v>
      </c>
      <c r="H964" s="1693">
        <f t="shared" si="196"/>
        <v>2</v>
      </c>
      <c r="I964" s="1693">
        <f t="shared" si="196"/>
        <v>0</v>
      </c>
      <c r="J964" s="1693">
        <f t="shared" si="196"/>
        <v>0</v>
      </c>
      <c r="K964" s="1693">
        <f t="shared" si="196"/>
        <v>2</v>
      </c>
      <c r="L964" s="1693">
        <f t="shared" si="196"/>
        <v>0</v>
      </c>
      <c r="M964" s="1693">
        <f t="shared" si="196"/>
        <v>0</v>
      </c>
      <c r="N964" s="1693">
        <f t="shared" si="196"/>
        <v>0</v>
      </c>
      <c r="O964" s="1693"/>
      <c r="P964" s="1693">
        <f t="shared" si="196"/>
        <v>2</v>
      </c>
      <c r="Q964" s="1693">
        <f t="shared" si="196"/>
        <v>0</v>
      </c>
      <c r="R964" s="1693">
        <f t="shared" si="196"/>
        <v>0</v>
      </c>
      <c r="S964" s="989"/>
      <c r="T964" s="1862">
        <f t="shared" si="195"/>
        <v>0</v>
      </c>
    </row>
    <row r="965" spans="1:20" ht="22.2" hidden="1" customHeight="1">
      <c r="A965" s="1448">
        <f>COUNTIF($C$12:C965,"x")</f>
        <v>64</v>
      </c>
      <c r="B965" s="1455" t="s">
        <v>2106</v>
      </c>
      <c r="C965" s="970" t="str">
        <f t="shared" si="193"/>
        <v xml:space="preserve"> </v>
      </c>
      <c r="D965" s="1414"/>
      <c r="E965" s="980"/>
      <c r="F965" s="992" t="str">
        <f>VLOOKUP($B965,DG!A:D,DG!$C$2,)</f>
        <v>Sắt dẹt 50x5</v>
      </c>
      <c r="G965" s="980" t="str">
        <f>VLOOKUP($B965,DG!A:D,DG!$D$2,)</f>
        <v>kg</v>
      </c>
      <c r="H965" s="1693">
        <f t="shared" si="196"/>
        <v>0</v>
      </c>
      <c r="I965" s="1693">
        <f t="shared" si="196"/>
        <v>0</v>
      </c>
      <c r="J965" s="1693">
        <f t="shared" si="196"/>
        <v>0</v>
      </c>
      <c r="K965" s="1693">
        <f t="shared" si="196"/>
        <v>0</v>
      </c>
      <c r="L965" s="1693">
        <f t="shared" si="196"/>
        <v>0</v>
      </c>
      <c r="M965" s="1693">
        <f t="shared" si="196"/>
        <v>0</v>
      </c>
      <c r="N965" s="1693">
        <f t="shared" si="196"/>
        <v>0</v>
      </c>
      <c r="O965" s="1693"/>
      <c r="P965" s="1693"/>
      <c r="Q965" s="1693"/>
      <c r="R965" s="989"/>
      <c r="S965" s="989"/>
      <c r="T965" s="1862">
        <f t="shared" si="195"/>
        <v>0</v>
      </c>
    </row>
    <row r="966" spans="1:20" ht="22.2" customHeight="1">
      <c r="A966" s="1448">
        <f>COUNTIF($C$12:C966,"x")</f>
        <v>65</v>
      </c>
      <c r="B966" s="1455" t="s">
        <v>415</v>
      </c>
      <c r="C966" s="970" t="str">
        <f t="shared" si="193"/>
        <v>x</v>
      </c>
      <c r="D966" s="1415">
        <v>3</v>
      </c>
      <c r="E966" s="980"/>
      <c r="F966" s="992" t="str">
        <f>VLOOKUP($B966,DG!A:D,DG!$C$2,)</f>
        <v>Boulon 16x300VRS+ 4 long đền vuông D18-50x50x3/Zn</v>
      </c>
      <c r="G966" s="980" t="str">
        <f>VLOOKUP($B966,DG!A:D,DG!$D$2,)</f>
        <v>bộ</v>
      </c>
      <c r="H966" s="1693">
        <f t="shared" si="196"/>
        <v>3</v>
      </c>
      <c r="I966" s="1693">
        <f t="shared" si="196"/>
        <v>0</v>
      </c>
      <c r="J966" s="1693">
        <f t="shared" si="196"/>
        <v>0</v>
      </c>
      <c r="K966" s="1693">
        <f t="shared" si="196"/>
        <v>3</v>
      </c>
      <c r="L966" s="1693">
        <f t="shared" si="196"/>
        <v>0</v>
      </c>
      <c r="M966" s="1693">
        <f t="shared" si="196"/>
        <v>0</v>
      </c>
      <c r="N966" s="1693">
        <f t="shared" si="196"/>
        <v>0</v>
      </c>
      <c r="O966" s="1693"/>
      <c r="P966" s="1693">
        <f t="shared" si="196"/>
        <v>3</v>
      </c>
      <c r="Q966" s="1693">
        <f t="shared" si="196"/>
        <v>0</v>
      </c>
      <c r="R966" s="1693">
        <f t="shared" si="196"/>
        <v>0</v>
      </c>
      <c r="S966" s="989"/>
      <c r="T966" s="1862">
        <f t="shared" si="195"/>
        <v>0</v>
      </c>
    </row>
    <row r="967" spans="1:20" ht="22.2" customHeight="1">
      <c r="A967" s="1448">
        <f>COUNTIF($C$12:C967,"x")</f>
        <v>66</v>
      </c>
      <c r="B967" s="1455" t="s">
        <v>1610</v>
      </c>
      <c r="C967" s="970" t="str">
        <f t="shared" si="193"/>
        <v>x</v>
      </c>
      <c r="D967" s="1415">
        <v>2</v>
      </c>
      <c r="E967" s="980"/>
      <c r="F967" s="992" t="str">
        <f>VLOOKUP($B967,DG!A:D,DG!$C$2,)</f>
        <v>Boulon 16x300+ 2 long đền vuông D18-50x50x3/Zn</v>
      </c>
      <c r="G967" s="980" t="str">
        <f>VLOOKUP($B967,DG!A:D,DG!$D$2,)</f>
        <v>bộ</v>
      </c>
      <c r="H967" s="1693">
        <f t="shared" si="196"/>
        <v>2</v>
      </c>
      <c r="I967" s="1693">
        <f t="shared" si="196"/>
        <v>0</v>
      </c>
      <c r="J967" s="1693">
        <f t="shared" si="196"/>
        <v>0</v>
      </c>
      <c r="K967" s="1693">
        <f t="shared" si="196"/>
        <v>2</v>
      </c>
      <c r="L967" s="1693">
        <f t="shared" si="196"/>
        <v>0</v>
      </c>
      <c r="M967" s="1693">
        <f t="shared" si="196"/>
        <v>0</v>
      </c>
      <c r="N967" s="1693">
        <f t="shared" si="196"/>
        <v>0</v>
      </c>
      <c r="O967" s="1693"/>
      <c r="P967" s="1693">
        <f t="shared" si="196"/>
        <v>2</v>
      </c>
      <c r="Q967" s="1693">
        <f t="shared" si="196"/>
        <v>0</v>
      </c>
      <c r="R967" s="1693">
        <f t="shared" si="196"/>
        <v>0</v>
      </c>
      <c r="S967" s="989"/>
      <c r="T967" s="1862">
        <f t="shared" si="195"/>
        <v>0</v>
      </c>
    </row>
    <row r="968" spans="1:20" ht="22.2" customHeight="1">
      <c r="A968" s="1448">
        <f>COUNTIF($C$12:C968,"x")</f>
        <v>67</v>
      </c>
      <c r="B968" s="1455" t="s">
        <v>1785</v>
      </c>
      <c r="C968" s="970" t="str">
        <f t="shared" si="193"/>
        <v>x</v>
      </c>
      <c r="D968" s="1415">
        <v>2</v>
      </c>
      <c r="E968" s="980"/>
      <c r="F968" s="992" t="str">
        <f>VLOOKUP($B968,DG!A:D,DG!$C$2,)</f>
        <v>Boulon 16x35+ 2 long đền vuông D18-50x50x3/Zn</v>
      </c>
      <c r="G968" s="980" t="str">
        <f>VLOOKUP($B968,DG!A:D,DG!$D$2,)</f>
        <v>bộ</v>
      </c>
      <c r="H968" s="1693">
        <f t="shared" si="196"/>
        <v>2</v>
      </c>
      <c r="I968" s="1693">
        <f t="shared" si="196"/>
        <v>0</v>
      </c>
      <c r="J968" s="1693">
        <f t="shared" si="196"/>
        <v>0</v>
      </c>
      <c r="K968" s="1693">
        <f t="shared" si="196"/>
        <v>2</v>
      </c>
      <c r="L968" s="1693">
        <f t="shared" si="196"/>
        <v>0</v>
      </c>
      <c r="M968" s="1693">
        <f t="shared" si="196"/>
        <v>0</v>
      </c>
      <c r="N968" s="1693">
        <f t="shared" si="196"/>
        <v>0</v>
      </c>
      <c r="O968" s="1693"/>
      <c r="P968" s="1693">
        <f t="shared" si="196"/>
        <v>2</v>
      </c>
      <c r="Q968" s="1693">
        <f t="shared" si="196"/>
        <v>0</v>
      </c>
      <c r="R968" s="1693">
        <f t="shared" si="196"/>
        <v>0</v>
      </c>
      <c r="S968" s="989"/>
      <c r="T968" s="1862">
        <f t="shared" si="195"/>
        <v>0</v>
      </c>
    </row>
    <row r="969" spans="1:20" ht="22.2" hidden="1" customHeight="1">
      <c r="A969" s="1448">
        <f>COUNTIF($C$12:C969,"x")</f>
        <v>67</v>
      </c>
      <c r="B969" s="1465" t="s">
        <v>517</v>
      </c>
      <c r="C969" s="970" t="str">
        <f t="shared" si="193"/>
        <v xml:space="preserve"> </v>
      </c>
      <c r="D969" s="1415">
        <v>1</v>
      </c>
      <c r="E969" s="984" t="str">
        <f>VLOOKUP($B969,DG!A:D,DG!$B$2,)</f>
        <v>05.6203</v>
      </c>
      <c r="F969" s="985" t="str">
        <f>VLOOKUP($B969,DG!A:D,DG!$C$2,)</f>
        <v>Lắp xà néo ≤ 100kg</v>
      </c>
      <c r="G969" s="980" t="str">
        <f>VLOOKUP($B969,DG!A:D,DG!$D$2,)</f>
        <v>bộ</v>
      </c>
      <c r="H969" s="1693"/>
      <c r="I969" s="1693"/>
      <c r="J969" s="1693"/>
      <c r="K969" s="1693"/>
      <c r="L969" s="1693"/>
      <c r="M969" s="1693"/>
      <c r="N969" s="1693"/>
      <c r="O969" s="1693"/>
      <c r="P969" s="1693"/>
      <c r="Q969" s="1693"/>
      <c r="R969" s="994"/>
      <c r="S969" s="994"/>
      <c r="T969" s="1862">
        <f t="shared" si="195"/>
        <v>0</v>
      </c>
    </row>
    <row r="970" spans="1:20" ht="22.2" hidden="1" customHeight="1">
      <c r="A970" s="1448">
        <f>COUNTIF($C$12:C970,"x")</f>
        <v>67</v>
      </c>
      <c r="B970" s="1455" t="s">
        <v>1996</v>
      </c>
      <c r="C970" s="970" t="str">
        <f t="shared" si="193"/>
        <v xml:space="preserve"> </v>
      </c>
      <c r="D970" s="1413"/>
      <c r="E970" s="980" t="str">
        <f>VLOOKUP($B970,DG!A:D,DG!$B$2,)</f>
        <v>02.1115</v>
      </c>
      <c r="F970" s="985" t="str">
        <f>VLOOKUP($B970,DG!A:D,DG!$C$2,)</f>
        <v>Bốc dỡ xà, thép thanh</v>
      </c>
      <c r="G970" s="980" t="str">
        <f>VLOOKUP($B970,DG!A:D,DG!$D$2,)</f>
        <v>tấn</v>
      </c>
      <c r="H970" s="1693"/>
      <c r="I970" s="1693"/>
      <c r="J970" s="1693"/>
      <c r="K970" s="1693"/>
      <c r="L970" s="1693"/>
      <c r="M970" s="1693"/>
      <c r="N970" s="1693"/>
      <c r="O970" s="1693"/>
      <c r="P970" s="1693"/>
      <c r="Q970" s="1693"/>
      <c r="R970" s="994"/>
      <c r="S970" s="994"/>
      <c r="T970" s="1862">
        <f t="shared" si="195"/>
        <v>0</v>
      </c>
    </row>
    <row r="971" spans="1:20" ht="22.2" hidden="1" customHeight="1">
      <c r="A971" s="1448">
        <f>COUNTIF($C$12:C971,"x")</f>
        <v>67</v>
      </c>
      <c r="B971" s="1464" t="s">
        <v>1997</v>
      </c>
      <c r="C971" s="970" t="str">
        <f t="shared" si="193"/>
        <v xml:space="preserve"> </v>
      </c>
      <c r="D971" s="1413"/>
      <c r="E971" s="980" t="str">
        <f>VLOOKUP($B971,DG!A:C,2,)</f>
        <v>02.1361</v>
      </c>
      <c r="F971" s="985" t="str">
        <f>VLOOKUP($B971,DG!A:C,3,)</f>
        <v>V/c xà vào vị trí (cư ly &lt;=100m)</v>
      </c>
      <c r="G971" s="980" t="str">
        <f>VLOOKUP($B971,DG!A:D,4,0)</f>
        <v>tấn</v>
      </c>
      <c r="H971" s="1693"/>
      <c r="I971" s="1693"/>
      <c r="J971" s="1693"/>
      <c r="K971" s="1693"/>
      <c r="L971" s="1693"/>
      <c r="M971" s="1693"/>
      <c r="N971" s="1693"/>
      <c r="O971" s="1693"/>
      <c r="P971" s="1693"/>
      <c r="Q971" s="1693"/>
      <c r="R971" s="994"/>
      <c r="S971" s="994"/>
      <c r="T971" s="1862">
        <f t="shared" si="195"/>
        <v>0</v>
      </c>
    </row>
    <row r="972" spans="1:20" ht="22.2" hidden="1" customHeight="1">
      <c r="A972" s="1448">
        <f>COUNTIF($C$12:C972,"x")</f>
        <v>67</v>
      </c>
      <c r="B972" s="1464" t="s">
        <v>635</v>
      </c>
      <c r="C972" s="970" t="str">
        <f t="shared" si="193"/>
        <v xml:space="preserve"> </v>
      </c>
      <c r="D972" s="1414"/>
      <c r="E972" s="980" t="str">
        <f>VLOOKUP($B972,DG!A:C,2,)</f>
        <v>02.1482</v>
      </c>
      <c r="F972" s="985" t="str">
        <f>VLOOKUP($B972,DG!A:C,3,)</f>
        <v>V/c dụng cụ thi công vào vị trí (cự ly &lt;=100m)</v>
      </c>
      <c r="G972" s="980" t="str">
        <f>VLOOKUP($B972,DG!A:D,4,0)</f>
        <v>tấn</v>
      </c>
      <c r="H972" s="1693"/>
      <c r="I972" s="1693"/>
      <c r="J972" s="1693"/>
      <c r="K972" s="1693"/>
      <c r="L972" s="1693"/>
      <c r="M972" s="1693"/>
      <c r="N972" s="1693"/>
      <c r="O972" s="1693"/>
      <c r="P972" s="1693"/>
      <c r="Q972" s="1693"/>
      <c r="R972" s="994"/>
      <c r="S972" s="994"/>
      <c r="T972" s="1862">
        <f t="shared" si="195"/>
        <v>0</v>
      </c>
    </row>
    <row r="973" spans="1:20" ht="22.2" customHeight="1">
      <c r="A973" s="1448">
        <f>COUNTIF($C$12:C973,"x")</f>
        <v>68</v>
      </c>
      <c r="B973" s="1452" t="s">
        <v>2293</v>
      </c>
      <c r="C973" s="1701" t="str">
        <f t="shared" si="193"/>
        <v>x</v>
      </c>
      <c r="D973" s="1412"/>
      <c r="E973" s="981"/>
      <c r="F973" s="1276" t="s">
        <v>2432</v>
      </c>
      <c r="G973" s="982" t="s">
        <v>2385</v>
      </c>
      <c r="H973" s="1691">
        <f>SUM(I973:O973)</f>
        <v>22</v>
      </c>
      <c r="I973" s="1692"/>
      <c r="J973" s="1692"/>
      <c r="K973" s="1692">
        <f>IFERROR(HLOOKUP(B973,pp3p1m!$1:$3,2,0),0)</f>
        <v>22</v>
      </c>
      <c r="L973" s="1692">
        <f>IFERROR(HLOOKUP(chitiet!B973,pp1p!$1:$3,3,0),0)</f>
        <v>0</v>
      </c>
      <c r="M973" s="1692"/>
      <c r="N973" s="1692"/>
      <c r="O973" s="1692"/>
      <c r="P973" s="1691">
        <f>T973</f>
        <v>22</v>
      </c>
      <c r="Q973" s="1693">
        <f>IF(P973&gt;H973,P973-H973,0)</f>
        <v>0</v>
      </c>
      <c r="R973" s="983">
        <f>IF(H973&gt;P973,H973-P973,0)</f>
        <v>0</v>
      </c>
      <c r="S973" s="983"/>
      <c r="T973" s="1862">
        <f>IFERROR(HLOOKUP(B973,pp1p!$1:$3,3,0),0)+IFERROR(HLOOKUP(B973,pp3p1m!$1:$3,3,0),0)</f>
        <v>22</v>
      </c>
    </row>
    <row r="974" spans="1:20" ht="22.2" customHeight="1">
      <c r="A974" s="1448">
        <f>COUNTIF($C$12:C974,"x")</f>
        <v>69</v>
      </c>
      <c r="B974" s="1451" t="s">
        <v>4818</v>
      </c>
      <c r="C974" s="1701" t="str">
        <f t="shared" si="193"/>
        <v>x</v>
      </c>
      <c r="D974" s="1414">
        <v>1</v>
      </c>
      <c r="E974" s="980"/>
      <c r="F974" s="992" t="str">
        <f>VLOOKUP($B974,DG!A:D,DG!$C$2,)</f>
        <v>Sắt góc L75 x75 x8-2.200</v>
      </c>
      <c r="G974" s="980" t="str">
        <f>VLOOKUP($B974,DG!A:D,DG!$D$2,)</f>
        <v>cái</v>
      </c>
      <c r="H974" s="1693">
        <f t="shared" ref="H974:N977" si="197">H$973*$D974</f>
        <v>22</v>
      </c>
      <c r="I974" s="1693">
        <f t="shared" si="197"/>
        <v>0</v>
      </c>
      <c r="J974" s="1693">
        <f t="shared" si="197"/>
        <v>0</v>
      </c>
      <c r="K974" s="1693">
        <f t="shared" si="197"/>
        <v>22</v>
      </c>
      <c r="L974" s="1693">
        <f t="shared" si="197"/>
        <v>0</v>
      </c>
      <c r="M974" s="1693">
        <f t="shared" si="197"/>
        <v>0</v>
      </c>
      <c r="N974" s="1693">
        <f t="shared" si="197"/>
        <v>0</v>
      </c>
      <c r="O974" s="1693"/>
      <c r="P974" s="1693">
        <f>$P$973*D974</f>
        <v>22</v>
      </c>
      <c r="Q974" s="2679">
        <f>$Q$973*D974</f>
        <v>0</v>
      </c>
      <c r="R974" s="2679"/>
      <c r="S974" s="989"/>
      <c r="T974" s="1862">
        <f t="shared" si="195"/>
        <v>0</v>
      </c>
    </row>
    <row r="975" spans="1:20" ht="22.2" customHeight="1">
      <c r="A975" s="1448">
        <f>COUNTIF($C$12:C975,"x")</f>
        <v>70</v>
      </c>
      <c r="B975" s="1451" t="s">
        <v>6103</v>
      </c>
      <c r="C975" s="1701" t="str">
        <f t="shared" si="193"/>
        <v>x</v>
      </c>
      <c r="D975" s="1414">
        <v>1</v>
      </c>
      <c r="E975" s="980"/>
      <c r="F975" s="992" t="str">
        <f>VLOOKUP($B975,DG!A:D,DG!$C$2,)</f>
        <v>Sắt góc L50 x50 x5 x1150</v>
      </c>
      <c r="G975" s="980" t="str">
        <f>VLOOKUP($B975,DG!A:D,DG!$D$2,)</f>
        <v>cái</v>
      </c>
      <c r="H975" s="1693">
        <f t="shared" si="197"/>
        <v>22</v>
      </c>
      <c r="I975" s="1693">
        <f t="shared" si="197"/>
        <v>0</v>
      </c>
      <c r="J975" s="1693">
        <f t="shared" si="197"/>
        <v>0</v>
      </c>
      <c r="K975" s="1693">
        <f t="shared" si="197"/>
        <v>22</v>
      </c>
      <c r="L975" s="1693">
        <f t="shared" si="197"/>
        <v>0</v>
      </c>
      <c r="M975" s="1693">
        <f t="shared" si="197"/>
        <v>0</v>
      </c>
      <c r="N975" s="1693">
        <f t="shared" si="197"/>
        <v>0</v>
      </c>
      <c r="O975" s="1693"/>
      <c r="P975" s="1693">
        <f>$P$973*D975</f>
        <v>22</v>
      </c>
      <c r="Q975" s="2679">
        <f>$Q$973*D975</f>
        <v>0</v>
      </c>
      <c r="R975" s="2679"/>
      <c r="S975" s="989"/>
      <c r="T975" s="1862">
        <f t="shared" si="195"/>
        <v>0</v>
      </c>
    </row>
    <row r="976" spans="1:20" ht="22.2" customHeight="1">
      <c r="A976" s="1448">
        <f>COUNTIF($C$12:C976,"x")</f>
        <v>71</v>
      </c>
      <c r="B976" s="1451" t="s">
        <v>1609</v>
      </c>
      <c r="C976" s="1701" t="str">
        <f t="shared" si="193"/>
        <v>x</v>
      </c>
      <c r="D976" s="1415">
        <v>2</v>
      </c>
      <c r="E976" s="980"/>
      <c r="F976" s="992" t="str">
        <f>VLOOKUP($B976,DG!A:D,DG!$C$2,)</f>
        <v>Boulon 16x250+ 2 long đền vuông D18-50x50x3/Zn</v>
      </c>
      <c r="G976" s="980" t="str">
        <f>VLOOKUP($B976,DG!A:D,DG!$D$2,)</f>
        <v>bộ</v>
      </c>
      <c r="H976" s="1693">
        <f t="shared" si="197"/>
        <v>44</v>
      </c>
      <c r="I976" s="1693">
        <f t="shared" si="197"/>
        <v>0</v>
      </c>
      <c r="J976" s="1693">
        <f t="shared" si="197"/>
        <v>0</v>
      </c>
      <c r="K976" s="1693">
        <f t="shared" si="197"/>
        <v>44</v>
      </c>
      <c r="L976" s="1693">
        <f t="shared" si="197"/>
        <v>0</v>
      </c>
      <c r="M976" s="1693">
        <f t="shared" si="197"/>
        <v>0</v>
      </c>
      <c r="N976" s="1693">
        <f t="shared" si="197"/>
        <v>0</v>
      </c>
      <c r="O976" s="1693"/>
      <c r="P976" s="1693">
        <f>$P$973*D976</f>
        <v>44</v>
      </c>
      <c r="Q976" s="2679">
        <f>$Q$973*D976</f>
        <v>0</v>
      </c>
      <c r="R976" s="2679"/>
      <c r="S976" s="989"/>
      <c r="T976" s="1862">
        <f t="shared" si="195"/>
        <v>0</v>
      </c>
    </row>
    <row r="977" spans="1:20" ht="22.2" customHeight="1">
      <c r="A977" s="1448">
        <f>COUNTIF($C$12:C977,"x")</f>
        <v>72</v>
      </c>
      <c r="B977" s="1451" t="s">
        <v>1785</v>
      </c>
      <c r="C977" s="1701" t="str">
        <f t="shared" si="193"/>
        <v>x</v>
      </c>
      <c r="D977" s="1415">
        <v>1</v>
      </c>
      <c r="E977" s="980"/>
      <c r="F977" s="992" t="str">
        <f>VLOOKUP($B977,DG!A:D,DG!$C$2,)</f>
        <v>Boulon 16x35+ 2 long đền vuông D18-50x50x3/Zn</v>
      </c>
      <c r="G977" s="980" t="str">
        <f>VLOOKUP($B977,DG!A:D,DG!$D$2,)</f>
        <v>bộ</v>
      </c>
      <c r="H977" s="1693">
        <f t="shared" si="197"/>
        <v>22</v>
      </c>
      <c r="I977" s="1693">
        <f t="shared" si="197"/>
        <v>0</v>
      </c>
      <c r="J977" s="1693">
        <f t="shared" si="197"/>
        <v>0</v>
      </c>
      <c r="K977" s="1693">
        <f t="shared" si="197"/>
        <v>22</v>
      </c>
      <c r="L977" s="1693">
        <f t="shared" si="197"/>
        <v>0</v>
      </c>
      <c r="M977" s="1693">
        <f t="shared" si="197"/>
        <v>0</v>
      </c>
      <c r="N977" s="1693">
        <f t="shared" si="197"/>
        <v>0</v>
      </c>
      <c r="O977" s="1693"/>
      <c r="P977" s="1693">
        <f>$P$973*D977</f>
        <v>22</v>
      </c>
      <c r="Q977" s="2679">
        <f>$Q$973*D977</f>
        <v>0</v>
      </c>
      <c r="R977" s="2679"/>
      <c r="S977" s="989"/>
      <c r="T977" s="1862">
        <f t="shared" si="195"/>
        <v>0</v>
      </c>
    </row>
    <row r="978" spans="1:20" ht="22.2" customHeight="1">
      <c r="A978" s="1448">
        <f>COUNTIF($C$12:C978,"x")</f>
        <v>73</v>
      </c>
      <c r="B978" s="1451" t="s">
        <v>1995</v>
      </c>
      <c r="C978" s="1701" t="str">
        <f t="shared" si="193"/>
        <v>x</v>
      </c>
      <c r="D978" s="1415">
        <v>1</v>
      </c>
      <c r="E978" s="996" t="str">
        <f>VLOOKUP($B978,DG!A:D,DG!$B$2,)</f>
        <v>05.6401</v>
      </c>
      <c r="F978" s="985" t="str">
        <f>VLOOKUP($B978,DG!A:D,DG!$C$2,)</f>
        <v>Lắp xà đỡ ≤ 25kg</v>
      </c>
      <c r="G978" s="980" t="str">
        <f>VLOOKUP($B978,DG!A:D,DG!$D$2,)</f>
        <v>bộ</v>
      </c>
      <c r="H978" s="1693">
        <f>H$973*$D978</f>
        <v>22</v>
      </c>
      <c r="I978" s="1693"/>
      <c r="J978" s="1693"/>
      <c r="K978" s="1693"/>
      <c r="L978" s="1693"/>
      <c r="M978" s="1693"/>
      <c r="N978" s="1693"/>
      <c r="O978" s="1693"/>
      <c r="P978" s="1693">
        <f>$P$973*D978</f>
        <v>22</v>
      </c>
      <c r="Q978" s="2679">
        <f>$Q$973*D978</f>
        <v>0</v>
      </c>
      <c r="R978" s="2679"/>
      <c r="S978" s="994"/>
      <c r="T978" s="1862">
        <f t="shared" si="195"/>
        <v>0</v>
      </c>
    </row>
    <row r="979" spans="1:20" ht="22.2" hidden="1" customHeight="1">
      <c r="A979" s="1448">
        <f>COUNTIF($C$12:C979,"x")</f>
        <v>73</v>
      </c>
      <c r="B979" s="1455" t="s">
        <v>1996</v>
      </c>
      <c r="C979" s="970" t="str">
        <f t="shared" si="193"/>
        <v xml:space="preserve"> </v>
      </c>
      <c r="D979" s="1413"/>
      <c r="E979" s="980" t="str">
        <f>VLOOKUP($B979,DG!A:D,DG!$B$2,)</f>
        <v>02.1115</v>
      </c>
      <c r="F979" s="985" t="str">
        <f>VLOOKUP($B979,DG!A:D,DG!$C$2,)</f>
        <v>Bốc dỡ xà, thép thanh</v>
      </c>
      <c r="G979" s="980" t="str">
        <f>VLOOKUP($B979,DG!A:D,DG!$D$2,)</f>
        <v>tấn</v>
      </c>
      <c r="H979" s="1693"/>
      <c r="I979" s="1693"/>
      <c r="J979" s="1693"/>
      <c r="K979" s="1693"/>
      <c r="L979" s="1693"/>
      <c r="M979" s="1693"/>
      <c r="N979" s="1693"/>
      <c r="O979" s="1693"/>
      <c r="P979" s="1693"/>
      <c r="Q979" s="2679"/>
      <c r="R979" s="2679"/>
      <c r="S979" s="994"/>
      <c r="T979" s="1862">
        <f t="shared" si="195"/>
        <v>0</v>
      </c>
    </row>
    <row r="980" spans="1:20" ht="22.2" hidden="1" customHeight="1">
      <c r="A980" s="1448">
        <f>COUNTIF($C$12:C980,"x")</f>
        <v>73</v>
      </c>
      <c r="B980" s="1464" t="s">
        <v>1997</v>
      </c>
      <c r="C980" s="970" t="str">
        <f t="shared" si="193"/>
        <v xml:space="preserve"> </v>
      </c>
      <c r="D980" s="1413"/>
      <c r="E980" s="980" t="str">
        <f>VLOOKUP($B980,DG!A:C,2,)</f>
        <v>02.1361</v>
      </c>
      <c r="F980" s="985" t="str">
        <f>VLOOKUP($B980,DG!A:C,3,)</f>
        <v>V/c xà vào vị trí (cư ly &lt;=100m)</v>
      </c>
      <c r="G980" s="980" t="str">
        <f>VLOOKUP($B980,DG!A:D,4,0)</f>
        <v>tấn</v>
      </c>
      <c r="H980" s="1693"/>
      <c r="I980" s="1693"/>
      <c r="J980" s="1693"/>
      <c r="K980" s="1693"/>
      <c r="L980" s="1693"/>
      <c r="M980" s="1693"/>
      <c r="N980" s="1693"/>
      <c r="O980" s="1693"/>
      <c r="P980" s="1693"/>
      <c r="Q980" s="2679"/>
      <c r="R980" s="2679"/>
      <c r="S980" s="994"/>
      <c r="T980" s="1862">
        <f t="shared" si="195"/>
        <v>0</v>
      </c>
    </row>
    <row r="981" spans="1:20" ht="22.2" hidden="1" customHeight="1">
      <c r="A981" s="1448">
        <f>COUNTIF($C$12:C981,"x")</f>
        <v>73</v>
      </c>
      <c r="B981" s="1464" t="s">
        <v>635</v>
      </c>
      <c r="C981" s="970" t="str">
        <f t="shared" si="193"/>
        <v xml:space="preserve"> </v>
      </c>
      <c r="D981" s="1414"/>
      <c r="E981" s="980" t="str">
        <f>VLOOKUP($B981,DG!A:C,2,)</f>
        <v>02.1482</v>
      </c>
      <c r="F981" s="985" t="str">
        <f>VLOOKUP($B981,DG!A:C,3,)</f>
        <v>V/c dụng cụ thi công vào vị trí (cự ly &lt;=100m)</v>
      </c>
      <c r="G981" s="980" t="str">
        <f>VLOOKUP($B981,DG!A:D,4,0)</f>
        <v>tấn</v>
      </c>
      <c r="H981" s="1693"/>
      <c r="I981" s="1693"/>
      <c r="J981" s="1693"/>
      <c r="K981" s="1693"/>
      <c r="L981" s="1693"/>
      <c r="M981" s="1693"/>
      <c r="N981" s="1693"/>
      <c r="O981" s="1693"/>
      <c r="P981" s="1693"/>
      <c r="Q981" s="2679"/>
      <c r="R981" s="2679"/>
      <c r="S981" s="994"/>
      <c r="T981" s="1862">
        <f t="shared" si="195"/>
        <v>0</v>
      </c>
    </row>
    <row r="982" spans="1:20" ht="22.2" customHeight="1">
      <c r="A982" s="1448">
        <f>COUNTIF($C$12:C982,"x")</f>
        <v>74</v>
      </c>
      <c r="B982" s="1452" t="s">
        <v>2119</v>
      </c>
      <c r="C982" s="970" t="str">
        <f t="shared" si="193"/>
        <v>x</v>
      </c>
      <c r="D982" s="1412"/>
      <c r="E982" s="981"/>
      <c r="F982" s="1276" t="s">
        <v>2433</v>
      </c>
      <c r="G982" s="982" t="s">
        <v>2385</v>
      </c>
      <c r="H982" s="1691">
        <f>SUM(I982:O982)</f>
        <v>3</v>
      </c>
      <c r="I982" s="1692"/>
      <c r="J982" s="1692"/>
      <c r="K982" s="1692">
        <f>IFERROR(HLOOKUP(B982,pp3p1m!$1:$3,2,0),0)</f>
        <v>3</v>
      </c>
      <c r="L982" s="1692">
        <f>IFERROR(HLOOKUP(chitiet!B982,pp1p!$1:$3,3,0),0)</f>
        <v>0</v>
      </c>
      <c r="M982" s="1692"/>
      <c r="N982" s="1692"/>
      <c r="O982" s="1692"/>
      <c r="P982" s="1691">
        <f>T982</f>
        <v>3</v>
      </c>
      <c r="Q982" s="983">
        <f>IF(P982&gt;H982,P982-H982,0)</f>
        <v>0</v>
      </c>
      <c r="R982" s="983">
        <f>IF(H982&gt;P982,H982-P982,0)</f>
        <v>0</v>
      </c>
      <c r="S982" s="983"/>
      <c r="T982" s="1862">
        <f>IFERROR(HLOOKUP(B982,pp1p!$1:$3,3,0),0)+IFERROR(HLOOKUP(B982,pp3p1m!$1:$3,3,0),0)</f>
        <v>3</v>
      </c>
    </row>
    <row r="983" spans="1:20" ht="22.2" customHeight="1">
      <c r="A983" s="1448">
        <f>COUNTIF($C$12:C983,"x")</f>
        <v>75</v>
      </c>
      <c r="B983" s="1451" t="s">
        <v>4818</v>
      </c>
      <c r="C983" s="970" t="str">
        <f t="shared" si="193"/>
        <v>x</v>
      </c>
      <c r="D983" s="1414">
        <v>2</v>
      </c>
      <c r="E983" s="980"/>
      <c r="F983" s="992" t="str">
        <f>VLOOKUP($B983,DG!A:D,DG!$C$2,)</f>
        <v>Sắt góc L75 x75 x8-2.200</v>
      </c>
      <c r="G983" s="980" t="str">
        <f>VLOOKUP($B983,DG!A:D,DG!$D$2,)</f>
        <v>cái</v>
      </c>
      <c r="H983" s="1693">
        <f t="shared" ref="H983:N988" si="198">H$982*$D983</f>
        <v>6</v>
      </c>
      <c r="I983" s="1693">
        <f t="shared" si="198"/>
        <v>0</v>
      </c>
      <c r="J983" s="1693">
        <f t="shared" si="198"/>
        <v>0</v>
      </c>
      <c r="K983" s="1693">
        <f t="shared" si="198"/>
        <v>6</v>
      </c>
      <c r="L983" s="1693">
        <f t="shared" si="198"/>
        <v>0</v>
      </c>
      <c r="M983" s="1693">
        <f t="shared" si="198"/>
        <v>0</v>
      </c>
      <c r="N983" s="1693">
        <f t="shared" si="198"/>
        <v>0</v>
      </c>
      <c r="O983" s="1693"/>
      <c r="P983" s="1693">
        <f t="shared" ref="P983:P989" si="199">$P$982*D983</f>
        <v>6</v>
      </c>
      <c r="Q983" s="989"/>
      <c r="R983" s="989"/>
      <c r="S983" s="989"/>
      <c r="T983" s="1862">
        <f t="shared" si="195"/>
        <v>0</v>
      </c>
    </row>
    <row r="984" spans="1:20" ht="22.2" customHeight="1">
      <c r="A984" s="1448">
        <f>COUNTIF($C$12:C984,"x")</f>
        <v>76</v>
      </c>
      <c r="B984" s="1451" t="s">
        <v>6103</v>
      </c>
      <c r="C984" s="970" t="str">
        <f t="shared" si="193"/>
        <v>x</v>
      </c>
      <c r="D984" s="1414">
        <v>2</v>
      </c>
      <c r="E984" s="980"/>
      <c r="F984" s="992" t="str">
        <f>VLOOKUP($B984,DG!A:D,DG!$C$2,)</f>
        <v>Sắt góc L50 x50 x5 x1150</v>
      </c>
      <c r="G984" s="980" t="str">
        <f>VLOOKUP($B984,DG!A:D,DG!$D$2,)</f>
        <v>cái</v>
      </c>
      <c r="H984" s="1693">
        <f t="shared" si="198"/>
        <v>6</v>
      </c>
      <c r="I984" s="1693">
        <f t="shared" si="198"/>
        <v>0</v>
      </c>
      <c r="J984" s="1693">
        <f t="shared" si="198"/>
        <v>0</v>
      </c>
      <c r="K984" s="1693">
        <f t="shared" si="198"/>
        <v>6</v>
      </c>
      <c r="L984" s="1693">
        <f t="shared" si="198"/>
        <v>0</v>
      </c>
      <c r="M984" s="1693">
        <f t="shared" si="198"/>
        <v>0</v>
      </c>
      <c r="N984" s="1693">
        <f t="shared" si="198"/>
        <v>0</v>
      </c>
      <c r="O984" s="1693"/>
      <c r="P984" s="1693">
        <f t="shared" si="199"/>
        <v>6</v>
      </c>
      <c r="Q984" s="989"/>
      <c r="R984" s="989"/>
      <c r="S984" s="989"/>
      <c r="T984" s="1862">
        <f t="shared" si="195"/>
        <v>0</v>
      </c>
    </row>
    <row r="985" spans="1:20" ht="22.2" customHeight="1">
      <c r="A985" s="1448">
        <f>COUNTIF($C$12:C985,"x")</f>
        <v>77</v>
      </c>
      <c r="B985" s="1451" t="s">
        <v>415</v>
      </c>
      <c r="C985" s="970" t="str">
        <f t="shared" si="193"/>
        <v>x</v>
      </c>
      <c r="D985" s="1415">
        <v>3</v>
      </c>
      <c r="E985" s="980"/>
      <c r="F985" s="992" t="str">
        <f>VLOOKUP($B985,DG!A:D,DG!$C$2,)</f>
        <v>Boulon 16x300VRS+ 4 long đền vuông D18-50x50x3/Zn</v>
      </c>
      <c r="G985" s="980" t="str">
        <f>VLOOKUP($B985,DG!A:D,DG!$D$2,)</f>
        <v>bộ</v>
      </c>
      <c r="H985" s="1693">
        <f t="shared" si="198"/>
        <v>9</v>
      </c>
      <c r="I985" s="1693">
        <f t="shared" si="198"/>
        <v>0</v>
      </c>
      <c r="J985" s="1693">
        <f t="shared" si="198"/>
        <v>0</v>
      </c>
      <c r="K985" s="1693">
        <f t="shared" si="198"/>
        <v>9</v>
      </c>
      <c r="L985" s="1693">
        <f t="shared" si="198"/>
        <v>0</v>
      </c>
      <c r="M985" s="1693">
        <f t="shared" si="198"/>
        <v>0</v>
      </c>
      <c r="N985" s="1693">
        <f t="shared" si="198"/>
        <v>0</v>
      </c>
      <c r="O985" s="1693"/>
      <c r="P985" s="1693">
        <f t="shared" si="199"/>
        <v>9</v>
      </c>
      <c r="Q985" s="989"/>
      <c r="R985" s="989"/>
      <c r="S985" s="989"/>
      <c r="T985" s="1862">
        <f t="shared" si="195"/>
        <v>0</v>
      </c>
    </row>
    <row r="986" spans="1:20" ht="22.2" customHeight="1">
      <c r="A986" s="1448">
        <f>COUNTIF($C$12:C986,"x")</f>
        <v>78</v>
      </c>
      <c r="B986" s="1451" t="s">
        <v>1610</v>
      </c>
      <c r="C986" s="970" t="str">
        <f t="shared" si="193"/>
        <v>x</v>
      </c>
      <c r="D986" s="1415">
        <v>2</v>
      </c>
      <c r="E986" s="980"/>
      <c r="F986" s="992" t="str">
        <f>VLOOKUP($B986,DG!A:D,DG!$C$2,)</f>
        <v>Boulon 16x300+ 2 long đền vuông D18-50x50x3/Zn</v>
      </c>
      <c r="G986" s="980" t="str">
        <f>VLOOKUP($B986,DG!A:D,DG!$D$2,)</f>
        <v>bộ</v>
      </c>
      <c r="H986" s="1693">
        <f t="shared" si="198"/>
        <v>6</v>
      </c>
      <c r="I986" s="1693">
        <f t="shared" si="198"/>
        <v>0</v>
      </c>
      <c r="J986" s="1693">
        <f t="shared" si="198"/>
        <v>0</v>
      </c>
      <c r="K986" s="1693">
        <f t="shared" si="198"/>
        <v>6</v>
      </c>
      <c r="L986" s="1693">
        <f t="shared" si="198"/>
        <v>0</v>
      </c>
      <c r="M986" s="1693">
        <f t="shared" si="198"/>
        <v>0</v>
      </c>
      <c r="N986" s="1693">
        <f t="shared" si="198"/>
        <v>0</v>
      </c>
      <c r="O986" s="1693"/>
      <c r="P986" s="1693">
        <f t="shared" si="199"/>
        <v>6</v>
      </c>
      <c r="Q986" s="989"/>
      <c r="R986" s="989"/>
      <c r="S986" s="989"/>
      <c r="T986" s="1862">
        <f t="shared" si="195"/>
        <v>0</v>
      </c>
    </row>
    <row r="987" spans="1:20" ht="22.2" hidden="1" customHeight="1">
      <c r="A987" s="1448">
        <f>COUNTIF($C$12:C987,"x")</f>
        <v>78</v>
      </c>
      <c r="B987" s="1451" t="s">
        <v>1609</v>
      </c>
      <c r="C987" s="970" t="str">
        <f t="shared" si="193"/>
        <v xml:space="preserve"> </v>
      </c>
      <c r="D987" s="1415"/>
      <c r="E987" s="980"/>
      <c r="F987" s="992" t="str">
        <f>VLOOKUP($B987,DG!A:D,DG!$C$2,)</f>
        <v>Boulon 16x250+ 2 long đền vuông D18-50x50x3/Zn</v>
      </c>
      <c r="G987" s="980" t="str">
        <f>VLOOKUP($B987,DG!A:D,DG!$D$2,)</f>
        <v>bộ</v>
      </c>
      <c r="H987" s="1693">
        <f t="shared" si="198"/>
        <v>0</v>
      </c>
      <c r="I987" s="1693">
        <f t="shared" si="198"/>
        <v>0</v>
      </c>
      <c r="J987" s="1693">
        <f t="shared" si="198"/>
        <v>0</v>
      </c>
      <c r="K987" s="1693">
        <f t="shared" si="198"/>
        <v>0</v>
      </c>
      <c r="L987" s="1693">
        <f t="shared" si="198"/>
        <v>0</v>
      </c>
      <c r="M987" s="1693">
        <f t="shared" si="198"/>
        <v>0</v>
      </c>
      <c r="N987" s="1693">
        <f t="shared" si="198"/>
        <v>0</v>
      </c>
      <c r="O987" s="1693"/>
      <c r="P987" s="1693">
        <f t="shared" si="199"/>
        <v>0</v>
      </c>
      <c r="Q987" s="989"/>
      <c r="R987" s="989"/>
      <c r="S987" s="989"/>
      <c r="T987" s="1862">
        <f t="shared" si="195"/>
        <v>0</v>
      </c>
    </row>
    <row r="988" spans="1:20" ht="22.2" customHeight="1">
      <c r="A988" s="1448">
        <f>COUNTIF($C$12:C988,"x")</f>
        <v>79</v>
      </c>
      <c r="B988" s="1451" t="s">
        <v>1786</v>
      </c>
      <c r="C988" s="970" t="str">
        <f t="shared" si="193"/>
        <v>x</v>
      </c>
      <c r="D988" s="1415">
        <v>2</v>
      </c>
      <c r="E988" s="980"/>
      <c r="F988" s="992" t="str">
        <f>VLOOKUP($B988,DG!A:D,DG!$C$2,)</f>
        <v>Boulon 16x50+ 2 long đền vuông D18-50x50x3/Zn</v>
      </c>
      <c r="G988" s="980" t="str">
        <f>VLOOKUP($B988,DG!A:D,DG!$D$2,)</f>
        <v>bộ</v>
      </c>
      <c r="H988" s="1693">
        <f t="shared" si="198"/>
        <v>6</v>
      </c>
      <c r="I988" s="1693">
        <f t="shared" si="198"/>
        <v>0</v>
      </c>
      <c r="J988" s="1693">
        <f t="shared" si="198"/>
        <v>0</v>
      </c>
      <c r="K988" s="1693">
        <f t="shared" si="198"/>
        <v>6</v>
      </c>
      <c r="L988" s="1693">
        <f t="shared" si="198"/>
        <v>0</v>
      </c>
      <c r="M988" s="1693">
        <f t="shared" si="198"/>
        <v>0</v>
      </c>
      <c r="N988" s="1693">
        <f t="shared" si="198"/>
        <v>0</v>
      </c>
      <c r="O988" s="1693"/>
      <c r="P988" s="1693">
        <f t="shared" si="199"/>
        <v>6</v>
      </c>
      <c r="Q988" s="989"/>
      <c r="R988" s="989"/>
      <c r="S988" s="989"/>
      <c r="T988" s="1862">
        <f t="shared" si="195"/>
        <v>0</v>
      </c>
    </row>
    <row r="989" spans="1:20" ht="22.2" customHeight="1">
      <c r="A989" s="1448">
        <f>COUNTIF($C$12:C989,"x")</f>
        <v>80</v>
      </c>
      <c r="B989" s="1451" t="s">
        <v>1998</v>
      </c>
      <c r="C989" s="970" t="str">
        <f t="shared" si="193"/>
        <v>x</v>
      </c>
      <c r="D989" s="1415">
        <v>1</v>
      </c>
      <c r="E989" s="996" t="str">
        <f>VLOOKUP($B989,DG!A:D,DG!$B$2,)</f>
        <v>05.6202</v>
      </c>
      <c r="F989" s="985" t="str">
        <f>VLOOKUP($B989,DG!A:D,DG!$C$2,)</f>
        <v>Lắp xà néo ≤ 50kg</v>
      </c>
      <c r="G989" s="980" t="str">
        <f>VLOOKUP($B989,DG!A:D,DG!$D$2,)</f>
        <v>bộ</v>
      </c>
      <c r="H989" s="1693">
        <f>H$982*$D989</f>
        <v>3</v>
      </c>
      <c r="I989" s="1693"/>
      <c r="J989" s="1693"/>
      <c r="K989" s="1693"/>
      <c r="L989" s="1693"/>
      <c r="M989" s="1693"/>
      <c r="N989" s="1693"/>
      <c r="O989" s="1693"/>
      <c r="P989" s="1693">
        <f t="shared" si="199"/>
        <v>3</v>
      </c>
      <c r="Q989" s="994"/>
      <c r="R989" s="994"/>
      <c r="S989" s="994"/>
      <c r="T989" s="1862">
        <f t="shared" si="195"/>
        <v>0</v>
      </c>
    </row>
    <row r="990" spans="1:20" ht="22.2" hidden="1" customHeight="1">
      <c r="A990" s="1448">
        <f>COUNTIF($C$12:C990,"x")</f>
        <v>80</v>
      </c>
      <c r="B990" s="1455" t="s">
        <v>1996</v>
      </c>
      <c r="C990" s="970" t="str">
        <f t="shared" si="193"/>
        <v xml:space="preserve"> </v>
      </c>
      <c r="D990" s="1413"/>
      <c r="E990" s="980" t="str">
        <f>VLOOKUP($B990,DG!A:D,DG!$B$2,)</f>
        <v>02.1115</v>
      </c>
      <c r="F990" s="985" t="str">
        <f>VLOOKUP($B990,DG!A:D,DG!$C$2,)</f>
        <v>Bốc dỡ xà, thép thanh</v>
      </c>
      <c r="G990" s="980" t="str">
        <f>VLOOKUP($B990,DG!A:D,DG!$D$2,)</f>
        <v>tấn</v>
      </c>
      <c r="H990" s="1693"/>
      <c r="I990" s="1693"/>
      <c r="J990" s="1693"/>
      <c r="K990" s="1693"/>
      <c r="L990" s="1693"/>
      <c r="M990" s="1693"/>
      <c r="N990" s="1693"/>
      <c r="O990" s="1693"/>
      <c r="P990" s="1693"/>
      <c r="Q990" s="994"/>
      <c r="R990" s="994"/>
      <c r="S990" s="994"/>
      <c r="T990" s="1862">
        <f t="shared" si="195"/>
        <v>0</v>
      </c>
    </row>
    <row r="991" spans="1:20" ht="22.2" hidden="1" customHeight="1">
      <c r="A991" s="1448">
        <f>COUNTIF($C$12:C991,"x")</f>
        <v>80</v>
      </c>
      <c r="B991" s="1464" t="s">
        <v>1997</v>
      </c>
      <c r="C991" s="970" t="str">
        <f t="shared" si="193"/>
        <v xml:space="preserve"> </v>
      </c>
      <c r="D991" s="1413"/>
      <c r="E991" s="980" t="str">
        <f>VLOOKUP($B991,DG!A:C,2,)</f>
        <v>02.1361</v>
      </c>
      <c r="F991" s="985" t="str">
        <f>VLOOKUP($B991,DG!A:C,3,)</f>
        <v>V/c xà vào vị trí (cư ly &lt;=100m)</v>
      </c>
      <c r="G991" s="980" t="str">
        <f>VLOOKUP($B991,DG!A:D,4,0)</f>
        <v>tấn</v>
      </c>
      <c r="H991" s="1693"/>
      <c r="I991" s="1693"/>
      <c r="J991" s="1693"/>
      <c r="K991" s="1693"/>
      <c r="L991" s="1693"/>
      <c r="M991" s="1693"/>
      <c r="N991" s="1693"/>
      <c r="O991" s="1693"/>
      <c r="P991" s="1693"/>
      <c r="Q991" s="994"/>
      <c r="R991" s="994"/>
      <c r="S991" s="994"/>
      <c r="T991" s="1862">
        <f t="shared" si="195"/>
        <v>0</v>
      </c>
    </row>
    <row r="992" spans="1:20" ht="22.2" hidden="1" customHeight="1">
      <c r="A992" s="1448">
        <f>COUNTIF($C$12:C992,"x")</f>
        <v>80</v>
      </c>
      <c r="B992" s="1464" t="s">
        <v>635</v>
      </c>
      <c r="C992" s="970" t="str">
        <f t="shared" si="193"/>
        <v xml:space="preserve"> </v>
      </c>
      <c r="D992" s="1414"/>
      <c r="E992" s="980" t="str">
        <f>VLOOKUP($B992,DG!A:C,2,)</f>
        <v>02.1482</v>
      </c>
      <c r="F992" s="985" t="str">
        <f>VLOOKUP($B992,DG!A:C,3,)</f>
        <v>V/c dụng cụ thi công vào vị trí (cự ly &lt;=100m)</v>
      </c>
      <c r="G992" s="980" t="str">
        <f>VLOOKUP($B992,DG!A:D,4,0)</f>
        <v>tấn</v>
      </c>
      <c r="H992" s="1693"/>
      <c r="I992" s="1693"/>
      <c r="J992" s="1693"/>
      <c r="K992" s="1693"/>
      <c r="L992" s="1693"/>
      <c r="M992" s="1693"/>
      <c r="N992" s="1693"/>
      <c r="O992" s="1693"/>
      <c r="P992" s="1693"/>
      <c r="Q992" s="994"/>
      <c r="R992" s="994"/>
      <c r="S992" s="994"/>
      <c r="T992" s="1862">
        <f t="shared" si="195"/>
        <v>0</v>
      </c>
    </row>
    <row r="993" spans="1:20" ht="22.2" hidden="1" customHeight="1">
      <c r="A993" s="1448">
        <f>COUNTIF($C$12:C993,"x")</f>
        <v>80</v>
      </c>
      <c r="B993" s="1452" t="s">
        <v>2298</v>
      </c>
      <c r="C993" s="970" t="str">
        <f t="shared" si="193"/>
        <v xml:space="preserve"> </v>
      </c>
      <c r="D993" s="1412"/>
      <c r="E993" s="981"/>
      <c r="F993" s="1276" t="s">
        <v>2434</v>
      </c>
      <c r="G993" s="982" t="s">
        <v>2385</v>
      </c>
      <c r="H993" s="1691">
        <f>SUM(I993:O993)</f>
        <v>0</v>
      </c>
      <c r="I993" s="1692"/>
      <c r="J993" s="1692"/>
      <c r="K993" s="1692">
        <f>IFERROR(HLOOKUP(B993,pp3p1m!$1:$3,2,0),0)</f>
        <v>0</v>
      </c>
      <c r="L993" s="1692">
        <f>IFERROR(HLOOKUP(chitiet!B993,pp1p!$1:$3,3,0),0)</f>
        <v>0</v>
      </c>
      <c r="M993" s="1692"/>
      <c r="N993" s="1692"/>
      <c r="O993" s="1692"/>
      <c r="P993" s="2674">
        <f>T993</f>
        <v>0</v>
      </c>
      <c r="Q993" s="983">
        <f>IF(P993&gt;H993,P993-H993,0)</f>
        <v>0</v>
      </c>
      <c r="R993" s="983">
        <f>IF(H993&gt;P993,H993-P993,0)</f>
        <v>0</v>
      </c>
      <c r="S993" s="983"/>
      <c r="T993" s="1862">
        <f>IFERROR(HLOOKUP(B993,pp1p!$1:$3,3,0),0)+IFERROR(HLOOKUP(B993,pp3p1m!$1:$3,3,0),0)</f>
        <v>0</v>
      </c>
    </row>
    <row r="994" spans="1:20" ht="22.2" hidden="1" customHeight="1">
      <c r="A994" s="1448">
        <f>COUNTIF($C$12:C994,"x")</f>
        <v>80</v>
      </c>
      <c r="B994" s="1455" t="s">
        <v>109</v>
      </c>
      <c r="C994" s="970" t="str">
        <f t="shared" si="193"/>
        <v xml:space="preserve"> </v>
      </c>
      <c r="D994" s="1414">
        <f>9.02*(2.4+3*0.07)</f>
        <v>23.542199999999998</v>
      </c>
      <c r="E994" s="980"/>
      <c r="F994" s="992" t="str">
        <f>VLOOKUP($B994,DG!A:D,DG!$C$2,)</f>
        <v>Sắt góc L75 x75 x8</v>
      </c>
      <c r="G994" s="980" t="str">
        <f>VLOOKUP($B994,DG!A:D,DG!$D$2,)</f>
        <v>kg</v>
      </c>
      <c r="H994" s="1693">
        <f t="shared" ref="H994:L997" si="200">H$993*$D994</f>
        <v>0</v>
      </c>
      <c r="I994" s="1693">
        <f t="shared" si="200"/>
        <v>0</v>
      </c>
      <c r="J994" s="1693">
        <f t="shared" si="200"/>
        <v>0</v>
      </c>
      <c r="K994" s="1693">
        <f t="shared" si="200"/>
        <v>0</v>
      </c>
      <c r="L994" s="1693">
        <f t="shared" si="200"/>
        <v>0</v>
      </c>
      <c r="M994" s="1693"/>
      <c r="N994" s="1693"/>
      <c r="O994" s="1693"/>
      <c r="P994" s="1693"/>
      <c r="Q994" s="989"/>
      <c r="R994" s="989"/>
      <c r="S994" s="989"/>
      <c r="T994" s="1862">
        <f t="shared" si="195"/>
        <v>0</v>
      </c>
    </row>
    <row r="995" spans="1:20" ht="22.2" hidden="1" customHeight="1">
      <c r="A995" s="1448">
        <f>COUNTIF($C$12:C995,"x")</f>
        <v>80</v>
      </c>
      <c r="B995" s="1455" t="s">
        <v>1610</v>
      </c>
      <c r="C995" s="970" t="str">
        <f t="shared" si="193"/>
        <v xml:space="preserve"> </v>
      </c>
      <c r="D995" s="1415">
        <v>2</v>
      </c>
      <c r="E995" s="980"/>
      <c r="F995" s="992" t="str">
        <f>VLOOKUP($B995,DG!A:D,DG!$C$2,)</f>
        <v>Boulon 16x300+ 2 long đền vuông D18-50x50x3/Zn</v>
      </c>
      <c r="G995" s="980" t="str">
        <f>VLOOKUP($B995,DG!A:D,DG!$D$2,)</f>
        <v>bộ</v>
      </c>
      <c r="H995" s="1693">
        <f t="shared" si="200"/>
        <v>0</v>
      </c>
      <c r="I995" s="1693">
        <f t="shared" si="200"/>
        <v>0</v>
      </c>
      <c r="J995" s="1693">
        <f t="shared" si="200"/>
        <v>0</v>
      </c>
      <c r="K995" s="1693">
        <f t="shared" si="200"/>
        <v>0</v>
      </c>
      <c r="L995" s="1693">
        <f t="shared" si="200"/>
        <v>0</v>
      </c>
      <c r="M995" s="1693"/>
      <c r="N995" s="1693"/>
      <c r="O995" s="1693"/>
      <c r="P995" s="1693"/>
      <c r="Q995" s="989"/>
      <c r="R995" s="989"/>
      <c r="S995" s="989"/>
      <c r="T995" s="1862">
        <f t="shared" si="195"/>
        <v>0</v>
      </c>
    </row>
    <row r="996" spans="1:20" ht="22.2" hidden="1" customHeight="1">
      <c r="A996" s="1448">
        <f>COUNTIF($C$12:C996,"x")</f>
        <v>80</v>
      </c>
      <c r="B996" s="1455" t="s">
        <v>2242</v>
      </c>
      <c r="C996" s="970" t="str">
        <f t="shared" si="193"/>
        <v xml:space="preserve"> </v>
      </c>
      <c r="D996" s="1415">
        <v>1</v>
      </c>
      <c r="E996" s="980"/>
      <c r="F996" s="985" t="str">
        <f>VLOOKUP($B996,DG!A:D,DG!$C$2,)</f>
        <v>Lắp xà cột Pi loại ≤140kg/xà</v>
      </c>
      <c r="G996" s="980" t="str">
        <f>VLOOKUP($B996,DG!A:D,DG!$D$2,)</f>
        <v>bộ</v>
      </c>
      <c r="H996" s="1693">
        <f t="shared" si="200"/>
        <v>0</v>
      </c>
      <c r="I996" s="1693">
        <f t="shared" si="200"/>
        <v>0</v>
      </c>
      <c r="J996" s="1693">
        <f t="shared" si="200"/>
        <v>0</v>
      </c>
      <c r="K996" s="1693">
        <f t="shared" si="200"/>
        <v>0</v>
      </c>
      <c r="L996" s="1693">
        <f t="shared" si="200"/>
        <v>0</v>
      </c>
      <c r="M996" s="1693"/>
      <c r="N996" s="1693"/>
      <c r="O996" s="1693"/>
      <c r="P996" s="1693"/>
      <c r="Q996" s="989"/>
      <c r="R996" s="989"/>
      <c r="S996" s="989"/>
      <c r="T996" s="1862">
        <f t="shared" si="195"/>
        <v>0</v>
      </c>
    </row>
    <row r="997" spans="1:20" ht="22.2" hidden="1" customHeight="1">
      <c r="A997" s="1448">
        <f>COUNTIF($C$12:C997,"x")</f>
        <v>80</v>
      </c>
      <c r="B997" s="1455" t="s">
        <v>1996</v>
      </c>
      <c r="C997" s="970" t="str">
        <f t="shared" si="193"/>
        <v xml:space="preserve"> </v>
      </c>
      <c r="D997" s="1413">
        <f>D998</f>
        <v>2.7E-2</v>
      </c>
      <c r="E997" s="980"/>
      <c r="F997" s="985" t="str">
        <f>VLOOKUP($B997,DG!A:D,DG!$C$2,)</f>
        <v>Bốc dỡ xà, thép thanh</v>
      </c>
      <c r="G997" s="980" t="str">
        <f>VLOOKUP($B997,DG!A:D,DG!$D$2,)</f>
        <v>tấn</v>
      </c>
      <c r="H997" s="1693">
        <f t="shared" si="200"/>
        <v>0</v>
      </c>
      <c r="I997" s="1693">
        <f t="shared" si="200"/>
        <v>0</v>
      </c>
      <c r="J997" s="1693">
        <f t="shared" si="200"/>
        <v>0</v>
      </c>
      <c r="K997" s="1693">
        <f t="shared" si="200"/>
        <v>0</v>
      </c>
      <c r="L997" s="1693">
        <f t="shared" si="200"/>
        <v>0</v>
      </c>
      <c r="M997" s="1693"/>
      <c r="N997" s="1693"/>
      <c r="O997" s="1693"/>
      <c r="P997" s="1693"/>
      <c r="Q997" s="989"/>
      <c r="R997" s="989"/>
      <c r="S997" s="989"/>
      <c r="T997" s="1862">
        <f t="shared" si="195"/>
        <v>0</v>
      </c>
    </row>
    <row r="998" spans="1:20" ht="22.2" hidden="1" customHeight="1">
      <c r="A998" s="1448">
        <f>COUNTIF($C$12:C998,"x")</f>
        <v>80</v>
      </c>
      <c r="B998" s="1464" t="s">
        <v>1997</v>
      </c>
      <c r="C998" s="970" t="str">
        <f t="shared" si="193"/>
        <v xml:space="preserve"> </v>
      </c>
      <c r="D998" s="1413">
        <f>ROUND(SUM(D994:D995)*1.05/1000,3)</f>
        <v>2.7E-2</v>
      </c>
      <c r="E998" s="980" t="str">
        <f>VLOOKUP($B998,DG!A:C,2,)</f>
        <v>02.1361</v>
      </c>
      <c r="F998" s="985" t="str">
        <f>VLOOKUP($B998,DG!A:C,3,)</f>
        <v>V/c xà vào vị trí (cư ly &lt;=100m)</v>
      </c>
      <c r="G998" s="980" t="str">
        <f>VLOOKUP($B998,DG!A:D,4,0)</f>
        <v>tấn</v>
      </c>
      <c r="H998" s="1693"/>
      <c r="I998" s="1693"/>
      <c r="J998" s="1693"/>
      <c r="K998" s="1693"/>
      <c r="L998" s="1693"/>
      <c r="M998" s="1693"/>
      <c r="N998" s="1693"/>
      <c r="O998" s="1693"/>
      <c r="P998" s="1693"/>
      <c r="Q998" s="994"/>
      <c r="R998" s="994"/>
      <c r="S998" s="994"/>
      <c r="T998" s="1862">
        <f t="shared" si="195"/>
        <v>0</v>
      </c>
    </row>
    <row r="999" spans="1:20" ht="22.2" hidden="1" customHeight="1">
      <c r="A999" s="1448">
        <f>COUNTIF($C$12:C999,"x")</f>
        <v>80</v>
      </c>
      <c r="B999" s="1464" t="s">
        <v>635</v>
      </c>
      <c r="C999" s="970" t="str">
        <f t="shared" si="193"/>
        <v xml:space="preserve"> </v>
      </c>
      <c r="D999" s="1414">
        <v>0.05</v>
      </c>
      <c r="E999" s="980" t="str">
        <f>VLOOKUP($B999,DG!A:C,2,)</f>
        <v>02.1482</v>
      </c>
      <c r="F999" s="985" t="str">
        <f>VLOOKUP($B999,DG!A:C,3,)</f>
        <v>V/c dụng cụ thi công vào vị trí (cự ly &lt;=100m)</v>
      </c>
      <c r="G999" s="980" t="str">
        <f>VLOOKUP($B999,DG!A:D,4,0)</f>
        <v>tấn</v>
      </c>
      <c r="H999" s="1693"/>
      <c r="I999" s="1693"/>
      <c r="J999" s="1693"/>
      <c r="K999" s="1693"/>
      <c r="L999" s="1693"/>
      <c r="M999" s="1693"/>
      <c r="N999" s="1693"/>
      <c r="O999" s="1693"/>
      <c r="P999" s="1693"/>
      <c r="Q999" s="994"/>
      <c r="R999" s="994"/>
      <c r="S999" s="994"/>
      <c r="T999" s="1862">
        <f t="shared" si="195"/>
        <v>0</v>
      </c>
    </row>
    <row r="1000" spans="1:20" ht="22.2" hidden="1" customHeight="1">
      <c r="A1000" s="1448">
        <f>COUNTIF($C$12:C1000,"x")</f>
        <v>80</v>
      </c>
      <c r="B1000" s="1452" t="s">
        <v>213</v>
      </c>
      <c r="C1000" s="970" t="str">
        <f t="shared" si="193"/>
        <v xml:space="preserve"> </v>
      </c>
      <c r="D1000" s="1412"/>
      <c r="E1000" s="981"/>
      <c r="F1000" s="1276" t="s">
        <v>2435</v>
      </c>
      <c r="G1000" s="982" t="s">
        <v>2385</v>
      </c>
      <c r="H1000" s="1691">
        <f>SUM(I1000:O1000)</f>
        <v>0</v>
      </c>
      <c r="I1000" s="1692"/>
      <c r="J1000" s="1692"/>
      <c r="K1000" s="1692">
        <f>IFERROR(HLOOKUP(B1000,pp3p1m!$1:$3,2,0),0)</f>
        <v>0</v>
      </c>
      <c r="L1000" s="1692">
        <f>IFERROR(HLOOKUP(chitiet!B1000,pp1p!$1:$3,3,0),0)</f>
        <v>0</v>
      </c>
      <c r="M1000" s="1692"/>
      <c r="N1000" s="1692"/>
      <c r="O1000" s="1692"/>
      <c r="P1000" s="2674">
        <f>T1000</f>
        <v>0</v>
      </c>
      <c r="Q1000" s="983">
        <f>IF(P1000&gt;H1000,P1000-H1000,0)</f>
        <v>0</v>
      </c>
      <c r="R1000" s="983">
        <f>IF(H1000&gt;P1000,H1000-P1000,0)</f>
        <v>0</v>
      </c>
      <c r="S1000" s="983"/>
      <c r="T1000" s="1862">
        <f>IFERROR(HLOOKUP(B1000,pp1p!$1:$3,3,0),0)+IFERROR(HLOOKUP(B1000,pp3p1m!$1:$3,3,0),0)</f>
        <v>0</v>
      </c>
    </row>
    <row r="1001" spans="1:20" ht="22.2" hidden="1" customHeight="1">
      <c r="A1001" s="1448">
        <f>COUNTIF($C$12:C1001,"x")</f>
        <v>80</v>
      </c>
      <c r="B1001" s="1455" t="s">
        <v>109</v>
      </c>
      <c r="C1001" s="970" t="str">
        <f t="shared" si="193"/>
        <v xml:space="preserve"> </v>
      </c>
      <c r="D1001" s="1414">
        <f>9.02*(2.4+3*0.1)*2</f>
        <v>48.707999999999998</v>
      </c>
      <c r="E1001" s="980"/>
      <c r="F1001" s="992" t="str">
        <f>VLOOKUP($B1001,DG!A:D,DG!$C$2,)</f>
        <v>Sắt góc L75 x75 x8</v>
      </c>
      <c r="G1001" s="980" t="str">
        <f>VLOOKUP($B1001,DG!A:D,DG!$D$2,)</f>
        <v>kg</v>
      </c>
      <c r="H1001" s="1693">
        <f t="shared" ref="H1001:L1005" si="201">H$1000*$D1001</f>
        <v>0</v>
      </c>
      <c r="I1001" s="1693">
        <f t="shared" si="201"/>
        <v>0</v>
      </c>
      <c r="J1001" s="1693">
        <f t="shared" si="201"/>
        <v>0</v>
      </c>
      <c r="K1001" s="1693">
        <f t="shared" si="201"/>
        <v>0</v>
      </c>
      <c r="L1001" s="1693">
        <f t="shared" si="201"/>
        <v>0</v>
      </c>
      <c r="M1001" s="1693"/>
      <c r="N1001" s="1693"/>
      <c r="O1001" s="1693"/>
      <c r="P1001" s="1693"/>
      <c r="Q1001" s="989"/>
      <c r="R1001" s="989"/>
      <c r="S1001" s="989"/>
      <c r="T1001" s="1862">
        <f t="shared" si="195"/>
        <v>0</v>
      </c>
    </row>
    <row r="1002" spans="1:20" ht="22.2" hidden="1" customHeight="1">
      <c r="A1002" s="1448">
        <f>COUNTIF($C$12:C1002,"x")</f>
        <v>80</v>
      </c>
      <c r="B1002" s="1455" t="s">
        <v>1610</v>
      </c>
      <c r="C1002" s="970" t="str">
        <f t="shared" si="193"/>
        <v xml:space="preserve"> </v>
      </c>
      <c r="D1002" s="1415">
        <v>2</v>
      </c>
      <c r="E1002" s="980"/>
      <c r="F1002" s="992" t="str">
        <f>VLOOKUP($B1002,DG!A:D,DG!$C$2,)</f>
        <v>Boulon 16x300+ 2 long đền vuông D18-50x50x3/Zn</v>
      </c>
      <c r="G1002" s="980" t="str">
        <f>VLOOKUP($B1002,DG!A:D,DG!$D$2,)</f>
        <v>bộ</v>
      </c>
      <c r="H1002" s="1693">
        <f t="shared" si="201"/>
        <v>0</v>
      </c>
      <c r="I1002" s="1693">
        <f t="shared" si="201"/>
        <v>0</v>
      </c>
      <c r="J1002" s="1693">
        <f t="shared" si="201"/>
        <v>0</v>
      </c>
      <c r="K1002" s="1693">
        <f t="shared" si="201"/>
        <v>0</v>
      </c>
      <c r="L1002" s="1693">
        <f t="shared" si="201"/>
        <v>0</v>
      </c>
      <c r="M1002" s="1693"/>
      <c r="N1002" s="1693"/>
      <c r="O1002" s="1693"/>
      <c r="P1002" s="1693"/>
      <c r="Q1002" s="989"/>
      <c r="R1002" s="989"/>
      <c r="S1002" s="989"/>
      <c r="T1002" s="1862">
        <f t="shared" si="195"/>
        <v>0</v>
      </c>
    </row>
    <row r="1003" spans="1:20" ht="22.2" hidden="1" customHeight="1">
      <c r="A1003" s="1448">
        <f>COUNTIF($C$12:C1003,"x")</f>
        <v>80</v>
      </c>
      <c r="B1003" s="1455" t="s">
        <v>1784</v>
      </c>
      <c r="C1003" s="970" t="str">
        <f t="shared" si="193"/>
        <v xml:space="preserve"> </v>
      </c>
      <c r="D1003" s="1415">
        <v>4</v>
      </c>
      <c r="E1003" s="980"/>
      <c r="F1003" s="992" t="str">
        <f>VLOOKUP($B1003,DG!A:D,DG!$C$2,)</f>
        <v>Boulon 16x300VRS+ 4 long đền vuông D18-50x50x3/Zn</v>
      </c>
      <c r="G1003" s="980" t="str">
        <f>VLOOKUP($B1003,DG!A:D,DG!$D$2,)</f>
        <v>bộ</v>
      </c>
      <c r="H1003" s="1693">
        <f t="shared" si="201"/>
        <v>0</v>
      </c>
      <c r="I1003" s="1693">
        <f t="shared" si="201"/>
        <v>0</v>
      </c>
      <c r="J1003" s="1693">
        <f t="shared" si="201"/>
        <v>0</v>
      </c>
      <c r="K1003" s="1693">
        <f t="shared" si="201"/>
        <v>0</v>
      </c>
      <c r="L1003" s="1693">
        <f t="shared" si="201"/>
        <v>0</v>
      </c>
      <c r="M1003" s="1693"/>
      <c r="N1003" s="1693"/>
      <c r="O1003" s="1693"/>
      <c r="P1003" s="1693"/>
      <c r="Q1003" s="989"/>
      <c r="R1003" s="989"/>
      <c r="S1003" s="989"/>
      <c r="T1003" s="1862">
        <f t="shared" si="195"/>
        <v>0</v>
      </c>
    </row>
    <row r="1004" spans="1:20" ht="22.2" hidden="1" customHeight="1">
      <c r="A1004" s="1448">
        <f>COUNTIF($C$12:C1004,"x")</f>
        <v>80</v>
      </c>
      <c r="B1004" s="1455" t="s">
        <v>2242</v>
      </c>
      <c r="C1004" s="970" t="str">
        <f t="shared" si="193"/>
        <v xml:space="preserve"> </v>
      </c>
      <c r="D1004" s="1415">
        <v>1</v>
      </c>
      <c r="E1004" s="980"/>
      <c r="F1004" s="985" t="str">
        <f>VLOOKUP($B1004,DG!A:D,DG!$C$2,)</f>
        <v>Lắp xà cột Pi loại ≤140kg/xà</v>
      </c>
      <c r="G1004" s="980" t="str">
        <f>VLOOKUP($B1004,DG!A:D,DG!$D$2,)</f>
        <v>bộ</v>
      </c>
      <c r="H1004" s="1693">
        <f t="shared" si="201"/>
        <v>0</v>
      </c>
      <c r="I1004" s="1693">
        <f t="shared" si="201"/>
        <v>0</v>
      </c>
      <c r="J1004" s="1693">
        <f t="shared" si="201"/>
        <v>0</v>
      </c>
      <c r="K1004" s="1693">
        <f t="shared" si="201"/>
        <v>0</v>
      </c>
      <c r="L1004" s="1693">
        <f t="shared" si="201"/>
        <v>0</v>
      </c>
      <c r="M1004" s="1693"/>
      <c r="N1004" s="1693"/>
      <c r="O1004" s="1693"/>
      <c r="P1004" s="1693"/>
      <c r="Q1004" s="989"/>
      <c r="R1004" s="989"/>
      <c r="S1004" s="989"/>
      <c r="T1004" s="1862">
        <f t="shared" si="195"/>
        <v>0</v>
      </c>
    </row>
    <row r="1005" spans="1:20" ht="22.2" hidden="1" customHeight="1">
      <c r="A1005" s="1448">
        <f>COUNTIF($C$12:C1005,"x")</f>
        <v>80</v>
      </c>
      <c r="B1005" s="1455" t="s">
        <v>1996</v>
      </c>
      <c r="C1005" s="970" t="str">
        <f t="shared" si="193"/>
        <v xml:space="preserve"> </v>
      </c>
      <c r="D1005" s="1413">
        <f>D1006*0</f>
        <v>0</v>
      </c>
      <c r="E1005" s="980"/>
      <c r="F1005" s="985" t="str">
        <f>VLOOKUP($B1005,DG!A:D,DG!$C$2,)</f>
        <v>Bốc dỡ xà, thép thanh</v>
      </c>
      <c r="G1005" s="980" t="str">
        <f>VLOOKUP($B1005,DG!A:D,DG!$D$2,)</f>
        <v>tấn</v>
      </c>
      <c r="H1005" s="1693">
        <f t="shared" si="201"/>
        <v>0</v>
      </c>
      <c r="I1005" s="1693">
        <f t="shared" si="201"/>
        <v>0</v>
      </c>
      <c r="J1005" s="1693">
        <f t="shared" si="201"/>
        <v>0</v>
      </c>
      <c r="K1005" s="1693">
        <f t="shared" si="201"/>
        <v>0</v>
      </c>
      <c r="L1005" s="1693">
        <f t="shared" si="201"/>
        <v>0</v>
      </c>
      <c r="M1005" s="1693"/>
      <c r="N1005" s="1693"/>
      <c r="O1005" s="1693"/>
      <c r="P1005" s="1693"/>
      <c r="Q1005" s="989"/>
      <c r="R1005" s="989"/>
      <c r="S1005" s="989"/>
      <c r="T1005" s="1862">
        <f t="shared" si="195"/>
        <v>0</v>
      </c>
    </row>
    <row r="1006" spans="1:20" ht="22.2" hidden="1" customHeight="1">
      <c r="A1006" s="1448">
        <f>COUNTIF($C$12:C1006,"x")</f>
        <v>80</v>
      </c>
      <c r="B1006" s="1464" t="s">
        <v>1997</v>
      </c>
      <c r="C1006" s="970" t="str">
        <f t="shared" si="193"/>
        <v xml:space="preserve"> </v>
      </c>
      <c r="D1006" s="1413">
        <f>ROUND(SUM(D1001:D1001)*1.05/1000,3)*0</f>
        <v>0</v>
      </c>
      <c r="E1006" s="980" t="str">
        <f>VLOOKUP($B1006,DG!A:C,2,)</f>
        <v>02.1361</v>
      </c>
      <c r="F1006" s="985" t="str">
        <f>VLOOKUP($B1006,DG!A:C,3,)</f>
        <v>V/c xà vào vị trí (cư ly &lt;=100m)</v>
      </c>
      <c r="G1006" s="980" t="str">
        <f>VLOOKUP($B1006,DG!A:D,4,0)</f>
        <v>tấn</v>
      </c>
      <c r="H1006" s="1693"/>
      <c r="I1006" s="1693"/>
      <c r="J1006" s="1693"/>
      <c r="K1006" s="1693"/>
      <c r="L1006" s="1693"/>
      <c r="M1006" s="1693"/>
      <c r="N1006" s="1693"/>
      <c r="O1006" s="1693"/>
      <c r="P1006" s="1693"/>
      <c r="Q1006" s="994"/>
      <c r="R1006" s="994"/>
      <c r="S1006" s="994"/>
      <c r="T1006" s="1862">
        <f t="shared" si="195"/>
        <v>0</v>
      </c>
    </row>
    <row r="1007" spans="1:20" ht="22.2" hidden="1" customHeight="1">
      <c r="A1007" s="1448">
        <f>COUNTIF($C$12:C1007,"x")</f>
        <v>80</v>
      </c>
      <c r="B1007" s="1464" t="s">
        <v>635</v>
      </c>
      <c r="C1007" s="970" t="str">
        <f t="shared" si="193"/>
        <v xml:space="preserve"> </v>
      </c>
      <c r="D1007" s="1414">
        <f>0.05*0</f>
        <v>0</v>
      </c>
      <c r="E1007" s="980" t="str">
        <f>VLOOKUP($B1007,DG!A:C,2,)</f>
        <v>02.1482</v>
      </c>
      <c r="F1007" s="985" t="str">
        <f>VLOOKUP($B1007,DG!A:C,3,)</f>
        <v>V/c dụng cụ thi công vào vị trí (cự ly &lt;=100m)</v>
      </c>
      <c r="G1007" s="980" t="str">
        <f>VLOOKUP($B1007,DG!A:D,4,0)</f>
        <v>tấn</v>
      </c>
      <c r="H1007" s="1693"/>
      <c r="I1007" s="1693"/>
      <c r="J1007" s="1693"/>
      <c r="K1007" s="1693"/>
      <c r="L1007" s="1693"/>
      <c r="M1007" s="1693"/>
      <c r="N1007" s="1693"/>
      <c r="O1007" s="1693"/>
      <c r="P1007" s="1693"/>
      <c r="Q1007" s="994"/>
      <c r="R1007" s="994"/>
      <c r="S1007" s="994"/>
      <c r="T1007" s="1862">
        <f t="shared" si="195"/>
        <v>0</v>
      </c>
    </row>
    <row r="1008" spans="1:20" ht="22.2" hidden="1" customHeight="1">
      <c r="A1008" s="1448">
        <f>COUNTIF($C$12:C1008,"x")</f>
        <v>80</v>
      </c>
      <c r="B1008" s="1452" t="s">
        <v>2311</v>
      </c>
      <c r="C1008" s="970" t="str">
        <f t="shared" si="193"/>
        <v xml:space="preserve"> </v>
      </c>
      <c r="D1008" s="1412"/>
      <c r="E1008" s="981"/>
      <c r="F1008" s="1276" t="s">
        <v>2436</v>
      </c>
      <c r="G1008" s="982" t="s">
        <v>2385</v>
      </c>
      <c r="H1008" s="1691">
        <f>SUM(I1008:O1008)</f>
        <v>0</v>
      </c>
      <c r="I1008" s="1692"/>
      <c r="J1008" s="1692"/>
      <c r="K1008" s="1692">
        <f>IFERROR(HLOOKUP(B1008,pp3p1m!$1:$3,2,0),0)</f>
        <v>0</v>
      </c>
      <c r="L1008" s="1692">
        <f>IFERROR(HLOOKUP(chitiet!B1008,pp1p!$1:$3,3,0),0)</f>
        <v>0</v>
      </c>
      <c r="M1008" s="1692"/>
      <c r="N1008" s="1692"/>
      <c r="O1008" s="1692"/>
      <c r="P1008" s="2674">
        <f>T1008</f>
        <v>0</v>
      </c>
      <c r="Q1008" s="983">
        <f>IF(P1008&gt;H1008,P1008-H1008,0)</f>
        <v>0</v>
      </c>
      <c r="R1008" s="983">
        <f>IF(H1008&gt;P1008,H1008-P1008,0)</f>
        <v>0</v>
      </c>
      <c r="S1008" s="983"/>
      <c r="T1008" s="1862">
        <f>IFERROR(HLOOKUP(B1008,pp1p!$1:$3,3,0),0)+IFERROR(HLOOKUP(B1008,pp3p1m!$1:$3,3,0),0)</f>
        <v>0</v>
      </c>
    </row>
    <row r="1009" spans="1:20" ht="22.2" hidden="1" customHeight="1">
      <c r="A1009" s="1448">
        <f>COUNTIF($C$12:C1009,"x")</f>
        <v>80</v>
      </c>
      <c r="B1009" s="1455" t="s">
        <v>109</v>
      </c>
      <c r="C1009" s="970" t="str">
        <f t="shared" si="193"/>
        <v xml:space="preserve"> </v>
      </c>
      <c r="D1009" s="1414">
        <f>9.02*(2.6+3*0.07)</f>
        <v>25.3462</v>
      </c>
      <c r="E1009" s="980"/>
      <c r="F1009" s="992" t="s">
        <v>2437</v>
      </c>
      <c r="G1009" s="980" t="s">
        <v>2248</v>
      </c>
      <c r="H1009" s="1693">
        <f t="shared" ref="H1009:L1012" si="202">H$1007*$D1009</f>
        <v>0</v>
      </c>
      <c r="I1009" s="1693">
        <f t="shared" si="202"/>
        <v>0</v>
      </c>
      <c r="J1009" s="1693">
        <f t="shared" si="202"/>
        <v>0</v>
      </c>
      <c r="K1009" s="1693">
        <f t="shared" si="202"/>
        <v>0</v>
      </c>
      <c r="L1009" s="1693">
        <f t="shared" si="202"/>
        <v>0</v>
      </c>
      <c r="M1009" s="1693"/>
      <c r="N1009" s="1693"/>
      <c r="O1009" s="1693"/>
      <c r="P1009" s="1693">
        <f>$P$1008*D1009</f>
        <v>0</v>
      </c>
      <c r="Q1009" s="989"/>
      <c r="R1009" s="989">
        <f>$R$1008*D1009</f>
        <v>0</v>
      </c>
      <c r="S1009" s="989"/>
      <c r="T1009" s="1862">
        <f t="shared" si="195"/>
        <v>0</v>
      </c>
    </row>
    <row r="1010" spans="1:20" ht="22.2" hidden="1" customHeight="1">
      <c r="A1010" s="1448">
        <f>COUNTIF($C$12:C1010,"x")</f>
        <v>80</v>
      </c>
      <c r="B1010" s="1455" t="s">
        <v>1609</v>
      </c>
      <c r="C1010" s="970" t="str">
        <f t="shared" si="193"/>
        <v xml:space="preserve"> </v>
      </c>
      <c r="D1010" s="1415">
        <v>2</v>
      </c>
      <c r="E1010" s="980"/>
      <c r="F1010" s="992" t="s">
        <v>2438</v>
      </c>
      <c r="G1010" s="980" t="s">
        <v>2439</v>
      </c>
      <c r="H1010" s="1693">
        <f t="shared" si="202"/>
        <v>0</v>
      </c>
      <c r="I1010" s="1693">
        <f t="shared" si="202"/>
        <v>0</v>
      </c>
      <c r="J1010" s="1693">
        <f t="shared" si="202"/>
        <v>0</v>
      </c>
      <c r="K1010" s="1693">
        <f t="shared" si="202"/>
        <v>0</v>
      </c>
      <c r="L1010" s="1693">
        <f t="shared" si="202"/>
        <v>0</v>
      </c>
      <c r="M1010" s="1693"/>
      <c r="N1010" s="1693"/>
      <c r="O1010" s="1693"/>
      <c r="P1010" s="1693">
        <f>$P$1008*D1010</f>
        <v>0</v>
      </c>
      <c r="Q1010" s="989"/>
      <c r="R1010" s="989">
        <f>$R$1008*D1010</f>
        <v>0</v>
      </c>
      <c r="S1010" s="989"/>
      <c r="T1010" s="1862">
        <f t="shared" si="195"/>
        <v>0</v>
      </c>
    </row>
    <row r="1011" spans="1:20" ht="22.2" hidden="1" customHeight="1">
      <c r="A1011" s="1448">
        <f>COUNTIF($C$12:C1011,"x")</f>
        <v>80</v>
      </c>
      <c r="B1011" s="1455" t="s">
        <v>2242</v>
      </c>
      <c r="C1011" s="970" t="str">
        <f t="shared" si="193"/>
        <v xml:space="preserve"> </v>
      </c>
      <c r="D1011" s="1414">
        <v>1</v>
      </c>
      <c r="E1011" s="980"/>
      <c r="F1011" s="985" t="s">
        <v>2440</v>
      </c>
      <c r="G1011" s="980" t="s">
        <v>2439</v>
      </c>
      <c r="H1011" s="1693">
        <f t="shared" si="202"/>
        <v>0</v>
      </c>
      <c r="I1011" s="1693">
        <f t="shared" si="202"/>
        <v>0</v>
      </c>
      <c r="J1011" s="1693">
        <f t="shared" si="202"/>
        <v>0</v>
      </c>
      <c r="K1011" s="1693">
        <f t="shared" si="202"/>
        <v>0</v>
      </c>
      <c r="L1011" s="1693">
        <f t="shared" si="202"/>
        <v>0</v>
      </c>
      <c r="M1011" s="1693"/>
      <c r="N1011" s="1693"/>
      <c r="O1011" s="1693"/>
      <c r="P1011" s="1693">
        <f>$P$1008*D1011</f>
        <v>0</v>
      </c>
      <c r="Q1011" s="989"/>
      <c r="R1011" s="989">
        <f>$R$1008*D1011</f>
        <v>0</v>
      </c>
      <c r="S1011" s="989"/>
      <c r="T1011" s="1862">
        <f t="shared" si="195"/>
        <v>0</v>
      </c>
    </row>
    <row r="1012" spans="1:20" ht="22.2" hidden="1" customHeight="1">
      <c r="A1012" s="1448">
        <f>COUNTIF($C$12:C1012,"x")</f>
        <v>80</v>
      </c>
      <c r="B1012" s="1455" t="s">
        <v>1996</v>
      </c>
      <c r="C1012" s="970" t="str">
        <f t="shared" si="193"/>
        <v xml:space="preserve"> </v>
      </c>
      <c r="D1012" s="1413">
        <f>D1013</f>
        <v>0</v>
      </c>
      <c r="E1012" s="980"/>
      <c r="F1012" s="985" t="s">
        <v>2441</v>
      </c>
      <c r="G1012" s="980" t="s">
        <v>2442</v>
      </c>
      <c r="H1012" s="1693">
        <f t="shared" si="202"/>
        <v>0</v>
      </c>
      <c r="I1012" s="1693">
        <f t="shared" si="202"/>
        <v>0</v>
      </c>
      <c r="J1012" s="1693">
        <f t="shared" si="202"/>
        <v>0</v>
      </c>
      <c r="K1012" s="1693">
        <f t="shared" si="202"/>
        <v>0</v>
      </c>
      <c r="L1012" s="1693">
        <f t="shared" si="202"/>
        <v>0</v>
      </c>
      <c r="M1012" s="1693"/>
      <c r="N1012" s="1693"/>
      <c r="O1012" s="1693"/>
      <c r="P1012" s="1693">
        <f>$P$1008*D1012</f>
        <v>0</v>
      </c>
      <c r="Q1012" s="989"/>
      <c r="R1012" s="989">
        <f>$R$1008*D1012</f>
        <v>0</v>
      </c>
      <c r="S1012" s="989"/>
      <c r="T1012" s="1862">
        <f t="shared" si="195"/>
        <v>0</v>
      </c>
    </row>
    <row r="1013" spans="1:20" ht="22.2" hidden="1" customHeight="1">
      <c r="A1013" s="1448">
        <f>COUNTIF($C$12:C1013,"x")</f>
        <v>80</v>
      </c>
      <c r="B1013" s="1464" t="s">
        <v>1997</v>
      </c>
      <c r="C1013" s="970" t="str">
        <f t="shared" si="193"/>
        <v xml:space="preserve"> </v>
      </c>
      <c r="D1013" s="1413"/>
      <c r="E1013" s="980" t="s">
        <v>1607</v>
      </c>
      <c r="F1013" s="985" t="s">
        <v>2443</v>
      </c>
      <c r="G1013" s="980" t="s">
        <v>2442</v>
      </c>
      <c r="H1013" s="1693"/>
      <c r="I1013" s="1693"/>
      <c r="J1013" s="1693"/>
      <c r="K1013" s="1693"/>
      <c r="L1013" s="1693"/>
      <c r="M1013" s="1693"/>
      <c r="N1013" s="1693"/>
      <c r="O1013" s="1693"/>
      <c r="P1013" s="1693"/>
      <c r="Q1013" s="994"/>
      <c r="R1013" s="994"/>
      <c r="S1013" s="994"/>
      <c r="T1013" s="1862">
        <f t="shared" si="195"/>
        <v>0</v>
      </c>
    </row>
    <row r="1014" spans="1:20" ht="22.2" hidden="1" customHeight="1">
      <c r="A1014" s="1448">
        <f>COUNTIF($C$12:C1014,"x")</f>
        <v>80</v>
      </c>
      <c r="B1014" s="1464" t="s">
        <v>635</v>
      </c>
      <c r="C1014" s="970" t="str">
        <f t="shared" ref="C1014:C1077" si="203">IF(OR(P1014&lt;&gt;0,H1014&lt;&gt;0),"x"," ")</f>
        <v xml:space="preserve"> </v>
      </c>
      <c r="D1014" s="1414"/>
      <c r="E1014" s="980" t="s">
        <v>1691</v>
      </c>
      <c r="F1014" s="985" t="s">
        <v>2444</v>
      </c>
      <c r="G1014" s="980" t="s">
        <v>2442</v>
      </c>
      <c r="H1014" s="1693"/>
      <c r="I1014" s="1693"/>
      <c r="J1014" s="1693"/>
      <c r="K1014" s="1693"/>
      <c r="L1014" s="1693"/>
      <c r="M1014" s="1693"/>
      <c r="N1014" s="1693"/>
      <c r="O1014" s="1693"/>
      <c r="P1014" s="1693"/>
      <c r="Q1014" s="994"/>
      <c r="R1014" s="994"/>
      <c r="S1014" s="994"/>
      <c r="T1014" s="1862">
        <f t="shared" si="195"/>
        <v>0</v>
      </c>
    </row>
    <row r="1015" spans="1:20" ht="22.2" hidden="1" customHeight="1">
      <c r="A1015" s="1448">
        <f>COUNTIF($C$12:C1015,"x")</f>
        <v>80</v>
      </c>
      <c r="B1015" s="1452" t="s">
        <v>1501</v>
      </c>
      <c r="C1015" s="970" t="str">
        <f t="shared" si="203"/>
        <v xml:space="preserve"> </v>
      </c>
      <c r="D1015" s="1412"/>
      <c r="E1015" s="981"/>
      <c r="F1015" s="1276" t="s">
        <v>2445</v>
      </c>
      <c r="G1015" s="982" t="s">
        <v>2385</v>
      </c>
      <c r="H1015" s="1691">
        <f>SUM(I1015:O1015)</f>
        <v>0</v>
      </c>
      <c r="I1015" s="1692"/>
      <c r="J1015" s="1692"/>
      <c r="K1015" s="1692">
        <f>IFERROR(HLOOKUP(B1015,pp3p1m!$1:$3,2,0),0)</f>
        <v>0</v>
      </c>
      <c r="L1015" s="1692">
        <f>IFERROR(HLOOKUP(chitiet!B1015,pp1p!$1:$3,3,0),0)</f>
        <v>0</v>
      </c>
      <c r="M1015" s="1692"/>
      <c r="N1015" s="1692"/>
      <c r="O1015" s="1692"/>
      <c r="P1015" s="2674">
        <f>T1015</f>
        <v>0</v>
      </c>
      <c r="Q1015" s="983">
        <f>IF(P1015&gt;H1015,P1015-H1015,0)</f>
        <v>0</v>
      </c>
      <c r="R1015" s="983">
        <f>IF(H1015&gt;P1015,H1015-P1015,0)</f>
        <v>0</v>
      </c>
      <c r="S1015" s="983"/>
      <c r="T1015" s="1862">
        <f>IFERROR(HLOOKUP(B1015,pp1p!$1:$3,3,0),0)+IFERROR(HLOOKUP(B1015,pp3p1m!$1:$3,3,0),0)</f>
        <v>0</v>
      </c>
    </row>
    <row r="1016" spans="1:20" ht="22.2" hidden="1" customHeight="1">
      <c r="A1016" s="1448">
        <f>COUNTIF($C$12:C1016,"x")</f>
        <v>80</v>
      </c>
      <c r="B1016" s="1455" t="s">
        <v>109</v>
      </c>
      <c r="C1016" s="970" t="str">
        <f t="shared" si="203"/>
        <v xml:space="preserve"> </v>
      </c>
      <c r="D1016" s="1414">
        <f>9.02*(2.6+3*0.07)*2</f>
        <v>50.692399999999999</v>
      </c>
      <c r="E1016" s="980"/>
      <c r="F1016" s="992" t="s">
        <v>2437</v>
      </c>
      <c r="G1016" s="980" t="s">
        <v>2248</v>
      </c>
      <c r="H1016" s="1693">
        <f>$H$1015*$D1016</f>
        <v>0</v>
      </c>
      <c r="I1016" s="1693">
        <f t="shared" ref="I1016:L1020" si="204">I$1007*$D1016</f>
        <v>0</v>
      </c>
      <c r="J1016" s="1693">
        <f t="shared" si="204"/>
        <v>0</v>
      </c>
      <c r="K1016" s="1693">
        <f t="shared" si="204"/>
        <v>0</v>
      </c>
      <c r="L1016" s="1693">
        <f t="shared" si="204"/>
        <v>0</v>
      </c>
      <c r="M1016" s="1693"/>
      <c r="N1016" s="1693"/>
      <c r="O1016" s="1693"/>
      <c r="P1016" s="1693">
        <f>$P$1015*D1016</f>
        <v>0</v>
      </c>
      <c r="Q1016" s="989">
        <f>$Q$1015*D1016</f>
        <v>0</v>
      </c>
      <c r="R1016" s="993">
        <f>$R$1015*D1016</f>
        <v>0</v>
      </c>
      <c r="S1016" s="989"/>
      <c r="T1016" s="1862">
        <f t="shared" si="195"/>
        <v>0</v>
      </c>
    </row>
    <row r="1017" spans="1:20" ht="22.2" hidden="1" customHeight="1">
      <c r="A1017" s="1448">
        <f>COUNTIF($C$12:C1017,"x")</f>
        <v>80</v>
      </c>
      <c r="B1017" s="1455" t="s">
        <v>1609</v>
      </c>
      <c r="C1017" s="970" t="str">
        <f t="shared" si="203"/>
        <v xml:space="preserve"> </v>
      </c>
      <c r="D1017" s="1415">
        <v>2</v>
      </c>
      <c r="E1017" s="980"/>
      <c r="F1017" s="992" t="s">
        <v>2438</v>
      </c>
      <c r="G1017" s="980" t="s">
        <v>2439</v>
      </c>
      <c r="H1017" s="1693">
        <f>$H$1015*$D1017</f>
        <v>0</v>
      </c>
      <c r="I1017" s="1693">
        <f t="shared" si="204"/>
        <v>0</v>
      </c>
      <c r="J1017" s="1693">
        <f t="shared" si="204"/>
        <v>0</v>
      </c>
      <c r="K1017" s="1693">
        <f t="shared" si="204"/>
        <v>0</v>
      </c>
      <c r="L1017" s="1693">
        <f t="shared" si="204"/>
        <v>0</v>
      </c>
      <c r="M1017" s="1693"/>
      <c r="N1017" s="1693"/>
      <c r="O1017" s="1693"/>
      <c r="P1017" s="1693">
        <f>$P$1015*D1017</f>
        <v>0</v>
      </c>
      <c r="Q1017" s="989">
        <f>$Q$1015*D1017</f>
        <v>0</v>
      </c>
      <c r="R1017" s="989">
        <f>$R$1015*D1017</f>
        <v>0</v>
      </c>
      <c r="S1017" s="989"/>
      <c r="T1017" s="1862">
        <f t="shared" si="195"/>
        <v>0</v>
      </c>
    </row>
    <row r="1018" spans="1:20" ht="22.2" hidden="1" customHeight="1">
      <c r="A1018" s="1448">
        <f>COUNTIF($C$12:C1018,"x")</f>
        <v>80</v>
      </c>
      <c r="B1018" s="1455" t="s">
        <v>1784</v>
      </c>
      <c r="C1018" s="970" t="str">
        <f t="shared" si="203"/>
        <v xml:space="preserve"> </v>
      </c>
      <c r="D1018" s="1415">
        <v>2</v>
      </c>
      <c r="E1018" s="980"/>
      <c r="F1018" s="992" t="s">
        <v>2446</v>
      </c>
      <c r="G1018" s="980" t="s">
        <v>2439</v>
      </c>
      <c r="H1018" s="1693">
        <f>$H$1015*$D1018</f>
        <v>0</v>
      </c>
      <c r="I1018" s="1693">
        <f t="shared" si="204"/>
        <v>0</v>
      </c>
      <c r="J1018" s="1693">
        <f t="shared" si="204"/>
        <v>0</v>
      </c>
      <c r="K1018" s="1693">
        <f t="shared" si="204"/>
        <v>0</v>
      </c>
      <c r="L1018" s="1693">
        <f t="shared" si="204"/>
        <v>0</v>
      </c>
      <c r="M1018" s="1693"/>
      <c r="N1018" s="1693"/>
      <c r="O1018" s="1693"/>
      <c r="P1018" s="1693">
        <f>$P$1015*D1018</f>
        <v>0</v>
      </c>
      <c r="Q1018" s="989">
        <f>$Q$1015*D1018</f>
        <v>0</v>
      </c>
      <c r="R1018" s="989">
        <f>$R$1015*D1018</f>
        <v>0</v>
      </c>
      <c r="S1018" s="989"/>
      <c r="T1018" s="1862">
        <f t="shared" si="195"/>
        <v>0</v>
      </c>
    </row>
    <row r="1019" spans="1:20" ht="22.2" hidden="1" customHeight="1">
      <c r="A1019" s="1448">
        <f>COUNTIF($C$12:C1019,"x")</f>
        <v>80</v>
      </c>
      <c r="B1019" s="1455" t="s">
        <v>2242</v>
      </c>
      <c r="C1019" s="970" t="str">
        <f t="shared" si="203"/>
        <v xml:space="preserve"> </v>
      </c>
      <c r="D1019" s="1414">
        <v>1</v>
      </c>
      <c r="E1019" s="996"/>
      <c r="F1019" s="985" t="s">
        <v>2440</v>
      </c>
      <c r="G1019" s="980" t="s">
        <v>2439</v>
      </c>
      <c r="H1019" s="1693">
        <f>$H$1015*$D1019</f>
        <v>0</v>
      </c>
      <c r="I1019" s="1693">
        <f t="shared" si="204"/>
        <v>0</v>
      </c>
      <c r="J1019" s="1693">
        <f t="shared" si="204"/>
        <v>0</v>
      </c>
      <c r="K1019" s="1693">
        <f t="shared" si="204"/>
        <v>0</v>
      </c>
      <c r="L1019" s="1693">
        <f t="shared" si="204"/>
        <v>0</v>
      </c>
      <c r="M1019" s="1693"/>
      <c r="N1019" s="1693"/>
      <c r="O1019" s="1693"/>
      <c r="P1019" s="1693">
        <f>$P$1015*D1019</f>
        <v>0</v>
      </c>
      <c r="Q1019" s="989">
        <f>$Q$1015*D1019</f>
        <v>0</v>
      </c>
      <c r="R1019" s="989">
        <f>$R$1015*D1019</f>
        <v>0</v>
      </c>
      <c r="S1019" s="989"/>
      <c r="T1019" s="1862">
        <f t="shared" si="195"/>
        <v>0</v>
      </c>
    </row>
    <row r="1020" spans="1:20" ht="22.2" hidden="1" customHeight="1">
      <c r="A1020" s="1448">
        <f>COUNTIF($C$12:C1020,"x")</f>
        <v>80</v>
      </c>
      <c r="B1020" s="1455" t="s">
        <v>1996</v>
      </c>
      <c r="C1020" s="970" t="str">
        <f t="shared" si="203"/>
        <v xml:space="preserve"> </v>
      </c>
      <c r="D1020" s="1413"/>
      <c r="E1020" s="980"/>
      <c r="F1020" s="985" t="s">
        <v>2441</v>
      </c>
      <c r="G1020" s="980" t="s">
        <v>2442</v>
      </c>
      <c r="H1020" s="1693">
        <f>H$1007*$D1020</f>
        <v>0</v>
      </c>
      <c r="I1020" s="1693">
        <f t="shared" si="204"/>
        <v>0</v>
      </c>
      <c r="J1020" s="1693">
        <f t="shared" si="204"/>
        <v>0</v>
      </c>
      <c r="K1020" s="1693">
        <f t="shared" si="204"/>
        <v>0</v>
      </c>
      <c r="L1020" s="1693">
        <f t="shared" si="204"/>
        <v>0</v>
      </c>
      <c r="M1020" s="1693"/>
      <c r="N1020" s="1693"/>
      <c r="O1020" s="1693"/>
      <c r="P1020" s="1693">
        <f>$P$1015*D1020</f>
        <v>0</v>
      </c>
      <c r="Q1020" s="989">
        <f>$Q$1015*D1020</f>
        <v>0</v>
      </c>
      <c r="R1020" s="989">
        <f>$R$1015*D1020</f>
        <v>0</v>
      </c>
      <c r="S1020" s="989"/>
      <c r="T1020" s="1862">
        <f t="shared" ref="T1020:T1083" si="205">IFERROR(HLOOKUP(B1020,BangKeTru,3,0),0)</f>
        <v>0</v>
      </c>
    </row>
    <row r="1021" spans="1:20" ht="22.2" hidden="1" customHeight="1">
      <c r="A1021" s="1448">
        <f>COUNTIF($C$12:C1021,"x")</f>
        <v>80</v>
      </c>
      <c r="B1021" s="1464" t="s">
        <v>1997</v>
      </c>
      <c r="C1021" s="970" t="str">
        <f t="shared" si="203"/>
        <v xml:space="preserve"> </v>
      </c>
      <c r="D1021" s="1413"/>
      <c r="E1021" s="980" t="s">
        <v>1607</v>
      </c>
      <c r="F1021" s="985" t="s">
        <v>2443</v>
      </c>
      <c r="G1021" s="980" t="s">
        <v>2442</v>
      </c>
      <c r="H1021" s="1693"/>
      <c r="I1021" s="1693"/>
      <c r="J1021" s="1693"/>
      <c r="K1021" s="1693"/>
      <c r="L1021" s="1693"/>
      <c r="M1021" s="1693"/>
      <c r="N1021" s="1693"/>
      <c r="O1021" s="1693"/>
      <c r="P1021" s="1693"/>
      <c r="Q1021" s="994"/>
      <c r="R1021" s="994"/>
      <c r="S1021" s="994"/>
      <c r="T1021" s="1862">
        <f t="shared" si="205"/>
        <v>0</v>
      </c>
    </row>
    <row r="1022" spans="1:20" ht="22.2" hidden="1" customHeight="1">
      <c r="A1022" s="1448">
        <f>COUNTIF($C$12:C1022,"x")</f>
        <v>80</v>
      </c>
      <c r="B1022" s="1464" t="s">
        <v>635</v>
      </c>
      <c r="C1022" s="970" t="str">
        <f t="shared" si="203"/>
        <v xml:space="preserve"> </v>
      </c>
      <c r="D1022" s="1414"/>
      <c r="E1022" s="980" t="s">
        <v>1691</v>
      </c>
      <c r="F1022" s="985" t="s">
        <v>2444</v>
      </c>
      <c r="G1022" s="980" t="s">
        <v>2442</v>
      </c>
      <c r="H1022" s="1693"/>
      <c r="I1022" s="1693"/>
      <c r="J1022" s="1693"/>
      <c r="K1022" s="1693"/>
      <c r="L1022" s="1693"/>
      <c r="M1022" s="1693"/>
      <c r="N1022" s="1693"/>
      <c r="O1022" s="1693"/>
      <c r="P1022" s="1693"/>
      <c r="Q1022" s="994"/>
      <c r="R1022" s="994"/>
      <c r="S1022" s="994"/>
      <c r="T1022" s="1862">
        <f t="shared" si="205"/>
        <v>0</v>
      </c>
    </row>
    <row r="1023" spans="1:20" ht="22.2" hidden="1" customHeight="1">
      <c r="A1023" s="1448">
        <f>COUNTIF($C$12:C1023,"x")</f>
        <v>80</v>
      </c>
      <c r="B1023" s="1452" t="s">
        <v>1574</v>
      </c>
      <c r="C1023" s="970" t="str">
        <f t="shared" si="203"/>
        <v xml:space="preserve"> </v>
      </c>
      <c r="D1023" s="1412"/>
      <c r="E1023" s="981"/>
      <c r="F1023" s="1276" t="s">
        <v>2447</v>
      </c>
      <c r="G1023" s="982" t="s">
        <v>2385</v>
      </c>
      <c r="H1023" s="1691">
        <f>SUM(I1023:O1023)</f>
        <v>0</v>
      </c>
      <c r="I1023" s="1692"/>
      <c r="J1023" s="1692"/>
      <c r="K1023" s="1692">
        <f>IFERROR(HLOOKUP(B1023,pp3p1m!$1:$3,2,0),0)</f>
        <v>0</v>
      </c>
      <c r="L1023" s="1692">
        <f>IFERROR(HLOOKUP(chitiet!B1023,pp1p!$1:$3,3,0),0)</f>
        <v>0</v>
      </c>
      <c r="M1023" s="1692"/>
      <c r="N1023" s="1692"/>
      <c r="O1023" s="1692"/>
      <c r="P1023" s="2674">
        <f>T1023</f>
        <v>0</v>
      </c>
      <c r="Q1023" s="983">
        <f>IF(P1023&gt;H1023,P1023-H1023,0)</f>
        <v>0</v>
      </c>
      <c r="R1023" s="983">
        <f>IF(H1023&gt;P1023,H1023-P1023,0)</f>
        <v>0</v>
      </c>
      <c r="S1023" s="983"/>
      <c r="T1023" s="1862">
        <f>IFERROR(HLOOKUP(B1023,pp1p!$1:$3,3,0),0)+IFERROR(HLOOKUP(B1023,pp3p1m!$1:$3,3,0),0)</f>
        <v>0</v>
      </c>
    </row>
    <row r="1024" spans="1:20" ht="22.2" hidden="1" customHeight="1">
      <c r="A1024" s="1448">
        <f>COUNTIF($C$12:C1024,"x")</f>
        <v>80</v>
      </c>
      <c r="B1024" s="1455" t="s">
        <v>109</v>
      </c>
      <c r="C1024" s="970" t="str">
        <f t="shared" si="203"/>
        <v xml:space="preserve"> </v>
      </c>
      <c r="D1024" s="1414">
        <f>9.02*(2.8+3*0.1)*2</f>
        <v>55.923999999999992</v>
      </c>
      <c r="E1024" s="980"/>
      <c r="F1024" s="992" t="str">
        <f>VLOOKUP($B1024,DG!A:D,DG!$C$2,)</f>
        <v>Sắt góc L75 x75 x8</v>
      </c>
      <c r="G1024" s="980" t="str">
        <f>VLOOKUP($B1024,DG!A:D,DG!$D$2,)</f>
        <v>kg</v>
      </c>
      <c r="H1024" s="1693">
        <f t="shared" ref="H1024:L1028" si="206">H$1023*$D1024</f>
        <v>0</v>
      </c>
      <c r="I1024" s="1693">
        <f t="shared" si="206"/>
        <v>0</v>
      </c>
      <c r="J1024" s="1693">
        <f t="shared" si="206"/>
        <v>0</v>
      </c>
      <c r="K1024" s="1693">
        <f t="shared" si="206"/>
        <v>0</v>
      </c>
      <c r="L1024" s="1693">
        <f t="shared" si="206"/>
        <v>0</v>
      </c>
      <c r="M1024" s="1693"/>
      <c r="N1024" s="1693"/>
      <c r="O1024" s="1693"/>
      <c r="P1024" s="1693"/>
      <c r="Q1024" s="989"/>
      <c r="R1024" s="989"/>
      <c r="S1024" s="989"/>
      <c r="T1024" s="1862">
        <f t="shared" si="205"/>
        <v>0</v>
      </c>
    </row>
    <row r="1025" spans="1:20" ht="22.2" hidden="1" customHeight="1">
      <c r="A1025" s="1448">
        <f>COUNTIF($C$12:C1025,"x")</f>
        <v>80</v>
      </c>
      <c r="B1025" s="1455" t="s">
        <v>457</v>
      </c>
      <c r="C1025" s="970" t="str">
        <f t="shared" si="203"/>
        <v xml:space="preserve"> </v>
      </c>
      <c r="D1025" s="1414">
        <f>0.92*3.77*4</f>
        <v>13.873600000000001</v>
      </c>
      <c r="E1025" s="980"/>
      <c r="F1025" s="992" t="str">
        <f>VLOOKUP($B1025,DG!A:D,DG!$C$2,)</f>
        <v>Sắt góc L50 x50 x5</v>
      </c>
      <c r="G1025" s="980" t="str">
        <f>VLOOKUP($B1025,DG!A:D,DG!$D$2,)</f>
        <v>kg</v>
      </c>
      <c r="H1025" s="1693">
        <f t="shared" si="206"/>
        <v>0</v>
      </c>
      <c r="I1025" s="1693">
        <f t="shared" si="206"/>
        <v>0</v>
      </c>
      <c r="J1025" s="1693">
        <f t="shared" si="206"/>
        <v>0</v>
      </c>
      <c r="K1025" s="1693">
        <f t="shared" si="206"/>
        <v>0</v>
      </c>
      <c r="L1025" s="1693">
        <f t="shared" si="206"/>
        <v>0</v>
      </c>
      <c r="M1025" s="1693"/>
      <c r="N1025" s="1693"/>
      <c r="O1025" s="1693"/>
      <c r="P1025" s="1693"/>
      <c r="Q1025" s="989"/>
      <c r="R1025" s="989"/>
      <c r="S1025" s="989"/>
      <c r="T1025" s="1862">
        <f t="shared" si="205"/>
        <v>0</v>
      </c>
    </row>
    <row r="1026" spans="1:20" ht="22.2" hidden="1" customHeight="1">
      <c r="A1026" s="1448">
        <f>COUNTIF($C$12:C1026,"x")</f>
        <v>80</v>
      </c>
      <c r="B1026" s="1455" t="s">
        <v>457</v>
      </c>
      <c r="C1026" s="970" t="str">
        <f t="shared" si="203"/>
        <v xml:space="preserve"> </v>
      </c>
      <c r="D1026" s="1414">
        <f>2*0.45*6</f>
        <v>5.4</v>
      </c>
      <c r="E1026" s="980"/>
      <c r="F1026" s="992" t="s">
        <v>2448</v>
      </c>
      <c r="G1026" s="980" t="str">
        <f>VLOOKUP($B1026,DG!A:D,DG!$D$2,)</f>
        <v>kg</v>
      </c>
      <c r="H1026" s="1693">
        <f t="shared" si="206"/>
        <v>0</v>
      </c>
      <c r="I1026" s="1693">
        <f t="shared" si="206"/>
        <v>0</v>
      </c>
      <c r="J1026" s="1693">
        <f t="shared" si="206"/>
        <v>0</v>
      </c>
      <c r="K1026" s="1693">
        <f t="shared" si="206"/>
        <v>0</v>
      </c>
      <c r="L1026" s="1693">
        <f t="shared" si="206"/>
        <v>0</v>
      </c>
      <c r="M1026" s="1693"/>
      <c r="N1026" s="1693"/>
      <c r="O1026" s="1693"/>
      <c r="P1026" s="1693"/>
      <c r="Q1026" s="989"/>
      <c r="R1026" s="989"/>
      <c r="S1026" s="989"/>
      <c r="T1026" s="1862">
        <f t="shared" si="205"/>
        <v>0</v>
      </c>
    </row>
    <row r="1027" spans="1:20" ht="22.2" hidden="1" customHeight="1">
      <c r="A1027" s="1448">
        <f>COUNTIF($C$12:C1027,"x")</f>
        <v>80</v>
      </c>
      <c r="B1027" s="1455" t="s">
        <v>1610</v>
      </c>
      <c r="C1027" s="970" t="str">
        <f t="shared" si="203"/>
        <v xml:space="preserve"> </v>
      </c>
      <c r="D1027" s="1415">
        <v>4</v>
      </c>
      <c r="E1027" s="980"/>
      <c r="F1027" s="992" t="str">
        <f>VLOOKUP($B1027,DG!A:D,DG!$C$2,)</f>
        <v>Boulon 16x300+ 2 long đền vuông D18-50x50x3/Zn</v>
      </c>
      <c r="G1027" s="980" t="str">
        <f>VLOOKUP($B1027,DG!A:D,DG!$D$2,)</f>
        <v>bộ</v>
      </c>
      <c r="H1027" s="1693">
        <f t="shared" si="206"/>
        <v>0</v>
      </c>
      <c r="I1027" s="1693">
        <f t="shared" si="206"/>
        <v>0</v>
      </c>
      <c r="J1027" s="1693">
        <f t="shared" si="206"/>
        <v>0</v>
      </c>
      <c r="K1027" s="1693">
        <f t="shared" si="206"/>
        <v>0</v>
      </c>
      <c r="L1027" s="1693">
        <f t="shared" si="206"/>
        <v>0</v>
      </c>
      <c r="M1027" s="1693"/>
      <c r="N1027" s="1693"/>
      <c r="O1027" s="1693"/>
      <c r="P1027" s="1693"/>
      <c r="Q1027" s="989"/>
      <c r="R1027" s="989"/>
      <c r="S1027" s="989"/>
      <c r="T1027" s="1862">
        <f t="shared" si="205"/>
        <v>0</v>
      </c>
    </row>
    <row r="1028" spans="1:20" ht="22.2" hidden="1" customHeight="1">
      <c r="A1028" s="1448">
        <f>COUNTIF($C$12:C1028,"x")</f>
        <v>80</v>
      </c>
      <c r="B1028" s="1455" t="s">
        <v>1784</v>
      </c>
      <c r="C1028" s="970" t="str">
        <f t="shared" si="203"/>
        <v xml:space="preserve"> </v>
      </c>
      <c r="D1028" s="1415">
        <v>4</v>
      </c>
      <c r="E1028" s="980"/>
      <c r="F1028" s="992" t="str">
        <f>VLOOKUP($B1028,DG!A:D,DG!$C$2,)</f>
        <v>Boulon 16x300VRS+ 4 long đền vuông D18-50x50x3/Zn</v>
      </c>
      <c r="G1028" s="980" t="str">
        <f>VLOOKUP($B1028,DG!A:D,DG!$D$2,)</f>
        <v>bộ</v>
      </c>
      <c r="H1028" s="1693">
        <f t="shared" si="206"/>
        <v>0</v>
      </c>
      <c r="I1028" s="1693">
        <f t="shared" si="206"/>
        <v>0</v>
      </c>
      <c r="J1028" s="1693">
        <f t="shared" si="206"/>
        <v>0</v>
      </c>
      <c r="K1028" s="1693">
        <f t="shared" si="206"/>
        <v>0</v>
      </c>
      <c r="L1028" s="1693">
        <f t="shared" si="206"/>
        <v>0</v>
      </c>
      <c r="M1028" s="1693"/>
      <c r="N1028" s="1693"/>
      <c r="O1028" s="1693"/>
      <c r="P1028" s="1693"/>
      <c r="Q1028" s="989"/>
      <c r="R1028" s="989"/>
      <c r="S1028" s="989"/>
      <c r="T1028" s="1862">
        <f t="shared" si="205"/>
        <v>0</v>
      </c>
    </row>
    <row r="1029" spans="1:20" ht="22.2" hidden="1" customHeight="1">
      <c r="A1029" s="1448">
        <f>COUNTIF($C$12:C1029,"x")</f>
        <v>80</v>
      </c>
      <c r="B1029" s="1455" t="s">
        <v>2242</v>
      </c>
      <c r="C1029" s="970" t="str">
        <f t="shared" si="203"/>
        <v xml:space="preserve"> </v>
      </c>
      <c r="D1029" s="1415">
        <v>1</v>
      </c>
      <c r="E1029" s="980"/>
      <c r="F1029" s="985" t="str">
        <f>VLOOKUP($B1029,DG!A:D,DG!$C$2,)</f>
        <v>Lắp xà cột Pi loại ≤140kg/xà</v>
      </c>
      <c r="G1029" s="980" t="str">
        <f>VLOOKUP($B1029,DG!A:D,DG!$D$2,)</f>
        <v>bộ</v>
      </c>
      <c r="H1029" s="1693"/>
      <c r="I1029" s="1693"/>
      <c r="J1029" s="1693"/>
      <c r="K1029" s="1693"/>
      <c r="L1029" s="1693"/>
      <c r="M1029" s="1693"/>
      <c r="N1029" s="1693"/>
      <c r="O1029" s="1693"/>
      <c r="P1029" s="1693"/>
      <c r="Q1029" s="989"/>
      <c r="R1029" s="989"/>
      <c r="S1029" s="989"/>
      <c r="T1029" s="1862">
        <f t="shared" si="205"/>
        <v>0</v>
      </c>
    </row>
    <row r="1030" spans="1:20" ht="22.2" hidden="1" customHeight="1">
      <c r="A1030" s="1448">
        <f>COUNTIF($C$12:C1030,"x")</f>
        <v>80</v>
      </c>
      <c r="B1030" s="1455" t="s">
        <v>1996</v>
      </c>
      <c r="C1030" s="970" t="str">
        <f t="shared" si="203"/>
        <v xml:space="preserve"> </v>
      </c>
      <c r="D1030" s="1413">
        <f>D1031</f>
        <v>7.9000000000000001E-2</v>
      </c>
      <c r="E1030" s="980"/>
      <c r="F1030" s="985" t="str">
        <f>VLOOKUP($B1030,DG!A:D,DG!$C$2,)</f>
        <v>Bốc dỡ xà, thép thanh</v>
      </c>
      <c r="G1030" s="980" t="str">
        <f>VLOOKUP($B1030,DG!A:D,DG!$D$2,)</f>
        <v>tấn</v>
      </c>
      <c r="H1030" s="1693"/>
      <c r="I1030" s="1693"/>
      <c r="J1030" s="1693"/>
      <c r="K1030" s="1693"/>
      <c r="L1030" s="1693"/>
      <c r="M1030" s="1693"/>
      <c r="N1030" s="1693"/>
      <c r="O1030" s="1693"/>
      <c r="P1030" s="1693"/>
      <c r="Q1030" s="989"/>
      <c r="R1030" s="989"/>
      <c r="S1030" s="989"/>
      <c r="T1030" s="1862">
        <f t="shared" si="205"/>
        <v>0</v>
      </c>
    </row>
    <row r="1031" spans="1:20" ht="22.2" hidden="1" customHeight="1">
      <c r="A1031" s="1448">
        <f>COUNTIF($C$12:C1031,"x")</f>
        <v>80</v>
      </c>
      <c r="B1031" s="1464" t="s">
        <v>1997</v>
      </c>
      <c r="C1031" s="970" t="str">
        <f t="shared" si="203"/>
        <v xml:space="preserve"> </v>
      </c>
      <c r="D1031" s="1413">
        <f>ROUND(SUM(D1024:D1026)*1.05/1000,3)</f>
        <v>7.9000000000000001E-2</v>
      </c>
      <c r="E1031" s="980" t="str">
        <f>VLOOKUP($B1031,DG!A:C,2,)</f>
        <v>02.1361</v>
      </c>
      <c r="F1031" s="985" t="str">
        <f>VLOOKUP($B1031,DG!A:C,3,)</f>
        <v>V/c xà vào vị trí (cư ly &lt;=100m)</v>
      </c>
      <c r="G1031" s="980" t="str">
        <f>VLOOKUP($B1031,DG!A:D,4,0)</f>
        <v>tấn</v>
      </c>
      <c r="H1031" s="1693"/>
      <c r="I1031" s="1693"/>
      <c r="J1031" s="1693"/>
      <c r="K1031" s="1693"/>
      <c r="L1031" s="1693"/>
      <c r="M1031" s="1693"/>
      <c r="N1031" s="1693"/>
      <c r="O1031" s="1693"/>
      <c r="P1031" s="1693"/>
      <c r="Q1031" s="994"/>
      <c r="R1031" s="994"/>
      <c r="S1031" s="994"/>
      <c r="T1031" s="1862">
        <f t="shared" si="205"/>
        <v>0</v>
      </c>
    </row>
    <row r="1032" spans="1:20" ht="22.2" hidden="1" customHeight="1">
      <c r="A1032" s="1448">
        <f>COUNTIF($C$12:C1032,"x")</f>
        <v>80</v>
      </c>
      <c r="B1032" s="1464" t="s">
        <v>635</v>
      </c>
      <c r="C1032" s="970" t="str">
        <f t="shared" si="203"/>
        <v xml:space="preserve"> </v>
      </c>
      <c r="D1032" s="1414">
        <v>0.05</v>
      </c>
      <c r="E1032" s="980" t="str">
        <f>VLOOKUP($B1032,DG!A:C,2,)</f>
        <v>02.1482</v>
      </c>
      <c r="F1032" s="985" t="str">
        <f>VLOOKUP($B1032,DG!A:C,3,)</f>
        <v>V/c dụng cụ thi công vào vị trí (cự ly &lt;=100m)</v>
      </c>
      <c r="G1032" s="980" t="str">
        <f>VLOOKUP($B1032,DG!A:D,4,0)</f>
        <v>tấn</v>
      </c>
      <c r="H1032" s="1693"/>
      <c r="I1032" s="1693"/>
      <c r="J1032" s="1693"/>
      <c r="K1032" s="1693"/>
      <c r="L1032" s="1693"/>
      <c r="M1032" s="1693"/>
      <c r="N1032" s="1693"/>
      <c r="O1032" s="1693"/>
      <c r="P1032" s="1693"/>
      <c r="Q1032" s="994"/>
      <c r="R1032" s="994"/>
      <c r="S1032" s="994"/>
      <c r="T1032" s="1862">
        <f t="shared" si="205"/>
        <v>0</v>
      </c>
    </row>
    <row r="1033" spans="1:20" ht="22.2" hidden="1" customHeight="1">
      <c r="A1033" s="1448">
        <f>COUNTIF($C$12:C1033,"x")</f>
        <v>80</v>
      </c>
      <c r="B1033" s="1452" t="s">
        <v>105</v>
      </c>
      <c r="C1033" s="970" t="str">
        <f t="shared" si="203"/>
        <v xml:space="preserve"> </v>
      </c>
      <c r="D1033" s="1412"/>
      <c r="E1033" s="981"/>
      <c r="F1033" s="1276" t="s">
        <v>2449</v>
      </c>
      <c r="G1033" s="982" t="s">
        <v>2385</v>
      </c>
      <c r="H1033" s="1691">
        <f>SUM(I1033:O1033)</f>
        <v>0</v>
      </c>
      <c r="I1033" s="1692"/>
      <c r="J1033" s="1692"/>
      <c r="K1033" s="1692">
        <f>IFERROR(HLOOKUP(B1033,pp3p1m!$1:$3,2,0),0)</f>
        <v>0</v>
      </c>
      <c r="L1033" s="1692">
        <f>IFERROR(HLOOKUP(chitiet!B1033,pp1p!$1:$3,3,0),0)</f>
        <v>0</v>
      </c>
      <c r="M1033" s="1692"/>
      <c r="N1033" s="1692"/>
      <c r="O1033" s="1692"/>
      <c r="P1033" s="2674">
        <f>T1033</f>
        <v>0</v>
      </c>
      <c r="Q1033" s="983">
        <f>IF(P1033&gt;H1033,P1033-H1033,0)</f>
        <v>0</v>
      </c>
      <c r="R1033" s="983">
        <f>IF(H1033&gt;P1033,H1033-P1033,0)</f>
        <v>0</v>
      </c>
      <c r="S1033" s="983"/>
      <c r="T1033" s="1862">
        <f>IFERROR(HLOOKUP(B1033,pp1p!$1:$3,3,0),0)+IFERROR(HLOOKUP(B1033,pp3p1m!$1:$3,3,0),0)</f>
        <v>0</v>
      </c>
    </row>
    <row r="1034" spans="1:20" ht="22.2" hidden="1" customHeight="1">
      <c r="A1034" s="1448">
        <f>COUNTIF($C$12:C1034,"x")</f>
        <v>80</v>
      </c>
      <c r="B1034" s="1455" t="s">
        <v>109</v>
      </c>
      <c r="C1034" s="970" t="str">
        <f t="shared" si="203"/>
        <v xml:space="preserve"> </v>
      </c>
      <c r="D1034" s="1414">
        <f>9.02*(3+3*0.1)*2</f>
        <v>59.531999999999996</v>
      </c>
      <c r="E1034" s="980"/>
      <c r="F1034" s="992" t="str">
        <f>VLOOKUP($B1034,DG!A:D,DG!$C$2,)</f>
        <v>Sắt góc L75 x75 x8</v>
      </c>
      <c r="G1034" s="980" t="str">
        <f>VLOOKUP($B1034,DG!A:D,DG!$D$2,)</f>
        <v>kg</v>
      </c>
      <c r="H1034" s="1693">
        <f t="shared" ref="H1034:L1038" si="207">H$1033*$D1034</f>
        <v>0</v>
      </c>
      <c r="I1034" s="1693">
        <f t="shared" si="207"/>
        <v>0</v>
      </c>
      <c r="J1034" s="1693">
        <f t="shared" si="207"/>
        <v>0</v>
      </c>
      <c r="K1034" s="1693">
        <f t="shared" si="207"/>
        <v>0</v>
      </c>
      <c r="L1034" s="1693">
        <f t="shared" si="207"/>
        <v>0</v>
      </c>
      <c r="M1034" s="1693"/>
      <c r="N1034" s="1693"/>
      <c r="O1034" s="1693"/>
      <c r="P1034" s="1693"/>
      <c r="Q1034" s="989"/>
      <c r="R1034" s="989"/>
      <c r="S1034" s="989"/>
      <c r="T1034" s="1862">
        <f t="shared" si="205"/>
        <v>0</v>
      </c>
    </row>
    <row r="1035" spans="1:20" ht="22.2" hidden="1" customHeight="1">
      <c r="A1035" s="1448">
        <f>COUNTIF($C$12:C1035,"x")</f>
        <v>80</v>
      </c>
      <c r="B1035" s="1455" t="s">
        <v>279</v>
      </c>
      <c r="C1035" s="970" t="str">
        <f t="shared" si="203"/>
        <v xml:space="preserve"> </v>
      </c>
      <c r="D1035" s="1414">
        <f>0.92*2.826*4</f>
        <v>10.39968</v>
      </c>
      <c r="E1035" s="980"/>
      <c r="F1035" s="992" t="str">
        <f>VLOOKUP($B1035,DG!A:D,DG!$C$2,)</f>
        <v>Sắt dẹt 60 x 6</v>
      </c>
      <c r="G1035" s="980" t="str">
        <f>VLOOKUP($B1035,DG!A:D,DG!$D$2,)</f>
        <v>kg</v>
      </c>
      <c r="H1035" s="1693">
        <f t="shared" si="207"/>
        <v>0</v>
      </c>
      <c r="I1035" s="1693">
        <f t="shared" si="207"/>
        <v>0</v>
      </c>
      <c r="J1035" s="1693">
        <f t="shared" si="207"/>
        <v>0</v>
      </c>
      <c r="K1035" s="1693">
        <f t="shared" si="207"/>
        <v>0</v>
      </c>
      <c r="L1035" s="1693">
        <f t="shared" si="207"/>
        <v>0</v>
      </c>
      <c r="M1035" s="1693"/>
      <c r="N1035" s="1693"/>
      <c r="O1035" s="1693"/>
      <c r="P1035" s="1693"/>
      <c r="Q1035" s="989"/>
      <c r="R1035" s="989"/>
      <c r="S1035" s="989"/>
      <c r="T1035" s="1862">
        <f t="shared" si="205"/>
        <v>0</v>
      </c>
    </row>
    <row r="1036" spans="1:20" ht="22.2" hidden="1" customHeight="1">
      <c r="A1036" s="1448">
        <f>COUNTIF($C$12:C1036,"x")</f>
        <v>80</v>
      </c>
      <c r="B1036" s="1455" t="s">
        <v>1786</v>
      </c>
      <c r="C1036" s="970" t="str">
        <f t="shared" si="203"/>
        <v xml:space="preserve"> </v>
      </c>
      <c r="D1036" s="1415">
        <v>4</v>
      </c>
      <c r="E1036" s="980"/>
      <c r="F1036" s="992" t="str">
        <f>VLOOKUP($B1036,DG!A:D,DG!$C$2,)</f>
        <v>Boulon 16x50+ 2 long đền vuông D18-50x50x3/Zn</v>
      </c>
      <c r="G1036" s="980" t="str">
        <f>VLOOKUP($B1036,DG!A:D,DG!$D$2,)</f>
        <v>bộ</v>
      </c>
      <c r="H1036" s="1693">
        <f t="shared" si="207"/>
        <v>0</v>
      </c>
      <c r="I1036" s="1693">
        <f t="shared" si="207"/>
        <v>0</v>
      </c>
      <c r="J1036" s="1693">
        <f t="shared" si="207"/>
        <v>0</v>
      </c>
      <c r="K1036" s="1693">
        <f t="shared" si="207"/>
        <v>0</v>
      </c>
      <c r="L1036" s="1693">
        <f t="shared" si="207"/>
        <v>0</v>
      </c>
      <c r="M1036" s="1693"/>
      <c r="N1036" s="1693"/>
      <c r="O1036" s="1693"/>
      <c r="P1036" s="1693"/>
      <c r="Q1036" s="989"/>
      <c r="R1036" s="989"/>
      <c r="S1036" s="989"/>
      <c r="T1036" s="1862">
        <f t="shared" si="205"/>
        <v>0</v>
      </c>
    </row>
    <row r="1037" spans="1:20" ht="22.2" hidden="1" customHeight="1">
      <c r="A1037" s="1448">
        <f>COUNTIF($C$12:C1037,"x")</f>
        <v>80</v>
      </c>
      <c r="B1037" s="1455" t="s">
        <v>1609</v>
      </c>
      <c r="C1037" s="970" t="str">
        <f t="shared" si="203"/>
        <v xml:space="preserve"> </v>
      </c>
      <c r="D1037" s="1415">
        <v>4</v>
      </c>
      <c r="E1037" s="980"/>
      <c r="F1037" s="992" t="str">
        <f>VLOOKUP($B1037,DG!A:D,DG!$C$2,)</f>
        <v>Boulon 16x250+ 2 long đền vuông D18-50x50x3/Zn</v>
      </c>
      <c r="G1037" s="980" t="str">
        <f>VLOOKUP($B1037,DG!A:D,DG!$D$2,)</f>
        <v>bộ</v>
      </c>
      <c r="H1037" s="1693">
        <f t="shared" si="207"/>
        <v>0</v>
      </c>
      <c r="I1037" s="1693">
        <f t="shared" si="207"/>
        <v>0</v>
      </c>
      <c r="J1037" s="1693">
        <f t="shared" si="207"/>
        <v>0</v>
      </c>
      <c r="K1037" s="1693">
        <f t="shared" si="207"/>
        <v>0</v>
      </c>
      <c r="L1037" s="1693">
        <f t="shared" si="207"/>
        <v>0</v>
      </c>
      <c r="M1037" s="1693"/>
      <c r="N1037" s="1693"/>
      <c r="O1037" s="1693"/>
      <c r="P1037" s="1693"/>
      <c r="Q1037" s="989"/>
      <c r="R1037" s="989"/>
      <c r="S1037" s="989"/>
      <c r="T1037" s="1862">
        <f t="shared" si="205"/>
        <v>0</v>
      </c>
    </row>
    <row r="1038" spans="1:20" ht="22.2" hidden="1" customHeight="1">
      <c r="A1038" s="1448">
        <f>COUNTIF($C$12:C1038,"x")</f>
        <v>80</v>
      </c>
      <c r="B1038" s="1455" t="s">
        <v>1784</v>
      </c>
      <c r="C1038" s="970" t="str">
        <f t="shared" si="203"/>
        <v xml:space="preserve"> </v>
      </c>
      <c r="D1038" s="1415">
        <v>4</v>
      </c>
      <c r="E1038" s="980"/>
      <c r="F1038" s="992" t="str">
        <f>VLOOKUP($B1038,DG!A:D,DG!$C$2,)</f>
        <v>Boulon 16x300VRS+ 4 long đền vuông D18-50x50x3/Zn</v>
      </c>
      <c r="G1038" s="980" t="str">
        <f>VLOOKUP($B1038,DG!A:D,DG!$D$2,)</f>
        <v>bộ</v>
      </c>
      <c r="H1038" s="1693">
        <f t="shared" si="207"/>
        <v>0</v>
      </c>
      <c r="I1038" s="1693">
        <f t="shared" si="207"/>
        <v>0</v>
      </c>
      <c r="J1038" s="1693">
        <f t="shared" si="207"/>
        <v>0</v>
      </c>
      <c r="K1038" s="1693">
        <f t="shared" si="207"/>
        <v>0</v>
      </c>
      <c r="L1038" s="1693">
        <f t="shared" si="207"/>
        <v>0</v>
      </c>
      <c r="M1038" s="1693"/>
      <c r="N1038" s="1693"/>
      <c r="O1038" s="1693"/>
      <c r="P1038" s="1693"/>
      <c r="Q1038" s="989"/>
      <c r="R1038" s="989"/>
      <c r="S1038" s="989"/>
      <c r="T1038" s="1862">
        <f t="shared" si="205"/>
        <v>0</v>
      </c>
    </row>
    <row r="1039" spans="1:20" ht="22.2" hidden="1" customHeight="1">
      <c r="A1039" s="1448">
        <f>COUNTIF($C$12:C1039,"x")</f>
        <v>80</v>
      </c>
      <c r="B1039" s="1455" t="s">
        <v>2242</v>
      </c>
      <c r="C1039" s="970" t="str">
        <f t="shared" si="203"/>
        <v xml:space="preserve"> </v>
      </c>
      <c r="D1039" s="1415">
        <v>1</v>
      </c>
      <c r="E1039" s="980"/>
      <c r="F1039" s="985" t="str">
        <f>VLOOKUP($B1039,DG!A:D,DG!$C$2,)</f>
        <v>Lắp xà cột Pi loại ≤140kg/xà</v>
      </c>
      <c r="G1039" s="980" t="str">
        <f>VLOOKUP($B1039,DG!A:D,DG!$D$2,)</f>
        <v>bộ</v>
      </c>
      <c r="H1039" s="1693"/>
      <c r="I1039" s="1693"/>
      <c r="J1039" s="1693"/>
      <c r="K1039" s="1693"/>
      <c r="L1039" s="1693"/>
      <c r="M1039" s="1693"/>
      <c r="N1039" s="1693"/>
      <c r="O1039" s="1693"/>
      <c r="P1039" s="1693"/>
      <c r="Q1039" s="989"/>
      <c r="R1039" s="989"/>
      <c r="S1039" s="989"/>
      <c r="T1039" s="1862">
        <f t="shared" si="205"/>
        <v>0</v>
      </c>
    </row>
    <row r="1040" spans="1:20" ht="22.2" hidden="1" customHeight="1">
      <c r="A1040" s="1448">
        <f>COUNTIF($C$12:C1040,"x")</f>
        <v>80</v>
      </c>
      <c r="B1040" s="1455" t="s">
        <v>1996</v>
      </c>
      <c r="C1040" s="970" t="str">
        <f t="shared" si="203"/>
        <v xml:space="preserve"> </v>
      </c>
      <c r="D1040" s="1413">
        <f>D1041</f>
        <v>7.2999999999999995E-2</v>
      </c>
      <c r="E1040" s="980"/>
      <c r="F1040" s="985" t="str">
        <f>VLOOKUP($B1040,DG!A:D,DG!$C$2,)</f>
        <v>Bốc dỡ xà, thép thanh</v>
      </c>
      <c r="G1040" s="980" t="str">
        <f>VLOOKUP($B1040,DG!A:D,DG!$D$2,)</f>
        <v>tấn</v>
      </c>
      <c r="H1040" s="1693"/>
      <c r="I1040" s="1693"/>
      <c r="J1040" s="1693"/>
      <c r="K1040" s="1693"/>
      <c r="L1040" s="1693"/>
      <c r="M1040" s="1693"/>
      <c r="N1040" s="1693"/>
      <c r="O1040" s="1693"/>
      <c r="P1040" s="1693"/>
      <c r="Q1040" s="989"/>
      <c r="R1040" s="989"/>
      <c r="S1040" s="989"/>
      <c r="T1040" s="1862">
        <f t="shared" si="205"/>
        <v>0</v>
      </c>
    </row>
    <row r="1041" spans="1:20" ht="22.2" hidden="1" customHeight="1">
      <c r="A1041" s="1448">
        <f>COUNTIF($C$12:C1041,"x")</f>
        <v>80</v>
      </c>
      <c r="B1041" s="1464" t="s">
        <v>1997</v>
      </c>
      <c r="C1041" s="970" t="str">
        <f t="shared" si="203"/>
        <v xml:space="preserve"> </v>
      </c>
      <c r="D1041" s="1413">
        <f>ROUND(SUM(D1034:D1035)*1.05/1000,3)</f>
        <v>7.2999999999999995E-2</v>
      </c>
      <c r="E1041" s="980" t="str">
        <f>VLOOKUP($B1041,DG!A:C,2,)</f>
        <v>02.1361</v>
      </c>
      <c r="F1041" s="985" t="str">
        <f>VLOOKUP($B1041,DG!A:C,3,)</f>
        <v>V/c xà vào vị trí (cư ly &lt;=100m)</v>
      </c>
      <c r="G1041" s="980" t="str">
        <f>VLOOKUP($B1041,DG!A:D,4,0)</f>
        <v>tấn</v>
      </c>
      <c r="H1041" s="1693"/>
      <c r="I1041" s="1693"/>
      <c r="J1041" s="1693"/>
      <c r="K1041" s="1693"/>
      <c r="L1041" s="1693"/>
      <c r="M1041" s="1693"/>
      <c r="N1041" s="1693"/>
      <c r="O1041" s="1693"/>
      <c r="P1041" s="1693"/>
      <c r="Q1041" s="994"/>
      <c r="R1041" s="994"/>
      <c r="S1041" s="994"/>
      <c r="T1041" s="1862">
        <f t="shared" si="205"/>
        <v>0</v>
      </c>
    </row>
    <row r="1042" spans="1:20" ht="22.2" hidden="1" customHeight="1">
      <c r="A1042" s="1448">
        <f>COUNTIF($C$12:C1042,"x")</f>
        <v>80</v>
      </c>
      <c r="B1042" s="1464" t="s">
        <v>635</v>
      </c>
      <c r="C1042" s="970" t="str">
        <f t="shared" si="203"/>
        <v xml:space="preserve"> </v>
      </c>
      <c r="D1042" s="1414">
        <v>0.05</v>
      </c>
      <c r="E1042" s="980" t="str">
        <f>VLOOKUP($B1042,DG!A:C,2,)</f>
        <v>02.1482</v>
      </c>
      <c r="F1042" s="985" t="str">
        <f>VLOOKUP($B1042,DG!A:C,3,)</f>
        <v>V/c dụng cụ thi công vào vị trí (cự ly &lt;=100m)</v>
      </c>
      <c r="G1042" s="980" t="str">
        <f>VLOOKUP($B1042,DG!A:D,4,0)</f>
        <v>tấn</v>
      </c>
      <c r="H1042" s="1693"/>
      <c r="I1042" s="1693"/>
      <c r="J1042" s="1693"/>
      <c r="K1042" s="1693"/>
      <c r="L1042" s="1693"/>
      <c r="M1042" s="1693"/>
      <c r="N1042" s="1693"/>
      <c r="O1042" s="1693"/>
      <c r="P1042" s="1693"/>
      <c r="Q1042" s="994"/>
      <c r="R1042" s="994"/>
      <c r="S1042" s="994"/>
      <c r="T1042" s="1862">
        <f t="shared" si="205"/>
        <v>0</v>
      </c>
    </row>
    <row r="1043" spans="1:20" ht="22.2" hidden="1" customHeight="1">
      <c r="A1043" s="1448">
        <f>COUNTIF($C$12:C1043,"x")</f>
        <v>80</v>
      </c>
      <c r="B1043" s="1452" t="s">
        <v>2299</v>
      </c>
      <c r="C1043" s="970" t="str">
        <f t="shared" si="203"/>
        <v xml:space="preserve"> </v>
      </c>
      <c r="D1043" s="1412"/>
      <c r="E1043" s="981"/>
      <c r="F1043" s="1276" t="s">
        <v>2450</v>
      </c>
      <c r="G1043" s="982" t="s">
        <v>2385</v>
      </c>
      <c r="H1043" s="1691">
        <f>SUM(I1043:O1043)</f>
        <v>0</v>
      </c>
      <c r="I1043" s="1692"/>
      <c r="J1043" s="1692"/>
      <c r="K1043" s="1692">
        <f>IFERROR(HLOOKUP(B1043,pp3p1m!$1:$3,2,0),0)</f>
        <v>0</v>
      </c>
      <c r="L1043" s="1692">
        <f>IFERROR(HLOOKUP(chitiet!B1043,pp1p!$1:$3,3,0),0)</f>
        <v>0</v>
      </c>
      <c r="M1043" s="1692"/>
      <c r="N1043" s="1692"/>
      <c r="O1043" s="1692"/>
      <c r="P1043" s="2674">
        <f>T1043</f>
        <v>0</v>
      </c>
      <c r="Q1043" s="983">
        <f>IF(P1043&gt;H1043,P1043-H1043,0)</f>
        <v>0</v>
      </c>
      <c r="R1043" s="983">
        <f>IF(H1043&gt;P1043,H1043-P1043,0)</f>
        <v>0</v>
      </c>
      <c r="S1043" s="983"/>
      <c r="T1043" s="1862">
        <f>IFERROR(HLOOKUP(B1043,pp1p!$1:$3,3,0),0)+IFERROR(HLOOKUP(B1043,pp3p1m!$1:$3,3,0),0)</f>
        <v>0</v>
      </c>
    </row>
    <row r="1044" spans="1:20" ht="22.2" hidden="1" customHeight="1">
      <c r="A1044" s="1448">
        <f>COUNTIF($C$12:C1044,"x")</f>
        <v>80</v>
      </c>
      <c r="B1044" s="1455" t="s">
        <v>109</v>
      </c>
      <c r="C1044" s="970" t="str">
        <f t="shared" si="203"/>
        <v xml:space="preserve"> </v>
      </c>
      <c r="D1044" s="1414">
        <f>9.02*(3.8+6*0.1)</f>
        <v>39.688000000000002</v>
      </c>
      <c r="E1044" s="980"/>
      <c r="F1044" s="992" t="str">
        <f>VLOOKUP($B1044,DG!A:D,DG!$C$2,)</f>
        <v>Sắt góc L75 x75 x8</v>
      </c>
      <c r="G1044" s="980" t="str">
        <f>VLOOKUP($B1044,DG!A:D,DG!$D$2,)</f>
        <v>kg</v>
      </c>
      <c r="H1044" s="1693">
        <f t="shared" ref="H1044:L1048" si="208">H$1043*$D1044</f>
        <v>0</v>
      </c>
      <c r="I1044" s="1693">
        <f t="shared" si="208"/>
        <v>0</v>
      </c>
      <c r="J1044" s="1693">
        <f t="shared" si="208"/>
        <v>0</v>
      </c>
      <c r="K1044" s="1693">
        <f t="shared" si="208"/>
        <v>0</v>
      </c>
      <c r="L1044" s="1693">
        <f t="shared" si="208"/>
        <v>0</v>
      </c>
      <c r="M1044" s="1693"/>
      <c r="N1044" s="1693"/>
      <c r="O1044" s="1693"/>
      <c r="P1044" s="1693"/>
      <c r="Q1044" s="989"/>
      <c r="R1044" s="989"/>
      <c r="S1044" s="989"/>
      <c r="T1044" s="1862">
        <f t="shared" si="205"/>
        <v>0</v>
      </c>
    </row>
    <row r="1045" spans="1:20" ht="22.2" hidden="1" customHeight="1">
      <c r="A1045" s="1448">
        <f>COUNTIF($C$12:C1045,"x")</f>
        <v>80</v>
      </c>
      <c r="B1045" s="1455" t="s">
        <v>457</v>
      </c>
      <c r="C1045" s="970" t="str">
        <f t="shared" si="203"/>
        <v xml:space="preserve"> </v>
      </c>
      <c r="D1045" s="1414">
        <f>3.77*2.05*2</f>
        <v>15.456999999999999</v>
      </c>
      <c r="E1045" s="980"/>
      <c r="F1045" s="992" t="str">
        <f>VLOOKUP($B1045,DG!A:D,DG!$C$2,)</f>
        <v>Sắt góc L50 x50 x5</v>
      </c>
      <c r="G1045" s="980" t="str">
        <f>VLOOKUP($B1045,DG!A:D,DG!$D$2,)</f>
        <v>kg</v>
      </c>
      <c r="H1045" s="1693">
        <f t="shared" si="208"/>
        <v>0</v>
      </c>
      <c r="I1045" s="1693">
        <f t="shared" si="208"/>
        <v>0</v>
      </c>
      <c r="J1045" s="1693">
        <f t="shared" si="208"/>
        <v>0</v>
      </c>
      <c r="K1045" s="1693">
        <f t="shared" si="208"/>
        <v>0</v>
      </c>
      <c r="L1045" s="1693">
        <f t="shared" si="208"/>
        <v>0</v>
      </c>
      <c r="M1045" s="1693"/>
      <c r="N1045" s="1693"/>
      <c r="O1045" s="1693"/>
      <c r="P1045" s="1693"/>
      <c r="Q1045" s="989"/>
      <c r="R1045" s="989"/>
      <c r="S1045" s="989"/>
      <c r="T1045" s="1862">
        <f t="shared" si="205"/>
        <v>0</v>
      </c>
    </row>
    <row r="1046" spans="1:20" ht="22.2" hidden="1" customHeight="1">
      <c r="A1046" s="1448">
        <f>COUNTIF($C$12:C1046,"x")</f>
        <v>80</v>
      </c>
      <c r="B1046" s="1455" t="s">
        <v>2106</v>
      </c>
      <c r="C1046" s="970" t="str">
        <f t="shared" si="203"/>
        <v xml:space="preserve"> </v>
      </c>
      <c r="D1046" s="1414">
        <f>1.963*0.4*2</f>
        <v>1.5704000000000002</v>
      </c>
      <c r="E1046" s="980"/>
      <c r="F1046" s="992" t="str">
        <f>VLOOKUP($B1046,DG!A:D,DG!$C$2,)</f>
        <v>Sắt dẹt 50x5</v>
      </c>
      <c r="G1046" s="980" t="str">
        <f>VLOOKUP($B1046,DG!A:D,DG!$D$2,)</f>
        <v>kg</v>
      </c>
      <c r="H1046" s="1693">
        <f t="shared" si="208"/>
        <v>0</v>
      </c>
      <c r="I1046" s="1693">
        <f t="shared" si="208"/>
        <v>0</v>
      </c>
      <c r="J1046" s="1693">
        <f t="shared" si="208"/>
        <v>0</v>
      </c>
      <c r="K1046" s="1693">
        <f t="shared" si="208"/>
        <v>0</v>
      </c>
      <c r="L1046" s="1693">
        <f t="shared" si="208"/>
        <v>0</v>
      </c>
      <c r="M1046" s="1693"/>
      <c r="N1046" s="1693"/>
      <c r="O1046" s="1693"/>
      <c r="P1046" s="1693"/>
      <c r="Q1046" s="989"/>
      <c r="R1046" s="989"/>
      <c r="S1046" s="989"/>
      <c r="T1046" s="1862">
        <f t="shared" si="205"/>
        <v>0</v>
      </c>
    </row>
    <row r="1047" spans="1:20" ht="22.2" hidden="1" customHeight="1">
      <c r="A1047" s="1448">
        <f>COUNTIF($C$12:C1047,"x")</f>
        <v>80</v>
      </c>
      <c r="B1047" s="1455" t="s">
        <v>1609</v>
      </c>
      <c r="C1047" s="970" t="str">
        <f t="shared" si="203"/>
        <v xml:space="preserve"> </v>
      </c>
      <c r="D1047" s="1415">
        <v>2</v>
      </c>
      <c r="E1047" s="980"/>
      <c r="F1047" s="992" t="str">
        <f>VLOOKUP($B1047,DG!A:D,DG!$C$2,)</f>
        <v>Boulon 16x250+ 2 long đền vuông D18-50x50x3/Zn</v>
      </c>
      <c r="G1047" s="980" t="str">
        <f>VLOOKUP($B1047,DG!A:D,DG!$D$2,)</f>
        <v>bộ</v>
      </c>
      <c r="H1047" s="1693">
        <f t="shared" si="208"/>
        <v>0</v>
      </c>
      <c r="I1047" s="1693">
        <f t="shared" si="208"/>
        <v>0</v>
      </c>
      <c r="J1047" s="1693">
        <f t="shared" si="208"/>
        <v>0</v>
      </c>
      <c r="K1047" s="1693">
        <f t="shared" si="208"/>
        <v>0</v>
      </c>
      <c r="L1047" s="1693">
        <f t="shared" si="208"/>
        <v>0</v>
      </c>
      <c r="M1047" s="1693"/>
      <c r="N1047" s="1693"/>
      <c r="O1047" s="1693"/>
      <c r="P1047" s="1693"/>
      <c r="Q1047" s="989"/>
      <c r="R1047" s="989"/>
      <c r="S1047" s="989"/>
      <c r="T1047" s="1862">
        <f t="shared" si="205"/>
        <v>0</v>
      </c>
    </row>
    <row r="1048" spans="1:20" ht="22.2" hidden="1" customHeight="1">
      <c r="A1048" s="1448">
        <f>COUNTIF($C$12:C1048,"x")</f>
        <v>80</v>
      </c>
      <c r="B1048" s="1455" t="s">
        <v>1786</v>
      </c>
      <c r="C1048" s="970" t="str">
        <f t="shared" si="203"/>
        <v xml:space="preserve"> </v>
      </c>
      <c r="D1048" s="1415">
        <v>2</v>
      </c>
      <c r="E1048" s="980"/>
      <c r="F1048" s="992" t="str">
        <f>VLOOKUP($B1048,DG!A:D,DG!$C$2,)</f>
        <v>Boulon 16x50+ 2 long đền vuông D18-50x50x3/Zn</v>
      </c>
      <c r="G1048" s="980" t="str">
        <f>VLOOKUP($B1048,DG!A:D,DG!$D$2,)</f>
        <v>bộ</v>
      </c>
      <c r="H1048" s="1693">
        <f t="shared" si="208"/>
        <v>0</v>
      </c>
      <c r="I1048" s="1693">
        <f t="shared" si="208"/>
        <v>0</v>
      </c>
      <c r="J1048" s="1693">
        <f t="shared" si="208"/>
        <v>0</v>
      </c>
      <c r="K1048" s="1693">
        <f t="shared" si="208"/>
        <v>0</v>
      </c>
      <c r="L1048" s="1693">
        <f t="shared" si="208"/>
        <v>0</v>
      </c>
      <c r="M1048" s="1693"/>
      <c r="N1048" s="1693"/>
      <c r="O1048" s="1693"/>
      <c r="P1048" s="1693"/>
      <c r="Q1048" s="989"/>
      <c r="R1048" s="989"/>
      <c r="S1048" s="989"/>
      <c r="T1048" s="1862">
        <f t="shared" si="205"/>
        <v>0</v>
      </c>
    </row>
    <row r="1049" spans="1:20" ht="22.2" hidden="1" customHeight="1">
      <c r="A1049" s="1448">
        <f>COUNTIF($C$12:C1049,"x")</f>
        <v>80</v>
      </c>
      <c r="B1049" s="1455" t="s">
        <v>1995</v>
      </c>
      <c r="C1049" s="970" t="str">
        <f t="shared" si="203"/>
        <v xml:space="preserve"> </v>
      </c>
      <c r="D1049" s="1415">
        <v>1</v>
      </c>
      <c r="E1049" s="980" t="str">
        <f>VLOOKUP($B1049,DG!A:D,DG!$B$2,)</f>
        <v>05.6401</v>
      </c>
      <c r="F1049" s="985" t="str">
        <f>VLOOKUP($B1049,DG!A:D,DG!$C$2,)</f>
        <v>Lắp xà đỡ ≤ 25kg</v>
      </c>
      <c r="G1049" s="980" t="str">
        <f>VLOOKUP($B1049,DG!A:D,DG!$D$2,)</f>
        <v>bộ</v>
      </c>
      <c r="H1049" s="1693"/>
      <c r="I1049" s="1693"/>
      <c r="J1049" s="1693"/>
      <c r="K1049" s="1693"/>
      <c r="L1049" s="1693"/>
      <c r="M1049" s="1693"/>
      <c r="N1049" s="1693"/>
      <c r="O1049" s="1693"/>
      <c r="P1049" s="1693"/>
      <c r="Q1049" s="994"/>
      <c r="R1049" s="994"/>
      <c r="S1049" s="994"/>
      <c r="T1049" s="1862">
        <f t="shared" si="205"/>
        <v>0</v>
      </c>
    </row>
    <row r="1050" spans="1:20" ht="22.2" hidden="1" customHeight="1">
      <c r="A1050" s="1448">
        <f>COUNTIF($C$12:C1050,"x")</f>
        <v>80</v>
      </c>
      <c r="B1050" s="1455" t="s">
        <v>1996</v>
      </c>
      <c r="C1050" s="970" t="str">
        <f t="shared" si="203"/>
        <v xml:space="preserve"> </v>
      </c>
      <c r="D1050" s="1413">
        <f>D1051</f>
        <v>0.06</v>
      </c>
      <c r="E1050" s="980" t="str">
        <f>VLOOKUP($B1050,DG!A:D,DG!$B$2,)</f>
        <v>02.1115</v>
      </c>
      <c r="F1050" s="985" t="str">
        <f>VLOOKUP($B1050,DG!A:D,DG!$C$2,)</f>
        <v>Bốc dỡ xà, thép thanh</v>
      </c>
      <c r="G1050" s="980" t="str">
        <f>VLOOKUP($B1050,DG!A:D,DG!$D$2,)</f>
        <v>tấn</v>
      </c>
      <c r="H1050" s="1693"/>
      <c r="I1050" s="1693"/>
      <c r="J1050" s="1693"/>
      <c r="K1050" s="1693"/>
      <c r="L1050" s="1693"/>
      <c r="M1050" s="1693"/>
      <c r="N1050" s="1693"/>
      <c r="O1050" s="1693"/>
      <c r="P1050" s="1693"/>
      <c r="Q1050" s="994"/>
      <c r="R1050" s="994"/>
      <c r="S1050" s="994"/>
      <c r="T1050" s="1862">
        <f t="shared" si="205"/>
        <v>0</v>
      </c>
    </row>
    <row r="1051" spans="1:20" ht="22.2" hidden="1" customHeight="1">
      <c r="A1051" s="1448">
        <f>COUNTIF($C$12:C1051,"x")</f>
        <v>80</v>
      </c>
      <c r="B1051" s="1464" t="s">
        <v>1997</v>
      </c>
      <c r="C1051" s="970" t="str">
        <f t="shared" si="203"/>
        <v xml:space="preserve"> </v>
      </c>
      <c r="D1051" s="1413">
        <f>ROUND(SUM(D1044:D1046)*1.05/1000,3)</f>
        <v>0.06</v>
      </c>
      <c r="E1051" s="980" t="str">
        <f>VLOOKUP($B1051,DG!A:C,2,)</f>
        <v>02.1361</v>
      </c>
      <c r="F1051" s="985" t="str">
        <f>VLOOKUP($B1051,DG!A:C,3,)</f>
        <v>V/c xà vào vị trí (cư ly &lt;=100m)</v>
      </c>
      <c r="G1051" s="980" t="str">
        <f>VLOOKUP($B1051,DG!A:D,4,0)</f>
        <v>tấn</v>
      </c>
      <c r="H1051" s="1693"/>
      <c r="I1051" s="1693"/>
      <c r="J1051" s="1693"/>
      <c r="K1051" s="1693"/>
      <c r="L1051" s="1693"/>
      <c r="M1051" s="1693"/>
      <c r="N1051" s="1693"/>
      <c r="O1051" s="1693"/>
      <c r="P1051" s="1693"/>
      <c r="Q1051" s="994"/>
      <c r="R1051" s="994"/>
      <c r="S1051" s="994"/>
      <c r="T1051" s="1862">
        <f t="shared" si="205"/>
        <v>0</v>
      </c>
    </row>
    <row r="1052" spans="1:20" ht="22.2" hidden="1" customHeight="1">
      <c r="A1052" s="1448">
        <f>COUNTIF($C$12:C1052,"x")</f>
        <v>80</v>
      </c>
      <c r="B1052" s="1464" t="s">
        <v>635</v>
      </c>
      <c r="C1052" s="970" t="str">
        <f t="shared" si="203"/>
        <v xml:space="preserve"> </v>
      </c>
      <c r="D1052" s="1414">
        <v>0.05</v>
      </c>
      <c r="E1052" s="980" t="str">
        <f>VLOOKUP($B1052,DG!A:C,2,)</f>
        <v>02.1482</v>
      </c>
      <c r="F1052" s="985" t="str">
        <f>VLOOKUP($B1052,DG!A:C,3,)</f>
        <v>V/c dụng cụ thi công vào vị trí (cự ly &lt;=100m)</v>
      </c>
      <c r="G1052" s="980" t="str">
        <f>VLOOKUP($B1052,DG!A:D,4,0)</f>
        <v>tấn</v>
      </c>
      <c r="H1052" s="1693"/>
      <c r="I1052" s="1693"/>
      <c r="J1052" s="1693"/>
      <c r="K1052" s="1693"/>
      <c r="L1052" s="1693"/>
      <c r="M1052" s="1693"/>
      <c r="N1052" s="1693"/>
      <c r="O1052" s="1693"/>
      <c r="P1052" s="1693"/>
      <c r="Q1052" s="994"/>
      <c r="R1052" s="994"/>
      <c r="S1052" s="994"/>
      <c r="T1052" s="1862">
        <f t="shared" si="205"/>
        <v>0</v>
      </c>
    </row>
    <row r="1053" spans="1:20" ht="22.2" hidden="1" customHeight="1">
      <c r="A1053" s="1448">
        <f>COUNTIF($C$12:C1053,"x")</f>
        <v>80</v>
      </c>
      <c r="B1053" s="1452" t="s">
        <v>807</v>
      </c>
      <c r="C1053" s="970" t="str">
        <f t="shared" si="203"/>
        <v xml:space="preserve"> </v>
      </c>
      <c r="D1053" s="1412"/>
      <c r="E1053" s="981"/>
      <c r="F1053" s="1276" t="s">
        <v>2451</v>
      </c>
      <c r="G1053" s="982" t="s">
        <v>2385</v>
      </c>
      <c r="H1053" s="1691">
        <f>SUM(I1053:O1053)</f>
        <v>0</v>
      </c>
      <c r="I1053" s="1692"/>
      <c r="J1053" s="1692"/>
      <c r="K1053" s="1692">
        <f>IFERROR(HLOOKUP(B1053,pp3p1m!$1:$3,2,0),0)</f>
        <v>0</v>
      </c>
      <c r="L1053" s="1692">
        <f>IFERROR(HLOOKUP(chitiet!B1053,pp1p!$1:$3,3,0),0)</f>
        <v>0</v>
      </c>
      <c r="M1053" s="1692"/>
      <c r="N1053" s="1692"/>
      <c r="O1053" s="1692"/>
      <c r="P1053" s="2674">
        <f>T1053</f>
        <v>0</v>
      </c>
      <c r="Q1053" s="983">
        <f>IF(P1053&gt;H1053,P1053-H1053,0)</f>
        <v>0</v>
      </c>
      <c r="R1053" s="983">
        <f>IF(H1053&gt;P1053,H1053-P1053,0)</f>
        <v>0</v>
      </c>
      <c r="S1053" s="983"/>
      <c r="T1053" s="1862">
        <f>IFERROR(HLOOKUP(B1053,pp1p!$1:$3,3,0),0)+IFERROR(HLOOKUP(B1053,pp3p1m!$1:$3,3,0),0)</f>
        <v>0</v>
      </c>
    </row>
    <row r="1054" spans="1:20" ht="22.2" hidden="1" customHeight="1">
      <c r="A1054" s="1448">
        <f>COUNTIF($C$12:C1054,"x")</f>
        <v>80</v>
      </c>
      <c r="B1054" s="1455" t="s">
        <v>109</v>
      </c>
      <c r="C1054" s="970" t="str">
        <f t="shared" si="203"/>
        <v xml:space="preserve"> </v>
      </c>
      <c r="D1054" s="1414">
        <f>9.02*(4.2+6*0.1)*2</f>
        <v>86.592000000000013</v>
      </c>
      <c r="E1054" s="980"/>
      <c r="F1054" s="992" t="str">
        <f>VLOOKUP($B1054,DG!A:D,DG!$C$2,)</f>
        <v>Sắt góc L75 x75 x8</v>
      </c>
      <c r="G1054" s="980" t="str">
        <f>VLOOKUP($B1054,DG!A:D,DG!$D$2,)</f>
        <v>kg</v>
      </c>
      <c r="H1054" s="1693">
        <f t="shared" ref="H1054:L1057" si="209">H$1053*$D1054</f>
        <v>0</v>
      </c>
      <c r="I1054" s="1693">
        <f t="shared" si="209"/>
        <v>0</v>
      </c>
      <c r="J1054" s="1693">
        <f t="shared" si="209"/>
        <v>0</v>
      </c>
      <c r="K1054" s="1693">
        <f t="shared" si="209"/>
        <v>0</v>
      </c>
      <c r="L1054" s="1693">
        <f t="shared" si="209"/>
        <v>0</v>
      </c>
      <c r="M1054" s="1693"/>
      <c r="N1054" s="1693"/>
      <c r="O1054" s="1693"/>
      <c r="P1054" s="1693"/>
      <c r="Q1054" s="989"/>
      <c r="R1054" s="989"/>
      <c r="S1054" s="989"/>
      <c r="T1054" s="1862">
        <f t="shared" si="205"/>
        <v>0</v>
      </c>
    </row>
    <row r="1055" spans="1:20" ht="22.2" hidden="1" customHeight="1">
      <c r="A1055" s="1448">
        <f>COUNTIF($C$12:C1055,"x")</f>
        <v>80</v>
      </c>
      <c r="B1055" s="1455" t="s">
        <v>279</v>
      </c>
      <c r="C1055" s="970" t="str">
        <f t="shared" si="203"/>
        <v xml:space="preserve"> </v>
      </c>
      <c r="D1055" s="1414">
        <f>2.826*0.92*8</f>
        <v>20.79936</v>
      </c>
      <c r="E1055" s="980"/>
      <c r="F1055" s="992" t="str">
        <f>VLOOKUP($B1055,DG!A:D,DG!$C$2,)</f>
        <v>Sắt dẹt 60 x 6</v>
      </c>
      <c r="G1055" s="980" t="str">
        <f>VLOOKUP($B1055,DG!A:D,DG!$D$2,)</f>
        <v>kg</v>
      </c>
      <c r="H1055" s="1693">
        <f t="shared" si="209"/>
        <v>0</v>
      </c>
      <c r="I1055" s="1693">
        <f t="shared" si="209"/>
        <v>0</v>
      </c>
      <c r="J1055" s="1693">
        <f t="shared" si="209"/>
        <v>0</v>
      </c>
      <c r="K1055" s="1693">
        <f t="shared" si="209"/>
        <v>0</v>
      </c>
      <c r="L1055" s="1693">
        <f t="shared" si="209"/>
        <v>0</v>
      </c>
      <c r="M1055" s="1693"/>
      <c r="N1055" s="1693"/>
      <c r="O1055" s="1693"/>
      <c r="P1055" s="1693"/>
      <c r="Q1055" s="989"/>
      <c r="R1055" s="989"/>
      <c r="S1055" s="989"/>
      <c r="T1055" s="1862">
        <f t="shared" si="205"/>
        <v>0</v>
      </c>
    </row>
    <row r="1056" spans="1:20" ht="22.2" hidden="1" customHeight="1">
      <c r="A1056" s="1448">
        <f>COUNTIF($C$12:C1056,"x")</f>
        <v>80</v>
      </c>
      <c r="B1056" s="1455" t="s">
        <v>1609</v>
      </c>
      <c r="C1056" s="970" t="str">
        <f t="shared" si="203"/>
        <v xml:space="preserve"> </v>
      </c>
      <c r="D1056" s="1415">
        <v>4</v>
      </c>
      <c r="E1056" s="980"/>
      <c r="F1056" s="992" t="str">
        <f>VLOOKUP($B1056,DG!A:D,DG!$C$2,)</f>
        <v>Boulon 16x250+ 2 long đền vuông D18-50x50x3/Zn</v>
      </c>
      <c r="G1056" s="980" t="str">
        <f>VLOOKUP($B1056,DG!A:D,DG!$D$2,)</f>
        <v>bộ</v>
      </c>
      <c r="H1056" s="1693">
        <f t="shared" si="209"/>
        <v>0</v>
      </c>
      <c r="I1056" s="1693">
        <f t="shared" si="209"/>
        <v>0</v>
      </c>
      <c r="J1056" s="1693">
        <f t="shared" si="209"/>
        <v>0</v>
      </c>
      <c r="K1056" s="1693">
        <f t="shared" si="209"/>
        <v>0</v>
      </c>
      <c r="L1056" s="1693">
        <f t="shared" si="209"/>
        <v>0</v>
      </c>
      <c r="M1056" s="1693"/>
      <c r="N1056" s="1693"/>
      <c r="O1056" s="1693"/>
      <c r="P1056" s="1693"/>
      <c r="Q1056" s="989"/>
      <c r="R1056" s="989"/>
      <c r="S1056" s="989"/>
      <c r="T1056" s="1862">
        <f t="shared" si="205"/>
        <v>0</v>
      </c>
    </row>
    <row r="1057" spans="1:20" ht="22.2" hidden="1" customHeight="1">
      <c r="A1057" s="1448">
        <f>COUNTIF($C$12:C1057,"x")</f>
        <v>80</v>
      </c>
      <c r="B1057" s="1455" t="s">
        <v>1784</v>
      </c>
      <c r="C1057" s="970" t="str">
        <f t="shared" si="203"/>
        <v xml:space="preserve"> </v>
      </c>
      <c r="D1057" s="1415">
        <v>6</v>
      </c>
      <c r="E1057" s="980"/>
      <c r="F1057" s="992" t="str">
        <f>VLOOKUP($B1057,DG!A:D,DG!$C$2,)</f>
        <v>Boulon 16x300VRS+ 4 long đền vuông D18-50x50x3/Zn</v>
      </c>
      <c r="G1057" s="980" t="str">
        <f>VLOOKUP($B1057,DG!A:D,DG!$D$2,)</f>
        <v>bộ</v>
      </c>
      <c r="H1057" s="1693">
        <f t="shared" si="209"/>
        <v>0</v>
      </c>
      <c r="I1057" s="1693">
        <f t="shared" si="209"/>
        <v>0</v>
      </c>
      <c r="J1057" s="1693">
        <f t="shared" si="209"/>
        <v>0</v>
      </c>
      <c r="K1057" s="1693">
        <f t="shared" si="209"/>
        <v>0</v>
      </c>
      <c r="L1057" s="1693">
        <f t="shared" si="209"/>
        <v>0</v>
      </c>
      <c r="M1057" s="1693"/>
      <c r="N1057" s="1693"/>
      <c r="O1057" s="1693"/>
      <c r="P1057" s="1693"/>
      <c r="Q1057" s="989"/>
      <c r="R1057" s="989"/>
      <c r="S1057" s="989"/>
      <c r="T1057" s="1862">
        <f t="shared" si="205"/>
        <v>0</v>
      </c>
    </row>
    <row r="1058" spans="1:20" ht="22.2" hidden="1" customHeight="1">
      <c r="A1058" s="1448">
        <f>COUNTIF($C$12:C1058,"x")</f>
        <v>80</v>
      </c>
      <c r="B1058" s="1455" t="s">
        <v>2242</v>
      </c>
      <c r="C1058" s="970" t="str">
        <f t="shared" si="203"/>
        <v xml:space="preserve"> </v>
      </c>
      <c r="D1058" s="1415">
        <v>1</v>
      </c>
      <c r="E1058" s="980"/>
      <c r="F1058" s="985" t="str">
        <f>VLOOKUP($B1058,DG!A:D,DG!$C$2,)</f>
        <v>Lắp xà cột Pi loại ≤140kg/xà</v>
      </c>
      <c r="G1058" s="980" t="str">
        <f>VLOOKUP($B1058,DG!A:D,DG!$D$2,)</f>
        <v>bộ</v>
      </c>
      <c r="H1058" s="1693"/>
      <c r="I1058" s="1693"/>
      <c r="J1058" s="1693"/>
      <c r="K1058" s="1693"/>
      <c r="L1058" s="1693"/>
      <c r="M1058" s="1693"/>
      <c r="N1058" s="1693"/>
      <c r="O1058" s="1693"/>
      <c r="P1058" s="1693"/>
      <c r="Q1058" s="989"/>
      <c r="R1058" s="989"/>
      <c r="S1058" s="989"/>
      <c r="T1058" s="1862">
        <f t="shared" si="205"/>
        <v>0</v>
      </c>
    </row>
    <row r="1059" spans="1:20" ht="22.2" hidden="1" customHeight="1">
      <c r="A1059" s="1448">
        <f>COUNTIF($C$12:C1059,"x")</f>
        <v>80</v>
      </c>
      <c r="B1059" s="1455" t="s">
        <v>1996</v>
      </c>
      <c r="C1059" s="970" t="str">
        <f t="shared" si="203"/>
        <v xml:space="preserve"> </v>
      </c>
      <c r="D1059" s="1413">
        <f>D1060</f>
        <v>0.113</v>
      </c>
      <c r="E1059" s="980"/>
      <c r="F1059" s="985" t="str">
        <f>VLOOKUP($B1059,DG!A:D,DG!$C$2,)</f>
        <v>Bốc dỡ xà, thép thanh</v>
      </c>
      <c r="G1059" s="980" t="str">
        <f>VLOOKUP($B1059,DG!A:D,DG!$D$2,)</f>
        <v>tấn</v>
      </c>
      <c r="H1059" s="1693"/>
      <c r="I1059" s="1693"/>
      <c r="J1059" s="1693"/>
      <c r="K1059" s="1693"/>
      <c r="L1059" s="1693"/>
      <c r="M1059" s="1693"/>
      <c r="N1059" s="1693"/>
      <c r="O1059" s="1693"/>
      <c r="P1059" s="1693"/>
      <c r="Q1059" s="989"/>
      <c r="R1059" s="989"/>
      <c r="S1059" s="989"/>
      <c r="T1059" s="1862">
        <f t="shared" si="205"/>
        <v>0</v>
      </c>
    </row>
    <row r="1060" spans="1:20" ht="22.2" hidden="1" customHeight="1">
      <c r="A1060" s="1448">
        <f>COUNTIF($C$12:C1060,"x")</f>
        <v>80</v>
      </c>
      <c r="B1060" s="1464" t="s">
        <v>1997</v>
      </c>
      <c r="C1060" s="970" t="str">
        <f t="shared" si="203"/>
        <v xml:space="preserve"> </v>
      </c>
      <c r="D1060" s="1413">
        <f>ROUND(SUM(D1054:D1055)*1.05/1000,3)</f>
        <v>0.113</v>
      </c>
      <c r="E1060" s="980" t="str">
        <f>VLOOKUP($B1060,DG!A:C,2,)</f>
        <v>02.1361</v>
      </c>
      <c r="F1060" s="985" t="str">
        <f>VLOOKUP($B1060,DG!A:C,3,)</f>
        <v>V/c xà vào vị trí (cư ly &lt;=100m)</v>
      </c>
      <c r="G1060" s="980" t="str">
        <f>VLOOKUP($B1060,DG!A:D,4,0)</f>
        <v>tấn</v>
      </c>
      <c r="H1060" s="1693"/>
      <c r="I1060" s="1693"/>
      <c r="J1060" s="1693"/>
      <c r="K1060" s="1693"/>
      <c r="L1060" s="1693"/>
      <c r="M1060" s="1693"/>
      <c r="N1060" s="1693"/>
      <c r="O1060" s="1693"/>
      <c r="P1060" s="1693"/>
      <c r="Q1060" s="994"/>
      <c r="R1060" s="994"/>
      <c r="S1060" s="994"/>
      <c r="T1060" s="1862">
        <f t="shared" si="205"/>
        <v>0</v>
      </c>
    </row>
    <row r="1061" spans="1:20" ht="22.2" hidden="1" customHeight="1">
      <c r="A1061" s="1448">
        <f>COUNTIF($C$12:C1061,"x")</f>
        <v>80</v>
      </c>
      <c r="B1061" s="1464" t="s">
        <v>635</v>
      </c>
      <c r="C1061" s="970" t="str">
        <f t="shared" si="203"/>
        <v xml:space="preserve"> </v>
      </c>
      <c r="D1061" s="1414">
        <v>0.05</v>
      </c>
      <c r="E1061" s="980" t="str">
        <f>VLOOKUP($B1061,DG!A:C,2,)</f>
        <v>02.1482</v>
      </c>
      <c r="F1061" s="985" t="str">
        <f>VLOOKUP($B1061,DG!A:C,3,)</f>
        <v>V/c dụng cụ thi công vào vị trí (cự ly &lt;=100m)</v>
      </c>
      <c r="G1061" s="980" t="str">
        <f>VLOOKUP($B1061,DG!A:D,4,0)</f>
        <v>tấn</v>
      </c>
      <c r="H1061" s="1693"/>
      <c r="I1061" s="1693"/>
      <c r="J1061" s="1693"/>
      <c r="K1061" s="1693"/>
      <c r="L1061" s="1693"/>
      <c r="M1061" s="1693"/>
      <c r="N1061" s="1693"/>
      <c r="O1061" s="1693"/>
      <c r="P1061" s="1693"/>
      <c r="Q1061" s="994"/>
      <c r="R1061" s="994"/>
      <c r="S1061" s="994"/>
      <c r="T1061" s="1862">
        <f t="shared" si="205"/>
        <v>0</v>
      </c>
    </row>
    <row r="1062" spans="1:20" ht="22.2" hidden="1" customHeight="1">
      <c r="A1062" s="1448">
        <f>COUNTIF($C$12:C1062,"x")</f>
        <v>80</v>
      </c>
      <c r="B1062" s="1452" t="s">
        <v>1868</v>
      </c>
      <c r="C1062" s="970" t="str">
        <f t="shared" si="203"/>
        <v xml:space="preserve"> </v>
      </c>
      <c r="D1062" s="1412"/>
      <c r="E1062" s="981"/>
      <c r="F1062" s="1276" t="s">
        <v>2452</v>
      </c>
      <c r="G1062" s="982" t="s">
        <v>2385</v>
      </c>
      <c r="H1062" s="1691">
        <f>SUM(I1062:O1062)</f>
        <v>0</v>
      </c>
      <c r="I1062" s="1692"/>
      <c r="J1062" s="1692"/>
      <c r="K1062" s="1692">
        <f>IFERROR(HLOOKUP(B1062,pp3p1m!$1:$3,2,0),0)</f>
        <v>0</v>
      </c>
      <c r="L1062" s="1692">
        <f>IFERROR(HLOOKUP(chitiet!B1062,pp1p!$1:$3,3,0),0)</f>
        <v>0</v>
      </c>
      <c r="M1062" s="1692"/>
      <c r="N1062" s="1692"/>
      <c r="O1062" s="1692"/>
      <c r="P1062" s="2674">
        <f>T1062</f>
        <v>0</v>
      </c>
      <c r="Q1062" s="983">
        <f>IF(P1062&gt;H1062,P1062-H1062,0)</f>
        <v>0</v>
      </c>
      <c r="R1062" s="983">
        <f>IF(H1062&gt;P1062,H1062-P1062,0)</f>
        <v>0</v>
      </c>
      <c r="S1062" s="983"/>
      <c r="T1062" s="1862">
        <f>IFERROR(HLOOKUP(B1062,pp1p!$1:$3,3,0),0)+IFERROR(HLOOKUP(B1062,pp3p1m!$1:$3,3,0),0)</f>
        <v>0</v>
      </c>
    </row>
    <row r="1063" spans="1:20" ht="22.2" hidden="1" customHeight="1">
      <c r="A1063" s="1448">
        <f>COUNTIF($C$12:C1063,"x")</f>
        <v>80</v>
      </c>
      <c r="B1063" s="1455" t="s">
        <v>109</v>
      </c>
      <c r="C1063" s="970" t="str">
        <f t="shared" si="203"/>
        <v xml:space="preserve"> </v>
      </c>
      <c r="D1063" s="1414">
        <f>9.02*(2.4+4*0.1)*2</f>
        <v>50.511999999999993</v>
      </c>
      <c r="E1063" s="980"/>
      <c r="F1063" s="992" t="str">
        <f>VLOOKUP($B1063,DG!A:D,DG!$C$2,)</f>
        <v>Sắt góc L75 x75 x8</v>
      </c>
      <c r="G1063" s="980" t="str">
        <f>VLOOKUP($B1063,DG!A:D,DG!$D$2,)</f>
        <v>kg</v>
      </c>
      <c r="H1063" s="1693">
        <f t="shared" ref="H1063:L1067" si="210">H$1062*$D1063</f>
        <v>0</v>
      </c>
      <c r="I1063" s="1693">
        <f t="shared" si="210"/>
        <v>0</v>
      </c>
      <c r="J1063" s="1693">
        <f t="shared" si="210"/>
        <v>0</v>
      </c>
      <c r="K1063" s="1693">
        <f t="shared" si="210"/>
        <v>0</v>
      </c>
      <c r="L1063" s="1693">
        <f t="shared" si="210"/>
        <v>0</v>
      </c>
      <c r="M1063" s="1693"/>
      <c r="N1063" s="1693"/>
      <c r="O1063" s="1693"/>
      <c r="P1063" s="1693"/>
      <c r="Q1063" s="989"/>
      <c r="R1063" s="989"/>
      <c r="S1063" s="989"/>
      <c r="T1063" s="1862">
        <f t="shared" si="205"/>
        <v>0</v>
      </c>
    </row>
    <row r="1064" spans="1:20" ht="22.2" hidden="1" customHeight="1">
      <c r="A1064" s="1448">
        <f>COUNTIF($C$12:C1064,"x")</f>
        <v>80</v>
      </c>
      <c r="B1064" s="1455" t="s">
        <v>1567</v>
      </c>
      <c r="C1064" s="970" t="str">
        <f t="shared" si="203"/>
        <v xml:space="preserve"> </v>
      </c>
      <c r="D1064" s="1414">
        <f>3.77*0.81*4</f>
        <v>12.2148</v>
      </c>
      <c r="E1064" s="980"/>
      <c r="F1064" s="992" t="str">
        <f>VLOOKUP($B1064,DG!A:D,DG!$C$2,)</f>
        <v>Sắt góc L50 x50 x5</v>
      </c>
      <c r="G1064" s="980" t="str">
        <f>VLOOKUP($B1064,DG!A:D,DG!$D$2,)</f>
        <v>kg</v>
      </c>
      <c r="H1064" s="1693">
        <f t="shared" si="210"/>
        <v>0</v>
      </c>
      <c r="I1064" s="1693">
        <f t="shared" si="210"/>
        <v>0</v>
      </c>
      <c r="J1064" s="1693">
        <f t="shared" si="210"/>
        <v>0</v>
      </c>
      <c r="K1064" s="1693">
        <f t="shared" si="210"/>
        <v>0</v>
      </c>
      <c r="L1064" s="1693">
        <f t="shared" si="210"/>
        <v>0</v>
      </c>
      <c r="M1064" s="1693"/>
      <c r="N1064" s="1693"/>
      <c r="O1064" s="1693"/>
      <c r="P1064" s="1693"/>
      <c r="Q1064" s="989"/>
      <c r="R1064" s="989"/>
      <c r="S1064" s="989"/>
      <c r="T1064" s="1862">
        <f t="shared" si="205"/>
        <v>0</v>
      </c>
    </row>
    <row r="1065" spans="1:20" ht="22.2" hidden="1" customHeight="1">
      <c r="A1065" s="1448">
        <f>COUNTIF($C$12:C1065,"x")</f>
        <v>80</v>
      </c>
      <c r="B1065" s="1455" t="s">
        <v>1609</v>
      </c>
      <c r="C1065" s="970" t="str">
        <f t="shared" si="203"/>
        <v xml:space="preserve"> </v>
      </c>
      <c r="D1065" s="1415">
        <v>4</v>
      </c>
      <c r="E1065" s="980"/>
      <c r="F1065" s="992" t="str">
        <f>VLOOKUP($B1065,DG!A:D,DG!$C$2,)</f>
        <v>Boulon 16x250+ 2 long đền vuông D18-50x50x3/Zn</v>
      </c>
      <c r="G1065" s="980" t="str">
        <f>VLOOKUP($B1065,DG!A:D,DG!$D$2,)</f>
        <v>bộ</v>
      </c>
      <c r="H1065" s="1693">
        <f t="shared" si="210"/>
        <v>0</v>
      </c>
      <c r="I1065" s="1693">
        <f t="shared" si="210"/>
        <v>0</v>
      </c>
      <c r="J1065" s="1693">
        <f t="shared" si="210"/>
        <v>0</v>
      </c>
      <c r="K1065" s="1693">
        <f t="shared" si="210"/>
        <v>0</v>
      </c>
      <c r="L1065" s="1693">
        <f t="shared" si="210"/>
        <v>0</v>
      </c>
      <c r="M1065" s="1693"/>
      <c r="N1065" s="1693"/>
      <c r="O1065" s="1693"/>
      <c r="P1065" s="1693"/>
      <c r="Q1065" s="989"/>
      <c r="R1065" s="989"/>
      <c r="S1065" s="989"/>
      <c r="T1065" s="1862">
        <f t="shared" si="205"/>
        <v>0</v>
      </c>
    </row>
    <row r="1066" spans="1:20" ht="22.2" hidden="1" customHeight="1">
      <c r="A1066" s="1448">
        <f>COUNTIF($C$12:C1066,"x")</f>
        <v>80</v>
      </c>
      <c r="B1066" s="1455" t="s">
        <v>1784</v>
      </c>
      <c r="C1066" s="970" t="str">
        <f t="shared" si="203"/>
        <v xml:space="preserve"> </v>
      </c>
      <c r="D1066" s="1415">
        <v>2</v>
      </c>
      <c r="E1066" s="980"/>
      <c r="F1066" s="992" t="str">
        <f>VLOOKUP($B1066,DG!A:D,DG!$C$2,)</f>
        <v>Boulon 16x300VRS+ 4 long đền vuông D18-50x50x3/Zn</v>
      </c>
      <c r="G1066" s="980" t="str">
        <f>VLOOKUP($B1066,DG!A:D,DG!$D$2,)</f>
        <v>bộ</v>
      </c>
      <c r="H1066" s="1693">
        <f t="shared" si="210"/>
        <v>0</v>
      </c>
      <c r="I1066" s="1693">
        <f t="shared" si="210"/>
        <v>0</v>
      </c>
      <c r="J1066" s="1693">
        <f t="shared" si="210"/>
        <v>0</v>
      </c>
      <c r="K1066" s="1693">
        <f t="shared" si="210"/>
        <v>0</v>
      </c>
      <c r="L1066" s="1693">
        <f t="shared" si="210"/>
        <v>0</v>
      </c>
      <c r="M1066" s="1693"/>
      <c r="N1066" s="1693"/>
      <c r="O1066" s="1693"/>
      <c r="P1066" s="1693"/>
      <c r="Q1066" s="989"/>
      <c r="R1066" s="989"/>
      <c r="S1066" s="989"/>
      <c r="T1066" s="1862">
        <f t="shared" si="205"/>
        <v>0</v>
      </c>
    </row>
    <row r="1067" spans="1:20" ht="22.2" hidden="1" customHeight="1">
      <c r="A1067" s="1448">
        <f>COUNTIF($C$12:C1067,"x")</f>
        <v>80</v>
      </c>
      <c r="B1067" s="1455" t="s">
        <v>1786</v>
      </c>
      <c r="C1067" s="970" t="str">
        <f t="shared" si="203"/>
        <v xml:space="preserve"> </v>
      </c>
      <c r="D1067" s="1415">
        <v>4</v>
      </c>
      <c r="E1067" s="980"/>
      <c r="F1067" s="992" t="str">
        <f>VLOOKUP($B1067,DG!A:D,DG!$C$2,)</f>
        <v>Boulon 16x50+ 2 long đền vuông D18-50x50x3/Zn</v>
      </c>
      <c r="G1067" s="980" t="str">
        <f>VLOOKUP($B1067,DG!A:D,DG!$D$2,)</f>
        <v>bộ</v>
      </c>
      <c r="H1067" s="1693">
        <f t="shared" si="210"/>
        <v>0</v>
      </c>
      <c r="I1067" s="1693">
        <f t="shared" si="210"/>
        <v>0</v>
      </c>
      <c r="J1067" s="1693">
        <f t="shared" si="210"/>
        <v>0</v>
      </c>
      <c r="K1067" s="1693">
        <f t="shared" si="210"/>
        <v>0</v>
      </c>
      <c r="L1067" s="1693">
        <f t="shared" si="210"/>
        <v>0</v>
      </c>
      <c r="M1067" s="1693"/>
      <c r="N1067" s="1693"/>
      <c r="O1067" s="1693"/>
      <c r="P1067" s="1693"/>
      <c r="Q1067" s="989"/>
      <c r="R1067" s="989"/>
      <c r="S1067" s="989"/>
      <c r="T1067" s="1862">
        <f t="shared" si="205"/>
        <v>0</v>
      </c>
    </row>
    <row r="1068" spans="1:20" ht="22.2" hidden="1" customHeight="1">
      <c r="A1068" s="1448">
        <f>COUNTIF($C$12:C1068,"x")</f>
        <v>80</v>
      </c>
      <c r="B1068" s="1455" t="s">
        <v>2242</v>
      </c>
      <c r="C1068" s="970" t="str">
        <f t="shared" si="203"/>
        <v xml:space="preserve"> </v>
      </c>
      <c r="D1068" s="1415">
        <v>1</v>
      </c>
      <c r="E1068" s="980"/>
      <c r="F1068" s="985" t="str">
        <f>VLOOKUP($B1068,DG!A:D,DG!$C$2,)</f>
        <v>Lắp xà cột Pi loại ≤140kg/xà</v>
      </c>
      <c r="G1068" s="980" t="str">
        <f>VLOOKUP($B1068,DG!A:D,DG!$D$2,)</f>
        <v>bộ</v>
      </c>
      <c r="H1068" s="1693"/>
      <c r="I1068" s="1693"/>
      <c r="J1068" s="1693"/>
      <c r="K1068" s="1693"/>
      <c r="L1068" s="1693"/>
      <c r="M1068" s="1693"/>
      <c r="N1068" s="1693"/>
      <c r="O1068" s="1693"/>
      <c r="P1068" s="1693"/>
      <c r="Q1068" s="989"/>
      <c r="R1068" s="989"/>
      <c r="S1068" s="989"/>
      <c r="T1068" s="1862">
        <f t="shared" si="205"/>
        <v>0</v>
      </c>
    </row>
    <row r="1069" spans="1:20" ht="22.2" hidden="1" customHeight="1">
      <c r="A1069" s="1448">
        <f>COUNTIF($C$12:C1069,"x")</f>
        <v>80</v>
      </c>
      <c r="B1069" s="1455" t="s">
        <v>1996</v>
      </c>
      <c r="C1069" s="970" t="str">
        <f t="shared" si="203"/>
        <v xml:space="preserve"> </v>
      </c>
      <c r="D1069" s="1413"/>
      <c r="E1069" s="980"/>
      <c r="F1069" s="985" t="str">
        <f>VLOOKUP($B1069,DG!A:D,DG!$C$2,)</f>
        <v>Bốc dỡ xà, thép thanh</v>
      </c>
      <c r="G1069" s="980" t="str">
        <f>VLOOKUP($B1069,DG!A:D,DG!$D$2,)</f>
        <v>tấn</v>
      </c>
      <c r="H1069" s="1693"/>
      <c r="I1069" s="1693"/>
      <c r="J1069" s="1693"/>
      <c r="K1069" s="1693"/>
      <c r="L1069" s="1693"/>
      <c r="M1069" s="1693"/>
      <c r="N1069" s="1693"/>
      <c r="O1069" s="1693"/>
      <c r="P1069" s="1693"/>
      <c r="Q1069" s="989"/>
      <c r="R1069" s="989"/>
      <c r="S1069" s="989"/>
      <c r="T1069" s="1862">
        <f t="shared" si="205"/>
        <v>0</v>
      </c>
    </row>
    <row r="1070" spans="1:20" ht="22.2" hidden="1" customHeight="1">
      <c r="A1070" s="1448">
        <f>COUNTIF($C$12:C1070,"x")</f>
        <v>80</v>
      </c>
      <c r="B1070" s="1464" t="s">
        <v>1997</v>
      </c>
      <c r="C1070" s="970" t="str">
        <f t="shared" si="203"/>
        <v xml:space="preserve"> </v>
      </c>
      <c r="D1070" s="1413"/>
      <c r="E1070" s="980" t="str">
        <f>VLOOKUP($B1070,DG!A:C,2,)</f>
        <v>02.1361</v>
      </c>
      <c r="F1070" s="985" t="str">
        <f>VLOOKUP($B1070,DG!A:C,3,)</f>
        <v>V/c xà vào vị trí (cư ly &lt;=100m)</v>
      </c>
      <c r="G1070" s="980" t="str">
        <f>VLOOKUP($B1070,DG!A:D,4,0)</f>
        <v>tấn</v>
      </c>
      <c r="H1070" s="1693"/>
      <c r="I1070" s="1693"/>
      <c r="J1070" s="1693"/>
      <c r="K1070" s="1693"/>
      <c r="L1070" s="1693"/>
      <c r="M1070" s="1693"/>
      <c r="N1070" s="1693"/>
      <c r="O1070" s="1693"/>
      <c r="P1070" s="1693"/>
      <c r="Q1070" s="994"/>
      <c r="R1070" s="994"/>
      <c r="S1070" s="994"/>
      <c r="T1070" s="1862">
        <f t="shared" si="205"/>
        <v>0</v>
      </c>
    </row>
    <row r="1071" spans="1:20" ht="22.2" hidden="1" customHeight="1">
      <c r="A1071" s="1448">
        <f>COUNTIF($C$12:C1071,"x")</f>
        <v>80</v>
      </c>
      <c r="B1071" s="1464" t="s">
        <v>635</v>
      </c>
      <c r="C1071" s="970" t="str">
        <f t="shared" si="203"/>
        <v xml:space="preserve"> </v>
      </c>
      <c r="D1071" s="1414"/>
      <c r="E1071" s="980" t="str">
        <f>VLOOKUP($B1071,DG!A:C,2,)</f>
        <v>02.1482</v>
      </c>
      <c r="F1071" s="985" t="str">
        <f>VLOOKUP($B1071,DG!A:C,3,)</f>
        <v>V/c dụng cụ thi công vào vị trí (cự ly &lt;=100m)</v>
      </c>
      <c r="G1071" s="980" t="str">
        <f>VLOOKUP($B1071,DG!A:D,4,0)</f>
        <v>tấn</v>
      </c>
      <c r="H1071" s="1693"/>
      <c r="I1071" s="1693"/>
      <c r="J1071" s="1693"/>
      <c r="K1071" s="1693"/>
      <c r="L1071" s="1693"/>
      <c r="M1071" s="1693"/>
      <c r="N1071" s="1693"/>
      <c r="O1071" s="1693"/>
      <c r="P1071" s="1693"/>
      <c r="Q1071" s="994"/>
      <c r="R1071" s="994"/>
      <c r="S1071" s="994"/>
      <c r="T1071" s="1862">
        <f t="shared" si="205"/>
        <v>0</v>
      </c>
    </row>
    <row r="1072" spans="1:20" ht="22.2" hidden="1" customHeight="1">
      <c r="A1072" s="1448">
        <f>COUNTIF($C$12:C1072,"x")</f>
        <v>80</v>
      </c>
      <c r="B1072" s="1452" t="s">
        <v>806</v>
      </c>
      <c r="C1072" s="970" t="str">
        <f t="shared" si="203"/>
        <v xml:space="preserve"> </v>
      </c>
      <c r="D1072" s="1412"/>
      <c r="E1072" s="981"/>
      <c r="F1072" s="1276" t="s">
        <v>2454</v>
      </c>
      <c r="G1072" s="982" t="s">
        <v>2385</v>
      </c>
      <c r="H1072" s="1691">
        <f>SUM(I1072:O1072)</f>
        <v>0</v>
      </c>
      <c r="I1072" s="1692"/>
      <c r="J1072" s="1692"/>
      <c r="K1072" s="1692">
        <f>IFERROR(HLOOKUP(B1072,pp3p1m!$1:$3,2,0),0)</f>
        <v>0</v>
      </c>
      <c r="L1072" s="1692">
        <f>IFERROR(HLOOKUP(chitiet!B1072,pp1p!$1:$3,3,0),0)</f>
        <v>0</v>
      </c>
      <c r="M1072" s="1692"/>
      <c r="N1072" s="1692"/>
      <c r="O1072" s="1692"/>
      <c r="P1072" s="2674">
        <f>T1072</f>
        <v>0</v>
      </c>
      <c r="Q1072" s="983">
        <f>IF(P1072&gt;H1072,P1072-H1072,0)</f>
        <v>0</v>
      </c>
      <c r="R1072" s="983">
        <f>IF(H1072&gt;P1072,H1072-P1072,0)</f>
        <v>0</v>
      </c>
      <c r="S1072" s="983"/>
      <c r="T1072" s="1862">
        <f>IFERROR(HLOOKUP(B1072,pp1p!$1:$3,3,0),0)+IFERROR(HLOOKUP(B1072,pp3p1m!$1:$3,3,0),0)</f>
        <v>0</v>
      </c>
    </row>
    <row r="1073" spans="1:20" ht="22.2" hidden="1" customHeight="1">
      <c r="A1073" s="1448">
        <f>COUNTIF($C$12:C1073,"x")</f>
        <v>80</v>
      </c>
      <c r="B1073" s="1455" t="s">
        <v>109</v>
      </c>
      <c r="C1073" s="970" t="str">
        <f t="shared" si="203"/>
        <v xml:space="preserve"> </v>
      </c>
      <c r="D1073" s="1414">
        <f>9.02*2*2</f>
        <v>36.08</v>
      </c>
      <c r="E1073" s="980"/>
      <c r="F1073" s="992" t="str">
        <f>VLOOKUP($B1073,DG!A:D,DG!$C$2,)</f>
        <v>Sắt góc L75 x75 x8</v>
      </c>
      <c r="G1073" s="980" t="str">
        <f>VLOOKUP($B1073,DG!A:D,DG!$D$2,)</f>
        <v>kg</v>
      </c>
      <c r="H1073" s="1693">
        <f t="shared" ref="H1073:L1077" si="211">H$1072*$D1073</f>
        <v>0</v>
      </c>
      <c r="I1073" s="1693">
        <f t="shared" si="211"/>
        <v>0</v>
      </c>
      <c r="J1073" s="1693">
        <f t="shared" si="211"/>
        <v>0</v>
      </c>
      <c r="K1073" s="1693">
        <f t="shared" si="211"/>
        <v>0</v>
      </c>
      <c r="L1073" s="1693">
        <f t="shared" si="211"/>
        <v>0</v>
      </c>
      <c r="M1073" s="1693"/>
      <c r="N1073" s="1693"/>
      <c r="O1073" s="1693"/>
      <c r="P1073" s="1693"/>
      <c r="Q1073" s="989"/>
      <c r="R1073" s="989"/>
      <c r="S1073" s="989"/>
      <c r="T1073" s="1862">
        <f t="shared" si="205"/>
        <v>0</v>
      </c>
    </row>
    <row r="1074" spans="1:20" ht="22.2" hidden="1" customHeight="1">
      <c r="A1074" s="1448">
        <f>COUNTIF($C$12:C1074,"x")</f>
        <v>80</v>
      </c>
      <c r="B1074" s="1455" t="s">
        <v>1738</v>
      </c>
      <c r="C1074" s="970" t="str">
        <f t="shared" si="203"/>
        <v xml:space="preserve"> </v>
      </c>
      <c r="D1074" s="1414">
        <v>2</v>
      </c>
      <c r="E1074" s="980"/>
      <c r="F1074" s="992" t="str">
        <f>VLOOKUP($B1074,DG!A:D,DG!$C$2,)</f>
        <v>Cổ dê  Ø 240-Fe 8x100</v>
      </c>
      <c r="G1074" s="980" t="str">
        <f>VLOOKUP($B1074,DG!A:D,DG!$D$2,)</f>
        <v>bộ</v>
      </c>
      <c r="H1074" s="1693">
        <f t="shared" si="211"/>
        <v>0</v>
      </c>
      <c r="I1074" s="1693">
        <f t="shared" si="211"/>
        <v>0</v>
      </c>
      <c r="J1074" s="1693">
        <f t="shared" si="211"/>
        <v>0</v>
      </c>
      <c r="K1074" s="1693">
        <f t="shared" si="211"/>
        <v>0</v>
      </c>
      <c r="L1074" s="1693">
        <f t="shared" si="211"/>
        <v>0</v>
      </c>
      <c r="M1074" s="1693"/>
      <c r="N1074" s="1693"/>
      <c r="O1074" s="1693"/>
      <c r="P1074" s="1693"/>
      <c r="Q1074" s="989"/>
      <c r="R1074" s="989"/>
      <c r="S1074" s="989"/>
      <c r="T1074" s="1862">
        <f t="shared" si="205"/>
        <v>0</v>
      </c>
    </row>
    <row r="1075" spans="1:20" ht="22.2" hidden="1" customHeight="1">
      <c r="A1075" s="1448">
        <f>COUNTIF($C$12:C1075,"x")</f>
        <v>80</v>
      </c>
      <c r="B1075" s="1455" t="s">
        <v>801</v>
      </c>
      <c r="C1075" s="970" t="str">
        <f t="shared" si="203"/>
        <v xml:space="preserve"> </v>
      </c>
      <c r="D1075" s="1414">
        <v>2</v>
      </c>
      <c r="E1075" s="980"/>
      <c r="F1075" s="992" t="str">
        <f>VLOOKUP($B1075,DG!A:D,DG!$C$2,)</f>
        <v>Cổ dê Ø 250-Fe 8x100</v>
      </c>
      <c r="G1075" s="980" t="str">
        <f>VLOOKUP($B1075,DG!A:D,DG!$D$2,)</f>
        <v>bộ</v>
      </c>
      <c r="H1075" s="1693">
        <f t="shared" si="211"/>
        <v>0</v>
      </c>
      <c r="I1075" s="1693">
        <f t="shared" si="211"/>
        <v>0</v>
      </c>
      <c r="J1075" s="1693">
        <f t="shared" si="211"/>
        <v>0</v>
      </c>
      <c r="K1075" s="1693">
        <f t="shared" si="211"/>
        <v>0</v>
      </c>
      <c r="L1075" s="1693">
        <f t="shared" si="211"/>
        <v>0</v>
      </c>
      <c r="M1075" s="1693"/>
      <c r="N1075" s="1693"/>
      <c r="O1075" s="1693"/>
      <c r="P1075" s="1693"/>
      <c r="Q1075" s="989"/>
      <c r="R1075" s="989"/>
      <c r="S1075" s="989"/>
      <c r="T1075" s="1862">
        <f t="shared" si="205"/>
        <v>0</v>
      </c>
    </row>
    <row r="1076" spans="1:20" ht="22.2" hidden="1" customHeight="1">
      <c r="A1076" s="1448">
        <f>COUNTIF($C$12:C1076,"x")</f>
        <v>80</v>
      </c>
      <c r="B1076" s="1455" t="s">
        <v>1786</v>
      </c>
      <c r="C1076" s="970" t="str">
        <f t="shared" si="203"/>
        <v xml:space="preserve"> </v>
      </c>
      <c r="D1076" s="1415">
        <v>1</v>
      </c>
      <c r="E1076" s="980"/>
      <c r="F1076" s="992" t="str">
        <f>VLOOKUP($B1076,DG!A:D,DG!$C$2,)</f>
        <v>Boulon 16x50+ 2 long đền vuông D18-50x50x3/Zn</v>
      </c>
      <c r="G1076" s="980" t="str">
        <f>VLOOKUP($B1076,DG!A:D,DG!$D$2,)</f>
        <v>bộ</v>
      </c>
      <c r="H1076" s="1693">
        <f t="shared" si="211"/>
        <v>0</v>
      </c>
      <c r="I1076" s="1693">
        <f t="shared" si="211"/>
        <v>0</v>
      </c>
      <c r="J1076" s="1693">
        <f t="shared" si="211"/>
        <v>0</v>
      </c>
      <c r="K1076" s="1693">
        <f t="shared" si="211"/>
        <v>0</v>
      </c>
      <c r="L1076" s="1693">
        <f t="shared" si="211"/>
        <v>0</v>
      </c>
      <c r="M1076" s="1693"/>
      <c r="N1076" s="1693"/>
      <c r="O1076" s="1693"/>
      <c r="P1076" s="1693"/>
      <c r="Q1076" s="989"/>
      <c r="R1076" s="989"/>
      <c r="S1076" s="989"/>
      <c r="T1076" s="1862">
        <f t="shared" si="205"/>
        <v>0</v>
      </c>
    </row>
    <row r="1077" spans="1:20" ht="22.2" hidden="1" customHeight="1">
      <c r="A1077" s="1448">
        <f>COUNTIF($C$12:C1077,"x")</f>
        <v>80</v>
      </c>
      <c r="B1077" s="1455" t="s">
        <v>802</v>
      </c>
      <c r="C1077" s="970" t="str">
        <f t="shared" si="203"/>
        <v xml:space="preserve"> </v>
      </c>
      <c r="D1077" s="1415">
        <v>8</v>
      </c>
      <c r="E1077" s="980"/>
      <c r="F1077" s="992" t="str">
        <f>VLOOKUP($B1077,DG!A:D,DG!$C$2,)</f>
        <v>Boulon 16x100+ 2 long đền vuông D18-50x50x3/Zn</v>
      </c>
      <c r="G1077" s="980" t="str">
        <f>VLOOKUP($B1077,DG!A:D,DG!$D$2,)</f>
        <v>bộ</v>
      </c>
      <c r="H1077" s="1693">
        <f t="shared" si="211"/>
        <v>0</v>
      </c>
      <c r="I1077" s="1693">
        <f t="shared" si="211"/>
        <v>0</v>
      </c>
      <c r="J1077" s="1693">
        <f t="shared" si="211"/>
        <v>0</v>
      </c>
      <c r="K1077" s="1693">
        <f t="shared" si="211"/>
        <v>0</v>
      </c>
      <c r="L1077" s="1693">
        <f t="shared" si="211"/>
        <v>0</v>
      </c>
      <c r="M1077" s="1693"/>
      <c r="N1077" s="1693"/>
      <c r="O1077" s="1693"/>
      <c r="P1077" s="1693"/>
      <c r="Q1077" s="989"/>
      <c r="R1077" s="989"/>
      <c r="S1077" s="989"/>
      <c r="T1077" s="1862">
        <f t="shared" si="205"/>
        <v>0</v>
      </c>
    </row>
    <row r="1078" spans="1:20" ht="22.2" hidden="1" customHeight="1">
      <c r="A1078" s="1448">
        <f>COUNTIF($C$12:C1078,"x")</f>
        <v>80</v>
      </c>
      <c r="B1078" s="1455" t="s">
        <v>2242</v>
      </c>
      <c r="C1078" s="970" t="str">
        <f t="shared" ref="C1078:C1156" si="212">IF(OR(P1078&lt;&gt;0,H1078&lt;&gt;0),"x"," ")</f>
        <v xml:space="preserve"> </v>
      </c>
      <c r="D1078" s="1415">
        <v>1</v>
      </c>
      <c r="E1078" s="980"/>
      <c r="F1078" s="985" t="str">
        <f>VLOOKUP($B1078,DG!A:D,DG!$C$2,)</f>
        <v>Lắp xà cột Pi loại ≤140kg/xà</v>
      </c>
      <c r="G1078" s="980" t="str">
        <f>VLOOKUP($B1078,DG!A:D,DG!$D$2,)</f>
        <v>bộ</v>
      </c>
      <c r="H1078" s="1693"/>
      <c r="I1078" s="1693"/>
      <c r="J1078" s="1693"/>
      <c r="K1078" s="1693"/>
      <c r="L1078" s="1693"/>
      <c r="M1078" s="1693"/>
      <c r="N1078" s="1693"/>
      <c r="O1078" s="1693"/>
      <c r="P1078" s="1693"/>
      <c r="Q1078" s="989"/>
      <c r="R1078" s="989"/>
      <c r="S1078" s="989"/>
      <c r="T1078" s="1862">
        <f t="shared" si="205"/>
        <v>0</v>
      </c>
    </row>
    <row r="1079" spans="1:20" ht="22.2" hidden="1" customHeight="1">
      <c r="A1079" s="1448">
        <f>COUNTIF($C$12:C1079,"x")</f>
        <v>80</v>
      </c>
      <c r="B1079" s="1455" t="s">
        <v>1996</v>
      </c>
      <c r="C1079" s="970" t="str">
        <f t="shared" si="212"/>
        <v xml:space="preserve"> </v>
      </c>
      <c r="D1079" s="1413">
        <f>D1080</f>
        <v>6.8000000000000005E-2</v>
      </c>
      <c r="E1079" s="980"/>
      <c r="F1079" s="985" t="str">
        <f>VLOOKUP($B1079,DG!A:D,DG!$C$2,)</f>
        <v>Bốc dỡ xà, thép thanh</v>
      </c>
      <c r="G1079" s="980" t="str">
        <f>VLOOKUP($B1079,DG!A:D,DG!$D$2,)</f>
        <v>tấn</v>
      </c>
      <c r="H1079" s="1693"/>
      <c r="I1079" s="1693"/>
      <c r="J1079" s="1693"/>
      <c r="K1079" s="1693"/>
      <c r="L1079" s="1693"/>
      <c r="M1079" s="1693"/>
      <c r="N1079" s="1693"/>
      <c r="O1079" s="1693"/>
      <c r="P1079" s="1693"/>
      <c r="Q1079" s="989"/>
      <c r="R1079" s="989"/>
      <c r="S1079" s="989"/>
      <c r="T1079" s="1862">
        <f t="shared" si="205"/>
        <v>0</v>
      </c>
    </row>
    <row r="1080" spans="1:20" ht="22.2" hidden="1" customHeight="1">
      <c r="A1080" s="1448">
        <f>COUNTIF($C$12:C1080,"x")</f>
        <v>80</v>
      </c>
      <c r="B1080" s="1464" t="s">
        <v>1997</v>
      </c>
      <c r="C1080" s="970" t="str">
        <f t="shared" si="212"/>
        <v xml:space="preserve"> </v>
      </c>
      <c r="D1080" s="1413">
        <f>ROUND(SUM(D1073:D1073)*1.05/1000,3)+ROUND(2*15.14/1000,3)</f>
        <v>6.8000000000000005E-2</v>
      </c>
      <c r="E1080" s="980" t="str">
        <f>VLOOKUP($B1080,DG!A:C,2,)</f>
        <v>02.1361</v>
      </c>
      <c r="F1080" s="985" t="str">
        <f>VLOOKUP($B1080,DG!A:C,3,)</f>
        <v>V/c xà vào vị trí (cư ly &lt;=100m)</v>
      </c>
      <c r="G1080" s="980" t="str">
        <f>VLOOKUP($B1080,DG!A:D,4,0)</f>
        <v>tấn</v>
      </c>
      <c r="H1080" s="1693"/>
      <c r="I1080" s="1693"/>
      <c r="J1080" s="1693"/>
      <c r="K1080" s="1693"/>
      <c r="L1080" s="1693"/>
      <c r="M1080" s="1693"/>
      <c r="N1080" s="1693"/>
      <c r="O1080" s="1693"/>
      <c r="P1080" s="1693"/>
      <c r="Q1080" s="994"/>
      <c r="R1080" s="994"/>
      <c r="S1080" s="994"/>
      <c r="T1080" s="1862">
        <f t="shared" si="205"/>
        <v>0</v>
      </c>
    </row>
    <row r="1081" spans="1:20" ht="22.2" hidden="1" customHeight="1">
      <c r="A1081" s="1448">
        <f>COUNTIF($C$12:C1081,"x")</f>
        <v>80</v>
      </c>
      <c r="B1081" s="1464" t="s">
        <v>635</v>
      </c>
      <c r="C1081" s="970" t="str">
        <f t="shared" si="212"/>
        <v xml:space="preserve"> </v>
      </c>
      <c r="D1081" s="1414">
        <v>0.05</v>
      </c>
      <c r="E1081" s="980" t="str">
        <f>VLOOKUP($B1081,DG!A:C,2,)</f>
        <v>02.1482</v>
      </c>
      <c r="F1081" s="985" t="str">
        <f>VLOOKUP($B1081,DG!A:C,3,)</f>
        <v>V/c dụng cụ thi công vào vị trí (cự ly &lt;=100m)</v>
      </c>
      <c r="G1081" s="980" t="str">
        <f>VLOOKUP($B1081,DG!A:D,4,0)</f>
        <v>tấn</v>
      </c>
      <c r="H1081" s="1693"/>
      <c r="I1081" s="1693"/>
      <c r="J1081" s="1693"/>
      <c r="K1081" s="1693"/>
      <c r="L1081" s="1693"/>
      <c r="M1081" s="1693"/>
      <c r="N1081" s="1693"/>
      <c r="O1081" s="1693"/>
      <c r="P1081" s="1693"/>
      <c r="Q1081" s="994"/>
      <c r="R1081" s="994"/>
      <c r="S1081" s="994"/>
      <c r="T1081" s="1862">
        <f t="shared" si="205"/>
        <v>0</v>
      </c>
    </row>
    <row r="1082" spans="1:20" ht="22.2" hidden="1" customHeight="1">
      <c r="A1082" s="1448">
        <f>COUNTIF($C$12:C1082,"x")</f>
        <v>80</v>
      </c>
      <c r="B1082" s="1452" t="s">
        <v>805</v>
      </c>
      <c r="C1082" s="970" t="str">
        <f t="shared" si="212"/>
        <v xml:space="preserve"> </v>
      </c>
      <c r="D1082" s="1412"/>
      <c r="E1082" s="981"/>
      <c r="F1082" s="1276" t="s">
        <v>2455</v>
      </c>
      <c r="G1082" s="982" t="s">
        <v>2385</v>
      </c>
      <c r="H1082" s="1691">
        <f>SUM(I1082:O1082)</f>
        <v>0</v>
      </c>
      <c r="I1082" s="1692"/>
      <c r="J1082" s="1692"/>
      <c r="K1082" s="1692">
        <f>IFERROR(HLOOKUP(B1082,pp3p1m!$1:$3,2,0),0)</f>
        <v>0</v>
      </c>
      <c r="L1082" s="1692">
        <f>IFERROR(HLOOKUP(chitiet!B1082,pp1p!$1:$3,3,0),0)</f>
        <v>0</v>
      </c>
      <c r="M1082" s="1692"/>
      <c r="N1082" s="1692"/>
      <c r="O1082" s="1692"/>
      <c r="P1082" s="2674">
        <f>T1082</f>
        <v>0</v>
      </c>
      <c r="Q1082" s="983">
        <f>IF(P1082&gt;H1082,P1082-H1082,0)</f>
        <v>0</v>
      </c>
      <c r="R1082" s="983">
        <f>IF(H1082&gt;P1082,H1082-P1082,0)</f>
        <v>0</v>
      </c>
      <c r="S1082" s="983"/>
      <c r="T1082" s="1862">
        <f>IFERROR(HLOOKUP(B1082,pp1p!$1:$3,3,0),0)+IFERROR(HLOOKUP(B1082,pp3p1m!$1:$3,3,0),0)</f>
        <v>0</v>
      </c>
    </row>
    <row r="1083" spans="1:20" ht="22.2" hidden="1" customHeight="1">
      <c r="A1083" s="1448">
        <f>COUNTIF($C$12:C1083,"x")</f>
        <v>80</v>
      </c>
      <c r="B1083" s="1455" t="s">
        <v>109</v>
      </c>
      <c r="C1083" s="970" t="str">
        <f t="shared" si="212"/>
        <v xml:space="preserve"> </v>
      </c>
      <c r="D1083" s="1414">
        <f>9.02*2.3*2</f>
        <v>41.491999999999997</v>
      </c>
      <c r="E1083" s="980"/>
      <c r="F1083" s="992" t="str">
        <f>VLOOKUP($B1083,DG!A:D,DG!$C$2,)</f>
        <v>Sắt góc L75 x75 x8</v>
      </c>
      <c r="G1083" s="980" t="str">
        <f>VLOOKUP($B1083,DG!A:D,DG!$D$2,)</f>
        <v>kg</v>
      </c>
      <c r="H1083" s="1693">
        <f t="shared" ref="H1083:L1087" si="213">H$1082*$D1083</f>
        <v>0</v>
      </c>
      <c r="I1083" s="1693">
        <f t="shared" si="213"/>
        <v>0</v>
      </c>
      <c r="J1083" s="1693">
        <f t="shared" si="213"/>
        <v>0</v>
      </c>
      <c r="K1083" s="1693">
        <f t="shared" si="213"/>
        <v>0</v>
      </c>
      <c r="L1083" s="1693">
        <f t="shared" si="213"/>
        <v>0</v>
      </c>
      <c r="M1083" s="1693"/>
      <c r="N1083" s="1693"/>
      <c r="O1083" s="1693"/>
      <c r="P1083" s="1693"/>
      <c r="Q1083" s="989"/>
      <c r="R1083" s="989"/>
      <c r="S1083" s="989"/>
      <c r="T1083" s="1862">
        <f t="shared" si="205"/>
        <v>0</v>
      </c>
    </row>
    <row r="1084" spans="1:20" ht="22.2" hidden="1" customHeight="1">
      <c r="A1084" s="1448">
        <f>COUNTIF($C$12:C1084,"x")</f>
        <v>80</v>
      </c>
      <c r="B1084" s="1455" t="s">
        <v>2226</v>
      </c>
      <c r="C1084" s="970" t="str">
        <f t="shared" si="212"/>
        <v xml:space="preserve"> </v>
      </c>
      <c r="D1084" s="1414">
        <v>3.5</v>
      </c>
      <c r="E1084" s="980"/>
      <c r="F1084" s="992" t="str">
        <f>VLOOKUP($B1084,DG!A:D,DG!$C$2,)</f>
        <v>Ê KE 5x300x300\Zn</v>
      </c>
      <c r="G1084" s="980" t="str">
        <f>VLOOKUP($B1084,DG!A:D,DG!$D$2,)</f>
        <v>kg</v>
      </c>
      <c r="H1084" s="1693">
        <f t="shared" si="213"/>
        <v>0</v>
      </c>
      <c r="I1084" s="1693">
        <f t="shared" si="213"/>
        <v>0</v>
      </c>
      <c r="J1084" s="1693">
        <f t="shared" si="213"/>
        <v>0</v>
      </c>
      <c r="K1084" s="1693">
        <f t="shared" si="213"/>
        <v>0</v>
      </c>
      <c r="L1084" s="1693">
        <f t="shared" si="213"/>
        <v>0</v>
      </c>
      <c r="M1084" s="1693"/>
      <c r="N1084" s="1693"/>
      <c r="O1084" s="1693"/>
      <c r="P1084" s="1693"/>
      <c r="Q1084" s="989"/>
      <c r="R1084" s="989"/>
      <c r="S1084" s="989"/>
      <c r="T1084" s="1862">
        <f t="shared" ref="T1084:T1148" si="214">IFERROR(HLOOKUP(B1084,BangKeTru,3,0),0)</f>
        <v>0</v>
      </c>
    </row>
    <row r="1085" spans="1:20" ht="22.2" hidden="1" customHeight="1">
      <c r="A1085" s="1448">
        <f>COUNTIF($C$12:C1085,"x")</f>
        <v>80</v>
      </c>
      <c r="B1085" s="1455" t="s">
        <v>801</v>
      </c>
      <c r="C1085" s="970" t="str">
        <f t="shared" si="212"/>
        <v xml:space="preserve"> </v>
      </c>
      <c r="D1085" s="1415">
        <v>4</v>
      </c>
      <c r="E1085" s="980"/>
      <c r="F1085" s="992" t="str">
        <f>VLOOKUP($B1085,DG!A:D,DG!$C$2,)</f>
        <v>Cổ dê Ø 250-Fe 8x100</v>
      </c>
      <c r="G1085" s="980" t="str">
        <f>VLOOKUP($B1085,DG!A:D,DG!$D$2,)</f>
        <v>bộ</v>
      </c>
      <c r="H1085" s="1693">
        <f t="shared" si="213"/>
        <v>0</v>
      </c>
      <c r="I1085" s="1693">
        <f t="shared" si="213"/>
        <v>0</v>
      </c>
      <c r="J1085" s="1693">
        <f t="shared" si="213"/>
        <v>0</v>
      </c>
      <c r="K1085" s="1693">
        <f t="shared" si="213"/>
        <v>0</v>
      </c>
      <c r="L1085" s="1693">
        <f t="shared" si="213"/>
        <v>0</v>
      </c>
      <c r="M1085" s="1693"/>
      <c r="N1085" s="1693"/>
      <c r="O1085" s="1693"/>
      <c r="P1085" s="1693"/>
      <c r="Q1085" s="989"/>
      <c r="R1085" s="989"/>
      <c r="S1085" s="989"/>
      <c r="T1085" s="1862">
        <f t="shared" si="214"/>
        <v>0</v>
      </c>
    </row>
    <row r="1086" spans="1:20" ht="22.2" hidden="1" customHeight="1">
      <c r="A1086" s="1448">
        <f>COUNTIF($C$12:C1086,"x")</f>
        <v>80</v>
      </c>
      <c r="B1086" s="1455" t="s">
        <v>1786</v>
      </c>
      <c r="C1086" s="970" t="str">
        <f t="shared" si="212"/>
        <v xml:space="preserve"> </v>
      </c>
      <c r="D1086" s="1415">
        <v>5</v>
      </c>
      <c r="E1086" s="980"/>
      <c r="F1086" s="992" t="str">
        <f>VLOOKUP($B1086,DG!A:D,DG!$C$2,)</f>
        <v>Boulon 16x50+ 2 long đền vuông D18-50x50x3/Zn</v>
      </c>
      <c r="G1086" s="980" t="str">
        <f>VLOOKUP($B1086,DG!A:D,DG!$D$2,)</f>
        <v>bộ</v>
      </c>
      <c r="H1086" s="1693">
        <f t="shared" si="213"/>
        <v>0</v>
      </c>
      <c r="I1086" s="1693">
        <f t="shared" si="213"/>
        <v>0</v>
      </c>
      <c r="J1086" s="1693">
        <f t="shared" si="213"/>
        <v>0</v>
      </c>
      <c r="K1086" s="1693">
        <f t="shared" si="213"/>
        <v>0</v>
      </c>
      <c r="L1086" s="1693">
        <f t="shared" si="213"/>
        <v>0</v>
      </c>
      <c r="M1086" s="1693"/>
      <c r="N1086" s="1693"/>
      <c r="O1086" s="1693"/>
      <c r="P1086" s="1693"/>
      <c r="Q1086" s="989"/>
      <c r="R1086" s="989"/>
      <c r="S1086" s="989"/>
      <c r="T1086" s="1862">
        <f t="shared" si="214"/>
        <v>0</v>
      </c>
    </row>
    <row r="1087" spans="1:20" ht="22.2" hidden="1" customHeight="1">
      <c r="A1087" s="1448">
        <f>COUNTIF($C$12:C1087,"x")</f>
        <v>80</v>
      </c>
      <c r="B1087" s="1455" t="s">
        <v>802</v>
      </c>
      <c r="C1087" s="970" t="str">
        <f t="shared" si="212"/>
        <v xml:space="preserve"> </v>
      </c>
      <c r="D1087" s="1415">
        <v>8</v>
      </c>
      <c r="E1087" s="980"/>
      <c r="F1087" s="992" t="str">
        <f>VLOOKUP($B1087,DG!A:D,DG!$C$2,)</f>
        <v>Boulon 16x100+ 2 long đền vuông D18-50x50x3/Zn</v>
      </c>
      <c r="G1087" s="980" t="str">
        <f>VLOOKUP($B1087,DG!A:D,DG!$D$2,)</f>
        <v>bộ</v>
      </c>
      <c r="H1087" s="1693">
        <f t="shared" si="213"/>
        <v>0</v>
      </c>
      <c r="I1087" s="1693">
        <f t="shared" si="213"/>
        <v>0</v>
      </c>
      <c r="J1087" s="1693">
        <f t="shared" si="213"/>
        <v>0</v>
      </c>
      <c r="K1087" s="1693">
        <f t="shared" si="213"/>
        <v>0</v>
      </c>
      <c r="L1087" s="1693">
        <f t="shared" si="213"/>
        <v>0</v>
      </c>
      <c r="M1087" s="1693"/>
      <c r="N1087" s="1693"/>
      <c r="O1087" s="1693"/>
      <c r="P1087" s="1693"/>
      <c r="Q1087" s="989"/>
      <c r="R1087" s="989"/>
      <c r="S1087" s="989"/>
      <c r="T1087" s="1862">
        <f t="shared" si="214"/>
        <v>0</v>
      </c>
    </row>
    <row r="1088" spans="1:20" ht="22.2" hidden="1" customHeight="1">
      <c r="A1088" s="1448">
        <f>COUNTIF($C$12:C1088,"x")</f>
        <v>80</v>
      </c>
      <c r="B1088" s="1455" t="s">
        <v>2242</v>
      </c>
      <c r="C1088" s="970" t="str">
        <f t="shared" si="212"/>
        <v xml:space="preserve"> </v>
      </c>
      <c r="D1088" s="1415">
        <v>1</v>
      </c>
      <c r="E1088" s="980"/>
      <c r="F1088" s="985" t="str">
        <f>VLOOKUP($B1088,DG!A:D,DG!$C$2,)</f>
        <v>Lắp xà cột Pi loại ≤140kg/xà</v>
      </c>
      <c r="G1088" s="980" t="str">
        <f>VLOOKUP($B1088,DG!A:D,DG!$D$2,)</f>
        <v>bộ</v>
      </c>
      <c r="H1088" s="1693"/>
      <c r="I1088" s="1693"/>
      <c r="J1088" s="1693"/>
      <c r="K1088" s="1693"/>
      <c r="L1088" s="1693"/>
      <c r="M1088" s="1693"/>
      <c r="N1088" s="1693"/>
      <c r="O1088" s="1693"/>
      <c r="P1088" s="1693"/>
      <c r="Q1088" s="989"/>
      <c r="R1088" s="989"/>
      <c r="S1088" s="989"/>
      <c r="T1088" s="1862">
        <f t="shared" si="214"/>
        <v>0</v>
      </c>
    </row>
    <row r="1089" spans="1:20" ht="22.2" hidden="1" customHeight="1">
      <c r="A1089" s="1448">
        <f>COUNTIF($C$12:C1089,"x")</f>
        <v>80</v>
      </c>
      <c r="B1089" s="1455" t="s">
        <v>1996</v>
      </c>
      <c r="C1089" s="970" t="str">
        <f t="shared" si="212"/>
        <v xml:space="preserve"> </v>
      </c>
      <c r="D1089" s="1413">
        <f>D1090</f>
        <v>7.7499999999999999E-2</v>
      </c>
      <c r="E1089" s="980"/>
      <c r="F1089" s="985" t="str">
        <f>VLOOKUP($B1089,DG!A:D,DG!$C$2,)</f>
        <v>Bốc dỡ xà, thép thanh</v>
      </c>
      <c r="G1089" s="980" t="str">
        <f>VLOOKUP($B1089,DG!A:D,DG!$D$2,)</f>
        <v>tấn</v>
      </c>
      <c r="H1089" s="1693"/>
      <c r="I1089" s="1693"/>
      <c r="J1089" s="1693"/>
      <c r="K1089" s="1693"/>
      <c r="L1089" s="1693"/>
      <c r="M1089" s="1693"/>
      <c r="N1089" s="1693"/>
      <c r="O1089" s="1693"/>
      <c r="P1089" s="1693"/>
      <c r="Q1089" s="989"/>
      <c r="R1089" s="989"/>
      <c r="S1089" s="989"/>
      <c r="T1089" s="1862">
        <f t="shared" si="214"/>
        <v>0</v>
      </c>
    </row>
    <row r="1090" spans="1:20" ht="22.2" hidden="1" customHeight="1">
      <c r="A1090" s="1448">
        <f>COUNTIF($C$12:C1090,"x")</f>
        <v>80</v>
      </c>
      <c r="B1090" s="1464" t="s">
        <v>1997</v>
      </c>
      <c r="C1090" s="970" t="str">
        <f t="shared" si="212"/>
        <v xml:space="preserve"> </v>
      </c>
      <c r="D1090" s="1413">
        <f>ROUND(SUM(D1083:D1083)*1.05/1000,3)+ROUND(2*15.14/1000,3)+D1084/1000</f>
        <v>7.7499999999999999E-2</v>
      </c>
      <c r="E1090" s="980" t="str">
        <f>VLOOKUP($B1090,DG!A:C,2,)</f>
        <v>02.1361</v>
      </c>
      <c r="F1090" s="985" t="str">
        <f>VLOOKUP($B1090,DG!A:C,3,)</f>
        <v>V/c xà vào vị trí (cư ly &lt;=100m)</v>
      </c>
      <c r="G1090" s="980" t="str">
        <f>VLOOKUP($B1090,DG!A:D,4,0)</f>
        <v>tấn</v>
      </c>
      <c r="H1090" s="1693"/>
      <c r="I1090" s="1693"/>
      <c r="J1090" s="1693"/>
      <c r="K1090" s="1693"/>
      <c r="L1090" s="1693"/>
      <c r="M1090" s="1693"/>
      <c r="N1090" s="1693"/>
      <c r="O1090" s="1693"/>
      <c r="P1090" s="1693"/>
      <c r="Q1090" s="994"/>
      <c r="R1090" s="994"/>
      <c r="S1090" s="994"/>
      <c r="T1090" s="1862">
        <f t="shared" si="214"/>
        <v>0</v>
      </c>
    </row>
    <row r="1091" spans="1:20" ht="22.2" hidden="1" customHeight="1">
      <c r="A1091" s="1448">
        <f>COUNTIF($C$12:C1091,"x")</f>
        <v>80</v>
      </c>
      <c r="B1091" s="1464" t="s">
        <v>635</v>
      </c>
      <c r="C1091" s="970" t="str">
        <f t="shared" si="212"/>
        <v xml:space="preserve"> </v>
      </c>
      <c r="D1091" s="1414">
        <v>0.05</v>
      </c>
      <c r="E1091" s="980" t="str">
        <f>VLOOKUP($B1091,DG!A:C,2,)</f>
        <v>02.1482</v>
      </c>
      <c r="F1091" s="985" t="str">
        <f>VLOOKUP($B1091,DG!A:C,3,)</f>
        <v>V/c dụng cụ thi công vào vị trí (cự ly &lt;=100m)</v>
      </c>
      <c r="G1091" s="980" t="str">
        <f>VLOOKUP($B1091,DG!A:D,4,0)</f>
        <v>tấn</v>
      </c>
      <c r="H1091" s="1693"/>
      <c r="I1091" s="1693"/>
      <c r="J1091" s="1693"/>
      <c r="K1091" s="1693"/>
      <c r="L1091" s="1693"/>
      <c r="M1091" s="1693"/>
      <c r="N1091" s="1693"/>
      <c r="O1091" s="1693"/>
      <c r="P1091" s="1693"/>
      <c r="Q1091" s="994"/>
      <c r="R1091" s="994"/>
      <c r="S1091" s="994"/>
      <c r="T1091" s="1862">
        <f t="shared" si="214"/>
        <v>0</v>
      </c>
    </row>
    <row r="1092" spans="1:20" ht="22.2" hidden="1" customHeight="1">
      <c r="A1092" s="1448">
        <f>COUNTIF($C$12:C1092,"x")</f>
        <v>80</v>
      </c>
      <c r="B1092" s="1452" t="s">
        <v>1566</v>
      </c>
      <c r="C1092" s="970" t="str">
        <f t="shared" si="212"/>
        <v xml:space="preserve"> </v>
      </c>
      <c r="D1092" s="1412"/>
      <c r="E1092" s="981"/>
      <c r="F1092" s="1276" t="s">
        <v>2456</v>
      </c>
      <c r="G1092" s="982" t="s">
        <v>2385</v>
      </c>
      <c r="H1092" s="1691">
        <f>SUM(I1092:O1092)</f>
        <v>0</v>
      </c>
      <c r="I1092" s="1692"/>
      <c r="J1092" s="1692"/>
      <c r="K1092" s="1692">
        <f>IFERROR(HLOOKUP(B1092,pp3p1m!$1:$3,2,0),0)</f>
        <v>0</v>
      </c>
      <c r="L1092" s="1692">
        <f>IFERROR(HLOOKUP(chitiet!B1092,pp1p!$1:$3,3,0),0)</f>
        <v>0</v>
      </c>
      <c r="M1092" s="1692"/>
      <c r="N1092" s="1692"/>
      <c r="O1092" s="1692"/>
      <c r="P1092" s="2674">
        <f>T1092</f>
        <v>0</v>
      </c>
      <c r="Q1092" s="983">
        <f>IF(P1092&gt;H1092,P1092-H1092,0)</f>
        <v>0</v>
      </c>
      <c r="R1092" s="983">
        <f>IF(H1092&gt;P1092,H1092-P1092,0)</f>
        <v>0</v>
      </c>
      <c r="S1092" s="983"/>
      <c r="T1092" s="1862">
        <f>IFERROR(HLOOKUP(B1092,pp1p!$1:$3,3,0),0)+IFERROR(HLOOKUP(B1092,pp3p1m!$1:$3,3,0),0)</f>
        <v>0</v>
      </c>
    </row>
    <row r="1093" spans="1:20" ht="22.2" hidden="1" customHeight="1">
      <c r="A1093" s="1448">
        <f>COUNTIF($C$12:C1093,"x")</f>
        <v>80</v>
      </c>
      <c r="B1093" s="1455" t="s">
        <v>457</v>
      </c>
      <c r="C1093" s="970" t="str">
        <f t="shared" si="212"/>
        <v xml:space="preserve"> </v>
      </c>
      <c r="D1093" s="1414">
        <f>3.77*(0.72)*4</f>
        <v>10.8576</v>
      </c>
      <c r="E1093" s="980"/>
      <c r="F1093" s="992" t="str">
        <f>VLOOKUP($B1093,DG!A:D,DG!$C$2,)</f>
        <v>Sắt góc L50 x50 x5</v>
      </c>
      <c r="G1093" s="980" t="str">
        <f>VLOOKUP($B1093,DG!A:D,DG!$D$2,)</f>
        <v>kg</v>
      </c>
      <c r="H1093" s="1693">
        <f t="shared" ref="H1093:L1095" si="215">H$1092*$D1093</f>
        <v>0</v>
      </c>
      <c r="I1093" s="1693">
        <f t="shared" si="215"/>
        <v>0</v>
      </c>
      <c r="J1093" s="1693">
        <f t="shared" si="215"/>
        <v>0</v>
      </c>
      <c r="K1093" s="1693">
        <f t="shared" si="215"/>
        <v>0</v>
      </c>
      <c r="L1093" s="1693">
        <f t="shared" si="215"/>
        <v>0</v>
      </c>
      <c r="M1093" s="1693"/>
      <c r="N1093" s="1693"/>
      <c r="O1093" s="1693"/>
      <c r="P1093" s="1693"/>
      <c r="Q1093" s="989"/>
      <c r="R1093" s="989"/>
      <c r="S1093" s="989"/>
      <c r="T1093" s="1862">
        <f t="shared" si="214"/>
        <v>0</v>
      </c>
    </row>
    <row r="1094" spans="1:20" ht="22.2" hidden="1" customHeight="1">
      <c r="A1094" s="1448">
        <f>COUNTIF($C$12:C1094,"x")</f>
        <v>80</v>
      </c>
      <c r="B1094" s="1455" t="s">
        <v>1079</v>
      </c>
      <c r="C1094" s="970" t="str">
        <f t="shared" si="212"/>
        <v xml:space="preserve"> </v>
      </c>
      <c r="D1094" s="1415">
        <v>4</v>
      </c>
      <c r="E1094" s="980"/>
      <c r="F1094" s="992" t="str">
        <f>VLOOKUP($B1094,DG!A:D,DG!$C$2,)</f>
        <v>Boulon 16x350+ 2 long đền vuông D18-50x50x3/Zn</v>
      </c>
      <c r="G1094" s="980" t="str">
        <f>VLOOKUP($B1094,DG!A:D,DG!$D$2,)</f>
        <v>bộ</v>
      </c>
      <c r="H1094" s="1693">
        <f t="shared" si="215"/>
        <v>0</v>
      </c>
      <c r="I1094" s="1693">
        <f t="shared" si="215"/>
        <v>0</v>
      </c>
      <c r="J1094" s="1693">
        <f t="shared" si="215"/>
        <v>0</v>
      </c>
      <c r="K1094" s="1693">
        <f t="shared" si="215"/>
        <v>0</v>
      </c>
      <c r="L1094" s="1693">
        <f t="shared" si="215"/>
        <v>0</v>
      </c>
      <c r="M1094" s="1693"/>
      <c r="N1094" s="1693"/>
      <c r="O1094" s="1693"/>
      <c r="P1094" s="1693"/>
      <c r="Q1094" s="989"/>
      <c r="R1094" s="989"/>
      <c r="S1094" s="989"/>
      <c r="T1094" s="1862">
        <f t="shared" si="214"/>
        <v>0</v>
      </c>
    </row>
    <row r="1095" spans="1:20" ht="22.2" hidden="1" customHeight="1">
      <c r="A1095" s="1448">
        <f>COUNTIF($C$12:C1095,"x")</f>
        <v>80</v>
      </c>
      <c r="B1095" s="1455" t="s">
        <v>1786</v>
      </c>
      <c r="C1095" s="970" t="str">
        <f t="shared" si="212"/>
        <v xml:space="preserve"> </v>
      </c>
      <c r="D1095" s="1415">
        <v>2</v>
      </c>
      <c r="E1095" s="980"/>
      <c r="F1095" s="992" t="str">
        <f>VLOOKUP($B1095,DG!A:D,DG!$C$2,)</f>
        <v>Boulon 16x50+ 2 long đền vuông D18-50x50x3/Zn</v>
      </c>
      <c r="G1095" s="980" t="str">
        <f>VLOOKUP($B1095,DG!A:D,DG!$D$2,)</f>
        <v>bộ</v>
      </c>
      <c r="H1095" s="1693">
        <f t="shared" si="215"/>
        <v>0</v>
      </c>
      <c r="I1095" s="1693">
        <f t="shared" si="215"/>
        <v>0</v>
      </c>
      <c r="J1095" s="1693">
        <f t="shared" si="215"/>
        <v>0</v>
      </c>
      <c r="K1095" s="1693">
        <f t="shared" si="215"/>
        <v>0</v>
      </c>
      <c r="L1095" s="1693">
        <f t="shared" si="215"/>
        <v>0</v>
      </c>
      <c r="M1095" s="1693"/>
      <c r="N1095" s="1693"/>
      <c r="O1095" s="1693"/>
      <c r="P1095" s="1693"/>
      <c r="Q1095" s="989"/>
      <c r="R1095" s="989"/>
      <c r="S1095" s="989"/>
      <c r="T1095" s="1862">
        <f t="shared" si="214"/>
        <v>0</v>
      </c>
    </row>
    <row r="1096" spans="1:20" ht="22.2" hidden="1" customHeight="1">
      <c r="A1096" s="1448">
        <f>COUNTIF($C$12:C1096,"x")</f>
        <v>80</v>
      </c>
      <c r="B1096" s="1455" t="s">
        <v>1995</v>
      </c>
      <c r="C1096" s="970" t="str">
        <f t="shared" si="212"/>
        <v xml:space="preserve"> </v>
      </c>
      <c r="D1096" s="1415">
        <v>1</v>
      </c>
      <c r="E1096" s="980"/>
      <c r="F1096" s="985" t="str">
        <f>VLOOKUP($B1096,DG!A:D,DG!$C$2,)</f>
        <v>Lắp xà đỡ ≤ 25kg</v>
      </c>
      <c r="G1096" s="980" t="str">
        <f>VLOOKUP($B1096,DG!A:D,DG!$D$2,)</f>
        <v>bộ</v>
      </c>
      <c r="H1096" s="1693"/>
      <c r="I1096" s="1693"/>
      <c r="J1096" s="1693"/>
      <c r="K1096" s="1693"/>
      <c r="L1096" s="1693"/>
      <c r="M1096" s="1693"/>
      <c r="N1096" s="1693"/>
      <c r="O1096" s="1693"/>
      <c r="P1096" s="1693"/>
      <c r="Q1096" s="989"/>
      <c r="R1096" s="989"/>
      <c r="S1096" s="989"/>
      <c r="T1096" s="1862">
        <f t="shared" si="214"/>
        <v>0</v>
      </c>
    </row>
    <row r="1097" spans="1:20" ht="22.2" hidden="1" customHeight="1">
      <c r="A1097" s="1448">
        <f>COUNTIF($C$12:C1097,"x")</f>
        <v>80</v>
      </c>
      <c r="B1097" s="1455" t="s">
        <v>1996</v>
      </c>
      <c r="C1097" s="970" t="str">
        <f t="shared" si="212"/>
        <v xml:space="preserve"> </v>
      </c>
      <c r="D1097" s="1413"/>
      <c r="E1097" s="980"/>
      <c r="F1097" s="985" t="str">
        <f>VLOOKUP($B1097,DG!A:D,DG!$C$2,)</f>
        <v>Bốc dỡ xà, thép thanh</v>
      </c>
      <c r="G1097" s="980" t="str">
        <f>VLOOKUP($B1097,DG!A:D,DG!$D$2,)</f>
        <v>tấn</v>
      </c>
      <c r="H1097" s="1693"/>
      <c r="I1097" s="1693"/>
      <c r="J1097" s="1693"/>
      <c r="K1097" s="1693"/>
      <c r="L1097" s="1693"/>
      <c r="M1097" s="1693"/>
      <c r="N1097" s="1693"/>
      <c r="O1097" s="1693"/>
      <c r="P1097" s="1693"/>
      <c r="Q1097" s="989"/>
      <c r="R1097" s="989"/>
      <c r="S1097" s="989"/>
      <c r="T1097" s="1862">
        <f t="shared" si="214"/>
        <v>0</v>
      </c>
    </row>
    <row r="1098" spans="1:20" ht="22.2" hidden="1" customHeight="1">
      <c r="A1098" s="1448">
        <f>COUNTIF($C$12:C1098,"x")</f>
        <v>80</v>
      </c>
      <c r="B1098" s="1464" t="s">
        <v>1997</v>
      </c>
      <c r="C1098" s="970" t="str">
        <f t="shared" si="212"/>
        <v xml:space="preserve"> </v>
      </c>
      <c r="D1098" s="1413"/>
      <c r="E1098" s="980" t="str">
        <f>VLOOKUP($B1098,DG!A:C,2,)</f>
        <v>02.1361</v>
      </c>
      <c r="F1098" s="985" t="str">
        <f>VLOOKUP($B1098,DG!A:C,3,)</f>
        <v>V/c xà vào vị trí (cư ly &lt;=100m)</v>
      </c>
      <c r="G1098" s="980" t="str">
        <f>VLOOKUP($B1098,DG!A:D,4,0)</f>
        <v>tấn</v>
      </c>
      <c r="H1098" s="1693"/>
      <c r="I1098" s="1693"/>
      <c r="J1098" s="1693"/>
      <c r="K1098" s="1693"/>
      <c r="L1098" s="1693"/>
      <c r="M1098" s="1693"/>
      <c r="N1098" s="1693"/>
      <c r="O1098" s="1693"/>
      <c r="P1098" s="1693"/>
      <c r="Q1098" s="994"/>
      <c r="R1098" s="994"/>
      <c r="S1098" s="994"/>
      <c r="T1098" s="1862">
        <f t="shared" si="214"/>
        <v>0</v>
      </c>
    </row>
    <row r="1099" spans="1:20" ht="22.2" hidden="1" customHeight="1">
      <c r="A1099" s="1448">
        <f>COUNTIF($C$12:C1099,"x")</f>
        <v>80</v>
      </c>
      <c r="B1099" s="1464" t="s">
        <v>635</v>
      </c>
      <c r="C1099" s="970" t="str">
        <f t="shared" si="212"/>
        <v xml:space="preserve"> </v>
      </c>
      <c r="D1099" s="1414"/>
      <c r="E1099" s="980" t="str">
        <f>VLOOKUP($B1099,DG!A:C,2,)</f>
        <v>02.1482</v>
      </c>
      <c r="F1099" s="985" t="str">
        <f>VLOOKUP($B1099,DG!A:C,3,)</f>
        <v>V/c dụng cụ thi công vào vị trí (cự ly &lt;=100m)</v>
      </c>
      <c r="G1099" s="980" t="str">
        <f>VLOOKUP($B1099,DG!A:D,4,0)</f>
        <v>tấn</v>
      </c>
      <c r="H1099" s="1693"/>
      <c r="I1099" s="1693"/>
      <c r="J1099" s="1693"/>
      <c r="K1099" s="1693"/>
      <c r="L1099" s="1693"/>
      <c r="M1099" s="1693"/>
      <c r="N1099" s="1693"/>
      <c r="O1099" s="1693"/>
      <c r="P1099" s="1693"/>
      <c r="Q1099" s="994"/>
      <c r="R1099" s="994"/>
      <c r="S1099" s="994"/>
      <c r="T1099" s="1862">
        <f t="shared" si="214"/>
        <v>0</v>
      </c>
    </row>
    <row r="1100" spans="1:20" ht="22.2" hidden="1" customHeight="1">
      <c r="A1100" s="1448">
        <f>COUNTIF($C$12:C1100,"x")</f>
        <v>80</v>
      </c>
      <c r="B1100" s="1452" t="s">
        <v>1195</v>
      </c>
      <c r="C1100" s="970" t="str">
        <f t="shared" si="212"/>
        <v xml:space="preserve"> </v>
      </c>
      <c r="D1100" s="1412"/>
      <c r="E1100" s="981"/>
      <c r="F1100" s="1276" t="s">
        <v>2457</v>
      </c>
      <c r="G1100" s="982" t="s">
        <v>2385</v>
      </c>
      <c r="H1100" s="1691">
        <f>SUM(I1100:O1100)</f>
        <v>0</v>
      </c>
      <c r="I1100" s="1692"/>
      <c r="J1100" s="1692"/>
      <c r="K1100" s="1692">
        <f>IFERROR(HLOOKUP(B1100,pp3p1m!$1:$3,2,0),0)</f>
        <v>0</v>
      </c>
      <c r="L1100" s="1692">
        <f>IFERROR(HLOOKUP(chitiet!B1100,pp1p!$1:$3,3,0),0)</f>
        <v>0</v>
      </c>
      <c r="M1100" s="1692"/>
      <c r="N1100" s="1692"/>
      <c r="O1100" s="1692"/>
      <c r="P1100" s="2674">
        <f>T1100</f>
        <v>0</v>
      </c>
      <c r="Q1100" s="983">
        <f>IF(P1100&gt;H1100,P1100-H1100,0)</f>
        <v>0</v>
      </c>
      <c r="R1100" s="983">
        <f>IF(H1100&gt;P1100,H1100-P1100,0)</f>
        <v>0</v>
      </c>
      <c r="S1100" s="983"/>
      <c r="T1100" s="1862">
        <f>IFERROR(HLOOKUP(B1100,pp1p!$1:$3,3,0),0)+IFERROR(HLOOKUP(B1100,pp3p1m!$1:$3,3,0),0)</f>
        <v>0</v>
      </c>
    </row>
    <row r="1101" spans="1:20" ht="22.2" hidden="1" customHeight="1">
      <c r="A1101" s="1448">
        <f>COUNTIF($C$12:C1101,"x")</f>
        <v>80</v>
      </c>
      <c r="B1101" s="1455" t="s">
        <v>1738</v>
      </c>
      <c r="C1101" s="970" t="str">
        <f t="shared" si="212"/>
        <v xml:space="preserve"> </v>
      </c>
      <c r="D1101" s="1415">
        <v>2</v>
      </c>
      <c r="E1101" s="980"/>
      <c r="F1101" s="992" t="str">
        <f>VLOOKUP($B1101,DG!A:D,DG!$C$2,)</f>
        <v>Cổ dê  Ø 240-Fe 8x100</v>
      </c>
      <c r="G1101" s="980" t="str">
        <f>VLOOKUP($B1101,DG!A:D,DG!$D$2,)</f>
        <v>bộ</v>
      </c>
      <c r="H1101" s="1693">
        <f t="shared" ref="H1101:L1102" si="216">H$1100*$D1101</f>
        <v>0</v>
      </c>
      <c r="I1101" s="1693">
        <f t="shared" si="216"/>
        <v>0</v>
      </c>
      <c r="J1101" s="1693">
        <f t="shared" si="216"/>
        <v>0</v>
      </c>
      <c r="K1101" s="1693">
        <f t="shared" si="216"/>
        <v>0</v>
      </c>
      <c r="L1101" s="1693">
        <f t="shared" si="216"/>
        <v>0</v>
      </c>
      <c r="M1101" s="1693"/>
      <c r="N1101" s="1693"/>
      <c r="O1101" s="1693"/>
      <c r="P1101" s="1693"/>
      <c r="Q1101" s="989"/>
      <c r="R1101" s="989"/>
      <c r="S1101" s="989"/>
      <c r="T1101" s="1862">
        <f t="shared" si="214"/>
        <v>0</v>
      </c>
    </row>
    <row r="1102" spans="1:20" ht="22.2" hidden="1" customHeight="1">
      <c r="A1102" s="1448">
        <f>COUNTIF($C$12:C1102,"x")</f>
        <v>80</v>
      </c>
      <c r="B1102" s="1455" t="s">
        <v>802</v>
      </c>
      <c r="C1102" s="970" t="str">
        <f t="shared" si="212"/>
        <v xml:space="preserve"> </v>
      </c>
      <c r="D1102" s="1415">
        <v>2</v>
      </c>
      <c r="E1102" s="980"/>
      <c r="F1102" s="992" t="str">
        <f>VLOOKUP($B1102,DG!A:D,DG!$C$2,)</f>
        <v>Boulon 16x100+ 2 long đền vuông D18-50x50x3/Zn</v>
      </c>
      <c r="G1102" s="980" t="str">
        <f>VLOOKUP($B1102,DG!A:D,DG!$D$2,)</f>
        <v>bộ</v>
      </c>
      <c r="H1102" s="1693">
        <f t="shared" si="216"/>
        <v>0</v>
      </c>
      <c r="I1102" s="1693">
        <f t="shared" si="216"/>
        <v>0</v>
      </c>
      <c r="J1102" s="1693">
        <f t="shared" si="216"/>
        <v>0</v>
      </c>
      <c r="K1102" s="1693">
        <f t="shared" si="216"/>
        <v>0</v>
      </c>
      <c r="L1102" s="1693">
        <f t="shared" si="216"/>
        <v>0</v>
      </c>
      <c r="M1102" s="1693"/>
      <c r="N1102" s="1693"/>
      <c r="O1102" s="1693"/>
      <c r="P1102" s="1693"/>
      <c r="Q1102" s="989"/>
      <c r="R1102" s="989"/>
      <c r="S1102" s="989"/>
      <c r="T1102" s="1862">
        <f t="shared" si="214"/>
        <v>0</v>
      </c>
    </row>
    <row r="1103" spans="1:20" ht="22.2" hidden="1" customHeight="1">
      <c r="A1103" s="1448">
        <f>COUNTIF($C$12:C1103,"x")</f>
        <v>80</v>
      </c>
      <c r="B1103" s="1455" t="s">
        <v>1995</v>
      </c>
      <c r="C1103" s="970" t="str">
        <f t="shared" si="212"/>
        <v xml:space="preserve"> </v>
      </c>
      <c r="D1103" s="1415">
        <v>1</v>
      </c>
      <c r="E1103" s="980"/>
      <c r="F1103" s="985" t="str">
        <f>VLOOKUP($B1103,DG!A:D,DG!$C$2,)</f>
        <v>Lắp xà đỡ ≤ 25kg</v>
      </c>
      <c r="G1103" s="980" t="str">
        <f>VLOOKUP($B1103,DG!A:D,DG!$D$2,)</f>
        <v>bộ</v>
      </c>
      <c r="H1103" s="1693"/>
      <c r="I1103" s="1693"/>
      <c r="J1103" s="1693"/>
      <c r="K1103" s="1693"/>
      <c r="L1103" s="1693"/>
      <c r="M1103" s="1693"/>
      <c r="N1103" s="1693"/>
      <c r="O1103" s="1693"/>
      <c r="P1103" s="1693"/>
      <c r="Q1103" s="989"/>
      <c r="R1103" s="989"/>
      <c r="S1103" s="989"/>
      <c r="T1103" s="1862">
        <f t="shared" si="214"/>
        <v>0</v>
      </c>
    </row>
    <row r="1104" spans="1:20" ht="22.2" hidden="1" customHeight="1">
      <c r="A1104" s="1448">
        <f>COUNTIF($C$12:C1104,"x")</f>
        <v>80</v>
      </c>
      <c r="B1104" s="1455" t="s">
        <v>1996</v>
      </c>
      <c r="C1104" s="970" t="str">
        <f t="shared" si="212"/>
        <v xml:space="preserve"> </v>
      </c>
      <c r="D1104" s="1413">
        <f>D1105</f>
        <v>1.7000000000000001E-2</v>
      </c>
      <c r="E1104" s="980"/>
      <c r="F1104" s="985" t="str">
        <f>VLOOKUP($B1104,DG!A:D,DG!$C$2,)</f>
        <v>Bốc dỡ xà, thép thanh</v>
      </c>
      <c r="G1104" s="980" t="str">
        <f>VLOOKUP($B1104,DG!A:D,DG!$D$2,)</f>
        <v>tấn</v>
      </c>
      <c r="H1104" s="1693"/>
      <c r="I1104" s="1693"/>
      <c r="J1104" s="1693"/>
      <c r="K1104" s="1693"/>
      <c r="L1104" s="1693"/>
      <c r="M1104" s="1693"/>
      <c r="N1104" s="1693"/>
      <c r="O1104" s="1693"/>
      <c r="P1104" s="1693"/>
      <c r="Q1104" s="989"/>
      <c r="R1104" s="989"/>
      <c r="S1104" s="989"/>
      <c r="T1104" s="1862">
        <f t="shared" si="214"/>
        <v>0</v>
      </c>
    </row>
    <row r="1105" spans="1:20" ht="22.2" hidden="1" customHeight="1">
      <c r="A1105" s="1448">
        <f>COUNTIF($C$12:C1105,"x")</f>
        <v>80</v>
      </c>
      <c r="B1105" s="1464" t="s">
        <v>1997</v>
      </c>
      <c r="C1105" s="970" t="str">
        <f t="shared" si="212"/>
        <v xml:space="preserve"> </v>
      </c>
      <c r="D1105" s="1413">
        <f>ROUND((2*8+2*0.25)*1.05/1000,3)</f>
        <v>1.7000000000000001E-2</v>
      </c>
      <c r="E1105" s="980" t="str">
        <f>VLOOKUP($B1105,DG!A:C,2,)</f>
        <v>02.1361</v>
      </c>
      <c r="F1105" s="985" t="str">
        <f>VLOOKUP($B1105,DG!A:C,3,)</f>
        <v>V/c xà vào vị trí (cư ly &lt;=100m)</v>
      </c>
      <c r="G1105" s="980" t="str">
        <f>VLOOKUP($B1105,DG!A:D,4,0)</f>
        <v>tấn</v>
      </c>
      <c r="H1105" s="1693"/>
      <c r="I1105" s="1693"/>
      <c r="J1105" s="1693"/>
      <c r="K1105" s="1693"/>
      <c r="L1105" s="1693"/>
      <c r="M1105" s="1693"/>
      <c r="N1105" s="1693"/>
      <c r="O1105" s="1693"/>
      <c r="P1105" s="1693"/>
      <c r="Q1105" s="994"/>
      <c r="R1105" s="994"/>
      <c r="S1105" s="994"/>
      <c r="T1105" s="1862">
        <f t="shared" si="214"/>
        <v>0</v>
      </c>
    </row>
    <row r="1106" spans="1:20" ht="22.2" hidden="1" customHeight="1">
      <c r="A1106" s="1448">
        <f>COUNTIF($C$12:C1106,"x")</f>
        <v>80</v>
      </c>
      <c r="B1106" s="1464" t="s">
        <v>635</v>
      </c>
      <c r="C1106" s="970" t="str">
        <f t="shared" si="212"/>
        <v xml:space="preserve"> </v>
      </c>
      <c r="D1106" s="1414">
        <v>0.02</v>
      </c>
      <c r="E1106" s="980" t="str">
        <f>VLOOKUP($B1106,DG!A:C,2,)</f>
        <v>02.1482</v>
      </c>
      <c r="F1106" s="985" t="str">
        <f>VLOOKUP($B1106,DG!A:C,3,)</f>
        <v>V/c dụng cụ thi công vào vị trí (cự ly &lt;=100m)</v>
      </c>
      <c r="G1106" s="980" t="str">
        <f>VLOOKUP($B1106,DG!A:D,4,0)</f>
        <v>tấn</v>
      </c>
      <c r="H1106" s="1693"/>
      <c r="I1106" s="1693"/>
      <c r="J1106" s="1693"/>
      <c r="K1106" s="1693"/>
      <c r="L1106" s="1693"/>
      <c r="M1106" s="1693"/>
      <c r="N1106" s="1693"/>
      <c r="O1106" s="1693"/>
      <c r="P1106" s="1693"/>
      <c r="Q1106" s="994"/>
      <c r="R1106" s="994"/>
      <c r="S1106" s="994"/>
      <c r="T1106" s="1862">
        <f t="shared" si="214"/>
        <v>0</v>
      </c>
    </row>
    <row r="1107" spans="1:20" ht="22.2" customHeight="1">
      <c r="A1107" s="1448">
        <f>COUNTIF($C$12:C1107,"x")</f>
        <v>81</v>
      </c>
      <c r="B1107" s="1452" t="s">
        <v>4709</v>
      </c>
      <c r="C1107" s="1701" t="str">
        <f t="shared" si="212"/>
        <v>x</v>
      </c>
      <c r="D1107" s="1412"/>
      <c r="E1107" s="981"/>
      <c r="F1107" s="1276" t="s">
        <v>4728</v>
      </c>
      <c r="G1107" s="982" t="s">
        <v>2385</v>
      </c>
      <c r="H1107" s="1691">
        <f>SUM(I1107:O1107)</f>
        <v>1</v>
      </c>
      <c r="I1107" s="1692"/>
      <c r="J1107" s="1692"/>
      <c r="K1107" s="1692">
        <f>IFERROR(HLOOKUP(B1107,pp3p1m!$1:$3,2,0),0)</f>
        <v>1</v>
      </c>
      <c r="L1107" s="1692">
        <f>IFERROR(HLOOKUP(chitiet!B1107,pp1p!$1:$3,3,0),0)</f>
        <v>0</v>
      </c>
      <c r="M1107" s="1692"/>
      <c r="N1107" s="1692"/>
      <c r="O1107" s="1692"/>
      <c r="P1107" s="1691">
        <f>T1107</f>
        <v>1</v>
      </c>
      <c r="Q1107" s="983">
        <f>IF(P1107&gt;H1107,P1107-H1107,0)</f>
        <v>0</v>
      </c>
      <c r="R1107" s="983">
        <f>IF(H1107&gt;P1107,H1107-P1107,0)</f>
        <v>0</v>
      </c>
      <c r="S1107" s="983"/>
      <c r="T1107" s="1862">
        <f>IFERROR(HLOOKUP(B1107,pp1p!$1:$3,3,0),0)+IFERROR(HLOOKUP(B1107,pp3p1m!$1:$3,3,0),0)</f>
        <v>1</v>
      </c>
    </row>
    <row r="1108" spans="1:20" ht="22.2" customHeight="1">
      <c r="A1108" s="1448">
        <f>COUNTIF($C$12:C1108,"x")</f>
        <v>82</v>
      </c>
      <c r="B1108" s="1451" t="s">
        <v>4695</v>
      </c>
      <c r="C1108" s="970" t="str">
        <f t="shared" si="212"/>
        <v>x</v>
      </c>
      <c r="D1108" s="1415">
        <v>1</v>
      </c>
      <c r="E1108" s="980"/>
      <c r="F1108" s="992" t="str">
        <f>VLOOKUP($B1108,DG!A:D,DG!$C$2,)</f>
        <v>Đà composite 0,8m</v>
      </c>
      <c r="G1108" s="980" t="str">
        <f>VLOOKUP($B1108,DG!A:D,DG!$D$2,)</f>
        <v>cây</v>
      </c>
      <c r="H1108" s="1693">
        <f>H$1107*$D1108</f>
        <v>1</v>
      </c>
      <c r="I1108" s="1693">
        <f t="shared" ref="I1108:R1108" si="217">I$1107*$D1108</f>
        <v>0</v>
      </c>
      <c r="J1108" s="1693">
        <f t="shared" si="217"/>
        <v>0</v>
      </c>
      <c r="K1108" s="1693">
        <f t="shared" si="217"/>
        <v>1</v>
      </c>
      <c r="L1108" s="1693">
        <f t="shared" si="217"/>
        <v>0</v>
      </c>
      <c r="M1108" s="1693">
        <f t="shared" si="217"/>
        <v>0</v>
      </c>
      <c r="N1108" s="1693">
        <f t="shared" si="217"/>
        <v>0</v>
      </c>
      <c r="O1108" s="1693">
        <f t="shared" si="217"/>
        <v>0</v>
      </c>
      <c r="P1108" s="1693">
        <f t="shared" si="217"/>
        <v>1</v>
      </c>
      <c r="Q1108" s="1693">
        <f t="shared" si="217"/>
        <v>0</v>
      </c>
      <c r="R1108" s="1693">
        <f t="shared" si="217"/>
        <v>0</v>
      </c>
      <c r="S1108" s="989"/>
      <c r="T1108" s="1862">
        <f t="shared" si="214"/>
        <v>0</v>
      </c>
    </row>
    <row r="1109" spans="1:20" ht="22.2" customHeight="1">
      <c r="A1109" s="1448">
        <f>COUNTIF($C$12:C1109,"x")</f>
        <v>83</v>
      </c>
      <c r="B1109" s="1451" t="s">
        <v>365</v>
      </c>
      <c r="C1109" s="1701" t="str">
        <f t="shared" si="212"/>
        <v>x</v>
      </c>
      <c r="D1109" s="1421">
        <v>1</v>
      </c>
      <c r="E1109" s="980"/>
      <c r="F1109" s="992" t="str">
        <f>VLOOKUP($B1109,DG!A:D,DG!$C$2,)</f>
        <v>Chống composite 40x10x920</v>
      </c>
      <c r="G1109" s="980" t="str">
        <f>VLOOKUP($B1109,DG!A:D,DG!$D$2,)</f>
        <v>cái</v>
      </c>
      <c r="H1109" s="1693">
        <f t="shared" ref="H1109:R1113" si="218">H$1107*$D1109</f>
        <v>1</v>
      </c>
      <c r="I1109" s="1693">
        <f t="shared" si="218"/>
        <v>0</v>
      </c>
      <c r="J1109" s="1693">
        <f t="shared" si="218"/>
        <v>0</v>
      </c>
      <c r="K1109" s="1693">
        <f t="shared" si="218"/>
        <v>1</v>
      </c>
      <c r="L1109" s="1693">
        <f t="shared" si="218"/>
        <v>0</v>
      </c>
      <c r="M1109" s="1693">
        <f t="shared" si="218"/>
        <v>0</v>
      </c>
      <c r="N1109" s="1693">
        <f t="shared" si="218"/>
        <v>0</v>
      </c>
      <c r="O1109" s="1693">
        <f t="shared" si="218"/>
        <v>0</v>
      </c>
      <c r="P1109" s="1693">
        <f t="shared" si="218"/>
        <v>1</v>
      </c>
      <c r="Q1109" s="1693">
        <f t="shared" si="218"/>
        <v>0</v>
      </c>
      <c r="R1109" s="1693">
        <f t="shared" si="218"/>
        <v>0</v>
      </c>
      <c r="S1109" s="989"/>
      <c r="T1109" s="1862">
        <f t="shared" si="214"/>
        <v>0</v>
      </c>
    </row>
    <row r="1110" spans="1:20" ht="22.2" customHeight="1">
      <c r="A1110" s="1448">
        <f>COUNTIF($C$12:C1110,"x")</f>
        <v>84</v>
      </c>
      <c r="B1110" s="1451" t="s">
        <v>4729</v>
      </c>
      <c r="C1110" s="1701" t="str">
        <f t="shared" si="212"/>
        <v>x</v>
      </c>
      <c r="D1110" s="1415">
        <v>2</v>
      </c>
      <c r="E1110" s="980"/>
      <c r="F1110" s="992" t="str">
        <f>VLOOKUP($B1110,DG!A:D,DG!$C$2,)</f>
        <v>Thanh chống Composite 10x40x720</v>
      </c>
      <c r="G1110" s="980" t="str">
        <f>VLOOKUP($B1110,DG!A:D,DG!$D$2,)</f>
        <v>cái</v>
      </c>
      <c r="H1110" s="1693">
        <f t="shared" si="218"/>
        <v>2</v>
      </c>
      <c r="I1110" s="1693">
        <f t="shared" si="218"/>
        <v>0</v>
      </c>
      <c r="J1110" s="1693">
        <f t="shared" si="218"/>
        <v>0</v>
      </c>
      <c r="K1110" s="1693">
        <f t="shared" si="218"/>
        <v>2</v>
      </c>
      <c r="L1110" s="1693">
        <f t="shared" si="218"/>
        <v>0</v>
      </c>
      <c r="M1110" s="1693">
        <f t="shared" si="218"/>
        <v>0</v>
      </c>
      <c r="N1110" s="1693">
        <f t="shared" si="218"/>
        <v>0</v>
      </c>
      <c r="O1110" s="1693">
        <f t="shared" si="218"/>
        <v>0</v>
      </c>
      <c r="P1110" s="1693">
        <f t="shared" si="218"/>
        <v>2</v>
      </c>
      <c r="Q1110" s="1693">
        <f t="shared" si="218"/>
        <v>0</v>
      </c>
      <c r="R1110" s="1693">
        <f t="shared" si="218"/>
        <v>0</v>
      </c>
      <c r="S1110" s="989"/>
      <c r="T1110" s="1862">
        <f t="shared" si="214"/>
        <v>0</v>
      </c>
    </row>
    <row r="1111" spans="1:20" ht="22.2" customHeight="1">
      <c r="A1111" s="1448">
        <f>COUNTIF($C$12:C1111,"x")</f>
        <v>85</v>
      </c>
      <c r="B1111" s="1451" t="s">
        <v>244</v>
      </c>
      <c r="C1111" s="1701" t="str">
        <f t="shared" si="212"/>
        <v>x</v>
      </c>
      <c r="D1111" s="1415">
        <v>2</v>
      </c>
      <c r="E1111" s="980"/>
      <c r="F1111" s="992" t="str">
        <f>VLOOKUP($B1111,DG!A:D,DG!$C$2,)</f>
        <v>Boulon 16x150+ 2 long đền vuông D18-50x50x3/Zn</v>
      </c>
      <c r="G1111" s="980" t="str">
        <f>VLOOKUP($B1111,DG!A:D,DG!$D$2,)</f>
        <v>bộ</v>
      </c>
      <c r="H1111" s="1693">
        <f t="shared" si="218"/>
        <v>2</v>
      </c>
      <c r="I1111" s="1693">
        <f t="shared" si="218"/>
        <v>0</v>
      </c>
      <c r="J1111" s="1693">
        <f t="shared" si="218"/>
        <v>0</v>
      </c>
      <c r="K1111" s="1693">
        <f t="shared" si="218"/>
        <v>2</v>
      </c>
      <c r="L1111" s="1693">
        <f t="shared" si="218"/>
        <v>0</v>
      </c>
      <c r="M1111" s="1693">
        <f t="shared" si="218"/>
        <v>0</v>
      </c>
      <c r="N1111" s="1693">
        <f t="shared" si="218"/>
        <v>0</v>
      </c>
      <c r="O1111" s="1693">
        <f t="shared" si="218"/>
        <v>0</v>
      </c>
      <c r="P1111" s="1693">
        <f t="shared" si="218"/>
        <v>2</v>
      </c>
      <c r="Q1111" s="1693">
        <f t="shared" si="218"/>
        <v>0</v>
      </c>
      <c r="R1111" s="1693">
        <f t="shared" si="218"/>
        <v>0</v>
      </c>
      <c r="S1111" s="989"/>
      <c r="T1111" s="1862">
        <f t="shared" si="214"/>
        <v>0</v>
      </c>
    </row>
    <row r="1112" spans="1:20" ht="22.2" customHeight="1">
      <c r="A1112" s="1448">
        <f>COUNTIF($C$12:C1112,"x")</f>
        <v>86</v>
      </c>
      <c r="B1112" s="1451" t="s">
        <v>1083</v>
      </c>
      <c r="C1112" s="1701" t="str">
        <f t="shared" si="212"/>
        <v>x</v>
      </c>
      <c r="D1112" s="1415">
        <v>2</v>
      </c>
      <c r="E1112" s="980"/>
      <c r="F1112" s="992" t="str">
        <f>VLOOKUP($B1112,DG!A:D,DG!$C$2,)</f>
        <v>Boulon 16x400+ 2 long đền vuông D18-50x50x3/Zn</v>
      </c>
      <c r="G1112" s="980" t="str">
        <f>VLOOKUP($B1112,DG!A:D,DG!$D$2,)</f>
        <v>bộ</v>
      </c>
      <c r="H1112" s="1693">
        <f t="shared" si="218"/>
        <v>2</v>
      </c>
      <c r="I1112" s="1693">
        <f t="shared" si="218"/>
        <v>0</v>
      </c>
      <c r="J1112" s="1693">
        <f t="shared" si="218"/>
        <v>0</v>
      </c>
      <c r="K1112" s="1693">
        <f t="shared" si="218"/>
        <v>2</v>
      </c>
      <c r="L1112" s="1693">
        <f t="shared" si="218"/>
        <v>0</v>
      </c>
      <c r="M1112" s="1693">
        <f t="shared" si="218"/>
        <v>0</v>
      </c>
      <c r="N1112" s="1693">
        <f t="shared" si="218"/>
        <v>0</v>
      </c>
      <c r="O1112" s="1693">
        <f t="shared" si="218"/>
        <v>0</v>
      </c>
      <c r="P1112" s="1693">
        <f t="shared" si="218"/>
        <v>2</v>
      </c>
      <c r="Q1112" s="1693">
        <f t="shared" si="218"/>
        <v>0</v>
      </c>
      <c r="R1112" s="1693">
        <f t="shared" si="218"/>
        <v>0</v>
      </c>
      <c r="S1112" s="989"/>
      <c r="T1112" s="1862">
        <f t="shared" si="214"/>
        <v>0</v>
      </c>
    </row>
    <row r="1113" spans="1:20" ht="22.2" customHeight="1">
      <c r="A1113" s="1448">
        <f>COUNTIF($C$12:C1113,"x")</f>
        <v>87</v>
      </c>
      <c r="B1113" s="1451" t="s">
        <v>1995</v>
      </c>
      <c r="C1113" s="1701" t="str">
        <f t="shared" si="212"/>
        <v>x</v>
      </c>
      <c r="D1113" s="1415">
        <v>1</v>
      </c>
      <c r="E1113" s="980"/>
      <c r="F1113" s="985" t="str">
        <f>VLOOKUP($B1113,DG!A:D,DG!$C$2,)</f>
        <v>Lắp xà đỡ ≤ 25kg</v>
      </c>
      <c r="G1113" s="980" t="str">
        <f>VLOOKUP($B1113,DG!A:D,DG!$D$2,)</f>
        <v>bộ</v>
      </c>
      <c r="H1113" s="1693">
        <f t="shared" si="218"/>
        <v>1</v>
      </c>
      <c r="I1113" s="1693">
        <f t="shared" si="218"/>
        <v>0</v>
      </c>
      <c r="J1113" s="1693">
        <f t="shared" si="218"/>
        <v>0</v>
      </c>
      <c r="K1113" s="1693">
        <f t="shared" si="218"/>
        <v>1</v>
      </c>
      <c r="L1113" s="1693">
        <f t="shared" si="218"/>
        <v>0</v>
      </c>
      <c r="M1113" s="1693">
        <f t="shared" si="218"/>
        <v>0</v>
      </c>
      <c r="N1113" s="1693">
        <f t="shared" si="218"/>
        <v>0</v>
      </c>
      <c r="O1113" s="1693">
        <f t="shared" si="218"/>
        <v>0</v>
      </c>
      <c r="P1113" s="1693">
        <f t="shared" si="218"/>
        <v>1</v>
      </c>
      <c r="Q1113" s="1693">
        <f t="shared" si="218"/>
        <v>0</v>
      </c>
      <c r="R1113" s="1693">
        <f t="shared" si="218"/>
        <v>0</v>
      </c>
      <c r="S1113" s="989"/>
      <c r="T1113" s="1862">
        <f t="shared" si="214"/>
        <v>0</v>
      </c>
    </row>
    <row r="1114" spans="1:20" ht="22.2" hidden="1" customHeight="1">
      <c r="A1114" s="1448">
        <f>COUNTIF($C$12:C1114,"x")</f>
        <v>87</v>
      </c>
      <c r="B1114" s="1452" t="s">
        <v>361</v>
      </c>
      <c r="C1114" s="1701" t="str">
        <f t="shared" ref="C1114:C1121" si="219">IF(OR(P1114&lt;&gt;0,H1114&lt;&gt;0),"x"," ")</f>
        <v xml:space="preserve"> </v>
      </c>
      <c r="D1114" s="1412"/>
      <c r="E1114" s="981"/>
      <c r="F1114" s="1276" t="s">
        <v>2453</v>
      </c>
      <c r="G1114" s="982" t="s">
        <v>2385</v>
      </c>
      <c r="H1114" s="1691">
        <f>SUM(I1114:O1114)</f>
        <v>0</v>
      </c>
      <c r="I1114" s="1692"/>
      <c r="J1114" s="1692"/>
      <c r="K1114" s="1692">
        <f>IFERROR(HLOOKUP(B1114,pp3p1m!$1:$3,2,0),0)</f>
        <v>0</v>
      </c>
      <c r="L1114" s="1692">
        <f>IFERROR(HLOOKUP(chitiet!B1114,pp1p!$1:$3,3,0),0)</f>
        <v>0</v>
      </c>
      <c r="M1114" s="1692"/>
      <c r="N1114" s="1692"/>
      <c r="O1114" s="1692"/>
      <c r="P1114" s="1691">
        <f>T1114</f>
        <v>0</v>
      </c>
      <c r="Q1114" s="1691">
        <f>IF(P1114&gt;H1114,P1114-H1114,0)</f>
        <v>0</v>
      </c>
      <c r="R1114" s="1691">
        <f>IF(H1114&gt;P1114,H1114-P1114,0)</f>
        <v>0</v>
      </c>
      <c r="S1114" s="983"/>
      <c r="T1114" s="1862">
        <f>IFERROR(HLOOKUP(B1114,pp1p!$1:$3,3,0),0)+IFERROR(HLOOKUP(B1114,pp3p1m!$1:$3,3,0),0)</f>
        <v>0</v>
      </c>
    </row>
    <row r="1115" spans="1:20" ht="22.2" hidden="1" customHeight="1">
      <c r="A1115" s="1448">
        <f>COUNTIF($C$12:C1115,"x")</f>
        <v>87</v>
      </c>
      <c r="B1115" s="1451" t="s">
        <v>4328</v>
      </c>
      <c r="C1115" s="970" t="str">
        <f t="shared" si="219"/>
        <v xml:space="preserve"> </v>
      </c>
      <c r="D1115" s="1415">
        <v>1</v>
      </c>
      <c r="E1115" s="980"/>
      <c r="F1115" s="992" t="str">
        <f>VLOOKUP($B1115,DG!A:D,DG!$C$2,)</f>
        <v>Xà composite 110x800x5 dài 2,4m</v>
      </c>
      <c r="G1115" s="980" t="str">
        <f>VLOOKUP($B1115,DG!A:D,DG!$D$2,)</f>
        <v>cái</v>
      </c>
      <c r="H1115" s="1693">
        <f>$H$1114*$D1115</f>
        <v>0</v>
      </c>
      <c r="I1115" s="1693">
        <f t="shared" ref="I1115:J1120" si="220">I$1062*$D1115</f>
        <v>0</v>
      </c>
      <c r="J1115" s="1693">
        <f t="shared" si="220"/>
        <v>0</v>
      </c>
      <c r="K1115" s="1693">
        <f t="shared" ref="K1115:K1120" si="221">K$1114*$D1115</f>
        <v>0</v>
      </c>
      <c r="L1115" s="1693">
        <f t="shared" ref="L1115:L1120" si="222">L$1062*$D1115</f>
        <v>0</v>
      </c>
      <c r="M1115" s="1693"/>
      <c r="N1115" s="1693"/>
      <c r="O1115" s="1693"/>
      <c r="P1115" s="1693">
        <f>$P$1114*D1115</f>
        <v>0</v>
      </c>
      <c r="Q1115" s="2679"/>
      <c r="R1115" s="989"/>
      <c r="S1115" s="989"/>
      <c r="T1115" s="1862">
        <f t="shared" si="214"/>
        <v>0</v>
      </c>
    </row>
    <row r="1116" spans="1:20" ht="22.2" hidden="1" customHeight="1">
      <c r="A1116" s="1448">
        <f>COUNTIF($C$12:C1116,"x")</f>
        <v>87</v>
      </c>
      <c r="B1116" s="1455" t="s">
        <v>364</v>
      </c>
      <c r="C1116" s="1701" t="str">
        <f t="shared" si="219"/>
        <v xml:space="preserve"> </v>
      </c>
      <c r="D1116" s="1421">
        <v>2.4</v>
      </c>
      <c r="E1116" s="980"/>
      <c r="F1116" s="992" t="str">
        <f>VLOOKUP($B1116,DG!A:D,DG!$C$2,)</f>
        <v>Xà composite 110x800x5</v>
      </c>
      <c r="G1116" s="980" t="str">
        <f>VLOOKUP($B1116,DG!A:D,DG!$D$2,)</f>
        <v>cái</v>
      </c>
      <c r="H1116" s="1693"/>
      <c r="I1116" s="1693">
        <f t="shared" si="220"/>
        <v>0</v>
      </c>
      <c r="J1116" s="1693">
        <f t="shared" si="220"/>
        <v>0</v>
      </c>
      <c r="K1116" s="1693">
        <f t="shared" si="221"/>
        <v>0</v>
      </c>
      <c r="L1116" s="1693">
        <f t="shared" si="222"/>
        <v>0</v>
      </c>
      <c r="M1116" s="1693"/>
      <c r="N1116" s="1693"/>
      <c r="O1116" s="1693"/>
      <c r="P1116" s="1693"/>
      <c r="Q1116" s="989"/>
      <c r="R1116" s="989"/>
      <c r="S1116" s="989"/>
      <c r="T1116" s="1862">
        <f t="shared" si="214"/>
        <v>0</v>
      </c>
    </row>
    <row r="1117" spans="1:20" ht="22.2" hidden="1" customHeight="1">
      <c r="A1117" s="1448">
        <f>COUNTIF($C$12:C1117,"x")</f>
        <v>87</v>
      </c>
      <c r="B1117" s="1451" t="s">
        <v>365</v>
      </c>
      <c r="C1117" s="1701" t="str">
        <f t="shared" si="219"/>
        <v xml:space="preserve"> </v>
      </c>
      <c r="D1117" s="1415">
        <v>2</v>
      </c>
      <c r="E1117" s="980"/>
      <c r="F1117" s="992" t="str">
        <f>VLOOKUP($B1117,DG!A:D,DG!$C$2,)</f>
        <v>Chống composite 40x10x920</v>
      </c>
      <c r="G1117" s="980" t="str">
        <f>VLOOKUP($B1117,DG!A:D,DG!$D$2,)</f>
        <v>cái</v>
      </c>
      <c r="H1117" s="1693">
        <f>$H$1114*$D1117</f>
        <v>0</v>
      </c>
      <c r="I1117" s="1693">
        <f t="shared" si="220"/>
        <v>0</v>
      </c>
      <c r="J1117" s="1693">
        <f t="shared" si="220"/>
        <v>0</v>
      </c>
      <c r="K1117" s="1693">
        <f t="shared" si="221"/>
        <v>0</v>
      </c>
      <c r="L1117" s="1693">
        <f t="shared" si="222"/>
        <v>0</v>
      </c>
      <c r="M1117" s="1693"/>
      <c r="N1117" s="1693"/>
      <c r="O1117" s="1693"/>
      <c r="P1117" s="1693">
        <f>$P$1114*D1117</f>
        <v>0</v>
      </c>
      <c r="Q1117" s="2679"/>
      <c r="R1117" s="989"/>
      <c r="S1117" s="989"/>
      <c r="T1117" s="1862">
        <f t="shared" si="214"/>
        <v>0</v>
      </c>
    </row>
    <row r="1118" spans="1:20" ht="22.2" hidden="1" customHeight="1">
      <c r="A1118" s="1448">
        <f>COUNTIF($C$12:C1118,"x")</f>
        <v>87</v>
      </c>
      <c r="B1118" s="1451" t="s">
        <v>244</v>
      </c>
      <c r="C1118" s="1701" t="str">
        <f>IF(OR(P1118&lt;&gt;0,H1118&lt;&gt;0),"x"," ")</f>
        <v xml:space="preserve"> </v>
      </c>
      <c r="D1118" s="1415">
        <v>2</v>
      </c>
      <c r="E1118" s="980"/>
      <c r="F1118" s="992" t="str">
        <f>VLOOKUP($B1118,DG!A:D,DG!$C$2,)</f>
        <v>Boulon 16x150+ 2 long đền vuông D18-50x50x3/Zn</v>
      </c>
      <c r="G1118" s="980" t="str">
        <f>VLOOKUP($B1118,DG!A:D,DG!$D$2,)</f>
        <v>bộ</v>
      </c>
      <c r="H1118" s="1693">
        <f>$H$1114*$D1118</f>
        <v>0</v>
      </c>
      <c r="I1118" s="1693">
        <f t="shared" si="220"/>
        <v>0</v>
      </c>
      <c r="J1118" s="1693">
        <f t="shared" si="220"/>
        <v>0</v>
      </c>
      <c r="K1118" s="1693">
        <f t="shared" si="221"/>
        <v>0</v>
      </c>
      <c r="L1118" s="1693">
        <f t="shared" si="222"/>
        <v>0</v>
      </c>
      <c r="M1118" s="1693"/>
      <c r="N1118" s="1693"/>
      <c r="O1118" s="1693"/>
      <c r="P1118" s="1693">
        <f>$P$1114*D1118</f>
        <v>0</v>
      </c>
      <c r="Q1118" s="2679"/>
      <c r="R1118" s="989"/>
      <c r="S1118" s="989"/>
      <c r="T1118" s="1862">
        <f>IFERROR(HLOOKUP(B1118,BangKeTru,3,0),0)</f>
        <v>0</v>
      </c>
    </row>
    <row r="1119" spans="1:20" ht="22.2" hidden="1" customHeight="1">
      <c r="A1119" s="1448">
        <f>COUNTIF($C$12:C1119,"x")</f>
        <v>87</v>
      </c>
      <c r="B1119" s="1451" t="s">
        <v>1609</v>
      </c>
      <c r="C1119" s="1701" t="str">
        <f t="shared" si="219"/>
        <v xml:space="preserve"> </v>
      </c>
      <c r="D1119" s="1415">
        <v>1</v>
      </c>
      <c r="E1119" s="980"/>
      <c r="F1119" s="992" t="str">
        <f>VLOOKUP($B1119,DG!A:D,DG!$C$2,)</f>
        <v>Boulon 16x250+ 2 long đền vuông D18-50x50x3/Zn</v>
      </c>
      <c r="G1119" s="980" t="str">
        <f>VLOOKUP($B1119,DG!A:D,DG!$D$2,)</f>
        <v>bộ</v>
      </c>
      <c r="H1119" s="1693">
        <f>$H$1114*$D1119</f>
        <v>0</v>
      </c>
      <c r="I1119" s="1693">
        <f t="shared" si="220"/>
        <v>0</v>
      </c>
      <c r="J1119" s="1693">
        <f t="shared" si="220"/>
        <v>0</v>
      </c>
      <c r="K1119" s="1693">
        <f t="shared" si="221"/>
        <v>0</v>
      </c>
      <c r="L1119" s="1693">
        <f t="shared" si="222"/>
        <v>0</v>
      </c>
      <c r="M1119" s="1693"/>
      <c r="N1119" s="1693"/>
      <c r="O1119" s="1693"/>
      <c r="P1119" s="1693">
        <f>$P$1114*D1119</f>
        <v>0</v>
      </c>
      <c r="Q1119" s="2679"/>
      <c r="R1119" s="989"/>
      <c r="S1119" s="989"/>
      <c r="T1119" s="1862">
        <f t="shared" si="214"/>
        <v>0</v>
      </c>
    </row>
    <row r="1120" spans="1:20" ht="22.2" hidden="1" customHeight="1">
      <c r="A1120" s="1448">
        <f>COUNTIF($C$12:C1120,"x")</f>
        <v>87</v>
      </c>
      <c r="B1120" s="1451" t="s">
        <v>1079</v>
      </c>
      <c r="C1120" s="1701" t="str">
        <f t="shared" si="219"/>
        <v xml:space="preserve"> </v>
      </c>
      <c r="D1120" s="1415">
        <v>1</v>
      </c>
      <c r="E1120" s="980"/>
      <c r="F1120" s="992" t="str">
        <f>VLOOKUP($B1120,DG!A:D,DG!$C$2,)</f>
        <v>Boulon 16x350+ 2 long đền vuông D18-50x50x3/Zn</v>
      </c>
      <c r="G1120" s="980" t="str">
        <f>VLOOKUP($B1120,DG!A:D,DG!$D$2,)</f>
        <v>bộ</v>
      </c>
      <c r="H1120" s="1693">
        <f>$H$1114*$D1120</f>
        <v>0</v>
      </c>
      <c r="I1120" s="1693">
        <f t="shared" si="220"/>
        <v>0</v>
      </c>
      <c r="J1120" s="1693">
        <f t="shared" si="220"/>
        <v>0</v>
      </c>
      <c r="K1120" s="1693">
        <f t="shared" si="221"/>
        <v>0</v>
      </c>
      <c r="L1120" s="1693">
        <f t="shared" si="222"/>
        <v>0</v>
      </c>
      <c r="M1120" s="1693"/>
      <c r="N1120" s="1693"/>
      <c r="O1120" s="1693"/>
      <c r="P1120" s="1693">
        <f>$P$1114*D1120</f>
        <v>0</v>
      </c>
      <c r="Q1120" s="2679"/>
      <c r="R1120" s="989"/>
      <c r="S1120" s="989"/>
      <c r="T1120" s="1862">
        <f t="shared" si="214"/>
        <v>0</v>
      </c>
    </row>
    <row r="1121" spans="1:20" ht="22.2" hidden="1" customHeight="1">
      <c r="A1121" s="1448">
        <f>COUNTIF($C$12:C1121,"x")</f>
        <v>87</v>
      </c>
      <c r="B1121" s="1451" t="s">
        <v>1995</v>
      </c>
      <c r="C1121" s="1701" t="str">
        <f t="shared" si="219"/>
        <v xml:space="preserve"> </v>
      </c>
      <c r="D1121" s="1415">
        <v>1</v>
      </c>
      <c r="E1121" s="980"/>
      <c r="F1121" s="985" t="str">
        <f>VLOOKUP($B1121,DG!A:D,DG!$C$2,)</f>
        <v>Lắp xà đỡ ≤ 25kg</v>
      </c>
      <c r="G1121" s="980" t="str">
        <f>VLOOKUP($B1121,DG!A:D,DG!$D$2,)</f>
        <v>bộ</v>
      </c>
      <c r="H1121" s="1693">
        <f>$H$1114*$D1121</f>
        <v>0</v>
      </c>
      <c r="I1121" s="1693"/>
      <c r="J1121" s="1693"/>
      <c r="K1121" s="1693"/>
      <c r="L1121" s="1693"/>
      <c r="M1121" s="1693"/>
      <c r="N1121" s="1693"/>
      <c r="O1121" s="1693"/>
      <c r="P1121" s="1693">
        <f>$P$1114*D1121</f>
        <v>0</v>
      </c>
      <c r="Q1121" s="2679"/>
      <c r="R1121" s="989"/>
      <c r="S1121" s="989"/>
      <c r="T1121" s="1862">
        <f t="shared" si="214"/>
        <v>0</v>
      </c>
    </row>
    <row r="1122" spans="1:20" ht="22.2" hidden="1" customHeight="1" collapsed="1">
      <c r="A1122" s="1448">
        <f>COUNTIF($C$12:C1122,"x")</f>
        <v>87</v>
      </c>
      <c r="B1122" s="1452" t="s">
        <v>633</v>
      </c>
      <c r="C1122" s="970" t="str">
        <f t="shared" si="212"/>
        <v xml:space="preserve"> </v>
      </c>
      <c r="D1122" s="1412"/>
      <c r="E1122" s="981"/>
      <c r="F1122" s="1276" t="s">
        <v>2458</v>
      </c>
      <c r="G1122" s="982" t="s">
        <v>2385</v>
      </c>
      <c r="H1122" s="1691">
        <f>SUM(I1122:O1122)</f>
        <v>0</v>
      </c>
      <c r="I1122" s="1692"/>
      <c r="J1122" s="1692"/>
      <c r="K1122" s="1692">
        <f>IFERROR(HLOOKUP(B1122,pp3p1m!$1:$3,2,0),0)</f>
        <v>0</v>
      </c>
      <c r="L1122" s="1692">
        <f>IFERROR(HLOOKUP(chitiet!B1122,pp1p!$1:$3,3,0),0)</f>
        <v>0</v>
      </c>
      <c r="M1122" s="1692"/>
      <c r="N1122" s="1692"/>
      <c r="O1122" s="1692"/>
      <c r="P1122" s="2674">
        <f>T1122</f>
        <v>0</v>
      </c>
      <c r="Q1122" s="983">
        <f>IF(P1122&gt;H1122,P1122-H1122,0)</f>
        <v>0</v>
      </c>
      <c r="R1122" s="983">
        <f>IF(H1122&gt;P1122,H1122-P1122,0)</f>
        <v>0</v>
      </c>
      <c r="S1122" s="983"/>
      <c r="T1122" s="1862">
        <f>IFERROR(HLOOKUP(B1122,pp1p!$1:$3,3,0),0)+IFERROR(HLOOKUP(B1122,pp3p1m!$1:$3,3,0),0)</f>
        <v>0</v>
      </c>
    </row>
    <row r="1123" spans="1:20" ht="22.2" hidden="1" customHeight="1">
      <c r="A1123" s="1448">
        <f>COUNTIF($C$12:C1123,"x")</f>
        <v>87</v>
      </c>
      <c r="B1123" s="1455" t="s">
        <v>1061</v>
      </c>
      <c r="C1123" s="970" t="str">
        <f t="shared" si="212"/>
        <v xml:space="preserve"> </v>
      </c>
      <c r="D1123" s="1415">
        <v>1</v>
      </c>
      <c r="E1123" s="980"/>
      <c r="F1123" s="992" t="str">
        <f>VLOOKUP($B1123,DG!A:D,DG!$C$2,)</f>
        <v>Boulon mắt 16x250+ 2 long đền vuông D18-50x50x3/Zn</v>
      </c>
      <c r="G1123" s="980" t="str">
        <f>VLOOKUP($B1123,DG!A:D,DG!$D$2,)</f>
        <v>bộ</v>
      </c>
      <c r="H1123" s="1693">
        <f t="shared" ref="H1123:N1128" si="223">H$1122*$D1123</f>
        <v>0</v>
      </c>
      <c r="I1123" s="1693">
        <f t="shared" si="223"/>
        <v>0</v>
      </c>
      <c r="J1123" s="1693">
        <f t="shared" si="223"/>
        <v>0</v>
      </c>
      <c r="K1123" s="1693">
        <f t="shared" si="223"/>
        <v>0</v>
      </c>
      <c r="L1123" s="1693">
        <f t="shared" si="223"/>
        <v>0</v>
      </c>
      <c r="M1123" s="1693">
        <f t="shared" si="223"/>
        <v>0</v>
      </c>
      <c r="N1123" s="1693">
        <f t="shared" si="223"/>
        <v>0</v>
      </c>
      <c r="O1123" s="1693"/>
      <c r="P1123" s="1693">
        <f t="shared" ref="P1123:P1129" si="224">$P$1122*D1123</f>
        <v>0</v>
      </c>
      <c r="Q1123" s="989"/>
      <c r="R1123" s="989"/>
      <c r="S1123" s="989"/>
      <c r="T1123" s="1862">
        <f t="shared" si="214"/>
        <v>0</v>
      </c>
    </row>
    <row r="1124" spans="1:20" ht="22.2" hidden="1" customHeight="1">
      <c r="A1124" s="1448">
        <f>COUNTIF($C$12:C1124,"x")</f>
        <v>87</v>
      </c>
      <c r="B1124" s="1455" t="s">
        <v>111</v>
      </c>
      <c r="C1124" s="970" t="str">
        <f t="shared" si="212"/>
        <v xml:space="preserve"> </v>
      </c>
      <c r="D1124" s="1415">
        <v>1</v>
      </c>
      <c r="E1124" s="980"/>
      <c r="F1124" s="992" t="str">
        <f>VLOOKUP($B1124,DG!A:D,DG!$C$2,)</f>
        <v>Sứ chằng</v>
      </c>
      <c r="G1124" s="980" t="str">
        <f>VLOOKUP($B1124,DG!A:D,DG!$D$2,)</f>
        <v>cái</v>
      </c>
      <c r="H1124" s="1693">
        <f t="shared" si="223"/>
        <v>0</v>
      </c>
      <c r="I1124" s="1693">
        <f t="shared" si="223"/>
        <v>0</v>
      </c>
      <c r="J1124" s="1693">
        <f t="shared" si="223"/>
        <v>0</v>
      </c>
      <c r="K1124" s="1693">
        <f t="shared" si="223"/>
        <v>0</v>
      </c>
      <c r="L1124" s="1693">
        <f t="shared" si="223"/>
        <v>0</v>
      </c>
      <c r="M1124" s="1693">
        <f t="shared" si="223"/>
        <v>0</v>
      </c>
      <c r="N1124" s="1693">
        <f t="shared" si="223"/>
        <v>0</v>
      </c>
      <c r="O1124" s="1693"/>
      <c r="P1124" s="1693">
        <f t="shared" si="224"/>
        <v>0</v>
      </c>
      <c r="Q1124" s="989"/>
      <c r="R1124" s="989"/>
      <c r="S1124" s="989"/>
      <c r="T1124" s="1862">
        <f t="shared" si="214"/>
        <v>0</v>
      </c>
    </row>
    <row r="1125" spans="1:20" ht="22.2" hidden="1" customHeight="1">
      <c r="A1125" s="1448">
        <f>COUNTIF($C$12:C1125,"x")</f>
        <v>87</v>
      </c>
      <c r="B1125" s="1455" t="s">
        <v>1578</v>
      </c>
      <c r="C1125" s="970" t="str">
        <f t="shared" si="212"/>
        <v xml:space="preserve"> </v>
      </c>
      <c r="D1125" s="1415">
        <v>4</v>
      </c>
      <c r="E1125" s="980"/>
      <c r="F1125" s="992" t="str">
        <f>VLOOKUP($B1125,DG!A:D,DG!$C$2,)</f>
        <v>Kẹp cáp 3 boulon</v>
      </c>
      <c r="G1125" s="980" t="str">
        <f>VLOOKUP($B1125,DG!A:D,DG!$D$2,)</f>
        <v>cái</v>
      </c>
      <c r="H1125" s="1693">
        <f t="shared" si="223"/>
        <v>0</v>
      </c>
      <c r="I1125" s="1693">
        <f t="shared" si="223"/>
        <v>0</v>
      </c>
      <c r="J1125" s="1693">
        <f t="shared" si="223"/>
        <v>0</v>
      </c>
      <c r="K1125" s="1693">
        <f t="shared" si="223"/>
        <v>0</v>
      </c>
      <c r="L1125" s="1693">
        <f t="shared" si="223"/>
        <v>0</v>
      </c>
      <c r="M1125" s="1693">
        <f t="shared" si="223"/>
        <v>0</v>
      </c>
      <c r="N1125" s="1693">
        <f t="shared" si="223"/>
        <v>0</v>
      </c>
      <c r="O1125" s="1693"/>
      <c r="P1125" s="1693">
        <f t="shared" si="224"/>
        <v>0</v>
      </c>
      <c r="Q1125" s="989"/>
      <c r="R1125" s="989"/>
      <c r="S1125" s="989"/>
      <c r="T1125" s="1862">
        <f t="shared" si="214"/>
        <v>0</v>
      </c>
    </row>
    <row r="1126" spans="1:20" ht="22.2" hidden="1" customHeight="1">
      <c r="A1126" s="1448">
        <f>COUNTIF($C$12:C1126,"x")</f>
        <v>87</v>
      </c>
      <c r="B1126" s="1455" t="s">
        <v>275</v>
      </c>
      <c r="C1126" s="970" t="str">
        <f t="shared" si="212"/>
        <v xml:space="preserve"> </v>
      </c>
      <c r="D1126" s="1425">
        <v>5.53</v>
      </c>
      <c r="E1126" s="980"/>
      <c r="F1126" s="992" t="str">
        <f>VLOOKUP($B1126,DG!A:D,DG!$C$2,)</f>
        <v>Cáp thép 3/8"</v>
      </c>
      <c r="G1126" s="980" t="str">
        <f>VLOOKUP($B1126,DG!A:D,DG!$D$2,)</f>
        <v>kg</v>
      </c>
      <c r="H1126" s="1693">
        <f t="shared" si="223"/>
        <v>0</v>
      </c>
      <c r="I1126" s="1693">
        <f t="shared" si="223"/>
        <v>0</v>
      </c>
      <c r="J1126" s="1693">
        <f t="shared" si="223"/>
        <v>0</v>
      </c>
      <c r="K1126" s="1693">
        <f t="shared" si="223"/>
        <v>0</v>
      </c>
      <c r="L1126" s="1693">
        <f t="shared" si="223"/>
        <v>0</v>
      </c>
      <c r="M1126" s="1693">
        <f t="shared" si="223"/>
        <v>0</v>
      </c>
      <c r="N1126" s="1693">
        <f t="shared" si="223"/>
        <v>0</v>
      </c>
      <c r="O1126" s="1693"/>
      <c r="P1126" s="1693">
        <f t="shared" si="224"/>
        <v>0</v>
      </c>
      <c r="Q1126" s="989"/>
      <c r="R1126" s="989"/>
      <c r="S1126" s="989"/>
      <c r="T1126" s="1862">
        <f t="shared" si="214"/>
        <v>0</v>
      </c>
    </row>
    <row r="1127" spans="1:20" ht="22.2" hidden="1" customHeight="1">
      <c r="A1127" s="1448">
        <f>COUNTIF($C$12:C1127,"x")</f>
        <v>87</v>
      </c>
      <c r="B1127" s="1455" t="s">
        <v>2000</v>
      </c>
      <c r="C1127" s="970" t="str">
        <f t="shared" si="212"/>
        <v xml:space="preserve"> </v>
      </c>
      <c r="D1127" s="1415">
        <v>2</v>
      </c>
      <c r="E1127" s="980"/>
      <c r="F1127" s="992" t="str">
        <f>VLOOKUP($B1127,DG!A:D,DG!$C$2,)</f>
        <v>Yếm cáp dày 2mm</v>
      </c>
      <c r="G1127" s="980" t="str">
        <f>VLOOKUP($B1127,DG!A:D,DG!$D$2,)</f>
        <v>cái</v>
      </c>
      <c r="H1127" s="1693">
        <f t="shared" si="223"/>
        <v>0</v>
      </c>
      <c r="I1127" s="1693">
        <f t="shared" si="223"/>
        <v>0</v>
      </c>
      <c r="J1127" s="1693">
        <f t="shared" si="223"/>
        <v>0</v>
      </c>
      <c r="K1127" s="1693">
        <f t="shared" si="223"/>
        <v>0</v>
      </c>
      <c r="L1127" s="1693">
        <f t="shared" si="223"/>
        <v>0</v>
      </c>
      <c r="M1127" s="1693">
        <f t="shared" si="223"/>
        <v>0</v>
      </c>
      <c r="N1127" s="1693">
        <f t="shared" si="223"/>
        <v>0</v>
      </c>
      <c r="O1127" s="1693"/>
      <c r="P1127" s="1693">
        <f t="shared" si="224"/>
        <v>0</v>
      </c>
      <c r="Q1127" s="989"/>
      <c r="R1127" s="989"/>
      <c r="S1127" s="989"/>
      <c r="T1127" s="1862">
        <f t="shared" si="214"/>
        <v>0</v>
      </c>
    </row>
    <row r="1128" spans="1:20" ht="22.2" hidden="1" customHeight="1">
      <c r="A1128" s="1448">
        <f>COUNTIF($C$12:C1128,"x")</f>
        <v>87</v>
      </c>
      <c r="B1128" s="1455" t="s">
        <v>2001</v>
      </c>
      <c r="C1128" s="970" t="str">
        <f t="shared" si="212"/>
        <v xml:space="preserve"> </v>
      </c>
      <c r="D1128" s="1415">
        <v>1</v>
      </c>
      <c r="E1128" s="980"/>
      <c r="F1128" s="992" t="str">
        <f>VLOOKUP($B1128,DG!A:D,DG!$C$2,)</f>
        <v>Máng che dây chằng dày 1,6mm</v>
      </c>
      <c r="G1128" s="980" t="str">
        <f>VLOOKUP($B1128,DG!A:D,DG!$D$2,)</f>
        <v>cái</v>
      </c>
      <c r="H1128" s="1693">
        <f t="shared" si="223"/>
        <v>0</v>
      </c>
      <c r="I1128" s="1693">
        <f t="shared" si="223"/>
        <v>0</v>
      </c>
      <c r="J1128" s="1693">
        <f t="shared" si="223"/>
        <v>0</v>
      </c>
      <c r="K1128" s="1693">
        <f t="shared" si="223"/>
        <v>0</v>
      </c>
      <c r="L1128" s="1693">
        <f t="shared" si="223"/>
        <v>0</v>
      </c>
      <c r="M1128" s="1693">
        <f t="shared" si="223"/>
        <v>0</v>
      </c>
      <c r="N1128" s="1693">
        <f t="shared" si="223"/>
        <v>0</v>
      </c>
      <c r="O1128" s="1693"/>
      <c r="P1128" s="1693">
        <f t="shared" si="224"/>
        <v>0</v>
      </c>
      <c r="Q1128" s="989"/>
      <c r="R1128" s="989"/>
      <c r="S1128" s="989"/>
      <c r="T1128" s="1862">
        <f t="shared" si="214"/>
        <v>0</v>
      </c>
    </row>
    <row r="1129" spans="1:20" ht="22.2" hidden="1" customHeight="1">
      <c r="A1129" s="1448">
        <f>COUNTIF($C$12:C1129,"x")</f>
        <v>87</v>
      </c>
      <c r="B1129" s="1455" t="s">
        <v>1918</v>
      </c>
      <c r="C1129" s="970" t="str">
        <f t="shared" si="212"/>
        <v xml:space="preserve"> </v>
      </c>
      <c r="D1129" s="1415">
        <f>D1123</f>
        <v>1</v>
      </c>
      <c r="E1129" s="980" t="str">
        <f>VLOOKUP($B1129,DG!A:D,DG!$B$2,)</f>
        <v>06.3241</v>
      </c>
      <c r="F1129" s="985" t="str">
        <f>VLOOKUP($B1129,DG!A:D,DG!$C$2,)</f>
        <v>Lắp bộ dây néo</v>
      </c>
      <c r="G1129" s="980" t="str">
        <f>VLOOKUP($B1129,DG!A:D,DG!$D$2,)</f>
        <v>bộ</v>
      </c>
      <c r="H1129" s="1693">
        <f>H$1122*$D1129</f>
        <v>0</v>
      </c>
      <c r="I1129" s="1693"/>
      <c r="J1129" s="1693"/>
      <c r="K1129" s="1693"/>
      <c r="L1129" s="1693"/>
      <c r="M1129" s="1693"/>
      <c r="N1129" s="1693"/>
      <c r="O1129" s="1693"/>
      <c r="P1129" s="1693">
        <f t="shared" si="224"/>
        <v>0</v>
      </c>
      <c r="Q1129" s="994"/>
      <c r="R1129" s="994"/>
      <c r="S1129" s="994"/>
      <c r="T1129" s="1862">
        <f t="shared" si="214"/>
        <v>0</v>
      </c>
    </row>
    <row r="1130" spans="1:20" ht="22.2" hidden="1" customHeight="1">
      <c r="A1130" s="1448">
        <f>COUNTIF($C$12:C1130,"x")</f>
        <v>87</v>
      </c>
      <c r="B1130" s="1464" t="s">
        <v>356</v>
      </c>
      <c r="C1130" s="970" t="str">
        <f t="shared" si="212"/>
        <v xml:space="preserve"> </v>
      </c>
      <c r="D1130" s="1414"/>
      <c r="E1130" s="980" t="str">
        <f>VLOOKUP($B1130,DG!A:C,2,)</f>
        <v>02.1421</v>
      </c>
      <c r="F1130" s="985" t="str">
        <f>VLOOKUP($B1130,DG!A:C,3,)</f>
        <v>V/c phụ kiện vào vị trí (cự ly &lt;=100m)</v>
      </c>
      <c r="G1130" s="980" t="str">
        <f>VLOOKUP($B1130,DG!A:D,4,0)</f>
        <v>tấn</v>
      </c>
      <c r="H1130" s="1693"/>
      <c r="I1130" s="1693"/>
      <c r="J1130" s="1693"/>
      <c r="K1130" s="1693"/>
      <c r="L1130" s="1693"/>
      <c r="M1130" s="1693"/>
      <c r="N1130" s="1693"/>
      <c r="O1130" s="1693"/>
      <c r="P1130" s="1693"/>
      <c r="Q1130" s="994"/>
      <c r="R1130" s="994"/>
      <c r="S1130" s="994"/>
      <c r="T1130" s="1862">
        <f t="shared" si="214"/>
        <v>0</v>
      </c>
    </row>
    <row r="1131" spans="1:20" ht="22.2" hidden="1" customHeight="1">
      <c r="A1131" s="1448">
        <f>COUNTIF($C$12:C1131,"x")</f>
        <v>87</v>
      </c>
      <c r="B1131" s="1452" t="s">
        <v>205</v>
      </c>
      <c r="C1131" s="970" t="str">
        <f t="shared" si="212"/>
        <v xml:space="preserve"> </v>
      </c>
      <c r="D1131" s="1412"/>
      <c r="E1131" s="981"/>
      <c r="F1131" s="1276" t="s">
        <v>2459</v>
      </c>
      <c r="G1131" s="982" t="s">
        <v>2385</v>
      </c>
      <c r="H1131" s="1691">
        <f>SUM(I1131:O1131)</f>
        <v>0</v>
      </c>
      <c r="I1131" s="1692"/>
      <c r="J1131" s="1692"/>
      <c r="K1131" s="1692">
        <f>IFERROR(HLOOKUP(B1131,pp3p1m!$1:$3,2,0),0)</f>
        <v>0</v>
      </c>
      <c r="L1131" s="1692">
        <f>IFERROR(HLOOKUP(chitiet!B1131,pp1p!$1:$3,3,0),0)</f>
        <v>0</v>
      </c>
      <c r="M1131" s="1692"/>
      <c r="N1131" s="1692"/>
      <c r="O1131" s="1692"/>
      <c r="P1131" s="2674">
        <f>T1131</f>
        <v>0</v>
      </c>
      <c r="Q1131" s="983">
        <f>IF(P1131&gt;H1131,P1131-H1131,0)</f>
        <v>0</v>
      </c>
      <c r="R1131" s="983">
        <f>IF(H1131&gt;P1131,H1131-P1131,0)</f>
        <v>0</v>
      </c>
      <c r="S1131" s="983"/>
      <c r="T1131" s="1862">
        <f>IFERROR(HLOOKUP(B1131,pp1p!$1:$3,3,0),0)+IFERROR(HLOOKUP(B1131,pp3p1m!$1:$3,3,0),0)</f>
        <v>0</v>
      </c>
    </row>
    <row r="1132" spans="1:20" ht="22.2" hidden="1" customHeight="1">
      <c r="A1132" s="1448">
        <f>COUNTIF($C$12:C1132,"x")</f>
        <v>87</v>
      </c>
      <c r="B1132" s="1455" t="s">
        <v>1918</v>
      </c>
      <c r="C1132" s="970" t="str">
        <f t="shared" si="212"/>
        <v xml:space="preserve"> </v>
      </c>
      <c r="D1132" s="1415">
        <v>1</v>
      </c>
      <c r="E1132" s="980"/>
      <c r="F1132" s="985" t="s">
        <v>2460</v>
      </c>
      <c r="G1132" s="980" t="str">
        <f>VLOOKUP($B1132,DG!A:D,DG!$D$2,)</f>
        <v>bộ</v>
      </c>
      <c r="H1132" s="1693">
        <f t="shared" ref="H1132:N1134" si="225">H$1131*$D1132</f>
        <v>0</v>
      </c>
      <c r="I1132" s="1693">
        <f t="shared" si="225"/>
        <v>0</v>
      </c>
      <c r="J1132" s="1693">
        <f t="shared" si="225"/>
        <v>0</v>
      </c>
      <c r="K1132" s="1693">
        <f t="shared" si="225"/>
        <v>0</v>
      </c>
      <c r="L1132" s="1693">
        <f t="shared" si="225"/>
        <v>0</v>
      </c>
      <c r="M1132" s="1693">
        <f t="shared" si="225"/>
        <v>0</v>
      </c>
      <c r="N1132" s="1693">
        <f t="shared" si="225"/>
        <v>0</v>
      </c>
      <c r="O1132" s="1693"/>
      <c r="P1132" s="1693"/>
      <c r="Q1132" s="989"/>
      <c r="R1132" s="989"/>
      <c r="S1132" s="989"/>
      <c r="T1132" s="1862">
        <f t="shared" si="214"/>
        <v>0</v>
      </c>
    </row>
    <row r="1133" spans="1:20" ht="22.2" hidden="1" customHeight="1">
      <c r="A1133" s="1448">
        <f>COUNTIF($C$12:C1133,"x")</f>
        <v>87</v>
      </c>
      <c r="B1133" s="1455" t="s">
        <v>1906</v>
      </c>
      <c r="C1133" s="970" t="str">
        <f t="shared" si="212"/>
        <v xml:space="preserve"> </v>
      </c>
      <c r="D1133" s="1415">
        <v>1</v>
      </c>
      <c r="E1133" s="980"/>
      <c r="F1133" s="985" t="s">
        <v>2461</v>
      </c>
      <c r="G1133" s="980" t="str">
        <f>VLOOKUP($B1133,DG!A:D,DG!$D$2,)</f>
        <v>bộ</v>
      </c>
      <c r="H1133" s="1693">
        <f t="shared" si="225"/>
        <v>0</v>
      </c>
      <c r="I1133" s="1693">
        <f t="shared" si="225"/>
        <v>0</v>
      </c>
      <c r="J1133" s="1693">
        <f t="shared" si="225"/>
        <v>0</v>
      </c>
      <c r="K1133" s="1693">
        <f t="shared" si="225"/>
        <v>0</v>
      </c>
      <c r="L1133" s="1693">
        <f t="shared" si="225"/>
        <v>0</v>
      </c>
      <c r="M1133" s="1693">
        <f t="shared" si="225"/>
        <v>0</v>
      </c>
      <c r="N1133" s="1693">
        <f t="shared" si="225"/>
        <v>0</v>
      </c>
      <c r="O1133" s="1693"/>
      <c r="P1133" s="1693"/>
      <c r="Q1133" s="989"/>
      <c r="R1133" s="989"/>
      <c r="S1133" s="989"/>
      <c r="T1133" s="1862">
        <f t="shared" si="214"/>
        <v>0</v>
      </c>
    </row>
    <row r="1134" spans="1:20" ht="22.2" hidden="1" customHeight="1">
      <c r="A1134" s="1448">
        <f>COUNTIF($C$12:C1134,"x")</f>
        <v>87</v>
      </c>
      <c r="B1134" s="1464" t="s">
        <v>356</v>
      </c>
      <c r="C1134" s="970" t="str">
        <f t="shared" si="212"/>
        <v xml:space="preserve"> </v>
      </c>
      <c r="D1134" s="1414">
        <v>0.01</v>
      </c>
      <c r="E1134" s="980" t="str">
        <f>VLOOKUP($B1134,DG!A:C,2,)</f>
        <v>02.1421</v>
      </c>
      <c r="F1134" s="985" t="str">
        <f>VLOOKUP($B1134,DG!A:C,3,)</f>
        <v>V/c phụ kiện vào vị trí (cự ly &lt;=100m)</v>
      </c>
      <c r="G1134" s="980" t="str">
        <f>VLOOKUP($B1134,DG!A:D,4,0)</f>
        <v>tấn</v>
      </c>
      <c r="H1134" s="1693">
        <f t="shared" si="225"/>
        <v>0</v>
      </c>
      <c r="I1134" s="1693">
        <f t="shared" si="225"/>
        <v>0</v>
      </c>
      <c r="J1134" s="1693">
        <f t="shared" si="225"/>
        <v>0</v>
      </c>
      <c r="K1134" s="1693">
        <f t="shared" si="225"/>
        <v>0</v>
      </c>
      <c r="L1134" s="1693">
        <f t="shared" si="225"/>
        <v>0</v>
      </c>
      <c r="M1134" s="1693">
        <f t="shared" si="225"/>
        <v>0</v>
      </c>
      <c r="N1134" s="1693">
        <f t="shared" si="225"/>
        <v>0</v>
      </c>
      <c r="O1134" s="1693"/>
      <c r="P1134" s="1693"/>
      <c r="Q1134" s="989"/>
      <c r="R1134" s="989"/>
      <c r="S1134" s="989"/>
      <c r="T1134" s="1862">
        <f t="shared" si="214"/>
        <v>0</v>
      </c>
    </row>
    <row r="1135" spans="1:20" ht="22.2" hidden="1" customHeight="1">
      <c r="A1135" s="1448">
        <f>COUNTIF($C$12:C1135,"x")</f>
        <v>87</v>
      </c>
      <c r="B1135" s="1452" t="s">
        <v>632</v>
      </c>
      <c r="C1135" s="970" t="str">
        <f t="shared" si="212"/>
        <v xml:space="preserve"> </v>
      </c>
      <c r="D1135" s="1412"/>
      <c r="E1135" s="981"/>
      <c r="F1135" s="1276" t="s">
        <v>2462</v>
      </c>
      <c r="G1135" s="982" t="s">
        <v>2385</v>
      </c>
      <c r="H1135" s="1691">
        <f>SUM(I1135:O1135)</f>
        <v>0</v>
      </c>
      <c r="I1135" s="1692"/>
      <c r="J1135" s="1692"/>
      <c r="K1135" s="1692">
        <f>IFERROR(HLOOKUP(B1135,pp3p1m!$1:$3,2,0),0)</f>
        <v>0</v>
      </c>
      <c r="L1135" s="1692">
        <f>IFERROR(HLOOKUP(chitiet!B1135,pp1p!$1:$3,3,0),0)</f>
        <v>0</v>
      </c>
      <c r="M1135" s="1692"/>
      <c r="N1135" s="1692"/>
      <c r="O1135" s="1692"/>
      <c r="P1135" s="2674">
        <f>T1135</f>
        <v>0</v>
      </c>
      <c r="Q1135" s="983">
        <f>IF(P1135&gt;H1135,P1135-H1135,0)</f>
        <v>0</v>
      </c>
      <c r="R1135" s="983">
        <f>IF(H1135&gt;P1135,H1135-P1135,0)</f>
        <v>0</v>
      </c>
      <c r="S1135" s="983"/>
      <c r="T1135" s="1862">
        <f>IFERROR(HLOOKUP(B1135,pp1p!$1:$3,3,0),0)+IFERROR(HLOOKUP(B1135,pp3p1m!$1:$3,3,0),0)</f>
        <v>0</v>
      </c>
    </row>
    <row r="1136" spans="1:20" ht="22.2" hidden="1" customHeight="1">
      <c r="A1136" s="1448">
        <f>COUNTIF($C$12:C1136,"x")</f>
        <v>87</v>
      </c>
      <c r="B1136" s="1455" t="s">
        <v>1061</v>
      </c>
      <c r="C1136" s="970" t="str">
        <f t="shared" si="212"/>
        <v xml:space="preserve"> </v>
      </c>
      <c r="D1136" s="1415">
        <v>1</v>
      </c>
      <c r="E1136" s="980"/>
      <c r="F1136" s="992" t="str">
        <f>VLOOKUP($B1136,DG!A:D,DG!$C$2,)</f>
        <v>Boulon mắt 16x250+ 2 long đền vuông D18-50x50x3/Zn</v>
      </c>
      <c r="G1136" s="980" t="str">
        <f>VLOOKUP($B1136,DG!A:D,DG!$D$2,)</f>
        <v>bộ</v>
      </c>
      <c r="H1136" s="1693">
        <f t="shared" ref="H1136:N1142" si="226">H$1135*$D1136</f>
        <v>0</v>
      </c>
      <c r="I1136" s="1693">
        <f t="shared" si="226"/>
        <v>0</v>
      </c>
      <c r="J1136" s="1693">
        <f t="shared" si="226"/>
        <v>0</v>
      </c>
      <c r="K1136" s="1693">
        <f t="shared" si="226"/>
        <v>0</v>
      </c>
      <c r="L1136" s="1693">
        <f t="shared" si="226"/>
        <v>0</v>
      </c>
      <c r="M1136" s="1693">
        <f t="shared" si="226"/>
        <v>0</v>
      </c>
      <c r="N1136" s="1693">
        <f t="shared" si="226"/>
        <v>0</v>
      </c>
      <c r="O1136" s="1693"/>
      <c r="P1136" s="1693"/>
      <c r="Q1136" s="989"/>
      <c r="R1136" s="989"/>
      <c r="S1136" s="989"/>
      <c r="T1136" s="1862">
        <f t="shared" si="214"/>
        <v>0</v>
      </c>
    </row>
    <row r="1137" spans="1:20" ht="22.2" hidden="1" customHeight="1">
      <c r="A1137" s="1448">
        <f>COUNTIF($C$12:C1137,"x")</f>
        <v>87</v>
      </c>
      <c r="B1137" s="1455" t="s">
        <v>111</v>
      </c>
      <c r="C1137" s="970" t="str">
        <f t="shared" si="212"/>
        <v xml:space="preserve"> </v>
      </c>
      <c r="D1137" s="1415">
        <v>1</v>
      </c>
      <c r="E1137" s="980"/>
      <c r="F1137" s="992" t="str">
        <f>VLOOKUP($B1137,DG!A:D,DG!$C$2,)</f>
        <v>Sứ chằng</v>
      </c>
      <c r="G1137" s="980" t="str">
        <f>VLOOKUP($B1137,DG!A:D,DG!$D$2,)</f>
        <v>cái</v>
      </c>
      <c r="H1137" s="1693">
        <f t="shared" si="226"/>
        <v>0</v>
      </c>
      <c r="I1137" s="1693">
        <f t="shared" si="226"/>
        <v>0</v>
      </c>
      <c r="J1137" s="1693">
        <f t="shared" si="226"/>
        <v>0</v>
      </c>
      <c r="K1137" s="1693">
        <f t="shared" si="226"/>
        <v>0</v>
      </c>
      <c r="L1137" s="1693">
        <f t="shared" si="226"/>
        <v>0</v>
      </c>
      <c r="M1137" s="1693">
        <f t="shared" si="226"/>
        <v>0</v>
      </c>
      <c r="N1137" s="1693">
        <f t="shared" si="226"/>
        <v>0</v>
      </c>
      <c r="O1137" s="1693"/>
      <c r="P1137" s="1693"/>
      <c r="Q1137" s="989"/>
      <c r="R1137" s="989"/>
      <c r="S1137" s="989"/>
      <c r="T1137" s="1862">
        <f t="shared" si="214"/>
        <v>0</v>
      </c>
    </row>
    <row r="1138" spans="1:20" ht="22.2" hidden="1" customHeight="1">
      <c r="A1138" s="1448">
        <f>COUNTIF($C$12:C1138,"x")</f>
        <v>87</v>
      </c>
      <c r="B1138" s="1455" t="s">
        <v>1578</v>
      </c>
      <c r="C1138" s="970" t="str">
        <f t="shared" si="212"/>
        <v xml:space="preserve"> </v>
      </c>
      <c r="D1138" s="1415">
        <v>4</v>
      </c>
      <c r="E1138" s="980"/>
      <c r="F1138" s="992" t="str">
        <f>VLOOKUP($B1138,DG!A:D,DG!$C$2,)</f>
        <v>Kẹp cáp 3 boulon</v>
      </c>
      <c r="G1138" s="980" t="str">
        <f>VLOOKUP($B1138,DG!A:D,DG!$D$2,)</f>
        <v>cái</v>
      </c>
      <c r="H1138" s="1693">
        <f t="shared" si="226"/>
        <v>0</v>
      </c>
      <c r="I1138" s="1693">
        <f t="shared" si="226"/>
        <v>0</v>
      </c>
      <c r="J1138" s="1693">
        <f t="shared" si="226"/>
        <v>0</v>
      </c>
      <c r="K1138" s="1693">
        <f t="shared" si="226"/>
        <v>0</v>
      </c>
      <c r="L1138" s="1693">
        <f t="shared" si="226"/>
        <v>0</v>
      </c>
      <c r="M1138" s="1693">
        <f t="shared" si="226"/>
        <v>0</v>
      </c>
      <c r="N1138" s="1693">
        <f t="shared" si="226"/>
        <v>0</v>
      </c>
      <c r="O1138" s="1693"/>
      <c r="P1138" s="1693"/>
      <c r="Q1138" s="989"/>
      <c r="R1138" s="989"/>
      <c r="S1138" s="989"/>
      <c r="T1138" s="1862">
        <f t="shared" si="214"/>
        <v>0</v>
      </c>
    </row>
    <row r="1139" spans="1:20" ht="22.2" hidden="1" customHeight="1">
      <c r="A1139" s="1448">
        <f>COUNTIF($C$12:C1139,"x")</f>
        <v>87</v>
      </c>
      <c r="B1139" s="1455" t="s">
        <v>275</v>
      </c>
      <c r="C1139" s="970" t="str">
        <f t="shared" si="212"/>
        <v xml:space="preserve"> </v>
      </c>
      <c r="D1139" s="1415">
        <f>15*0.38</f>
        <v>5.7</v>
      </c>
      <c r="E1139" s="980"/>
      <c r="F1139" s="992" t="str">
        <f>VLOOKUP($B1139,DG!A:D,DG!$C$2,)</f>
        <v>Cáp thép 3/8"</v>
      </c>
      <c r="G1139" s="980" t="str">
        <f>VLOOKUP($B1139,DG!A:D,DG!$D$2,)</f>
        <v>kg</v>
      </c>
      <c r="H1139" s="1693">
        <f t="shared" si="226"/>
        <v>0</v>
      </c>
      <c r="I1139" s="1693">
        <f t="shared" si="226"/>
        <v>0</v>
      </c>
      <c r="J1139" s="1693">
        <f t="shared" si="226"/>
        <v>0</v>
      </c>
      <c r="K1139" s="1693">
        <f t="shared" si="226"/>
        <v>0</v>
      </c>
      <c r="L1139" s="1693">
        <f t="shared" si="226"/>
        <v>0</v>
      </c>
      <c r="M1139" s="1693">
        <f t="shared" si="226"/>
        <v>0</v>
      </c>
      <c r="N1139" s="1693">
        <f t="shared" si="226"/>
        <v>0</v>
      </c>
      <c r="O1139" s="1693"/>
      <c r="P1139" s="1693"/>
      <c r="Q1139" s="989"/>
      <c r="R1139" s="989"/>
      <c r="S1139" s="989"/>
      <c r="T1139" s="1862">
        <f t="shared" si="214"/>
        <v>0</v>
      </c>
    </row>
    <row r="1140" spans="1:20" ht="22.2" hidden="1" customHeight="1">
      <c r="A1140" s="1448">
        <f>COUNTIF($C$12:C1140,"x")</f>
        <v>87</v>
      </c>
      <c r="B1140" s="1455" t="s">
        <v>188</v>
      </c>
      <c r="C1140" s="970" t="str">
        <f t="shared" si="212"/>
        <v xml:space="preserve"> </v>
      </c>
      <c r="D1140" s="1415">
        <v>1</v>
      </c>
      <c r="E1140" s="980"/>
      <c r="F1140" s="992" t="str">
        <f>VLOOKUP($B1140,DG!A:D,DG!$C$2,)</f>
        <v>Bộ chống chằng hẹp Ø60/50x1200+2BL12x40+BL16x200/50</v>
      </c>
      <c r="G1140" s="980" t="str">
        <f>VLOOKUP($B1140,DG!A:D,DG!$D$2,)</f>
        <v>bộ</v>
      </c>
      <c r="H1140" s="1693">
        <f t="shared" si="226"/>
        <v>0</v>
      </c>
      <c r="I1140" s="1693">
        <f t="shared" si="226"/>
        <v>0</v>
      </c>
      <c r="J1140" s="1693">
        <f t="shared" si="226"/>
        <v>0</v>
      </c>
      <c r="K1140" s="1693">
        <f t="shared" si="226"/>
        <v>0</v>
      </c>
      <c r="L1140" s="1693">
        <f t="shared" si="226"/>
        <v>0</v>
      </c>
      <c r="M1140" s="1693">
        <f t="shared" si="226"/>
        <v>0</v>
      </c>
      <c r="N1140" s="1693">
        <f t="shared" si="226"/>
        <v>0</v>
      </c>
      <c r="O1140" s="1693"/>
      <c r="P1140" s="1693"/>
      <c r="Q1140" s="989"/>
      <c r="R1140" s="989"/>
      <c r="S1140" s="989"/>
      <c r="T1140" s="1862">
        <f t="shared" si="214"/>
        <v>0</v>
      </c>
    </row>
    <row r="1141" spans="1:20" ht="22.2" hidden="1" customHeight="1">
      <c r="A1141" s="1448">
        <f>COUNTIF($C$12:C1141,"x")</f>
        <v>87</v>
      </c>
      <c r="B1141" s="1455" t="s">
        <v>2000</v>
      </c>
      <c r="C1141" s="970" t="str">
        <f t="shared" si="212"/>
        <v xml:space="preserve"> </v>
      </c>
      <c r="D1141" s="1415">
        <v>2</v>
      </c>
      <c r="E1141" s="980"/>
      <c r="F1141" s="992" t="str">
        <f>VLOOKUP($B1141,DG!A:D,DG!$C$2,)</f>
        <v>Yếm cáp dày 2mm</v>
      </c>
      <c r="G1141" s="980" t="str">
        <f>VLOOKUP($B1141,DG!A:D,DG!$D$2,)</f>
        <v>cái</v>
      </c>
      <c r="H1141" s="1693">
        <f t="shared" si="226"/>
        <v>0</v>
      </c>
      <c r="I1141" s="1693">
        <f t="shared" si="226"/>
        <v>0</v>
      </c>
      <c r="J1141" s="1693">
        <f t="shared" si="226"/>
        <v>0</v>
      </c>
      <c r="K1141" s="1693">
        <f t="shared" si="226"/>
        <v>0</v>
      </c>
      <c r="L1141" s="1693">
        <f t="shared" si="226"/>
        <v>0</v>
      </c>
      <c r="M1141" s="1693">
        <f t="shared" si="226"/>
        <v>0</v>
      </c>
      <c r="N1141" s="1693">
        <f t="shared" si="226"/>
        <v>0</v>
      </c>
      <c r="O1141" s="1693"/>
      <c r="P1141" s="1693"/>
      <c r="Q1141" s="989"/>
      <c r="R1141" s="989"/>
      <c r="S1141" s="989"/>
      <c r="T1141" s="1862">
        <f t="shared" si="214"/>
        <v>0</v>
      </c>
    </row>
    <row r="1142" spans="1:20" ht="22.2" hidden="1" customHeight="1">
      <c r="A1142" s="1448">
        <f>COUNTIF($C$12:C1142,"x")</f>
        <v>87</v>
      </c>
      <c r="B1142" s="1455" t="s">
        <v>2001</v>
      </c>
      <c r="C1142" s="970" t="str">
        <f t="shared" si="212"/>
        <v xml:space="preserve"> </v>
      </c>
      <c r="D1142" s="1415">
        <v>1</v>
      </c>
      <c r="E1142" s="980"/>
      <c r="F1142" s="992" t="str">
        <f>VLOOKUP($B1142,DG!A:D,DG!$C$2,)</f>
        <v>Máng che dây chằng dày 1,6mm</v>
      </c>
      <c r="G1142" s="980" t="str">
        <f>VLOOKUP($B1142,DG!A:D,DG!$D$2,)</f>
        <v>cái</v>
      </c>
      <c r="H1142" s="1693">
        <f t="shared" si="226"/>
        <v>0</v>
      </c>
      <c r="I1142" s="1693">
        <f t="shared" si="226"/>
        <v>0</v>
      </c>
      <c r="J1142" s="1693">
        <f t="shared" si="226"/>
        <v>0</v>
      </c>
      <c r="K1142" s="1693">
        <f t="shared" si="226"/>
        <v>0</v>
      </c>
      <c r="L1142" s="1693">
        <f t="shared" si="226"/>
        <v>0</v>
      </c>
      <c r="M1142" s="1693">
        <f t="shared" si="226"/>
        <v>0</v>
      </c>
      <c r="N1142" s="1693">
        <f t="shared" si="226"/>
        <v>0</v>
      </c>
      <c r="O1142" s="1693"/>
      <c r="P1142" s="1693"/>
      <c r="Q1142" s="989"/>
      <c r="R1142" s="989"/>
      <c r="S1142" s="989"/>
      <c r="T1142" s="1862">
        <f t="shared" si="214"/>
        <v>0</v>
      </c>
    </row>
    <row r="1143" spans="1:20" ht="22.2" hidden="1" customHeight="1">
      <c r="A1143" s="1448">
        <f>COUNTIF($C$12:C1143,"x")</f>
        <v>87</v>
      </c>
      <c r="B1143" s="1455" t="s">
        <v>1918</v>
      </c>
      <c r="C1143" s="970" t="str">
        <f t="shared" si="212"/>
        <v xml:space="preserve"> </v>
      </c>
      <c r="D1143" s="1415">
        <f>D1136</f>
        <v>1</v>
      </c>
      <c r="E1143" s="980" t="str">
        <f>VLOOKUP($B1143,DG!A:D,DG!$B$2,)</f>
        <v>06.3241</v>
      </c>
      <c r="F1143" s="985" t="str">
        <f>VLOOKUP($B1143,DG!A:D,DG!$C$2,)</f>
        <v>Lắp bộ dây néo</v>
      </c>
      <c r="G1143" s="980" t="str">
        <f>VLOOKUP($B1143,DG!A:D,DG!$D$2,)</f>
        <v>bộ</v>
      </c>
      <c r="H1143" s="1693"/>
      <c r="I1143" s="1693"/>
      <c r="J1143" s="1693"/>
      <c r="K1143" s="1693"/>
      <c r="L1143" s="1693"/>
      <c r="M1143" s="1693"/>
      <c r="N1143" s="1693"/>
      <c r="O1143" s="1693"/>
      <c r="P1143" s="1693"/>
      <c r="Q1143" s="994"/>
      <c r="R1143" s="994"/>
      <c r="S1143" s="994"/>
      <c r="T1143" s="1862">
        <f t="shared" si="214"/>
        <v>0</v>
      </c>
    </row>
    <row r="1144" spans="1:20" ht="22.2" hidden="1" customHeight="1">
      <c r="A1144" s="1448">
        <f>COUNTIF($C$12:C1144,"x")</f>
        <v>87</v>
      </c>
      <c r="B1144" s="1455" t="s">
        <v>1906</v>
      </c>
      <c r="C1144" s="970" t="str">
        <f t="shared" si="212"/>
        <v xml:space="preserve"> </v>
      </c>
      <c r="D1144" s="1415"/>
      <c r="E1144" s="980" t="str">
        <f>VLOOKUP($B1144,DG!A:D,DG!$B$2,)</f>
        <v>05.6011</v>
      </c>
      <c r="F1144" s="985" t="str">
        <f>VLOOKUP($B1144,DG!A:D,DG!$C$2,)</f>
        <v>Lắp bộ chống lệch</v>
      </c>
      <c r="G1144" s="980" t="str">
        <f>VLOOKUP($B1144,DG!A:D,DG!$D$2,)</f>
        <v>bộ</v>
      </c>
      <c r="H1144" s="1693"/>
      <c r="I1144" s="1693"/>
      <c r="J1144" s="1693"/>
      <c r="K1144" s="1693"/>
      <c r="L1144" s="1693"/>
      <c r="M1144" s="1693"/>
      <c r="N1144" s="1693"/>
      <c r="O1144" s="1693"/>
      <c r="P1144" s="1693"/>
      <c r="Q1144" s="994"/>
      <c r="R1144" s="994"/>
      <c r="S1144" s="994"/>
      <c r="T1144" s="1862">
        <f t="shared" si="214"/>
        <v>0</v>
      </c>
    </row>
    <row r="1145" spans="1:20" ht="22.2" hidden="1" customHeight="1">
      <c r="A1145" s="1448">
        <f>COUNTIF($C$12:C1145,"x")</f>
        <v>87</v>
      </c>
      <c r="B1145" s="1464" t="s">
        <v>356</v>
      </c>
      <c r="C1145" s="970" t="str">
        <f t="shared" si="212"/>
        <v xml:space="preserve"> </v>
      </c>
      <c r="D1145" s="1414"/>
      <c r="E1145" s="980" t="str">
        <f>VLOOKUP($B1145,DG!A:C,2,)</f>
        <v>02.1421</v>
      </c>
      <c r="F1145" s="985" t="str">
        <f>VLOOKUP($B1145,DG!A:C,3,)</f>
        <v>V/c phụ kiện vào vị trí (cự ly &lt;=100m)</v>
      </c>
      <c r="G1145" s="980" t="str">
        <f>VLOOKUP($B1145,DG!A:D,4,0)</f>
        <v>tấn</v>
      </c>
      <c r="H1145" s="1693"/>
      <c r="I1145" s="1693"/>
      <c r="J1145" s="1693"/>
      <c r="K1145" s="1693"/>
      <c r="L1145" s="1693"/>
      <c r="M1145" s="1693"/>
      <c r="N1145" s="1693"/>
      <c r="O1145" s="1693"/>
      <c r="P1145" s="1693"/>
      <c r="Q1145" s="994"/>
      <c r="R1145" s="994"/>
      <c r="S1145" s="994"/>
      <c r="T1145" s="1862">
        <f t="shared" si="214"/>
        <v>0</v>
      </c>
    </row>
    <row r="1146" spans="1:20" ht="22.2" hidden="1" customHeight="1">
      <c r="A1146" s="1448">
        <f>COUNTIF($C$12:C1146,"x")</f>
        <v>87</v>
      </c>
      <c r="B1146" s="1452" t="s">
        <v>835</v>
      </c>
      <c r="C1146" s="970" t="str">
        <f t="shared" si="212"/>
        <v xml:space="preserve"> </v>
      </c>
      <c r="D1146" s="1412"/>
      <c r="E1146" s="981"/>
      <c r="F1146" s="1276" t="s">
        <v>2463</v>
      </c>
      <c r="G1146" s="982" t="s">
        <v>2385</v>
      </c>
      <c r="H1146" s="1691">
        <f>SUM(I1146:O1146)</f>
        <v>0</v>
      </c>
      <c r="I1146" s="1692"/>
      <c r="J1146" s="1692"/>
      <c r="K1146" s="1692">
        <f>IFERROR(HLOOKUP(B1146,pp3p1m!$1:$3,2,0),0)</f>
        <v>0</v>
      </c>
      <c r="L1146" s="1692">
        <f>IFERROR(HLOOKUP(chitiet!B1146,pp1p!$1:$3,3,0),0)</f>
        <v>0</v>
      </c>
      <c r="M1146" s="1692"/>
      <c r="N1146" s="1692"/>
      <c r="O1146" s="1692"/>
      <c r="P1146" s="2674">
        <f>T1146</f>
        <v>0</v>
      </c>
      <c r="Q1146" s="983">
        <f>IF(P1146&gt;H1146,P1146-H1146,0)</f>
        <v>0</v>
      </c>
      <c r="R1146" s="983">
        <f>IF(H1146&gt;P1146,H1146-P1146,0)</f>
        <v>0</v>
      </c>
      <c r="S1146" s="983"/>
      <c r="T1146" s="1862">
        <f>IFERROR(HLOOKUP(B1146,pp1p!$1:$3,3,0),0)+IFERROR(HLOOKUP(B1146,pp3p1m!$1:$3,3,0),0)</f>
        <v>0</v>
      </c>
    </row>
    <row r="1147" spans="1:20" ht="22.2" hidden="1" customHeight="1">
      <c r="A1147" s="1448">
        <f>COUNTIF($C$12:C1147,"x")</f>
        <v>87</v>
      </c>
      <c r="B1147" s="1455" t="s">
        <v>1061</v>
      </c>
      <c r="C1147" s="970" t="str">
        <f t="shared" si="212"/>
        <v xml:space="preserve"> </v>
      </c>
      <c r="D1147" s="1415">
        <v>1</v>
      </c>
      <c r="E1147" s="980"/>
      <c r="F1147" s="992" t="str">
        <f>VLOOKUP($B1147,DG!A:D,DG!$C$2,)</f>
        <v>Boulon mắt 16x250+ 2 long đền vuông D18-50x50x3/Zn</v>
      </c>
      <c r="G1147" s="980" t="str">
        <f>VLOOKUP($B1147,DG!A:D,DG!$D$2,)</f>
        <v>bộ</v>
      </c>
      <c r="H1147" s="1693">
        <f t="shared" ref="H1147:N1152" si="227">H$1146*$D1147</f>
        <v>0</v>
      </c>
      <c r="I1147" s="1693">
        <f t="shared" si="227"/>
        <v>0</v>
      </c>
      <c r="J1147" s="1693">
        <f t="shared" si="227"/>
        <v>0</v>
      </c>
      <c r="K1147" s="1693">
        <f t="shared" si="227"/>
        <v>0</v>
      </c>
      <c r="L1147" s="1693">
        <f t="shared" si="227"/>
        <v>0</v>
      </c>
      <c r="M1147" s="1693">
        <f t="shared" si="227"/>
        <v>0</v>
      </c>
      <c r="N1147" s="1693">
        <f t="shared" si="227"/>
        <v>0</v>
      </c>
      <c r="O1147" s="1693"/>
      <c r="P1147" s="1693"/>
      <c r="Q1147" s="989"/>
      <c r="R1147" s="989"/>
      <c r="S1147" s="989"/>
      <c r="T1147" s="1862">
        <f t="shared" si="214"/>
        <v>0</v>
      </c>
    </row>
    <row r="1148" spans="1:20" ht="22.2" hidden="1" customHeight="1">
      <c r="A1148" s="1448">
        <f>COUNTIF($C$12:C1148,"x")</f>
        <v>87</v>
      </c>
      <c r="B1148" s="1455" t="s">
        <v>111</v>
      </c>
      <c r="C1148" s="970" t="str">
        <f t="shared" si="212"/>
        <v xml:space="preserve"> </v>
      </c>
      <c r="D1148" s="1415">
        <v>1</v>
      </c>
      <c r="E1148" s="980"/>
      <c r="F1148" s="992" t="str">
        <f>VLOOKUP($B1148,DG!A:D,DG!$C$2,)</f>
        <v>Sứ chằng</v>
      </c>
      <c r="G1148" s="980" t="str">
        <f>VLOOKUP($B1148,DG!A:D,DG!$D$2,)</f>
        <v>cái</v>
      </c>
      <c r="H1148" s="1693">
        <f t="shared" si="227"/>
        <v>0</v>
      </c>
      <c r="I1148" s="1693">
        <f t="shared" si="227"/>
        <v>0</v>
      </c>
      <c r="J1148" s="1693">
        <f t="shared" si="227"/>
        <v>0</v>
      </c>
      <c r="K1148" s="1693">
        <f t="shared" si="227"/>
        <v>0</v>
      </c>
      <c r="L1148" s="1693">
        <f t="shared" si="227"/>
        <v>0</v>
      </c>
      <c r="M1148" s="1693">
        <f t="shared" si="227"/>
        <v>0</v>
      </c>
      <c r="N1148" s="1693">
        <f t="shared" si="227"/>
        <v>0</v>
      </c>
      <c r="O1148" s="1693"/>
      <c r="P1148" s="1693"/>
      <c r="Q1148" s="989"/>
      <c r="R1148" s="989"/>
      <c r="S1148" s="989"/>
      <c r="T1148" s="1862">
        <f t="shared" si="214"/>
        <v>0</v>
      </c>
    </row>
    <row r="1149" spans="1:20" ht="22.2" hidden="1" customHeight="1">
      <c r="A1149" s="1448">
        <f>COUNTIF($C$12:C1149,"x")</f>
        <v>87</v>
      </c>
      <c r="B1149" s="1455" t="s">
        <v>1578</v>
      </c>
      <c r="C1149" s="970" t="str">
        <f t="shared" si="212"/>
        <v xml:space="preserve"> </v>
      </c>
      <c r="D1149" s="1415">
        <v>8</v>
      </c>
      <c r="E1149" s="980"/>
      <c r="F1149" s="992" t="str">
        <f>VLOOKUP($B1149,DG!A:D,DG!$C$2,)</f>
        <v>Kẹp cáp 3 boulon</v>
      </c>
      <c r="G1149" s="980" t="str">
        <f>VLOOKUP($B1149,DG!A:D,DG!$D$2,)</f>
        <v>cái</v>
      </c>
      <c r="H1149" s="1693">
        <f t="shared" si="227"/>
        <v>0</v>
      </c>
      <c r="I1149" s="1693">
        <f t="shared" si="227"/>
        <v>0</v>
      </c>
      <c r="J1149" s="1693">
        <f t="shared" si="227"/>
        <v>0</v>
      </c>
      <c r="K1149" s="1693">
        <f t="shared" si="227"/>
        <v>0</v>
      </c>
      <c r="L1149" s="1693">
        <f t="shared" si="227"/>
        <v>0</v>
      </c>
      <c r="M1149" s="1693">
        <f t="shared" si="227"/>
        <v>0</v>
      </c>
      <c r="N1149" s="1693">
        <f t="shared" si="227"/>
        <v>0</v>
      </c>
      <c r="O1149" s="1693"/>
      <c r="P1149" s="1693"/>
      <c r="Q1149" s="989"/>
      <c r="R1149" s="989"/>
      <c r="S1149" s="989"/>
      <c r="T1149" s="1862">
        <f t="shared" ref="T1149:T1214" si="228">IFERROR(HLOOKUP(B1149,BangKeTru,3,0),0)</f>
        <v>0</v>
      </c>
    </row>
    <row r="1150" spans="1:20" ht="22.2" hidden="1" customHeight="1">
      <c r="A1150" s="1448">
        <f>COUNTIF($C$12:C1150,"x")</f>
        <v>87</v>
      </c>
      <c r="B1150" s="1455" t="s">
        <v>275</v>
      </c>
      <c r="C1150" s="970" t="str">
        <f t="shared" si="212"/>
        <v xml:space="preserve"> </v>
      </c>
      <c r="D1150" s="1415">
        <v>16</v>
      </c>
      <c r="E1150" s="980"/>
      <c r="F1150" s="992" t="str">
        <f>VLOOKUP($B1150,DG!A:D,DG!$C$2,)</f>
        <v>Cáp thép 3/8"</v>
      </c>
      <c r="G1150" s="980" t="str">
        <f>VLOOKUP($B1150,DG!A:D,DG!$D$2,)</f>
        <v>kg</v>
      </c>
      <c r="H1150" s="1693">
        <f t="shared" si="227"/>
        <v>0</v>
      </c>
      <c r="I1150" s="1693">
        <f t="shared" si="227"/>
        <v>0</v>
      </c>
      <c r="J1150" s="1693">
        <f t="shared" si="227"/>
        <v>0</v>
      </c>
      <c r="K1150" s="1693">
        <f t="shared" si="227"/>
        <v>0</v>
      </c>
      <c r="L1150" s="1693">
        <f t="shared" si="227"/>
        <v>0</v>
      </c>
      <c r="M1150" s="1693">
        <f t="shared" si="227"/>
        <v>0</v>
      </c>
      <c r="N1150" s="1693">
        <f t="shared" si="227"/>
        <v>0</v>
      </c>
      <c r="O1150" s="1693"/>
      <c r="P1150" s="1693"/>
      <c r="Q1150" s="989"/>
      <c r="R1150" s="989"/>
      <c r="S1150" s="989"/>
      <c r="T1150" s="1862">
        <f t="shared" si="228"/>
        <v>0</v>
      </c>
    </row>
    <row r="1151" spans="1:20" ht="22.2" hidden="1" customHeight="1">
      <c r="A1151" s="1448">
        <f>COUNTIF($C$12:C1151,"x")</f>
        <v>87</v>
      </c>
      <c r="B1151" s="1455" t="s">
        <v>2000</v>
      </c>
      <c r="C1151" s="970" t="str">
        <f t="shared" si="212"/>
        <v xml:space="preserve"> </v>
      </c>
      <c r="D1151" s="1415">
        <v>2</v>
      </c>
      <c r="E1151" s="980"/>
      <c r="F1151" s="992" t="str">
        <f>VLOOKUP($B1151,DG!A:D,DG!$C$2,)</f>
        <v>Yếm cáp dày 2mm</v>
      </c>
      <c r="G1151" s="980" t="str">
        <f>VLOOKUP($B1151,DG!A:D,DG!$D$2,)</f>
        <v>cái</v>
      </c>
      <c r="H1151" s="1693">
        <f t="shared" si="227"/>
        <v>0</v>
      </c>
      <c r="I1151" s="1693">
        <f t="shared" si="227"/>
        <v>0</v>
      </c>
      <c r="J1151" s="1693">
        <f t="shared" si="227"/>
        <v>0</v>
      </c>
      <c r="K1151" s="1693">
        <f t="shared" si="227"/>
        <v>0</v>
      </c>
      <c r="L1151" s="1693">
        <f t="shared" si="227"/>
        <v>0</v>
      </c>
      <c r="M1151" s="1693">
        <f t="shared" si="227"/>
        <v>0</v>
      </c>
      <c r="N1151" s="1693">
        <f t="shared" si="227"/>
        <v>0</v>
      </c>
      <c r="O1151" s="1693"/>
      <c r="P1151" s="1693"/>
      <c r="Q1151" s="989"/>
      <c r="R1151" s="989"/>
      <c r="S1151" s="989"/>
      <c r="T1151" s="1862">
        <f t="shared" si="228"/>
        <v>0</v>
      </c>
    </row>
    <row r="1152" spans="1:20" ht="22.2" hidden="1" customHeight="1">
      <c r="A1152" s="1448">
        <f>COUNTIF($C$12:C1152,"x")</f>
        <v>87</v>
      </c>
      <c r="B1152" s="1455" t="s">
        <v>2001</v>
      </c>
      <c r="C1152" s="970" t="str">
        <f t="shared" si="212"/>
        <v xml:space="preserve"> </v>
      </c>
      <c r="D1152" s="1415">
        <v>1</v>
      </c>
      <c r="E1152" s="980"/>
      <c r="F1152" s="992" t="str">
        <f>VLOOKUP($B1152,DG!A:D,DG!$C$2,)</f>
        <v>Máng che dây chằng dày 1,6mm</v>
      </c>
      <c r="G1152" s="980" t="str">
        <f>VLOOKUP($B1152,DG!A:D,DG!$D$2,)</f>
        <v>cái</v>
      </c>
      <c r="H1152" s="1693">
        <f t="shared" si="227"/>
        <v>0</v>
      </c>
      <c r="I1152" s="1693">
        <f t="shared" si="227"/>
        <v>0</v>
      </c>
      <c r="J1152" s="1693">
        <f t="shared" si="227"/>
        <v>0</v>
      </c>
      <c r="K1152" s="1693">
        <f t="shared" si="227"/>
        <v>0</v>
      </c>
      <c r="L1152" s="1693">
        <f t="shared" si="227"/>
        <v>0</v>
      </c>
      <c r="M1152" s="1693">
        <f t="shared" si="227"/>
        <v>0</v>
      </c>
      <c r="N1152" s="1693">
        <f t="shared" si="227"/>
        <v>0</v>
      </c>
      <c r="O1152" s="1693"/>
      <c r="P1152" s="1693"/>
      <c r="Q1152" s="989"/>
      <c r="R1152" s="989"/>
      <c r="S1152" s="989"/>
      <c r="T1152" s="1862">
        <f t="shared" si="228"/>
        <v>0</v>
      </c>
    </row>
    <row r="1153" spans="1:20" ht="22.2" hidden="1" customHeight="1">
      <c r="A1153" s="1448">
        <f>COUNTIF($C$12:C1153,"x")</f>
        <v>87</v>
      </c>
      <c r="B1153" s="1455" t="s">
        <v>1918</v>
      </c>
      <c r="C1153" s="970" t="str">
        <f t="shared" si="212"/>
        <v xml:space="preserve"> </v>
      </c>
      <c r="D1153" s="1415">
        <f>D1147</f>
        <v>1</v>
      </c>
      <c r="E1153" s="980" t="str">
        <f>VLOOKUP($B1153,DG!A:D,DG!$B$2,)</f>
        <v>06.3241</v>
      </c>
      <c r="F1153" s="985" t="str">
        <f>VLOOKUP($B1153,DG!A:D,DG!$C$2,)</f>
        <v>Lắp bộ dây néo</v>
      </c>
      <c r="G1153" s="980" t="str">
        <f>VLOOKUP($B1153,DG!A:D,DG!$D$2,)</f>
        <v>bộ</v>
      </c>
      <c r="H1153" s="1693"/>
      <c r="I1153" s="1693"/>
      <c r="J1153" s="1693"/>
      <c r="K1153" s="1693"/>
      <c r="L1153" s="1693"/>
      <c r="M1153" s="1693"/>
      <c r="N1153" s="1693"/>
      <c r="O1153" s="1693"/>
      <c r="P1153" s="1693"/>
      <c r="Q1153" s="994"/>
      <c r="R1153" s="994"/>
      <c r="S1153" s="994"/>
      <c r="T1153" s="1862">
        <f t="shared" si="228"/>
        <v>0</v>
      </c>
    </row>
    <row r="1154" spans="1:20" ht="22.2" hidden="1" customHeight="1">
      <c r="A1154" s="1448">
        <f>COUNTIF($C$12:C1154,"x")</f>
        <v>87</v>
      </c>
      <c r="B1154" s="1464" t="s">
        <v>356</v>
      </c>
      <c r="C1154" s="970" t="str">
        <f t="shared" si="212"/>
        <v xml:space="preserve"> </v>
      </c>
      <c r="D1154" s="1414">
        <v>0.02</v>
      </c>
      <c r="E1154" s="980" t="str">
        <f>VLOOKUP($B1154,DG!A:C,2,)</f>
        <v>02.1421</v>
      </c>
      <c r="F1154" s="985" t="str">
        <f>VLOOKUP($B1154,DG!A:C,3,)</f>
        <v>V/c phụ kiện vào vị trí (cự ly &lt;=100m)</v>
      </c>
      <c r="G1154" s="980" t="str">
        <f>VLOOKUP($B1154,DG!A:D,4,0)</f>
        <v>tấn</v>
      </c>
      <c r="H1154" s="1693"/>
      <c r="I1154" s="1693"/>
      <c r="J1154" s="1693"/>
      <c r="K1154" s="1693"/>
      <c r="L1154" s="1693"/>
      <c r="M1154" s="1693"/>
      <c r="N1154" s="1693"/>
      <c r="O1154" s="1693"/>
      <c r="P1154" s="1693"/>
      <c r="Q1154" s="994"/>
      <c r="R1154" s="994"/>
      <c r="S1154" s="994"/>
      <c r="T1154" s="1862">
        <f t="shared" si="228"/>
        <v>0</v>
      </c>
    </row>
    <row r="1155" spans="1:20" ht="22.2" hidden="1" customHeight="1">
      <c r="A1155" s="1448">
        <f>COUNTIF($C$12:C1155,"x")</f>
        <v>87</v>
      </c>
      <c r="B1155" s="1452" t="s">
        <v>836</v>
      </c>
      <c r="C1155" s="970" t="str">
        <f t="shared" si="212"/>
        <v xml:space="preserve"> </v>
      </c>
      <c r="D1155" s="1412"/>
      <c r="E1155" s="981"/>
      <c r="F1155" s="1276" t="s">
        <v>2464</v>
      </c>
      <c r="G1155" s="982" t="s">
        <v>2385</v>
      </c>
      <c r="H1155" s="1691">
        <f>SUM(I1155:O1155)</f>
        <v>0</v>
      </c>
      <c r="I1155" s="1692"/>
      <c r="J1155" s="1692"/>
      <c r="K1155" s="1692">
        <f>IFERROR(HLOOKUP(B1155,pp3p1m!$1:$3,2,0),0)</f>
        <v>0</v>
      </c>
      <c r="L1155" s="1692">
        <f>IFERROR(HLOOKUP(chitiet!B1155,pp1p!$1:$3,3,0),0)</f>
        <v>0</v>
      </c>
      <c r="M1155" s="1692"/>
      <c r="N1155" s="1692"/>
      <c r="O1155" s="1692"/>
      <c r="P1155" s="2674">
        <f>T1155</f>
        <v>0</v>
      </c>
      <c r="Q1155" s="983">
        <f>IF(P1155&gt;H1155,P1155-H1155,0)</f>
        <v>0</v>
      </c>
      <c r="R1155" s="983">
        <f>IF(H1155&gt;P1155,H1155-P1155,0)</f>
        <v>0</v>
      </c>
      <c r="S1155" s="983"/>
      <c r="T1155" s="1862">
        <f>IFERROR(HLOOKUP(B1155,pp1p!$1:$3,3,0),0)+IFERROR(HLOOKUP(B1155,pp3p1m!$1:$3,3,0),0)</f>
        <v>0</v>
      </c>
    </row>
    <row r="1156" spans="1:20" ht="22.2" hidden="1" customHeight="1">
      <c r="A1156" s="1448">
        <f>COUNTIF($C$12:C1156,"x")</f>
        <v>87</v>
      </c>
      <c r="B1156" s="1455" t="s">
        <v>417</v>
      </c>
      <c r="C1156" s="970" t="str">
        <f t="shared" si="212"/>
        <v xml:space="preserve"> </v>
      </c>
      <c r="D1156" s="1415">
        <v>1</v>
      </c>
      <c r="E1156" s="980"/>
      <c r="F1156" s="992" t="str">
        <f>VLOOKUP($B1156,DG!A:D,DG!$C$2,)</f>
        <v>Boulon mắt 16x300+ 2 long đền vuông D18-50x50x3/Zn</v>
      </c>
      <c r="G1156" s="980" t="str">
        <f>VLOOKUP($B1156,DG!A:D,DG!$D$2,)</f>
        <v>bộ</v>
      </c>
      <c r="H1156" s="1693">
        <f t="shared" ref="H1156:N1162" si="229">H$1155*$D1156</f>
        <v>0</v>
      </c>
      <c r="I1156" s="1693">
        <f t="shared" si="229"/>
        <v>0</v>
      </c>
      <c r="J1156" s="1693">
        <f t="shared" si="229"/>
        <v>0</v>
      </c>
      <c r="K1156" s="1693">
        <f t="shared" si="229"/>
        <v>0</v>
      </c>
      <c r="L1156" s="1693">
        <f t="shared" si="229"/>
        <v>0</v>
      </c>
      <c r="M1156" s="1693">
        <f t="shared" si="229"/>
        <v>0</v>
      </c>
      <c r="N1156" s="1693">
        <f t="shared" si="229"/>
        <v>0</v>
      </c>
      <c r="O1156" s="1693"/>
      <c r="P1156" s="1693"/>
      <c r="Q1156" s="989"/>
      <c r="R1156" s="989"/>
      <c r="S1156" s="989"/>
      <c r="T1156" s="1862">
        <f t="shared" si="228"/>
        <v>0</v>
      </c>
    </row>
    <row r="1157" spans="1:20" ht="22.2" hidden="1" customHeight="1">
      <c r="A1157" s="1448">
        <f>COUNTIF($C$12:C1157,"x")</f>
        <v>87</v>
      </c>
      <c r="B1157" s="1455" t="s">
        <v>111</v>
      </c>
      <c r="C1157" s="970" t="str">
        <f t="shared" ref="C1157:C1222" si="230">IF(OR(P1157&lt;&gt;0,H1157&lt;&gt;0),"x"," ")</f>
        <v xml:space="preserve"> </v>
      </c>
      <c r="D1157" s="1415">
        <v>1</v>
      </c>
      <c r="E1157" s="980"/>
      <c r="F1157" s="992" t="str">
        <f>VLOOKUP($B1157,DG!A:D,DG!$C$2,)</f>
        <v>Sứ chằng</v>
      </c>
      <c r="G1157" s="980" t="str">
        <f>VLOOKUP($B1157,DG!A:D,DG!$D$2,)</f>
        <v>cái</v>
      </c>
      <c r="H1157" s="1693">
        <f t="shared" si="229"/>
        <v>0</v>
      </c>
      <c r="I1157" s="1693">
        <f t="shared" si="229"/>
        <v>0</v>
      </c>
      <c r="J1157" s="1693">
        <f t="shared" si="229"/>
        <v>0</v>
      </c>
      <c r="K1157" s="1693">
        <f t="shared" si="229"/>
        <v>0</v>
      </c>
      <c r="L1157" s="1693">
        <f t="shared" si="229"/>
        <v>0</v>
      </c>
      <c r="M1157" s="1693">
        <f t="shared" si="229"/>
        <v>0</v>
      </c>
      <c r="N1157" s="1693">
        <f t="shared" si="229"/>
        <v>0</v>
      </c>
      <c r="O1157" s="1693"/>
      <c r="P1157" s="1693"/>
      <c r="Q1157" s="989"/>
      <c r="R1157" s="989"/>
      <c r="S1157" s="989"/>
      <c r="T1157" s="1862">
        <f t="shared" si="228"/>
        <v>0</v>
      </c>
    </row>
    <row r="1158" spans="1:20" ht="22.2" hidden="1" customHeight="1">
      <c r="A1158" s="1448">
        <f>COUNTIF($C$12:C1158,"x")</f>
        <v>87</v>
      </c>
      <c r="B1158" s="1455" t="s">
        <v>1578</v>
      </c>
      <c r="C1158" s="970" t="str">
        <f t="shared" si="230"/>
        <v xml:space="preserve"> </v>
      </c>
      <c r="D1158" s="1415">
        <v>8</v>
      </c>
      <c r="E1158" s="980"/>
      <c r="F1158" s="992" t="str">
        <f>VLOOKUP($B1158,DG!A:D,DG!$C$2,)</f>
        <v>Kẹp cáp 3 boulon</v>
      </c>
      <c r="G1158" s="980" t="str">
        <f>VLOOKUP($B1158,DG!A:D,DG!$D$2,)</f>
        <v>cái</v>
      </c>
      <c r="H1158" s="1693">
        <f t="shared" si="229"/>
        <v>0</v>
      </c>
      <c r="I1158" s="1693">
        <f t="shared" si="229"/>
        <v>0</v>
      </c>
      <c r="J1158" s="1693">
        <f t="shared" si="229"/>
        <v>0</v>
      </c>
      <c r="K1158" s="1693">
        <f t="shared" si="229"/>
        <v>0</v>
      </c>
      <c r="L1158" s="1693">
        <f t="shared" si="229"/>
        <v>0</v>
      </c>
      <c r="M1158" s="1693">
        <f t="shared" si="229"/>
        <v>0</v>
      </c>
      <c r="N1158" s="1693">
        <f t="shared" si="229"/>
        <v>0</v>
      </c>
      <c r="O1158" s="1693"/>
      <c r="P1158" s="1693"/>
      <c r="Q1158" s="989"/>
      <c r="R1158" s="989"/>
      <c r="S1158" s="989"/>
      <c r="T1158" s="1862">
        <f t="shared" si="228"/>
        <v>0</v>
      </c>
    </row>
    <row r="1159" spans="1:20" ht="22.2" hidden="1" customHeight="1">
      <c r="A1159" s="1448">
        <f>COUNTIF($C$12:C1159,"x")</f>
        <v>87</v>
      </c>
      <c r="B1159" s="1455" t="s">
        <v>275</v>
      </c>
      <c r="C1159" s="970" t="str">
        <f t="shared" si="230"/>
        <v xml:space="preserve"> </v>
      </c>
      <c r="D1159" s="1415">
        <v>11</v>
      </c>
      <c r="E1159" s="980"/>
      <c r="F1159" s="992" t="str">
        <f>VLOOKUP($B1159,DG!A:D,DG!$C$2,)</f>
        <v>Cáp thép 3/8"</v>
      </c>
      <c r="G1159" s="980" t="str">
        <f>VLOOKUP($B1159,DG!A:D,DG!$D$2,)</f>
        <v>kg</v>
      </c>
      <c r="H1159" s="1693">
        <f t="shared" si="229"/>
        <v>0</v>
      </c>
      <c r="I1159" s="1693">
        <f t="shared" si="229"/>
        <v>0</v>
      </c>
      <c r="J1159" s="1693">
        <f t="shared" si="229"/>
        <v>0</v>
      </c>
      <c r="K1159" s="1693">
        <f t="shared" si="229"/>
        <v>0</v>
      </c>
      <c r="L1159" s="1693">
        <f t="shared" si="229"/>
        <v>0</v>
      </c>
      <c r="M1159" s="1693">
        <f t="shared" si="229"/>
        <v>0</v>
      </c>
      <c r="N1159" s="1693">
        <f t="shared" si="229"/>
        <v>0</v>
      </c>
      <c r="O1159" s="1693"/>
      <c r="P1159" s="1693"/>
      <c r="Q1159" s="989"/>
      <c r="R1159" s="989"/>
      <c r="S1159" s="989"/>
      <c r="T1159" s="1862">
        <f t="shared" si="228"/>
        <v>0</v>
      </c>
    </row>
    <row r="1160" spans="1:20" ht="22.2" hidden="1" customHeight="1">
      <c r="A1160" s="1448">
        <f>COUNTIF($C$12:C1160,"x")</f>
        <v>87</v>
      </c>
      <c r="B1160" s="1455" t="s">
        <v>607</v>
      </c>
      <c r="C1160" s="970" t="str">
        <f t="shared" si="230"/>
        <v xml:space="preserve"> </v>
      </c>
      <c r="D1160" s="1415">
        <v>1</v>
      </c>
      <c r="E1160" s="980"/>
      <c r="F1160" s="992" t="str">
        <f>VLOOKUP($B1160,DG!A:D,DG!$C$2,)</f>
        <v>Bộ chống chằng hẹp Ø60/50x1500+2BL12x40+BL16x250/80</v>
      </c>
      <c r="G1160" s="980" t="str">
        <f>VLOOKUP($B1160,DG!A:D,DG!$D$2,)</f>
        <v>bộ</v>
      </c>
      <c r="H1160" s="1693">
        <f t="shared" si="229"/>
        <v>0</v>
      </c>
      <c r="I1160" s="1693">
        <f t="shared" si="229"/>
        <v>0</v>
      </c>
      <c r="J1160" s="1693">
        <f t="shared" si="229"/>
        <v>0</v>
      </c>
      <c r="K1160" s="1693">
        <f t="shared" si="229"/>
        <v>0</v>
      </c>
      <c r="L1160" s="1693">
        <f t="shared" si="229"/>
        <v>0</v>
      </c>
      <c r="M1160" s="1693">
        <f t="shared" si="229"/>
        <v>0</v>
      </c>
      <c r="N1160" s="1693">
        <f t="shared" si="229"/>
        <v>0</v>
      </c>
      <c r="O1160" s="1693"/>
      <c r="P1160" s="1693"/>
      <c r="Q1160" s="989"/>
      <c r="R1160" s="989"/>
      <c r="S1160" s="989"/>
      <c r="T1160" s="1862">
        <f t="shared" si="228"/>
        <v>0</v>
      </c>
    </row>
    <row r="1161" spans="1:20" ht="22.2" hidden="1" customHeight="1">
      <c r="A1161" s="1448">
        <f>COUNTIF($C$12:C1161,"x")</f>
        <v>87</v>
      </c>
      <c r="B1161" s="1455" t="s">
        <v>2000</v>
      </c>
      <c r="C1161" s="970" t="str">
        <f t="shared" si="230"/>
        <v xml:space="preserve"> </v>
      </c>
      <c r="D1161" s="1415">
        <v>2</v>
      </c>
      <c r="E1161" s="980"/>
      <c r="F1161" s="992" t="str">
        <f>VLOOKUP($B1161,DG!A:D,DG!$C$2,)</f>
        <v>Yếm cáp dày 2mm</v>
      </c>
      <c r="G1161" s="980" t="str">
        <f>VLOOKUP($B1161,DG!A:D,DG!$D$2,)</f>
        <v>cái</v>
      </c>
      <c r="H1161" s="1693">
        <f t="shared" si="229"/>
        <v>0</v>
      </c>
      <c r="I1161" s="1693">
        <f t="shared" si="229"/>
        <v>0</v>
      </c>
      <c r="J1161" s="1693">
        <f t="shared" si="229"/>
        <v>0</v>
      </c>
      <c r="K1161" s="1693">
        <f t="shared" si="229"/>
        <v>0</v>
      </c>
      <c r="L1161" s="1693">
        <f t="shared" si="229"/>
        <v>0</v>
      </c>
      <c r="M1161" s="1693">
        <f t="shared" si="229"/>
        <v>0</v>
      </c>
      <c r="N1161" s="1693">
        <f t="shared" si="229"/>
        <v>0</v>
      </c>
      <c r="O1161" s="1693"/>
      <c r="P1161" s="1693"/>
      <c r="Q1161" s="989"/>
      <c r="R1161" s="989"/>
      <c r="S1161" s="989"/>
      <c r="T1161" s="1862">
        <f t="shared" si="228"/>
        <v>0</v>
      </c>
    </row>
    <row r="1162" spans="1:20" ht="22.2" hidden="1" customHeight="1">
      <c r="A1162" s="1448">
        <f>COUNTIF($C$12:C1162,"x")</f>
        <v>87</v>
      </c>
      <c r="B1162" s="1455" t="s">
        <v>2001</v>
      </c>
      <c r="C1162" s="970" t="str">
        <f t="shared" si="230"/>
        <v xml:space="preserve"> </v>
      </c>
      <c r="D1162" s="1415">
        <v>1</v>
      </c>
      <c r="E1162" s="980"/>
      <c r="F1162" s="992" t="str">
        <f>VLOOKUP($B1162,DG!A:D,DG!$C$2,)</f>
        <v>Máng che dây chằng dày 1,6mm</v>
      </c>
      <c r="G1162" s="980" t="str">
        <f>VLOOKUP($B1162,DG!A:D,DG!$D$2,)</f>
        <v>cái</v>
      </c>
      <c r="H1162" s="1693">
        <f t="shared" si="229"/>
        <v>0</v>
      </c>
      <c r="I1162" s="1693">
        <f t="shared" si="229"/>
        <v>0</v>
      </c>
      <c r="J1162" s="1693">
        <f t="shared" si="229"/>
        <v>0</v>
      </c>
      <c r="K1162" s="1693">
        <f t="shared" si="229"/>
        <v>0</v>
      </c>
      <c r="L1162" s="1693">
        <f t="shared" si="229"/>
        <v>0</v>
      </c>
      <c r="M1162" s="1693">
        <f t="shared" si="229"/>
        <v>0</v>
      </c>
      <c r="N1162" s="1693">
        <f t="shared" si="229"/>
        <v>0</v>
      </c>
      <c r="O1162" s="1693"/>
      <c r="P1162" s="1693"/>
      <c r="Q1162" s="989"/>
      <c r="R1162" s="989"/>
      <c r="S1162" s="989"/>
      <c r="T1162" s="1862">
        <f t="shared" si="228"/>
        <v>0</v>
      </c>
    </row>
    <row r="1163" spans="1:20" ht="22.2" hidden="1" customHeight="1">
      <c r="A1163" s="1448">
        <f>COUNTIF($C$12:C1163,"x")</f>
        <v>87</v>
      </c>
      <c r="B1163" s="1455" t="s">
        <v>1918</v>
      </c>
      <c r="C1163" s="970" t="str">
        <f t="shared" si="230"/>
        <v xml:space="preserve"> </v>
      </c>
      <c r="D1163" s="1415">
        <f>D1156</f>
        <v>1</v>
      </c>
      <c r="E1163" s="980" t="str">
        <f>VLOOKUP($B1163,DG!A:D,DG!$B$2,)</f>
        <v>06.3241</v>
      </c>
      <c r="F1163" s="985" t="str">
        <f>VLOOKUP($B1163,DG!A:D,DG!$C$2,)</f>
        <v>Lắp bộ dây néo</v>
      </c>
      <c r="G1163" s="980" t="str">
        <f>VLOOKUP($B1163,DG!A:D,DG!$D$2,)</f>
        <v>bộ</v>
      </c>
      <c r="H1163" s="1693"/>
      <c r="I1163" s="1693"/>
      <c r="J1163" s="1693"/>
      <c r="K1163" s="1693"/>
      <c r="L1163" s="1693"/>
      <c r="M1163" s="1693"/>
      <c r="N1163" s="1693"/>
      <c r="O1163" s="1693"/>
      <c r="P1163" s="1693"/>
      <c r="Q1163" s="994"/>
      <c r="R1163" s="994"/>
      <c r="S1163" s="994"/>
      <c r="T1163" s="1862">
        <f t="shared" si="228"/>
        <v>0</v>
      </c>
    </row>
    <row r="1164" spans="1:20" ht="22.2" hidden="1" customHeight="1">
      <c r="A1164" s="1448">
        <f>COUNTIF($C$12:C1164,"x")</f>
        <v>87</v>
      </c>
      <c r="B1164" s="1455" t="s">
        <v>1906</v>
      </c>
      <c r="C1164" s="970" t="str">
        <f t="shared" si="230"/>
        <v xml:space="preserve"> </v>
      </c>
      <c r="D1164" s="1415">
        <f>D1153</f>
        <v>1</v>
      </c>
      <c r="E1164" s="980" t="str">
        <f>VLOOKUP($B1164,DG!A:D,DG!$B$2,)</f>
        <v>05.6011</v>
      </c>
      <c r="F1164" s="985" t="str">
        <f>VLOOKUP($B1164,DG!A:D,DG!$C$2,)</f>
        <v>Lắp bộ chống lệch</v>
      </c>
      <c r="G1164" s="980" t="str">
        <f>VLOOKUP($B1164,DG!A:D,DG!$D$2,)</f>
        <v>bộ</v>
      </c>
      <c r="H1164" s="1693"/>
      <c r="I1164" s="1693"/>
      <c r="J1164" s="1693"/>
      <c r="K1164" s="1693"/>
      <c r="L1164" s="1693"/>
      <c r="M1164" s="1693"/>
      <c r="N1164" s="1693"/>
      <c r="O1164" s="1693"/>
      <c r="P1164" s="1693"/>
      <c r="Q1164" s="994"/>
      <c r="R1164" s="994"/>
      <c r="S1164" s="994"/>
      <c r="T1164" s="1862">
        <f t="shared" si="228"/>
        <v>0</v>
      </c>
    </row>
    <row r="1165" spans="1:20" ht="22.2" hidden="1" customHeight="1">
      <c r="A1165" s="1448">
        <f>COUNTIF($C$12:C1165,"x")</f>
        <v>87</v>
      </c>
      <c r="B1165" s="1464" t="s">
        <v>356</v>
      </c>
      <c r="C1165" s="970" t="str">
        <f t="shared" si="230"/>
        <v xml:space="preserve"> </v>
      </c>
      <c r="D1165" s="1414">
        <v>0.02</v>
      </c>
      <c r="E1165" s="980" t="str">
        <f>VLOOKUP($B1165,DG!A:C,2,)</f>
        <v>02.1421</v>
      </c>
      <c r="F1165" s="985" t="str">
        <f>VLOOKUP($B1165,DG!A:C,3,)</f>
        <v>V/c phụ kiện vào vị trí (cự ly &lt;=100m)</v>
      </c>
      <c r="G1165" s="980" t="str">
        <f>VLOOKUP($B1165,DG!A:D,4,0)</f>
        <v>tấn</v>
      </c>
      <c r="H1165" s="1693"/>
      <c r="I1165" s="1693"/>
      <c r="J1165" s="1693"/>
      <c r="K1165" s="1693"/>
      <c r="L1165" s="1693"/>
      <c r="M1165" s="1693"/>
      <c r="N1165" s="1693"/>
      <c r="O1165" s="1693"/>
      <c r="P1165" s="1693"/>
      <c r="Q1165" s="994"/>
      <c r="R1165" s="994"/>
      <c r="S1165" s="994"/>
      <c r="T1165" s="1862">
        <f t="shared" si="228"/>
        <v>0</v>
      </c>
    </row>
    <row r="1166" spans="1:20" ht="22.2" hidden="1" customHeight="1">
      <c r="A1166" s="1448">
        <f>COUNTIF($C$12:C1166,"x")</f>
        <v>87</v>
      </c>
      <c r="B1166" s="1452" t="s">
        <v>837</v>
      </c>
      <c r="C1166" s="970" t="str">
        <f t="shared" si="230"/>
        <v xml:space="preserve"> </v>
      </c>
      <c r="D1166" s="1412"/>
      <c r="E1166" s="981"/>
      <c r="F1166" s="1276" t="s">
        <v>2465</v>
      </c>
      <c r="G1166" s="982" t="s">
        <v>2385</v>
      </c>
      <c r="H1166" s="1691">
        <f>SUM(I1166:O1166)</f>
        <v>0</v>
      </c>
      <c r="I1166" s="1692"/>
      <c r="J1166" s="1692"/>
      <c r="K1166" s="1692">
        <f>IFERROR(HLOOKUP(B1166,pp3p1m!$1:$3,2,0),0)</f>
        <v>0</v>
      </c>
      <c r="L1166" s="1692">
        <f>IFERROR(HLOOKUP(chitiet!B1166,pp1p!$1:$3,3,0),0)</f>
        <v>0</v>
      </c>
      <c r="M1166" s="1692"/>
      <c r="N1166" s="1692"/>
      <c r="O1166" s="1692"/>
      <c r="P1166" s="2674">
        <f>T1166</f>
        <v>0</v>
      </c>
      <c r="Q1166" s="983">
        <f>IF(P1166&gt;H1166,P1166-H1166,0)</f>
        <v>0</v>
      </c>
      <c r="R1166" s="983">
        <f>IF(H1166&gt;P1166,H1166-P1166,0)</f>
        <v>0</v>
      </c>
      <c r="S1166" s="983"/>
      <c r="T1166" s="1862">
        <f>IFERROR(HLOOKUP(B1166,pp1p!$1:$3,3,0),0)+IFERROR(HLOOKUP(B1166,pp3p1m!$1:$3,3,0),0)</f>
        <v>0</v>
      </c>
    </row>
    <row r="1167" spans="1:20" ht="22.2" hidden="1" customHeight="1">
      <c r="A1167" s="1448">
        <f>COUNTIF($C$12:C1167,"x")</f>
        <v>87</v>
      </c>
      <c r="B1167" s="1455" t="s">
        <v>1061</v>
      </c>
      <c r="C1167" s="970" t="str">
        <f t="shared" si="230"/>
        <v xml:space="preserve"> </v>
      </c>
      <c r="D1167" s="1415">
        <v>2</v>
      </c>
      <c r="E1167" s="980"/>
      <c r="F1167" s="992" t="str">
        <f>VLOOKUP($B1167,DG!A:D,DG!$C$2,)</f>
        <v>Boulon mắt 16x250+ 2 long đền vuông D18-50x50x3/Zn</v>
      </c>
      <c r="G1167" s="980" t="str">
        <f>VLOOKUP($B1167,DG!A:D,DG!$D$2,)</f>
        <v>bộ</v>
      </c>
      <c r="H1167" s="1693">
        <f t="shared" ref="H1167:N1172" si="231">H$1166*$D1167</f>
        <v>0</v>
      </c>
      <c r="I1167" s="1693">
        <f t="shared" si="231"/>
        <v>0</v>
      </c>
      <c r="J1167" s="1693">
        <f t="shared" si="231"/>
        <v>0</v>
      </c>
      <c r="K1167" s="1693">
        <f t="shared" si="231"/>
        <v>0</v>
      </c>
      <c r="L1167" s="1693">
        <f t="shared" si="231"/>
        <v>0</v>
      </c>
      <c r="M1167" s="1693">
        <f t="shared" si="231"/>
        <v>0</v>
      </c>
      <c r="N1167" s="1693">
        <f t="shared" si="231"/>
        <v>0</v>
      </c>
      <c r="O1167" s="1693"/>
      <c r="P1167" s="1693"/>
      <c r="Q1167" s="989"/>
      <c r="R1167" s="989"/>
      <c r="S1167" s="989"/>
      <c r="T1167" s="1862">
        <f t="shared" si="228"/>
        <v>0</v>
      </c>
    </row>
    <row r="1168" spans="1:20" ht="22.2" hidden="1" customHeight="1">
      <c r="A1168" s="1448">
        <f>COUNTIF($C$12:C1168,"x")</f>
        <v>87</v>
      </c>
      <c r="B1168" s="1455" t="s">
        <v>111</v>
      </c>
      <c r="C1168" s="970" t="str">
        <f t="shared" si="230"/>
        <v xml:space="preserve"> </v>
      </c>
      <c r="D1168" s="1415">
        <v>2</v>
      </c>
      <c r="E1168" s="980"/>
      <c r="F1168" s="992" t="str">
        <f>VLOOKUP($B1168,DG!A:D,DG!$C$2,)</f>
        <v>Sứ chằng</v>
      </c>
      <c r="G1168" s="980" t="str">
        <f>VLOOKUP($B1168,DG!A:D,DG!$D$2,)</f>
        <v>cái</v>
      </c>
      <c r="H1168" s="1693">
        <f t="shared" si="231"/>
        <v>0</v>
      </c>
      <c r="I1168" s="1693">
        <f t="shared" si="231"/>
        <v>0</v>
      </c>
      <c r="J1168" s="1693">
        <f t="shared" si="231"/>
        <v>0</v>
      </c>
      <c r="K1168" s="1693">
        <f t="shared" si="231"/>
        <v>0</v>
      </c>
      <c r="L1168" s="1693">
        <f t="shared" si="231"/>
        <v>0</v>
      </c>
      <c r="M1168" s="1693">
        <f t="shared" si="231"/>
        <v>0</v>
      </c>
      <c r="N1168" s="1693">
        <f t="shared" si="231"/>
        <v>0</v>
      </c>
      <c r="O1168" s="1693"/>
      <c r="P1168" s="1693"/>
      <c r="Q1168" s="989"/>
      <c r="R1168" s="989"/>
      <c r="S1168" s="989"/>
      <c r="T1168" s="1862">
        <f t="shared" si="228"/>
        <v>0</v>
      </c>
    </row>
    <row r="1169" spans="1:20" ht="22.2" hidden="1" customHeight="1">
      <c r="A1169" s="1448">
        <f>COUNTIF($C$12:C1169,"x")</f>
        <v>87</v>
      </c>
      <c r="B1169" s="1455" t="s">
        <v>1578</v>
      </c>
      <c r="C1169" s="970" t="str">
        <f t="shared" si="230"/>
        <v xml:space="preserve"> </v>
      </c>
      <c r="D1169" s="1415">
        <v>16</v>
      </c>
      <c r="E1169" s="980"/>
      <c r="F1169" s="992" t="str">
        <f>VLOOKUP($B1169,DG!A:D,DG!$C$2,)</f>
        <v>Kẹp cáp 3 boulon</v>
      </c>
      <c r="G1169" s="980" t="str">
        <f>VLOOKUP($B1169,DG!A:D,DG!$D$2,)</f>
        <v>cái</v>
      </c>
      <c r="H1169" s="1693">
        <f t="shared" si="231"/>
        <v>0</v>
      </c>
      <c r="I1169" s="1693">
        <f t="shared" si="231"/>
        <v>0</v>
      </c>
      <c r="J1169" s="1693">
        <f t="shared" si="231"/>
        <v>0</v>
      </c>
      <c r="K1169" s="1693">
        <f t="shared" si="231"/>
        <v>0</v>
      </c>
      <c r="L1169" s="1693">
        <f t="shared" si="231"/>
        <v>0</v>
      </c>
      <c r="M1169" s="1693">
        <f t="shared" si="231"/>
        <v>0</v>
      </c>
      <c r="N1169" s="1693">
        <f t="shared" si="231"/>
        <v>0</v>
      </c>
      <c r="O1169" s="1693"/>
      <c r="P1169" s="1693"/>
      <c r="Q1169" s="989"/>
      <c r="R1169" s="989"/>
      <c r="S1169" s="989"/>
      <c r="T1169" s="1862">
        <f t="shared" si="228"/>
        <v>0</v>
      </c>
    </row>
    <row r="1170" spans="1:20" ht="22.2" hidden="1" customHeight="1">
      <c r="A1170" s="1448">
        <f>COUNTIF($C$12:C1170,"x")</f>
        <v>87</v>
      </c>
      <c r="B1170" s="1455" t="s">
        <v>275</v>
      </c>
      <c r="C1170" s="970" t="str">
        <f t="shared" si="230"/>
        <v xml:space="preserve"> </v>
      </c>
      <c r="D1170" s="1415">
        <v>31</v>
      </c>
      <c r="E1170" s="980"/>
      <c r="F1170" s="992" t="str">
        <f>VLOOKUP($B1170,DG!A:D,DG!$C$2,)</f>
        <v>Cáp thép 3/8"</v>
      </c>
      <c r="G1170" s="980" t="str">
        <f>VLOOKUP($B1170,DG!A:D,DG!$D$2,)</f>
        <v>kg</v>
      </c>
      <c r="H1170" s="1693">
        <f t="shared" si="231"/>
        <v>0</v>
      </c>
      <c r="I1170" s="1693">
        <f t="shared" si="231"/>
        <v>0</v>
      </c>
      <c r="J1170" s="1693">
        <f t="shared" si="231"/>
        <v>0</v>
      </c>
      <c r="K1170" s="1693">
        <f t="shared" si="231"/>
        <v>0</v>
      </c>
      <c r="L1170" s="1693">
        <f t="shared" si="231"/>
        <v>0</v>
      </c>
      <c r="M1170" s="1693">
        <f t="shared" si="231"/>
        <v>0</v>
      </c>
      <c r="N1170" s="1693">
        <f t="shared" si="231"/>
        <v>0</v>
      </c>
      <c r="O1170" s="1693"/>
      <c r="P1170" s="1693"/>
      <c r="Q1170" s="989"/>
      <c r="R1170" s="989"/>
      <c r="S1170" s="989"/>
      <c r="T1170" s="1862">
        <f t="shared" si="228"/>
        <v>0</v>
      </c>
    </row>
    <row r="1171" spans="1:20" ht="22.2" hidden="1" customHeight="1">
      <c r="A1171" s="1448">
        <f>COUNTIF($C$12:C1171,"x")</f>
        <v>87</v>
      </c>
      <c r="B1171" s="1455" t="s">
        <v>2000</v>
      </c>
      <c r="C1171" s="970" t="str">
        <f t="shared" si="230"/>
        <v xml:space="preserve"> </v>
      </c>
      <c r="D1171" s="1415">
        <v>4</v>
      </c>
      <c r="E1171" s="980"/>
      <c r="F1171" s="992" t="str">
        <f>VLOOKUP($B1171,DG!A:D,DG!$C$2,)</f>
        <v>Yếm cáp dày 2mm</v>
      </c>
      <c r="G1171" s="980" t="str">
        <f>VLOOKUP($B1171,DG!A:D,DG!$D$2,)</f>
        <v>cái</v>
      </c>
      <c r="H1171" s="1693">
        <f t="shared" si="231"/>
        <v>0</v>
      </c>
      <c r="I1171" s="1693">
        <f t="shared" si="231"/>
        <v>0</v>
      </c>
      <c r="J1171" s="1693">
        <f t="shared" si="231"/>
        <v>0</v>
      </c>
      <c r="K1171" s="1693">
        <f t="shared" si="231"/>
        <v>0</v>
      </c>
      <c r="L1171" s="1693">
        <f t="shared" si="231"/>
        <v>0</v>
      </c>
      <c r="M1171" s="1693">
        <f t="shared" si="231"/>
        <v>0</v>
      </c>
      <c r="N1171" s="1693">
        <f t="shared" si="231"/>
        <v>0</v>
      </c>
      <c r="O1171" s="1693"/>
      <c r="P1171" s="1693"/>
      <c r="Q1171" s="989"/>
      <c r="R1171" s="989"/>
      <c r="S1171" s="989"/>
      <c r="T1171" s="1862">
        <f t="shared" si="228"/>
        <v>0</v>
      </c>
    </row>
    <row r="1172" spans="1:20" ht="22.2" hidden="1" customHeight="1">
      <c r="A1172" s="1448">
        <f>COUNTIF($C$12:C1172,"x")</f>
        <v>87</v>
      </c>
      <c r="B1172" s="1455" t="s">
        <v>2001</v>
      </c>
      <c r="C1172" s="970" t="str">
        <f t="shared" si="230"/>
        <v xml:space="preserve"> </v>
      </c>
      <c r="D1172" s="1415">
        <v>2</v>
      </c>
      <c r="E1172" s="980"/>
      <c r="F1172" s="992" t="str">
        <f>VLOOKUP($B1172,DG!A:D,DG!$C$2,)</f>
        <v>Máng che dây chằng dày 1,6mm</v>
      </c>
      <c r="G1172" s="980" t="str">
        <f>VLOOKUP($B1172,DG!A:D,DG!$D$2,)</f>
        <v>cái</v>
      </c>
      <c r="H1172" s="1693">
        <f t="shared" si="231"/>
        <v>0</v>
      </c>
      <c r="I1172" s="1693">
        <f t="shared" si="231"/>
        <v>0</v>
      </c>
      <c r="J1172" s="1693">
        <f t="shared" si="231"/>
        <v>0</v>
      </c>
      <c r="K1172" s="1693">
        <f t="shared" si="231"/>
        <v>0</v>
      </c>
      <c r="L1172" s="1693">
        <f t="shared" si="231"/>
        <v>0</v>
      </c>
      <c r="M1172" s="1693">
        <f t="shared" si="231"/>
        <v>0</v>
      </c>
      <c r="N1172" s="1693">
        <f t="shared" si="231"/>
        <v>0</v>
      </c>
      <c r="O1172" s="1693"/>
      <c r="P1172" s="1693"/>
      <c r="Q1172" s="989"/>
      <c r="R1172" s="989"/>
      <c r="S1172" s="989"/>
      <c r="T1172" s="1862">
        <f t="shared" si="228"/>
        <v>0</v>
      </c>
    </row>
    <row r="1173" spans="1:20" ht="22.2" hidden="1" customHeight="1">
      <c r="A1173" s="1448">
        <f>COUNTIF($C$12:C1173,"x")</f>
        <v>87</v>
      </c>
      <c r="B1173" s="1455" t="s">
        <v>1918</v>
      </c>
      <c r="C1173" s="970" t="str">
        <f t="shared" si="230"/>
        <v xml:space="preserve"> </v>
      </c>
      <c r="D1173" s="1415">
        <f>D1167</f>
        <v>2</v>
      </c>
      <c r="E1173" s="980" t="str">
        <f>VLOOKUP($B1173,DG!A:D,DG!$B$2,)</f>
        <v>06.3241</v>
      </c>
      <c r="F1173" s="985" t="str">
        <f>VLOOKUP($B1173,DG!A:D,DG!$C$2,)</f>
        <v>Lắp bộ dây néo</v>
      </c>
      <c r="G1173" s="980" t="str">
        <f>VLOOKUP($B1173,DG!A:D,DG!$D$2,)</f>
        <v>bộ</v>
      </c>
      <c r="H1173" s="1693"/>
      <c r="I1173" s="1693"/>
      <c r="J1173" s="1693"/>
      <c r="K1173" s="1693"/>
      <c r="L1173" s="1693"/>
      <c r="M1173" s="1693"/>
      <c r="N1173" s="1693"/>
      <c r="O1173" s="1693"/>
      <c r="P1173" s="1693"/>
      <c r="Q1173" s="994"/>
      <c r="R1173" s="994"/>
      <c r="S1173" s="994"/>
      <c r="T1173" s="1862">
        <f t="shared" si="228"/>
        <v>0</v>
      </c>
    </row>
    <row r="1174" spans="1:20" ht="22.2" hidden="1" customHeight="1">
      <c r="A1174" s="1448">
        <f>COUNTIF($C$12:C1174,"x")</f>
        <v>87</v>
      </c>
      <c r="B1174" s="1464" t="s">
        <v>356</v>
      </c>
      <c r="C1174" s="970" t="str">
        <f t="shared" si="230"/>
        <v xml:space="preserve"> </v>
      </c>
      <c r="D1174" s="1414">
        <v>0.02</v>
      </c>
      <c r="E1174" s="980" t="str">
        <f>VLOOKUP($B1174,DG!A:C,2,)</f>
        <v>02.1421</v>
      </c>
      <c r="F1174" s="985" t="str">
        <f>VLOOKUP($B1174,DG!A:C,3,)</f>
        <v>V/c phụ kiện vào vị trí (cự ly &lt;=100m)</v>
      </c>
      <c r="G1174" s="980" t="str">
        <f>VLOOKUP($B1174,DG!A:D,4,0)</f>
        <v>tấn</v>
      </c>
      <c r="H1174" s="1693"/>
      <c r="I1174" s="1693"/>
      <c r="J1174" s="1693"/>
      <c r="K1174" s="1693"/>
      <c r="L1174" s="1693"/>
      <c r="M1174" s="1693"/>
      <c r="N1174" s="1693"/>
      <c r="O1174" s="1693"/>
      <c r="P1174" s="1693"/>
      <c r="Q1174" s="994"/>
      <c r="R1174" s="994"/>
      <c r="S1174" s="994"/>
      <c r="T1174" s="1862">
        <f t="shared" si="228"/>
        <v>0</v>
      </c>
    </row>
    <row r="1175" spans="1:20" ht="22.2" hidden="1" customHeight="1">
      <c r="A1175" s="1448">
        <f>COUNTIF($C$12:C1175,"x")</f>
        <v>87</v>
      </c>
      <c r="B1175" s="1452" t="s">
        <v>1270</v>
      </c>
      <c r="C1175" s="970" t="str">
        <f t="shared" si="230"/>
        <v xml:space="preserve"> </v>
      </c>
      <c r="D1175" s="1412"/>
      <c r="E1175" s="981"/>
      <c r="F1175" s="1276" t="s">
        <v>2466</v>
      </c>
      <c r="G1175" s="982" t="s">
        <v>2385</v>
      </c>
      <c r="H1175" s="1691">
        <f>SUM(I1175:O1175)</f>
        <v>0</v>
      </c>
      <c r="I1175" s="1692"/>
      <c r="J1175" s="1692"/>
      <c r="K1175" s="1692">
        <f>IFERROR(HLOOKUP(B1175,pp3p1m!$1:$3,2,0),0)</f>
        <v>0</v>
      </c>
      <c r="L1175" s="1692">
        <f>IFERROR(HLOOKUP(chitiet!B1175,pp1p!$1:$3,3,0),0)</f>
        <v>0</v>
      </c>
      <c r="M1175" s="1692"/>
      <c r="N1175" s="1692"/>
      <c r="O1175" s="1692"/>
      <c r="P1175" s="2674">
        <f>T1175</f>
        <v>0</v>
      </c>
      <c r="Q1175" s="983">
        <f>IF(P1175&gt;H1175,P1175-H1175,0)</f>
        <v>0</v>
      </c>
      <c r="R1175" s="983">
        <f>IF(H1175&gt;P1175,H1175-P1175,0)</f>
        <v>0</v>
      </c>
      <c r="S1175" s="983"/>
      <c r="T1175" s="1862">
        <f>IFERROR(HLOOKUP(B1175,pp1p!$1:$3,3,0),0)+IFERROR(HLOOKUP(B1175,pp3p1m!$1:$3,3,0),0)</f>
        <v>0</v>
      </c>
    </row>
    <row r="1176" spans="1:20" ht="22.2" hidden="1" customHeight="1">
      <c r="A1176" s="1448">
        <f>COUNTIF($C$12:C1176,"x")</f>
        <v>87</v>
      </c>
      <c r="B1176" s="1455" t="s">
        <v>1918</v>
      </c>
      <c r="C1176" s="970" t="str">
        <f t="shared" si="230"/>
        <v xml:space="preserve"> </v>
      </c>
      <c r="D1176" s="1415">
        <v>1</v>
      </c>
      <c r="E1176" s="980"/>
      <c r="F1176" s="985" t="s">
        <v>2460</v>
      </c>
      <c r="G1176" s="980" t="str">
        <f>VLOOKUP($B1176,DG!A:D,DG!$D$2,)</f>
        <v>bộ</v>
      </c>
      <c r="H1176" s="1693">
        <f t="shared" ref="H1176:N1177" si="232">H$1175*$D1176</f>
        <v>0</v>
      </c>
      <c r="I1176" s="1693">
        <f t="shared" si="232"/>
        <v>0</v>
      </c>
      <c r="J1176" s="1693">
        <f t="shared" si="232"/>
        <v>0</v>
      </c>
      <c r="K1176" s="1693">
        <f t="shared" si="232"/>
        <v>0</v>
      </c>
      <c r="L1176" s="1693">
        <f t="shared" si="232"/>
        <v>0</v>
      </c>
      <c r="M1176" s="1693">
        <f t="shared" si="232"/>
        <v>0</v>
      </c>
      <c r="N1176" s="1693">
        <f t="shared" si="232"/>
        <v>0</v>
      </c>
      <c r="O1176" s="1693"/>
      <c r="P1176" s="1693"/>
      <c r="Q1176" s="989"/>
      <c r="R1176" s="989"/>
      <c r="S1176" s="989"/>
      <c r="T1176" s="1862">
        <f t="shared" si="228"/>
        <v>0</v>
      </c>
    </row>
    <row r="1177" spans="1:20" ht="22.2" hidden="1" customHeight="1">
      <c r="A1177" s="1448">
        <f>COUNTIF($C$12:C1177,"x")</f>
        <v>87</v>
      </c>
      <c r="B1177" s="1464" t="s">
        <v>356</v>
      </c>
      <c r="C1177" s="970" t="str">
        <f t="shared" si="230"/>
        <v xml:space="preserve"> </v>
      </c>
      <c r="D1177" s="1414">
        <v>0.02</v>
      </c>
      <c r="E1177" s="980" t="str">
        <f>VLOOKUP($B1177,DG!A:C,2,)</f>
        <v>02.1421</v>
      </c>
      <c r="F1177" s="985" t="str">
        <f>VLOOKUP($B1177,DG!A:C,3,)</f>
        <v>V/c phụ kiện vào vị trí (cự ly &lt;=100m)</v>
      </c>
      <c r="G1177" s="980" t="str">
        <f>VLOOKUP($B1177,DG!A:D,4,0)</f>
        <v>tấn</v>
      </c>
      <c r="H1177" s="1693">
        <f t="shared" si="232"/>
        <v>0</v>
      </c>
      <c r="I1177" s="1693">
        <f t="shared" si="232"/>
        <v>0</v>
      </c>
      <c r="J1177" s="1693">
        <f t="shared" si="232"/>
        <v>0</v>
      </c>
      <c r="K1177" s="1693">
        <f t="shared" si="232"/>
        <v>0</v>
      </c>
      <c r="L1177" s="1693">
        <f t="shared" si="232"/>
        <v>0</v>
      </c>
      <c r="M1177" s="1693">
        <f t="shared" si="232"/>
        <v>0</v>
      </c>
      <c r="N1177" s="1693">
        <f t="shared" si="232"/>
        <v>0</v>
      </c>
      <c r="O1177" s="1693"/>
      <c r="P1177" s="1693"/>
      <c r="Q1177" s="989"/>
      <c r="R1177" s="989"/>
      <c r="S1177" s="989"/>
      <c r="T1177" s="1862">
        <f t="shared" si="228"/>
        <v>0</v>
      </c>
    </row>
    <row r="1178" spans="1:20" ht="22.2" hidden="1" customHeight="1" collapsed="1">
      <c r="A1178" s="1448">
        <f>COUNTIF($C$12:C1178,"x")</f>
        <v>87</v>
      </c>
      <c r="B1178" s="1452" t="s">
        <v>663</v>
      </c>
      <c r="C1178" s="1701" t="str">
        <f t="shared" si="230"/>
        <v xml:space="preserve"> </v>
      </c>
      <c r="D1178" s="1412"/>
      <c r="E1178" s="981"/>
      <c r="F1178" s="1276" t="s">
        <v>2467</v>
      </c>
      <c r="G1178" s="982" t="s">
        <v>2385</v>
      </c>
      <c r="H1178" s="1691">
        <f>SUM(I1178:O1178)</f>
        <v>0</v>
      </c>
      <c r="I1178" s="1692"/>
      <c r="J1178" s="1692"/>
      <c r="K1178" s="1692">
        <f>IFERROR(HLOOKUP(B1178,pp3p1m!$1:$3,2,0),0)</f>
        <v>0</v>
      </c>
      <c r="L1178" s="1692">
        <f>IFERROR(HLOOKUP(chitiet!B1178,pp1p!$1:$3,3,0),0)</f>
        <v>0</v>
      </c>
      <c r="M1178" s="1692"/>
      <c r="N1178" s="1692"/>
      <c r="O1178" s="1692"/>
      <c r="P1178" s="2674">
        <f>T1178</f>
        <v>0</v>
      </c>
      <c r="Q1178" s="983">
        <f>IF(P1178&gt;H1178,P1178-H1178,0)</f>
        <v>0</v>
      </c>
      <c r="R1178" s="983">
        <f>IF(H1178&gt;P1178,H1178-P1178,0)</f>
        <v>0</v>
      </c>
      <c r="S1178" s="983"/>
      <c r="T1178" s="1862">
        <f>IFERROR(HLOOKUP(B1178,pp1p!$1:$3,3,0),0)+IFERROR(HLOOKUP(B1178,pp3p1m!$1:$3,3,0),0)</f>
        <v>0</v>
      </c>
    </row>
    <row r="1179" spans="1:20" ht="22.2" hidden="1" customHeight="1">
      <c r="A1179" s="1448">
        <f>COUNTIF($C$12:C1179,"x")</f>
        <v>87</v>
      </c>
      <c r="B1179" s="1451" t="s">
        <v>1061</v>
      </c>
      <c r="C1179" s="1701" t="str">
        <f t="shared" si="230"/>
        <v xml:space="preserve"> </v>
      </c>
      <c r="D1179" s="1415">
        <v>1</v>
      </c>
      <c r="E1179" s="980"/>
      <c r="F1179" s="992" t="str">
        <f>VLOOKUP($B1179,DG!A:D,DG!$C$2,)</f>
        <v>Boulon mắt 16x250+ 2 long đền vuông D18-50x50x3/Zn</v>
      </c>
      <c r="G1179" s="980" t="str">
        <f>VLOOKUP($B1179,DG!A:D,DG!$D$2,)</f>
        <v>bộ</v>
      </c>
      <c r="H1179" s="1693">
        <f t="shared" ref="H1179:N1185" si="233">H$1178*$D1179</f>
        <v>0</v>
      </c>
      <c r="I1179" s="1693">
        <f t="shared" si="233"/>
        <v>0</v>
      </c>
      <c r="J1179" s="1693">
        <f t="shared" si="233"/>
        <v>0</v>
      </c>
      <c r="K1179" s="1693">
        <f t="shared" si="233"/>
        <v>0</v>
      </c>
      <c r="L1179" s="1693">
        <f t="shared" si="233"/>
        <v>0</v>
      </c>
      <c r="M1179" s="1693">
        <f t="shared" si="233"/>
        <v>0</v>
      </c>
      <c r="N1179" s="1693">
        <f t="shared" si="233"/>
        <v>0</v>
      </c>
      <c r="O1179" s="1693"/>
      <c r="P1179" s="1693">
        <f t="shared" ref="P1179:P1186" si="234">$P$1178*D1179</f>
        <v>0</v>
      </c>
      <c r="Q1179" s="989"/>
      <c r="R1179" s="989">
        <f t="shared" ref="R1179:R1187" si="235">$R$1178*D1179</f>
        <v>0</v>
      </c>
      <c r="S1179" s="989"/>
      <c r="T1179" s="1862">
        <f t="shared" si="228"/>
        <v>0</v>
      </c>
    </row>
    <row r="1180" spans="1:20" ht="22.2" hidden="1" customHeight="1">
      <c r="A1180" s="1448">
        <f>COUNTIF($C$12:C1180,"x")</f>
        <v>87</v>
      </c>
      <c r="B1180" s="1451" t="s">
        <v>111</v>
      </c>
      <c r="C1180" s="1701" t="str">
        <f t="shared" si="230"/>
        <v xml:space="preserve"> </v>
      </c>
      <c r="D1180" s="1415">
        <v>1</v>
      </c>
      <c r="E1180" s="980"/>
      <c r="F1180" s="992" t="str">
        <f>VLOOKUP($B1180,DG!A:D,DG!$C$2,)</f>
        <v>Sứ chằng</v>
      </c>
      <c r="G1180" s="980" t="str">
        <f>VLOOKUP($B1180,DG!A:D,DG!$D$2,)</f>
        <v>cái</v>
      </c>
      <c r="H1180" s="1693">
        <f t="shared" si="233"/>
        <v>0</v>
      </c>
      <c r="I1180" s="1693">
        <f t="shared" si="233"/>
        <v>0</v>
      </c>
      <c r="J1180" s="1693">
        <f t="shared" si="233"/>
        <v>0</v>
      </c>
      <c r="K1180" s="1693">
        <f t="shared" si="233"/>
        <v>0</v>
      </c>
      <c r="L1180" s="1693">
        <f t="shared" si="233"/>
        <v>0</v>
      </c>
      <c r="M1180" s="1693">
        <f t="shared" si="233"/>
        <v>0</v>
      </c>
      <c r="N1180" s="1693">
        <f t="shared" si="233"/>
        <v>0</v>
      </c>
      <c r="O1180" s="1693"/>
      <c r="P1180" s="1693">
        <f t="shared" si="234"/>
        <v>0</v>
      </c>
      <c r="Q1180" s="989"/>
      <c r="R1180" s="989">
        <f t="shared" si="235"/>
        <v>0</v>
      </c>
      <c r="S1180" s="989"/>
      <c r="T1180" s="1862">
        <f t="shared" si="228"/>
        <v>0</v>
      </c>
    </row>
    <row r="1181" spans="1:20" ht="22.2" hidden="1" customHeight="1">
      <c r="A1181" s="1448">
        <f>COUNTIF($C$12:C1181,"x")</f>
        <v>87</v>
      </c>
      <c r="B1181" s="1451" t="s">
        <v>1578</v>
      </c>
      <c r="C1181" s="1701" t="str">
        <f t="shared" si="230"/>
        <v xml:space="preserve"> </v>
      </c>
      <c r="D1181" s="1415">
        <v>8</v>
      </c>
      <c r="E1181" s="980"/>
      <c r="F1181" s="992" t="str">
        <f>VLOOKUP($B1181,DG!A:D,DG!$C$2,)</f>
        <v>Kẹp cáp 3 boulon</v>
      </c>
      <c r="G1181" s="980" t="str">
        <f>VLOOKUP($B1181,DG!A:D,DG!$D$2,)</f>
        <v>cái</v>
      </c>
      <c r="H1181" s="1693">
        <f t="shared" si="233"/>
        <v>0</v>
      </c>
      <c r="I1181" s="1693">
        <f t="shared" si="233"/>
        <v>0</v>
      </c>
      <c r="J1181" s="1693">
        <f t="shared" si="233"/>
        <v>0</v>
      </c>
      <c r="K1181" s="1693">
        <f t="shared" si="233"/>
        <v>0</v>
      </c>
      <c r="L1181" s="1693">
        <f t="shared" si="233"/>
        <v>0</v>
      </c>
      <c r="M1181" s="1693">
        <f t="shared" si="233"/>
        <v>0</v>
      </c>
      <c r="N1181" s="1693">
        <f t="shared" si="233"/>
        <v>0</v>
      </c>
      <c r="O1181" s="1693"/>
      <c r="P1181" s="1693">
        <f t="shared" si="234"/>
        <v>0</v>
      </c>
      <c r="Q1181" s="989"/>
      <c r="R1181" s="989">
        <f t="shared" si="235"/>
        <v>0</v>
      </c>
      <c r="S1181" s="989"/>
      <c r="T1181" s="1862">
        <f t="shared" si="228"/>
        <v>0</v>
      </c>
    </row>
    <row r="1182" spans="1:20" ht="22.2" hidden="1" customHeight="1">
      <c r="A1182" s="1448">
        <f>COUNTIF($C$12:C1182,"x")</f>
        <v>87</v>
      </c>
      <c r="B1182" s="1451" t="s">
        <v>1359</v>
      </c>
      <c r="C1182" s="970" t="str">
        <f>IF(OR(P1182&lt;&gt;0,H1182&lt;&gt;0),"x"," ")</f>
        <v xml:space="preserve"> </v>
      </c>
      <c r="D1182" s="1425">
        <v>5.0999999999999996</v>
      </c>
      <c r="E1182" s="980"/>
      <c r="F1182" s="992" t="str">
        <f>VLOOKUP($B1182,DG!A:D,DG!$C$2,)</f>
        <v>Cáp thép 5/8"</v>
      </c>
      <c r="G1182" s="980" t="str">
        <f>VLOOKUP($B1182,DG!A:D,DG!$D$2,)</f>
        <v>kg</v>
      </c>
      <c r="H1182" s="1693">
        <f t="shared" si="233"/>
        <v>0</v>
      </c>
      <c r="I1182" s="1693">
        <f t="shared" si="233"/>
        <v>0</v>
      </c>
      <c r="J1182" s="1693">
        <f t="shared" si="233"/>
        <v>0</v>
      </c>
      <c r="K1182" s="1693">
        <f t="shared" si="233"/>
        <v>0</v>
      </c>
      <c r="L1182" s="1693">
        <f t="shared" si="233"/>
        <v>0</v>
      </c>
      <c r="M1182" s="1693">
        <f t="shared" si="233"/>
        <v>0</v>
      </c>
      <c r="N1182" s="1693">
        <f t="shared" si="233"/>
        <v>0</v>
      </c>
      <c r="O1182" s="1693"/>
      <c r="P1182" s="1693">
        <f>$P$1178*D1182</f>
        <v>0</v>
      </c>
      <c r="Q1182" s="993">
        <f>$Q$1192*D1182</f>
        <v>0</v>
      </c>
      <c r="R1182" s="989"/>
      <c r="S1182" s="989"/>
      <c r="T1182" s="1862">
        <f>IFERROR(HLOOKUP(B1182,BangKeTru,3,0),0)</f>
        <v>0</v>
      </c>
    </row>
    <row r="1183" spans="1:20" ht="22.2" hidden="1" customHeight="1">
      <c r="A1183" s="1448">
        <f>COUNTIF($C$12:C1183,"x")</f>
        <v>87</v>
      </c>
      <c r="B1183" s="1451" t="s">
        <v>4925</v>
      </c>
      <c r="C1183" s="1701" t="str">
        <f t="shared" si="230"/>
        <v xml:space="preserve"> </v>
      </c>
      <c r="D1183" s="1425">
        <v>14</v>
      </c>
      <c r="E1183" s="980"/>
      <c r="F1183" s="992" t="str">
        <f>VLOOKUP($B1183,DG!A:D,DG!$C$2,)</f>
        <v>Cáp thép 5/8"</v>
      </c>
      <c r="G1183" s="980" t="str">
        <f>VLOOKUP($B1183,DG!A:D,DG!$D$2,)</f>
        <v>mét</v>
      </c>
      <c r="H1183" s="1693"/>
      <c r="I1183" s="1693"/>
      <c r="J1183" s="1693"/>
      <c r="K1183" s="1693"/>
      <c r="L1183" s="1693"/>
      <c r="M1183" s="1693"/>
      <c r="N1183" s="1693"/>
      <c r="O1183" s="1693"/>
      <c r="P1183" s="1693"/>
      <c r="Q1183" s="993"/>
      <c r="R1183" s="989">
        <f t="shared" si="235"/>
        <v>0</v>
      </c>
      <c r="S1183" s="989"/>
      <c r="T1183" s="1862">
        <f t="shared" si="228"/>
        <v>0</v>
      </c>
    </row>
    <row r="1184" spans="1:20" ht="22.2" hidden="1" customHeight="1">
      <c r="A1184" s="1448">
        <f>COUNTIF($C$12:C1184,"x")</f>
        <v>87</v>
      </c>
      <c r="B1184" s="1451" t="s">
        <v>2000</v>
      </c>
      <c r="C1184" s="1701" t="str">
        <f t="shared" si="230"/>
        <v xml:space="preserve"> </v>
      </c>
      <c r="D1184" s="1415">
        <v>2</v>
      </c>
      <c r="E1184" s="980"/>
      <c r="F1184" s="992" t="str">
        <f>VLOOKUP($B1184,DG!A:D,DG!$C$2,)</f>
        <v>Yếm cáp dày 2mm</v>
      </c>
      <c r="G1184" s="980" t="str">
        <f>VLOOKUP($B1184,DG!A:D,DG!$D$2,)</f>
        <v>cái</v>
      </c>
      <c r="H1184" s="1693">
        <f t="shared" si="233"/>
        <v>0</v>
      </c>
      <c r="I1184" s="1693">
        <f t="shared" si="233"/>
        <v>0</v>
      </c>
      <c r="J1184" s="1693">
        <f t="shared" si="233"/>
        <v>0</v>
      </c>
      <c r="K1184" s="1693">
        <f t="shared" si="233"/>
        <v>0</v>
      </c>
      <c r="L1184" s="1693">
        <f t="shared" si="233"/>
        <v>0</v>
      </c>
      <c r="M1184" s="1693">
        <f t="shared" si="233"/>
        <v>0</v>
      </c>
      <c r="N1184" s="1693">
        <f t="shared" si="233"/>
        <v>0</v>
      </c>
      <c r="O1184" s="1693"/>
      <c r="P1184" s="1693">
        <f t="shared" si="234"/>
        <v>0</v>
      </c>
      <c r="Q1184" s="989"/>
      <c r="R1184" s="989">
        <f t="shared" si="235"/>
        <v>0</v>
      </c>
      <c r="S1184" s="989"/>
      <c r="T1184" s="1862">
        <f t="shared" si="228"/>
        <v>0</v>
      </c>
    </row>
    <row r="1185" spans="1:20" ht="22.2" hidden="1" customHeight="1">
      <c r="A1185" s="1448">
        <f>COUNTIF($C$12:C1185,"x")</f>
        <v>87</v>
      </c>
      <c r="B1185" s="1451" t="s">
        <v>2001</v>
      </c>
      <c r="C1185" s="1701" t="str">
        <f t="shared" si="230"/>
        <v xml:space="preserve"> </v>
      </c>
      <c r="D1185" s="1415">
        <v>1</v>
      </c>
      <c r="E1185" s="980"/>
      <c r="F1185" s="992" t="str">
        <f>VLOOKUP($B1185,DG!A:D,DG!$C$2,)</f>
        <v>Máng che dây chằng dày 1,6mm</v>
      </c>
      <c r="G1185" s="980" t="str">
        <f>VLOOKUP($B1185,DG!A:D,DG!$D$2,)</f>
        <v>cái</v>
      </c>
      <c r="H1185" s="1693">
        <f t="shared" si="233"/>
        <v>0</v>
      </c>
      <c r="I1185" s="1693">
        <f t="shared" si="233"/>
        <v>0</v>
      </c>
      <c r="J1185" s="1693">
        <f t="shared" si="233"/>
        <v>0</v>
      </c>
      <c r="K1185" s="1693">
        <f t="shared" si="233"/>
        <v>0</v>
      </c>
      <c r="L1185" s="1693">
        <f t="shared" si="233"/>
        <v>0</v>
      </c>
      <c r="M1185" s="1693">
        <f t="shared" si="233"/>
        <v>0</v>
      </c>
      <c r="N1185" s="1693">
        <f t="shared" si="233"/>
        <v>0</v>
      </c>
      <c r="O1185" s="1693"/>
      <c r="P1185" s="1693">
        <f t="shared" si="234"/>
        <v>0</v>
      </c>
      <c r="Q1185" s="989"/>
      <c r="R1185" s="989">
        <f t="shared" si="235"/>
        <v>0</v>
      </c>
      <c r="S1185" s="989"/>
      <c r="T1185" s="1862">
        <f t="shared" si="228"/>
        <v>0</v>
      </c>
    </row>
    <row r="1186" spans="1:20" ht="22.2" hidden="1" customHeight="1">
      <c r="A1186" s="1448">
        <f>COUNTIF($C$12:C1186,"x")</f>
        <v>87</v>
      </c>
      <c r="B1186" s="1451" t="s">
        <v>1918</v>
      </c>
      <c r="C1186" s="1701" t="str">
        <f t="shared" si="230"/>
        <v xml:space="preserve"> </v>
      </c>
      <c r="D1186" s="1415">
        <f>D1179</f>
        <v>1</v>
      </c>
      <c r="E1186" s="980" t="str">
        <f>VLOOKUP($B1186,DG!A:D,DG!$B$2,)</f>
        <v>06.3241</v>
      </c>
      <c r="F1186" s="985" t="str">
        <f>VLOOKUP($B1186,DG!A:D,DG!$C$2,)</f>
        <v>Lắp bộ dây néo</v>
      </c>
      <c r="G1186" s="980" t="str">
        <f>VLOOKUP($B1186,DG!A:D,DG!$D$2,)</f>
        <v>bộ</v>
      </c>
      <c r="H1186" s="1693">
        <f>H$1178*$D1186</f>
        <v>0</v>
      </c>
      <c r="I1186" s="1693"/>
      <c r="J1186" s="1693"/>
      <c r="K1186" s="1693"/>
      <c r="L1186" s="1693"/>
      <c r="M1186" s="1693"/>
      <c r="N1186" s="1693"/>
      <c r="O1186" s="1693"/>
      <c r="P1186" s="1693">
        <f t="shared" si="234"/>
        <v>0</v>
      </c>
      <c r="Q1186" s="994"/>
      <c r="R1186" s="989">
        <f t="shared" si="235"/>
        <v>0</v>
      </c>
      <c r="S1186" s="994"/>
      <c r="T1186" s="1862">
        <f t="shared" si="228"/>
        <v>0</v>
      </c>
    </row>
    <row r="1187" spans="1:20" ht="22.2" hidden="1" customHeight="1">
      <c r="A1187" s="1448">
        <f>COUNTIF($C$12:C1187,"x")</f>
        <v>87</v>
      </c>
      <c r="B1187" s="1455" t="s">
        <v>1918</v>
      </c>
      <c r="C1187" s="970" t="str">
        <f t="shared" si="230"/>
        <v xml:space="preserve"> </v>
      </c>
      <c r="D1187" s="1415"/>
      <c r="E1187" s="980" t="str">
        <f>VLOOKUP($B1187,DG!A:D,DG!$B$2,)</f>
        <v>06.3241</v>
      </c>
      <c r="F1187" s="985" t="s">
        <v>2468</v>
      </c>
      <c r="G1187" s="980" t="str">
        <f>VLOOKUP($B1187,DG!A:D,DG!$D$2,)</f>
        <v>bộ</v>
      </c>
      <c r="H1187" s="1693"/>
      <c r="I1187" s="1693"/>
      <c r="J1187" s="1693"/>
      <c r="K1187" s="1693"/>
      <c r="L1187" s="1693"/>
      <c r="M1187" s="1693"/>
      <c r="N1187" s="1693"/>
      <c r="O1187" s="1693"/>
      <c r="P1187" s="1693"/>
      <c r="Q1187" s="994"/>
      <c r="R1187" s="989">
        <f t="shared" si="235"/>
        <v>0</v>
      </c>
      <c r="S1187" s="994"/>
      <c r="T1187" s="1862">
        <f t="shared" si="228"/>
        <v>0</v>
      </c>
    </row>
    <row r="1188" spans="1:20" ht="22.2" hidden="1" customHeight="1">
      <c r="A1188" s="1448">
        <f>COUNTIF($C$12:C1188,"x")</f>
        <v>87</v>
      </c>
      <c r="B1188" s="1452" t="s">
        <v>195</v>
      </c>
      <c r="C1188" s="970" t="str">
        <f t="shared" si="230"/>
        <v xml:space="preserve"> </v>
      </c>
      <c r="D1188" s="1412"/>
      <c r="E1188" s="981"/>
      <c r="F1188" s="1276" t="s">
        <v>2469</v>
      </c>
      <c r="G1188" s="982" t="s">
        <v>2385</v>
      </c>
      <c r="H1188" s="1691">
        <f>SUM(I1188:O1188)</f>
        <v>0</v>
      </c>
      <c r="I1188" s="1692"/>
      <c r="J1188" s="1692"/>
      <c r="K1188" s="1692">
        <f>IFERROR(HLOOKUP(B1188,pp3p1m!$1:$3,2,0),0)</f>
        <v>0</v>
      </c>
      <c r="L1188" s="1692">
        <f>IFERROR(HLOOKUP(chitiet!B1188,pp1p!$1:$3,3,0),0)</f>
        <v>0</v>
      </c>
      <c r="M1188" s="1692"/>
      <c r="N1188" s="1692"/>
      <c r="O1188" s="1692"/>
      <c r="P1188" s="2674">
        <f>T1188</f>
        <v>0</v>
      </c>
      <c r="Q1188" s="983">
        <f>IF(P1188&gt;H1188,P1188-H1188,0)</f>
        <v>0</v>
      </c>
      <c r="R1188" s="983">
        <f>IF(H1188&gt;P1188,H1188-P1188,0)</f>
        <v>0</v>
      </c>
      <c r="S1188" s="983"/>
      <c r="T1188" s="1862">
        <f>IFERROR(HLOOKUP(B1188,pp1p!$1:$3,3,0),0)+IFERROR(HLOOKUP(B1188,pp3p1m!$1:$3,3,0),0)</f>
        <v>0</v>
      </c>
    </row>
    <row r="1189" spans="1:20" ht="22.2" hidden="1" customHeight="1">
      <c r="A1189" s="1448">
        <f>COUNTIF($C$12:C1189,"x")</f>
        <v>87</v>
      </c>
      <c r="B1189" s="1455" t="s">
        <v>1918</v>
      </c>
      <c r="C1189" s="970" t="str">
        <f t="shared" si="230"/>
        <v xml:space="preserve"> </v>
      </c>
      <c r="D1189" s="1415">
        <v>1</v>
      </c>
      <c r="E1189" s="980"/>
      <c r="F1189" s="985" t="s">
        <v>2460</v>
      </c>
      <c r="G1189" s="980" t="str">
        <f>VLOOKUP($B1189,DG!A:D,DG!$D$2,)</f>
        <v>bộ</v>
      </c>
      <c r="H1189" s="1693">
        <f t="shared" ref="H1189:N1191" si="236">H$1188*$D1189</f>
        <v>0</v>
      </c>
      <c r="I1189" s="1693">
        <f t="shared" si="236"/>
        <v>0</v>
      </c>
      <c r="J1189" s="1693">
        <f t="shared" si="236"/>
        <v>0</v>
      </c>
      <c r="K1189" s="1693">
        <f t="shared" si="236"/>
        <v>0</v>
      </c>
      <c r="L1189" s="1693">
        <f t="shared" si="236"/>
        <v>0</v>
      </c>
      <c r="M1189" s="1693">
        <f t="shared" si="236"/>
        <v>0</v>
      </c>
      <c r="N1189" s="1693">
        <f t="shared" si="236"/>
        <v>0</v>
      </c>
      <c r="O1189" s="1693"/>
      <c r="P1189" s="1693"/>
      <c r="Q1189" s="989"/>
      <c r="R1189" s="989"/>
      <c r="S1189" s="989"/>
      <c r="T1189" s="1862">
        <f t="shared" si="228"/>
        <v>0</v>
      </c>
    </row>
    <row r="1190" spans="1:20" ht="22.2" hidden="1" customHeight="1">
      <c r="A1190" s="1448">
        <f>COUNTIF($C$12:C1190,"x")</f>
        <v>87</v>
      </c>
      <c r="B1190" s="1455" t="s">
        <v>1906</v>
      </c>
      <c r="C1190" s="970" t="str">
        <f t="shared" si="230"/>
        <v xml:space="preserve"> </v>
      </c>
      <c r="D1190" s="1415">
        <v>1</v>
      </c>
      <c r="E1190" s="980"/>
      <c r="F1190" s="985" t="s">
        <v>2461</v>
      </c>
      <c r="G1190" s="980" t="str">
        <f>VLOOKUP($B1190,DG!A:D,DG!$D$2,)</f>
        <v>bộ</v>
      </c>
      <c r="H1190" s="1693">
        <f t="shared" si="236"/>
        <v>0</v>
      </c>
      <c r="I1190" s="1693">
        <f t="shared" si="236"/>
        <v>0</v>
      </c>
      <c r="J1190" s="1693">
        <f t="shared" si="236"/>
        <v>0</v>
      </c>
      <c r="K1190" s="1693">
        <f t="shared" si="236"/>
        <v>0</v>
      </c>
      <c r="L1190" s="1693">
        <f t="shared" si="236"/>
        <v>0</v>
      </c>
      <c r="M1190" s="1693">
        <f t="shared" si="236"/>
        <v>0</v>
      </c>
      <c r="N1190" s="1693">
        <f t="shared" si="236"/>
        <v>0</v>
      </c>
      <c r="O1190" s="1693"/>
      <c r="P1190" s="1693"/>
      <c r="Q1190" s="989"/>
      <c r="R1190" s="989"/>
      <c r="S1190" s="989"/>
      <c r="T1190" s="1862">
        <f t="shared" si="228"/>
        <v>0</v>
      </c>
    </row>
    <row r="1191" spans="1:20" ht="22.2" hidden="1" customHeight="1">
      <c r="A1191" s="1448">
        <f>COUNTIF($C$12:C1191,"x")</f>
        <v>87</v>
      </c>
      <c r="B1191" s="1464" t="s">
        <v>356</v>
      </c>
      <c r="C1191" s="970" t="str">
        <f t="shared" si="230"/>
        <v xml:space="preserve"> </v>
      </c>
      <c r="D1191" s="1414">
        <v>0.02</v>
      </c>
      <c r="E1191" s="980" t="str">
        <f>VLOOKUP($B1191,DG!A:C,2,)</f>
        <v>02.1421</v>
      </c>
      <c r="F1191" s="985" t="str">
        <f>VLOOKUP($B1191,DG!A:C,3,)</f>
        <v>V/c phụ kiện vào vị trí (cự ly &lt;=100m)</v>
      </c>
      <c r="G1191" s="980" t="str">
        <f>VLOOKUP($B1191,DG!A:D,4,0)</f>
        <v>tấn</v>
      </c>
      <c r="H1191" s="1693">
        <f t="shared" si="236"/>
        <v>0</v>
      </c>
      <c r="I1191" s="1693">
        <f t="shared" si="236"/>
        <v>0</v>
      </c>
      <c r="J1191" s="1693">
        <f t="shared" si="236"/>
        <v>0</v>
      </c>
      <c r="K1191" s="1693">
        <f t="shared" si="236"/>
        <v>0</v>
      </c>
      <c r="L1191" s="1693">
        <f t="shared" si="236"/>
        <v>0</v>
      </c>
      <c r="M1191" s="1693">
        <f t="shared" si="236"/>
        <v>0</v>
      </c>
      <c r="N1191" s="1693">
        <f t="shared" si="236"/>
        <v>0</v>
      </c>
      <c r="O1191" s="1693"/>
      <c r="P1191" s="1693"/>
      <c r="Q1191" s="989"/>
      <c r="R1191" s="989"/>
      <c r="S1191" s="989"/>
      <c r="T1191" s="1862">
        <f t="shared" si="228"/>
        <v>0</v>
      </c>
    </row>
    <row r="1192" spans="1:20" ht="22.2" hidden="1" customHeight="1">
      <c r="A1192" s="1448">
        <f>COUNTIF($C$12:C1192,"x")</f>
        <v>87</v>
      </c>
      <c r="B1192" s="1452" t="s">
        <v>664</v>
      </c>
      <c r="C1192" s="970" t="str">
        <f t="shared" si="230"/>
        <v xml:space="preserve"> </v>
      </c>
      <c r="D1192" s="1412"/>
      <c r="E1192" s="981"/>
      <c r="F1192" s="1276" t="s">
        <v>2470</v>
      </c>
      <c r="G1192" s="982" t="s">
        <v>2385</v>
      </c>
      <c r="H1192" s="1691">
        <f>SUM(I1192:O1192)</f>
        <v>0</v>
      </c>
      <c r="I1192" s="1692"/>
      <c r="J1192" s="1692"/>
      <c r="K1192" s="1692">
        <f>IFERROR(HLOOKUP(B1192,pp3p1m!$1:$3,2,0),0)</f>
        <v>0</v>
      </c>
      <c r="L1192" s="1692">
        <f>IFERROR(HLOOKUP(chitiet!B1192,pp1p!$1:$3,3,0),0)</f>
        <v>0</v>
      </c>
      <c r="M1192" s="1692"/>
      <c r="N1192" s="1692"/>
      <c r="O1192" s="1692"/>
      <c r="P1192" s="2674">
        <f>T1192</f>
        <v>0</v>
      </c>
      <c r="Q1192" s="983">
        <f>IF(P1192&gt;H1192,P1192-H1192,0)</f>
        <v>0</v>
      </c>
      <c r="R1192" s="983">
        <f>IF(H1192&gt;P1192,H1192-P1192,0)</f>
        <v>0</v>
      </c>
      <c r="S1192" s="983"/>
      <c r="T1192" s="1862">
        <f>IFERROR(HLOOKUP(B1192,pp1p!$1:$3,3,0),0)+IFERROR(HLOOKUP(B1192,pp3p1m!$1:$3,3,0),0)</f>
        <v>0</v>
      </c>
    </row>
    <row r="1193" spans="1:20" ht="22.2" hidden="1" customHeight="1">
      <c r="A1193" s="1448">
        <f>COUNTIF($C$12:C1193,"x")</f>
        <v>87</v>
      </c>
      <c r="B1193" s="1451" t="s">
        <v>417</v>
      </c>
      <c r="C1193" s="970" t="str">
        <f t="shared" si="230"/>
        <v xml:space="preserve"> </v>
      </c>
      <c r="D1193" s="1415">
        <v>1</v>
      </c>
      <c r="E1193" s="980"/>
      <c r="F1193" s="992" t="str">
        <f>VLOOKUP($B1193,DG!A:D,DG!$C$2,)</f>
        <v>Boulon mắt 16x300+ 2 long đền vuông D18-50x50x3/Zn</v>
      </c>
      <c r="G1193" s="980" t="str">
        <f>VLOOKUP($B1193,DG!A:D,DG!$D$2,)</f>
        <v>bộ</v>
      </c>
      <c r="H1193" s="1693">
        <f t="shared" ref="H1193:N1200" si="237">H$1192*$D1193</f>
        <v>0</v>
      </c>
      <c r="I1193" s="1693">
        <f t="shared" si="237"/>
        <v>0</v>
      </c>
      <c r="J1193" s="1693">
        <f t="shared" si="237"/>
        <v>0</v>
      </c>
      <c r="K1193" s="1693">
        <f t="shared" si="237"/>
        <v>0</v>
      </c>
      <c r="L1193" s="1693">
        <f t="shared" si="237"/>
        <v>0</v>
      </c>
      <c r="M1193" s="1693">
        <f t="shared" si="237"/>
        <v>0</v>
      </c>
      <c r="N1193" s="1693">
        <f t="shared" si="237"/>
        <v>0</v>
      </c>
      <c r="O1193" s="1693"/>
      <c r="P1193" s="1693">
        <f t="shared" ref="P1193:P1201" si="238">$P$1192*D1193</f>
        <v>0</v>
      </c>
      <c r="Q1193" s="989">
        <f t="shared" ref="Q1193:Q1202" si="239">$Q$1192*D1193</f>
        <v>0</v>
      </c>
      <c r="R1193" s="989"/>
      <c r="S1193" s="989"/>
      <c r="T1193" s="1862">
        <f t="shared" si="228"/>
        <v>0</v>
      </c>
    </row>
    <row r="1194" spans="1:20" ht="22.2" hidden="1" customHeight="1">
      <c r="A1194" s="1448">
        <f>COUNTIF($C$12:C1194,"x")</f>
        <v>87</v>
      </c>
      <c r="B1194" s="1451" t="s">
        <v>111</v>
      </c>
      <c r="C1194" s="970" t="str">
        <f t="shared" si="230"/>
        <v xml:space="preserve"> </v>
      </c>
      <c r="D1194" s="1415">
        <v>1</v>
      </c>
      <c r="E1194" s="980"/>
      <c r="F1194" s="992" t="str">
        <f>VLOOKUP($B1194,DG!A:D,DG!$C$2,)</f>
        <v>Sứ chằng</v>
      </c>
      <c r="G1194" s="980" t="str">
        <f>VLOOKUP($B1194,DG!A:D,DG!$D$2,)</f>
        <v>cái</v>
      </c>
      <c r="H1194" s="1693">
        <f t="shared" si="237"/>
        <v>0</v>
      </c>
      <c r="I1194" s="1693">
        <f t="shared" si="237"/>
        <v>0</v>
      </c>
      <c r="J1194" s="1693">
        <f t="shared" si="237"/>
        <v>0</v>
      </c>
      <c r="K1194" s="1693">
        <f t="shared" si="237"/>
        <v>0</v>
      </c>
      <c r="L1194" s="1693">
        <f t="shared" si="237"/>
        <v>0</v>
      </c>
      <c r="M1194" s="1693">
        <f t="shared" si="237"/>
        <v>0</v>
      </c>
      <c r="N1194" s="1693">
        <f t="shared" si="237"/>
        <v>0</v>
      </c>
      <c r="O1194" s="1693"/>
      <c r="P1194" s="1693">
        <f t="shared" si="238"/>
        <v>0</v>
      </c>
      <c r="Q1194" s="989">
        <f t="shared" si="239"/>
        <v>0</v>
      </c>
      <c r="R1194" s="989"/>
      <c r="S1194" s="989"/>
      <c r="T1194" s="1862">
        <f t="shared" si="228"/>
        <v>0</v>
      </c>
    </row>
    <row r="1195" spans="1:20" ht="22.2" hidden="1" customHeight="1">
      <c r="A1195" s="1448">
        <f>COUNTIF($C$12:C1195,"x")</f>
        <v>87</v>
      </c>
      <c r="B1195" s="1451" t="s">
        <v>1578</v>
      </c>
      <c r="C1195" s="970" t="str">
        <f t="shared" si="230"/>
        <v xml:space="preserve"> </v>
      </c>
      <c r="D1195" s="1415">
        <v>8</v>
      </c>
      <c r="E1195" s="980"/>
      <c r="F1195" s="992" t="str">
        <f>VLOOKUP($B1195,DG!A:D,DG!$C$2,)</f>
        <v>Kẹp cáp 3 boulon</v>
      </c>
      <c r="G1195" s="980" t="str">
        <f>VLOOKUP($B1195,DG!A:D,DG!$D$2,)</f>
        <v>cái</v>
      </c>
      <c r="H1195" s="1693">
        <f t="shared" si="237"/>
        <v>0</v>
      </c>
      <c r="I1195" s="1693">
        <f t="shared" si="237"/>
        <v>0</v>
      </c>
      <c r="J1195" s="1693">
        <f t="shared" si="237"/>
        <v>0</v>
      </c>
      <c r="K1195" s="1693">
        <f t="shared" si="237"/>
        <v>0</v>
      </c>
      <c r="L1195" s="1693">
        <f t="shared" si="237"/>
        <v>0</v>
      </c>
      <c r="M1195" s="1693">
        <f t="shared" si="237"/>
        <v>0</v>
      </c>
      <c r="N1195" s="1693">
        <f t="shared" si="237"/>
        <v>0</v>
      </c>
      <c r="O1195" s="1693"/>
      <c r="P1195" s="1693">
        <f t="shared" si="238"/>
        <v>0</v>
      </c>
      <c r="Q1195" s="989">
        <f t="shared" si="239"/>
        <v>0</v>
      </c>
      <c r="R1195" s="989"/>
      <c r="S1195" s="989"/>
      <c r="T1195" s="1862">
        <f t="shared" si="228"/>
        <v>0</v>
      </c>
    </row>
    <row r="1196" spans="1:20" ht="22.2" hidden="1" customHeight="1">
      <c r="A1196" s="1448">
        <f>COUNTIF($C$12:C1196,"x")</f>
        <v>87</v>
      </c>
      <c r="B1196" s="1451" t="s">
        <v>1359</v>
      </c>
      <c r="C1196" s="970" t="str">
        <f>IF(OR(P1196&lt;&gt;0,H1196&lt;&gt;0),"x"," ")</f>
        <v xml:space="preserve"> </v>
      </c>
      <c r="D1196" s="1425"/>
      <c r="E1196" s="980"/>
      <c r="F1196" s="992" t="str">
        <f>VLOOKUP($B1196,DG!A:D,DG!$C$2,)</f>
        <v>Cáp thép 5/8"</v>
      </c>
      <c r="G1196" s="980" t="str">
        <f>VLOOKUP($B1196,DG!A:D,DG!$D$2,)</f>
        <v>kg</v>
      </c>
      <c r="H1196" s="1693">
        <f t="shared" si="237"/>
        <v>0</v>
      </c>
      <c r="I1196" s="1693">
        <f t="shared" si="237"/>
        <v>0</v>
      </c>
      <c r="J1196" s="1693">
        <f t="shared" si="237"/>
        <v>0</v>
      </c>
      <c r="K1196" s="1693">
        <f t="shared" si="237"/>
        <v>0</v>
      </c>
      <c r="L1196" s="1693">
        <f t="shared" si="237"/>
        <v>0</v>
      </c>
      <c r="M1196" s="1693">
        <f t="shared" si="237"/>
        <v>0</v>
      </c>
      <c r="N1196" s="1693">
        <f t="shared" si="237"/>
        <v>0</v>
      </c>
      <c r="O1196" s="1693"/>
      <c r="P1196" s="1693">
        <f>$P$1192*D1196</f>
        <v>0</v>
      </c>
      <c r="Q1196" s="993">
        <f>$Q$1192*D1196</f>
        <v>0</v>
      </c>
      <c r="R1196" s="989"/>
      <c r="S1196" s="989"/>
      <c r="T1196" s="1862">
        <f>IFERROR(HLOOKUP(B1196,BangKeTru,3,0),0)</f>
        <v>0</v>
      </c>
    </row>
    <row r="1197" spans="1:20" ht="22.2" hidden="1" customHeight="1">
      <c r="A1197" s="1448">
        <f>COUNTIF($C$12:C1197,"x")</f>
        <v>87</v>
      </c>
      <c r="B1197" s="1451" t="s">
        <v>4925</v>
      </c>
      <c r="C1197" s="970" t="str">
        <f t="shared" si="230"/>
        <v xml:space="preserve"> </v>
      </c>
      <c r="D1197" s="1425">
        <v>14</v>
      </c>
      <c r="E1197" s="980"/>
      <c r="F1197" s="992" t="str">
        <f>VLOOKUP($B1197,DG!A:D,DG!$C$2,)</f>
        <v>Cáp thép 5/8"</v>
      </c>
      <c r="G1197" s="980" t="str">
        <f>VLOOKUP($B1197,DG!A:D,DG!$D$2,)</f>
        <v>mét</v>
      </c>
      <c r="H1197" s="1693">
        <f t="shared" si="237"/>
        <v>0</v>
      </c>
      <c r="I1197" s="1693">
        <f t="shared" si="237"/>
        <v>0</v>
      </c>
      <c r="J1197" s="1693">
        <f t="shared" si="237"/>
        <v>0</v>
      </c>
      <c r="K1197" s="1693">
        <f t="shared" si="237"/>
        <v>0</v>
      </c>
      <c r="L1197" s="1693">
        <f t="shared" si="237"/>
        <v>0</v>
      </c>
      <c r="M1197" s="1693">
        <f t="shared" si="237"/>
        <v>0</v>
      </c>
      <c r="N1197" s="1693">
        <f t="shared" si="237"/>
        <v>0</v>
      </c>
      <c r="O1197" s="1693"/>
      <c r="P1197" s="1693">
        <f t="shared" si="238"/>
        <v>0</v>
      </c>
      <c r="Q1197" s="993">
        <f t="shared" si="239"/>
        <v>0</v>
      </c>
      <c r="R1197" s="989"/>
      <c r="S1197" s="989"/>
      <c r="T1197" s="1862">
        <f t="shared" si="228"/>
        <v>0</v>
      </c>
    </row>
    <row r="1198" spans="1:20" ht="22.2" hidden="1" customHeight="1">
      <c r="A1198" s="1448">
        <f>COUNTIF($C$12:C1198,"x")</f>
        <v>87</v>
      </c>
      <c r="B1198" s="1451" t="s">
        <v>607</v>
      </c>
      <c r="C1198" s="970" t="str">
        <f t="shared" si="230"/>
        <v xml:space="preserve"> </v>
      </c>
      <c r="D1198" s="1415">
        <v>1</v>
      </c>
      <c r="E1198" s="980"/>
      <c r="F1198" s="992" t="str">
        <f>VLOOKUP($B1198,DG!A:D,DG!$C$2,)</f>
        <v>Bộ chống chằng hẹp Ø60/50x1500+2BL12x40+BL16x250/80</v>
      </c>
      <c r="G1198" s="980" t="str">
        <f>VLOOKUP($B1198,DG!A:D,DG!$D$2,)</f>
        <v>bộ</v>
      </c>
      <c r="H1198" s="1693">
        <f t="shared" si="237"/>
        <v>0</v>
      </c>
      <c r="I1198" s="1693">
        <f t="shared" si="237"/>
        <v>0</v>
      </c>
      <c r="J1198" s="1693">
        <f t="shared" si="237"/>
        <v>0</v>
      </c>
      <c r="K1198" s="1693">
        <f t="shared" si="237"/>
        <v>0</v>
      </c>
      <c r="L1198" s="1693">
        <f t="shared" si="237"/>
        <v>0</v>
      </c>
      <c r="M1198" s="1693">
        <f t="shared" si="237"/>
        <v>0</v>
      </c>
      <c r="N1198" s="1693">
        <f t="shared" si="237"/>
        <v>0</v>
      </c>
      <c r="O1198" s="1693"/>
      <c r="P1198" s="1693">
        <f t="shared" si="238"/>
        <v>0</v>
      </c>
      <c r="Q1198" s="989">
        <f t="shared" si="239"/>
        <v>0</v>
      </c>
      <c r="R1198" s="989"/>
      <c r="S1198" s="989"/>
      <c r="T1198" s="1862">
        <f t="shared" si="228"/>
        <v>0</v>
      </c>
    </row>
    <row r="1199" spans="1:20" ht="22.2" hidden="1" customHeight="1">
      <c r="A1199" s="1448">
        <f>COUNTIF($C$12:C1199,"x")</f>
        <v>87</v>
      </c>
      <c r="B1199" s="1451" t="s">
        <v>2000</v>
      </c>
      <c r="C1199" s="970" t="str">
        <f t="shared" si="230"/>
        <v xml:space="preserve"> </v>
      </c>
      <c r="D1199" s="1415">
        <v>2</v>
      </c>
      <c r="E1199" s="980"/>
      <c r="F1199" s="992" t="str">
        <f>VLOOKUP($B1199,DG!A:D,DG!$C$2,)</f>
        <v>Yếm cáp dày 2mm</v>
      </c>
      <c r="G1199" s="980" t="str">
        <f>VLOOKUP($B1199,DG!A:D,DG!$D$2,)</f>
        <v>cái</v>
      </c>
      <c r="H1199" s="1693">
        <f t="shared" si="237"/>
        <v>0</v>
      </c>
      <c r="I1199" s="1693">
        <f t="shared" si="237"/>
        <v>0</v>
      </c>
      <c r="J1199" s="1693">
        <f t="shared" si="237"/>
        <v>0</v>
      </c>
      <c r="K1199" s="1693">
        <f t="shared" si="237"/>
        <v>0</v>
      </c>
      <c r="L1199" s="1693">
        <f t="shared" si="237"/>
        <v>0</v>
      </c>
      <c r="M1199" s="1693">
        <f t="shared" si="237"/>
        <v>0</v>
      </c>
      <c r="N1199" s="1693">
        <f t="shared" si="237"/>
        <v>0</v>
      </c>
      <c r="O1199" s="1693"/>
      <c r="P1199" s="1693">
        <f t="shared" si="238"/>
        <v>0</v>
      </c>
      <c r="Q1199" s="989">
        <f t="shared" si="239"/>
        <v>0</v>
      </c>
      <c r="R1199" s="989"/>
      <c r="S1199" s="989"/>
      <c r="T1199" s="1862">
        <f t="shared" si="228"/>
        <v>0</v>
      </c>
    </row>
    <row r="1200" spans="1:20" ht="22.2" hidden="1" customHeight="1">
      <c r="A1200" s="1448">
        <f>COUNTIF($C$12:C1200,"x")</f>
        <v>87</v>
      </c>
      <c r="B1200" s="1451" t="s">
        <v>2001</v>
      </c>
      <c r="C1200" s="970" t="str">
        <f t="shared" si="230"/>
        <v xml:space="preserve"> </v>
      </c>
      <c r="D1200" s="1415">
        <v>1</v>
      </c>
      <c r="E1200" s="980"/>
      <c r="F1200" s="992" t="str">
        <f>VLOOKUP($B1200,DG!A:D,DG!$C$2,)</f>
        <v>Máng che dây chằng dày 1,6mm</v>
      </c>
      <c r="G1200" s="980" t="str">
        <f>VLOOKUP($B1200,DG!A:D,DG!$D$2,)</f>
        <v>cái</v>
      </c>
      <c r="H1200" s="1693">
        <f t="shared" si="237"/>
        <v>0</v>
      </c>
      <c r="I1200" s="1693">
        <f t="shared" si="237"/>
        <v>0</v>
      </c>
      <c r="J1200" s="1693">
        <f t="shared" si="237"/>
        <v>0</v>
      </c>
      <c r="K1200" s="1693">
        <f t="shared" si="237"/>
        <v>0</v>
      </c>
      <c r="L1200" s="1693">
        <f t="shared" si="237"/>
        <v>0</v>
      </c>
      <c r="M1200" s="1693">
        <f t="shared" si="237"/>
        <v>0</v>
      </c>
      <c r="N1200" s="1693">
        <f t="shared" si="237"/>
        <v>0</v>
      </c>
      <c r="O1200" s="1693"/>
      <c r="P1200" s="1693">
        <f t="shared" si="238"/>
        <v>0</v>
      </c>
      <c r="Q1200" s="989">
        <f t="shared" si="239"/>
        <v>0</v>
      </c>
      <c r="R1200" s="989"/>
      <c r="S1200" s="989"/>
      <c r="T1200" s="1862">
        <f t="shared" si="228"/>
        <v>0</v>
      </c>
    </row>
    <row r="1201" spans="1:20" ht="22.2" hidden="1" customHeight="1">
      <c r="A1201" s="1448">
        <f>COUNTIF($C$12:C1201,"x")</f>
        <v>87</v>
      </c>
      <c r="B1201" s="1451" t="s">
        <v>1918</v>
      </c>
      <c r="C1201" s="970" t="str">
        <f t="shared" si="230"/>
        <v xml:space="preserve"> </v>
      </c>
      <c r="D1201" s="1415">
        <v>1</v>
      </c>
      <c r="E1201" s="980" t="str">
        <f>VLOOKUP($B1201,DG!A:D,DG!$B$2,)</f>
        <v>06.3241</v>
      </c>
      <c r="F1201" s="985" t="str">
        <f>VLOOKUP($B1201,DG!A:D,DG!$C$2,)</f>
        <v>Lắp bộ dây néo</v>
      </c>
      <c r="G1201" s="980" t="str">
        <f>VLOOKUP($B1201,DG!A:D,DG!$D$2,)</f>
        <v>bộ</v>
      </c>
      <c r="H1201" s="1693">
        <f>H$1192*$D1201</f>
        <v>0</v>
      </c>
      <c r="I1201" s="1693"/>
      <c r="J1201" s="1693"/>
      <c r="K1201" s="1693"/>
      <c r="L1201" s="1693"/>
      <c r="M1201" s="1693"/>
      <c r="N1201" s="1693"/>
      <c r="O1201" s="1693"/>
      <c r="P1201" s="1693">
        <f t="shared" si="238"/>
        <v>0</v>
      </c>
      <c r="Q1201" s="989">
        <f t="shared" si="239"/>
        <v>0</v>
      </c>
      <c r="R1201" s="994"/>
      <c r="S1201" s="994"/>
      <c r="T1201" s="1862">
        <f t="shared" si="228"/>
        <v>0</v>
      </c>
    </row>
    <row r="1202" spans="1:20" ht="22.2" hidden="1" customHeight="1">
      <c r="A1202" s="1448">
        <f>COUNTIF($C$12:C1202,"x")</f>
        <v>87</v>
      </c>
      <c r="B1202" s="1451" t="s">
        <v>1906</v>
      </c>
      <c r="C1202" s="970" t="str">
        <f t="shared" si="230"/>
        <v xml:space="preserve"> </v>
      </c>
      <c r="D1202" s="1415">
        <v>1</v>
      </c>
      <c r="E1202" s="980" t="str">
        <f>VLOOKUP($B1202,DG!A:D,DG!$B$2,)</f>
        <v>05.6011</v>
      </c>
      <c r="F1202" s="985" t="str">
        <f>VLOOKUP($B1202,DG!A:D,DG!$C$2,)</f>
        <v>Lắp bộ chống lệch</v>
      </c>
      <c r="G1202" s="980" t="str">
        <f>VLOOKUP($B1202,DG!A:D,DG!$D$2,)</f>
        <v>bộ</v>
      </c>
      <c r="H1202" s="1693"/>
      <c r="I1202" s="1693"/>
      <c r="J1202" s="1693"/>
      <c r="K1202" s="1693"/>
      <c r="L1202" s="1693"/>
      <c r="M1202" s="1693"/>
      <c r="N1202" s="1693"/>
      <c r="O1202" s="1693"/>
      <c r="P1202" s="1693"/>
      <c r="Q1202" s="989">
        <f t="shared" si="239"/>
        <v>0</v>
      </c>
      <c r="R1202" s="994"/>
      <c r="S1202" s="994"/>
      <c r="T1202" s="1862">
        <f t="shared" si="228"/>
        <v>0</v>
      </c>
    </row>
    <row r="1203" spans="1:20" ht="22.2" hidden="1" customHeight="1">
      <c r="A1203" s="1448">
        <f>COUNTIF($C$12:C1203,"x")</f>
        <v>87</v>
      </c>
      <c r="B1203" s="1464" t="s">
        <v>356</v>
      </c>
      <c r="C1203" s="970" t="str">
        <f t="shared" si="230"/>
        <v xml:space="preserve"> </v>
      </c>
      <c r="D1203" s="1414"/>
      <c r="E1203" s="980" t="str">
        <f>VLOOKUP($B1203,DG!A:C,2,)</f>
        <v>02.1421</v>
      </c>
      <c r="F1203" s="985" t="str">
        <f>VLOOKUP($B1203,DG!A:C,3,)</f>
        <v>V/c phụ kiện vào vị trí (cự ly &lt;=100m)</v>
      </c>
      <c r="G1203" s="980" t="str">
        <f>VLOOKUP($B1203,DG!A:D,4,0)</f>
        <v>tấn</v>
      </c>
      <c r="H1203" s="1693"/>
      <c r="I1203" s="1693"/>
      <c r="J1203" s="1693"/>
      <c r="K1203" s="1693"/>
      <c r="L1203" s="1693"/>
      <c r="M1203" s="1693"/>
      <c r="N1203" s="1693"/>
      <c r="O1203" s="1693"/>
      <c r="P1203" s="1693"/>
      <c r="Q1203" s="994"/>
      <c r="R1203" s="994"/>
      <c r="S1203" s="994"/>
      <c r="T1203" s="1862">
        <f t="shared" si="228"/>
        <v>0</v>
      </c>
    </row>
    <row r="1204" spans="1:20" ht="22.2" hidden="1" customHeight="1">
      <c r="A1204" s="1448">
        <f>COUNTIF($C$12:C1204,"x")</f>
        <v>87</v>
      </c>
      <c r="B1204" s="1452" t="s">
        <v>665</v>
      </c>
      <c r="C1204" s="970" t="str">
        <f t="shared" si="230"/>
        <v xml:space="preserve"> </v>
      </c>
      <c r="D1204" s="1412"/>
      <c r="E1204" s="981"/>
      <c r="F1204" s="1276" t="s">
        <v>2471</v>
      </c>
      <c r="G1204" s="982" t="s">
        <v>2385</v>
      </c>
      <c r="H1204" s="1691">
        <f>SUM(I1204:O1204)</f>
        <v>0</v>
      </c>
      <c r="I1204" s="1692"/>
      <c r="J1204" s="1692"/>
      <c r="K1204" s="1692">
        <f>IFERROR(HLOOKUP(B1204,pp3p1m!$1:$3,2,0),0)</f>
        <v>0</v>
      </c>
      <c r="L1204" s="1692">
        <f>IFERROR(HLOOKUP(chitiet!B1204,pp1p!$1:$3,3,0),0)</f>
        <v>0</v>
      </c>
      <c r="M1204" s="1692"/>
      <c r="N1204" s="1692"/>
      <c r="O1204" s="1692"/>
      <c r="P1204" s="2674">
        <f>T1204</f>
        <v>0</v>
      </c>
      <c r="Q1204" s="983">
        <f>IF(P1204&gt;H1204,P1204-H1204,0)</f>
        <v>0</v>
      </c>
      <c r="R1204" s="983">
        <f>IF(H1204&gt;P1204,H1204-P1204,0)</f>
        <v>0</v>
      </c>
      <c r="S1204" s="983"/>
      <c r="T1204" s="1862">
        <f>IFERROR(HLOOKUP(B1204,pp1p!$1:$3,3,0),0)+IFERROR(HLOOKUP(B1204,pp3p1m!$1:$3,3,0),0)</f>
        <v>0</v>
      </c>
    </row>
    <row r="1205" spans="1:20" ht="22.2" hidden="1" customHeight="1">
      <c r="A1205" s="1448">
        <f>COUNTIF($C$12:C1205,"x")</f>
        <v>87</v>
      </c>
      <c r="B1205" s="1455" t="s">
        <v>1061</v>
      </c>
      <c r="C1205" s="970" t="str">
        <f t="shared" si="230"/>
        <v xml:space="preserve"> </v>
      </c>
      <c r="D1205" s="1415">
        <v>2</v>
      </c>
      <c r="E1205" s="980"/>
      <c r="F1205" s="992" t="str">
        <f>VLOOKUP($B1205,DG!A:D,DG!$C$2,)</f>
        <v>Boulon mắt 16x250+ 2 long đền vuông D18-50x50x3/Zn</v>
      </c>
      <c r="G1205" s="980" t="str">
        <f>VLOOKUP($B1205,DG!A:D,DG!$D$2,)</f>
        <v>bộ</v>
      </c>
      <c r="H1205" s="1693">
        <f t="shared" ref="H1205:N1210" si="240">H$1204*$D1205</f>
        <v>0</v>
      </c>
      <c r="I1205" s="1693">
        <f t="shared" si="240"/>
        <v>0</v>
      </c>
      <c r="J1205" s="1693">
        <f t="shared" si="240"/>
        <v>0</v>
      </c>
      <c r="K1205" s="1693">
        <f t="shared" si="240"/>
        <v>0</v>
      </c>
      <c r="L1205" s="1693">
        <f t="shared" si="240"/>
        <v>0</v>
      </c>
      <c r="M1205" s="1693">
        <f t="shared" si="240"/>
        <v>0</v>
      </c>
      <c r="N1205" s="1693">
        <f t="shared" si="240"/>
        <v>0</v>
      </c>
      <c r="O1205" s="1693"/>
      <c r="P1205" s="1693"/>
      <c r="Q1205" s="989"/>
      <c r="R1205" s="989"/>
      <c r="S1205" s="989"/>
      <c r="T1205" s="1862">
        <f t="shared" si="228"/>
        <v>0</v>
      </c>
    </row>
    <row r="1206" spans="1:20" ht="22.2" hidden="1" customHeight="1">
      <c r="A1206" s="1448">
        <f>COUNTIF($C$12:C1206,"x")</f>
        <v>87</v>
      </c>
      <c r="B1206" s="1455" t="s">
        <v>111</v>
      </c>
      <c r="C1206" s="970" t="str">
        <f t="shared" si="230"/>
        <v xml:space="preserve"> </v>
      </c>
      <c r="D1206" s="1415">
        <v>2</v>
      </c>
      <c r="E1206" s="980"/>
      <c r="F1206" s="992" t="str">
        <f>VLOOKUP($B1206,DG!A:D,DG!$C$2,)</f>
        <v>Sứ chằng</v>
      </c>
      <c r="G1206" s="980" t="str">
        <f>VLOOKUP($B1206,DG!A:D,DG!$D$2,)</f>
        <v>cái</v>
      </c>
      <c r="H1206" s="1693">
        <f t="shared" si="240"/>
        <v>0</v>
      </c>
      <c r="I1206" s="1693">
        <f t="shared" si="240"/>
        <v>0</v>
      </c>
      <c r="J1206" s="1693">
        <f t="shared" si="240"/>
        <v>0</v>
      </c>
      <c r="K1206" s="1693">
        <f t="shared" si="240"/>
        <v>0</v>
      </c>
      <c r="L1206" s="1693">
        <f t="shared" si="240"/>
        <v>0</v>
      </c>
      <c r="M1206" s="1693">
        <f t="shared" si="240"/>
        <v>0</v>
      </c>
      <c r="N1206" s="1693">
        <f t="shared" si="240"/>
        <v>0</v>
      </c>
      <c r="O1206" s="1693"/>
      <c r="P1206" s="1693"/>
      <c r="Q1206" s="989"/>
      <c r="R1206" s="989"/>
      <c r="S1206" s="989"/>
      <c r="T1206" s="1862">
        <f t="shared" si="228"/>
        <v>0</v>
      </c>
    </row>
    <row r="1207" spans="1:20" ht="22.2" hidden="1" customHeight="1">
      <c r="A1207" s="1448">
        <f>COUNTIF($C$12:C1207,"x")</f>
        <v>87</v>
      </c>
      <c r="B1207" s="1455" t="s">
        <v>1578</v>
      </c>
      <c r="C1207" s="970" t="str">
        <f t="shared" si="230"/>
        <v xml:space="preserve"> </v>
      </c>
      <c r="D1207" s="1415">
        <v>16</v>
      </c>
      <c r="E1207" s="980"/>
      <c r="F1207" s="992" t="str">
        <f>VLOOKUP($B1207,DG!A:D,DG!$C$2,)</f>
        <v>Kẹp cáp 3 boulon</v>
      </c>
      <c r="G1207" s="980" t="str">
        <f>VLOOKUP($B1207,DG!A:D,DG!$D$2,)</f>
        <v>cái</v>
      </c>
      <c r="H1207" s="1693">
        <f t="shared" si="240"/>
        <v>0</v>
      </c>
      <c r="I1207" s="1693">
        <f t="shared" si="240"/>
        <v>0</v>
      </c>
      <c r="J1207" s="1693">
        <f t="shared" si="240"/>
        <v>0</v>
      </c>
      <c r="K1207" s="1693">
        <f t="shared" si="240"/>
        <v>0</v>
      </c>
      <c r="L1207" s="1693">
        <f t="shared" si="240"/>
        <v>0</v>
      </c>
      <c r="M1207" s="1693">
        <f t="shared" si="240"/>
        <v>0</v>
      </c>
      <c r="N1207" s="1693">
        <f t="shared" si="240"/>
        <v>0</v>
      </c>
      <c r="O1207" s="1693"/>
      <c r="P1207" s="1693"/>
      <c r="Q1207" s="989"/>
      <c r="R1207" s="989"/>
      <c r="S1207" s="989"/>
      <c r="T1207" s="1862">
        <f t="shared" si="228"/>
        <v>0</v>
      </c>
    </row>
    <row r="1208" spans="1:20" ht="22.2" hidden="1" customHeight="1">
      <c r="A1208" s="1448">
        <f>COUNTIF($C$12:C1208,"x")</f>
        <v>87</v>
      </c>
      <c r="B1208" s="1455" t="s">
        <v>1359</v>
      </c>
      <c r="C1208" s="970" t="str">
        <f t="shared" si="230"/>
        <v xml:space="preserve"> </v>
      </c>
      <c r="D1208" s="1415">
        <v>35</v>
      </c>
      <c r="E1208" s="980"/>
      <c r="F1208" s="992" t="str">
        <f>VLOOKUP($B1208,DG!A:D,DG!$C$2,)</f>
        <v>Cáp thép 5/8"</v>
      </c>
      <c r="G1208" s="980" t="str">
        <f>VLOOKUP($B1208,DG!A:D,DG!$D$2,)</f>
        <v>kg</v>
      </c>
      <c r="H1208" s="1693">
        <f t="shared" si="240"/>
        <v>0</v>
      </c>
      <c r="I1208" s="1693">
        <f t="shared" si="240"/>
        <v>0</v>
      </c>
      <c r="J1208" s="1693">
        <f t="shared" si="240"/>
        <v>0</v>
      </c>
      <c r="K1208" s="1693">
        <f t="shared" si="240"/>
        <v>0</v>
      </c>
      <c r="L1208" s="1693">
        <f t="shared" si="240"/>
        <v>0</v>
      </c>
      <c r="M1208" s="1693">
        <f t="shared" si="240"/>
        <v>0</v>
      </c>
      <c r="N1208" s="1693">
        <f t="shared" si="240"/>
        <v>0</v>
      </c>
      <c r="O1208" s="1693"/>
      <c r="P1208" s="1693"/>
      <c r="Q1208" s="989"/>
      <c r="R1208" s="989"/>
      <c r="S1208" s="989"/>
      <c r="T1208" s="1862">
        <f t="shared" si="228"/>
        <v>0</v>
      </c>
    </row>
    <row r="1209" spans="1:20" ht="22.2" hidden="1" customHeight="1">
      <c r="A1209" s="1448">
        <f>COUNTIF($C$12:C1209,"x")</f>
        <v>87</v>
      </c>
      <c r="B1209" s="1455" t="s">
        <v>2000</v>
      </c>
      <c r="C1209" s="970" t="str">
        <f t="shared" si="230"/>
        <v xml:space="preserve"> </v>
      </c>
      <c r="D1209" s="1415">
        <v>4</v>
      </c>
      <c r="E1209" s="980"/>
      <c r="F1209" s="992" t="str">
        <f>VLOOKUP($B1209,DG!A:D,DG!$C$2,)</f>
        <v>Yếm cáp dày 2mm</v>
      </c>
      <c r="G1209" s="980" t="str">
        <f>VLOOKUP($B1209,DG!A:D,DG!$D$2,)</f>
        <v>cái</v>
      </c>
      <c r="H1209" s="1693">
        <f t="shared" si="240"/>
        <v>0</v>
      </c>
      <c r="I1209" s="1693">
        <f t="shared" si="240"/>
        <v>0</v>
      </c>
      <c r="J1209" s="1693">
        <f t="shared" si="240"/>
        <v>0</v>
      </c>
      <c r="K1209" s="1693">
        <f t="shared" si="240"/>
        <v>0</v>
      </c>
      <c r="L1209" s="1693">
        <f t="shared" si="240"/>
        <v>0</v>
      </c>
      <c r="M1209" s="1693">
        <f t="shared" si="240"/>
        <v>0</v>
      </c>
      <c r="N1209" s="1693">
        <f t="shared" si="240"/>
        <v>0</v>
      </c>
      <c r="O1209" s="1693"/>
      <c r="P1209" s="1693"/>
      <c r="Q1209" s="989"/>
      <c r="R1209" s="989"/>
      <c r="S1209" s="989"/>
      <c r="T1209" s="1862">
        <f t="shared" si="228"/>
        <v>0</v>
      </c>
    </row>
    <row r="1210" spans="1:20" ht="22.2" hidden="1" customHeight="1">
      <c r="A1210" s="1448">
        <f>COUNTIF($C$12:C1210,"x")</f>
        <v>87</v>
      </c>
      <c r="B1210" s="1455" t="s">
        <v>2001</v>
      </c>
      <c r="C1210" s="970" t="str">
        <f t="shared" si="230"/>
        <v xml:space="preserve"> </v>
      </c>
      <c r="D1210" s="1415">
        <v>2</v>
      </c>
      <c r="E1210" s="980"/>
      <c r="F1210" s="992" t="str">
        <f>VLOOKUP($B1210,DG!A:D,DG!$C$2,)</f>
        <v>Máng che dây chằng dày 1,6mm</v>
      </c>
      <c r="G1210" s="980" t="str">
        <f>VLOOKUP($B1210,DG!A:D,DG!$D$2,)</f>
        <v>cái</v>
      </c>
      <c r="H1210" s="1693">
        <f t="shared" si="240"/>
        <v>0</v>
      </c>
      <c r="I1210" s="1693">
        <f t="shared" si="240"/>
        <v>0</v>
      </c>
      <c r="J1210" s="1693">
        <f t="shared" si="240"/>
        <v>0</v>
      </c>
      <c r="K1210" s="1693">
        <f t="shared" si="240"/>
        <v>0</v>
      </c>
      <c r="L1210" s="1693">
        <f t="shared" si="240"/>
        <v>0</v>
      </c>
      <c r="M1210" s="1693">
        <f t="shared" si="240"/>
        <v>0</v>
      </c>
      <c r="N1210" s="1693">
        <f t="shared" si="240"/>
        <v>0</v>
      </c>
      <c r="O1210" s="1693"/>
      <c r="P1210" s="1693"/>
      <c r="Q1210" s="989"/>
      <c r="R1210" s="989"/>
      <c r="S1210" s="989"/>
      <c r="T1210" s="1862">
        <f t="shared" si="228"/>
        <v>0</v>
      </c>
    </row>
    <row r="1211" spans="1:20" ht="22.2" hidden="1" customHeight="1">
      <c r="A1211" s="1448">
        <f>COUNTIF($C$12:C1211,"x")</f>
        <v>87</v>
      </c>
      <c r="B1211" s="1455" t="s">
        <v>1918</v>
      </c>
      <c r="C1211" s="970" t="str">
        <f t="shared" si="230"/>
        <v xml:space="preserve"> </v>
      </c>
      <c r="D1211" s="1415">
        <v>2</v>
      </c>
      <c r="E1211" s="980" t="str">
        <f>VLOOKUP($B1211,DG!A:D,DG!$B$2,)</f>
        <v>06.3241</v>
      </c>
      <c r="F1211" s="985" t="str">
        <f>VLOOKUP($B1211,DG!A:D,DG!$C$2,)</f>
        <v>Lắp bộ dây néo</v>
      </c>
      <c r="G1211" s="980" t="str">
        <f>VLOOKUP($B1211,DG!A:D,DG!$D$2,)</f>
        <v>bộ</v>
      </c>
      <c r="H1211" s="1693"/>
      <c r="I1211" s="1693"/>
      <c r="J1211" s="1693"/>
      <c r="K1211" s="1693"/>
      <c r="L1211" s="1693"/>
      <c r="M1211" s="1693"/>
      <c r="N1211" s="1693"/>
      <c r="O1211" s="1693"/>
      <c r="P1211" s="1693"/>
      <c r="Q1211" s="994"/>
      <c r="R1211" s="994"/>
      <c r="S1211" s="994"/>
      <c r="T1211" s="1862">
        <f t="shared" si="228"/>
        <v>0</v>
      </c>
    </row>
    <row r="1212" spans="1:20" ht="22.2" hidden="1" customHeight="1">
      <c r="A1212" s="1448">
        <f>COUNTIF($C$12:C1212,"x")</f>
        <v>87</v>
      </c>
      <c r="B1212" s="1464" t="s">
        <v>356</v>
      </c>
      <c r="C1212" s="970" t="str">
        <f t="shared" si="230"/>
        <v xml:space="preserve"> </v>
      </c>
      <c r="D1212" s="1414">
        <v>0.02</v>
      </c>
      <c r="E1212" s="980" t="str">
        <f>VLOOKUP($B1212,DG!A:C,2,)</f>
        <v>02.1421</v>
      </c>
      <c r="F1212" s="985" t="str">
        <f>VLOOKUP($B1212,DG!A:C,3,)</f>
        <v>V/c phụ kiện vào vị trí (cự ly &lt;=100m)</v>
      </c>
      <c r="G1212" s="980" t="str">
        <f>VLOOKUP($B1212,DG!A:D,4,0)</f>
        <v>tấn</v>
      </c>
      <c r="H1212" s="1693"/>
      <c r="I1212" s="1693"/>
      <c r="J1212" s="1693"/>
      <c r="K1212" s="1693"/>
      <c r="L1212" s="1693"/>
      <c r="M1212" s="1693"/>
      <c r="N1212" s="1693"/>
      <c r="O1212" s="1693"/>
      <c r="P1212" s="1693"/>
      <c r="Q1212" s="994"/>
      <c r="R1212" s="994"/>
      <c r="S1212" s="994"/>
      <c r="T1212" s="1862">
        <f t="shared" si="228"/>
        <v>0</v>
      </c>
    </row>
    <row r="1213" spans="1:20" ht="22.2" hidden="1" customHeight="1">
      <c r="A1213" s="1448">
        <f>COUNTIF($C$12:C1213,"x")</f>
        <v>87</v>
      </c>
      <c r="B1213" s="1452" t="s">
        <v>666</v>
      </c>
      <c r="C1213" s="970" t="str">
        <f t="shared" si="230"/>
        <v xml:space="preserve"> </v>
      </c>
      <c r="D1213" s="1412"/>
      <c r="E1213" s="981"/>
      <c r="F1213" s="1276" t="s">
        <v>2472</v>
      </c>
      <c r="G1213" s="982" t="s">
        <v>2385</v>
      </c>
      <c r="H1213" s="1691">
        <f>SUM(I1213:O1213)</f>
        <v>0</v>
      </c>
      <c r="I1213" s="1692"/>
      <c r="J1213" s="1692"/>
      <c r="K1213" s="1692">
        <f>IFERROR(HLOOKUP(B1213,pp3p1m!$1:$3,2,0),0)</f>
        <v>0</v>
      </c>
      <c r="L1213" s="1692">
        <f>IFERROR(HLOOKUP(chitiet!B1213,pp1p!$1:$3,3,0),0)</f>
        <v>0</v>
      </c>
      <c r="M1213" s="1692"/>
      <c r="N1213" s="1692"/>
      <c r="O1213" s="1692"/>
      <c r="P1213" s="2674">
        <f>T1213</f>
        <v>0</v>
      </c>
      <c r="Q1213" s="983">
        <f>IF(P1213&gt;H1213,P1213-H1213,0)</f>
        <v>0</v>
      </c>
      <c r="R1213" s="983">
        <f>IF(H1213&gt;P1213,H1213-P1213,0)</f>
        <v>0</v>
      </c>
      <c r="S1213" s="983"/>
      <c r="T1213" s="1862">
        <f>IFERROR(HLOOKUP(B1213,pp1p!$1:$3,3,0),0)+IFERROR(HLOOKUP(B1213,pp3p1m!$1:$3,3,0),0)</f>
        <v>0</v>
      </c>
    </row>
    <row r="1214" spans="1:20" ht="22.2" hidden="1" customHeight="1">
      <c r="A1214" s="1448">
        <f>COUNTIF($C$12:C1214,"x")</f>
        <v>87</v>
      </c>
      <c r="B1214" s="1455" t="s">
        <v>1061</v>
      </c>
      <c r="C1214" s="970" t="str">
        <f t="shared" si="230"/>
        <v xml:space="preserve"> </v>
      </c>
      <c r="D1214" s="1415">
        <v>1</v>
      </c>
      <c r="E1214" s="980"/>
      <c r="F1214" s="992" t="str">
        <f>VLOOKUP($B1214,DG!A:D,DG!$C$2,)</f>
        <v>Boulon mắt 16x250+ 2 long đền vuông D18-50x50x3/Zn</v>
      </c>
      <c r="G1214" s="980" t="str">
        <f>VLOOKUP($B1214,DG!A:D,DG!$D$2,)</f>
        <v>bộ</v>
      </c>
      <c r="H1214" s="1693">
        <f t="shared" ref="H1214:N1219" si="241">H$1213*$D1214</f>
        <v>0</v>
      </c>
      <c r="I1214" s="1693">
        <f t="shared" si="241"/>
        <v>0</v>
      </c>
      <c r="J1214" s="1693">
        <f t="shared" si="241"/>
        <v>0</v>
      </c>
      <c r="K1214" s="1693">
        <f t="shared" si="241"/>
        <v>0</v>
      </c>
      <c r="L1214" s="1693">
        <f t="shared" si="241"/>
        <v>0</v>
      </c>
      <c r="M1214" s="1693">
        <f t="shared" si="241"/>
        <v>0</v>
      </c>
      <c r="N1214" s="1693">
        <f t="shared" si="241"/>
        <v>0</v>
      </c>
      <c r="O1214" s="1693"/>
      <c r="P1214" s="1693"/>
      <c r="Q1214" s="989"/>
      <c r="R1214" s="989"/>
      <c r="S1214" s="989"/>
      <c r="T1214" s="1862">
        <f t="shared" si="228"/>
        <v>0</v>
      </c>
    </row>
    <row r="1215" spans="1:20" ht="22.2" hidden="1" customHeight="1">
      <c r="A1215" s="1448">
        <f>COUNTIF($C$12:C1215,"x")</f>
        <v>87</v>
      </c>
      <c r="B1215" s="1455" t="s">
        <v>111</v>
      </c>
      <c r="C1215" s="970" t="str">
        <f t="shared" si="230"/>
        <v xml:space="preserve"> </v>
      </c>
      <c r="D1215" s="1415">
        <v>1</v>
      </c>
      <c r="E1215" s="980"/>
      <c r="F1215" s="992" t="str">
        <f>VLOOKUP($B1215,DG!A:D,DG!$C$2,)</f>
        <v>Sứ chằng</v>
      </c>
      <c r="G1215" s="980" t="str">
        <f>VLOOKUP($B1215,DG!A:D,DG!$D$2,)</f>
        <v>cái</v>
      </c>
      <c r="H1215" s="1693">
        <f t="shared" si="241"/>
        <v>0</v>
      </c>
      <c r="I1215" s="1693">
        <f t="shared" si="241"/>
        <v>0</v>
      </c>
      <c r="J1215" s="1693">
        <f t="shared" si="241"/>
        <v>0</v>
      </c>
      <c r="K1215" s="1693">
        <f t="shared" si="241"/>
        <v>0</v>
      </c>
      <c r="L1215" s="1693">
        <f t="shared" si="241"/>
        <v>0</v>
      </c>
      <c r="M1215" s="1693">
        <f t="shared" si="241"/>
        <v>0</v>
      </c>
      <c r="N1215" s="1693">
        <f t="shared" si="241"/>
        <v>0</v>
      </c>
      <c r="O1215" s="1693"/>
      <c r="P1215" s="1693"/>
      <c r="Q1215" s="989"/>
      <c r="R1215" s="989"/>
      <c r="S1215" s="989"/>
      <c r="T1215" s="1862">
        <f t="shared" ref="T1215:T1278" si="242">IFERROR(HLOOKUP(B1215,BangKeTru,3,0),0)</f>
        <v>0</v>
      </c>
    </row>
    <row r="1216" spans="1:20" ht="22.2" hidden="1" customHeight="1">
      <c r="A1216" s="1448">
        <f>COUNTIF($C$12:C1216,"x")</f>
        <v>87</v>
      </c>
      <c r="B1216" s="1455" t="s">
        <v>1578</v>
      </c>
      <c r="C1216" s="970" t="str">
        <f t="shared" si="230"/>
        <v xml:space="preserve"> </v>
      </c>
      <c r="D1216" s="1415">
        <v>8</v>
      </c>
      <c r="E1216" s="980"/>
      <c r="F1216" s="992" t="str">
        <f>VLOOKUP($B1216,DG!A:D,DG!$C$2,)</f>
        <v>Kẹp cáp 3 boulon</v>
      </c>
      <c r="G1216" s="980" t="str">
        <f>VLOOKUP($B1216,DG!A:D,DG!$D$2,)</f>
        <v>cái</v>
      </c>
      <c r="H1216" s="1693">
        <f t="shared" si="241"/>
        <v>0</v>
      </c>
      <c r="I1216" s="1693">
        <f t="shared" si="241"/>
        <v>0</v>
      </c>
      <c r="J1216" s="1693">
        <f t="shared" si="241"/>
        <v>0</v>
      </c>
      <c r="K1216" s="1693">
        <f t="shared" si="241"/>
        <v>0</v>
      </c>
      <c r="L1216" s="1693">
        <f t="shared" si="241"/>
        <v>0</v>
      </c>
      <c r="M1216" s="1693">
        <f t="shared" si="241"/>
        <v>0</v>
      </c>
      <c r="N1216" s="1693">
        <f t="shared" si="241"/>
        <v>0</v>
      </c>
      <c r="O1216" s="1693"/>
      <c r="P1216" s="1693"/>
      <c r="Q1216" s="989"/>
      <c r="R1216" s="989"/>
      <c r="S1216" s="989"/>
      <c r="T1216" s="1862">
        <f t="shared" si="242"/>
        <v>0</v>
      </c>
    </row>
    <row r="1217" spans="1:20" ht="22.2" hidden="1" customHeight="1">
      <c r="A1217" s="1448">
        <f>COUNTIF($C$12:C1217,"x")</f>
        <v>87</v>
      </c>
      <c r="B1217" s="1455" t="s">
        <v>275</v>
      </c>
      <c r="C1217" s="970" t="str">
        <f t="shared" si="230"/>
        <v xml:space="preserve"> </v>
      </c>
      <c r="D1217" s="1415">
        <v>20</v>
      </c>
      <c r="E1217" s="980"/>
      <c r="F1217" s="992" t="str">
        <f>VLOOKUP($B1217,DG!A:D,DG!$C$2,)</f>
        <v>Cáp thép 3/8"</v>
      </c>
      <c r="G1217" s="980" t="str">
        <f>VLOOKUP($B1217,DG!A:D,DG!$D$2,)</f>
        <v>kg</v>
      </c>
      <c r="H1217" s="1693">
        <f t="shared" si="241"/>
        <v>0</v>
      </c>
      <c r="I1217" s="1693">
        <f t="shared" si="241"/>
        <v>0</v>
      </c>
      <c r="J1217" s="1693">
        <f t="shared" si="241"/>
        <v>0</v>
      </c>
      <c r="K1217" s="1693">
        <f t="shared" si="241"/>
        <v>0</v>
      </c>
      <c r="L1217" s="1693">
        <f t="shared" si="241"/>
        <v>0</v>
      </c>
      <c r="M1217" s="1693">
        <f t="shared" si="241"/>
        <v>0</v>
      </c>
      <c r="N1217" s="1693">
        <f t="shared" si="241"/>
        <v>0</v>
      </c>
      <c r="O1217" s="1693"/>
      <c r="P1217" s="1693"/>
      <c r="Q1217" s="989"/>
      <c r="R1217" s="989"/>
      <c r="S1217" s="989"/>
      <c r="T1217" s="1862">
        <f t="shared" si="242"/>
        <v>0</v>
      </c>
    </row>
    <row r="1218" spans="1:20" ht="22.2" hidden="1" customHeight="1">
      <c r="A1218" s="1448">
        <f>COUNTIF($C$12:C1218,"x")</f>
        <v>87</v>
      </c>
      <c r="B1218" s="1455" t="s">
        <v>2000</v>
      </c>
      <c r="C1218" s="970" t="str">
        <f t="shared" si="230"/>
        <v xml:space="preserve"> </v>
      </c>
      <c r="D1218" s="1415">
        <v>2</v>
      </c>
      <c r="E1218" s="980"/>
      <c r="F1218" s="992" t="str">
        <f>VLOOKUP($B1218,DG!A:D,DG!$C$2,)</f>
        <v>Yếm cáp dày 2mm</v>
      </c>
      <c r="G1218" s="980" t="str">
        <f>VLOOKUP($B1218,DG!A:D,DG!$D$2,)</f>
        <v>cái</v>
      </c>
      <c r="H1218" s="1693">
        <f t="shared" si="241"/>
        <v>0</v>
      </c>
      <c r="I1218" s="1693">
        <f t="shared" si="241"/>
        <v>0</v>
      </c>
      <c r="J1218" s="1693">
        <f t="shared" si="241"/>
        <v>0</v>
      </c>
      <c r="K1218" s="1693">
        <f t="shared" si="241"/>
        <v>0</v>
      </c>
      <c r="L1218" s="1693">
        <f t="shared" si="241"/>
        <v>0</v>
      </c>
      <c r="M1218" s="1693">
        <f t="shared" si="241"/>
        <v>0</v>
      </c>
      <c r="N1218" s="1693">
        <f t="shared" si="241"/>
        <v>0</v>
      </c>
      <c r="O1218" s="1693"/>
      <c r="P1218" s="1693"/>
      <c r="Q1218" s="989"/>
      <c r="R1218" s="989"/>
      <c r="S1218" s="989"/>
      <c r="T1218" s="1862">
        <f t="shared" si="242"/>
        <v>0</v>
      </c>
    </row>
    <row r="1219" spans="1:20" ht="22.2" hidden="1" customHeight="1">
      <c r="A1219" s="1448">
        <f>COUNTIF($C$12:C1219,"x")</f>
        <v>87</v>
      </c>
      <c r="B1219" s="1455" t="s">
        <v>2001</v>
      </c>
      <c r="C1219" s="970" t="str">
        <f t="shared" si="230"/>
        <v xml:space="preserve"> </v>
      </c>
      <c r="D1219" s="1415">
        <v>1</v>
      </c>
      <c r="E1219" s="980"/>
      <c r="F1219" s="992" t="str">
        <f>VLOOKUP($B1219,DG!A:D,DG!$C$2,)</f>
        <v>Máng che dây chằng dày 1,6mm</v>
      </c>
      <c r="G1219" s="980" t="str">
        <f>VLOOKUP($B1219,DG!A:D,DG!$D$2,)</f>
        <v>cái</v>
      </c>
      <c r="H1219" s="1693">
        <f t="shared" si="241"/>
        <v>0</v>
      </c>
      <c r="I1219" s="1693">
        <f t="shared" si="241"/>
        <v>0</v>
      </c>
      <c r="J1219" s="1693">
        <f t="shared" si="241"/>
        <v>0</v>
      </c>
      <c r="K1219" s="1693">
        <f t="shared" si="241"/>
        <v>0</v>
      </c>
      <c r="L1219" s="1693">
        <f t="shared" si="241"/>
        <v>0</v>
      </c>
      <c r="M1219" s="1693">
        <f t="shared" si="241"/>
        <v>0</v>
      </c>
      <c r="N1219" s="1693">
        <f t="shared" si="241"/>
        <v>0</v>
      </c>
      <c r="O1219" s="1693"/>
      <c r="P1219" s="1693"/>
      <c r="Q1219" s="989"/>
      <c r="R1219" s="989"/>
      <c r="S1219" s="989"/>
      <c r="T1219" s="1862">
        <f t="shared" si="242"/>
        <v>0</v>
      </c>
    </row>
    <row r="1220" spans="1:20" ht="22.2" hidden="1" customHeight="1">
      <c r="A1220" s="1448">
        <f>COUNTIF($C$12:C1220,"x")</f>
        <v>87</v>
      </c>
      <c r="B1220" s="1455" t="s">
        <v>1918</v>
      </c>
      <c r="C1220" s="970" t="str">
        <f t="shared" si="230"/>
        <v xml:space="preserve"> </v>
      </c>
      <c r="D1220" s="1415">
        <f>D1214</f>
        <v>1</v>
      </c>
      <c r="E1220" s="980" t="str">
        <f>VLOOKUP($B1220,DG!A:D,DG!$B$2,)</f>
        <v>06.3241</v>
      </c>
      <c r="F1220" s="985" t="str">
        <f>VLOOKUP($B1220,DG!A:D,DG!$C$2,)</f>
        <v>Lắp bộ dây néo</v>
      </c>
      <c r="G1220" s="980" t="str">
        <f>VLOOKUP($B1220,DG!A:D,DG!$D$2,)</f>
        <v>bộ</v>
      </c>
      <c r="H1220" s="1693"/>
      <c r="I1220" s="1693"/>
      <c r="J1220" s="1693"/>
      <c r="K1220" s="1693"/>
      <c r="L1220" s="1693"/>
      <c r="M1220" s="1693"/>
      <c r="N1220" s="1693"/>
      <c r="O1220" s="1693"/>
      <c r="P1220" s="1693"/>
      <c r="Q1220" s="994"/>
      <c r="R1220" s="994"/>
      <c r="S1220" s="994"/>
      <c r="T1220" s="1862">
        <f t="shared" si="242"/>
        <v>0</v>
      </c>
    </row>
    <row r="1221" spans="1:20" ht="22.2" hidden="1" customHeight="1">
      <c r="A1221" s="1448">
        <f>COUNTIF($C$12:C1221,"x")</f>
        <v>87</v>
      </c>
      <c r="B1221" s="1464" t="s">
        <v>356</v>
      </c>
      <c r="C1221" s="970" t="str">
        <f t="shared" si="230"/>
        <v xml:space="preserve"> </v>
      </c>
      <c r="D1221" s="1414"/>
      <c r="E1221" s="980" t="str">
        <f>VLOOKUP($B1221,DG!A:C,2,)</f>
        <v>02.1421</v>
      </c>
      <c r="F1221" s="985" t="str">
        <f>VLOOKUP($B1221,DG!A:C,3,)</f>
        <v>V/c phụ kiện vào vị trí (cự ly &lt;=100m)</v>
      </c>
      <c r="G1221" s="980" t="str">
        <f>VLOOKUP($B1221,DG!A:D,4,0)</f>
        <v>tấn</v>
      </c>
      <c r="H1221" s="1693"/>
      <c r="I1221" s="1693"/>
      <c r="J1221" s="1693"/>
      <c r="K1221" s="1693"/>
      <c r="L1221" s="1693"/>
      <c r="M1221" s="1693"/>
      <c r="N1221" s="1693"/>
      <c r="O1221" s="1693"/>
      <c r="P1221" s="1693"/>
      <c r="Q1221" s="994"/>
      <c r="R1221" s="994"/>
      <c r="S1221" s="994"/>
      <c r="T1221" s="1862">
        <f t="shared" si="242"/>
        <v>0</v>
      </c>
    </row>
    <row r="1222" spans="1:20" ht="22.2" hidden="1" customHeight="1">
      <c r="A1222" s="1448">
        <f>COUNTIF($C$12:C1222,"x")</f>
        <v>87</v>
      </c>
      <c r="B1222" s="1452" t="s">
        <v>912</v>
      </c>
      <c r="C1222" s="970" t="str">
        <f t="shared" si="230"/>
        <v xml:space="preserve"> </v>
      </c>
      <c r="D1222" s="1412"/>
      <c r="E1222" s="981"/>
      <c r="F1222" s="1276" t="s">
        <v>2473</v>
      </c>
      <c r="G1222" s="982" t="s">
        <v>2385</v>
      </c>
      <c r="H1222" s="1691">
        <f>SUM(I1222:O1222)</f>
        <v>0</v>
      </c>
      <c r="I1222" s="1692"/>
      <c r="J1222" s="1692"/>
      <c r="K1222" s="1692">
        <f>IFERROR(HLOOKUP(B1222,pp3p1m!$1:$3,2,0),0)</f>
        <v>0</v>
      </c>
      <c r="L1222" s="1692">
        <f>IFERROR(HLOOKUP(chitiet!B1222,pp1p!$1:$3,3,0),0)</f>
        <v>0</v>
      </c>
      <c r="M1222" s="1692"/>
      <c r="N1222" s="1692"/>
      <c r="O1222" s="1692"/>
      <c r="P1222" s="2674">
        <f>T1222</f>
        <v>0</v>
      </c>
      <c r="Q1222" s="983">
        <f>IF(P1222&gt;H1222,P1222-H1222,0)</f>
        <v>0</v>
      </c>
      <c r="R1222" s="983">
        <f>IF(H1222&gt;P1222,H1222-P1222,0)</f>
        <v>0</v>
      </c>
      <c r="S1222" s="983"/>
      <c r="T1222" s="1862">
        <f>IFERROR(HLOOKUP(B1222,pp1p!$1:$3,3,0),0)+IFERROR(HLOOKUP(B1222,pp3p1m!$1:$3,3,0),0)</f>
        <v>0</v>
      </c>
    </row>
    <row r="1223" spans="1:20" ht="22.2" hidden="1" customHeight="1">
      <c r="A1223" s="1448">
        <f>COUNTIF($C$12:C1223,"x")</f>
        <v>87</v>
      </c>
      <c r="B1223" s="1455" t="s">
        <v>1061</v>
      </c>
      <c r="C1223" s="970" t="str">
        <f t="shared" ref="C1223:C1286" si="243">IF(OR(P1223&lt;&gt;0,H1223&lt;&gt;0),"x"," ")</f>
        <v xml:space="preserve"> </v>
      </c>
      <c r="D1223" s="1415">
        <v>1</v>
      </c>
      <c r="E1223" s="980"/>
      <c r="F1223" s="992" t="str">
        <f>VLOOKUP($B1223,DG!A:D,DG!$C$2,)</f>
        <v>Boulon mắt 16x250+ 2 long đền vuông D18-50x50x3/Zn</v>
      </c>
      <c r="G1223" s="980" t="str">
        <f>VLOOKUP($B1223,DG!A:D,DG!$D$2,)</f>
        <v>bộ</v>
      </c>
      <c r="H1223" s="1693">
        <f t="shared" ref="H1223:N1229" si="244">H$1222*$D1223</f>
        <v>0</v>
      </c>
      <c r="I1223" s="1693">
        <f t="shared" si="244"/>
        <v>0</v>
      </c>
      <c r="J1223" s="1693">
        <f t="shared" si="244"/>
        <v>0</v>
      </c>
      <c r="K1223" s="1693">
        <f t="shared" si="244"/>
        <v>0</v>
      </c>
      <c r="L1223" s="1693">
        <f t="shared" si="244"/>
        <v>0</v>
      </c>
      <c r="M1223" s="1693">
        <f t="shared" si="244"/>
        <v>0</v>
      </c>
      <c r="N1223" s="1693">
        <f t="shared" si="244"/>
        <v>0</v>
      </c>
      <c r="O1223" s="1693"/>
      <c r="P1223" s="1693"/>
      <c r="Q1223" s="989"/>
      <c r="R1223" s="989"/>
      <c r="S1223" s="989"/>
      <c r="T1223" s="1862">
        <f t="shared" si="242"/>
        <v>0</v>
      </c>
    </row>
    <row r="1224" spans="1:20" ht="22.2" hidden="1" customHeight="1">
      <c r="A1224" s="1448">
        <f>COUNTIF($C$12:C1224,"x")</f>
        <v>87</v>
      </c>
      <c r="B1224" s="1455" t="s">
        <v>111</v>
      </c>
      <c r="C1224" s="970" t="str">
        <f t="shared" si="243"/>
        <v xml:space="preserve"> </v>
      </c>
      <c r="D1224" s="1415">
        <v>1</v>
      </c>
      <c r="E1224" s="980"/>
      <c r="F1224" s="992" t="str">
        <f>VLOOKUP($B1224,DG!A:D,DG!$C$2,)</f>
        <v>Sứ chằng</v>
      </c>
      <c r="G1224" s="980" t="str">
        <f>VLOOKUP($B1224,DG!A:D,DG!$D$2,)</f>
        <v>cái</v>
      </c>
      <c r="H1224" s="1693">
        <f t="shared" si="244"/>
        <v>0</v>
      </c>
      <c r="I1224" s="1693">
        <f t="shared" si="244"/>
        <v>0</v>
      </c>
      <c r="J1224" s="1693">
        <f t="shared" si="244"/>
        <v>0</v>
      </c>
      <c r="K1224" s="1693">
        <f t="shared" si="244"/>
        <v>0</v>
      </c>
      <c r="L1224" s="1693">
        <f t="shared" si="244"/>
        <v>0</v>
      </c>
      <c r="M1224" s="1693">
        <f t="shared" si="244"/>
        <v>0</v>
      </c>
      <c r="N1224" s="1693">
        <f t="shared" si="244"/>
        <v>0</v>
      </c>
      <c r="O1224" s="1693"/>
      <c r="P1224" s="1693"/>
      <c r="Q1224" s="989"/>
      <c r="R1224" s="989"/>
      <c r="S1224" s="989"/>
      <c r="T1224" s="1862">
        <f t="shared" si="242"/>
        <v>0</v>
      </c>
    </row>
    <row r="1225" spans="1:20" ht="22.2" hidden="1" customHeight="1">
      <c r="A1225" s="1448">
        <f>COUNTIF($C$12:C1225,"x")</f>
        <v>87</v>
      </c>
      <c r="B1225" s="1455" t="s">
        <v>1578</v>
      </c>
      <c r="C1225" s="970" t="str">
        <f t="shared" si="243"/>
        <v xml:space="preserve"> </v>
      </c>
      <c r="D1225" s="1415">
        <v>8</v>
      </c>
      <c r="E1225" s="980"/>
      <c r="F1225" s="992" t="str">
        <f>VLOOKUP($B1225,DG!A:D,DG!$C$2,)</f>
        <v>Kẹp cáp 3 boulon</v>
      </c>
      <c r="G1225" s="980" t="str">
        <f>VLOOKUP($B1225,DG!A:D,DG!$D$2,)</f>
        <v>cái</v>
      </c>
      <c r="H1225" s="1693">
        <f t="shared" si="244"/>
        <v>0</v>
      </c>
      <c r="I1225" s="1693">
        <f t="shared" si="244"/>
        <v>0</v>
      </c>
      <c r="J1225" s="1693">
        <f t="shared" si="244"/>
        <v>0</v>
      </c>
      <c r="K1225" s="1693">
        <f t="shared" si="244"/>
        <v>0</v>
      </c>
      <c r="L1225" s="1693">
        <f t="shared" si="244"/>
        <v>0</v>
      </c>
      <c r="M1225" s="1693">
        <f t="shared" si="244"/>
        <v>0</v>
      </c>
      <c r="N1225" s="1693">
        <f t="shared" si="244"/>
        <v>0</v>
      </c>
      <c r="O1225" s="1693"/>
      <c r="P1225" s="1693"/>
      <c r="Q1225" s="989"/>
      <c r="R1225" s="989"/>
      <c r="S1225" s="989"/>
      <c r="T1225" s="1862">
        <f t="shared" si="242"/>
        <v>0</v>
      </c>
    </row>
    <row r="1226" spans="1:20" ht="22.2" hidden="1" customHeight="1">
      <c r="A1226" s="1448">
        <f>COUNTIF($C$12:C1226,"x")</f>
        <v>87</v>
      </c>
      <c r="B1226" s="1455" t="s">
        <v>275</v>
      </c>
      <c r="C1226" s="970" t="str">
        <f t="shared" si="243"/>
        <v xml:space="preserve"> </v>
      </c>
      <c r="D1226" s="1415">
        <v>15</v>
      </c>
      <c r="E1226" s="980"/>
      <c r="F1226" s="992" t="str">
        <f>VLOOKUP($B1226,DG!A:D,DG!$C$2,)</f>
        <v>Cáp thép 3/8"</v>
      </c>
      <c r="G1226" s="980" t="str">
        <f>VLOOKUP($B1226,DG!A:D,DG!$D$2,)</f>
        <v>kg</v>
      </c>
      <c r="H1226" s="1693">
        <f t="shared" si="244"/>
        <v>0</v>
      </c>
      <c r="I1226" s="1693">
        <f t="shared" si="244"/>
        <v>0</v>
      </c>
      <c r="J1226" s="1693">
        <f t="shared" si="244"/>
        <v>0</v>
      </c>
      <c r="K1226" s="1693">
        <f t="shared" si="244"/>
        <v>0</v>
      </c>
      <c r="L1226" s="1693">
        <f t="shared" si="244"/>
        <v>0</v>
      </c>
      <c r="M1226" s="1693">
        <f t="shared" si="244"/>
        <v>0</v>
      </c>
      <c r="N1226" s="1693">
        <f t="shared" si="244"/>
        <v>0</v>
      </c>
      <c r="O1226" s="1693"/>
      <c r="P1226" s="1693"/>
      <c r="Q1226" s="989"/>
      <c r="R1226" s="989"/>
      <c r="S1226" s="989"/>
      <c r="T1226" s="1862">
        <f t="shared" si="242"/>
        <v>0</v>
      </c>
    </row>
    <row r="1227" spans="1:20" ht="22.2" hidden="1" customHeight="1">
      <c r="A1227" s="1448">
        <f>COUNTIF($C$12:C1227,"x")</f>
        <v>87</v>
      </c>
      <c r="B1227" s="1455" t="s">
        <v>607</v>
      </c>
      <c r="C1227" s="970" t="str">
        <f t="shared" si="243"/>
        <v xml:space="preserve"> </v>
      </c>
      <c r="D1227" s="1415">
        <v>1</v>
      </c>
      <c r="E1227" s="980"/>
      <c r="F1227" s="992" t="str">
        <f>VLOOKUP($B1227,DG!A:D,DG!$C$2,)</f>
        <v>Bộ chống chằng hẹp Ø60/50x1500+2BL12x40+BL16x250/80</v>
      </c>
      <c r="G1227" s="980" t="str">
        <f>VLOOKUP($B1227,DG!A:D,DG!$D$2,)</f>
        <v>bộ</v>
      </c>
      <c r="H1227" s="1693">
        <f t="shared" si="244"/>
        <v>0</v>
      </c>
      <c r="I1227" s="1693">
        <f t="shared" si="244"/>
        <v>0</v>
      </c>
      <c r="J1227" s="1693">
        <f t="shared" si="244"/>
        <v>0</v>
      </c>
      <c r="K1227" s="1693">
        <f t="shared" si="244"/>
        <v>0</v>
      </c>
      <c r="L1227" s="1693">
        <f t="shared" si="244"/>
        <v>0</v>
      </c>
      <c r="M1227" s="1693">
        <f t="shared" si="244"/>
        <v>0</v>
      </c>
      <c r="N1227" s="1693">
        <f t="shared" si="244"/>
        <v>0</v>
      </c>
      <c r="O1227" s="1693"/>
      <c r="P1227" s="1693"/>
      <c r="Q1227" s="989"/>
      <c r="R1227" s="989"/>
      <c r="S1227" s="989"/>
      <c r="T1227" s="1862">
        <f t="shared" si="242"/>
        <v>0</v>
      </c>
    </row>
    <row r="1228" spans="1:20" ht="22.2" hidden="1" customHeight="1">
      <c r="A1228" s="1448">
        <f>COUNTIF($C$12:C1228,"x")</f>
        <v>87</v>
      </c>
      <c r="B1228" s="1455" t="s">
        <v>2000</v>
      </c>
      <c r="C1228" s="970" t="str">
        <f t="shared" si="243"/>
        <v xml:space="preserve"> </v>
      </c>
      <c r="D1228" s="1415">
        <v>2</v>
      </c>
      <c r="E1228" s="980"/>
      <c r="F1228" s="992" t="str">
        <f>VLOOKUP($B1228,DG!A:D,DG!$C$2,)</f>
        <v>Yếm cáp dày 2mm</v>
      </c>
      <c r="G1228" s="980" t="str">
        <f>VLOOKUP($B1228,DG!A:D,DG!$D$2,)</f>
        <v>cái</v>
      </c>
      <c r="H1228" s="1693">
        <f t="shared" si="244"/>
        <v>0</v>
      </c>
      <c r="I1228" s="1693">
        <f t="shared" si="244"/>
        <v>0</v>
      </c>
      <c r="J1228" s="1693">
        <f t="shared" si="244"/>
        <v>0</v>
      </c>
      <c r="K1228" s="1693">
        <f t="shared" si="244"/>
        <v>0</v>
      </c>
      <c r="L1228" s="1693">
        <f t="shared" si="244"/>
        <v>0</v>
      </c>
      <c r="M1228" s="1693">
        <f t="shared" si="244"/>
        <v>0</v>
      </c>
      <c r="N1228" s="1693">
        <f t="shared" si="244"/>
        <v>0</v>
      </c>
      <c r="O1228" s="1693"/>
      <c r="P1228" s="1693"/>
      <c r="Q1228" s="989"/>
      <c r="R1228" s="989"/>
      <c r="S1228" s="989"/>
      <c r="T1228" s="1862">
        <f t="shared" si="242"/>
        <v>0</v>
      </c>
    </row>
    <row r="1229" spans="1:20" ht="22.2" hidden="1" customHeight="1">
      <c r="A1229" s="1448">
        <f>COUNTIF($C$12:C1229,"x")</f>
        <v>87</v>
      </c>
      <c r="B1229" s="1455" t="s">
        <v>2001</v>
      </c>
      <c r="C1229" s="970" t="str">
        <f t="shared" si="243"/>
        <v xml:space="preserve"> </v>
      </c>
      <c r="D1229" s="1415">
        <v>1</v>
      </c>
      <c r="E1229" s="980"/>
      <c r="F1229" s="992" t="str">
        <f>VLOOKUP($B1229,DG!A:D,DG!$C$2,)</f>
        <v>Máng che dây chằng dày 1,6mm</v>
      </c>
      <c r="G1229" s="980" t="str">
        <f>VLOOKUP($B1229,DG!A:D,DG!$D$2,)</f>
        <v>cái</v>
      </c>
      <c r="H1229" s="1693">
        <f t="shared" si="244"/>
        <v>0</v>
      </c>
      <c r="I1229" s="1693">
        <f t="shared" si="244"/>
        <v>0</v>
      </c>
      <c r="J1229" s="1693">
        <f t="shared" si="244"/>
        <v>0</v>
      </c>
      <c r="K1229" s="1693">
        <f t="shared" si="244"/>
        <v>0</v>
      </c>
      <c r="L1229" s="1693">
        <f t="shared" si="244"/>
        <v>0</v>
      </c>
      <c r="M1229" s="1693">
        <f t="shared" si="244"/>
        <v>0</v>
      </c>
      <c r="N1229" s="1693">
        <f t="shared" si="244"/>
        <v>0</v>
      </c>
      <c r="O1229" s="1693"/>
      <c r="P1229" s="1693"/>
      <c r="Q1229" s="989"/>
      <c r="R1229" s="989"/>
      <c r="S1229" s="989"/>
      <c r="T1229" s="1862">
        <f t="shared" si="242"/>
        <v>0</v>
      </c>
    </row>
    <row r="1230" spans="1:20" ht="22.2" hidden="1" customHeight="1">
      <c r="A1230" s="1448">
        <f>COUNTIF($C$12:C1230,"x")</f>
        <v>87</v>
      </c>
      <c r="B1230" s="1455" t="s">
        <v>1918</v>
      </c>
      <c r="C1230" s="970" t="str">
        <f t="shared" si="243"/>
        <v xml:space="preserve"> </v>
      </c>
      <c r="D1230" s="1415">
        <v>1</v>
      </c>
      <c r="E1230" s="980" t="str">
        <f>VLOOKUP($B1230,DG!A:D,DG!$B$2,)</f>
        <v>06.3241</v>
      </c>
      <c r="F1230" s="985" t="str">
        <f>VLOOKUP($B1230,DG!A:D,DG!$C$2,)</f>
        <v>Lắp bộ dây néo</v>
      </c>
      <c r="G1230" s="980" t="str">
        <f>VLOOKUP($B1230,DG!A:D,DG!$D$2,)</f>
        <v>bộ</v>
      </c>
      <c r="H1230" s="1693"/>
      <c r="I1230" s="1693"/>
      <c r="J1230" s="1693"/>
      <c r="K1230" s="1693"/>
      <c r="L1230" s="1693"/>
      <c r="M1230" s="1693"/>
      <c r="N1230" s="1693"/>
      <c r="O1230" s="1693"/>
      <c r="P1230" s="1693"/>
      <c r="Q1230" s="994"/>
      <c r="R1230" s="994"/>
      <c r="S1230" s="994"/>
      <c r="T1230" s="1862">
        <f t="shared" si="242"/>
        <v>0</v>
      </c>
    </row>
    <row r="1231" spans="1:20" ht="22.2" hidden="1" customHeight="1">
      <c r="A1231" s="1448">
        <f>COUNTIF($C$12:C1231,"x")</f>
        <v>87</v>
      </c>
      <c r="B1231" s="1455" t="s">
        <v>1906</v>
      </c>
      <c r="C1231" s="970" t="str">
        <f t="shared" si="243"/>
        <v xml:space="preserve"> </v>
      </c>
      <c r="D1231" s="1415">
        <v>1</v>
      </c>
      <c r="E1231" s="980" t="str">
        <f>VLOOKUP($B1231,DG!A:D,DG!$B$2,)</f>
        <v>05.6011</v>
      </c>
      <c r="F1231" s="985" t="str">
        <f>VLOOKUP($B1231,DG!A:D,DG!$C$2,)</f>
        <v>Lắp bộ chống lệch</v>
      </c>
      <c r="G1231" s="980" t="str">
        <f>VLOOKUP($B1231,DG!A:D,DG!$D$2,)</f>
        <v>bộ</v>
      </c>
      <c r="H1231" s="1693"/>
      <c r="I1231" s="1693"/>
      <c r="J1231" s="1693"/>
      <c r="K1231" s="1693"/>
      <c r="L1231" s="1693"/>
      <c r="M1231" s="1693"/>
      <c r="N1231" s="1693"/>
      <c r="O1231" s="1693"/>
      <c r="P1231" s="1693"/>
      <c r="Q1231" s="994"/>
      <c r="R1231" s="994"/>
      <c r="S1231" s="994"/>
      <c r="T1231" s="1862">
        <f t="shared" si="242"/>
        <v>0</v>
      </c>
    </row>
    <row r="1232" spans="1:20" ht="22.2" hidden="1" customHeight="1">
      <c r="A1232" s="1448">
        <f>COUNTIF($C$12:C1232,"x")</f>
        <v>87</v>
      </c>
      <c r="B1232" s="1464" t="s">
        <v>356</v>
      </c>
      <c r="C1232" s="970" t="str">
        <f t="shared" si="243"/>
        <v xml:space="preserve"> </v>
      </c>
      <c r="D1232" s="1414">
        <v>0.02</v>
      </c>
      <c r="E1232" s="980" t="str">
        <f>VLOOKUP($B1232,DG!A:C,2,)</f>
        <v>02.1421</v>
      </c>
      <c r="F1232" s="985" t="str">
        <f>VLOOKUP($B1232,DG!A:C,3,)</f>
        <v>V/c phụ kiện vào vị trí (cự ly &lt;=100m)</v>
      </c>
      <c r="G1232" s="980" t="str">
        <f>VLOOKUP($B1232,DG!A:D,4,0)</f>
        <v>tấn</v>
      </c>
      <c r="H1232" s="1693"/>
      <c r="I1232" s="1693"/>
      <c r="J1232" s="1693"/>
      <c r="K1232" s="1693"/>
      <c r="L1232" s="1693"/>
      <c r="M1232" s="1693"/>
      <c r="N1232" s="1693"/>
      <c r="O1232" s="1693"/>
      <c r="P1232" s="1693"/>
      <c r="Q1232" s="994"/>
      <c r="R1232" s="994"/>
      <c r="S1232" s="994"/>
      <c r="T1232" s="1862">
        <f t="shared" si="242"/>
        <v>0</v>
      </c>
    </row>
    <row r="1233" spans="1:20" ht="22.2" hidden="1" customHeight="1">
      <c r="A1233" s="1448">
        <f>COUNTIF($C$12:C1233,"x")</f>
        <v>87</v>
      </c>
      <c r="B1233" s="1452" t="s">
        <v>913</v>
      </c>
      <c r="C1233" s="970" t="str">
        <f t="shared" si="243"/>
        <v xml:space="preserve"> </v>
      </c>
      <c r="D1233" s="1412"/>
      <c r="E1233" s="981"/>
      <c r="F1233" s="1276" t="s">
        <v>2474</v>
      </c>
      <c r="G1233" s="982" t="s">
        <v>2385</v>
      </c>
      <c r="H1233" s="1691">
        <f>SUM(I1233:O1233)</f>
        <v>0</v>
      </c>
      <c r="I1233" s="1692"/>
      <c r="J1233" s="1692"/>
      <c r="K1233" s="1692">
        <f>IFERROR(HLOOKUP(B1233,pp3p1m!$1:$3,2,0),0)</f>
        <v>0</v>
      </c>
      <c r="L1233" s="1692">
        <f>IFERROR(HLOOKUP(chitiet!B1233,pp1p!$1:$3,3,0),0)</f>
        <v>0</v>
      </c>
      <c r="M1233" s="1692"/>
      <c r="N1233" s="1692"/>
      <c r="O1233" s="1692"/>
      <c r="P1233" s="2674">
        <f>T1233</f>
        <v>0</v>
      </c>
      <c r="Q1233" s="983">
        <f>IF(P1233&gt;H1233,P1233-H1233,0)</f>
        <v>0</v>
      </c>
      <c r="R1233" s="983">
        <f>IF(H1233&gt;P1233,H1233-P1233,0)</f>
        <v>0</v>
      </c>
      <c r="S1233" s="983"/>
      <c r="T1233" s="1862">
        <f>IFERROR(HLOOKUP(B1233,pp1p!$1:$3,3,0),0)+IFERROR(HLOOKUP(B1233,pp3p1m!$1:$3,3,0),0)</f>
        <v>0</v>
      </c>
    </row>
    <row r="1234" spans="1:20" ht="22.2" hidden="1" customHeight="1">
      <c r="A1234" s="1448">
        <f>COUNTIF($C$12:C1234,"x")</f>
        <v>87</v>
      </c>
      <c r="B1234" s="1455" t="s">
        <v>1061</v>
      </c>
      <c r="C1234" s="970" t="str">
        <f t="shared" si="243"/>
        <v xml:space="preserve"> </v>
      </c>
      <c r="D1234" s="1415">
        <v>2</v>
      </c>
      <c r="E1234" s="980"/>
      <c r="F1234" s="992" t="str">
        <f>VLOOKUP($B1234,DG!A:D,DG!$C$2,)</f>
        <v>Boulon mắt 16x250+ 2 long đền vuông D18-50x50x3/Zn</v>
      </c>
      <c r="G1234" s="980" t="str">
        <f>VLOOKUP($B1234,DG!A:D,DG!$D$2,)</f>
        <v>bộ</v>
      </c>
      <c r="H1234" s="1693">
        <f t="shared" ref="H1234:N1239" si="245">H$1233*$D1234</f>
        <v>0</v>
      </c>
      <c r="I1234" s="1693">
        <f t="shared" si="245"/>
        <v>0</v>
      </c>
      <c r="J1234" s="1693">
        <f t="shared" si="245"/>
        <v>0</v>
      </c>
      <c r="K1234" s="1693">
        <f t="shared" si="245"/>
        <v>0</v>
      </c>
      <c r="L1234" s="1693">
        <f t="shared" si="245"/>
        <v>0</v>
      </c>
      <c r="M1234" s="1693">
        <f t="shared" si="245"/>
        <v>0</v>
      </c>
      <c r="N1234" s="1693">
        <f t="shared" si="245"/>
        <v>0</v>
      </c>
      <c r="O1234" s="1693"/>
      <c r="P1234" s="1693"/>
      <c r="Q1234" s="989"/>
      <c r="R1234" s="989"/>
      <c r="S1234" s="989"/>
      <c r="T1234" s="1862">
        <f t="shared" si="242"/>
        <v>0</v>
      </c>
    </row>
    <row r="1235" spans="1:20" ht="22.2" hidden="1" customHeight="1">
      <c r="A1235" s="1448">
        <f>COUNTIF($C$12:C1235,"x")</f>
        <v>87</v>
      </c>
      <c r="B1235" s="1455" t="s">
        <v>111</v>
      </c>
      <c r="C1235" s="970" t="str">
        <f t="shared" si="243"/>
        <v xml:space="preserve"> </v>
      </c>
      <c r="D1235" s="1415">
        <v>2</v>
      </c>
      <c r="E1235" s="980"/>
      <c r="F1235" s="992" t="str">
        <f>VLOOKUP($B1235,DG!A:D,DG!$C$2,)</f>
        <v>Sứ chằng</v>
      </c>
      <c r="G1235" s="980" t="str">
        <f>VLOOKUP($B1235,DG!A:D,DG!$D$2,)</f>
        <v>cái</v>
      </c>
      <c r="H1235" s="1693">
        <f t="shared" si="245"/>
        <v>0</v>
      </c>
      <c r="I1235" s="1693">
        <f t="shared" si="245"/>
        <v>0</v>
      </c>
      <c r="J1235" s="1693">
        <f t="shared" si="245"/>
        <v>0</v>
      </c>
      <c r="K1235" s="1693">
        <f t="shared" si="245"/>
        <v>0</v>
      </c>
      <c r="L1235" s="1693">
        <f t="shared" si="245"/>
        <v>0</v>
      </c>
      <c r="M1235" s="1693">
        <f t="shared" si="245"/>
        <v>0</v>
      </c>
      <c r="N1235" s="1693">
        <f t="shared" si="245"/>
        <v>0</v>
      </c>
      <c r="O1235" s="1693"/>
      <c r="P1235" s="1693"/>
      <c r="Q1235" s="989"/>
      <c r="R1235" s="989"/>
      <c r="S1235" s="989"/>
      <c r="T1235" s="1862">
        <f t="shared" si="242"/>
        <v>0</v>
      </c>
    </row>
    <row r="1236" spans="1:20" ht="22.2" hidden="1" customHeight="1">
      <c r="A1236" s="1448">
        <f>COUNTIF($C$12:C1236,"x")</f>
        <v>87</v>
      </c>
      <c r="B1236" s="1455" t="s">
        <v>1578</v>
      </c>
      <c r="C1236" s="970" t="str">
        <f t="shared" si="243"/>
        <v xml:space="preserve"> </v>
      </c>
      <c r="D1236" s="1415">
        <v>16</v>
      </c>
      <c r="E1236" s="980"/>
      <c r="F1236" s="992" t="str">
        <f>VLOOKUP($B1236,DG!A:D,DG!$C$2,)</f>
        <v>Kẹp cáp 3 boulon</v>
      </c>
      <c r="G1236" s="980" t="str">
        <f>VLOOKUP($B1236,DG!A:D,DG!$D$2,)</f>
        <v>cái</v>
      </c>
      <c r="H1236" s="1693">
        <f t="shared" si="245"/>
        <v>0</v>
      </c>
      <c r="I1236" s="1693">
        <f t="shared" si="245"/>
        <v>0</v>
      </c>
      <c r="J1236" s="1693">
        <f t="shared" si="245"/>
        <v>0</v>
      </c>
      <c r="K1236" s="1693">
        <f t="shared" si="245"/>
        <v>0</v>
      </c>
      <c r="L1236" s="1693">
        <f t="shared" si="245"/>
        <v>0</v>
      </c>
      <c r="M1236" s="1693">
        <f t="shared" si="245"/>
        <v>0</v>
      </c>
      <c r="N1236" s="1693">
        <f t="shared" si="245"/>
        <v>0</v>
      </c>
      <c r="O1236" s="1693"/>
      <c r="P1236" s="1693"/>
      <c r="Q1236" s="989"/>
      <c r="R1236" s="989"/>
      <c r="S1236" s="989"/>
      <c r="T1236" s="1862">
        <f t="shared" si="242"/>
        <v>0</v>
      </c>
    </row>
    <row r="1237" spans="1:20" ht="22.2" hidden="1" customHeight="1">
      <c r="A1237" s="1448">
        <f>COUNTIF($C$12:C1237,"x")</f>
        <v>87</v>
      </c>
      <c r="B1237" s="1455" t="s">
        <v>1359</v>
      </c>
      <c r="C1237" s="970" t="str">
        <f t="shared" si="243"/>
        <v xml:space="preserve"> </v>
      </c>
      <c r="D1237" s="1415">
        <v>39</v>
      </c>
      <c r="E1237" s="980"/>
      <c r="F1237" s="992" t="str">
        <f>VLOOKUP($B1237,DG!A:D,DG!$C$2,)</f>
        <v>Cáp thép 5/8"</v>
      </c>
      <c r="G1237" s="980" t="str">
        <f>VLOOKUP($B1237,DG!A:D,DG!$D$2,)</f>
        <v>kg</v>
      </c>
      <c r="H1237" s="1693">
        <f t="shared" si="245"/>
        <v>0</v>
      </c>
      <c r="I1237" s="1693">
        <f t="shared" si="245"/>
        <v>0</v>
      </c>
      <c r="J1237" s="1693">
        <f t="shared" si="245"/>
        <v>0</v>
      </c>
      <c r="K1237" s="1693">
        <f t="shared" si="245"/>
        <v>0</v>
      </c>
      <c r="L1237" s="1693">
        <f t="shared" si="245"/>
        <v>0</v>
      </c>
      <c r="M1237" s="1693">
        <f t="shared" si="245"/>
        <v>0</v>
      </c>
      <c r="N1237" s="1693">
        <f t="shared" si="245"/>
        <v>0</v>
      </c>
      <c r="O1237" s="1693"/>
      <c r="P1237" s="1693"/>
      <c r="Q1237" s="989"/>
      <c r="R1237" s="989"/>
      <c r="S1237" s="989"/>
      <c r="T1237" s="1862">
        <f t="shared" si="242"/>
        <v>0</v>
      </c>
    </row>
    <row r="1238" spans="1:20" ht="22.2" hidden="1" customHeight="1">
      <c r="A1238" s="1448">
        <f>COUNTIF($C$12:C1238,"x")</f>
        <v>87</v>
      </c>
      <c r="B1238" s="1455" t="s">
        <v>2000</v>
      </c>
      <c r="C1238" s="970" t="str">
        <f t="shared" si="243"/>
        <v xml:space="preserve"> </v>
      </c>
      <c r="D1238" s="1415">
        <v>4</v>
      </c>
      <c r="E1238" s="980"/>
      <c r="F1238" s="992" t="str">
        <f>VLOOKUP($B1238,DG!A:D,DG!$C$2,)</f>
        <v>Yếm cáp dày 2mm</v>
      </c>
      <c r="G1238" s="980" t="str">
        <f>VLOOKUP($B1238,DG!A:D,DG!$D$2,)</f>
        <v>cái</v>
      </c>
      <c r="H1238" s="1693">
        <f t="shared" si="245"/>
        <v>0</v>
      </c>
      <c r="I1238" s="1693">
        <f t="shared" si="245"/>
        <v>0</v>
      </c>
      <c r="J1238" s="1693">
        <f t="shared" si="245"/>
        <v>0</v>
      </c>
      <c r="K1238" s="1693">
        <f t="shared" si="245"/>
        <v>0</v>
      </c>
      <c r="L1238" s="1693">
        <f t="shared" si="245"/>
        <v>0</v>
      </c>
      <c r="M1238" s="1693">
        <f t="shared" si="245"/>
        <v>0</v>
      </c>
      <c r="N1238" s="1693">
        <f t="shared" si="245"/>
        <v>0</v>
      </c>
      <c r="O1238" s="1693"/>
      <c r="P1238" s="1693"/>
      <c r="Q1238" s="989"/>
      <c r="R1238" s="989"/>
      <c r="S1238" s="989"/>
      <c r="T1238" s="1862">
        <f t="shared" si="242"/>
        <v>0</v>
      </c>
    </row>
    <row r="1239" spans="1:20" ht="22.2" hidden="1" customHeight="1">
      <c r="A1239" s="1448">
        <f>COUNTIF($C$12:C1239,"x")</f>
        <v>87</v>
      </c>
      <c r="B1239" s="1455" t="s">
        <v>2001</v>
      </c>
      <c r="C1239" s="970" t="str">
        <f t="shared" si="243"/>
        <v xml:space="preserve"> </v>
      </c>
      <c r="D1239" s="1415">
        <v>2</v>
      </c>
      <c r="E1239" s="980"/>
      <c r="F1239" s="992" t="str">
        <f>VLOOKUP($B1239,DG!A:D,DG!$C$2,)</f>
        <v>Máng che dây chằng dày 1,6mm</v>
      </c>
      <c r="G1239" s="980" t="str">
        <f>VLOOKUP($B1239,DG!A:D,DG!$D$2,)</f>
        <v>cái</v>
      </c>
      <c r="H1239" s="1693">
        <f t="shared" si="245"/>
        <v>0</v>
      </c>
      <c r="I1239" s="1693">
        <f t="shared" si="245"/>
        <v>0</v>
      </c>
      <c r="J1239" s="1693">
        <f t="shared" si="245"/>
        <v>0</v>
      </c>
      <c r="K1239" s="1693">
        <f t="shared" si="245"/>
        <v>0</v>
      </c>
      <c r="L1239" s="1693">
        <f t="shared" si="245"/>
        <v>0</v>
      </c>
      <c r="M1239" s="1693">
        <f t="shared" si="245"/>
        <v>0</v>
      </c>
      <c r="N1239" s="1693">
        <f t="shared" si="245"/>
        <v>0</v>
      </c>
      <c r="O1239" s="1693"/>
      <c r="P1239" s="1693"/>
      <c r="Q1239" s="989"/>
      <c r="R1239" s="989"/>
      <c r="S1239" s="989"/>
      <c r="T1239" s="1862">
        <f t="shared" si="242"/>
        <v>0</v>
      </c>
    </row>
    <row r="1240" spans="1:20" ht="22.2" hidden="1" customHeight="1">
      <c r="A1240" s="1448">
        <f>COUNTIF($C$12:C1240,"x")</f>
        <v>87</v>
      </c>
      <c r="B1240" s="1455" t="s">
        <v>1918</v>
      </c>
      <c r="C1240" s="970" t="str">
        <f t="shared" si="243"/>
        <v xml:space="preserve"> </v>
      </c>
      <c r="D1240" s="1415">
        <v>2</v>
      </c>
      <c r="E1240" s="980" t="str">
        <f>VLOOKUP($B1240,DG!A:D,DG!$B$2,)</f>
        <v>06.3241</v>
      </c>
      <c r="F1240" s="985" t="str">
        <f>VLOOKUP($B1240,DG!A:D,DG!$C$2,)</f>
        <v>Lắp bộ dây néo</v>
      </c>
      <c r="G1240" s="980" t="str">
        <f>VLOOKUP($B1240,DG!A:D,DG!$D$2,)</f>
        <v>bộ</v>
      </c>
      <c r="H1240" s="1693"/>
      <c r="I1240" s="1693"/>
      <c r="J1240" s="1693"/>
      <c r="K1240" s="1693"/>
      <c r="L1240" s="1693"/>
      <c r="M1240" s="1693"/>
      <c r="N1240" s="1693"/>
      <c r="O1240" s="1693"/>
      <c r="P1240" s="1693"/>
      <c r="Q1240" s="994"/>
      <c r="R1240" s="994"/>
      <c r="S1240" s="994"/>
      <c r="T1240" s="1862">
        <f t="shared" si="242"/>
        <v>0</v>
      </c>
    </row>
    <row r="1241" spans="1:20" ht="22.2" hidden="1" customHeight="1">
      <c r="A1241" s="1448">
        <f>COUNTIF($C$12:C1241,"x")</f>
        <v>87</v>
      </c>
      <c r="B1241" s="1464" t="s">
        <v>356</v>
      </c>
      <c r="C1241" s="970" t="str">
        <f t="shared" si="243"/>
        <v xml:space="preserve"> </v>
      </c>
      <c r="D1241" s="1414">
        <v>0.02</v>
      </c>
      <c r="E1241" s="980" t="str">
        <f>VLOOKUP($B1241,DG!A:C,2,)</f>
        <v>02.1421</v>
      </c>
      <c r="F1241" s="985" t="str">
        <f>VLOOKUP($B1241,DG!A:C,3,)</f>
        <v>V/c phụ kiện vào vị trí (cự ly &lt;=100m)</v>
      </c>
      <c r="G1241" s="980" t="str">
        <f>VLOOKUP($B1241,DG!A:D,4,0)</f>
        <v>tấn</v>
      </c>
      <c r="H1241" s="1693"/>
      <c r="I1241" s="1693"/>
      <c r="J1241" s="1693"/>
      <c r="K1241" s="1693"/>
      <c r="L1241" s="1693"/>
      <c r="M1241" s="1693"/>
      <c r="N1241" s="1693"/>
      <c r="O1241" s="1693"/>
      <c r="P1241" s="1693"/>
      <c r="Q1241" s="994"/>
      <c r="R1241" s="994"/>
      <c r="S1241" s="994"/>
      <c r="T1241" s="1862">
        <f t="shared" si="242"/>
        <v>0</v>
      </c>
    </row>
    <row r="1242" spans="1:20" ht="22.2" hidden="1" customHeight="1">
      <c r="A1242" s="1448">
        <f>COUNTIF($C$12:C1242,"x")</f>
        <v>87</v>
      </c>
      <c r="B1242" s="1452" t="s">
        <v>749</v>
      </c>
      <c r="C1242" s="970" t="str">
        <f t="shared" si="243"/>
        <v xml:space="preserve"> </v>
      </c>
      <c r="D1242" s="1412"/>
      <c r="E1242" s="981"/>
      <c r="F1242" s="1276" t="s">
        <v>2475</v>
      </c>
      <c r="G1242" s="982" t="s">
        <v>2385</v>
      </c>
      <c r="H1242" s="1691">
        <f>SUM(I1242:O1242)</f>
        <v>0</v>
      </c>
      <c r="I1242" s="1692"/>
      <c r="J1242" s="1692"/>
      <c r="K1242" s="1692">
        <f>IFERROR(HLOOKUP(B1242,pp3p1m!$1:$3,2,0),0)</f>
        <v>0</v>
      </c>
      <c r="L1242" s="1692">
        <f>IFERROR(HLOOKUP(chitiet!B1242,pp1p!$1:$3,3,0),0)</f>
        <v>0</v>
      </c>
      <c r="M1242" s="1692"/>
      <c r="N1242" s="1692"/>
      <c r="O1242" s="1692"/>
      <c r="P1242" s="2674">
        <f>T1242</f>
        <v>0</v>
      </c>
      <c r="Q1242" s="983">
        <f>IF(P1242&gt;H1242,P1242-H1242,0)</f>
        <v>0</v>
      </c>
      <c r="R1242" s="983">
        <f>IF(H1242&gt;P1242,H1242-P1242,0)</f>
        <v>0</v>
      </c>
      <c r="S1242" s="983"/>
      <c r="T1242" s="1862">
        <f>IFERROR(HLOOKUP(B1242,pp1p!$1:$3,3,0),0)+IFERROR(HLOOKUP(B1242,pp3p1m!$1:$3,3,0),0)</f>
        <v>0</v>
      </c>
    </row>
    <row r="1243" spans="1:20" ht="22.2" hidden="1" customHeight="1">
      <c r="A1243" s="1448">
        <f>COUNTIF($C$12:C1243,"x")</f>
        <v>87</v>
      </c>
      <c r="B1243" s="1455" t="s">
        <v>1061</v>
      </c>
      <c r="C1243" s="970" t="str">
        <f t="shared" si="243"/>
        <v xml:space="preserve"> </v>
      </c>
      <c r="D1243" s="1415">
        <v>2</v>
      </c>
      <c r="E1243" s="980"/>
      <c r="F1243" s="992" t="str">
        <f>VLOOKUP($B1243,DG!A:D,DG!$C$2,)</f>
        <v>Boulon mắt 16x250+ 2 long đền vuông D18-50x50x3/Zn</v>
      </c>
      <c r="G1243" s="980" t="str">
        <f>VLOOKUP($B1243,DG!A:D,DG!$D$2,)</f>
        <v>bộ</v>
      </c>
      <c r="H1243" s="1693">
        <f t="shared" ref="H1243:N1247" si="246">H$1242*$D1243</f>
        <v>0</v>
      </c>
      <c r="I1243" s="1693">
        <f t="shared" si="246"/>
        <v>0</v>
      </c>
      <c r="J1243" s="1693">
        <f t="shared" si="246"/>
        <v>0</v>
      </c>
      <c r="K1243" s="1693">
        <f t="shared" si="246"/>
        <v>0</v>
      </c>
      <c r="L1243" s="1693">
        <f t="shared" si="246"/>
        <v>0</v>
      </c>
      <c r="M1243" s="1693">
        <f t="shared" si="246"/>
        <v>0</v>
      </c>
      <c r="N1243" s="1693">
        <f t="shared" si="246"/>
        <v>0</v>
      </c>
      <c r="O1243" s="1693"/>
      <c r="P1243" s="1693"/>
      <c r="Q1243" s="989"/>
      <c r="R1243" s="989"/>
      <c r="S1243" s="989"/>
      <c r="T1243" s="1862">
        <f t="shared" si="242"/>
        <v>0</v>
      </c>
    </row>
    <row r="1244" spans="1:20" ht="22.2" hidden="1" customHeight="1">
      <c r="A1244" s="1448">
        <f>COUNTIF($C$12:C1244,"x")</f>
        <v>87</v>
      </c>
      <c r="B1244" s="1455" t="s">
        <v>111</v>
      </c>
      <c r="C1244" s="970" t="str">
        <f t="shared" si="243"/>
        <v xml:space="preserve"> </v>
      </c>
      <c r="D1244" s="1415">
        <v>2</v>
      </c>
      <c r="E1244" s="980"/>
      <c r="F1244" s="992" t="str">
        <f>VLOOKUP($B1244,DG!A:D,DG!$C$2,)</f>
        <v>Sứ chằng</v>
      </c>
      <c r="G1244" s="980" t="str">
        <f>VLOOKUP($B1244,DG!A:D,DG!$D$2,)</f>
        <v>cái</v>
      </c>
      <c r="H1244" s="1693">
        <f t="shared" si="246"/>
        <v>0</v>
      </c>
      <c r="I1244" s="1693">
        <f t="shared" si="246"/>
        <v>0</v>
      </c>
      <c r="J1244" s="1693">
        <f t="shared" si="246"/>
        <v>0</v>
      </c>
      <c r="K1244" s="1693">
        <f t="shared" si="246"/>
        <v>0</v>
      </c>
      <c r="L1244" s="1693">
        <f t="shared" si="246"/>
        <v>0</v>
      </c>
      <c r="M1244" s="1693">
        <f t="shared" si="246"/>
        <v>0</v>
      </c>
      <c r="N1244" s="1693">
        <f t="shared" si="246"/>
        <v>0</v>
      </c>
      <c r="O1244" s="1693"/>
      <c r="P1244" s="1693"/>
      <c r="Q1244" s="989"/>
      <c r="R1244" s="989"/>
      <c r="S1244" s="989"/>
      <c r="T1244" s="1862">
        <f t="shared" si="242"/>
        <v>0</v>
      </c>
    </row>
    <row r="1245" spans="1:20" ht="22.2" hidden="1" customHeight="1">
      <c r="A1245" s="1448">
        <f>COUNTIF($C$12:C1245,"x")</f>
        <v>87</v>
      </c>
      <c r="B1245" s="1455" t="s">
        <v>1578</v>
      </c>
      <c r="C1245" s="970" t="str">
        <f t="shared" si="243"/>
        <v xml:space="preserve"> </v>
      </c>
      <c r="D1245" s="1415">
        <v>12</v>
      </c>
      <c r="E1245" s="980"/>
      <c r="F1245" s="992" t="str">
        <f>VLOOKUP($B1245,DG!A:D,DG!$C$2,)</f>
        <v>Kẹp cáp 3 boulon</v>
      </c>
      <c r="G1245" s="980" t="str">
        <f>VLOOKUP($B1245,DG!A:D,DG!$D$2,)</f>
        <v>cái</v>
      </c>
      <c r="H1245" s="1693">
        <f t="shared" si="246"/>
        <v>0</v>
      </c>
      <c r="I1245" s="1693">
        <f t="shared" si="246"/>
        <v>0</v>
      </c>
      <c r="J1245" s="1693">
        <f t="shared" si="246"/>
        <v>0</v>
      </c>
      <c r="K1245" s="1693">
        <f t="shared" si="246"/>
        <v>0</v>
      </c>
      <c r="L1245" s="1693">
        <f t="shared" si="246"/>
        <v>0</v>
      </c>
      <c r="M1245" s="1693">
        <f t="shared" si="246"/>
        <v>0</v>
      </c>
      <c r="N1245" s="1693">
        <f t="shared" si="246"/>
        <v>0</v>
      </c>
      <c r="O1245" s="1693"/>
      <c r="P1245" s="1693"/>
      <c r="Q1245" s="989"/>
      <c r="R1245" s="989"/>
      <c r="S1245" s="989"/>
      <c r="T1245" s="1862">
        <f t="shared" si="242"/>
        <v>0</v>
      </c>
    </row>
    <row r="1246" spans="1:20" ht="22.2" hidden="1" customHeight="1">
      <c r="A1246" s="1448">
        <f>COUNTIF($C$12:C1246,"x")</f>
        <v>87</v>
      </c>
      <c r="B1246" s="1455" t="s">
        <v>1359</v>
      </c>
      <c r="C1246" s="970" t="str">
        <f t="shared" si="243"/>
        <v xml:space="preserve"> </v>
      </c>
      <c r="D1246" s="1415">
        <v>12</v>
      </c>
      <c r="E1246" s="980"/>
      <c r="F1246" s="992" t="str">
        <f>VLOOKUP($B1246,DG!A:D,DG!$C$2,)</f>
        <v>Cáp thép 5/8"</v>
      </c>
      <c r="G1246" s="980" t="str">
        <f>VLOOKUP($B1246,DG!A:D,DG!$D$2,)</f>
        <v>kg</v>
      </c>
      <c r="H1246" s="1693">
        <f t="shared" si="246"/>
        <v>0</v>
      </c>
      <c r="I1246" s="1693">
        <f t="shared" si="246"/>
        <v>0</v>
      </c>
      <c r="J1246" s="1693">
        <f t="shared" si="246"/>
        <v>0</v>
      </c>
      <c r="K1246" s="1693">
        <f t="shared" si="246"/>
        <v>0</v>
      </c>
      <c r="L1246" s="1693">
        <f t="shared" si="246"/>
        <v>0</v>
      </c>
      <c r="M1246" s="1693">
        <f t="shared" si="246"/>
        <v>0</v>
      </c>
      <c r="N1246" s="1693">
        <f t="shared" si="246"/>
        <v>0</v>
      </c>
      <c r="O1246" s="1693"/>
      <c r="P1246" s="1693"/>
      <c r="Q1246" s="989"/>
      <c r="R1246" s="989"/>
      <c r="S1246" s="989"/>
      <c r="T1246" s="1862">
        <f t="shared" si="242"/>
        <v>0</v>
      </c>
    </row>
    <row r="1247" spans="1:20" ht="22.2" hidden="1" customHeight="1">
      <c r="A1247" s="1448">
        <f>COUNTIF($C$12:C1247,"x")</f>
        <v>87</v>
      </c>
      <c r="B1247" s="1455" t="s">
        <v>2000</v>
      </c>
      <c r="C1247" s="970" t="str">
        <f t="shared" si="243"/>
        <v xml:space="preserve"> </v>
      </c>
      <c r="D1247" s="1415">
        <v>2</v>
      </c>
      <c r="E1247" s="980"/>
      <c r="F1247" s="992" t="str">
        <f>VLOOKUP($B1247,DG!A:D,DG!$C$2,)</f>
        <v>Yếm cáp dày 2mm</v>
      </c>
      <c r="G1247" s="980" t="str">
        <f>VLOOKUP($B1247,DG!A:D,DG!$D$2,)</f>
        <v>cái</v>
      </c>
      <c r="H1247" s="1693">
        <f t="shared" si="246"/>
        <v>0</v>
      </c>
      <c r="I1247" s="1693">
        <f t="shared" si="246"/>
        <v>0</v>
      </c>
      <c r="J1247" s="1693">
        <f t="shared" si="246"/>
        <v>0</v>
      </c>
      <c r="K1247" s="1693">
        <f t="shared" si="246"/>
        <v>0</v>
      </c>
      <c r="L1247" s="1693">
        <f t="shared" si="246"/>
        <v>0</v>
      </c>
      <c r="M1247" s="1693">
        <f t="shared" si="246"/>
        <v>0</v>
      </c>
      <c r="N1247" s="1693">
        <f t="shared" si="246"/>
        <v>0</v>
      </c>
      <c r="O1247" s="1693"/>
      <c r="P1247" s="1693"/>
      <c r="Q1247" s="989"/>
      <c r="R1247" s="989"/>
      <c r="S1247" s="989"/>
      <c r="T1247" s="1862">
        <f t="shared" si="242"/>
        <v>0</v>
      </c>
    </row>
    <row r="1248" spans="1:20" ht="22.2" hidden="1" customHeight="1">
      <c r="A1248" s="1448">
        <f>COUNTIF($C$12:C1248,"x")</f>
        <v>87</v>
      </c>
      <c r="B1248" s="1455" t="s">
        <v>1918</v>
      </c>
      <c r="C1248" s="970" t="str">
        <f t="shared" si="243"/>
        <v xml:space="preserve"> </v>
      </c>
      <c r="D1248" s="1415">
        <v>2</v>
      </c>
      <c r="E1248" s="980" t="str">
        <f>VLOOKUP($B1248,DG!A:D,DG!$B$2,)</f>
        <v>06.3241</v>
      </c>
      <c r="F1248" s="985" t="str">
        <f>VLOOKUP($B1248,DG!A:D,DG!$C$2,)</f>
        <v>Lắp bộ dây néo</v>
      </c>
      <c r="G1248" s="980" t="str">
        <f>VLOOKUP($B1248,DG!A:D,DG!$D$2,)</f>
        <v>bộ</v>
      </c>
      <c r="H1248" s="1693"/>
      <c r="I1248" s="1693"/>
      <c r="J1248" s="1693"/>
      <c r="K1248" s="1693"/>
      <c r="L1248" s="1693"/>
      <c r="M1248" s="1693"/>
      <c r="N1248" s="1693"/>
      <c r="O1248" s="1693"/>
      <c r="P1248" s="1693"/>
      <c r="Q1248" s="994"/>
      <c r="R1248" s="994"/>
      <c r="S1248" s="994"/>
      <c r="T1248" s="1862">
        <f t="shared" si="242"/>
        <v>0</v>
      </c>
    </row>
    <row r="1249" spans="1:20" ht="22.2" hidden="1" customHeight="1">
      <c r="A1249" s="1448">
        <f>COUNTIF($C$12:C1249,"x")</f>
        <v>87</v>
      </c>
      <c r="B1249" s="1464" t="s">
        <v>356</v>
      </c>
      <c r="C1249" s="970" t="str">
        <f t="shared" si="243"/>
        <v xml:space="preserve"> </v>
      </c>
      <c r="D1249" s="1414">
        <v>0.02</v>
      </c>
      <c r="E1249" s="980" t="str">
        <f>VLOOKUP($B1249,DG!A:C,2,)</f>
        <v>02.1421</v>
      </c>
      <c r="F1249" s="985" t="str">
        <f>VLOOKUP($B1249,DG!A:C,3,)</f>
        <v>V/c phụ kiện vào vị trí (cự ly &lt;=100m)</v>
      </c>
      <c r="G1249" s="980" t="str">
        <f>VLOOKUP($B1249,DG!A:D,4,0)</f>
        <v>tấn</v>
      </c>
      <c r="H1249" s="1693"/>
      <c r="I1249" s="1693"/>
      <c r="J1249" s="1693"/>
      <c r="K1249" s="1693"/>
      <c r="L1249" s="1693"/>
      <c r="M1249" s="1693"/>
      <c r="N1249" s="1693"/>
      <c r="O1249" s="1693"/>
      <c r="P1249" s="1693"/>
      <c r="Q1249" s="994"/>
      <c r="R1249" s="994"/>
      <c r="S1249" s="994"/>
      <c r="T1249" s="1862">
        <f t="shared" si="242"/>
        <v>0</v>
      </c>
    </row>
    <row r="1250" spans="1:20" ht="22.2" hidden="1" customHeight="1">
      <c r="A1250" s="1448">
        <f>COUNTIF($C$12:C1250,"x")</f>
        <v>87</v>
      </c>
      <c r="B1250" s="1452" t="s">
        <v>748</v>
      </c>
      <c r="C1250" s="970" t="str">
        <f t="shared" si="243"/>
        <v xml:space="preserve"> </v>
      </c>
      <c r="D1250" s="1412"/>
      <c r="E1250" s="981"/>
      <c r="F1250" s="1276" t="s">
        <v>2476</v>
      </c>
      <c r="G1250" s="982" t="s">
        <v>2385</v>
      </c>
      <c r="H1250" s="1691">
        <f>SUM(I1250:O1250)</f>
        <v>0</v>
      </c>
      <c r="I1250" s="1692"/>
      <c r="J1250" s="1692"/>
      <c r="K1250" s="1692">
        <f>IFERROR(HLOOKUP(B1250,pp3p1m!$1:$3,2,0),0)</f>
        <v>0</v>
      </c>
      <c r="L1250" s="1692">
        <f>IFERROR(HLOOKUP(chitiet!B1250,pp1p!$1:$3,3,0),0)</f>
        <v>0</v>
      </c>
      <c r="M1250" s="1692"/>
      <c r="N1250" s="1692"/>
      <c r="O1250" s="1692"/>
      <c r="P1250" s="2674">
        <f>T1250</f>
        <v>0</v>
      </c>
      <c r="Q1250" s="983">
        <f>IF(P1250&gt;H1250,P1250-H1250,0)</f>
        <v>0</v>
      </c>
      <c r="R1250" s="983">
        <f>IF(H1250&gt;P1250,H1250-P1250,0)</f>
        <v>0</v>
      </c>
      <c r="S1250" s="983"/>
      <c r="T1250" s="1862">
        <f>IFERROR(HLOOKUP(B1250,pp1p!$1:$3,3,0),0)+IFERROR(HLOOKUP(B1250,pp3p1m!$1:$3,3,0),0)</f>
        <v>0</v>
      </c>
    </row>
    <row r="1251" spans="1:20" ht="22.2" hidden="1" customHeight="1">
      <c r="A1251" s="1448">
        <f>COUNTIF($C$12:C1251,"x")</f>
        <v>87</v>
      </c>
      <c r="B1251" s="1455" t="s">
        <v>1061</v>
      </c>
      <c r="C1251" s="970" t="str">
        <f t="shared" si="243"/>
        <v xml:space="preserve"> </v>
      </c>
      <c r="D1251" s="1415">
        <v>4</v>
      </c>
      <c r="E1251" s="980"/>
      <c r="F1251" s="992" t="str">
        <f>VLOOKUP($B1251,DG!A:D,DG!$C$2,)</f>
        <v>Boulon mắt 16x250+ 2 long đền vuông D18-50x50x3/Zn</v>
      </c>
      <c r="G1251" s="980" t="str">
        <f>VLOOKUP($B1251,DG!A:D,DG!$D$2,)</f>
        <v>bộ</v>
      </c>
      <c r="H1251" s="1693">
        <f t="shared" ref="H1251:N1255" si="247">H$1250*$D1251</f>
        <v>0</v>
      </c>
      <c r="I1251" s="1693">
        <f t="shared" si="247"/>
        <v>0</v>
      </c>
      <c r="J1251" s="1693">
        <f t="shared" si="247"/>
        <v>0</v>
      </c>
      <c r="K1251" s="1693">
        <f t="shared" si="247"/>
        <v>0</v>
      </c>
      <c r="L1251" s="1693">
        <f t="shared" si="247"/>
        <v>0</v>
      </c>
      <c r="M1251" s="1693">
        <f t="shared" si="247"/>
        <v>0</v>
      </c>
      <c r="N1251" s="1693">
        <f t="shared" si="247"/>
        <v>0</v>
      </c>
      <c r="O1251" s="1693"/>
      <c r="P1251" s="1693"/>
      <c r="Q1251" s="989"/>
      <c r="R1251" s="989"/>
      <c r="S1251" s="989"/>
      <c r="T1251" s="1862">
        <f t="shared" si="242"/>
        <v>0</v>
      </c>
    </row>
    <row r="1252" spans="1:20" ht="22.2" hidden="1" customHeight="1">
      <c r="A1252" s="1448">
        <f>COUNTIF($C$12:C1252,"x")</f>
        <v>87</v>
      </c>
      <c r="B1252" s="1455" t="s">
        <v>111</v>
      </c>
      <c r="C1252" s="970" t="str">
        <f t="shared" si="243"/>
        <v xml:space="preserve"> </v>
      </c>
      <c r="D1252" s="1415">
        <v>4</v>
      </c>
      <c r="E1252" s="980"/>
      <c r="F1252" s="992" t="str">
        <f>VLOOKUP($B1252,DG!A:D,DG!$C$2,)</f>
        <v>Sứ chằng</v>
      </c>
      <c r="G1252" s="980" t="str">
        <f>VLOOKUP($B1252,DG!A:D,DG!$D$2,)</f>
        <v>cái</v>
      </c>
      <c r="H1252" s="1693">
        <f t="shared" si="247"/>
        <v>0</v>
      </c>
      <c r="I1252" s="1693">
        <f t="shared" si="247"/>
        <v>0</v>
      </c>
      <c r="J1252" s="1693">
        <f t="shared" si="247"/>
        <v>0</v>
      </c>
      <c r="K1252" s="1693">
        <f t="shared" si="247"/>
        <v>0</v>
      </c>
      <c r="L1252" s="1693">
        <f t="shared" si="247"/>
        <v>0</v>
      </c>
      <c r="M1252" s="1693">
        <f t="shared" si="247"/>
        <v>0</v>
      </c>
      <c r="N1252" s="1693">
        <f t="shared" si="247"/>
        <v>0</v>
      </c>
      <c r="O1252" s="1693"/>
      <c r="P1252" s="1693"/>
      <c r="Q1252" s="989"/>
      <c r="R1252" s="989"/>
      <c r="S1252" s="989"/>
      <c r="T1252" s="1862">
        <f t="shared" si="242"/>
        <v>0</v>
      </c>
    </row>
    <row r="1253" spans="1:20" ht="22.2" hidden="1" customHeight="1">
      <c r="A1253" s="1448">
        <f>COUNTIF($C$12:C1253,"x")</f>
        <v>87</v>
      </c>
      <c r="B1253" s="1455" t="s">
        <v>1578</v>
      </c>
      <c r="C1253" s="970" t="str">
        <f t="shared" si="243"/>
        <v xml:space="preserve"> </v>
      </c>
      <c r="D1253" s="1415">
        <v>24</v>
      </c>
      <c r="E1253" s="980"/>
      <c r="F1253" s="992" t="str">
        <f>VLOOKUP($B1253,DG!A:D,DG!$C$2,)</f>
        <v>Kẹp cáp 3 boulon</v>
      </c>
      <c r="G1253" s="980" t="str">
        <f>VLOOKUP($B1253,DG!A:D,DG!$D$2,)</f>
        <v>cái</v>
      </c>
      <c r="H1253" s="1693">
        <f t="shared" si="247"/>
        <v>0</v>
      </c>
      <c r="I1253" s="1693">
        <f t="shared" si="247"/>
        <v>0</v>
      </c>
      <c r="J1253" s="1693">
        <f t="shared" si="247"/>
        <v>0</v>
      </c>
      <c r="K1253" s="1693">
        <f t="shared" si="247"/>
        <v>0</v>
      </c>
      <c r="L1253" s="1693">
        <f t="shared" si="247"/>
        <v>0</v>
      </c>
      <c r="M1253" s="1693">
        <f t="shared" si="247"/>
        <v>0</v>
      </c>
      <c r="N1253" s="1693">
        <f t="shared" si="247"/>
        <v>0</v>
      </c>
      <c r="O1253" s="1693"/>
      <c r="P1253" s="1693"/>
      <c r="Q1253" s="989"/>
      <c r="R1253" s="989"/>
      <c r="S1253" s="989"/>
      <c r="T1253" s="1862">
        <f t="shared" si="242"/>
        <v>0</v>
      </c>
    </row>
    <row r="1254" spans="1:20" ht="22.2" hidden="1" customHeight="1">
      <c r="A1254" s="1448">
        <f>COUNTIF($C$12:C1254,"x")</f>
        <v>87</v>
      </c>
      <c r="B1254" s="1455" t="s">
        <v>1359</v>
      </c>
      <c r="C1254" s="970" t="str">
        <f t="shared" si="243"/>
        <v xml:space="preserve"> </v>
      </c>
      <c r="D1254" s="1415">
        <v>12</v>
      </c>
      <c r="E1254" s="980"/>
      <c r="F1254" s="992" t="str">
        <f>VLOOKUP($B1254,DG!A:D,DG!$C$2,)</f>
        <v>Cáp thép 5/8"</v>
      </c>
      <c r="G1254" s="980" t="str">
        <f>VLOOKUP($B1254,DG!A:D,DG!$D$2,)</f>
        <v>kg</v>
      </c>
      <c r="H1254" s="1693">
        <f t="shared" si="247"/>
        <v>0</v>
      </c>
      <c r="I1254" s="1693">
        <f t="shared" si="247"/>
        <v>0</v>
      </c>
      <c r="J1254" s="1693">
        <f t="shared" si="247"/>
        <v>0</v>
      </c>
      <c r="K1254" s="1693">
        <f t="shared" si="247"/>
        <v>0</v>
      </c>
      <c r="L1254" s="1693">
        <f t="shared" si="247"/>
        <v>0</v>
      </c>
      <c r="M1254" s="1693">
        <f t="shared" si="247"/>
        <v>0</v>
      </c>
      <c r="N1254" s="1693">
        <f t="shared" si="247"/>
        <v>0</v>
      </c>
      <c r="O1254" s="1693"/>
      <c r="P1254" s="1693"/>
      <c r="Q1254" s="989"/>
      <c r="R1254" s="989"/>
      <c r="S1254" s="989"/>
      <c r="T1254" s="1862">
        <f t="shared" si="242"/>
        <v>0</v>
      </c>
    </row>
    <row r="1255" spans="1:20" ht="22.2" hidden="1" customHeight="1">
      <c r="A1255" s="1448">
        <f>COUNTIF($C$12:C1255,"x")</f>
        <v>87</v>
      </c>
      <c r="B1255" s="1455" t="s">
        <v>2000</v>
      </c>
      <c r="C1255" s="970" t="str">
        <f t="shared" si="243"/>
        <v xml:space="preserve"> </v>
      </c>
      <c r="D1255" s="1415">
        <v>4</v>
      </c>
      <c r="E1255" s="980"/>
      <c r="F1255" s="992" t="str">
        <f>VLOOKUP($B1255,DG!A:D,DG!$C$2,)</f>
        <v>Yếm cáp dày 2mm</v>
      </c>
      <c r="G1255" s="980" t="str">
        <f>VLOOKUP($B1255,DG!A:D,DG!$D$2,)</f>
        <v>cái</v>
      </c>
      <c r="H1255" s="1693">
        <f t="shared" si="247"/>
        <v>0</v>
      </c>
      <c r="I1255" s="1693">
        <f t="shared" si="247"/>
        <v>0</v>
      </c>
      <c r="J1255" s="1693">
        <f t="shared" si="247"/>
        <v>0</v>
      </c>
      <c r="K1255" s="1693">
        <f t="shared" si="247"/>
        <v>0</v>
      </c>
      <c r="L1255" s="1693">
        <f t="shared" si="247"/>
        <v>0</v>
      </c>
      <c r="M1255" s="1693">
        <f t="shared" si="247"/>
        <v>0</v>
      </c>
      <c r="N1255" s="1693">
        <f t="shared" si="247"/>
        <v>0</v>
      </c>
      <c r="O1255" s="1693"/>
      <c r="P1255" s="1693"/>
      <c r="Q1255" s="989"/>
      <c r="R1255" s="989"/>
      <c r="S1255" s="989"/>
      <c r="T1255" s="1862">
        <f t="shared" si="242"/>
        <v>0</v>
      </c>
    </row>
    <row r="1256" spans="1:20" ht="22.2" hidden="1" customHeight="1">
      <c r="A1256" s="1448">
        <f>COUNTIF($C$12:C1256,"x")</f>
        <v>87</v>
      </c>
      <c r="B1256" s="1455" t="s">
        <v>1918</v>
      </c>
      <c r="C1256" s="970" t="str">
        <f t="shared" si="243"/>
        <v xml:space="preserve"> </v>
      </c>
      <c r="D1256" s="1415">
        <v>2</v>
      </c>
      <c r="E1256" s="980" t="str">
        <f>VLOOKUP($B1256,DG!A:D,DG!$B$2,)</f>
        <v>06.3241</v>
      </c>
      <c r="F1256" s="985" t="str">
        <f>VLOOKUP($B1256,DG!A:D,DG!$C$2,)</f>
        <v>Lắp bộ dây néo</v>
      </c>
      <c r="G1256" s="980" t="str">
        <f>VLOOKUP($B1256,DG!A:D,DG!$D$2,)</f>
        <v>bộ</v>
      </c>
      <c r="H1256" s="1693"/>
      <c r="I1256" s="1693"/>
      <c r="J1256" s="1693"/>
      <c r="K1256" s="1693"/>
      <c r="L1256" s="1693"/>
      <c r="M1256" s="1693"/>
      <c r="N1256" s="1693"/>
      <c r="O1256" s="1693"/>
      <c r="P1256" s="1693"/>
      <c r="Q1256" s="994"/>
      <c r="R1256" s="994"/>
      <c r="S1256" s="994"/>
      <c r="T1256" s="1862">
        <f t="shared" si="242"/>
        <v>0</v>
      </c>
    </row>
    <row r="1257" spans="1:20" ht="22.2" hidden="1" customHeight="1">
      <c r="A1257" s="1448">
        <f>COUNTIF($C$12:C1257,"x")</f>
        <v>87</v>
      </c>
      <c r="B1257" s="1464" t="s">
        <v>356</v>
      </c>
      <c r="C1257" s="970" t="str">
        <f t="shared" si="243"/>
        <v xml:space="preserve"> </v>
      </c>
      <c r="D1257" s="1414">
        <v>0.02</v>
      </c>
      <c r="E1257" s="980" t="str">
        <f>VLOOKUP($B1257,DG!A:C,2,)</f>
        <v>02.1421</v>
      </c>
      <c r="F1257" s="985" t="str">
        <f>VLOOKUP($B1257,DG!A:C,3,)</f>
        <v>V/c phụ kiện vào vị trí (cự ly &lt;=100m)</v>
      </c>
      <c r="G1257" s="980" t="str">
        <f>VLOOKUP($B1257,DG!A:D,4,0)</f>
        <v>tấn</v>
      </c>
      <c r="H1257" s="1693"/>
      <c r="I1257" s="1693"/>
      <c r="J1257" s="1693"/>
      <c r="K1257" s="1693"/>
      <c r="L1257" s="1693"/>
      <c r="M1257" s="1693"/>
      <c r="N1257" s="1693"/>
      <c r="O1257" s="1693"/>
      <c r="P1257" s="1693"/>
      <c r="Q1257" s="994"/>
      <c r="R1257" s="994"/>
      <c r="S1257" s="994"/>
      <c r="T1257" s="1862">
        <f t="shared" si="242"/>
        <v>0</v>
      </c>
    </row>
    <row r="1258" spans="1:20" ht="22.2" hidden="1" customHeight="1">
      <c r="A1258" s="1448">
        <f>COUNTIF($C$12:C1258,"x")</f>
        <v>87</v>
      </c>
      <c r="B1258" s="1452" t="s">
        <v>345</v>
      </c>
      <c r="C1258" s="970" t="str">
        <f t="shared" si="243"/>
        <v xml:space="preserve"> </v>
      </c>
      <c r="D1258" s="1412"/>
      <c r="E1258" s="981"/>
      <c r="F1258" s="1276" t="s">
        <v>2477</v>
      </c>
      <c r="G1258" s="982" t="s">
        <v>2385</v>
      </c>
      <c r="H1258" s="1691">
        <f>SUM(I1258:O1258)</f>
        <v>0</v>
      </c>
      <c r="I1258" s="1692"/>
      <c r="J1258" s="1692"/>
      <c r="K1258" s="1692">
        <f>IFERROR(HLOOKUP(B1258,pp3p1m!$1:$3,2,0),0)</f>
        <v>0</v>
      </c>
      <c r="L1258" s="1692">
        <f>IFERROR(HLOOKUP(chitiet!B1258,pp1p!$1:$3,3,0),0)</f>
        <v>0</v>
      </c>
      <c r="M1258" s="1692"/>
      <c r="N1258" s="1692"/>
      <c r="O1258" s="1692"/>
      <c r="P1258" s="2674">
        <f>T1258</f>
        <v>0</v>
      </c>
      <c r="Q1258" s="983">
        <f>IF(P1258&gt;H1258,P1258-H1258,0)</f>
        <v>0</v>
      </c>
      <c r="R1258" s="983">
        <f>IF(H1258&gt;P1258,H1258-P1258,0)</f>
        <v>0</v>
      </c>
      <c r="S1258" s="983"/>
      <c r="T1258" s="1862">
        <f>IFERROR(HLOOKUP(B1258,pp1p!$1:$3,3,0),0)+IFERROR(HLOOKUP(B1258,pp3p1m!$1:$3,3,0),0)</f>
        <v>0</v>
      </c>
    </row>
    <row r="1259" spans="1:20" ht="22.2" hidden="1" customHeight="1">
      <c r="A1259" s="1448">
        <f>COUNTIF($C$12:C1259,"x")</f>
        <v>87</v>
      </c>
      <c r="B1259" s="1455" t="s">
        <v>669</v>
      </c>
      <c r="C1259" s="970" t="str">
        <f t="shared" si="243"/>
        <v xml:space="preserve"> </v>
      </c>
      <c r="D1259" s="1415">
        <v>1</v>
      </c>
      <c r="E1259" s="980"/>
      <c r="F1259" s="992" t="str">
        <f>VLOOKUP($B1259,DG!A:D,DG!$C$2,)&amp;"-Fe8x100 nhuùng keõm"</f>
        <v>Cổ dê Ø 195 nẹp trụ-Fe8x100 nhuùng keõm</v>
      </c>
      <c r="G1259" s="980" t="str">
        <f>VLOOKUP($B1259,DG!A:D,DG!$D$2,)</f>
        <v>bộ</v>
      </c>
      <c r="H1259" s="1693">
        <f t="shared" ref="H1259:N1267" si="248">H$1258*$D1259</f>
        <v>0</v>
      </c>
      <c r="I1259" s="1693">
        <f t="shared" si="248"/>
        <v>0</v>
      </c>
      <c r="J1259" s="1693">
        <f t="shared" si="248"/>
        <v>0</v>
      </c>
      <c r="K1259" s="1693">
        <f t="shared" si="248"/>
        <v>0</v>
      </c>
      <c r="L1259" s="1693">
        <f t="shared" si="248"/>
        <v>0</v>
      </c>
      <c r="M1259" s="1693">
        <f t="shared" si="248"/>
        <v>0</v>
      </c>
      <c r="N1259" s="1693">
        <f t="shared" si="248"/>
        <v>0</v>
      </c>
      <c r="O1259" s="1693"/>
      <c r="P1259" s="1693"/>
      <c r="Q1259" s="989"/>
      <c r="R1259" s="989"/>
      <c r="S1259" s="989"/>
      <c r="T1259" s="1862">
        <f t="shared" si="242"/>
        <v>0</v>
      </c>
    </row>
    <row r="1260" spans="1:20" ht="22.2" hidden="1" customHeight="1">
      <c r="A1260" s="1448">
        <f>COUNTIF($C$12:C1260,"x")</f>
        <v>87</v>
      </c>
      <c r="B1260" s="1455" t="s">
        <v>111</v>
      </c>
      <c r="C1260" s="970" t="str">
        <f t="shared" si="243"/>
        <v xml:space="preserve"> </v>
      </c>
      <c r="D1260" s="1415">
        <v>1</v>
      </c>
      <c r="E1260" s="980"/>
      <c r="F1260" s="992" t="str">
        <f>VLOOKUP($B1260,DG!A:D,DG!$C$2,)</f>
        <v>Sứ chằng</v>
      </c>
      <c r="G1260" s="980" t="str">
        <f>VLOOKUP($B1260,DG!A:D,DG!$D$2,)</f>
        <v>cái</v>
      </c>
      <c r="H1260" s="1693">
        <f t="shared" si="248"/>
        <v>0</v>
      </c>
      <c r="I1260" s="1693">
        <f t="shared" si="248"/>
        <v>0</v>
      </c>
      <c r="J1260" s="1693">
        <f t="shared" si="248"/>
        <v>0</v>
      </c>
      <c r="K1260" s="1693">
        <f t="shared" si="248"/>
        <v>0</v>
      </c>
      <c r="L1260" s="1693">
        <f t="shared" si="248"/>
        <v>0</v>
      </c>
      <c r="M1260" s="1693">
        <f t="shared" si="248"/>
        <v>0</v>
      </c>
      <c r="N1260" s="1693">
        <f t="shared" si="248"/>
        <v>0</v>
      </c>
      <c r="O1260" s="1693"/>
      <c r="P1260" s="1693"/>
      <c r="Q1260" s="989"/>
      <c r="R1260" s="989"/>
      <c r="S1260" s="989"/>
      <c r="T1260" s="1862">
        <f t="shared" si="242"/>
        <v>0</v>
      </c>
    </row>
    <row r="1261" spans="1:20" ht="22.2" hidden="1" customHeight="1">
      <c r="A1261" s="1448">
        <f>COUNTIF($C$12:C1261,"x")</f>
        <v>87</v>
      </c>
      <c r="B1261" s="1455" t="s">
        <v>1578</v>
      </c>
      <c r="C1261" s="970" t="str">
        <f t="shared" si="243"/>
        <v xml:space="preserve"> </v>
      </c>
      <c r="D1261" s="1415">
        <v>8</v>
      </c>
      <c r="E1261" s="980"/>
      <c r="F1261" s="992" t="str">
        <f>VLOOKUP($B1261,DG!A:D,DG!$C$2,)</f>
        <v>Kẹp cáp 3 boulon</v>
      </c>
      <c r="G1261" s="980" t="str">
        <f>VLOOKUP($B1261,DG!A:D,DG!$D$2,)</f>
        <v>cái</v>
      </c>
      <c r="H1261" s="1693">
        <f t="shared" si="248"/>
        <v>0</v>
      </c>
      <c r="I1261" s="1693">
        <f t="shared" si="248"/>
        <v>0</v>
      </c>
      <c r="J1261" s="1693">
        <f t="shared" si="248"/>
        <v>0</v>
      </c>
      <c r="K1261" s="1693">
        <f t="shared" si="248"/>
        <v>0</v>
      </c>
      <c r="L1261" s="1693">
        <f t="shared" si="248"/>
        <v>0</v>
      </c>
      <c r="M1261" s="1693">
        <f t="shared" si="248"/>
        <v>0</v>
      </c>
      <c r="N1261" s="1693">
        <f t="shared" si="248"/>
        <v>0</v>
      </c>
      <c r="O1261" s="1693"/>
      <c r="P1261" s="1693"/>
      <c r="Q1261" s="989"/>
      <c r="R1261" s="989"/>
      <c r="S1261" s="989"/>
      <c r="T1261" s="1862">
        <f t="shared" si="242"/>
        <v>0</v>
      </c>
    </row>
    <row r="1262" spans="1:20" ht="22.2" hidden="1" customHeight="1">
      <c r="A1262" s="1448">
        <f>COUNTIF($C$12:C1262,"x")</f>
        <v>87</v>
      </c>
      <c r="B1262" s="1470" t="s">
        <v>1049</v>
      </c>
      <c r="C1262" s="970" t="str">
        <f t="shared" si="243"/>
        <v xml:space="preserve"> </v>
      </c>
      <c r="D1262" s="1415">
        <v>15</v>
      </c>
      <c r="E1262" s="980"/>
      <c r="F1262" s="992" t="str">
        <f>VLOOKUP($B1262,DG!A:D,DG!$C$2,)</f>
        <v>Kẹp hotline 4/0</v>
      </c>
      <c r="G1262" s="980" t="str">
        <f>VLOOKUP($B1262,DG!A:D,DG!$D$2,)</f>
        <v>cái</v>
      </c>
      <c r="H1262" s="1693">
        <f t="shared" si="248"/>
        <v>0</v>
      </c>
      <c r="I1262" s="1693">
        <f t="shared" si="248"/>
        <v>0</v>
      </c>
      <c r="J1262" s="1693">
        <f t="shared" si="248"/>
        <v>0</v>
      </c>
      <c r="K1262" s="1693">
        <f t="shared" si="248"/>
        <v>0</v>
      </c>
      <c r="L1262" s="1693">
        <f t="shared" si="248"/>
        <v>0</v>
      </c>
      <c r="M1262" s="1693">
        <f t="shared" si="248"/>
        <v>0</v>
      </c>
      <c r="N1262" s="1693">
        <f t="shared" si="248"/>
        <v>0</v>
      </c>
      <c r="O1262" s="1693"/>
      <c r="P1262" s="1693"/>
      <c r="Q1262" s="989"/>
      <c r="R1262" s="989"/>
      <c r="S1262" s="989"/>
      <c r="T1262" s="1862">
        <f t="shared" si="242"/>
        <v>0</v>
      </c>
    </row>
    <row r="1263" spans="1:20" ht="22.2" hidden="1" customHeight="1">
      <c r="A1263" s="1448">
        <f>COUNTIF($C$12:C1263,"x")</f>
        <v>87</v>
      </c>
      <c r="B1263" s="1455" t="s">
        <v>279</v>
      </c>
      <c r="C1263" s="970" t="str">
        <f t="shared" si="243"/>
        <v xml:space="preserve"> </v>
      </c>
      <c r="D1263" s="1415">
        <v>2</v>
      </c>
      <c r="E1263" s="980"/>
      <c r="F1263" s="992" t="str">
        <f>VLOOKUP($B1263,DG!A:D,DG!$C$2,)</f>
        <v>Sắt dẹt 60 x 6</v>
      </c>
      <c r="G1263" s="980" t="str">
        <f>VLOOKUP($B1263,DG!A:D,DG!$D$2,)</f>
        <v>kg</v>
      </c>
      <c r="H1263" s="1693">
        <f t="shared" si="248"/>
        <v>0</v>
      </c>
      <c r="I1263" s="1693">
        <f t="shared" si="248"/>
        <v>0</v>
      </c>
      <c r="J1263" s="1693">
        <f t="shared" si="248"/>
        <v>0</v>
      </c>
      <c r="K1263" s="1693">
        <f t="shared" si="248"/>
        <v>0</v>
      </c>
      <c r="L1263" s="1693">
        <f t="shared" si="248"/>
        <v>0</v>
      </c>
      <c r="M1263" s="1693">
        <f t="shared" si="248"/>
        <v>0</v>
      </c>
      <c r="N1263" s="1693">
        <f t="shared" si="248"/>
        <v>0</v>
      </c>
      <c r="O1263" s="1693"/>
      <c r="P1263" s="1693"/>
      <c r="Q1263" s="989"/>
      <c r="R1263" s="989"/>
      <c r="S1263" s="989"/>
      <c r="T1263" s="1862">
        <f t="shared" si="242"/>
        <v>0</v>
      </c>
    </row>
    <row r="1264" spans="1:20" ht="22.2" hidden="1" customHeight="1">
      <c r="A1264" s="1448">
        <f>COUNTIF($C$12:C1264,"x")</f>
        <v>87</v>
      </c>
      <c r="B1264" s="1455" t="s">
        <v>1371</v>
      </c>
      <c r="C1264" s="970" t="str">
        <f t="shared" si="243"/>
        <v xml:space="preserve"> </v>
      </c>
      <c r="D1264" s="1415">
        <v>1</v>
      </c>
      <c r="E1264" s="980"/>
      <c r="F1264" s="992" t="str">
        <f>VLOOKUP($B1264,DG!A:D,DG!$C$2,)</f>
        <v xml:space="preserve">Móc treo chữ U </v>
      </c>
      <c r="G1264" s="980" t="str">
        <f>VLOOKUP($B1264,DG!A:D,DG!$D$2,)</f>
        <v>cái</v>
      </c>
      <c r="H1264" s="1693">
        <f t="shared" si="248"/>
        <v>0</v>
      </c>
      <c r="I1264" s="1693">
        <f t="shared" si="248"/>
        <v>0</v>
      </c>
      <c r="J1264" s="1693">
        <f t="shared" si="248"/>
        <v>0</v>
      </c>
      <c r="K1264" s="1693">
        <f t="shared" si="248"/>
        <v>0</v>
      </c>
      <c r="L1264" s="1693">
        <f t="shared" si="248"/>
        <v>0</v>
      </c>
      <c r="M1264" s="1693">
        <f t="shared" si="248"/>
        <v>0</v>
      </c>
      <c r="N1264" s="1693">
        <f t="shared" si="248"/>
        <v>0</v>
      </c>
      <c r="O1264" s="1693"/>
      <c r="P1264" s="1693"/>
      <c r="Q1264" s="989"/>
      <c r="R1264" s="989"/>
      <c r="S1264" s="989"/>
      <c r="T1264" s="1862">
        <f t="shared" si="242"/>
        <v>0</v>
      </c>
    </row>
    <row r="1265" spans="1:20" ht="22.2" hidden="1" customHeight="1">
      <c r="A1265" s="1448">
        <f>COUNTIF($C$12:C1265,"x")</f>
        <v>87</v>
      </c>
      <c r="B1265" s="1471" t="s">
        <v>1891</v>
      </c>
      <c r="C1265" s="970" t="str">
        <f t="shared" si="243"/>
        <v xml:space="preserve"> </v>
      </c>
      <c r="D1265" s="1415">
        <v>2</v>
      </c>
      <c r="E1265" s="980"/>
      <c r="F1265" s="992" t="str">
        <f>VLOOKUP($B1265,DG!A:D,DG!$C$2,)</f>
        <v>Boulon 16x100VRS+ 4 long đền vuông D18-50x50x3/Zn</v>
      </c>
      <c r="G1265" s="980" t="str">
        <f>VLOOKUP($B1265,DG!A:D,DG!$D$2,)</f>
        <v>bộ</v>
      </c>
      <c r="H1265" s="1693">
        <f t="shared" si="248"/>
        <v>0</v>
      </c>
      <c r="I1265" s="1693">
        <f t="shared" si="248"/>
        <v>0</v>
      </c>
      <c r="J1265" s="1693">
        <f t="shared" si="248"/>
        <v>0</v>
      </c>
      <c r="K1265" s="1693">
        <f t="shared" si="248"/>
        <v>0</v>
      </c>
      <c r="L1265" s="1693">
        <f t="shared" si="248"/>
        <v>0</v>
      </c>
      <c r="M1265" s="1693">
        <f t="shared" si="248"/>
        <v>0</v>
      </c>
      <c r="N1265" s="1693">
        <f t="shared" si="248"/>
        <v>0</v>
      </c>
      <c r="O1265" s="1693"/>
      <c r="P1265" s="1693"/>
      <c r="Q1265" s="989"/>
      <c r="R1265" s="989"/>
      <c r="S1265" s="989"/>
      <c r="T1265" s="1862">
        <f t="shared" si="242"/>
        <v>0</v>
      </c>
    </row>
    <row r="1266" spans="1:20" ht="22.2" hidden="1" customHeight="1">
      <c r="A1266" s="1448">
        <f>COUNTIF($C$12:C1266,"x")</f>
        <v>87</v>
      </c>
      <c r="B1266" s="1455" t="s">
        <v>2000</v>
      </c>
      <c r="C1266" s="970" t="str">
        <f t="shared" si="243"/>
        <v xml:space="preserve"> </v>
      </c>
      <c r="D1266" s="1415">
        <v>2</v>
      </c>
      <c r="E1266" s="980"/>
      <c r="F1266" s="992" t="str">
        <f>VLOOKUP($B1266,DG!A:D,DG!$C$2,)</f>
        <v>Yếm cáp dày 2mm</v>
      </c>
      <c r="G1266" s="980" t="str">
        <f>VLOOKUP($B1266,DG!A:D,DG!$D$2,)</f>
        <v>cái</v>
      </c>
      <c r="H1266" s="1693">
        <f t="shared" si="248"/>
        <v>0</v>
      </c>
      <c r="I1266" s="1693">
        <f t="shared" si="248"/>
        <v>0</v>
      </c>
      <c r="J1266" s="1693">
        <f t="shared" si="248"/>
        <v>0</v>
      </c>
      <c r="K1266" s="1693">
        <f t="shared" si="248"/>
        <v>0</v>
      </c>
      <c r="L1266" s="1693">
        <f t="shared" si="248"/>
        <v>0</v>
      </c>
      <c r="M1266" s="1693">
        <f t="shared" si="248"/>
        <v>0</v>
      </c>
      <c r="N1266" s="1693">
        <f t="shared" si="248"/>
        <v>0</v>
      </c>
      <c r="O1266" s="1693"/>
      <c r="P1266" s="1693"/>
      <c r="Q1266" s="989"/>
      <c r="R1266" s="989"/>
      <c r="S1266" s="989"/>
      <c r="T1266" s="1862">
        <f t="shared" si="242"/>
        <v>0</v>
      </c>
    </row>
    <row r="1267" spans="1:20" ht="22.2" hidden="1" customHeight="1">
      <c r="A1267" s="1448">
        <f>COUNTIF($C$12:C1267,"x")</f>
        <v>87</v>
      </c>
      <c r="B1267" s="1455" t="s">
        <v>2001</v>
      </c>
      <c r="C1267" s="970" t="str">
        <f t="shared" si="243"/>
        <v xml:space="preserve"> </v>
      </c>
      <c r="D1267" s="1415">
        <v>1</v>
      </c>
      <c r="E1267" s="980"/>
      <c r="F1267" s="992" t="str">
        <f>VLOOKUP($B1267,DG!A:D,DG!$C$2,)</f>
        <v>Máng che dây chằng dày 1,6mm</v>
      </c>
      <c r="G1267" s="980" t="str">
        <f>VLOOKUP($B1267,DG!A:D,DG!$D$2,)</f>
        <v>cái</v>
      </c>
      <c r="H1267" s="1693">
        <f t="shared" si="248"/>
        <v>0</v>
      </c>
      <c r="I1267" s="1693">
        <f t="shared" si="248"/>
        <v>0</v>
      </c>
      <c r="J1267" s="1693">
        <f t="shared" si="248"/>
        <v>0</v>
      </c>
      <c r="K1267" s="1693">
        <f t="shared" si="248"/>
        <v>0</v>
      </c>
      <c r="L1267" s="1693">
        <f t="shared" si="248"/>
        <v>0</v>
      </c>
      <c r="M1267" s="1693">
        <f t="shared" si="248"/>
        <v>0</v>
      </c>
      <c r="N1267" s="1693">
        <f t="shared" si="248"/>
        <v>0</v>
      </c>
      <c r="O1267" s="1693"/>
      <c r="P1267" s="1693"/>
      <c r="Q1267" s="989"/>
      <c r="R1267" s="989"/>
      <c r="S1267" s="989"/>
      <c r="T1267" s="1862">
        <f t="shared" si="242"/>
        <v>0</v>
      </c>
    </row>
    <row r="1268" spans="1:20" ht="22.2" hidden="1" customHeight="1">
      <c r="A1268" s="1448">
        <f>COUNTIF($C$12:C1268,"x")</f>
        <v>87</v>
      </c>
      <c r="B1268" s="1455" t="s">
        <v>1918</v>
      </c>
      <c r="C1268" s="970" t="str">
        <f t="shared" si="243"/>
        <v xml:space="preserve"> </v>
      </c>
      <c r="D1268" s="1415">
        <v>1</v>
      </c>
      <c r="E1268" s="980" t="str">
        <f>VLOOKUP($B1268,DG!A:D,DG!$B$2,)</f>
        <v>06.3241</v>
      </c>
      <c r="F1268" s="985" t="str">
        <f>VLOOKUP($B1268,DG!A:D,DG!$C$2,)</f>
        <v>Lắp bộ dây néo</v>
      </c>
      <c r="G1268" s="980" t="str">
        <f>VLOOKUP($B1268,DG!A:D,DG!$D$2,)</f>
        <v>bộ</v>
      </c>
      <c r="H1268" s="1693"/>
      <c r="I1268" s="1693"/>
      <c r="J1268" s="1693"/>
      <c r="K1268" s="1693"/>
      <c r="L1268" s="1693"/>
      <c r="M1268" s="1693"/>
      <c r="N1268" s="1693"/>
      <c r="O1268" s="1693"/>
      <c r="P1268" s="1693"/>
      <c r="Q1268" s="994"/>
      <c r="R1268" s="994"/>
      <c r="S1268" s="994"/>
      <c r="T1268" s="1862">
        <f t="shared" si="242"/>
        <v>0</v>
      </c>
    </row>
    <row r="1269" spans="1:20" ht="22.2" hidden="1" customHeight="1">
      <c r="A1269" s="1448">
        <f>COUNTIF($C$12:C1269,"x")</f>
        <v>87</v>
      </c>
      <c r="B1269" s="1455" t="s">
        <v>681</v>
      </c>
      <c r="C1269" s="970" t="str">
        <f t="shared" si="243"/>
        <v xml:space="preserve"> </v>
      </c>
      <c r="D1269" s="1415">
        <v>1</v>
      </c>
      <c r="E1269" s="980" t="str">
        <f>VLOOKUP($B1269,DG!A:D,DG!$B$2,)</f>
        <v>06.2110</v>
      </c>
      <c r="F1269" s="985" t="str">
        <f>VLOOKUP($B1269,DG!A:D,DG!$C$2,)</f>
        <v>Lắp cổ dê</v>
      </c>
      <c r="G1269" s="980" t="str">
        <f>VLOOKUP($B1269,DG!A:D,DG!$D$2,)</f>
        <v>cái</v>
      </c>
      <c r="H1269" s="1693"/>
      <c r="I1269" s="1693"/>
      <c r="J1269" s="1693"/>
      <c r="K1269" s="1693"/>
      <c r="L1269" s="1693"/>
      <c r="M1269" s="1693"/>
      <c r="N1269" s="1693"/>
      <c r="O1269" s="1693"/>
      <c r="P1269" s="1693"/>
      <c r="Q1269" s="994"/>
      <c r="R1269" s="994"/>
      <c r="S1269" s="994"/>
      <c r="T1269" s="1862">
        <f t="shared" si="242"/>
        <v>0</v>
      </c>
    </row>
    <row r="1270" spans="1:20" ht="22.2" hidden="1" customHeight="1">
      <c r="A1270" s="1448">
        <f>COUNTIF($C$12:C1270,"x")</f>
        <v>87</v>
      </c>
      <c r="B1270" s="1464" t="s">
        <v>356</v>
      </c>
      <c r="C1270" s="970" t="str">
        <f t="shared" si="243"/>
        <v xml:space="preserve"> </v>
      </c>
      <c r="D1270" s="1414">
        <v>0.02</v>
      </c>
      <c r="E1270" s="980" t="str">
        <f>VLOOKUP($B1270,DG!A:C,2,)</f>
        <v>02.1421</v>
      </c>
      <c r="F1270" s="985" t="str">
        <f>VLOOKUP($B1270,DG!A:C,3,)</f>
        <v>V/c phụ kiện vào vị trí (cự ly &lt;=100m)</v>
      </c>
      <c r="G1270" s="980" t="str">
        <f>VLOOKUP($B1270,DG!A:D,4,0)</f>
        <v>tấn</v>
      </c>
      <c r="H1270" s="1693"/>
      <c r="I1270" s="1693"/>
      <c r="J1270" s="1693"/>
      <c r="K1270" s="1693"/>
      <c r="L1270" s="1693"/>
      <c r="M1270" s="1693"/>
      <c r="N1270" s="1693"/>
      <c r="O1270" s="1693"/>
      <c r="P1270" s="1693"/>
      <c r="Q1270" s="994"/>
      <c r="R1270" s="994"/>
      <c r="S1270" s="994"/>
      <c r="T1270" s="1862">
        <f t="shared" si="242"/>
        <v>0</v>
      </c>
    </row>
    <row r="1271" spans="1:20" ht="22.2" hidden="1" customHeight="1">
      <c r="A1271" s="1448">
        <f>COUNTIF($C$12:C1271,"x")</f>
        <v>87</v>
      </c>
      <c r="B1271" s="1452" t="s">
        <v>1084</v>
      </c>
      <c r="C1271" s="970" t="str">
        <f t="shared" si="243"/>
        <v xml:space="preserve"> </v>
      </c>
      <c r="D1271" s="1412"/>
      <c r="E1271" s="981"/>
      <c r="F1271" s="1276" t="s">
        <v>2478</v>
      </c>
      <c r="G1271" s="982" t="s">
        <v>2385</v>
      </c>
      <c r="H1271" s="1691">
        <f>SUM(I1271:O1271)</f>
        <v>0</v>
      </c>
      <c r="I1271" s="1692"/>
      <c r="J1271" s="1692"/>
      <c r="K1271" s="1692">
        <f>IFERROR(HLOOKUP(B1271,pp3p1m!$1:$3,2,0),0)</f>
        <v>0</v>
      </c>
      <c r="L1271" s="1692">
        <f>IFERROR(HLOOKUP(chitiet!B1271,pp1p!$1:$3,3,0),0)</f>
        <v>0</v>
      </c>
      <c r="M1271" s="1692"/>
      <c r="N1271" s="1692"/>
      <c r="O1271" s="1692"/>
      <c r="P1271" s="2674">
        <f>T1271</f>
        <v>0</v>
      </c>
      <c r="Q1271" s="983">
        <f>IF(P1271&gt;H1271,P1271-H1271,0)</f>
        <v>0</v>
      </c>
      <c r="R1271" s="983">
        <f>IF(H1271&gt;P1271,H1271-P1271,0)</f>
        <v>0</v>
      </c>
      <c r="S1271" s="983"/>
      <c r="T1271" s="1862">
        <f>IFERROR(HLOOKUP(B1271,pp1p!$1:$3,3,0),0)+IFERROR(HLOOKUP(B1271,pp3p1m!$1:$3,3,0),0)</f>
        <v>0</v>
      </c>
    </row>
    <row r="1272" spans="1:20" ht="22.2" hidden="1" customHeight="1">
      <c r="A1272" s="1448">
        <f>COUNTIF($C$12:C1272,"x")</f>
        <v>87</v>
      </c>
      <c r="B1272" s="1455" t="s">
        <v>669</v>
      </c>
      <c r="C1272" s="970" t="str">
        <f t="shared" si="243"/>
        <v xml:space="preserve"> </v>
      </c>
      <c r="D1272" s="1415">
        <v>1</v>
      </c>
      <c r="E1272" s="980"/>
      <c r="F1272" s="992" t="str">
        <f>VLOOKUP($B1272,DG!A:D,DG!$C$2,)&amp;"-Fe8x100 nhuùng keõm"</f>
        <v>Cổ dê Ø 195 nẹp trụ-Fe8x100 nhuùng keõm</v>
      </c>
      <c r="G1272" s="980" t="str">
        <f>VLOOKUP($B1272,DG!A:D,DG!$D$2,)</f>
        <v>bộ</v>
      </c>
      <c r="H1272" s="1693">
        <f t="shared" ref="H1272:N1281" si="249">H$1271*$D1272</f>
        <v>0</v>
      </c>
      <c r="I1272" s="1693">
        <f t="shared" si="249"/>
        <v>0</v>
      </c>
      <c r="J1272" s="1693">
        <f t="shared" si="249"/>
        <v>0</v>
      </c>
      <c r="K1272" s="1693">
        <f t="shared" si="249"/>
        <v>0</v>
      </c>
      <c r="L1272" s="1693">
        <f t="shared" si="249"/>
        <v>0</v>
      </c>
      <c r="M1272" s="1693">
        <f t="shared" si="249"/>
        <v>0</v>
      </c>
      <c r="N1272" s="1693">
        <f t="shared" si="249"/>
        <v>0</v>
      </c>
      <c r="O1272" s="1693"/>
      <c r="P1272" s="1693"/>
      <c r="Q1272" s="989"/>
      <c r="R1272" s="989"/>
      <c r="S1272" s="989"/>
      <c r="T1272" s="1862">
        <f t="shared" si="242"/>
        <v>0</v>
      </c>
    </row>
    <row r="1273" spans="1:20" ht="22.2" hidden="1" customHeight="1">
      <c r="A1273" s="1448">
        <f>COUNTIF($C$12:C1273,"x")</f>
        <v>87</v>
      </c>
      <c r="B1273" s="1455" t="s">
        <v>111</v>
      </c>
      <c r="C1273" s="970" t="str">
        <f t="shared" si="243"/>
        <v xml:space="preserve"> </v>
      </c>
      <c r="D1273" s="1415">
        <v>1</v>
      </c>
      <c r="E1273" s="980"/>
      <c r="F1273" s="992" t="str">
        <f>VLOOKUP($B1273,DG!A:D,DG!$C$2,)</f>
        <v>Sứ chằng</v>
      </c>
      <c r="G1273" s="980" t="str">
        <f>VLOOKUP($B1273,DG!A:D,DG!$D$2,)</f>
        <v>cái</v>
      </c>
      <c r="H1273" s="1693">
        <f t="shared" si="249"/>
        <v>0</v>
      </c>
      <c r="I1273" s="1693">
        <f t="shared" si="249"/>
        <v>0</v>
      </c>
      <c r="J1273" s="1693">
        <f t="shared" si="249"/>
        <v>0</v>
      </c>
      <c r="K1273" s="1693">
        <f t="shared" si="249"/>
        <v>0</v>
      </c>
      <c r="L1273" s="1693">
        <f t="shared" si="249"/>
        <v>0</v>
      </c>
      <c r="M1273" s="1693">
        <f t="shared" si="249"/>
        <v>0</v>
      </c>
      <c r="N1273" s="1693">
        <f t="shared" si="249"/>
        <v>0</v>
      </c>
      <c r="O1273" s="1693"/>
      <c r="P1273" s="1693"/>
      <c r="Q1273" s="989"/>
      <c r="R1273" s="989"/>
      <c r="S1273" s="989"/>
      <c r="T1273" s="1862">
        <f t="shared" si="242"/>
        <v>0</v>
      </c>
    </row>
    <row r="1274" spans="1:20" ht="22.2" hidden="1" customHeight="1">
      <c r="A1274" s="1448">
        <f>COUNTIF($C$12:C1274,"x")</f>
        <v>87</v>
      </c>
      <c r="B1274" s="1455" t="s">
        <v>1578</v>
      </c>
      <c r="C1274" s="970" t="str">
        <f t="shared" si="243"/>
        <v xml:space="preserve"> </v>
      </c>
      <c r="D1274" s="1415">
        <v>8</v>
      </c>
      <c r="E1274" s="980"/>
      <c r="F1274" s="992" t="str">
        <f>VLOOKUP($B1274,DG!A:D,DG!$C$2,)</f>
        <v>Kẹp cáp 3 boulon</v>
      </c>
      <c r="G1274" s="980" t="str">
        <f>VLOOKUP($B1274,DG!A:D,DG!$D$2,)</f>
        <v>cái</v>
      </c>
      <c r="H1274" s="1693">
        <f t="shared" si="249"/>
        <v>0</v>
      </c>
      <c r="I1274" s="1693">
        <f t="shared" si="249"/>
        <v>0</v>
      </c>
      <c r="J1274" s="1693">
        <f t="shared" si="249"/>
        <v>0</v>
      </c>
      <c r="K1274" s="1693">
        <f t="shared" si="249"/>
        <v>0</v>
      </c>
      <c r="L1274" s="1693">
        <f t="shared" si="249"/>
        <v>0</v>
      </c>
      <c r="M1274" s="1693">
        <f t="shared" si="249"/>
        <v>0</v>
      </c>
      <c r="N1274" s="1693">
        <f t="shared" si="249"/>
        <v>0</v>
      </c>
      <c r="O1274" s="1693"/>
      <c r="P1274" s="1693"/>
      <c r="Q1274" s="989"/>
      <c r="R1274" s="989"/>
      <c r="S1274" s="989"/>
      <c r="T1274" s="1862">
        <f t="shared" si="242"/>
        <v>0</v>
      </c>
    </row>
    <row r="1275" spans="1:20" ht="22.2" hidden="1" customHeight="1">
      <c r="A1275" s="1448">
        <f>COUNTIF($C$12:C1275,"x")</f>
        <v>87</v>
      </c>
      <c r="B1275" s="1470" t="s">
        <v>1049</v>
      </c>
      <c r="C1275" s="970" t="str">
        <f t="shared" si="243"/>
        <v xml:space="preserve"> </v>
      </c>
      <c r="D1275" s="1415">
        <v>11</v>
      </c>
      <c r="E1275" s="980"/>
      <c r="F1275" s="992" t="str">
        <f>VLOOKUP($B1275,DG!A:D,DG!$C$2,)</f>
        <v>Kẹp hotline 4/0</v>
      </c>
      <c r="G1275" s="980" t="str">
        <f>VLOOKUP($B1275,DG!A:D,DG!$D$2,)</f>
        <v>cái</v>
      </c>
      <c r="H1275" s="1693">
        <f t="shared" si="249"/>
        <v>0</v>
      </c>
      <c r="I1275" s="1693">
        <f t="shared" si="249"/>
        <v>0</v>
      </c>
      <c r="J1275" s="1693">
        <f t="shared" si="249"/>
        <v>0</v>
      </c>
      <c r="K1275" s="1693">
        <f t="shared" si="249"/>
        <v>0</v>
      </c>
      <c r="L1275" s="1693">
        <f t="shared" si="249"/>
        <v>0</v>
      </c>
      <c r="M1275" s="1693">
        <f t="shared" si="249"/>
        <v>0</v>
      </c>
      <c r="N1275" s="1693">
        <f t="shared" si="249"/>
        <v>0</v>
      </c>
      <c r="O1275" s="1693"/>
      <c r="P1275" s="1693"/>
      <c r="Q1275" s="989"/>
      <c r="R1275" s="989"/>
      <c r="S1275" s="989"/>
      <c r="T1275" s="1862">
        <f t="shared" si="242"/>
        <v>0</v>
      </c>
    </row>
    <row r="1276" spans="1:20" ht="22.2" hidden="1" customHeight="1">
      <c r="A1276" s="1448">
        <f>COUNTIF($C$12:C1276,"x")</f>
        <v>87</v>
      </c>
      <c r="B1276" s="1455" t="s">
        <v>607</v>
      </c>
      <c r="C1276" s="970" t="str">
        <f t="shared" si="243"/>
        <v xml:space="preserve"> </v>
      </c>
      <c r="D1276" s="1415">
        <v>1</v>
      </c>
      <c r="E1276" s="980"/>
      <c r="F1276" s="992" t="str">
        <f>VLOOKUP($B1276,DG!A:D,DG!$C$2,)</f>
        <v>Bộ chống chằng hẹp Ø60/50x1500+2BL12x40+BL16x250/80</v>
      </c>
      <c r="G1276" s="980" t="str">
        <f>VLOOKUP($B1276,DG!A:D,DG!$D$2,)</f>
        <v>bộ</v>
      </c>
      <c r="H1276" s="1693">
        <f t="shared" si="249"/>
        <v>0</v>
      </c>
      <c r="I1276" s="1693">
        <f t="shared" si="249"/>
        <v>0</v>
      </c>
      <c r="J1276" s="1693">
        <f t="shared" si="249"/>
        <v>0</v>
      </c>
      <c r="K1276" s="1693">
        <f t="shared" si="249"/>
        <v>0</v>
      </c>
      <c r="L1276" s="1693">
        <f t="shared" si="249"/>
        <v>0</v>
      </c>
      <c r="M1276" s="1693">
        <f t="shared" si="249"/>
        <v>0</v>
      </c>
      <c r="N1276" s="1693">
        <f t="shared" si="249"/>
        <v>0</v>
      </c>
      <c r="O1276" s="1693"/>
      <c r="P1276" s="1693"/>
      <c r="Q1276" s="989"/>
      <c r="R1276" s="989"/>
      <c r="S1276" s="989"/>
      <c r="T1276" s="1862">
        <f t="shared" si="242"/>
        <v>0</v>
      </c>
    </row>
    <row r="1277" spans="1:20" ht="22.2" hidden="1" customHeight="1">
      <c r="A1277" s="1448">
        <f>COUNTIF($C$12:C1277,"x")</f>
        <v>87</v>
      </c>
      <c r="B1277" s="1455" t="s">
        <v>279</v>
      </c>
      <c r="C1277" s="970" t="str">
        <f t="shared" si="243"/>
        <v xml:space="preserve"> </v>
      </c>
      <c r="D1277" s="1415">
        <v>2</v>
      </c>
      <c r="E1277" s="980"/>
      <c r="F1277" s="992" t="str">
        <f>VLOOKUP($B1277,DG!A:D,DG!$C$2,)</f>
        <v>Sắt dẹt 60 x 6</v>
      </c>
      <c r="G1277" s="980" t="str">
        <f>VLOOKUP($B1277,DG!A:D,DG!$D$2,)</f>
        <v>kg</v>
      </c>
      <c r="H1277" s="1693">
        <f t="shared" si="249"/>
        <v>0</v>
      </c>
      <c r="I1277" s="1693">
        <f t="shared" si="249"/>
        <v>0</v>
      </c>
      <c r="J1277" s="1693">
        <f t="shared" si="249"/>
        <v>0</v>
      </c>
      <c r="K1277" s="1693">
        <f t="shared" si="249"/>
        <v>0</v>
      </c>
      <c r="L1277" s="1693">
        <f t="shared" si="249"/>
        <v>0</v>
      </c>
      <c r="M1277" s="1693">
        <f t="shared" si="249"/>
        <v>0</v>
      </c>
      <c r="N1277" s="1693">
        <f t="shared" si="249"/>
        <v>0</v>
      </c>
      <c r="O1277" s="1693"/>
      <c r="P1277" s="1693"/>
      <c r="Q1277" s="989"/>
      <c r="R1277" s="989"/>
      <c r="S1277" s="989"/>
      <c r="T1277" s="1862">
        <f t="shared" si="242"/>
        <v>0</v>
      </c>
    </row>
    <row r="1278" spans="1:20" ht="22.2" hidden="1" customHeight="1">
      <c r="A1278" s="1448">
        <f>COUNTIF($C$12:C1278,"x")</f>
        <v>87</v>
      </c>
      <c r="B1278" s="1455" t="s">
        <v>1371</v>
      </c>
      <c r="C1278" s="970" t="str">
        <f t="shared" si="243"/>
        <v xml:space="preserve"> </v>
      </c>
      <c r="D1278" s="1415">
        <v>1</v>
      </c>
      <c r="E1278" s="980"/>
      <c r="F1278" s="992" t="str">
        <f>VLOOKUP($B1278,DG!A:D,DG!$C$2,)</f>
        <v xml:space="preserve">Móc treo chữ U </v>
      </c>
      <c r="G1278" s="980" t="str">
        <f>VLOOKUP($B1278,DG!A:D,DG!$D$2,)</f>
        <v>cái</v>
      </c>
      <c r="H1278" s="1693">
        <f t="shared" si="249"/>
        <v>0</v>
      </c>
      <c r="I1278" s="1693">
        <f t="shared" si="249"/>
        <v>0</v>
      </c>
      <c r="J1278" s="1693">
        <f t="shared" si="249"/>
        <v>0</v>
      </c>
      <c r="K1278" s="1693">
        <f t="shared" si="249"/>
        <v>0</v>
      </c>
      <c r="L1278" s="1693">
        <f t="shared" si="249"/>
        <v>0</v>
      </c>
      <c r="M1278" s="1693">
        <f t="shared" si="249"/>
        <v>0</v>
      </c>
      <c r="N1278" s="1693">
        <f t="shared" si="249"/>
        <v>0</v>
      </c>
      <c r="O1278" s="1693"/>
      <c r="P1278" s="1693"/>
      <c r="Q1278" s="989"/>
      <c r="R1278" s="989"/>
      <c r="S1278" s="989"/>
      <c r="T1278" s="1862">
        <f t="shared" si="242"/>
        <v>0</v>
      </c>
    </row>
    <row r="1279" spans="1:20" ht="22.2" hidden="1" customHeight="1">
      <c r="A1279" s="1448">
        <f>COUNTIF($C$12:C1279,"x")</f>
        <v>87</v>
      </c>
      <c r="B1279" s="1471" t="s">
        <v>1891</v>
      </c>
      <c r="C1279" s="970" t="str">
        <f t="shared" si="243"/>
        <v xml:space="preserve"> </v>
      </c>
      <c r="D1279" s="1415">
        <v>2</v>
      </c>
      <c r="E1279" s="980"/>
      <c r="F1279" s="992" t="str">
        <f>VLOOKUP($B1279,DG!A:D,DG!$C$2,)</f>
        <v>Boulon 16x100VRS+ 4 long đền vuông D18-50x50x3/Zn</v>
      </c>
      <c r="G1279" s="980" t="str">
        <f>VLOOKUP($B1279,DG!A:D,DG!$D$2,)</f>
        <v>bộ</v>
      </c>
      <c r="H1279" s="1693">
        <f t="shared" si="249"/>
        <v>0</v>
      </c>
      <c r="I1279" s="1693">
        <f t="shared" si="249"/>
        <v>0</v>
      </c>
      <c r="J1279" s="1693">
        <f t="shared" si="249"/>
        <v>0</v>
      </c>
      <c r="K1279" s="1693">
        <f t="shared" si="249"/>
        <v>0</v>
      </c>
      <c r="L1279" s="1693">
        <f t="shared" si="249"/>
        <v>0</v>
      </c>
      <c r="M1279" s="1693">
        <f t="shared" si="249"/>
        <v>0</v>
      </c>
      <c r="N1279" s="1693">
        <f t="shared" si="249"/>
        <v>0</v>
      </c>
      <c r="O1279" s="1693"/>
      <c r="P1279" s="1693"/>
      <c r="Q1279" s="989"/>
      <c r="R1279" s="989"/>
      <c r="S1279" s="989"/>
      <c r="T1279" s="1862">
        <f t="shared" ref="T1279:T1341" si="250">IFERROR(HLOOKUP(B1279,BangKeTru,3,0),0)</f>
        <v>0</v>
      </c>
    </row>
    <row r="1280" spans="1:20" ht="22.2" hidden="1" customHeight="1">
      <c r="A1280" s="1448">
        <f>COUNTIF($C$12:C1280,"x")</f>
        <v>87</v>
      </c>
      <c r="B1280" s="1455" t="s">
        <v>2000</v>
      </c>
      <c r="C1280" s="970" t="str">
        <f t="shared" si="243"/>
        <v xml:space="preserve"> </v>
      </c>
      <c r="D1280" s="1415">
        <v>2</v>
      </c>
      <c r="E1280" s="980"/>
      <c r="F1280" s="992" t="str">
        <f>VLOOKUP($B1280,DG!A:D,DG!$C$2,)</f>
        <v>Yếm cáp dày 2mm</v>
      </c>
      <c r="G1280" s="980" t="str">
        <f>VLOOKUP($B1280,DG!A:D,DG!$D$2,)</f>
        <v>cái</v>
      </c>
      <c r="H1280" s="1693">
        <f t="shared" si="249"/>
        <v>0</v>
      </c>
      <c r="I1280" s="1693">
        <f t="shared" si="249"/>
        <v>0</v>
      </c>
      <c r="J1280" s="1693">
        <f t="shared" si="249"/>
        <v>0</v>
      </c>
      <c r="K1280" s="1693">
        <f t="shared" si="249"/>
        <v>0</v>
      </c>
      <c r="L1280" s="1693">
        <f t="shared" si="249"/>
        <v>0</v>
      </c>
      <c r="M1280" s="1693">
        <f t="shared" si="249"/>
        <v>0</v>
      </c>
      <c r="N1280" s="1693">
        <f t="shared" si="249"/>
        <v>0</v>
      </c>
      <c r="O1280" s="1693"/>
      <c r="P1280" s="1693"/>
      <c r="Q1280" s="989"/>
      <c r="R1280" s="989"/>
      <c r="S1280" s="989"/>
      <c r="T1280" s="1862">
        <f t="shared" si="250"/>
        <v>0</v>
      </c>
    </row>
    <row r="1281" spans="1:20" ht="22.2" hidden="1" customHeight="1">
      <c r="A1281" s="1448">
        <f>COUNTIF($C$12:C1281,"x")</f>
        <v>87</v>
      </c>
      <c r="B1281" s="1455" t="s">
        <v>2001</v>
      </c>
      <c r="C1281" s="970" t="str">
        <f t="shared" si="243"/>
        <v xml:space="preserve"> </v>
      </c>
      <c r="D1281" s="1415">
        <v>1</v>
      </c>
      <c r="E1281" s="980"/>
      <c r="F1281" s="992" t="str">
        <f>VLOOKUP($B1281,DG!A:D,DG!$C$2,)</f>
        <v>Máng che dây chằng dày 1,6mm</v>
      </c>
      <c r="G1281" s="980" t="str">
        <f>VLOOKUP($B1281,DG!A:D,DG!$D$2,)</f>
        <v>cái</v>
      </c>
      <c r="H1281" s="1693">
        <f t="shared" si="249"/>
        <v>0</v>
      </c>
      <c r="I1281" s="1693">
        <f t="shared" si="249"/>
        <v>0</v>
      </c>
      <c r="J1281" s="1693">
        <f t="shared" si="249"/>
        <v>0</v>
      </c>
      <c r="K1281" s="1693">
        <f t="shared" si="249"/>
        <v>0</v>
      </c>
      <c r="L1281" s="1693">
        <f t="shared" si="249"/>
        <v>0</v>
      </c>
      <c r="M1281" s="1693">
        <f t="shared" si="249"/>
        <v>0</v>
      </c>
      <c r="N1281" s="1693">
        <f t="shared" si="249"/>
        <v>0</v>
      </c>
      <c r="O1281" s="1693"/>
      <c r="P1281" s="1693"/>
      <c r="Q1281" s="989"/>
      <c r="R1281" s="989"/>
      <c r="S1281" s="989"/>
      <c r="T1281" s="1862">
        <f t="shared" si="250"/>
        <v>0</v>
      </c>
    </row>
    <row r="1282" spans="1:20" ht="22.2" hidden="1" customHeight="1">
      <c r="A1282" s="1448">
        <f>COUNTIF($C$12:C1282,"x")</f>
        <v>87</v>
      </c>
      <c r="B1282" s="1455" t="s">
        <v>1918</v>
      </c>
      <c r="C1282" s="970" t="str">
        <f t="shared" si="243"/>
        <v xml:space="preserve"> </v>
      </c>
      <c r="D1282" s="1415">
        <v>1</v>
      </c>
      <c r="E1282" s="980" t="str">
        <f>VLOOKUP($B1282,DG!A:D,DG!$B$2,)</f>
        <v>06.3241</v>
      </c>
      <c r="F1282" s="985" t="str">
        <f>VLOOKUP($B1282,DG!A:D,DG!$C$2,)</f>
        <v>Lắp bộ dây néo</v>
      </c>
      <c r="G1282" s="980" t="str">
        <f>VLOOKUP($B1282,DG!A:D,DG!$D$2,)</f>
        <v>bộ</v>
      </c>
      <c r="H1282" s="1693"/>
      <c r="I1282" s="1693"/>
      <c r="J1282" s="1693"/>
      <c r="K1282" s="1693"/>
      <c r="L1282" s="1693"/>
      <c r="M1282" s="1693"/>
      <c r="N1282" s="1693"/>
      <c r="O1282" s="1693"/>
      <c r="P1282" s="1693"/>
      <c r="Q1282" s="994"/>
      <c r="R1282" s="994"/>
      <c r="S1282" s="994"/>
      <c r="T1282" s="1862">
        <f t="shared" si="250"/>
        <v>0</v>
      </c>
    </row>
    <row r="1283" spans="1:20" ht="22.2" hidden="1" customHeight="1">
      <c r="A1283" s="1448">
        <f>COUNTIF($C$12:C1283,"x")</f>
        <v>87</v>
      </c>
      <c r="B1283" s="1455" t="s">
        <v>681</v>
      </c>
      <c r="C1283" s="970" t="str">
        <f t="shared" si="243"/>
        <v xml:space="preserve"> </v>
      </c>
      <c r="D1283" s="1415">
        <v>1</v>
      </c>
      <c r="E1283" s="980" t="str">
        <f>VLOOKUP($B1283,DG!A:D,DG!$B$2,)</f>
        <v>06.2110</v>
      </c>
      <c r="F1283" s="985" t="str">
        <f>VLOOKUP($B1283,DG!A:D,DG!$C$2,)</f>
        <v>Lắp cổ dê</v>
      </c>
      <c r="G1283" s="980" t="str">
        <f>VLOOKUP($B1283,DG!A:D,DG!$D$2,)</f>
        <v>cái</v>
      </c>
      <c r="H1283" s="1693"/>
      <c r="I1283" s="1693"/>
      <c r="J1283" s="1693"/>
      <c r="K1283" s="1693"/>
      <c r="L1283" s="1693"/>
      <c r="M1283" s="1693"/>
      <c r="N1283" s="1693"/>
      <c r="O1283" s="1693"/>
      <c r="P1283" s="1693"/>
      <c r="Q1283" s="994"/>
      <c r="R1283" s="994"/>
      <c r="S1283" s="994"/>
      <c r="T1283" s="1862">
        <f t="shared" si="250"/>
        <v>0</v>
      </c>
    </row>
    <row r="1284" spans="1:20" ht="22.2" hidden="1" customHeight="1">
      <c r="A1284" s="1448">
        <f>COUNTIF($C$12:C1284,"x")</f>
        <v>87</v>
      </c>
      <c r="B1284" s="1455" t="s">
        <v>1906</v>
      </c>
      <c r="C1284" s="970" t="str">
        <f t="shared" si="243"/>
        <v xml:space="preserve"> </v>
      </c>
      <c r="D1284" s="1415">
        <v>1</v>
      </c>
      <c r="E1284" s="980" t="str">
        <f>VLOOKUP($B1284,DG!A:D,DG!$B$2,)</f>
        <v>05.6011</v>
      </c>
      <c r="F1284" s="985" t="str">
        <f>VLOOKUP($B1284,DG!A:D,DG!$C$2,)</f>
        <v>Lắp bộ chống lệch</v>
      </c>
      <c r="G1284" s="980" t="str">
        <f>VLOOKUP($B1284,DG!A:D,DG!$D$2,)</f>
        <v>bộ</v>
      </c>
      <c r="H1284" s="1693"/>
      <c r="I1284" s="1693"/>
      <c r="J1284" s="1693"/>
      <c r="K1284" s="1693"/>
      <c r="L1284" s="1693"/>
      <c r="M1284" s="1693"/>
      <c r="N1284" s="1693"/>
      <c r="O1284" s="1693"/>
      <c r="P1284" s="1693"/>
      <c r="Q1284" s="994"/>
      <c r="R1284" s="994"/>
      <c r="S1284" s="994"/>
      <c r="T1284" s="1862">
        <f t="shared" si="250"/>
        <v>0</v>
      </c>
    </row>
    <row r="1285" spans="1:20" ht="22.2" hidden="1" customHeight="1">
      <c r="A1285" s="1448">
        <f>COUNTIF($C$12:C1285,"x")</f>
        <v>87</v>
      </c>
      <c r="B1285" s="1464" t="s">
        <v>356</v>
      </c>
      <c r="C1285" s="970" t="str">
        <f t="shared" si="243"/>
        <v xml:space="preserve"> </v>
      </c>
      <c r="D1285" s="1414">
        <v>0.02</v>
      </c>
      <c r="E1285" s="980" t="str">
        <f>VLOOKUP($B1285,DG!A:C,2,)</f>
        <v>02.1421</v>
      </c>
      <c r="F1285" s="985" t="str">
        <f>VLOOKUP($B1285,DG!A:C,3,)</f>
        <v>V/c phụ kiện vào vị trí (cự ly &lt;=100m)</v>
      </c>
      <c r="G1285" s="980" t="str">
        <f>VLOOKUP($B1285,DG!A:D,4,0)</f>
        <v>tấn</v>
      </c>
      <c r="H1285" s="1693"/>
      <c r="I1285" s="1693"/>
      <c r="J1285" s="1693"/>
      <c r="K1285" s="1693"/>
      <c r="L1285" s="1693"/>
      <c r="M1285" s="1693"/>
      <c r="N1285" s="1693"/>
      <c r="O1285" s="1693"/>
      <c r="P1285" s="1693"/>
      <c r="Q1285" s="994"/>
      <c r="R1285" s="994"/>
      <c r="S1285" s="994"/>
      <c r="T1285" s="1862">
        <f t="shared" si="250"/>
        <v>0</v>
      </c>
    </row>
    <row r="1286" spans="1:20" ht="22.2" hidden="1" customHeight="1">
      <c r="A1286" s="1448">
        <f>COUNTIF($C$12:C1286,"x")</f>
        <v>87</v>
      </c>
      <c r="B1286" s="1452" t="s">
        <v>1085</v>
      </c>
      <c r="C1286" s="970" t="str">
        <f t="shared" si="243"/>
        <v xml:space="preserve"> </v>
      </c>
      <c r="D1286" s="1412"/>
      <c r="E1286" s="981"/>
      <c r="F1286" s="1276" t="s">
        <v>2479</v>
      </c>
      <c r="G1286" s="982" t="s">
        <v>2385</v>
      </c>
      <c r="H1286" s="1691">
        <f>SUM(I1286:O1286)</f>
        <v>0</v>
      </c>
      <c r="I1286" s="1692"/>
      <c r="J1286" s="1692"/>
      <c r="K1286" s="1692">
        <f>IFERROR(HLOOKUP(B1286,pp3p1m!$1:$3,2,0),0)</f>
        <v>0</v>
      </c>
      <c r="L1286" s="1692">
        <f>IFERROR(HLOOKUP(chitiet!B1286,pp1p!$1:$3,3,0),0)</f>
        <v>0</v>
      </c>
      <c r="M1286" s="1692"/>
      <c r="N1286" s="1692"/>
      <c r="O1286" s="1692"/>
      <c r="P1286" s="2674">
        <f>T1286</f>
        <v>0</v>
      </c>
      <c r="Q1286" s="983">
        <f>IF(P1286&gt;H1286,P1286-H1286,0)</f>
        <v>0</v>
      </c>
      <c r="R1286" s="983">
        <f>IF(H1286&gt;P1286,H1286-P1286,0)</f>
        <v>0</v>
      </c>
      <c r="S1286" s="983"/>
      <c r="T1286" s="1862">
        <f>IFERROR(HLOOKUP(B1286,pp1p!$1:$3,3,0),0)+IFERROR(HLOOKUP(B1286,pp3p1m!$1:$3,3,0),0)</f>
        <v>0</v>
      </c>
    </row>
    <row r="1287" spans="1:20" ht="22.2" hidden="1" customHeight="1">
      <c r="A1287" s="1448">
        <f>COUNTIF($C$12:C1287,"x")</f>
        <v>87</v>
      </c>
      <c r="B1287" s="1455" t="s">
        <v>669</v>
      </c>
      <c r="C1287" s="970" t="str">
        <f t="shared" ref="C1287:C1350" si="251">IF(OR(P1287&lt;&gt;0,H1287&lt;&gt;0),"x"," ")</f>
        <v xml:space="preserve"> </v>
      </c>
      <c r="D1287" s="1415">
        <v>1</v>
      </c>
      <c r="E1287" s="980"/>
      <c r="F1287" s="992" t="str">
        <f>VLOOKUP($B1287,DG!A:D,DG!$C$2,)&amp;"-Fe8x100 nhuùng keõm"</f>
        <v>Cổ dê Ø 195 nẹp trụ-Fe8x100 nhuùng keõm</v>
      </c>
      <c r="G1287" s="980" t="str">
        <f>VLOOKUP($B1287,DG!A:D,DG!$D$2,)</f>
        <v>bộ</v>
      </c>
      <c r="H1287" s="1693">
        <f t="shared" ref="H1287:N1287" si="252">H$1286*$D1287</f>
        <v>0</v>
      </c>
      <c r="I1287" s="1693">
        <f t="shared" si="252"/>
        <v>0</v>
      </c>
      <c r="J1287" s="1693">
        <f t="shared" si="252"/>
        <v>0</v>
      </c>
      <c r="K1287" s="1693">
        <f t="shared" si="252"/>
        <v>0</v>
      </c>
      <c r="L1287" s="1693">
        <f t="shared" si="252"/>
        <v>0</v>
      </c>
      <c r="M1287" s="1693">
        <f t="shared" si="252"/>
        <v>0</v>
      </c>
      <c r="N1287" s="1693">
        <f t="shared" si="252"/>
        <v>0</v>
      </c>
      <c r="O1287" s="1693"/>
      <c r="P1287" s="1693"/>
      <c r="Q1287" s="989"/>
      <c r="R1287" s="989"/>
      <c r="S1287" s="989"/>
      <c r="T1287" s="1862">
        <f t="shared" si="250"/>
        <v>0</v>
      </c>
    </row>
    <row r="1288" spans="1:20" ht="22.2" hidden="1" customHeight="1">
      <c r="A1288" s="1448">
        <f>COUNTIF($C$12:C1288,"x")</f>
        <v>87</v>
      </c>
      <c r="B1288" s="1455" t="s">
        <v>1466</v>
      </c>
      <c r="C1288" s="970" t="str">
        <f t="shared" si="251"/>
        <v xml:space="preserve"> </v>
      </c>
      <c r="D1288" s="1415">
        <v>1</v>
      </c>
      <c r="E1288" s="980"/>
      <c r="F1288" s="992" t="str">
        <f>VLOOKUP($B1288,DG!A:D,DG!$C$2,)&amp;"-Fe8x100 nhuùng keõm"</f>
        <v>Cổ dê Ø 220 nẹp trụ-Fe8x100 nhuùng keõm</v>
      </c>
      <c r="G1288" s="980" t="str">
        <f>VLOOKUP($B1288,DG!A:D,DG!$D$2,)</f>
        <v>bộ</v>
      </c>
      <c r="H1288" s="1693">
        <f t="shared" ref="H1288:N1288" si="253">H$1371*$D1288</f>
        <v>0</v>
      </c>
      <c r="I1288" s="1693">
        <f t="shared" si="253"/>
        <v>0</v>
      </c>
      <c r="J1288" s="1693">
        <f t="shared" si="253"/>
        <v>0</v>
      </c>
      <c r="K1288" s="1693">
        <f t="shared" si="253"/>
        <v>0</v>
      </c>
      <c r="L1288" s="1693">
        <f t="shared" si="253"/>
        <v>0</v>
      </c>
      <c r="M1288" s="1693">
        <f t="shared" si="253"/>
        <v>0</v>
      </c>
      <c r="N1288" s="1693">
        <f t="shared" si="253"/>
        <v>0</v>
      </c>
      <c r="O1288" s="1693"/>
      <c r="P1288" s="1693"/>
      <c r="Q1288" s="989"/>
      <c r="R1288" s="989"/>
      <c r="S1288" s="989"/>
      <c r="T1288" s="1862">
        <f t="shared" si="250"/>
        <v>0</v>
      </c>
    </row>
    <row r="1289" spans="1:20" ht="22.2" hidden="1" customHeight="1">
      <c r="A1289" s="1448">
        <f>COUNTIF($C$12:C1289,"x")</f>
        <v>87</v>
      </c>
      <c r="B1289" s="1455" t="s">
        <v>111</v>
      </c>
      <c r="C1289" s="970" t="str">
        <f t="shared" si="251"/>
        <v xml:space="preserve"> </v>
      </c>
      <c r="D1289" s="1415">
        <v>2</v>
      </c>
      <c r="E1289" s="980"/>
      <c r="F1289" s="992" t="str">
        <f>VLOOKUP($B1289,DG!A:D,DG!$C$2,)</f>
        <v>Sứ chằng</v>
      </c>
      <c r="G1289" s="980" t="str">
        <f>VLOOKUP($B1289,DG!A:D,DG!$D$2,)</f>
        <v>cái</v>
      </c>
      <c r="H1289" s="1693">
        <f t="shared" ref="H1289:N1296" si="254">H$1286*$D1289</f>
        <v>0</v>
      </c>
      <c r="I1289" s="1693">
        <f t="shared" si="254"/>
        <v>0</v>
      </c>
      <c r="J1289" s="1693">
        <f t="shared" si="254"/>
        <v>0</v>
      </c>
      <c r="K1289" s="1693">
        <f t="shared" si="254"/>
        <v>0</v>
      </c>
      <c r="L1289" s="1693">
        <f t="shared" si="254"/>
        <v>0</v>
      </c>
      <c r="M1289" s="1693">
        <f t="shared" si="254"/>
        <v>0</v>
      </c>
      <c r="N1289" s="1693">
        <f t="shared" si="254"/>
        <v>0</v>
      </c>
      <c r="O1289" s="1693"/>
      <c r="P1289" s="1693"/>
      <c r="Q1289" s="989"/>
      <c r="R1289" s="989"/>
      <c r="S1289" s="989"/>
      <c r="T1289" s="1862">
        <f t="shared" si="250"/>
        <v>0</v>
      </c>
    </row>
    <row r="1290" spans="1:20" ht="22.2" hidden="1" customHeight="1">
      <c r="A1290" s="1448">
        <f>COUNTIF($C$12:C1290,"x")</f>
        <v>87</v>
      </c>
      <c r="B1290" s="1455" t="s">
        <v>1578</v>
      </c>
      <c r="C1290" s="970" t="str">
        <f t="shared" si="251"/>
        <v xml:space="preserve"> </v>
      </c>
      <c r="D1290" s="1415">
        <v>16</v>
      </c>
      <c r="E1290" s="980"/>
      <c r="F1290" s="992" t="str">
        <f>VLOOKUP($B1290,DG!A:D,DG!$C$2,)</f>
        <v>Kẹp cáp 3 boulon</v>
      </c>
      <c r="G1290" s="980" t="str">
        <f>VLOOKUP($B1290,DG!A:D,DG!$D$2,)</f>
        <v>cái</v>
      </c>
      <c r="H1290" s="1693">
        <f t="shared" si="254"/>
        <v>0</v>
      </c>
      <c r="I1290" s="1693">
        <f t="shared" si="254"/>
        <v>0</v>
      </c>
      <c r="J1290" s="1693">
        <f t="shared" si="254"/>
        <v>0</v>
      </c>
      <c r="K1290" s="1693">
        <f t="shared" si="254"/>
        <v>0</v>
      </c>
      <c r="L1290" s="1693">
        <f t="shared" si="254"/>
        <v>0</v>
      </c>
      <c r="M1290" s="1693">
        <f t="shared" si="254"/>
        <v>0</v>
      </c>
      <c r="N1290" s="1693">
        <f t="shared" si="254"/>
        <v>0</v>
      </c>
      <c r="O1290" s="1693"/>
      <c r="P1290" s="1693"/>
      <c r="Q1290" s="989"/>
      <c r="R1290" s="989"/>
      <c r="S1290" s="989"/>
      <c r="T1290" s="1862">
        <f t="shared" si="250"/>
        <v>0</v>
      </c>
    </row>
    <row r="1291" spans="1:20" ht="22.2" hidden="1" customHeight="1">
      <c r="A1291" s="1448">
        <f>COUNTIF($C$12:C1291,"x")</f>
        <v>87</v>
      </c>
      <c r="B1291" s="1470" t="s">
        <v>1049</v>
      </c>
      <c r="C1291" s="970" t="str">
        <f t="shared" si="251"/>
        <v xml:space="preserve"> </v>
      </c>
      <c r="D1291" s="1415">
        <v>26</v>
      </c>
      <c r="E1291" s="980"/>
      <c r="F1291" s="992" t="str">
        <f>VLOOKUP($B1291,DG!A:D,DG!$C$2,)</f>
        <v>Kẹp hotline 4/0</v>
      </c>
      <c r="G1291" s="980" t="str">
        <f>VLOOKUP($B1291,DG!A:D,DG!$D$2,)</f>
        <v>cái</v>
      </c>
      <c r="H1291" s="1693">
        <f t="shared" si="254"/>
        <v>0</v>
      </c>
      <c r="I1291" s="1693">
        <f t="shared" si="254"/>
        <v>0</v>
      </c>
      <c r="J1291" s="1693">
        <f t="shared" si="254"/>
        <v>0</v>
      </c>
      <c r="K1291" s="1693">
        <f t="shared" si="254"/>
        <v>0</v>
      </c>
      <c r="L1291" s="1693">
        <f t="shared" si="254"/>
        <v>0</v>
      </c>
      <c r="M1291" s="1693">
        <f t="shared" si="254"/>
        <v>0</v>
      </c>
      <c r="N1291" s="1693">
        <f t="shared" si="254"/>
        <v>0</v>
      </c>
      <c r="O1291" s="1693"/>
      <c r="P1291" s="1693"/>
      <c r="Q1291" s="989"/>
      <c r="R1291" s="989"/>
      <c r="S1291" s="989"/>
      <c r="T1291" s="1862">
        <f t="shared" si="250"/>
        <v>0</v>
      </c>
    </row>
    <row r="1292" spans="1:20" ht="22.2" hidden="1" customHeight="1">
      <c r="A1292" s="1448">
        <f>COUNTIF($C$12:C1292,"x")</f>
        <v>87</v>
      </c>
      <c r="B1292" s="1455" t="s">
        <v>279</v>
      </c>
      <c r="C1292" s="970" t="str">
        <f t="shared" si="251"/>
        <v xml:space="preserve"> </v>
      </c>
      <c r="D1292" s="1415">
        <v>4</v>
      </c>
      <c r="E1292" s="980"/>
      <c r="F1292" s="992" t="str">
        <f>VLOOKUP($B1292,DG!A:D,DG!$C$2,)</f>
        <v>Sắt dẹt 60 x 6</v>
      </c>
      <c r="G1292" s="980" t="str">
        <f>VLOOKUP($B1292,DG!A:D,DG!$D$2,)</f>
        <v>kg</v>
      </c>
      <c r="H1292" s="1693">
        <f t="shared" si="254"/>
        <v>0</v>
      </c>
      <c r="I1292" s="1693">
        <f t="shared" si="254"/>
        <v>0</v>
      </c>
      <c r="J1292" s="1693">
        <f t="shared" si="254"/>
        <v>0</v>
      </c>
      <c r="K1292" s="1693">
        <f t="shared" si="254"/>
        <v>0</v>
      </c>
      <c r="L1292" s="1693">
        <f t="shared" si="254"/>
        <v>0</v>
      </c>
      <c r="M1292" s="1693">
        <f t="shared" si="254"/>
        <v>0</v>
      </c>
      <c r="N1292" s="1693">
        <f t="shared" si="254"/>
        <v>0</v>
      </c>
      <c r="O1292" s="1693"/>
      <c r="P1292" s="1693"/>
      <c r="Q1292" s="989"/>
      <c r="R1292" s="989"/>
      <c r="S1292" s="989"/>
      <c r="T1292" s="1862">
        <f t="shared" si="250"/>
        <v>0</v>
      </c>
    </row>
    <row r="1293" spans="1:20" ht="22.2" hidden="1" customHeight="1">
      <c r="A1293" s="1448">
        <f>COUNTIF($C$12:C1293,"x")</f>
        <v>87</v>
      </c>
      <c r="B1293" s="1455" t="s">
        <v>1371</v>
      </c>
      <c r="C1293" s="970" t="str">
        <f t="shared" si="251"/>
        <v xml:space="preserve"> </v>
      </c>
      <c r="D1293" s="1415">
        <v>2</v>
      </c>
      <c r="E1293" s="980"/>
      <c r="F1293" s="992" t="str">
        <f>VLOOKUP($B1293,DG!A:D,DG!$C$2,)</f>
        <v xml:space="preserve">Móc treo chữ U </v>
      </c>
      <c r="G1293" s="980" t="str">
        <f>VLOOKUP($B1293,DG!A:D,DG!$D$2,)</f>
        <v>cái</v>
      </c>
      <c r="H1293" s="1693">
        <f t="shared" si="254"/>
        <v>0</v>
      </c>
      <c r="I1293" s="1693">
        <f t="shared" si="254"/>
        <v>0</v>
      </c>
      <c r="J1293" s="1693">
        <f t="shared" si="254"/>
        <v>0</v>
      </c>
      <c r="K1293" s="1693">
        <f t="shared" si="254"/>
        <v>0</v>
      </c>
      <c r="L1293" s="1693">
        <f t="shared" si="254"/>
        <v>0</v>
      </c>
      <c r="M1293" s="1693">
        <f t="shared" si="254"/>
        <v>0</v>
      </c>
      <c r="N1293" s="1693">
        <f t="shared" si="254"/>
        <v>0</v>
      </c>
      <c r="O1293" s="1693"/>
      <c r="P1293" s="1693"/>
      <c r="Q1293" s="989"/>
      <c r="R1293" s="989"/>
      <c r="S1293" s="989"/>
      <c r="T1293" s="1862">
        <f t="shared" si="250"/>
        <v>0</v>
      </c>
    </row>
    <row r="1294" spans="1:20" ht="22.2" hidden="1" customHeight="1">
      <c r="A1294" s="1448">
        <f>COUNTIF($C$12:C1294,"x")</f>
        <v>87</v>
      </c>
      <c r="B1294" s="1471" t="s">
        <v>1891</v>
      </c>
      <c r="C1294" s="970" t="str">
        <f t="shared" si="251"/>
        <v xml:space="preserve"> </v>
      </c>
      <c r="D1294" s="1415">
        <v>4</v>
      </c>
      <c r="E1294" s="980"/>
      <c r="F1294" s="992" t="str">
        <f>VLOOKUP($B1294,DG!A:D,DG!$C$2,)</f>
        <v>Boulon 16x100VRS+ 4 long đền vuông D18-50x50x3/Zn</v>
      </c>
      <c r="G1294" s="980" t="str">
        <f>VLOOKUP($B1294,DG!A:D,DG!$D$2,)</f>
        <v>bộ</v>
      </c>
      <c r="H1294" s="1693">
        <f t="shared" si="254"/>
        <v>0</v>
      </c>
      <c r="I1294" s="1693">
        <f t="shared" si="254"/>
        <v>0</v>
      </c>
      <c r="J1294" s="1693">
        <f t="shared" si="254"/>
        <v>0</v>
      </c>
      <c r="K1294" s="1693">
        <f t="shared" si="254"/>
        <v>0</v>
      </c>
      <c r="L1294" s="1693">
        <f t="shared" si="254"/>
        <v>0</v>
      </c>
      <c r="M1294" s="1693">
        <f t="shared" si="254"/>
        <v>0</v>
      </c>
      <c r="N1294" s="1693">
        <f t="shared" si="254"/>
        <v>0</v>
      </c>
      <c r="O1294" s="1693"/>
      <c r="P1294" s="1693"/>
      <c r="Q1294" s="989"/>
      <c r="R1294" s="989"/>
      <c r="S1294" s="989"/>
      <c r="T1294" s="1862">
        <f t="shared" si="250"/>
        <v>0</v>
      </c>
    </row>
    <row r="1295" spans="1:20" ht="22.2" hidden="1" customHeight="1">
      <c r="A1295" s="1448">
        <f>COUNTIF($C$12:C1295,"x")</f>
        <v>87</v>
      </c>
      <c r="B1295" s="1455" t="s">
        <v>2000</v>
      </c>
      <c r="C1295" s="970" t="str">
        <f t="shared" si="251"/>
        <v xml:space="preserve"> </v>
      </c>
      <c r="D1295" s="1415">
        <v>4</v>
      </c>
      <c r="E1295" s="980"/>
      <c r="F1295" s="992" t="str">
        <f>VLOOKUP($B1295,DG!A:D,DG!$C$2,)</f>
        <v>Yếm cáp dày 2mm</v>
      </c>
      <c r="G1295" s="980" t="str">
        <f>VLOOKUP($B1295,DG!A:D,DG!$D$2,)</f>
        <v>cái</v>
      </c>
      <c r="H1295" s="1693">
        <f t="shared" si="254"/>
        <v>0</v>
      </c>
      <c r="I1295" s="1693">
        <f t="shared" si="254"/>
        <v>0</v>
      </c>
      <c r="J1295" s="1693">
        <f t="shared" si="254"/>
        <v>0</v>
      </c>
      <c r="K1295" s="1693">
        <f t="shared" si="254"/>
        <v>0</v>
      </c>
      <c r="L1295" s="1693">
        <f t="shared" si="254"/>
        <v>0</v>
      </c>
      <c r="M1295" s="1693">
        <f t="shared" si="254"/>
        <v>0</v>
      </c>
      <c r="N1295" s="1693">
        <f t="shared" si="254"/>
        <v>0</v>
      </c>
      <c r="O1295" s="1693"/>
      <c r="P1295" s="1693"/>
      <c r="Q1295" s="989"/>
      <c r="R1295" s="989"/>
      <c r="S1295" s="989"/>
      <c r="T1295" s="1862">
        <f t="shared" si="250"/>
        <v>0</v>
      </c>
    </row>
    <row r="1296" spans="1:20" ht="22.2" hidden="1" customHeight="1">
      <c r="A1296" s="1448">
        <f>COUNTIF($C$12:C1296,"x")</f>
        <v>87</v>
      </c>
      <c r="B1296" s="1455" t="s">
        <v>2001</v>
      </c>
      <c r="C1296" s="970" t="str">
        <f t="shared" si="251"/>
        <v xml:space="preserve"> </v>
      </c>
      <c r="D1296" s="1415">
        <v>2</v>
      </c>
      <c r="E1296" s="980"/>
      <c r="F1296" s="992" t="str">
        <f>VLOOKUP($B1296,DG!A:D,DG!$C$2,)</f>
        <v>Máng che dây chằng dày 1,6mm</v>
      </c>
      <c r="G1296" s="980" t="str">
        <f>VLOOKUP($B1296,DG!A:D,DG!$D$2,)</f>
        <v>cái</v>
      </c>
      <c r="H1296" s="1693">
        <f t="shared" si="254"/>
        <v>0</v>
      </c>
      <c r="I1296" s="1693">
        <f t="shared" si="254"/>
        <v>0</v>
      </c>
      <c r="J1296" s="1693">
        <f t="shared" si="254"/>
        <v>0</v>
      </c>
      <c r="K1296" s="1693">
        <f t="shared" si="254"/>
        <v>0</v>
      </c>
      <c r="L1296" s="1693">
        <f t="shared" si="254"/>
        <v>0</v>
      </c>
      <c r="M1296" s="1693">
        <f t="shared" si="254"/>
        <v>0</v>
      </c>
      <c r="N1296" s="1693">
        <f t="shared" si="254"/>
        <v>0</v>
      </c>
      <c r="O1296" s="1693"/>
      <c r="P1296" s="1693"/>
      <c r="Q1296" s="989"/>
      <c r="R1296" s="989"/>
      <c r="S1296" s="989"/>
      <c r="T1296" s="1862">
        <f t="shared" si="250"/>
        <v>0</v>
      </c>
    </row>
    <row r="1297" spans="1:20" ht="22.2" hidden="1" customHeight="1">
      <c r="A1297" s="1448">
        <f>COUNTIF($C$12:C1297,"x")</f>
        <v>87</v>
      </c>
      <c r="B1297" s="1455" t="s">
        <v>1918</v>
      </c>
      <c r="C1297" s="970" t="str">
        <f t="shared" si="251"/>
        <v xml:space="preserve"> </v>
      </c>
      <c r="D1297" s="1415">
        <v>2</v>
      </c>
      <c r="E1297" s="980" t="str">
        <f>VLOOKUP($B1297,DG!A:D,DG!$B$2,)</f>
        <v>06.3241</v>
      </c>
      <c r="F1297" s="985" t="str">
        <f>VLOOKUP($B1297,DG!A:D,DG!$C$2,)</f>
        <v>Lắp bộ dây néo</v>
      </c>
      <c r="G1297" s="980" t="str">
        <f>VLOOKUP($B1297,DG!A:D,DG!$D$2,)</f>
        <v>bộ</v>
      </c>
      <c r="H1297" s="1693"/>
      <c r="I1297" s="1693"/>
      <c r="J1297" s="1693"/>
      <c r="K1297" s="1693"/>
      <c r="L1297" s="1693"/>
      <c r="M1297" s="1693"/>
      <c r="N1297" s="1693"/>
      <c r="O1297" s="1693"/>
      <c r="P1297" s="1693"/>
      <c r="Q1297" s="994"/>
      <c r="R1297" s="994"/>
      <c r="S1297" s="994"/>
      <c r="T1297" s="1862">
        <f t="shared" si="250"/>
        <v>0</v>
      </c>
    </row>
    <row r="1298" spans="1:20" ht="22.2" hidden="1" customHeight="1">
      <c r="A1298" s="1448">
        <f>COUNTIF($C$12:C1298,"x")</f>
        <v>87</v>
      </c>
      <c r="B1298" s="1455" t="s">
        <v>681</v>
      </c>
      <c r="C1298" s="970" t="str">
        <f t="shared" si="251"/>
        <v xml:space="preserve"> </v>
      </c>
      <c r="D1298" s="1415">
        <v>2</v>
      </c>
      <c r="E1298" s="980" t="str">
        <f>VLOOKUP($B1298,DG!A:D,DG!$B$2,)</f>
        <v>06.2110</v>
      </c>
      <c r="F1298" s="985" t="str">
        <f>VLOOKUP($B1298,DG!A:D,DG!$C$2,)</f>
        <v>Lắp cổ dê</v>
      </c>
      <c r="G1298" s="980" t="str">
        <f>VLOOKUP($B1298,DG!A:D,DG!$D$2,)</f>
        <v>cái</v>
      </c>
      <c r="H1298" s="1693"/>
      <c r="I1298" s="1693"/>
      <c r="J1298" s="1693"/>
      <c r="K1298" s="1693"/>
      <c r="L1298" s="1693"/>
      <c r="M1298" s="1693"/>
      <c r="N1298" s="1693"/>
      <c r="O1298" s="1693"/>
      <c r="P1298" s="1693"/>
      <c r="Q1298" s="994"/>
      <c r="R1298" s="994"/>
      <c r="S1298" s="994"/>
      <c r="T1298" s="1862">
        <f t="shared" si="250"/>
        <v>0</v>
      </c>
    </row>
    <row r="1299" spans="1:20" ht="22.2" hidden="1" customHeight="1">
      <c r="A1299" s="1448">
        <f>COUNTIF($C$12:C1299,"x")</f>
        <v>87</v>
      </c>
      <c r="B1299" s="1464" t="s">
        <v>356</v>
      </c>
      <c r="C1299" s="970" t="str">
        <f t="shared" si="251"/>
        <v xml:space="preserve"> </v>
      </c>
      <c r="D1299" s="1414">
        <v>0.02</v>
      </c>
      <c r="E1299" s="980" t="str">
        <f>VLOOKUP($B1299,DG!A:C,2,)</f>
        <v>02.1421</v>
      </c>
      <c r="F1299" s="985" t="str">
        <f>VLOOKUP($B1299,DG!A:C,3,)</f>
        <v>V/c phụ kiện vào vị trí (cự ly &lt;=100m)</v>
      </c>
      <c r="G1299" s="980" t="str">
        <f>VLOOKUP($B1299,DG!A:D,4,0)</f>
        <v>tấn</v>
      </c>
      <c r="H1299" s="1693"/>
      <c r="I1299" s="1693"/>
      <c r="J1299" s="1693"/>
      <c r="K1299" s="1693"/>
      <c r="L1299" s="1693"/>
      <c r="M1299" s="1693"/>
      <c r="N1299" s="1693"/>
      <c r="O1299" s="1693"/>
      <c r="P1299" s="1693"/>
      <c r="Q1299" s="994"/>
      <c r="R1299" s="994"/>
      <c r="S1299" s="994"/>
      <c r="T1299" s="1862">
        <f t="shared" si="250"/>
        <v>0</v>
      </c>
    </row>
    <row r="1300" spans="1:20" ht="22.2" hidden="1" customHeight="1">
      <c r="A1300" s="1448">
        <f>COUNTIF($C$12:C1300,"x")</f>
        <v>87</v>
      </c>
      <c r="B1300" s="1452" t="s">
        <v>1086</v>
      </c>
      <c r="C1300" s="970" t="str">
        <f t="shared" si="251"/>
        <v xml:space="preserve"> </v>
      </c>
      <c r="D1300" s="1412"/>
      <c r="E1300" s="981"/>
      <c r="F1300" s="1276" t="s">
        <v>2480</v>
      </c>
      <c r="G1300" s="982" t="s">
        <v>2385</v>
      </c>
      <c r="H1300" s="1691">
        <f>SUM(I1300:O1300)</f>
        <v>0</v>
      </c>
      <c r="I1300" s="1692"/>
      <c r="J1300" s="1692"/>
      <c r="K1300" s="1692">
        <f>IFERROR(HLOOKUP(B1300,pp3p1m!$1:$3,2,0),0)</f>
        <v>0</v>
      </c>
      <c r="L1300" s="1692">
        <f>IFERROR(HLOOKUP(chitiet!B1300,pp1p!$1:$3,3,0),0)</f>
        <v>0</v>
      </c>
      <c r="M1300" s="1692"/>
      <c r="N1300" s="1692"/>
      <c r="O1300" s="1692"/>
      <c r="P1300" s="2674">
        <f>T1300</f>
        <v>0</v>
      </c>
      <c r="Q1300" s="983">
        <f>IF(P1300&gt;H1300,P1300-H1300,0)</f>
        <v>0</v>
      </c>
      <c r="R1300" s="983">
        <f>IF(H1300&gt;P1300,H1300-P1300,0)</f>
        <v>0</v>
      </c>
      <c r="S1300" s="983"/>
      <c r="T1300" s="1862">
        <f>IFERROR(HLOOKUP(B1300,pp1p!$1:$3,3,0),0)+IFERROR(HLOOKUP(B1300,pp3p1m!$1:$3,3,0),0)</f>
        <v>0</v>
      </c>
    </row>
    <row r="1301" spans="1:20" ht="22.2" hidden="1" customHeight="1">
      <c r="A1301" s="1448">
        <f>COUNTIF($C$12:C1301,"x")</f>
        <v>87</v>
      </c>
      <c r="B1301" s="1455" t="s">
        <v>669</v>
      </c>
      <c r="C1301" s="970" t="str">
        <f t="shared" si="251"/>
        <v xml:space="preserve"> </v>
      </c>
      <c r="D1301" s="1415">
        <v>1</v>
      </c>
      <c r="E1301" s="980"/>
      <c r="F1301" s="992" t="str">
        <f>VLOOKUP($B1301,DG!A:D,DG!$C$2,)&amp;"-Fe8x100 nhuùng keõm"</f>
        <v>Cổ dê Ø 195 nẹp trụ-Fe8x100 nhuùng keõm</v>
      </c>
      <c r="G1301" s="980" t="str">
        <f>VLOOKUP($B1301,DG!A:D,DG!$D$2,)</f>
        <v>bộ</v>
      </c>
      <c r="H1301" s="1693">
        <f t="shared" ref="H1301:N1309" si="255">H$1300*$D1301</f>
        <v>0</v>
      </c>
      <c r="I1301" s="1693">
        <f t="shared" si="255"/>
        <v>0</v>
      </c>
      <c r="J1301" s="1693">
        <f t="shared" si="255"/>
        <v>0</v>
      </c>
      <c r="K1301" s="1693">
        <f t="shared" si="255"/>
        <v>0</v>
      </c>
      <c r="L1301" s="1693">
        <f t="shared" si="255"/>
        <v>0</v>
      </c>
      <c r="M1301" s="1693">
        <f t="shared" si="255"/>
        <v>0</v>
      </c>
      <c r="N1301" s="1693">
        <f t="shared" si="255"/>
        <v>0</v>
      </c>
      <c r="O1301" s="1693"/>
      <c r="P1301" s="1693"/>
      <c r="Q1301" s="989"/>
      <c r="R1301" s="989"/>
      <c r="S1301" s="989"/>
      <c r="T1301" s="1862">
        <f t="shared" si="250"/>
        <v>0</v>
      </c>
    </row>
    <row r="1302" spans="1:20" ht="22.2" hidden="1" customHeight="1">
      <c r="A1302" s="1448">
        <f>COUNTIF($C$12:C1302,"x")</f>
        <v>87</v>
      </c>
      <c r="B1302" s="1455" t="s">
        <v>111</v>
      </c>
      <c r="C1302" s="970" t="str">
        <f t="shared" si="251"/>
        <v xml:space="preserve"> </v>
      </c>
      <c r="D1302" s="1415">
        <v>1</v>
      </c>
      <c r="E1302" s="980"/>
      <c r="F1302" s="992" t="str">
        <f>VLOOKUP($B1302,DG!A:D,DG!$C$2,)</f>
        <v>Sứ chằng</v>
      </c>
      <c r="G1302" s="980" t="str">
        <f>VLOOKUP($B1302,DG!A:D,DG!$D$2,)</f>
        <v>cái</v>
      </c>
      <c r="H1302" s="1693">
        <f t="shared" si="255"/>
        <v>0</v>
      </c>
      <c r="I1302" s="1693">
        <f t="shared" si="255"/>
        <v>0</v>
      </c>
      <c r="J1302" s="1693">
        <f t="shared" si="255"/>
        <v>0</v>
      </c>
      <c r="K1302" s="1693">
        <f t="shared" si="255"/>
        <v>0</v>
      </c>
      <c r="L1302" s="1693">
        <f t="shared" si="255"/>
        <v>0</v>
      </c>
      <c r="M1302" s="1693">
        <f t="shared" si="255"/>
        <v>0</v>
      </c>
      <c r="N1302" s="1693">
        <f t="shared" si="255"/>
        <v>0</v>
      </c>
      <c r="O1302" s="1693"/>
      <c r="P1302" s="1693"/>
      <c r="Q1302" s="989"/>
      <c r="R1302" s="989"/>
      <c r="S1302" s="989"/>
      <c r="T1302" s="1862">
        <f t="shared" si="250"/>
        <v>0</v>
      </c>
    </row>
    <row r="1303" spans="1:20" ht="22.2" hidden="1" customHeight="1">
      <c r="A1303" s="1448">
        <f>COUNTIF($C$12:C1303,"x")</f>
        <v>87</v>
      </c>
      <c r="B1303" s="1455" t="s">
        <v>1578</v>
      </c>
      <c r="C1303" s="970" t="str">
        <f t="shared" si="251"/>
        <v xml:space="preserve"> </v>
      </c>
      <c r="D1303" s="1415">
        <v>8</v>
      </c>
      <c r="E1303" s="980"/>
      <c r="F1303" s="992" t="str">
        <f>VLOOKUP($B1303,DG!A:D,DG!$C$2,)</f>
        <v>Kẹp cáp 3 boulon</v>
      </c>
      <c r="G1303" s="980" t="str">
        <f>VLOOKUP($B1303,DG!A:D,DG!$D$2,)</f>
        <v>cái</v>
      </c>
      <c r="H1303" s="1693">
        <f t="shared" si="255"/>
        <v>0</v>
      </c>
      <c r="I1303" s="1693">
        <f t="shared" si="255"/>
        <v>0</v>
      </c>
      <c r="J1303" s="1693">
        <f t="shared" si="255"/>
        <v>0</v>
      </c>
      <c r="K1303" s="1693">
        <f t="shared" si="255"/>
        <v>0</v>
      </c>
      <c r="L1303" s="1693">
        <f t="shared" si="255"/>
        <v>0</v>
      </c>
      <c r="M1303" s="1693">
        <f t="shared" si="255"/>
        <v>0</v>
      </c>
      <c r="N1303" s="1693">
        <f t="shared" si="255"/>
        <v>0</v>
      </c>
      <c r="O1303" s="1693"/>
      <c r="P1303" s="1693"/>
      <c r="Q1303" s="989"/>
      <c r="R1303" s="989"/>
      <c r="S1303" s="989"/>
      <c r="T1303" s="1862">
        <f t="shared" si="250"/>
        <v>0</v>
      </c>
    </row>
    <row r="1304" spans="1:20" ht="22.2" hidden="1" customHeight="1">
      <c r="A1304" s="1448">
        <f>COUNTIF($C$12:C1304,"x")</f>
        <v>87</v>
      </c>
      <c r="B1304" s="1470" t="s">
        <v>1049</v>
      </c>
      <c r="C1304" s="970" t="str">
        <f t="shared" si="251"/>
        <v xml:space="preserve"> </v>
      </c>
      <c r="D1304" s="1415">
        <v>17</v>
      </c>
      <c r="E1304" s="980"/>
      <c r="F1304" s="992" t="str">
        <f>VLOOKUP($B1304,DG!A:D,DG!$C$2,)</f>
        <v>Kẹp hotline 4/0</v>
      </c>
      <c r="G1304" s="980" t="str">
        <f>VLOOKUP($B1304,DG!A:D,DG!$D$2,)</f>
        <v>cái</v>
      </c>
      <c r="H1304" s="1693">
        <f t="shared" si="255"/>
        <v>0</v>
      </c>
      <c r="I1304" s="1693">
        <f t="shared" si="255"/>
        <v>0</v>
      </c>
      <c r="J1304" s="1693">
        <f t="shared" si="255"/>
        <v>0</v>
      </c>
      <c r="K1304" s="1693">
        <f t="shared" si="255"/>
        <v>0</v>
      </c>
      <c r="L1304" s="1693">
        <f t="shared" si="255"/>
        <v>0</v>
      </c>
      <c r="M1304" s="1693">
        <f t="shared" si="255"/>
        <v>0</v>
      </c>
      <c r="N1304" s="1693">
        <f t="shared" si="255"/>
        <v>0</v>
      </c>
      <c r="O1304" s="1693"/>
      <c r="P1304" s="1693"/>
      <c r="Q1304" s="989"/>
      <c r="R1304" s="989"/>
      <c r="S1304" s="989"/>
      <c r="T1304" s="1862">
        <f t="shared" si="250"/>
        <v>0</v>
      </c>
    </row>
    <row r="1305" spans="1:20" ht="22.2" hidden="1" customHeight="1">
      <c r="A1305" s="1448">
        <f>COUNTIF($C$12:C1305,"x")</f>
        <v>87</v>
      </c>
      <c r="B1305" s="1455" t="s">
        <v>279</v>
      </c>
      <c r="C1305" s="970" t="str">
        <f t="shared" si="251"/>
        <v xml:space="preserve"> </v>
      </c>
      <c r="D1305" s="1415">
        <v>2</v>
      </c>
      <c r="E1305" s="980"/>
      <c r="F1305" s="992" t="str">
        <f>VLOOKUP($B1305,DG!A:D,DG!$C$2,)</f>
        <v>Sắt dẹt 60 x 6</v>
      </c>
      <c r="G1305" s="980" t="str">
        <f>VLOOKUP($B1305,DG!A:D,DG!$D$2,)</f>
        <v>kg</v>
      </c>
      <c r="H1305" s="1693">
        <f t="shared" si="255"/>
        <v>0</v>
      </c>
      <c r="I1305" s="1693">
        <f t="shared" si="255"/>
        <v>0</v>
      </c>
      <c r="J1305" s="1693">
        <f t="shared" si="255"/>
        <v>0</v>
      </c>
      <c r="K1305" s="1693">
        <f t="shared" si="255"/>
        <v>0</v>
      </c>
      <c r="L1305" s="1693">
        <f t="shared" si="255"/>
        <v>0</v>
      </c>
      <c r="M1305" s="1693">
        <f t="shared" si="255"/>
        <v>0</v>
      </c>
      <c r="N1305" s="1693">
        <f t="shared" si="255"/>
        <v>0</v>
      </c>
      <c r="O1305" s="1693"/>
      <c r="P1305" s="1693"/>
      <c r="Q1305" s="989"/>
      <c r="R1305" s="989"/>
      <c r="S1305" s="989"/>
      <c r="T1305" s="1862">
        <f t="shared" si="250"/>
        <v>0</v>
      </c>
    </row>
    <row r="1306" spans="1:20" ht="22.2" hidden="1" customHeight="1">
      <c r="A1306" s="1448">
        <f>COUNTIF($C$12:C1306,"x")</f>
        <v>87</v>
      </c>
      <c r="B1306" s="1455" t="s">
        <v>1371</v>
      </c>
      <c r="C1306" s="970" t="str">
        <f t="shared" si="251"/>
        <v xml:space="preserve"> </v>
      </c>
      <c r="D1306" s="1415">
        <v>1</v>
      </c>
      <c r="E1306" s="980"/>
      <c r="F1306" s="992" t="str">
        <f>VLOOKUP($B1306,DG!A:D,DG!$C$2,)</f>
        <v xml:space="preserve">Móc treo chữ U </v>
      </c>
      <c r="G1306" s="980" t="str">
        <f>VLOOKUP($B1306,DG!A:D,DG!$D$2,)</f>
        <v>cái</v>
      </c>
      <c r="H1306" s="1693">
        <f t="shared" si="255"/>
        <v>0</v>
      </c>
      <c r="I1306" s="1693">
        <f t="shared" si="255"/>
        <v>0</v>
      </c>
      <c r="J1306" s="1693">
        <f t="shared" si="255"/>
        <v>0</v>
      </c>
      <c r="K1306" s="1693">
        <f t="shared" si="255"/>
        <v>0</v>
      </c>
      <c r="L1306" s="1693">
        <f t="shared" si="255"/>
        <v>0</v>
      </c>
      <c r="M1306" s="1693">
        <f t="shared" si="255"/>
        <v>0</v>
      </c>
      <c r="N1306" s="1693">
        <f t="shared" si="255"/>
        <v>0</v>
      </c>
      <c r="O1306" s="1693"/>
      <c r="P1306" s="1693"/>
      <c r="Q1306" s="989"/>
      <c r="R1306" s="989"/>
      <c r="S1306" s="989"/>
      <c r="T1306" s="1862">
        <f t="shared" si="250"/>
        <v>0</v>
      </c>
    </row>
    <row r="1307" spans="1:20" ht="22.2" hidden="1" customHeight="1">
      <c r="A1307" s="1448">
        <f>COUNTIF($C$12:C1307,"x")</f>
        <v>87</v>
      </c>
      <c r="B1307" s="1471" t="s">
        <v>1891</v>
      </c>
      <c r="C1307" s="970" t="str">
        <f t="shared" si="251"/>
        <v xml:space="preserve"> </v>
      </c>
      <c r="D1307" s="1415">
        <v>2</v>
      </c>
      <c r="E1307" s="980"/>
      <c r="F1307" s="992" t="str">
        <f>VLOOKUP($B1307,DG!A:D,DG!$C$2,)</f>
        <v>Boulon 16x100VRS+ 4 long đền vuông D18-50x50x3/Zn</v>
      </c>
      <c r="G1307" s="980" t="str">
        <f>VLOOKUP($B1307,DG!A:D,DG!$D$2,)</f>
        <v>bộ</v>
      </c>
      <c r="H1307" s="1693">
        <f t="shared" si="255"/>
        <v>0</v>
      </c>
      <c r="I1307" s="1693">
        <f t="shared" si="255"/>
        <v>0</v>
      </c>
      <c r="J1307" s="1693">
        <f t="shared" si="255"/>
        <v>0</v>
      </c>
      <c r="K1307" s="1693">
        <f t="shared" si="255"/>
        <v>0</v>
      </c>
      <c r="L1307" s="1693">
        <f t="shared" si="255"/>
        <v>0</v>
      </c>
      <c r="M1307" s="1693">
        <f t="shared" si="255"/>
        <v>0</v>
      </c>
      <c r="N1307" s="1693">
        <f t="shared" si="255"/>
        <v>0</v>
      </c>
      <c r="O1307" s="1693"/>
      <c r="P1307" s="1693"/>
      <c r="Q1307" s="989"/>
      <c r="R1307" s="989"/>
      <c r="S1307" s="989"/>
      <c r="T1307" s="1862">
        <f t="shared" si="250"/>
        <v>0</v>
      </c>
    </row>
    <row r="1308" spans="1:20" ht="22.2" hidden="1" customHeight="1">
      <c r="A1308" s="1448">
        <f>COUNTIF($C$12:C1308,"x")</f>
        <v>87</v>
      </c>
      <c r="B1308" s="1455" t="s">
        <v>2000</v>
      </c>
      <c r="C1308" s="970" t="str">
        <f t="shared" si="251"/>
        <v xml:space="preserve"> </v>
      </c>
      <c r="D1308" s="1415">
        <v>2</v>
      </c>
      <c r="E1308" s="980"/>
      <c r="F1308" s="992" t="str">
        <f>VLOOKUP($B1308,DG!A:D,DG!$C$2,)</f>
        <v>Yếm cáp dày 2mm</v>
      </c>
      <c r="G1308" s="980" t="str">
        <f>VLOOKUP($B1308,DG!A:D,DG!$D$2,)</f>
        <v>cái</v>
      </c>
      <c r="H1308" s="1693">
        <f t="shared" si="255"/>
        <v>0</v>
      </c>
      <c r="I1308" s="1693">
        <f t="shared" si="255"/>
        <v>0</v>
      </c>
      <c r="J1308" s="1693">
        <f t="shared" si="255"/>
        <v>0</v>
      </c>
      <c r="K1308" s="1693">
        <f t="shared" si="255"/>
        <v>0</v>
      </c>
      <c r="L1308" s="1693">
        <f t="shared" si="255"/>
        <v>0</v>
      </c>
      <c r="M1308" s="1693">
        <f t="shared" si="255"/>
        <v>0</v>
      </c>
      <c r="N1308" s="1693">
        <f t="shared" si="255"/>
        <v>0</v>
      </c>
      <c r="O1308" s="1693"/>
      <c r="P1308" s="1693"/>
      <c r="Q1308" s="989"/>
      <c r="R1308" s="989"/>
      <c r="S1308" s="989"/>
      <c r="T1308" s="1862">
        <f t="shared" si="250"/>
        <v>0</v>
      </c>
    </row>
    <row r="1309" spans="1:20" ht="22.2" hidden="1" customHeight="1">
      <c r="A1309" s="1448">
        <f>COUNTIF($C$12:C1309,"x")</f>
        <v>87</v>
      </c>
      <c r="B1309" s="1455" t="s">
        <v>2001</v>
      </c>
      <c r="C1309" s="970" t="str">
        <f t="shared" si="251"/>
        <v xml:space="preserve"> </v>
      </c>
      <c r="D1309" s="1415">
        <v>1</v>
      </c>
      <c r="E1309" s="980"/>
      <c r="F1309" s="992" t="str">
        <f>VLOOKUP($B1309,DG!A:D,DG!$C$2,)</f>
        <v>Máng che dây chằng dày 1,6mm</v>
      </c>
      <c r="G1309" s="980" t="str">
        <f>VLOOKUP($B1309,DG!A:D,DG!$D$2,)</f>
        <v>cái</v>
      </c>
      <c r="H1309" s="1693">
        <f t="shared" si="255"/>
        <v>0</v>
      </c>
      <c r="I1309" s="1693">
        <f t="shared" si="255"/>
        <v>0</v>
      </c>
      <c r="J1309" s="1693">
        <f t="shared" si="255"/>
        <v>0</v>
      </c>
      <c r="K1309" s="1693">
        <f t="shared" si="255"/>
        <v>0</v>
      </c>
      <c r="L1309" s="1693">
        <f t="shared" si="255"/>
        <v>0</v>
      </c>
      <c r="M1309" s="1693">
        <f t="shared" si="255"/>
        <v>0</v>
      </c>
      <c r="N1309" s="1693">
        <f t="shared" si="255"/>
        <v>0</v>
      </c>
      <c r="O1309" s="1693"/>
      <c r="P1309" s="1693"/>
      <c r="Q1309" s="989"/>
      <c r="R1309" s="989"/>
      <c r="S1309" s="989"/>
      <c r="T1309" s="1862">
        <f t="shared" si="250"/>
        <v>0</v>
      </c>
    </row>
    <row r="1310" spans="1:20" ht="22.2" hidden="1" customHeight="1">
      <c r="A1310" s="1448">
        <f>COUNTIF($C$12:C1310,"x")</f>
        <v>87</v>
      </c>
      <c r="B1310" s="1455" t="s">
        <v>1918</v>
      </c>
      <c r="C1310" s="970" t="str">
        <f t="shared" si="251"/>
        <v xml:space="preserve"> </v>
      </c>
      <c r="D1310" s="1415">
        <f>D1301</f>
        <v>1</v>
      </c>
      <c r="E1310" s="980" t="str">
        <f>VLOOKUP($B1310,DG!A:D,DG!$B$2,)</f>
        <v>06.3241</v>
      </c>
      <c r="F1310" s="985" t="str">
        <f>VLOOKUP($B1310,DG!A:D,DG!$C$2,)</f>
        <v>Lắp bộ dây néo</v>
      </c>
      <c r="G1310" s="980" t="str">
        <f>VLOOKUP($B1310,DG!A:D,DG!$D$2,)</f>
        <v>bộ</v>
      </c>
      <c r="H1310" s="1693"/>
      <c r="I1310" s="1693"/>
      <c r="J1310" s="1693"/>
      <c r="K1310" s="1693"/>
      <c r="L1310" s="1693"/>
      <c r="M1310" s="1693"/>
      <c r="N1310" s="1693"/>
      <c r="O1310" s="1693"/>
      <c r="P1310" s="1693"/>
      <c r="Q1310" s="994"/>
      <c r="R1310" s="994"/>
      <c r="S1310" s="994"/>
      <c r="T1310" s="1862">
        <f t="shared" si="250"/>
        <v>0</v>
      </c>
    </row>
    <row r="1311" spans="1:20" ht="22.2" hidden="1" customHeight="1">
      <c r="A1311" s="1448">
        <f>COUNTIF($C$12:C1311,"x")</f>
        <v>87</v>
      </c>
      <c r="B1311" s="1455" t="s">
        <v>681</v>
      </c>
      <c r="C1311" s="970" t="str">
        <f t="shared" si="251"/>
        <v xml:space="preserve"> </v>
      </c>
      <c r="D1311" s="1415">
        <v>1</v>
      </c>
      <c r="E1311" s="980" t="str">
        <f>VLOOKUP($B1311,DG!A:D,DG!$B$2,)</f>
        <v>06.2110</v>
      </c>
      <c r="F1311" s="985" t="str">
        <f>VLOOKUP($B1311,DG!A:D,DG!$C$2,)</f>
        <v>Lắp cổ dê</v>
      </c>
      <c r="G1311" s="980" t="str">
        <f>VLOOKUP($B1311,DG!A:D,DG!$D$2,)</f>
        <v>cái</v>
      </c>
      <c r="H1311" s="1693"/>
      <c r="I1311" s="1693"/>
      <c r="J1311" s="1693"/>
      <c r="K1311" s="1693"/>
      <c r="L1311" s="1693"/>
      <c r="M1311" s="1693"/>
      <c r="N1311" s="1693"/>
      <c r="O1311" s="1693"/>
      <c r="P1311" s="1693"/>
      <c r="Q1311" s="994"/>
      <c r="R1311" s="994"/>
      <c r="S1311" s="994"/>
      <c r="T1311" s="1862">
        <f t="shared" si="250"/>
        <v>0</v>
      </c>
    </row>
    <row r="1312" spans="1:20" ht="22.2" hidden="1" customHeight="1">
      <c r="A1312" s="1448">
        <f>COUNTIF($C$12:C1312,"x")</f>
        <v>87</v>
      </c>
      <c r="B1312" s="1464" t="s">
        <v>356</v>
      </c>
      <c r="C1312" s="970" t="str">
        <f t="shared" si="251"/>
        <v xml:space="preserve"> </v>
      </c>
      <c r="D1312" s="1414">
        <v>0.02</v>
      </c>
      <c r="E1312" s="980" t="str">
        <f>VLOOKUP($B1312,DG!A:C,2,)</f>
        <v>02.1421</v>
      </c>
      <c r="F1312" s="985" t="str">
        <f>VLOOKUP($B1312,DG!A:C,3,)</f>
        <v>V/c phụ kiện vào vị trí (cự ly &lt;=100m)</v>
      </c>
      <c r="G1312" s="980" t="str">
        <f>VLOOKUP($B1312,DG!A:D,4,0)</f>
        <v>tấn</v>
      </c>
      <c r="H1312" s="1693"/>
      <c r="I1312" s="1693"/>
      <c r="J1312" s="1693"/>
      <c r="K1312" s="1693"/>
      <c r="L1312" s="1693"/>
      <c r="M1312" s="1693"/>
      <c r="N1312" s="1693"/>
      <c r="O1312" s="1693"/>
      <c r="P1312" s="1693"/>
      <c r="Q1312" s="994"/>
      <c r="R1312" s="994"/>
      <c r="S1312" s="994"/>
      <c r="T1312" s="1862">
        <f t="shared" si="250"/>
        <v>0</v>
      </c>
    </row>
    <row r="1313" spans="1:20" ht="22.2" hidden="1" customHeight="1">
      <c r="A1313" s="1448">
        <f>COUNTIF($C$12:C1313,"x")</f>
        <v>87</v>
      </c>
      <c r="B1313" s="1452" t="s">
        <v>1087</v>
      </c>
      <c r="C1313" s="970" t="str">
        <f t="shared" si="251"/>
        <v xml:space="preserve"> </v>
      </c>
      <c r="D1313" s="1412"/>
      <c r="E1313" s="981"/>
      <c r="F1313" s="1276" t="s">
        <v>2481</v>
      </c>
      <c r="G1313" s="982" t="s">
        <v>2385</v>
      </c>
      <c r="H1313" s="1691">
        <f>SUM(I1313:O1313)</f>
        <v>0</v>
      </c>
      <c r="I1313" s="1692"/>
      <c r="J1313" s="1692"/>
      <c r="K1313" s="1692">
        <f>IFERROR(HLOOKUP(B1313,pp3p1m!$1:$3,2,0),0)</f>
        <v>0</v>
      </c>
      <c r="L1313" s="1692">
        <f>IFERROR(HLOOKUP(chitiet!B1313,pp1p!$1:$3,3,0),0)</f>
        <v>0</v>
      </c>
      <c r="M1313" s="1692"/>
      <c r="N1313" s="1692"/>
      <c r="O1313" s="1692"/>
      <c r="P1313" s="2674">
        <f>T1313</f>
        <v>0</v>
      </c>
      <c r="Q1313" s="983">
        <f>IF(P1313&gt;H1313,P1313-H1313,0)</f>
        <v>0</v>
      </c>
      <c r="R1313" s="983">
        <f>IF(H1313&gt;P1313,H1313-P1313,0)</f>
        <v>0</v>
      </c>
      <c r="S1313" s="983"/>
      <c r="T1313" s="1862">
        <f>IFERROR(HLOOKUP(B1313,pp1p!$1:$3,3,0),0)+IFERROR(HLOOKUP(B1313,pp3p1m!$1:$3,3,0),0)</f>
        <v>0</v>
      </c>
    </row>
    <row r="1314" spans="1:20" ht="22.2" hidden="1" customHeight="1">
      <c r="A1314" s="1448">
        <f>COUNTIF($C$12:C1314,"x")</f>
        <v>87</v>
      </c>
      <c r="B1314" s="1455" t="s">
        <v>669</v>
      </c>
      <c r="C1314" s="970" t="str">
        <f t="shared" si="251"/>
        <v xml:space="preserve"> </v>
      </c>
      <c r="D1314" s="1415">
        <v>1</v>
      </c>
      <c r="E1314" s="980"/>
      <c r="F1314" s="992" t="str">
        <f>VLOOKUP($B1314,DG!A:D,DG!$C$2,)&amp;"-Fe8x100 nhuùng keõm"</f>
        <v>Cổ dê Ø 195 nẹp trụ-Fe8x100 nhuùng keõm</v>
      </c>
      <c r="G1314" s="980" t="str">
        <f>VLOOKUP($B1314,DG!A:D,DG!$D$2,)</f>
        <v>bộ</v>
      </c>
      <c r="H1314" s="1693">
        <f t="shared" ref="H1314:N1323" si="256">H$1313*$D1314</f>
        <v>0</v>
      </c>
      <c r="I1314" s="1693">
        <f t="shared" si="256"/>
        <v>0</v>
      </c>
      <c r="J1314" s="1693">
        <f t="shared" si="256"/>
        <v>0</v>
      </c>
      <c r="K1314" s="1693">
        <f t="shared" si="256"/>
        <v>0</v>
      </c>
      <c r="L1314" s="1693">
        <f t="shared" si="256"/>
        <v>0</v>
      </c>
      <c r="M1314" s="1693">
        <f t="shared" si="256"/>
        <v>0</v>
      </c>
      <c r="N1314" s="1693">
        <f t="shared" si="256"/>
        <v>0</v>
      </c>
      <c r="O1314" s="1693"/>
      <c r="P1314" s="1693"/>
      <c r="Q1314" s="989"/>
      <c r="R1314" s="989"/>
      <c r="S1314" s="989"/>
      <c r="T1314" s="1862">
        <f t="shared" si="250"/>
        <v>0</v>
      </c>
    </row>
    <row r="1315" spans="1:20" ht="22.2" hidden="1" customHeight="1">
      <c r="A1315" s="1448">
        <f>COUNTIF($C$12:C1315,"x")</f>
        <v>87</v>
      </c>
      <c r="B1315" s="1455" t="s">
        <v>111</v>
      </c>
      <c r="C1315" s="970" t="str">
        <f t="shared" si="251"/>
        <v xml:space="preserve"> </v>
      </c>
      <c r="D1315" s="1415">
        <v>1</v>
      </c>
      <c r="E1315" s="980"/>
      <c r="F1315" s="992" t="str">
        <f>VLOOKUP($B1315,DG!A:D,DG!$C$2,)</f>
        <v>Sứ chằng</v>
      </c>
      <c r="G1315" s="980" t="str">
        <f>VLOOKUP($B1315,DG!A:D,DG!$D$2,)</f>
        <v>cái</v>
      </c>
      <c r="H1315" s="1693">
        <f t="shared" si="256"/>
        <v>0</v>
      </c>
      <c r="I1315" s="1693">
        <f t="shared" si="256"/>
        <v>0</v>
      </c>
      <c r="J1315" s="1693">
        <f t="shared" si="256"/>
        <v>0</v>
      </c>
      <c r="K1315" s="1693">
        <f t="shared" si="256"/>
        <v>0</v>
      </c>
      <c r="L1315" s="1693">
        <f t="shared" si="256"/>
        <v>0</v>
      </c>
      <c r="M1315" s="1693">
        <f t="shared" si="256"/>
        <v>0</v>
      </c>
      <c r="N1315" s="1693">
        <f t="shared" si="256"/>
        <v>0</v>
      </c>
      <c r="O1315" s="1693"/>
      <c r="P1315" s="1693"/>
      <c r="Q1315" s="989"/>
      <c r="R1315" s="989"/>
      <c r="S1315" s="989"/>
      <c r="T1315" s="1862">
        <f t="shared" si="250"/>
        <v>0</v>
      </c>
    </row>
    <row r="1316" spans="1:20" ht="22.2" hidden="1" customHeight="1">
      <c r="A1316" s="1448">
        <f>COUNTIF($C$12:C1316,"x")</f>
        <v>87</v>
      </c>
      <c r="B1316" s="1455" t="s">
        <v>1578</v>
      </c>
      <c r="C1316" s="970" t="str">
        <f t="shared" si="251"/>
        <v xml:space="preserve"> </v>
      </c>
      <c r="D1316" s="1415">
        <v>8</v>
      </c>
      <c r="E1316" s="980"/>
      <c r="F1316" s="992" t="str">
        <f>VLOOKUP($B1316,DG!A:D,DG!$C$2,)</f>
        <v>Kẹp cáp 3 boulon</v>
      </c>
      <c r="G1316" s="980" t="str">
        <f>VLOOKUP($B1316,DG!A:D,DG!$D$2,)</f>
        <v>cái</v>
      </c>
      <c r="H1316" s="1693">
        <f t="shared" si="256"/>
        <v>0</v>
      </c>
      <c r="I1316" s="1693">
        <f t="shared" si="256"/>
        <v>0</v>
      </c>
      <c r="J1316" s="1693">
        <f t="shared" si="256"/>
        <v>0</v>
      </c>
      <c r="K1316" s="1693">
        <f t="shared" si="256"/>
        <v>0</v>
      </c>
      <c r="L1316" s="1693">
        <f t="shared" si="256"/>
        <v>0</v>
      </c>
      <c r="M1316" s="1693">
        <f t="shared" si="256"/>
        <v>0</v>
      </c>
      <c r="N1316" s="1693">
        <f t="shared" si="256"/>
        <v>0</v>
      </c>
      <c r="O1316" s="1693"/>
      <c r="P1316" s="1693"/>
      <c r="Q1316" s="989"/>
      <c r="R1316" s="989"/>
      <c r="S1316" s="989"/>
      <c r="T1316" s="1862">
        <f t="shared" si="250"/>
        <v>0</v>
      </c>
    </row>
    <row r="1317" spans="1:20" ht="22.2" hidden="1" customHeight="1">
      <c r="A1317" s="1448">
        <f>COUNTIF($C$12:C1317,"x")</f>
        <v>87</v>
      </c>
      <c r="B1317" s="1470" t="s">
        <v>1049</v>
      </c>
      <c r="C1317" s="970" t="str">
        <f t="shared" si="251"/>
        <v xml:space="preserve"> </v>
      </c>
      <c r="D1317" s="1415">
        <v>13</v>
      </c>
      <c r="E1317" s="980"/>
      <c r="F1317" s="992" t="str">
        <f>VLOOKUP($B1317,DG!A:D,DG!$C$2,)</f>
        <v>Kẹp hotline 4/0</v>
      </c>
      <c r="G1317" s="980" t="str">
        <f>VLOOKUP($B1317,DG!A:D,DG!$D$2,)</f>
        <v>cái</v>
      </c>
      <c r="H1317" s="1693">
        <f t="shared" si="256"/>
        <v>0</v>
      </c>
      <c r="I1317" s="1693">
        <f t="shared" si="256"/>
        <v>0</v>
      </c>
      <c r="J1317" s="1693">
        <f t="shared" si="256"/>
        <v>0</v>
      </c>
      <c r="K1317" s="1693">
        <f t="shared" si="256"/>
        <v>0</v>
      </c>
      <c r="L1317" s="1693">
        <f t="shared" si="256"/>
        <v>0</v>
      </c>
      <c r="M1317" s="1693">
        <f t="shared" si="256"/>
        <v>0</v>
      </c>
      <c r="N1317" s="1693">
        <f t="shared" si="256"/>
        <v>0</v>
      </c>
      <c r="O1317" s="1693"/>
      <c r="P1317" s="1693"/>
      <c r="Q1317" s="989"/>
      <c r="R1317" s="989"/>
      <c r="S1317" s="989"/>
      <c r="T1317" s="1862">
        <f t="shared" si="250"/>
        <v>0</v>
      </c>
    </row>
    <row r="1318" spans="1:20" ht="22.2" hidden="1" customHeight="1">
      <c r="A1318" s="1448">
        <f>COUNTIF($C$12:C1318,"x")</f>
        <v>87</v>
      </c>
      <c r="B1318" s="1455" t="s">
        <v>607</v>
      </c>
      <c r="C1318" s="970" t="str">
        <f t="shared" si="251"/>
        <v xml:space="preserve"> </v>
      </c>
      <c r="D1318" s="1415">
        <v>1</v>
      </c>
      <c r="E1318" s="980"/>
      <c r="F1318" s="992" t="str">
        <f>VLOOKUP($B1318,DG!A:D,DG!$C$2,)</f>
        <v>Bộ chống chằng hẹp Ø60/50x1500+2BL12x40+BL16x250/80</v>
      </c>
      <c r="G1318" s="980" t="str">
        <f>VLOOKUP($B1318,DG!A:D,DG!$D$2,)</f>
        <v>bộ</v>
      </c>
      <c r="H1318" s="1693">
        <f t="shared" si="256"/>
        <v>0</v>
      </c>
      <c r="I1318" s="1693">
        <f t="shared" si="256"/>
        <v>0</v>
      </c>
      <c r="J1318" s="1693">
        <f t="shared" si="256"/>
        <v>0</v>
      </c>
      <c r="K1318" s="1693">
        <f t="shared" si="256"/>
        <v>0</v>
      </c>
      <c r="L1318" s="1693">
        <f t="shared" si="256"/>
        <v>0</v>
      </c>
      <c r="M1318" s="1693">
        <f t="shared" si="256"/>
        <v>0</v>
      </c>
      <c r="N1318" s="1693">
        <f t="shared" si="256"/>
        <v>0</v>
      </c>
      <c r="O1318" s="1693"/>
      <c r="P1318" s="1693"/>
      <c r="Q1318" s="989"/>
      <c r="R1318" s="989"/>
      <c r="S1318" s="989"/>
      <c r="T1318" s="1862">
        <f t="shared" si="250"/>
        <v>0</v>
      </c>
    </row>
    <row r="1319" spans="1:20" ht="22.2" hidden="1" customHeight="1">
      <c r="A1319" s="1448">
        <f>COUNTIF($C$12:C1319,"x")</f>
        <v>87</v>
      </c>
      <c r="B1319" s="1455" t="s">
        <v>279</v>
      </c>
      <c r="C1319" s="970" t="str">
        <f t="shared" si="251"/>
        <v xml:space="preserve"> </v>
      </c>
      <c r="D1319" s="1415">
        <v>2</v>
      </c>
      <c r="E1319" s="980"/>
      <c r="F1319" s="992" t="str">
        <f>VLOOKUP($B1319,DG!A:D,DG!$C$2,)</f>
        <v>Sắt dẹt 60 x 6</v>
      </c>
      <c r="G1319" s="980" t="str">
        <f>VLOOKUP($B1319,DG!A:D,DG!$D$2,)</f>
        <v>kg</v>
      </c>
      <c r="H1319" s="1693">
        <f t="shared" si="256"/>
        <v>0</v>
      </c>
      <c r="I1319" s="1693">
        <f t="shared" si="256"/>
        <v>0</v>
      </c>
      <c r="J1319" s="1693">
        <f t="shared" si="256"/>
        <v>0</v>
      </c>
      <c r="K1319" s="1693">
        <f t="shared" si="256"/>
        <v>0</v>
      </c>
      <c r="L1319" s="1693">
        <f t="shared" si="256"/>
        <v>0</v>
      </c>
      <c r="M1319" s="1693">
        <f t="shared" si="256"/>
        <v>0</v>
      </c>
      <c r="N1319" s="1693">
        <f t="shared" si="256"/>
        <v>0</v>
      </c>
      <c r="O1319" s="1693"/>
      <c r="P1319" s="1693"/>
      <c r="Q1319" s="989"/>
      <c r="R1319" s="989"/>
      <c r="S1319" s="989"/>
      <c r="T1319" s="1862">
        <f t="shared" si="250"/>
        <v>0</v>
      </c>
    </row>
    <row r="1320" spans="1:20" ht="22.2" hidden="1" customHeight="1">
      <c r="A1320" s="1448">
        <f>COUNTIF($C$12:C1320,"x")</f>
        <v>87</v>
      </c>
      <c r="B1320" s="1455" t="s">
        <v>1371</v>
      </c>
      <c r="C1320" s="970" t="str">
        <f t="shared" si="251"/>
        <v xml:space="preserve"> </v>
      </c>
      <c r="D1320" s="1415">
        <v>1</v>
      </c>
      <c r="E1320" s="980"/>
      <c r="F1320" s="992" t="str">
        <f>VLOOKUP($B1320,DG!A:D,DG!$C$2,)</f>
        <v xml:space="preserve">Móc treo chữ U </v>
      </c>
      <c r="G1320" s="980" t="str">
        <f>VLOOKUP($B1320,DG!A:D,DG!$D$2,)</f>
        <v>cái</v>
      </c>
      <c r="H1320" s="1693">
        <f t="shared" si="256"/>
        <v>0</v>
      </c>
      <c r="I1320" s="1693">
        <f t="shared" si="256"/>
        <v>0</v>
      </c>
      <c r="J1320" s="1693">
        <f t="shared" si="256"/>
        <v>0</v>
      </c>
      <c r="K1320" s="1693">
        <f t="shared" si="256"/>
        <v>0</v>
      </c>
      <c r="L1320" s="1693">
        <f t="shared" si="256"/>
        <v>0</v>
      </c>
      <c r="M1320" s="1693">
        <f t="shared" si="256"/>
        <v>0</v>
      </c>
      <c r="N1320" s="1693">
        <f t="shared" si="256"/>
        <v>0</v>
      </c>
      <c r="O1320" s="1693"/>
      <c r="P1320" s="1693"/>
      <c r="Q1320" s="989"/>
      <c r="R1320" s="989"/>
      <c r="S1320" s="989"/>
      <c r="T1320" s="1862">
        <f t="shared" si="250"/>
        <v>0</v>
      </c>
    </row>
    <row r="1321" spans="1:20" ht="22.2" hidden="1" customHeight="1">
      <c r="A1321" s="1448">
        <f>COUNTIF($C$12:C1321,"x")</f>
        <v>87</v>
      </c>
      <c r="B1321" s="1471" t="s">
        <v>1891</v>
      </c>
      <c r="C1321" s="970" t="str">
        <f t="shared" si="251"/>
        <v xml:space="preserve"> </v>
      </c>
      <c r="D1321" s="1415">
        <v>2</v>
      </c>
      <c r="E1321" s="980"/>
      <c r="F1321" s="992" t="str">
        <f>VLOOKUP($B1321,DG!A:D,DG!$C$2,)</f>
        <v>Boulon 16x100VRS+ 4 long đền vuông D18-50x50x3/Zn</v>
      </c>
      <c r="G1321" s="980" t="str">
        <f>VLOOKUP($B1321,DG!A:D,DG!$D$2,)</f>
        <v>bộ</v>
      </c>
      <c r="H1321" s="1693">
        <f t="shared" si="256"/>
        <v>0</v>
      </c>
      <c r="I1321" s="1693">
        <f t="shared" si="256"/>
        <v>0</v>
      </c>
      <c r="J1321" s="1693">
        <f t="shared" si="256"/>
        <v>0</v>
      </c>
      <c r="K1321" s="1693">
        <f t="shared" si="256"/>
        <v>0</v>
      </c>
      <c r="L1321" s="1693">
        <f t="shared" si="256"/>
        <v>0</v>
      </c>
      <c r="M1321" s="1693">
        <f t="shared" si="256"/>
        <v>0</v>
      </c>
      <c r="N1321" s="1693">
        <f t="shared" si="256"/>
        <v>0</v>
      </c>
      <c r="O1321" s="1693"/>
      <c r="P1321" s="1693"/>
      <c r="Q1321" s="989"/>
      <c r="R1321" s="989"/>
      <c r="S1321" s="989"/>
      <c r="T1321" s="1862">
        <f t="shared" si="250"/>
        <v>0</v>
      </c>
    </row>
    <row r="1322" spans="1:20" ht="22.2" hidden="1" customHeight="1">
      <c r="A1322" s="1448">
        <f>COUNTIF($C$12:C1322,"x")</f>
        <v>87</v>
      </c>
      <c r="B1322" s="1455" t="s">
        <v>2000</v>
      </c>
      <c r="C1322" s="970" t="str">
        <f t="shared" si="251"/>
        <v xml:space="preserve"> </v>
      </c>
      <c r="D1322" s="1415">
        <v>2</v>
      </c>
      <c r="E1322" s="980"/>
      <c r="F1322" s="992" t="str">
        <f>VLOOKUP($B1322,DG!A:D,DG!$C$2,)</f>
        <v>Yếm cáp dày 2mm</v>
      </c>
      <c r="G1322" s="980" t="str">
        <f>VLOOKUP($B1322,DG!A:D,DG!$D$2,)</f>
        <v>cái</v>
      </c>
      <c r="H1322" s="1693">
        <f t="shared" si="256"/>
        <v>0</v>
      </c>
      <c r="I1322" s="1693">
        <f t="shared" si="256"/>
        <v>0</v>
      </c>
      <c r="J1322" s="1693">
        <f t="shared" si="256"/>
        <v>0</v>
      </c>
      <c r="K1322" s="1693">
        <f t="shared" si="256"/>
        <v>0</v>
      </c>
      <c r="L1322" s="1693">
        <f t="shared" si="256"/>
        <v>0</v>
      </c>
      <c r="M1322" s="1693">
        <f t="shared" si="256"/>
        <v>0</v>
      </c>
      <c r="N1322" s="1693">
        <f t="shared" si="256"/>
        <v>0</v>
      </c>
      <c r="O1322" s="1693"/>
      <c r="P1322" s="1693"/>
      <c r="Q1322" s="989"/>
      <c r="R1322" s="989"/>
      <c r="S1322" s="989"/>
      <c r="T1322" s="1862">
        <f t="shared" si="250"/>
        <v>0</v>
      </c>
    </row>
    <row r="1323" spans="1:20" ht="22.2" hidden="1" customHeight="1">
      <c r="A1323" s="1448">
        <f>COUNTIF($C$12:C1323,"x")</f>
        <v>87</v>
      </c>
      <c r="B1323" s="1455" t="s">
        <v>2001</v>
      </c>
      <c r="C1323" s="970" t="str">
        <f t="shared" si="251"/>
        <v xml:space="preserve"> </v>
      </c>
      <c r="D1323" s="1415">
        <v>1</v>
      </c>
      <c r="E1323" s="980"/>
      <c r="F1323" s="992" t="str">
        <f>VLOOKUP($B1323,DG!A:D,DG!$C$2,)</f>
        <v>Máng che dây chằng dày 1,6mm</v>
      </c>
      <c r="G1323" s="980" t="str">
        <f>VLOOKUP($B1323,DG!A:D,DG!$D$2,)</f>
        <v>cái</v>
      </c>
      <c r="H1323" s="1693">
        <f t="shared" si="256"/>
        <v>0</v>
      </c>
      <c r="I1323" s="1693">
        <f t="shared" si="256"/>
        <v>0</v>
      </c>
      <c r="J1323" s="1693">
        <f t="shared" si="256"/>
        <v>0</v>
      </c>
      <c r="K1323" s="1693">
        <f t="shared" si="256"/>
        <v>0</v>
      </c>
      <c r="L1323" s="1693">
        <f t="shared" si="256"/>
        <v>0</v>
      </c>
      <c r="M1323" s="1693">
        <f t="shared" si="256"/>
        <v>0</v>
      </c>
      <c r="N1323" s="1693">
        <f t="shared" si="256"/>
        <v>0</v>
      </c>
      <c r="O1323" s="1693"/>
      <c r="P1323" s="1693"/>
      <c r="Q1323" s="989"/>
      <c r="R1323" s="989"/>
      <c r="S1323" s="989"/>
      <c r="T1323" s="1862">
        <f t="shared" si="250"/>
        <v>0</v>
      </c>
    </row>
    <row r="1324" spans="1:20" ht="22.2" hidden="1" customHeight="1">
      <c r="A1324" s="1448">
        <f>COUNTIF($C$12:C1324,"x")</f>
        <v>87</v>
      </c>
      <c r="B1324" s="1455" t="s">
        <v>1918</v>
      </c>
      <c r="C1324" s="970" t="str">
        <f t="shared" si="251"/>
        <v xml:space="preserve"> </v>
      </c>
      <c r="D1324" s="1415">
        <f>D1314</f>
        <v>1</v>
      </c>
      <c r="E1324" s="980" t="str">
        <f>VLOOKUP($B1324,DG!A:D,DG!$B$2,)</f>
        <v>06.3241</v>
      </c>
      <c r="F1324" s="985" t="str">
        <f>VLOOKUP($B1324,DG!A:D,DG!$C$2,)</f>
        <v>Lắp bộ dây néo</v>
      </c>
      <c r="G1324" s="980" t="str">
        <f>VLOOKUP($B1324,DG!A:D,DG!$D$2,)</f>
        <v>bộ</v>
      </c>
      <c r="H1324" s="1693"/>
      <c r="I1324" s="1693"/>
      <c r="J1324" s="1693"/>
      <c r="K1324" s="1693"/>
      <c r="L1324" s="1693"/>
      <c r="M1324" s="1693"/>
      <c r="N1324" s="1693"/>
      <c r="O1324" s="1693"/>
      <c r="P1324" s="1693"/>
      <c r="Q1324" s="994"/>
      <c r="R1324" s="994"/>
      <c r="S1324" s="994"/>
      <c r="T1324" s="1862">
        <f t="shared" si="250"/>
        <v>0</v>
      </c>
    </row>
    <row r="1325" spans="1:20" ht="22.2" hidden="1" customHeight="1">
      <c r="A1325" s="1448">
        <f>COUNTIF($C$12:C1325,"x")</f>
        <v>87</v>
      </c>
      <c r="B1325" s="1455" t="s">
        <v>681</v>
      </c>
      <c r="C1325" s="970" t="str">
        <f t="shared" si="251"/>
        <v xml:space="preserve"> </v>
      </c>
      <c r="D1325" s="1415">
        <v>1</v>
      </c>
      <c r="E1325" s="980" t="str">
        <f>VLOOKUP($B1325,DG!A:D,DG!$B$2,)</f>
        <v>06.2110</v>
      </c>
      <c r="F1325" s="985" t="str">
        <f>VLOOKUP($B1325,DG!A:D,DG!$C$2,)</f>
        <v>Lắp cổ dê</v>
      </c>
      <c r="G1325" s="980" t="str">
        <f>VLOOKUP($B1325,DG!A:D,DG!$D$2,)</f>
        <v>cái</v>
      </c>
      <c r="H1325" s="1693"/>
      <c r="I1325" s="1693"/>
      <c r="J1325" s="1693"/>
      <c r="K1325" s="1693"/>
      <c r="L1325" s="1693"/>
      <c r="M1325" s="1693"/>
      <c r="N1325" s="1693"/>
      <c r="O1325" s="1693"/>
      <c r="P1325" s="1693"/>
      <c r="Q1325" s="994"/>
      <c r="R1325" s="994"/>
      <c r="S1325" s="994"/>
      <c r="T1325" s="1862">
        <f t="shared" si="250"/>
        <v>0</v>
      </c>
    </row>
    <row r="1326" spans="1:20" ht="22.2" hidden="1" customHeight="1">
      <c r="A1326" s="1448">
        <f>COUNTIF($C$12:C1326,"x")</f>
        <v>87</v>
      </c>
      <c r="B1326" s="1455" t="s">
        <v>1906</v>
      </c>
      <c r="C1326" s="970" t="str">
        <f t="shared" si="251"/>
        <v xml:space="preserve"> </v>
      </c>
      <c r="D1326" s="1415">
        <f>D1310</f>
        <v>1</v>
      </c>
      <c r="E1326" s="980" t="str">
        <f>VLOOKUP($B1326,DG!A:D,DG!$B$2,)</f>
        <v>05.6011</v>
      </c>
      <c r="F1326" s="985" t="str">
        <f>VLOOKUP($B1326,DG!A:D,DG!$C$2,)</f>
        <v>Lắp bộ chống lệch</v>
      </c>
      <c r="G1326" s="980" t="str">
        <f>VLOOKUP($B1326,DG!A:D,DG!$D$2,)</f>
        <v>bộ</v>
      </c>
      <c r="H1326" s="1693"/>
      <c r="I1326" s="1693"/>
      <c r="J1326" s="1693"/>
      <c r="K1326" s="1693"/>
      <c r="L1326" s="1693"/>
      <c r="M1326" s="1693"/>
      <c r="N1326" s="1693"/>
      <c r="O1326" s="1693"/>
      <c r="P1326" s="1693"/>
      <c r="Q1326" s="994"/>
      <c r="R1326" s="994"/>
      <c r="S1326" s="994"/>
      <c r="T1326" s="1862">
        <f t="shared" si="250"/>
        <v>0</v>
      </c>
    </row>
    <row r="1327" spans="1:20" ht="22.2" hidden="1" customHeight="1">
      <c r="A1327" s="1448">
        <f>COUNTIF($C$12:C1327,"x")</f>
        <v>87</v>
      </c>
      <c r="B1327" s="1464" t="s">
        <v>356</v>
      </c>
      <c r="C1327" s="970" t="str">
        <f t="shared" si="251"/>
        <v xml:space="preserve"> </v>
      </c>
      <c r="D1327" s="1414">
        <v>0.02</v>
      </c>
      <c r="E1327" s="980" t="str">
        <f>VLOOKUP($B1327,DG!A:C,2,)</f>
        <v>02.1421</v>
      </c>
      <c r="F1327" s="985" t="str">
        <f>VLOOKUP($B1327,DG!A:C,3,)</f>
        <v>V/c phụ kiện vào vị trí (cự ly &lt;=100m)</v>
      </c>
      <c r="G1327" s="980" t="str">
        <f>VLOOKUP($B1327,DG!A:D,4,0)</f>
        <v>tấn</v>
      </c>
      <c r="H1327" s="1693"/>
      <c r="I1327" s="1693"/>
      <c r="J1327" s="1693"/>
      <c r="K1327" s="1693"/>
      <c r="L1327" s="1693"/>
      <c r="M1327" s="1693"/>
      <c r="N1327" s="1693"/>
      <c r="O1327" s="1693"/>
      <c r="P1327" s="1693"/>
      <c r="Q1327" s="994"/>
      <c r="R1327" s="994"/>
      <c r="S1327" s="994"/>
      <c r="T1327" s="1862">
        <f t="shared" si="250"/>
        <v>0</v>
      </c>
    </row>
    <row r="1328" spans="1:20" ht="22.2" hidden="1" customHeight="1">
      <c r="A1328" s="1448">
        <f>COUNTIF($C$12:C1328,"x")</f>
        <v>87</v>
      </c>
      <c r="B1328" s="1452" t="s">
        <v>1088</v>
      </c>
      <c r="C1328" s="970" t="str">
        <f t="shared" si="251"/>
        <v xml:space="preserve"> </v>
      </c>
      <c r="D1328" s="1412"/>
      <c r="E1328" s="981"/>
      <c r="F1328" s="1276" t="s">
        <v>2482</v>
      </c>
      <c r="G1328" s="982" t="s">
        <v>2385</v>
      </c>
      <c r="H1328" s="1691">
        <f>SUM(I1328:O1328)</f>
        <v>0</v>
      </c>
      <c r="I1328" s="1692"/>
      <c r="J1328" s="1692"/>
      <c r="K1328" s="1692">
        <f>IFERROR(HLOOKUP(B1328,pp3p1m!$1:$3,2,0),0)</f>
        <v>0</v>
      </c>
      <c r="L1328" s="1692">
        <f>IFERROR(HLOOKUP(chitiet!B1328,pp1p!$1:$3,3,0),0)</f>
        <v>0</v>
      </c>
      <c r="M1328" s="1692"/>
      <c r="N1328" s="1692"/>
      <c r="O1328" s="1692"/>
      <c r="P1328" s="2674">
        <f>T1328</f>
        <v>0</v>
      </c>
      <c r="Q1328" s="983">
        <f>IF(P1328&gt;H1328,P1328-H1328,0)</f>
        <v>0</v>
      </c>
      <c r="R1328" s="983">
        <f>IF(H1328&gt;P1328,H1328-P1328,0)</f>
        <v>0</v>
      </c>
      <c r="S1328" s="983"/>
      <c r="T1328" s="1862">
        <f>IFERROR(HLOOKUP(B1328,pp1p!$1:$3,3,0),0)+IFERROR(HLOOKUP(B1328,pp3p1m!$1:$3,3,0),0)</f>
        <v>0</v>
      </c>
    </row>
    <row r="1329" spans="1:20" ht="22.2" hidden="1" customHeight="1">
      <c r="A1329" s="1448">
        <f>COUNTIF($C$12:C1329,"x")</f>
        <v>87</v>
      </c>
      <c r="B1329" s="1455" t="s">
        <v>669</v>
      </c>
      <c r="C1329" s="970" t="str">
        <f t="shared" si="251"/>
        <v xml:space="preserve"> </v>
      </c>
      <c r="D1329" s="1415">
        <v>1</v>
      </c>
      <c r="E1329" s="980"/>
      <c r="F1329" s="992" t="str">
        <f>VLOOKUP($B1329,DG!A:D,DG!$C$2,)&amp;"-Fe8x100 nhuùng keõm"</f>
        <v>Cổ dê Ø 195 nẹp trụ-Fe8x100 nhuùng keõm</v>
      </c>
      <c r="G1329" s="980" t="str">
        <f>VLOOKUP($B1329,DG!A:D,DG!$D$2,)</f>
        <v>bộ</v>
      </c>
      <c r="H1329" s="1693">
        <f t="shared" ref="H1329:N1329" si="257">H$1328*$D1329</f>
        <v>0</v>
      </c>
      <c r="I1329" s="1693">
        <f t="shared" si="257"/>
        <v>0</v>
      </c>
      <c r="J1329" s="1693">
        <f t="shared" si="257"/>
        <v>0</v>
      </c>
      <c r="K1329" s="1693">
        <f t="shared" si="257"/>
        <v>0</v>
      </c>
      <c r="L1329" s="1693">
        <f t="shared" si="257"/>
        <v>0</v>
      </c>
      <c r="M1329" s="1693">
        <f t="shared" si="257"/>
        <v>0</v>
      </c>
      <c r="N1329" s="1693">
        <f t="shared" si="257"/>
        <v>0</v>
      </c>
      <c r="O1329" s="1693"/>
      <c r="P1329" s="1693"/>
      <c r="Q1329" s="989"/>
      <c r="R1329" s="989"/>
      <c r="S1329" s="989"/>
      <c r="T1329" s="1862">
        <f t="shared" si="250"/>
        <v>0</v>
      </c>
    </row>
    <row r="1330" spans="1:20" ht="22.2" hidden="1" customHeight="1">
      <c r="A1330" s="1448">
        <f>COUNTIF($C$12:C1330,"x")</f>
        <v>87</v>
      </c>
      <c r="B1330" s="1455" t="s">
        <v>1466</v>
      </c>
      <c r="C1330" s="970" t="str">
        <f t="shared" si="251"/>
        <v xml:space="preserve"> </v>
      </c>
      <c r="D1330" s="1415">
        <v>1</v>
      </c>
      <c r="E1330" s="980"/>
      <c r="F1330" s="992" t="str">
        <f>VLOOKUP($B1330,DG!A:D,DG!$C$2,)&amp;"-Fe8x100 nhuùng keõm"</f>
        <v>Cổ dê Ø 220 nẹp trụ-Fe8x100 nhuùng keõm</v>
      </c>
      <c r="G1330" s="980" t="str">
        <f>VLOOKUP($B1330,DG!A:D,DG!$D$2,)</f>
        <v>bộ</v>
      </c>
      <c r="H1330" s="1693">
        <f t="shared" ref="H1330:N1330" si="258">H$1371*$D1330</f>
        <v>0</v>
      </c>
      <c r="I1330" s="1693">
        <f t="shared" si="258"/>
        <v>0</v>
      </c>
      <c r="J1330" s="1693">
        <f t="shared" si="258"/>
        <v>0</v>
      </c>
      <c r="K1330" s="1693">
        <f t="shared" si="258"/>
        <v>0</v>
      </c>
      <c r="L1330" s="1693">
        <f t="shared" si="258"/>
        <v>0</v>
      </c>
      <c r="M1330" s="1693">
        <f t="shared" si="258"/>
        <v>0</v>
      </c>
      <c r="N1330" s="1693">
        <f t="shared" si="258"/>
        <v>0</v>
      </c>
      <c r="O1330" s="1693"/>
      <c r="P1330" s="1693"/>
      <c r="Q1330" s="989"/>
      <c r="R1330" s="989"/>
      <c r="S1330" s="989"/>
      <c r="T1330" s="1862">
        <f t="shared" si="250"/>
        <v>0</v>
      </c>
    </row>
    <row r="1331" spans="1:20" ht="22.2" hidden="1" customHeight="1">
      <c r="A1331" s="1448">
        <f>COUNTIF($C$12:C1331,"x")</f>
        <v>87</v>
      </c>
      <c r="B1331" s="1455" t="s">
        <v>111</v>
      </c>
      <c r="C1331" s="970" t="str">
        <f t="shared" si="251"/>
        <v xml:space="preserve"> </v>
      </c>
      <c r="D1331" s="1415">
        <v>2</v>
      </c>
      <c r="E1331" s="980"/>
      <c r="F1331" s="992" t="str">
        <f>VLOOKUP($B1331,DG!A:D,DG!$C$2,)</f>
        <v>Sứ chằng</v>
      </c>
      <c r="G1331" s="980" t="str">
        <f>VLOOKUP($B1331,DG!A:D,DG!$D$2,)</f>
        <v>cái</v>
      </c>
      <c r="H1331" s="1693">
        <f t="shared" ref="H1331:N1338" si="259">H$1328*$D1331</f>
        <v>0</v>
      </c>
      <c r="I1331" s="1693">
        <f t="shared" si="259"/>
        <v>0</v>
      </c>
      <c r="J1331" s="1693">
        <f t="shared" si="259"/>
        <v>0</v>
      </c>
      <c r="K1331" s="1693">
        <f t="shared" si="259"/>
        <v>0</v>
      </c>
      <c r="L1331" s="1693">
        <f t="shared" si="259"/>
        <v>0</v>
      </c>
      <c r="M1331" s="1693">
        <f t="shared" si="259"/>
        <v>0</v>
      </c>
      <c r="N1331" s="1693">
        <f t="shared" si="259"/>
        <v>0</v>
      </c>
      <c r="O1331" s="1693"/>
      <c r="P1331" s="1693"/>
      <c r="Q1331" s="989"/>
      <c r="R1331" s="989"/>
      <c r="S1331" s="989"/>
      <c r="T1331" s="1862">
        <f t="shared" si="250"/>
        <v>0</v>
      </c>
    </row>
    <row r="1332" spans="1:20" ht="22.2" hidden="1" customHeight="1">
      <c r="A1332" s="1448">
        <f>COUNTIF($C$12:C1332,"x")</f>
        <v>87</v>
      </c>
      <c r="B1332" s="1455" t="s">
        <v>1578</v>
      </c>
      <c r="C1332" s="970" t="str">
        <f t="shared" si="251"/>
        <v xml:space="preserve"> </v>
      </c>
      <c r="D1332" s="1415">
        <v>16</v>
      </c>
      <c r="E1332" s="980"/>
      <c r="F1332" s="992" t="str">
        <f>VLOOKUP($B1332,DG!A:D,DG!$C$2,)</f>
        <v>Kẹp cáp 3 boulon</v>
      </c>
      <c r="G1332" s="980" t="str">
        <f>VLOOKUP($B1332,DG!A:D,DG!$D$2,)</f>
        <v>cái</v>
      </c>
      <c r="H1332" s="1693">
        <f t="shared" si="259"/>
        <v>0</v>
      </c>
      <c r="I1332" s="1693">
        <f t="shared" si="259"/>
        <v>0</v>
      </c>
      <c r="J1332" s="1693">
        <f t="shared" si="259"/>
        <v>0</v>
      </c>
      <c r="K1332" s="1693">
        <f t="shared" si="259"/>
        <v>0</v>
      </c>
      <c r="L1332" s="1693">
        <f t="shared" si="259"/>
        <v>0</v>
      </c>
      <c r="M1332" s="1693">
        <f t="shared" si="259"/>
        <v>0</v>
      </c>
      <c r="N1332" s="1693">
        <f t="shared" si="259"/>
        <v>0</v>
      </c>
      <c r="O1332" s="1693"/>
      <c r="P1332" s="1693"/>
      <c r="Q1332" s="989"/>
      <c r="R1332" s="989"/>
      <c r="S1332" s="989"/>
      <c r="T1332" s="1862">
        <f t="shared" si="250"/>
        <v>0</v>
      </c>
    </row>
    <row r="1333" spans="1:20" ht="22.2" hidden="1" customHeight="1">
      <c r="A1333" s="1448">
        <f>COUNTIF($C$12:C1333,"x")</f>
        <v>87</v>
      </c>
      <c r="B1333" s="1470" t="s">
        <v>1049</v>
      </c>
      <c r="C1333" s="970" t="str">
        <f t="shared" si="251"/>
        <v xml:space="preserve"> </v>
      </c>
      <c r="D1333" s="1415">
        <v>30</v>
      </c>
      <c r="E1333" s="980"/>
      <c r="F1333" s="992" t="str">
        <f>VLOOKUP($B1333,DG!A:D,DG!$C$2,)</f>
        <v>Kẹp hotline 4/0</v>
      </c>
      <c r="G1333" s="980" t="str">
        <f>VLOOKUP($B1333,DG!A:D,DG!$D$2,)</f>
        <v>cái</v>
      </c>
      <c r="H1333" s="1693">
        <f t="shared" si="259"/>
        <v>0</v>
      </c>
      <c r="I1333" s="1693">
        <f t="shared" si="259"/>
        <v>0</v>
      </c>
      <c r="J1333" s="1693">
        <f t="shared" si="259"/>
        <v>0</v>
      </c>
      <c r="K1333" s="1693">
        <f t="shared" si="259"/>
        <v>0</v>
      </c>
      <c r="L1333" s="1693">
        <f t="shared" si="259"/>
        <v>0</v>
      </c>
      <c r="M1333" s="1693">
        <f t="shared" si="259"/>
        <v>0</v>
      </c>
      <c r="N1333" s="1693">
        <f t="shared" si="259"/>
        <v>0</v>
      </c>
      <c r="O1333" s="1693"/>
      <c r="P1333" s="1693"/>
      <c r="Q1333" s="989"/>
      <c r="R1333" s="989"/>
      <c r="S1333" s="989"/>
      <c r="T1333" s="1862">
        <f t="shared" si="250"/>
        <v>0</v>
      </c>
    </row>
    <row r="1334" spans="1:20" ht="22.2" hidden="1" customHeight="1">
      <c r="A1334" s="1448">
        <f>COUNTIF($C$12:C1334,"x")</f>
        <v>87</v>
      </c>
      <c r="B1334" s="1455" t="s">
        <v>279</v>
      </c>
      <c r="C1334" s="970" t="str">
        <f t="shared" si="251"/>
        <v xml:space="preserve"> </v>
      </c>
      <c r="D1334" s="1415">
        <v>4</v>
      </c>
      <c r="E1334" s="980"/>
      <c r="F1334" s="992" t="str">
        <f>VLOOKUP($B1334,DG!A:D,DG!$C$2,)</f>
        <v>Sắt dẹt 60 x 6</v>
      </c>
      <c r="G1334" s="980" t="str">
        <f>VLOOKUP($B1334,DG!A:D,DG!$D$2,)</f>
        <v>kg</v>
      </c>
      <c r="H1334" s="1693">
        <f t="shared" si="259"/>
        <v>0</v>
      </c>
      <c r="I1334" s="1693">
        <f t="shared" si="259"/>
        <v>0</v>
      </c>
      <c r="J1334" s="1693">
        <f t="shared" si="259"/>
        <v>0</v>
      </c>
      <c r="K1334" s="1693">
        <f t="shared" si="259"/>
        <v>0</v>
      </c>
      <c r="L1334" s="1693">
        <f t="shared" si="259"/>
        <v>0</v>
      </c>
      <c r="M1334" s="1693">
        <f t="shared" si="259"/>
        <v>0</v>
      </c>
      <c r="N1334" s="1693">
        <f t="shared" si="259"/>
        <v>0</v>
      </c>
      <c r="O1334" s="1693"/>
      <c r="P1334" s="1693"/>
      <c r="Q1334" s="989"/>
      <c r="R1334" s="989"/>
      <c r="S1334" s="989"/>
      <c r="T1334" s="1862">
        <f t="shared" si="250"/>
        <v>0</v>
      </c>
    </row>
    <row r="1335" spans="1:20" ht="22.2" hidden="1" customHeight="1">
      <c r="A1335" s="1448">
        <f>COUNTIF($C$12:C1335,"x")</f>
        <v>87</v>
      </c>
      <c r="B1335" s="1455" t="s">
        <v>1371</v>
      </c>
      <c r="C1335" s="970" t="str">
        <f t="shared" si="251"/>
        <v xml:space="preserve"> </v>
      </c>
      <c r="D1335" s="1415">
        <v>2</v>
      </c>
      <c r="E1335" s="980"/>
      <c r="F1335" s="992" t="str">
        <f>VLOOKUP($B1335,DG!A:D,DG!$C$2,)</f>
        <v xml:space="preserve">Móc treo chữ U </v>
      </c>
      <c r="G1335" s="980" t="str">
        <f>VLOOKUP($B1335,DG!A:D,DG!$D$2,)</f>
        <v>cái</v>
      </c>
      <c r="H1335" s="1693">
        <f t="shared" si="259"/>
        <v>0</v>
      </c>
      <c r="I1335" s="1693">
        <f t="shared" si="259"/>
        <v>0</v>
      </c>
      <c r="J1335" s="1693">
        <f t="shared" si="259"/>
        <v>0</v>
      </c>
      <c r="K1335" s="1693">
        <f t="shared" si="259"/>
        <v>0</v>
      </c>
      <c r="L1335" s="1693">
        <f t="shared" si="259"/>
        <v>0</v>
      </c>
      <c r="M1335" s="1693">
        <f t="shared" si="259"/>
        <v>0</v>
      </c>
      <c r="N1335" s="1693">
        <f t="shared" si="259"/>
        <v>0</v>
      </c>
      <c r="O1335" s="1693"/>
      <c r="P1335" s="1693"/>
      <c r="Q1335" s="989"/>
      <c r="R1335" s="989"/>
      <c r="S1335" s="989"/>
      <c r="T1335" s="1862">
        <f t="shared" si="250"/>
        <v>0</v>
      </c>
    </row>
    <row r="1336" spans="1:20" ht="22.2" hidden="1" customHeight="1">
      <c r="A1336" s="1448">
        <f>COUNTIF($C$12:C1336,"x")</f>
        <v>87</v>
      </c>
      <c r="B1336" s="1471" t="s">
        <v>1891</v>
      </c>
      <c r="C1336" s="970" t="str">
        <f t="shared" si="251"/>
        <v xml:space="preserve"> </v>
      </c>
      <c r="D1336" s="1415">
        <v>4</v>
      </c>
      <c r="E1336" s="980"/>
      <c r="F1336" s="992" t="str">
        <f>VLOOKUP($B1336,DG!A:D,DG!$C$2,)</f>
        <v>Boulon 16x100VRS+ 4 long đền vuông D18-50x50x3/Zn</v>
      </c>
      <c r="G1336" s="980" t="str">
        <f>VLOOKUP($B1336,DG!A:D,DG!$D$2,)</f>
        <v>bộ</v>
      </c>
      <c r="H1336" s="1693">
        <f t="shared" si="259"/>
        <v>0</v>
      </c>
      <c r="I1336" s="1693">
        <f t="shared" si="259"/>
        <v>0</v>
      </c>
      <c r="J1336" s="1693">
        <f t="shared" si="259"/>
        <v>0</v>
      </c>
      <c r="K1336" s="1693">
        <f t="shared" si="259"/>
        <v>0</v>
      </c>
      <c r="L1336" s="1693">
        <f t="shared" si="259"/>
        <v>0</v>
      </c>
      <c r="M1336" s="1693">
        <f t="shared" si="259"/>
        <v>0</v>
      </c>
      <c r="N1336" s="1693">
        <f t="shared" si="259"/>
        <v>0</v>
      </c>
      <c r="O1336" s="1693"/>
      <c r="P1336" s="1693"/>
      <c r="Q1336" s="989"/>
      <c r="R1336" s="989"/>
      <c r="S1336" s="989"/>
      <c r="T1336" s="1862">
        <f t="shared" si="250"/>
        <v>0</v>
      </c>
    </row>
    <row r="1337" spans="1:20" ht="22.2" hidden="1" customHeight="1">
      <c r="A1337" s="1448">
        <f>COUNTIF($C$12:C1337,"x")</f>
        <v>87</v>
      </c>
      <c r="B1337" s="1455" t="s">
        <v>2000</v>
      </c>
      <c r="C1337" s="970" t="str">
        <f t="shared" si="251"/>
        <v xml:space="preserve"> </v>
      </c>
      <c r="D1337" s="1415">
        <v>4</v>
      </c>
      <c r="E1337" s="980"/>
      <c r="F1337" s="992" t="str">
        <f>VLOOKUP($B1337,DG!A:D,DG!$C$2,)</f>
        <v>Yếm cáp dày 2mm</v>
      </c>
      <c r="G1337" s="980" t="str">
        <f>VLOOKUP($B1337,DG!A:D,DG!$D$2,)</f>
        <v>cái</v>
      </c>
      <c r="H1337" s="1693">
        <f t="shared" si="259"/>
        <v>0</v>
      </c>
      <c r="I1337" s="1693">
        <f t="shared" si="259"/>
        <v>0</v>
      </c>
      <c r="J1337" s="1693">
        <f t="shared" si="259"/>
        <v>0</v>
      </c>
      <c r="K1337" s="1693">
        <f t="shared" si="259"/>
        <v>0</v>
      </c>
      <c r="L1337" s="1693">
        <f t="shared" si="259"/>
        <v>0</v>
      </c>
      <c r="M1337" s="1693">
        <f t="shared" si="259"/>
        <v>0</v>
      </c>
      <c r="N1337" s="1693">
        <f t="shared" si="259"/>
        <v>0</v>
      </c>
      <c r="O1337" s="1693"/>
      <c r="P1337" s="1693"/>
      <c r="Q1337" s="989"/>
      <c r="R1337" s="989"/>
      <c r="S1337" s="989"/>
      <c r="T1337" s="1862">
        <f t="shared" si="250"/>
        <v>0</v>
      </c>
    </row>
    <row r="1338" spans="1:20" ht="22.2" hidden="1" customHeight="1">
      <c r="A1338" s="1448">
        <f>COUNTIF($C$12:C1338,"x")</f>
        <v>87</v>
      </c>
      <c r="B1338" s="1455" t="s">
        <v>2001</v>
      </c>
      <c r="C1338" s="970" t="str">
        <f t="shared" si="251"/>
        <v xml:space="preserve"> </v>
      </c>
      <c r="D1338" s="1415">
        <v>2</v>
      </c>
      <c r="E1338" s="980"/>
      <c r="F1338" s="992" t="str">
        <f>VLOOKUP($B1338,DG!A:D,DG!$C$2,)</f>
        <v>Máng che dây chằng dày 1,6mm</v>
      </c>
      <c r="G1338" s="980" t="str">
        <f>VLOOKUP($B1338,DG!A:D,DG!$D$2,)</f>
        <v>cái</v>
      </c>
      <c r="H1338" s="1693">
        <f t="shared" si="259"/>
        <v>0</v>
      </c>
      <c r="I1338" s="1693">
        <f t="shared" si="259"/>
        <v>0</v>
      </c>
      <c r="J1338" s="1693">
        <f t="shared" si="259"/>
        <v>0</v>
      </c>
      <c r="K1338" s="1693">
        <f t="shared" si="259"/>
        <v>0</v>
      </c>
      <c r="L1338" s="1693">
        <f t="shared" si="259"/>
        <v>0</v>
      </c>
      <c r="M1338" s="1693">
        <f t="shared" si="259"/>
        <v>0</v>
      </c>
      <c r="N1338" s="1693">
        <f t="shared" si="259"/>
        <v>0</v>
      </c>
      <c r="O1338" s="1693"/>
      <c r="P1338" s="1693"/>
      <c r="Q1338" s="989"/>
      <c r="R1338" s="989"/>
      <c r="S1338" s="989"/>
      <c r="T1338" s="1862">
        <f t="shared" si="250"/>
        <v>0</v>
      </c>
    </row>
    <row r="1339" spans="1:20" ht="22.2" hidden="1" customHeight="1">
      <c r="A1339" s="1448">
        <f>COUNTIF($C$12:C1339,"x")</f>
        <v>87</v>
      </c>
      <c r="B1339" s="1455" t="s">
        <v>1918</v>
      </c>
      <c r="C1339" s="970" t="str">
        <f t="shared" si="251"/>
        <v xml:space="preserve"> </v>
      </c>
      <c r="D1339" s="1415">
        <f>D1329</f>
        <v>1</v>
      </c>
      <c r="E1339" s="980" t="str">
        <f>VLOOKUP($B1339,DG!A:D,DG!$B$2,)</f>
        <v>06.3241</v>
      </c>
      <c r="F1339" s="985" t="str">
        <f>VLOOKUP($B1339,DG!A:D,DG!$C$2,)</f>
        <v>Lắp bộ dây néo</v>
      </c>
      <c r="G1339" s="980" t="str">
        <f>VLOOKUP($B1339,DG!A:D,DG!$D$2,)</f>
        <v>bộ</v>
      </c>
      <c r="H1339" s="1693"/>
      <c r="I1339" s="1693"/>
      <c r="J1339" s="1693"/>
      <c r="K1339" s="1693"/>
      <c r="L1339" s="1693"/>
      <c r="M1339" s="1693"/>
      <c r="N1339" s="1693"/>
      <c r="O1339" s="1693"/>
      <c r="P1339" s="1693"/>
      <c r="Q1339" s="994"/>
      <c r="R1339" s="994"/>
      <c r="S1339" s="994"/>
      <c r="T1339" s="1862">
        <f t="shared" si="250"/>
        <v>0</v>
      </c>
    </row>
    <row r="1340" spans="1:20" ht="22.2" hidden="1" customHeight="1">
      <c r="A1340" s="1448">
        <f>COUNTIF($C$12:C1340,"x")</f>
        <v>87</v>
      </c>
      <c r="B1340" s="1455" t="s">
        <v>681</v>
      </c>
      <c r="C1340" s="970" t="str">
        <f t="shared" si="251"/>
        <v xml:space="preserve"> </v>
      </c>
      <c r="D1340" s="1415">
        <v>2</v>
      </c>
      <c r="E1340" s="980" t="str">
        <f>VLOOKUP($B1340,DG!A:D,DG!$B$2,)</f>
        <v>06.2110</v>
      </c>
      <c r="F1340" s="985" t="str">
        <f>VLOOKUP($B1340,DG!A:D,DG!$C$2,)</f>
        <v>Lắp cổ dê</v>
      </c>
      <c r="G1340" s="980" t="str">
        <f>VLOOKUP($B1340,DG!A:D,DG!$D$2,)</f>
        <v>cái</v>
      </c>
      <c r="H1340" s="1693"/>
      <c r="I1340" s="1693"/>
      <c r="J1340" s="1693"/>
      <c r="K1340" s="1693"/>
      <c r="L1340" s="1693"/>
      <c r="M1340" s="1693"/>
      <c r="N1340" s="1693"/>
      <c r="O1340" s="1693"/>
      <c r="P1340" s="1693"/>
      <c r="Q1340" s="994"/>
      <c r="R1340" s="994"/>
      <c r="S1340" s="994"/>
      <c r="T1340" s="1862">
        <f t="shared" si="250"/>
        <v>0</v>
      </c>
    </row>
    <row r="1341" spans="1:20" ht="22.2" hidden="1" customHeight="1">
      <c r="A1341" s="1448">
        <f>COUNTIF($C$12:C1341,"x")</f>
        <v>87</v>
      </c>
      <c r="B1341" s="1464" t="s">
        <v>356</v>
      </c>
      <c r="C1341" s="970" t="str">
        <f t="shared" si="251"/>
        <v xml:space="preserve"> </v>
      </c>
      <c r="D1341" s="1414">
        <v>0.02</v>
      </c>
      <c r="E1341" s="980" t="str">
        <f>VLOOKUP($B1341,DG!A:C,2,)</f>
        <v>02.1421</v>
      </c>
      <c r="F1341" s="985" t="str">
        <f>VLOOKUP($B1341,DG!A:C,3,)</f>
        <v>V/c phụ kiện vào vị trí (cự ly &lt;=100m)</v>
      </c>
      <c r="G1341" s="980" t="str">
        <f>VLOOKUP($B1341,DG!A:D,4,0)</f>
        <v>tấn</v>
      </c>
      <c r="H1341" s="1693"/>
      <c r="I1341" s="1693"/>
      <c r="J1341" s="1693"/>
      <c r="K1341" s="1693"/>
      <c r="L1341" s="1693"/>
      <c r="M1341" s="1693"/>
      <c r="N1341" s="1693"/>
      <c r="O1341" s="1693"/>
      <c r="P1341" s="1693"/>
      <c r="Q1341" s="994"/>
      <c r="R1341" s="994"/>
      <c r="S1341" s="994"/>
      <c r="T1341" s="1862">
        <f t="shared" si="250"/>
        <v>0</v>
      </c>
    </row>
    <row r="1342" spans="1:20" ht="22.2" hidden="1" customHeight="1">
      <c r="A1342" s="1448">
        <f>COUNTIF($C$12:C1342,"x")</f>
        <v>87</v>
      </c>
      <c r="B1342" s="1452" t="s">
        <v>1809</v>
      </c>
      <c r="C1342" s="970" t="str">
        <f t="shared" si="251"/>
        <v xml:space="preserve"> </v>
      </c>
      <c r="D1342" s="1412"/>
      <c r="E1342" s="981"/>
      <c r="F1342" s="1276" t="s">
        <v>2483</v>
      </c>
      <c r="G1342" s="982" t="s">
        <v>2385</v>
      </c>
      <c r="H1342" s="1691">
        <f>SUM(I1342:O1342)</f>
        <v>0</v>
      </c>
      <c r="I1342" s="1692"/>
      <c r="J1342" s="1692"/>
      <c r="K1342" s="1692">
        <f>IFERROR(HLOOKUP(B1342,pp3p1m!$1:$3,2,0),0)</f>
        <v>0</v>
      </c>
      <c r="L1342" s="1692">
        <f>IFERROR(HLOOKUP(chitiet!B1342,pp1p!$1:$3,3,0),0)</f>
        <v>0</v>
      </c>
      <c r="M1342" s="1692"/>
      <c r="N1342" s="1692"/>
      <c r="O1342" s="1692"/>
      <c r="P1342" s="2674">
        <f>T1342</f>
        <v>0</v>
      </c>
      <c r="Q1342" s="983">
        <f>IF(P1342&gt;H1342,P1342-H1342,0)</f>
        <v>0</v>
      </c>
      <c r="R1342" s="983">
        <f>IF(H1342&gt;P1342,H1342-P1342,0)</f>
        <v>0</v>
      </c>
      <c r="S1342" s="983"/>
      <c r="T1342" s="1862">
        <f>IFERROR(HLOOKUP(B1342,pp1p!$1:$3,3,0),0)+IFERROR(HLOOKUP(B1342,pp3p1m!$1:$3,3,0),0)</f>
        <v>0</v>
      </c>
    </row>
    <row r="1343" spans="1:20" ht="22.2" hidden="1" customHeight="1">
      <c r="A1343" s="1448">
        <f>COUNTIF($C$12:C1343,"x")</f>
        <v>87</v>
      </c>
      <c r="B1343" s="1455" t="s">
        <v>669</v>
      </c>
      <c r="C1343" s="970" t="str">
        <f t="shared" si="251"/>
        <v xml:space="preserve"> </v>
      </c>
      <c r="D1343" s="1415">
        <v>1</v>
      </c>
      <c r="E1343" s="980"/>
      <c r="F1343" s="992" t="str">
        <f>VLOOKUP($B1343,DG!A:D,DG!$C$2,)&amp;"-Fe8x100 nhuùng keõm"</f>
        <v>Cổ dê Ø 195 nẹp trụ-Fe8x100 nhuùng keõm</v>
      </c>
      <c r="G1343" s="980" t="str">
        <f>VLOOKUP($B1343,DG!A:D,DG!$D$2,)</f>
        <v>bộ</v>
      </c>
      <c r="H1343" s="1693">
        <f t="shared" ref="H1343:N1351" si="260">H$1342*$D1343</f>
        <v>0</v>
      </c>
      <c r="I1343" s="1693">
        <f t="shared" si="260"/>
        <v>0</v>
      </c>
      <c r="J1343" s="1693">
        <f t="shared" si="260"/>
        <v>0</v>
      </c>
      <c r="K1343" s="1693">
        <f t="shared" si="260"/>
        <v>0</v>
      </c>
      <c r="L1343" s="1693">
        <f t="shared" si="260"/>
        <v>0</v>
      </c>
      <c r="M1343" s="1693">
        <f t="shared" si="260"/>
        <v>0</v>
      </c>
      <c r="N1343" s="1693">
        <f t="shared" si="260"/>
        <v>0</v>
      </c>
      <c r="O1343" s="1693"/>
      <c r="P1343" s="1693"/>
      <c r="Q1343" s="989"/>
      <c r="R1343" s="989"/>
      <c r="S1343" s="989"/>
      <c r="T1343" s="1862">
        <f t="shared" ref="T1343:T1406" si="261">IFERROR(HLOOKUP(B1343,BangKeTru,3,0),0)</f>
        <v>0</v>
      </c>
    </row>
    <row r="1344" spans="1:20" ht="22.2" hidden="1" customHeight="1">
      <c r="A1344" s="1448">
        <f>COUNTIF($C$12:C1344,"x")</f>
        <v>87</v>
      </c>
      <c r="B1344" s="1455" t="s">
        <v>111</v>
      </c>
      <c r="C1344" s="970" t="str">
        <f t="shared" si="251"/>
        <v xml:space="preserve"> </v>
      </c>
      <c r="D1344" s="1415">
        <v>2</v>
      </c>
      <c r="E1344" s="980"/>
      <c r="F1344" s="992" t="str">
        <f>VLOOKUP($B1344,DG!A:D,DG!$C$2,)</f>
        <v>Sứ chằng</v>
      </c>
      <c r="G1344" s="980" t="str">
        <f>VLOOKUP($B1344,DG!A:D,DG!$D$2,)</f>
        <v>cái</v>
      </c>
      <c r="H1344" s="1693">
        <f t="shared" si="260"/>
        <v>0</v>
      </c>
      <c r="I1344" s="1693">
        <f t="shared" si="260"/>
        <v>0</v>
      </c>
      <c r="J1344" s="1693">
        <f t="shared" si="260"/>
        <v>0</v>
      </c>
      <c r="K1344" s="1693">
        <f t="shared" si="260"/>
        <v>0</v>
      </c>
      <c r="L1344" s="1693">
        <f t="shared" si="260"/>
        <v>0</v>
      </c>
      <c r="M1344" s="1693">
        <f t="shared" si="260"/>
        <v>0</v>
      </c>
      <c r="N1344" s="1693">
        <f t="shared" si="260"/>
        <v>0</v>
      </c>
      <c r="O1344" s="1693"/>
      <c r="P1344" s="1693"/>
      <c r="Q1344" s="989"/>
      <c r="R1344" s="989"/>
      <c r="S1344" s="989"/>
      <c r="T1344" s="1862">
        <f t="shared" si="261"/>
        <v>0</v>
      </c>
    </row>
    <row r="1345" spans="1:20" ht="22.2" hidden="1" customHeight="1">
      <c r="A1345" s="1448">
        <f>COUNTIF($C$12:C1345,"x")</f>
        <v>87</v>
      </c>
      <c r="B1345" s="1455" t="s">
        <v>1578</v>
      </c>
      <c r="C1345" s="970" t="str">
        <f t="shared" si="251"/>
        <v xml:space="preserve"> </v>
      </c>
      <c r="D1345" s="1415">
        <v>8</v>
      </c>
      <c r="E1345" s="980"/>
      <c r="F1345" s="992" t="str">
        <f>VLOOKUP($B1345,DG!A:D,DG!$C$2,)</f>
        <v>Kẹp cáp 3 boulon</v>
      </c>
      <c r="G1345" s="980" t="str">
        <f>VLOOKUP($B1345,DG!A:D,DG!$D$2,)</f>
        <v>cái</v>
      </c>
      <c r="H1345" s="1693">
        <f t="shared" si="260"/>
        <v>0</v>
      </c>
      <c r="I1345" s="1693">
        <f t="shared" si="260"/>
        <v>0</v>
      </c>
      <c r="J1345" s="1693">
        <f t="shared" si="260"/>
        <v>0</v>
      </c>
      <c r="K1345" s="1693">
        <f t="shared" si="260"/>
        <v>0</v>
      </c>
      <c r="L1345" s="1693">
        <f t="shared" si="260"/>
        <v>0</v>
      </c>
      <c r="M1345" s="1693">
        <f t="shared" si="260"/>
        <v>0</v>
      </c>
      <c r="N1345" s="1693">
        <f t="shared" si="260"/>
        <v>0</v>
      </c>
      <c r="O1345" s="1693"/>
      <c r="P1345" s="1693"/>
      <c r="Q1345" s="989"/>
      <c r="R1345" s="989"/>
      <c r="S1345" s="989"/>
      <c r="T1345" s="1862">
        <f t="shared" si="261"/>
        <v>0</v>
      </c>
    </row>
    <row r="1346" spans="1:20" ht="22.2" hidden="1" customHeight="1">
      <c r="A1346" s="1448">
        <f>COUNTIF($C$12:C1346,"x")</f>
        <v>87</v>
      </c>
      <c r="B1346" s="1470" t="s">
        <v>1049</v>
      </c>
      <c r="C1346" s="970" t="str">
        <f t="shared" si="251"/>
        <v xml:space="preserve"> </v>
      </c>
      <c r="D1346" s="1415">
        <v>19</v>
      </c>
      <c r="E1346" s="980"/>
      <c r="F1346" s="992" t="str">
        <f>VLOOKUP($B1346,DG!A:D,DG!$C$2,)</f>
        <v>Kẹp hotline 4/0</v>
      </c>
      <c r="G1346" s="980" t="str">
        <f>VLOOKUP($B1346,DG!A:D,DG!$D$2,)</f>
        <v>cái</v>
      </c>
      <c r="H1346" s="1693">
        <f t="shared" si="260"/>
        <v>0</v>
      </c>
      <c r="I1346" s="1693">
        <f t="shared" si="260"/>
        <v>0</v>
      </c>
      <c r="J1346" s="1693">
        <f t="shared" si="260"/>
        <v>0</v>
      </c>
      <c r="K1346" s="1693">
        <f t="shared" si="260"/>
        <v>0</v>
      </c>
      <c r="L1346" s="1693">
        <f t="shared" si="260"/>
        <v>0</v>
      </c>
      <c r="M1346" s="1693">
        <f t="shared" si="260"/>
        <v>0</v>
      </c>
      <c r="N1346" s="1693">
        <f t="shared" si="260"/>
        <v>0</v>
      </c>
      <c r="O1346" s="1693"/>
      <c r="P1346" s="1693"/>
      <c r="Q1346" s="989"/>
      <c r="R1346" s="989"/>
      <c r="S1346" s="989"/>
      <c r="T1346" s="1862">
        <f t="shared" si="261"/>
        <v>0</v>
      </c>
    </row>
    <row r="1347" spans="1:20" ht="22.2" hidden="1" customHeight="1">
      <c r="A1347" s="1448">
        <f>COUNTIF($C$12:C1347,"x")</f>
        <v>87</v>
      </c>
      <c r="B1347" s="1455" t="s">
        <v>279</v>
      </c>
      <c r="C1347" s="970" t="str">
        <f t="shared" si="251"/>
        <v xml:space="preserve"> </v>
      </c>
      <c r="D1347" s="1415">
        <v>2</v>
      </c>
      <c r="E1347" s="980"/>
      <c r="F1347" s="992" t="str">
        <f>VLOOKUP($B1347,DG!A:D,DG!$C$2,)</f>
        <v>Sắt dẹt 60 x 6</v>
      </c>
      <c r="G1347" s="980" t="str">
        <f>VLOOKUP($B1347,DG!A:D,DG!$D$2,)</f>
        <v>kg</v>
      </c>
      <c r="H1347" s="1693">
        <f t="shared" si="260"/>
        <v>0</v>
      </c>
      <c r="I1347" s="1693">
        <f t="shared" si="260"/>
        <v>0</v>
      </c>
      <c r="J1347" s="1693">
        <f t="shared" si="260"/>
        <v>0</v>
      </c>
      <c r="K1347" s="1693">
        <f t="shared" si="260"/>
        <v>0</v>
      </c>
      <c r="L1347" s="1693">
        <f t="shared" si="260"/>
        <v>0</v>
      </c>
      <c r="M1347" s="1693">
        <f t="shared" si="260"/>
        <v>0</v>
      </c>
      <c r="N1347" s="1693">
        <f t="shared" si="260"/>
        <v>0</v>
      </c>
      <c r="O1347" s="1693"/>
      <c r="P1347" s="1693"/>
      <c r="Q1347" s="989"/>
      <c r="R1347" s="989"/>
      <c r="S1347" s="989"/>
      <c r="T1347" s="1862">
        <f t="shared" si="261"/>
        <v>0</v>
      </c>
    </row>
    <row r="1348" spans="1:20" ht="22.2" hidden="1" customHeight="1">
      <c r="A1348" s="1448">
        <f>COUNTIF($C$12:C1348,"x")</f>
        <v>87</v>
      </c>
      <c r="B1348" s="1455" t="s">
        <v>1371</v>
      </c>
      <c r="C1348" s="970" t="str">
        <f t="shared" si="251"/>
        <v xml:space="preserve"> </v>
      </c>
      <c r="D1348" s="1415">
        <v>1</v>
      </c>
      <c r="E1348" s="980"/>
      <c r="F1348" s="992" t="str">
        <f>VLOOKUP($B1348,DG!A:D,DG!$C$2,)</f>
        <v xml:space="preserve">Móc treo chữ U </v>
      </c>
      <c r="G1348" s="980" t="str">
        <f>VLOOKUP($B1348,DG!A:D,DG!$D$2,)</f>
        <v>cái</v>
      </c>
      <c r="H1348" s="1693">
        <f t="shared" si="260"/>
        <v>0</v>
      </c>
      <c r="I1348" s="1693">
        <f t="shared" si="260"/>
        <v>0</v>
      </c>
      <c r="J1348" s="1693">
        <f t="shared" si="260"/>
        <v>0</v>
      </c>
      <c r="K1348" s="1693">
        <f t="shared" si="260"/>
        <v>0</v>
      </c>
      <c r="L1348" s="1693">
        <f t="shared" si="260"/>
        <v>0</v>
      </c>
      <c r="M1348" s="1693">
        <f t="shared" si="260"/>
        <v>0</v>
      </c>
      <c r="N1348" s="1693">
        <f t="shared" si="260"/>
        <v>0</v>
      </c>
      <c r="O1348" s="1693"/>
      <c r="P1348" s="1693"/>
      <c r="Q1348" s="989"/>
      <c r="R1348" s="989"/>
      <c r="S1348" s="989"/>
      <c r="T1348" s="1862">
        <f t="shared" si="261"/>
        <v>0</v>
      </c>
    </row>
    <row r="1349" spans="1:20" ht="22.2" hidden="1" customHeight="1">
      <c r="A1349" s="1448">
        <f>COUNTIF($C$12:C1349,"x")</f>
        <v>87</v>
      </c>
      <c r="B1349" s="1471" t="s">
        <v>1891</v>
      </c>
      <c r="C1349" s="970" t="str">
        <f t="shared" si="251"/>
        <v xml:space="preserve"> </v>
      </c>
      <c r="D1349" s="1415">
        <v>2</v>
      </c>
      <c r="E1349" s="980"/>
      <c r="F1349" s="992" t="str">
        <f>VLOOKUP($B1349,DG!A:D,DG!$C$2,)</f>
        <v>Boulon 16x100VRS+ 4 long đền vuông D18-50x50x3/Zn</v>
      </c>
      <c r="G1349" s="980" t="str">
        <f>VLOOKUP($B1349,DG!A:D,DG!$D$2,)</f>
        <v>bộ</v>
      </c>
      <c r="H1349" s="1693">
        <f t="shared" si="260"/>
        <v>0</v>
      </c>
      <c r="I1349" s="1693">
        <f t="shared" si="260"/>
        <v>0</v>
      </c>
      <c r="J1349" s="1693">
        <f t="shared" si="260"/>
        <v>0</v>
      </c>
      <c r="K1349" s="1693">
        <f t="shared" si="260"/>
        <v>0</v>
      </c>
      <c r="L1349" s="1693">
        <f t="shared" si="260"/>
        <v>0</v>
      </c>
      <c r="M1349" s="1693">
        <f t="shared" si="260"/>
        <v>0</v>
      </c>
      <c r="N1349" s="1693">
        <f t="shared" si="260"/>
        <v>0</v>
      </c>
      <c r="O1349" s="1693"/>
      <c r="P1349" s="1693"/>
      <c r="Q1349" s="989"/>
      <c r="R1349" s="989"/>
      <c r="S1349" s="989"/>
      <c r="T1349" s="1862">
        <f t="shared" si="261"/>
        <v>0</v>
      </c>
    </row>
    <row r="1350" spans="1:20" ht="22.2" hidden="1" customHeight="1">
      <c r="A1350" s="1448">
        <f>COUNTIF($C$12:C1350,"x")</f>
        <v>87</v>
      </c>
      <c r="B1350" s="1455" t="s">
        <v>2000</v>
      </c>
      <c r="C1350" s="970" t="str">
        <f t="shared" si="251"/>
        <v xml:space="preserve"> </v>
      </c>
      <c r="D1350" s="1415">
        <v>2</v>
      </c>
      <c r="E1350" s="980"/>
      <c r="F1350" s="992" t="str">
        <f>VLOOKUP($B1350,DG!A:D,DG!$C$2,)</f>
        <v>Yếm cáp dày 2mm</v>
      </c>
      <c r="G1350" s="980" t="str">
        <f>VLOOKUP($B1350,DG!A:D,DG!$D$2,)</f>
        <v>cái</v>
      </c>
      <c r="H1350" s="1693">
        <f t="shared" si="260"/>
        <v>0</v>
      </c>
      <c r="I1350" s="1693">
        <f t="shared" si="260"/>
        <v>0</v>
      </c>
      <c r="J1350" s="1693">
        <f t="shared" si="260"/>
        <v>0</v>
      </c>
      <c r="K1350" s="1693">
        <f t="shared" si="260"/>
        <v>0</v>
      </c>
      <c r="L1350" s="1693">
        <f t="shared" si="260"/>
        <v>0</v>
      </c>
      <c r="M1350" s="1693">
        <f t="shared" si="260"/>
        <v>0</v>
      </c>
      <c r="N1350" s="1693">
        <f t="shared" si="260"/>
        <v>0</v>
      </c>
      <c r="O1350" s="1693"/>
      <c r="P1350" s="1693"/>
      <c r="Q1350" s="989"/>
      <c r="R1350" s="989"/>
      <c r="S1350" s="989"/>
      <c r="T1350" s="1862">
        <f t="shared" si="261"/>
        <v>0</v>
      </c>
    </row>
    <row r="1351" spans="1:20" ht="22.2" hidden="1" customHeight="1">
      <c r="A1351" s="1448">
        <f>COUNTIF($C$12:C1351,"x")</f>
        <v>87</v>
      </c>
      <c r="B1351" s="1455" t="s">
        <v>2001</v>
      </c>
      <c r="C1351" s="970" t="str">
        <f t="shared" ref="C1351:C1414" si="262">IF(OR(P1351&lt;&gt;0,H1351&lt;&gt;0),"x"," ")</f>
        <v xml:space="preserve"> </v>
      </c>
      <c r="D1351" s="1415">
        <v>1</v>
      </c>
      <c r="E1351" s="980"/>
      <c r="F1351" s="992" t="str">
        <f>VLOOKUP($B1351,DG!A:D,DG!$C$2,)</f>
        <v>Máng che dây chằng dày 1,6mm</v>
      </c>
      <c r="G1351" s="980" t="str">
        <f>VLOOKUP($B1351,DG!A:D,DG!$D$2,)</f>
        <v>cái</v>
      </c>
      <c r="H1351" s="1693">
        <f t="shared" si="260"/>
        <v>0</v>
      </c>
      <c r="I1351" s="1693">
        <f t="shared" si="260"/>
        <v>0</v>
      </c>
      <c r="J1351" s="1693">
        <f t="shared" si="260"/>
        <v>0</v>
      </c>
      <c r="K1351" s="1693">
        <f t="shared" si="260"/>
        <v>0</v>
      </c>
      <c r="L1351" s="1693">
        <f t="shared" si="260"/>
        <v>0</v>
      </c>
      <c r="M1351" s="1693">
        <f t="shared" si="260"/>
        <v>0</v>
      </c>
      <c r="N1351" s="1693">
        <f t="shared" si="260"/>
        <v>0</v>
      </c>
      <c r="O1351" s="1693"/>
      <c r="P1351" s="1693"/>
      <c r="Q1351" s="989"/>
      <c r="R1351" s="989"/>
      <c r="S1351" s="989"/>
      <c r="T1351" s="1862">
        <f t="shared" si="261"/>
        <v>0</v>
      </c>
    </row>
    <row r="1352" spans="1:20" ht="22.2" hidden="1" customHeight="1">
      <c r="A1352" s="1448">
        <f>COUNTIF($C$12:C1352,"x")</f>
        <v>87</v>
      </c>
      <c r="B1352" s="1455" t="s">
        <v>1918</v>
      </c>
      <c r="C1352" s="970" t="str">
        <f t="shared" si="262"/>
        <v xml:space="preserve"> </v>
      </c>
      <c r="D1352" s="1415">
        <f>D1343</f>
        <v>1</v>
      </c>
      <c r="E1352" s="980" t="str">
        <f>VLOOKUP($B1352,DG!A:D,DG!$B$2,)</f>
        <v>06.3241</v>
      </c>
      <c r="F1352" s="985" t="str">
        <f>VLOOKUP($B1352,DG!A:D,DG!$C$2,)</f>
        <v>Lắp bộ dây néo</v>
      </c>
      <c r="G1352" s="980" t="str">
        <f>VLOOKUP($B1352,DG!A:D,DG!$D$2,)</f>
        <v>bộ</v>
      </c>
      <c r="H1352" s="1693"/>
      <c r="I1352" s="1693"/>
      <c r="J1352" s="1693"/>
      <c r="K1352" s="1693"/>
      <c r="L1352" s="1693"/>
      <c r="M1352" s="1693"/>
      <c r="N1352" s="1693"/>
      <c r="O1352" s="1693"/>
      <c r="P1352" s="1693"/>
      <c r="Q1352" s="994"/>
      <c r="R1352" s="994"/>
      <c r="S1352" s="994"/>
      <c r="T1352" s="1862">
        <f t="shared" si="261"/>
        <v>0</v>
      </c>
    </row>
    <row r="1353" spans="1:20" ht="22.2" hidden="1" customHeight="1">
      <c r="A1353" s="1448">
        <f>COUNTIF($C$12:C1353,"x")</f>
        <v>87</v>
      </c>
      <c r="B1353" s="1455" t="s">
        <v>681</v>
      </c>
      <c r="C1353" s="970" t="str">
        <f t="shared" si="262"/>
        <v xml:space="preserve"> </v>
      </c>
      <c r="D1353" s="1415">
        <v>1</v>
      </c>
      <c r="E1353" s="980" t="str">
        <f>VLOOKUP($B1353,DG!A:D,DG!$B$2,)</f>
        <v>06.2110</v>
      </c>
      <c r="F1353" s="985" t="str">
        <f>VLOOKUP($B1353,DG!A:D,DG!$C$2,)</f>
        <v>Lắp cổ dê</v>
      </c>
      <c r="G1353" s="980" t="str">
        <f>VLOOKUP($B1353,DG!A:D,DG!$D$2,)</f>
        <v>cái</v>
      </c>
      <c r="H1353" s="1693"/>
      <c r="I1353" s="1693"/>
      <c r="J1353" s="1693"/>
      <c r="K1353" s="1693"/>
      <c r="L1353" s="1693"/>
      <c r="M1353" s="1693"/>
      <c r="N1353" s="1693"/>
      <c r="O1353" s="1693"/>
      <c r="P1353" s="1693"/>
      <c r="Q1353" s="994"/>
      <c r="R1353" s="994"/>
      <c r="S1353" s="994"/>
      <c r="T1353" s="1862">
        <f t="shared" si="261"/>
        <v>0</v>
      </c>
    </row>
    <row r="1354" spans="1:20" ht="22.2" hidden="1" customHeight="1">
      <c r="A1354" s="1448">
        <f>COUNTIF($C$12:C1354,"x")</f>
        <v>87</v>
      </c>
      <c r="B1354" s="1464" t="s">
        <v>356</v>
      </c>
      <c r="C1354" s="970" t="str">
        <f t="shared" si="262"/>
        <v xml:space="preserve"> </v>
      </c>
      <c r="D1354" s="1414">
        <v>0.02</v>
      </c>
      <c r="E1354" s="980" t="str">
        <f>VLOOKUP($B1354,DG!A:C,2,)</f>
        <v>02.1421</v>
      </c>
      <c r="F1354" s="985" t="str">
        <f>VLOOKUP($B1354,DG!A:C,3,)</f>
        <v>V/c phụ kiện vào vị trí (cự ly &lt;=100m)</v>
      </c>
      <c r="G1354" s="980" t="str">
        <f>VLOOKUP($B1354,DG!A:D,4,0)</f>
        <v>tấn</v>
      </c>
      <c r="H1354" s="1693"/>
      <c r="I1354" s="1693"/>
      <c r="J1354" s="1693"/>
      <c r="K1354" s="1693"/>
      <c r="L1354" s="1693"/>
      <c r="M1354" s="1693"/>
      <c r="N1354" s="1693"/>
      <c r="O1354" s="1693"/>
      <c r="P1354" s="1693"/>
      <c r="Q1354" s="994"/>
      <c r="R1354" s="994"/>
      <c r="S1354" s="994"/>
      <c r="T1354" s="1862">
        <f t="shared" si="261"/>
        <v>0</v>
      </c>
    </row>
    <row r="1355" spans="1:20" ht="22.2" hidden="1" customHeight="1">
      <c r="A1355" s="1448">
        <f>COUNTIF($C$12:C1355,"x")</f>
        <v>87</v>
      </c>
      <c r="B1355" s="1452" t="s">
        <v>339</v>
      </c>
      <c r="C1355" s="970" t="str">
        <f t="shared" si="262"/>
        <v xml:space="preserve"> </v>
      </c>
      <c r="D1355" s="1412"/>
      <c r="E1355" s="981"/>
      <c r="F1355" s="1276" t="s">
        <v>2484</v>
      </c>
      <c r="G1355" s="982" t="s">
        <v>2385</v>
      </c>
      <c r="H1355" s="1691">
        <f>SUM(I1355:O1355)</f>
        <v>0</v>
      </c>
      <c r="I1355" s="1692"/>
      <c r="J1355" s="1692"/>
      <c r="K1355" s="1692">
        <f>IFERROR(HLOOKUP(B1355,pp3p1m!$1:$3,2,0),0)</f>
        <v>0</v>
      </c>
      <c r="L1355" s="1692">
        <f>IFERROR(HLOOKUP(chitiet!B1355,pp1p!$1:$3,3,0),0)</f>
        <v>0</v>
      </c>
      <c r="M1355" s="1692"/>
      <c r="N1355" s="1692"/>
      <c r="O1355" s="1692"/>
      <c r="P1355" s="2674">
        <f>T1355</f>
        <v>0</v>
      </c>
      <c r="Q1355" s="983">
        <f>IF(P1355&gt;H1355,P1355-H1355,0)</f>
        <v>0</v>
      </c>
      <c r="R1355" s="983">
        <f>IF(H1355&gt;P1355,H1355-P1355,0)</f>
        <v>0</v>
      </c>
      <c r="S1355" s="983"/>
      <c r="T1355" s="1862">
        <f>IFERROR(HLOOKUP(B1355,pp1p!$1:$3,3,0),0)+IFERROR(HLOOKUP(B1355,pp3p1m!$1:$3,3,0),0)</f>
        <v>0</v>
      </c>
    </row>
    <row r="1356" spans="1:20" ht="22.2" hidden="1" customHeight="1">
      <c r="A1356" s="1448">
        <f>COUNTIF($C$12:C1356,"x")</f>
        <v>87</v>
      </c>
      <c r="B1356" s="1455" t="s">
        <v>669</v>
      </c>
      <c r="C1356" s="970" t="str">
        <f t="shared" si="262"/>
        <v xml:space="preserve"> </v>
      </c>
      <c r="D1356" s="1415">
        <v>1</v>
      </c>
      <c r="E1356" s="980"/>
      <c r="F1356" s="992" t="str">
        <f>VLOOKUP($B1356,DG!A:D,DG!$C$2,)&amp;"-Fe8x100 nhuùng keõm"</f>
        <v>Cổ dê Ø 195 nẹp trụ-Fe8x100 nhuùng keõm</v>
      </c>
      <c r="G1356" s="980" t="str">
        <f>VLOOKUP($B1356,DG!A:D,DG!$D$2,)</f>
        <v>bộ</v>
      </c>
      <c r="H1356" s="1693">
        <f t="shared" ref="H1356:N1366" si="263">H$1355*$D1356</f>
        <v>0</v>
      </c>
      <c r="I1356" s="1693">
        <f t="shared" si="263"/>
        <v>0</v>
      </c>
      <c r="J1356" s="1693">
        <f t="shared" si="263"/>
        <v>0</v>
      </c>
      <c r="K1356" s="1693">
        <f t="shared" si="263"/>
        <v>0</v>
      </c>
      <c r="L1356" s="1693">
        <f t="shared" si="263"/>
        <v>0</v>
      </c>
      <c r="M1356" s="1693">
        <f t="shared" si="263"/>
        <v>0</v>
      </c>
      <c r="N1356" s="1693">
        <f t="shared" si="263"/>
        <v>0</v>
      </c>
      <c r="O1356" s="1693"/>
      <c r="P1356" s="1693"/>
      <c r="Q1356" s="989"/>
      <c r="R1356" s="989"/>
      <c r="S1356" s="989"/>
      <c r="T1356" s="1862">
        <f t="shared" si="261"/>
        <v>0</v>
      </c>
    </row>
    <row r="1357" spans="1:20" ht="22.2" hidden="1" customHeight="1">
      <c r="A1357" s="1448">
        <f>COUNTIF($C$12:C1357,"x")</f>
        <v>87</v>
      </c>
      <c r="B1357" s="1455" t="s">
        <v>111</v>
      </c>
      <c r="C1357" s="970" t="str">
        <f t="shared" si="262"/>
        <v xml:space="preserve"> </v>
      </c>
      <c r="D1357" s="1415">
        <v>1</v>
      </c>
      <c r="E1357" s="980"/>
      <c r="F1357" s="992" t="str">
        <f>VLOOKUP($B1357,DG!A:D,DG!$C$2,)</f>
        <v>Sứ chằng</v>
      </c>
      <c r="G1357" s="980" t="str">
        <f>VLOOKUP($B1357,DG!A:D,DG!$D$2,)</f>
        <v>cái</v>
      </c>
      <c r="H1357" s="1693">
        <f t="shared" si="263"/>
        <v>0</v>
      </c>
      <c r="I1357" s="1693">
        <f t="shared" si="263"/>
        <v>0</v>
      </c>
      <c r="J1357" s="1693">
        <f t="shared" si="263"/>
        <v>0</v>
      </c>
      <c r="K1357" s="1693">
        <f t="shared" si="263"/>
        <v>0</v>
      </c>
      <c r="L1357" s="1693">
        <f t="shared" si="263"/>
        <v>0</v>
      </c>
      <c r="M1357" s="1693">
        <f t="shared" si="263"/>
        <v>0</v>
      </c>
      <c r="N1357" s="1693">
        <f t="shared" si="263"/>
        <v>0</v>
      </c>
      <c r="O1357" s="1693"/>
      <c r="P1357" s="1693"/>
      <c r="Q1357" s="989"/>
      <c r="R1357" s="989"/>
      <c r="S1357" s="989"/>
      <c r="T1357" s="1862">
        <f t="shared" si="261"/>
        <v>0</v>
      </c>
    </row>
    <row r="1358" spans="1:20" ht="22.2" hidden="1" customHeight="1">
      <c r="A1358" s="1448">
        <f>COUNTIF($C$12:C1358,"x")</f>
        <v>87</v>
      </c>
      <c r="B1358" s="1455" t="s">
        <v>1578</v>
      </c>
      <c r="C1358" s="970" t="str">
        <f t="shared" si="262"/>
        <v xml:space="preserve"> </v>
      </c>
      <c r="D1358" s="1415">
        <v>8</v>
      </c>
      <c r="E1358" s="980"/>
      <c r="F1358" s="992" t="str">
        <f>VLOOKUP($B1358,DG!A:D,DG!$C$2,)</f>
        <v>Kẹp cáp 3 boulon</v>
      </c>
      <c r="G1358" s="980" t="str">
        <f>VLOOKUP($B1358,DG!A:D,DG!$D$2,)</f>
        <v>cái</v>
      </c>
      <c r="H1358" s="1693">
        <f t="shared" si="263"/>
        <v>0</v>
      </c>
      <c r="I1358" s="1693">
        <f t="shared" si="263"/>
        <v>0</v>
      </c>
      <c r="J1358" s="1693">
        <f t="shared" si="263"/>
        <v>0</v>
      </c>
      <c r="K1358" s="1693">
        <f t="shared" si="263"/>
        <v>0</v>
      </c>
      <c r="L1358" s="1693">
        <f t="shared" si="263"/>
        <v>0</v>
      </c>
      <c r="M1358" s="1693">
        <f t="shared" si="263"/>
        <v>0</v>
      </c>
      <c r="N1358" s="1693">
        <f t="shared" si="263"/>
        <v>0</v>
      </c>
      <c r="O1358" s="1693"/>
      <c r="P1358" s="1693"/>
      <c r="Q1358" s="989"/>
      <c r="R1358" s="989"/>
      <c r="S1358" s="989"/>
      <c r="T1358" s="1862">
        <f t="shared" si="261"/>
        <v>0</v>
      </c>
    </row>
    <row r="1359" spans="1:20" ht="22.2" hidden="1" customHeight="1">
      <c r="A1359" s="1448">
        <f>COUNTIF($C$12:C1359,"x")</f>
        <v>87</v>
      </c>
      <c r="B1359" s="1470" t="s">
        <v>1049</v>
      </c>
      <c r="C1359" s="970" t="str">
        <f t="shared" si="262"/>
        <v xml:space="preserve"> </v>
      </c>
      <c r="D1359" s="1415">
        <v>15</v>
      </c>
      <c r="E1359" s="980"/>
      <c r="F1359" s="992" t="str">
        <f>VLOOKUP($B1359,DG!A:D,DG!$C$2,)</f>
        <v>Kẹp hotline 4/0</v>
      </c>
      <c r="G1359" s="980" t="str">
        <f>VLOOKUP($B1359,DG!A:D,DG!$D$2,)</f>
        <v>cái</v>
      </c>
      <c r="H1359" s="1693">
        <f t="shared" si="263"/>
        <v>0</v>
      </c>
      <c r="I1359" s="1693">
        <f t="shared" si="263"/>
        <v>0</v>
      </c>
      <c r="J1359" s="1693">
        <f t="shared" si="263"/>
        <v>0</v>
      </c>
      <c r="K1359" s="1693">
        <f t="shared" si="263"/>
        <v>0</v>
      </c>
      <c r="L1359" s="1693">
        <f t="shared" si="263"/>
        <v>0</v>
      </c>
      <c r="M1359" s="1693">
        <f t="shared" si="263"/>
        <v>0</v>
      </c>
      <c r="N1359" s="1693">
        <f t="shared" si="263"/>
        <v>0</v>
      </c>
      <c r="O1359" s="1693"/>
      <c r="P1359" s="1693"/>
      <c r="Q1359" s="989"/>
      <c r="R1359" s="989"/>
      <c r="S1359" s="989"/>
      <c r="T1359" s="1862">
        <f t="shared" si="261"/>
        <v>0</v>
      </c>
    </row>
    <row r="1360" spans="1:20" ht="22.2" hidden="1" customHeight="1">
      <c r="A1360" s="1448">
        <f>COUNTIF($C$12:C1360,"x")</f>
        <v>87</v>
      </c>
      <c r="B1360" s="1455" t="s">
        <v>607</v>
      </c>
      <c r="C1360" s="970" t="str">
        <f t="shared" si="262"/>
        <v xml:space="preserve"> </v>
      </c>
      <c r="D1360" s="1415">
        <v>1</v>
      </c>
      <c r="E1360" s="980"/>
      <c r="F1360" s="992" t="str">
        <f>VLOOKUP($B1360,DG!A:D,DG!$C$2,)</f>
        <v>Bộ chống chằng hẹp Ø60/50x1500+2BL12x40+BL16x250/80</v>
      </c>
      <c r="G1360" s="980" t="str">
        <f>VLOOKUP($B1360,DG!A:D,DG!$D$2,)</f>
        <v>bộ</v>
      </c>
      <c r="H1360" s="1693">
        <f t="shared" si="263"/>
        <v>0</v>
      </c>
      <c r="I1360" s="1693">
        <f t="shared" si="263"/>
        <v>0</v>
      </c>
      <c r="J1360" s="1693">
        <f t="shared" si="263"/>
        <v>0</v>
      </c>
      <c r="K1360" s="1693">
        <f t="shared" si="263"/>
        <v>0</v>
      </c>
      <c r="L1360" s="1693">
        <f t="shared" si="263"/>
        <v>0</v>
      </c>
      <c r="M1360" s="1693">
        <f t="shared" si="263"/>
        <v>0</v>
      </c>
      <c r="N1360" s="1693">
        <f t="shared" si="263"/>
        <v>0</v>
      </c>
      <c r="O1360" s="1693"/>
      <c r="P1360" s="1693"/>
      <c r="Q1360" s="989"/>
      <c r="R1360" s="989"/>
      <c r="S1360" s="989"/>
      <c r="T1360" s="1862">
        <f t="shared" si="261"/>
        <v>0</v>
      </c>
    </row>
    <row r="1361" spans="1:20" ht="22.2" hidden="1" customHeight="1">
      <c r="A1361" s="1448">
        <f>COUNTIF($C$12:C1361,"x")</f>
        <v>87</v>
      </c>
      <c r="B1361" s="1455" t="s">
        <v>279</v>
      </c>
      <c r="C1361" s="970" t="str">
        <f t="shared" si="262"/>
        <v xml:space="preserve"> </v>
      </c>
      <c r="D1361" s="1415">
        <v>2</v>
      </c>
      <c r="E1361" s="980"/>
      <c r="F1361" s="992" t="str">
        <f>VLOOKUP($B1361,DG!A:D,DG!$C$2,)</f>
        <v>Sắt dẹt 60 x 6</v>
      </c>
      <c r="G1361" s="980" t="str">
        <f>VLOOKUP($B1361,DG!A:D,DG!$D$2,)</f>
        <v>kg</v>
      </c>
      <c r="H1361" s="1693">
        <f t="shared" si="263"/>
        <v>0</v>
      </c>
      <c r="I1361" s="1693">
        <f t="shared" si="263"/>
        <v>0</v>
      </c>
      <c r="J1361" s="1693">
        <f t="shared" si="263"/>
        <v>0</v>
      </c>
      <c r="K1361" s="1693">
        <f t="shared" si="263"/>
        <v>0</v>
      </c>
      <c r="L1361" s="1693">
        <f t="shared" si="263"/>
        <v>0</v>
      </c>
      <c r="M1361" s="1693">
        <f t="shared" si="263"/>
        <v>0</v>
      </c>
      <c r="N1361" s="1693">
        <f t="shared" si="263"/>
        <v>0</v>
      </c>
      <c r="O1361" s="1693"/>
      <c r="P1361" s="1693"/>
      <c r="Q1361" s="989"/>
      <c r="R1361" s="989"/>
      <c r="S1361" s="989"/>
      <c r="T1361" s="1862">
        <f t="shared" si="261"/>
        <v>0</v>
      </c>
    </row>
    <row r="1362" spans="1:20" ht="22.2" hidden="1" customHeight="1">
      <c r="A1362" s="1448">
        <f>COUNTIF($C$12:C1362,"x")</f>
        <v>87</v>
      </c>
      <c r="B1362" s="1455" t="s">
        <v>1371</v>
      </c>
      <c r="C1362" s="970" t="str">
        <f t="shared" si="262"/>
        <v xml:space="preserve"> </v>
      </c>
      <c r="D1362" s="1415">
        <v>1</v>
      </c>
      <c r="E1362" s="980"/>
      <c r="F1362" s="992" t="str">
        <f>VLOOKUP($B1362,DG!A:D,DG!$C$2,)</f>
        <v xml:space="preserve">Móc treo chữ U </v>
      </c>
      <c r="G1362" s="980" t="str">
        <f>VLOOKUP($B1362,DG!A:D,DG!$D$2,)</f>
        <v>cái</v>
      </c>
      <c r="H1362" s="1693">
        <f t="shared" si="263"/>
        <v>0</v>
      </c>
      <c r="I1362" s="1693">
        <f t="shared" si="263"/>
        <v>0</v>
      </c>
      <c r="J1362" s="1693">
        <f t="shared" si="263"/>
        <v>0</v>
      </c>
      <c r="K1362" s="1693">
        <f t="shared" si="263"/>
        <v>0</v>
      </c>
      <c r="L1362" s="1693">
        <f t="shared" si="263"/>
        <v>0</v>
      </c>
      <c r="M1362" s="1693">
        <f t="shared" si="263"/>
        <v>0</v>
      </c>
      <c r="N1362" s="1693">
        <f t="shared" si="263"/>
        <v>0</v>
      </c>
      <c r="O1362" s="1693"/>
      <c r="P1362" s="1693"/>
      <c r="Q1362" s="989"/>
      <c r="R1362" s="989"/>
      <c r="S1362" s="989"/>
      <c r="T1362" s="1862">
        <f t="shared" si="261"/>
        <v>0</v>
      </c>
    </row>
    <row r="1363" spans="1:20" ht="22.2" hidden="1" customHeight="1">
      <c r="A1363" s="1448">
        <f>COUNTIF($C$12:C1363,"x")</f>
        <v>87</v>
      </c>
      <c r="B1363" s="1471" t="s">
        <v>1891</v>
      </c>
      <c r="C1363" s="970" t="str">
        <f t="shared" si="262"/>
        <v xml:space="preserve"> </v>
      </c>
      <c r="D1363" s="1415">
        <v>2</v>
      </c>
      <c r="E1363" s="980"/>
      <c r="F1363" s="992" t="str">
        <f>VLOOKUP($B1363,DG!A:D,DG!$C$2,)</f>
        <v>Boulon 16x100VRS+ 4 long đền vuông D18-50x50x3/Zn</v>
      </c>
      <c r="G1363" s="980" t="str">
        <f>VLOOKUP($B1363,DG!A:D,DG!$D$2,)</f>
        <v>bộ</v>
      </c>
      <c r="H1363" s="1693">
        <f t="shared" si="263"/>
        <v>0</v>
      </c>
      <c r="I1363" s="1693">
        <f t="shared" si="263"/>
        <v>0</v>
      </c>
      <c r="J1363" s="1693">
        <f t="shared" si="263"/>
        <v>0</v>
      </c>
      <c r="K1363" s="1693">
        <f t="shared" si="263"/>
        <v>0</v>
      </c>
      <c r="L1363" s="1693">
        <f t="shared" si="263"/>
        <v>0</v>
      </c>
      <c r="M1363" s="1693">
        <f t="shared" si="263"/>
        <v>0</v>
      </c>
      <c r="N1363" s="1693">
        <f t="shared" si="263"/>
        <v>0</v>
      </c>
      <c r="O1363" s="1693"/>
      <c r="P1363" s="1693"/>
      <c r="Q1363" s="989"/>
      <c r="R1363" s="989"/>
      <c r="S1363" s="989"/>
      <c r="T1363" s="1862">
        <f t="shared" si="261"/>
        <v>0</v>
      </c>
    </row>
    <row r="1364" spans="1:20" ht="22.2" hidden="1" customHeight="1">
      <c r="A1364" s="1448">
        <f>COUNTIF($C$12:C1364,"x")</f>
        <v>87</v>
      </c>
      <c r="B1364" s="1471" t="s">
        <v>340</v>
      </c>
      <c r="C1364" s="970" t="str">
        <f t="shared" si="262"/>
        <v xml:space="preserve"> </v>
      </c>
      <c r="D1364" s="1415">
        <v>1</v>
      </c>
      <c r="E1364" s="980"/>
      <c r="F1364" s="992" t="str">
        <f>VLOOKUP($B1364,DG!A:D,DG!$C$2,)</f>
        <v>Boulon 16x270/80+ 2 long đền vuông D18-50x50x3/Zn</v>
      </c>
      <c r="G1364" s="980" t="str">
        <f>VLOOKUP($B1364,DG!A:D,DG!$D$2,)</f>
        <v>bộ</v>
      </c>
      <c r="H1364" s="1693">
        <f t="shared" si="263"/>
        <v>0</v>
      </c>
      <c r="I1364" s="1693">
        <f t="shared" si="263"/>
        <v>0</v>
      </c>
      <c r="J1364" s="1693">
        <f t="shared" si="263"/>
        <v>0</v>
      </c>
      <c r="K1364" s="1693">
        <f t="shared" si="263"/>
        <v>0</v>
      </c>
      <c r="L1364" s="1693">
        <f t="shared" si="263"/>
        <v>0</v>
      </c>
      <c r="M1364" s="1693">
        <f t="shared" si="263"/>
        <v>0</v>
      </c>
      <c r="N1364" s="1693">
        <f t="shared" si="263"/>
        <v>0</v>
      </c>
      <c r="O1364" s="1693"/>
      <c r="P1364" s="1693"/>
      <c r="Q1364" s="989"/>
      <c r="R1364" s="989"/>
      <c r="S1364" s="989"/>
      <c r="T1364" s="1862">
        <f t="shared" si="261"/>
        <v>0</v>
      </c>
    </row>
    <row r="1365" spans="1:20" ht="22.2" hidden="1" customHeight="1">
      <c r="A1365" s="1448">
        <f>COUNTIF($C$12:C1365,"x")</f>
        <v>87</v>
      </c>
      <c r="B1365" s="1455" t="s">
        <v>2000</v>
      </c>
      <c r="C1365" s="970" t="str">
        <f t="shared" si="262"/>
        <v xml:space="preserve"> </v>
      </c>
      <c r="D1365" s="1415">
        <v>2</v>
      </c>
      <c r="E1365" s="980"/>
      <c r="F1365" s="992" t="str">
        <f>VLOOKUP($B1365,DG!A:D,DG!$C$2,)</f>
        <v>Yếm cáp dày 2mm</v>
      </c>
      <c r="G1365" s="980" t="str">
        <f>VLOOKUP($B1365,DG!A:D,DG!$D$2,)</f>
        <v>cái</v>
      </c>
      <c r="H1365" s="1693">
        <f t="shared" si="263"/>
        <v>0</v>
      </c>
      <c r="I1365" s="1693">
        <f t="shared" si="263"/>
        <v>0</v>
      </c>
      <c r="J1365" s="1693">
        <f t="shared" si="263"/>
        <v>0</v>
      </c>
      <c r="K1365" s="1693">
        <f t="shared" si="263"/>
        <v>0</v>
      </c>
      <c r="L1365" s="1693">
        <f t="shared" si="263"/>
        <v>0</v>
      </c>
      <c r="M1365" s="1693">
        <f t="shared" si="263"/>
        <v>0</v>
      </c>
      <c r="N1365" s="1693">
        <f t="shared" si="263"/>
        <v>0</v>
      </c>
      <c r="O1365" s="1693"/>
      <c r="P1365" s="1693"/>
      <c r="Q1365" s="989"/>
      <c r="R1365" s="989"/>
      <c r="S1365" s="989"/>
      <c r="T1365" s="1862">
        <f t="shared" si="261"/>
        <v>0</v>
      </c>
    </row>
    <row r="1366" spans="1:20" ht="22.2" hidden="1" customHeight="1">
      <c r="A1366" s="1448">
        <f>COUNTIF($C$12:C1366,"x")</f>
        <v>87</v>
      </c>
      <c r="B1366" s="1455" t="s">
        <v>2001</v>
      </c>
      <c r="C1366" s="970" t="str">
        <f t="shared" si="262"/>
        <v xml:space="preserve"> </v>
      </c>
      <c r="D1366" s="1415">
        <v>1</v>
      </c>
      <c r="E1366" s="980"/>
      <c r="F1366" s="992" t="str">
        <f>VLOOKUP($B1366,DG!A:D,DG!$C$2,)</f>
        <v>Máng che dây chằng dày 1,6mm</v>
      </c>
      <c r="G1366" s="980" t="str">
        <f>VLOOKUP($B1366,DG!A:D,DG!$D$2,)</f>
        <v>cái</v>
      </c>
      <c r="H1366" s="1693">
        <f t="shared" si="263"/>
        <v>0</v>
      </c>
      <c r="I1366" s="1693">
        <f t="shared" si="263"/>
        <v>0</v>
      </c>
      <c r="J1366" s="1693">
        <f t="shared" si="263"/>
        <v>0</v>
      </c>
      <c r="K1366" s="1693">
        <f t="shared" si="263"/>
        <v>0</v>
      </c>
      <c r="L1366" s="1693">
        <f t="shared" si="263"/>
        <v>0</v>
      </c>
      <c r="M1366" s="1693">
        <f t="shared" si="263"/>
        <v>0</v>
      </c>
      <c r="N1366" s="1693">
        <f t="shared" si="263"/>
        <v>0</v>
      </c>
      <c r="O1366" s="1693"/>
      <c r="P1366" s="1693"/>
      <c r="Q1366" s="989"/>
      <c r="R1366" s="989"/>
      <c r="S1366" s="989"/>
      <c r="T1366" s="1862">
        <f t="shared" si="261"/>
        <v>0</v>
      </c>
    </row>
    <row r="1367" spans="1:20" ht="22.2" hidden="1" customHeight="1">
      <c r="A1367" s="1448">
        <f>COUNTIF($C$12:C1367,"x")</f>
        <v>87</v>
      </c>
      <c r="B1367" s="1455" t="s">
        <v>1918</v>
      </c>
      <c r="C1367" s="970" t="str">
        <f t="shared" si="262"/>
        <v xml:space="preserve"> </v>
      </c>
      <c r="D1367" s="1415">
        <f>D1356</f>
        <v>1</v>
      </c>
      <c r="E1367" s="980" t="str">
        <f>VLOOKUP($B1367,DG!A:D,DG!$B$2,)</f>
        <v>06.3241</v>
      </c>
      <c r="F1367" s="985" t="str">
        <f>VLOOKUP($B1367,DG!A:D,DG!$C$2,)</f>
        <v>Lắp bộ dây néo</v>
      </c>
      <c r="G1367" s="980" t="str">
        <f>VLOOKUP($B1367,DG!A:D,DG!$D$2,)</f>
        <v>bộ</v>
      </c>
      <c r="H1367" s="1693"/>
      <c r="I1367" s="1693"/>
      <c r="J1367" s="1693"/>
      <c r="K1367" s="1693"/>
      <c r="L1367" s="1693"/>
      <c r="M1367" s="1693"/>
      <c r="N1367" s="1693"/>
      <c r="O1367" s="1693"/>
      <c r="P1367" s="1693"/>
      <c r="Q1367" s="994"/>
      <c r="R1367" s="994"/>
      <c r="S1367" s="994"/>
      <c r="T1367" s="1862">
        <f t="shared" si="261"/>
        <v>0</v>
      </c>
    </row>
    <row r="1368" spans="1:20" ht="22.2" hidden="1" customHeight="1">
      <c r="A1368" s="1448">
        <f>COUNTIF($C$12:C1368,"x")</f>
        <v>87</v>
      </c>
      <c r="B1368" s="1455" t="s">
        <v>681</v>
      </c>
      <c r="C1368" s="970" t="str">
        <f t="shared" si="262"/>
        <v xml:space="preserve"> </v>
      </c>
      <c r="D1368" s="1415">
        <v>1</v>
      </c>
      <c r="E1368" s="980" t="str">
        <f>VLOOKUP($B1368,DG!A:D,DG!$B$2,)</f>
        <v>06.2110</v>
      </c>
      <c r="F1368" s="985" t="str">
        <f>VLOOKUP($B1368,DG!A:D,DG!$C$2,)</f>
        <v>Lắp cổ dê</v>
      </c>
      <c r="G1368" s="980" t="str">
        <f>VLOOKUP($B1368,DG!A:D,DG!$D$2,)</f>
        <v>cái</v>
      </c>
      <c r="H1368" s="1693"/>
      <c r="I1368" s="1693"/>
      <c r="J1368" s="1693"/>
      <c r="K1368" s="1693"/>
      <c r="L1368" s="1693"/>
      <c r="M1368" s="1693"/>
      <c r="N1368" s="1693"/>
      <c r="O1368" s="1693"/>
      <c r="P1368" s="1693"/>
      <c r="Q1368" s="994"/>
      <c r="R1368" s="994"/>
      <c r="S1368" s="994"/>
      <c r="T1368" s="1862">
        <f t="shared" si="261"/>
        <v>0</v>
      </c>
    </row>
    <row r="1369" spans="1:20" ht="22.2" hidden="1" customHeight="1">
      <c r="A1369" s="1448">
        <f>COUNTIF($C$12:C1369,"x")</f>
        <v>87</v>
      </c>
      <c r="B1369" s="1455" t="s">
        <v>1906</v>
      </c>
      <c r="C1369" s="970" t="str">
        <f t="shared" si="262"/>
        <v xml:space="preserve"> </v>
      </c>
      <c r="D1369" s="1415">
        <f>D1352</f>
        <v>1</v>
      </c>
      <c r="E1369" s="980" t="str">
        <f>VLOOKUP($B1369,DG!A:D,DG!$B$2,)</f>
        <v>05.6011</v>
      </c>
      <c r="F1369" s="985" t="str">
        <f>VLOOKUP($B1369,DG!A:D,DG!$C$2,)</f>
        <v>Lắp bộ chống lệch</v>
      </c>
      <c r="G1369" s="980" t="str">
        <f>VLOOKUP($B1369,DG!A:D,DG!$D$2,)</f>
        <v>bộ</v>
      </c>
      <c r="H1369" s="1693"/>
      <c r="I1369" s="1693"/>
      <c r="J1369" s="1693"/>
      <c r="K1369" s="1693"/>
      <c r="L1369" s="1693"/>
      <c r="M1369" s="1693"/>
      <c r="N1369" s="1693"/>
      <c r="O1369" s="1693"/>
      <c r="P1369" s="1693"/>
      <c r="Q1369" s="994"/>
      <c r="R1369" s="994"/>
      <c r="S1369" s="994"/>
      <c r="T1369" s="1862">
        <f t="shared" si="261"/>
        <v>0</v>
      </c>
    </row>
    <row r="1370" spans="1:20" ht="22.2" hidden="1" customHeight="1">
      <c r="A1370" s="1448">
        <f>COUNTIF($C$12:C1370,"x")</f>
        <v>87</v>
      </c>
      <c r="B1370" s="1464" t="s">
        <v>356</v>
      </c>
      <c r="C1370" s="970" t="str">
        <f t="shared" si="262"/>
        <v xml:space="preserve"> </v>
      </c>
      <c r="D1370" s="1414">
        <v>0.02</v>
      </c>
      <c r="E1370" s="980" t="str">
        <f>VLOOKUP($B1370,DG!A:C,2,)</f>
        <v>02.1421</v>
      </c>
      <c r="F1370" s="985" t="str">
        <f>VLOOKUP($B1370,DG!A:C,3,)</f>
        <v>V/c phụ kiện vào vị trí (cự ly &lt;=100m)</v>
      </c>
      <c r="G1370" s="980" t="str">
        <f>VLOOKUP($B1370,DG!A:D,4,0)</f>
        <v>tấn</v>
      </c>
      <c r="H1370" s="1693"/>
      <c r="I1370" s="1693"/>
      <c r="J1370" s="1693"/>
      <c r="K1370" s="1693"/>
      <c r="L1370" s="1693"/>
      <c r="M1370" s="1693"/>
      <c r="N1370" s="1693"/>
      <c r="O1370" s="1693"/>
      <c r="P1370" s="1693"/>
      <c r="Q1370" s="994"/>
      <c r="R1370" s="994"/>
      <c r="S1370" s="994"/>
      <c r="T1370" s="1862">
        <f t="shared" si="261"/>
        <v>0</v>
      </c>
    </row>
    <row r="1371" spans="1:20" ht="22.2" hidden="1" customHeight="1">
      <c r="A1371" s="1448">
        <f>COUNTIF($C$12:C1371,"x")</f>
        <v>87</v>
      </c>
      <c r="B1371" s="1452" t="s">
        <v>1240</v>
      </c>
      <c r="C1371" s="970" t="str">
        <f t="shared" si="262"/>
        <v xml:space="preserve"> </v>
      </c>
      <c r="D1371" s="1412"/>
      <c r="E1371" s="981"/>
      <c r="F1371" s="1276" t="s">
        <v>2485</v>
      </c>
      <c r="G1371" s="982" t="s">
        <v>2385</v>
      </c>
      <c r="H1371" s="1691">
        <f>SUM(I1371:O1371)</f>
        <v>0</v>
      </c>
      <c r="I1371" s="1692"/>
      <c r="J1371" s="1692"/>
      <c r="K1371" s="1692">
        <f>IFERROR(HLOOKUP(B1371,pp3p1m!$1:$3,2,0),0)</f>
        <v>0</v>
      </c>
      <c r="L1371" s="1692">
        <f>IFERROR(HLOOKUP(chitiet!B1371,pp1p!$1:$3,3,0),0)</f>
        <v>0</v>
      </c>
      <c r="M1371" s="1692"/>
      <c r="N1371" s="1692"/>
      <c r="O1371" s="1692"/>
      <c r="P1371" s="2674">
        <f>T1371</f>
        <v>0</v>
      </c>
      <c r="Q1371" s="983">
        <f>IF(P1371&gt;H1371,P1371-H1371,0)</f>
        <v>0</v>
      </c>
      <c r="R1371" s="983">
        <f>IF(H1371&gt;P1371,H1371-P1371,0)</f>
        <v>0</v>
      </c>
      <c r="S1371" s="983"/>
      <c r="T1371" s="1862">
        <f>IFERROR(HLOOKUP(B1371,pp1p!$1:$3,3,0),0)+IFERROR(HLOOKUP(B1371,pp3p1m!$1:$3,3,0),0)</f>
        <v>0</v>
      </c>
    </row>
    <row r="1372" spans="1:20" ht="22.2" hidden="1" customHeight="1">
      <c r="A1372" s="1448">
        <f>COUNTIF($C$12:C1372,"x")</f>
        <v>87</v>
      </c>
      <c r="B1372" s="1455" t="s">
        <v>669</v>
      </c>
      <c r="C1372" s="970" t="str">
        <f t="shared" si="262"/>
        <v xml:space="preserve"> </v>
      </c>
      <c r="D1372" s="1415">
        <v>1</v>
      </c>
      <c r="E1372" s="980"/>
      <c r="F1372" s="992" t="str">
        <f>VLOOKUP($B1372,DG!A:D,DG!$C$2,)&amp;"-Fe8x100 nhuùng keõm"</f>
        <v>Cổ dê Ø 195 nẹp trụ-Fe8x100 nhuùng keõm</v>
      </c>
      <c r="G1372" s="980" t="str">
        <f>VLOOKUP($B1372,DG!A:D,DG!$D$2,)</f>
        <v>bộ</v>
      </c>
      <c r="H1372" s="1693">
        <f t="shared" ref="H1372:N1381" si="264">H$1371*$D1372</f>
        <v>0</v>
      </c>
      <c r="I1372" s="1693">
        <f t="shared" si="264"/>
        <v>0</v>
      </c>
      <c r="J1372" s="1693">
        <f t="shared" si="264"/>
        <v>0</v>
      </c>
      <c r="K1372" s="1693">
        <f t="shared" si="264"/>
        <v>0</v>
      </c>
      <c r="L1372" s="1693">
        <f t="shared" si="264"/>
        <v>0</v>
      </c>
      <c r="M1372" s="1693">
        <f t="shared" si="264"/>
        <v>0</v>
      </c>
      <c r="N1372" s="1693">
        <f t="shared" si="264"/>
        <v>0</v>
      </c>
      <c r="O1372" s="1693"/>
      <c r="P1372" s="1693"/>
      <c r="Q1372" s="989"/>
      <c r="R1372" s="989"/>
      <c r="S1372" s="989"/>
      <c r="T1372" s="1862">
        <f t="shared" si="261"/>
        <v>0</v>
      </c>
    </row>
    <row r="1373" spans="1:20" ht="22.2" hidden="1" customHeight="1">
      <c r="A1373" s="1448">
        <f>COUNTIF($C$12:C1373,"x")</f>
        <v>87</v>
      </c>
      <c r="B1373" s="1455" t="s">
        <v>1466</v>
      </c>
      <c r="C1373" s="970" t="str">
        <f t="shared" si="262"/>
        <v xml:space="preserve"> </v>
      </c>
      <c r="D1373" s="1415">
        <v>1</v>
      </c>
      <c r="E1373" s="980"/>
      <c r="F1373" s="992" t="str">
        <f>VLOOKUP($B1373,DG!A:D,DG!$C$2,)&amp;"-Fe8x100 nhuùng keõm"</f>
        <v>Cổ dê Ø 220 nẹp trụ-Fe8x100 nhuùng keõm</v>
      </c>
      <c r="G1373" s="980" t="str">
        <f>VLOOKUP($B1373,DG!A:D,DG!$D$2,)</f>
        <v>bộ</v>
      </c>
      <c r="H1373" s="1693">
        <f t="shared" si="264"/>
        <v>0</v>
      </c>
      <c r="I1373" s="1693">
        <f t="shared" si="264"/>
        <v>0</v>
      </c>
      <c r="J1373" s="1693">
        <f t="shared" si="264"/>
        <v>0</v>
      </c>
      <c r="K1373" s="1693">
        <f t="shared" si="264"/>
        <v>0</v>
      </c>
      <c r="L1373" s="1693">
        <f t="shared" si="264"/>
        <v>0</v>
      </c>
      <c r="M1373" s="1693">
        <f t="shared" si="264"/>
        <v>0</v>
      </c>
      <c r="N1373" s="1693">
        <f t="shared" si="264"/>
        <v>0</v>
      </c>
      <c r="O1373" s="1693"/>
      <c r="P1373" s="1693"/>
      <c r="Q1373" s="989"/>
      <c r="R1373" s="989"/>
      <c r="S1373" s="989"/>
      <c r="T1373" s="1862">
        <f t="shared" si="261"/>
        <v>0</v>
      </c>
    </row>
    <row r="1374" spans="1:20" ht="22.2" hidden="1" customHeight="1">
      <c r="A1374" s="1448">
        <f>COUNTIF($C$12:C1374,"x")</f>
        <v>87</v>
      </c>
      <c r="B1374" s="1455" t="s">
        <v>111</v>
      </c>
      <c r="C1374" s="970" t="str">
        <f t="shared" si="262"/>
        <v xml:space="preserve"> </v>
      </c>
      <c r="D1374" s="1415">
        <v>2</v>
      </c>
      <c r="E1374" s="980"/>
      <c r="F1374" s="992" t="str">
        <f>VLOOKUP($B1374,DG!A:D,DG!$C$2,)</f>
        <v>Sứ chằng</v>
      </c>
      <c r="G1374" s="980" t="str">
        <f>VLOOKUP($B1374,DG!A:D,DG!$D$2,)</f>
        <v>cái</v>
      </c>
      <c r="H1374" s="1693">
        <f t="shared" si="264"/>
        <v>0</v>
      </c>
      <c r="I1374" s="1693">
        <f t="shared" si="264"/>
        <v>0</v>
      </c>
      <c r="J1374" s="1693">
        <f t="shared" si="264"/>
        <v>0</v>
      </c>
      <c r="K1374" s="1693">
        <f t="shared" si="264"/>
        <v>0</v>
      </c>
      <c r="L1374" s="1693">
        <f t="shared" si="264"/>
        <v>0</v>
      </c>
      <c r="M1374" s="1693">
        <f t="shared" si="264"/>
        <v>0</v>
      </c>
      <c r="N1374" s="1693">
        <f t="shared" si="264"/>
        <v>0</v>
      </c>
      <c r="O1374" s="1693"/>
      <c r="P1374" s="1693"/>
      <c r="Q1374" s="989"/>
      <c r="R1374" s="989"/>
      <c r="S1374" s="989"/>
      <c r="T1374" s="1862">
        <f t="shared" si="261"/>
        <v>0</v>
      </c>
    </row>
    <row r="1375" spans="1:20" ht="22.2" hidden="1" customHeight="1">
      <c r="A1375" s="1448">
        <f>COUNTIF($C$12:C1375,"x")</f>
        <v>87</v>
      </c>
      <c r="B1375" s="1455" t="s">
        <v>1578</v>
      </c>
      <c r="C1375" s="970" t="str">
        <f t="shared" si="262"/>
        <v xml:space="preserve"> </v>
      </c>
      <c r="D1375" s="1415">
        <v>16</v>
      </c>
      <c r="E1375" s="980"/>
      <c r="F1375" s="992" t="str">
        <f>VLOOKUP($B1375,DG!A:D,DG!$C$2,)</f>
        <v>Kẹp cáp 3 boulon</v>
      </c>
      <c r="G1375" s="980" t="str">
        <f>VLOOKUP($B1375,DG!A:D,DG!$D$2,)</f>
        <v>cái</v>
      </c>
      <c r="H1375" s="1693">
        <f t="shared" si="264"/>
        <v>0</v>
      </c>
      <c r="I1375" s="1693">
        <f t="shared" si="264"/>
        <v>0</v>
      </c>
      <c r="J1375" s="1693">
        <f t="shared" si="264"/>
        <v>0</v>
      </c>
      <c r="K1375" s="1693">
        <f t="shared" si="264"/>
        <v>0</v>
      </c>
      <c r="L1375" s="1693">
        <f t="shared" si="264"/>
        <v>0</v>
      </c>
      <c r="M1375" s="1693">
        <f t="shared" si="264"/>
        <v>0</v>
      </c>
      <c r="N1375" s="1693">
        <f t="shared" si="264"/>
        <v>0</v>
      </c>
      <c r="O1375" s="1693"/>
      <c r="P1375" s="1693"/>
      <c r="Q1375" s="989"/>
      <c r="R1375" s="989"/>
      <c r="S1375" s="989"/>
      <c r="T1375" s="1862">
        <f t="shared" si="261"/>
        <v>0</v>
      </c>
    </row>
    <row r="1376" spans="1:20" ht="22.2" hidden="1" customHeight="1">
      <c r="A1376" s="1448">
        <f>COUNTIF($C$12:C1376,"x")</f>
        <v>87</v>
      </c>
      <c r="B1376" s="1470" t="s">
        <v>1049</v>
      </c>
      <c r="C1376" s="970" t="str">
        <f t="shared" si="262"/>
        <v xml:space="preserve"> </v>
      </c>
      <c r="D1376" s="1415">
        <v>36</v>
      </c>
      <c r="E1376" s="980"/>
      <c r="F1376" s="992" t="str">
        <f>VLOOKUP($B1376,DG!A:D,DG!$C$2,)</f>
        <v>Kẹp hotline 4/0</v>
      </c>
      <c r="G1376" s="980" t="str">
        <f>VLOOKUP($B1376,DG!A:D,DG!$D$2,)</f>
        <v>cái</v>
      </c>
      <c r="H1376" s="1693">
        <f t="shared" si="264"/>
        <v>0</v>
      </c>
      <c r="I1376" s="1693">
        <f t="shared" si="264"/>
        <v>0</v>
      </c>
      <c r="J1376" s="1693">
        <f t="shared" si="264"/>
        <v>0</v>
      </c>
      <c r="K1376" s="1693">
        <f t="shared" si="264"/>
        <v>0</v>
      </c>
      <c r="L1376" s="1693">
        <f t="shared" si="264"/>
        <v>0</v>
      </c>
      <c r="M1376" s="1693">
        <f t="shared" si="264"/>
        <v>0</v>
      </c>
      <c r="N1376" s="1693">
        <f t="shared" si="264"/>
        <v>0</v>
      </c>
      <c r="O1376" s="1693"/>
      <c r="P1376" s="1693"/>
      <c r="Q1376" s="989"/>
      <c r="R1376" s="989"/>
      <c r="S1376" s="989"/>
      <c r="T1376" s="1862">
        <f t="shared" si="261"/>
        <v>0</v>
      </c>
    </row>
    <row r="1377" spans="1:20" ht="22.2" hidden="1" customHeight="1">
      <c r="A1377" s="1448">
        <f>COUNTIF($C$12:C1377,"x")</f>
        <v>87</v>
      </c>
      <c r="B1377" s="1455" t="s">
        <v>279</v>
      </c>
      <c r="C1377" s="970" t="str">
        <f t="shared" si="262"/>
        <v xml:space="preserve"> </v>
      </c>
      <c r="D1377" s="1415">
        <v>4</v>
      </c>
      <c r="E1377" s="980"/>
      <c r="F1377" s="992" t="str">
        <f>VLOOKUP($B1377,DG!A:D,DG!$C$2,)</f>
        <v>Sắt dẹt 60 x 6</v>
      </c>
      <c r="G1377" s="980" t="str">
        <f>VLOOKUP($B1377,DG!A:D,DG!$D$2,)</f>
        <v>kg</v>
      </c>
      <c r="H1377" s="1693">
        <f t="shared" si="264"/>
        <v>0</v>
      </c>
      <c r="I1377" s="1693">
        <f t="shared" si="264"/>
        <v>0</v>
      </c>
      <c r="J1377" s="1693">
        <f t="shared" si="264"/>
        <v>0</v>
      </c>
      <c r="K1377" s="1693">
        <f t="shared" si="264"/>
        <v>0</v>
      </c>
      <c r="L1377" s="1693">
        <f t="shared" si="264"/>
        <v>0</v>
      </c>
      <c r="M1377" s="1693">
        <f t="shared" si="264"/>
        <v>0</v>
      </c>
      <c r="N1377" s="1693">
        <f t="shared" si="264"/>
        <v>0</v>
      </c>
      <c r="O1377" s="1693"/>
      <c r="P1377" s="1693"/>
      <c r="Q1377" s="989"/>
      <c r="R1377" s="989"/>
      <c r="S1377" s="989"/>
      <c r="T1377" s="1862">
        <f t="shared" si="261"/>
        <v>0</v>
      </c>
    </row>
    <row r="1378" spans="1:20" ht="22.2" hidden="1" customHeight="1">
      <c r="A1378" s="1448">
        <f>COUNTIF($C$12:C1378,"x")</f>
        <v>87</v>
      </c>
      <c r="B1378" s="1455" t="s">
        <v>1371</v>
      </c>
      <c r="C1378" s="970" t="str">
        <f t="shared" si="262"/>
        <v xml:space="preserve"> </v>
      </c>
      <c r="D1378" s="1415">
        <v>2</v>
      </c>
      <c r="E1378" s="980"/>
      <c r="F1378" s="992" t="str">
        <f>VLOOKUP($B1378,DG!A:D,DG!$C$2,)</f>
        <v xml:space="preserve">Móc treo chữ U </v>
      </c>
      <c r="G1378" s="980" t="str">
        <f>VLOOKUP($B1378,DG!A:D,DG!$D$2,)</f>
        <v>cái</v>
      </c>
      <c r="H1378" s="1693">
        <f t="shared" si="264"/>
        <v>0</v>
      </c>
      <c r="I1378" s="1693">
        <f t="shared" si="264"/>
        <v>0</v>
      </c>
      <c r="J1378" s="1693">
        <f t="shared" si="264"/>
        <v>0</v>
      </c>
      <c r="K1378" s="1693">
        <f t="shared" si="264"/>
        <v>0</v>
      </c>
      <c r="L1378" s="1693">
        <f t="shared" si="264"/>
        <v>0</v>
      </c>
      <c r="M1378" s="1693">
        <f t="shared" si="264"/>
        <v>0</v>
      </c>
      <c r="N1378" s="1693">
        <f t="shared" si="264"/>
        <v>0</v>
      </c>
      <c r="O1378" s="1693"/>
      <c r="P1378" s="1693"/>
      <c r="Q1378" s="989"/>
      <c r="R1378" s="989"/>
      <c r="S1378" s="989"/>
      <c r="T1378" s="1862">
        <f t="shared" si="261"/>
        <v>0</v>
      </c>
    </row>
    <row r="1379" spans="1:20" ht="22.2" hidden="1" customHeight="1">
      <c r="A1379" s="1448">
        <f>COUNTIF($C$12:C1379,"x")</f>
        <v>87</v>
      </c>
      <c r="B1379" s="1471" t="s">
        <v>1891</v>
      </c>
      <c r="C1379" s="970" t="str">
        <f t="shared" si="262"/>
        <v xml:space="preserve"> </v>
      </c>
      <c r="D1379" s="1415">
        <v>4</v>
      </c>
      <c r="E1379" s="980"/>
      <c r="F1379" s="992" t="str">
        <f>VLOOKUP($B1379,DG!A:D,DG!$C$2,)</f>
        <v>Boulon 16x100VRS+ 4 long đền vuông D18-50x50x3/Zn</v>
      </c>
      <c r="G1379" s="980" t="str">
        <f>VLOOKUP($B1379,DG!A:D,DG!$D$2,)</f>
        <v>bộ</v>
      </c>
      <c r="H1379" s="1693">
        <f t="shared" si="264"/>
        <v>0</v>
      </c>
      <c r="I1379" s="1693">
        <f t="shared" si="264"/>
        <v>0</v>
      </c>
      <c r="J1379" s="1693">
        <f t="shared" si="264"/>
        <v>0</v>
      </c>
      <c r="K1379" s="1693">
        <f t="shared" si="264"/>
        <v>0</v>
      </c>
      <c r="L1379" s="1693">
        <f t="shared" si="264"/>
        <v>0</v>
      </c>
      <c r="M1379" s="1693">
        <f t="shared" si="264"/>
        <v>0</v>
      </c>
      <c r="N1379" s="1693">
        <f t="shared" si="264"/>
        <v>0</v>
      </c>
      <c r="O1379" s="1693"/>
      <c r="P1379" s="1693"/>
      <c r="Q1379" s="989"/>
      <c r="R1379" s="989"/>
      <c r="S1379" s="989"/>
      <c r="T1379" s="1862">
        <f t="shared" si="261"/>
        <v>0</v>
      </c>
    </row>
    <row r="1380" spans="1:20" ht="22.2" hidden="1" customHeight="1">
      <c r="A1380" s="1448">
        <f>COUNTIF($C$12:C1380,"x")</f>
        <v>87</v>
      </c>
      <c r="B1380" s="1455" t="s">
        <v>2000</v>
      </c>
      <c r="C1380" s="970" t="str">
        <f t="shared" si="262"/>
        <v xml:space="preserve"> </v>
      </c>
      <c r="D1380" s="1415">
        <v>4</v>
      </c>
      <c r="E1380" s="980"/>
      <c r="F1380" s="992" t="str">
        <f>VLOOKUP($B1380,DG!A:D,DG!$C$2,)</f>
        <v>Yếm cáp dày 2mm</v>
      </c>
      <c r="G1380" s="980" t="str">
        <f>VLOOKUP($B1380,DG!A:D,DG!$D$2,)</f>
        <v>cái</v>
      </c>
      <c r="H1380" s="1693">
        <f t="shared" si="264"/>
        <v>0</v>
      </c>
      <c r="I1380" s="1693">
        <f t="shared" si="264"/>
        <v>0</v>
      </c>
      <c r="J1380" s="1693">
        <f t="shared" si="264"/>
        <v>0</v>
      </c>
      <c r="K1380" s="1693">
        <f t="shared" si="264"/>
        <v>0</v>
      </c>
      <c r="L1380" s="1693">
        <f t="shared" si="264"/>
        <v>0</v>
      </c>
      <c r="M1380" s="1693">
        <f t="shared" si="264"/>
        <v>0</v>
      </c>
      <c r="N1380" s="1693">
        <f t="shared" si="264"/>
        <v>0</v>
      </c>
      <c r="O1380" s="1693"/>
      <c r="P1380" s="1693"/>
      <c r="Q1380" s="989"/>
      <c r="R1380" s="989"/>
      <c r="S1380" s="989"/>
      <c r="T1380" s="1862">
        <f t="shared" si="261"/>
        <v>0</v>
      </c>
    </row>
    <row r="1381" spans="1:20" ht="22.2" hidden="1" customHeight="1">
      <c r="A1381" s="1448">
        <f>COUNTIF($C$12:C1381,"x")</f>
        <v>87</v>
      </c>
      <c r="B1381" s="1455" t="s">
        <v>2001</v>
      </c>
      <c r="C1381" s="970" t="str">
        <f t="shared" si="262"/>
        <v xml:space="preserve"> </v>
      </c>
      <c r="D1381" s="1415">
        <v>2</v>
      </c>
      <c r="E1381" s="980"/>
      <c r="F1381" s="992" t="str">
        <f>VLOOKUP($B1381,DG!A:D,DG!$C$2,)</f>
        <v>Máng che dây chằng dày 1,6mm</v>
      </c>
      <c r="G1381" s="980" t="str">
        <f>VLOOKUP($B1381,DG!A:D,DG!$D$2,)</f>
        <v>cái</v>
      </c>
      <c r="H1381" s="1693">
        <f t="shared" si="264"/>
        <v>0</v>
      </c>
      <c r="I1381" s="1693">
        <f t="shared" si="264"/>
        <v>0</v>
      </c>
      <c r="J1381" s="1693">
        <f t="shared" si="264"/>
        <v>0</v>
      </c>
      <c r="K1381" s="1693">
        <f t="shared" si="264"/>
        <v>0</v>
      </c>
      <c r="L1381" s="1693">
        <f t="shared" si="264"/>
        <v>0</v>
      </c>
      <c r="M1381" s="1693">
        <f t="shared" si="264"/>
        <v>0</v>
      </c>
      <c r="N1381" s="1693">
        <f t="shared" si="264"/>
        <v>0</v>
      </c>
      <c r="O1381" s="1693"/>
      <c r="P1381" s="1693"/>
      <c r="Q1381" s="989"/>
      <c r="R1381" s="989"/>
      <c r="S1381" s="989"/>
      <c r="T1381" s="1862">
        <f t="shared" si="261"/>
        <v>0</v>
      </c>
    </row>
    <row r="1382" spans="1:20" ht="22.2" hidden="1" customHeight="1">
      <c r="A1382" s="1448">
        <f>COUNTIF($C$12:C1382,"x")</f>
        <v>87</v>
      </c>
      <c r="B1382" s="1455" t="s">
        <v>1918</v>
      </c>
      <c r="C1382" s="970" t="str">
        <f t="shared" si="262"/>
        <v xml:space="preserve"> </v>
      </c>
      <c r="D1382" s="1415">
        <f>D1372</f>
        <v>1</v>
      </c>
      <c r="E1382" s="980" t="str">
        <f>VLOOKUP($B1382,DG!A:D,DG!$B$2,)</f>
        <v>06.3241</v>
      </c>
      <c r="F1382" s="985" t="str">
        <f>VLOOKUP($B1382,DG!A:D,DG!$C$2,)</f>
        <v>Lắp bộ dây néo</v>
      </c>
      <c r="G1382" s="980" t="str">
        <f>VLOOKUP($B1382,DG!A:D,DG!$D$2,)</f>
        <v>bộ</v>
      </c>
      <c r="H1382" s="1693"/>
      <c r="I1382" s="1693"/>
      <c r="J1382" s="1693"/>
      <c r="K1382" s="1693"/>
      <c r="L1382" s="1693"/>
      <c r="M1382" s="1693"/>
      <c r="N1382" s="1693"/>
      <c r="O1382" s="1693"/>
      <c r="P1382" s="1693"/>
      <c r="Q1382" s="994"/>
      <c r="R1382" s="994"/>
      <c r="S1382" s="994"/>
      <c r="T1382" s="1862">
        <f t="shared" si="261"/>
        <v>0</v>
      </c>
    </row>
    <row r="1383" spans="1:20" ht="22.2" hidden="1" customHeight="1">
      <c r="A1383" s="1448">
        <f>COUNTIF($C$12:C1383,"x")</f>
        <v>87</v>
      </c>
      <c r="B1383" s="1455" t="s">
        <v>681</v>
      </c>
      <c r="C1383" s="970" t="str">
        <f t="shared" si="262"/>
        <v xml:space="preserve"> </v>
      </c>
      <c r="D1383" s="1415">
        <v>2</v>
      </c>
      <c r="E1383" s="980" t="str">
        <f>VLOOKUP($B1383,DG!A:D,DG!$B$2,)</f>
        <v>06.2110</v>
      </c>
      <c r="F1383" s="985" t="str">
        <f>VLOOKUP($B1383,DG!A:D,DG!$C$2,)</f>
        <v>Lắp cổ dê</v>
      </c>
      <c r="G1383" s="980" t="str">
        <f>VLOOKUP($B1383,DG!A:D,DG!$D$2,)</f>
        <v>cái</v>
      </c>
      <c r="H1383" s="1693"/>
      <c r="I1383" s="1693"/>
      <c r="J1383" s="1693"/>
      <c r="K1383" s="1693"/>
      <c r="L1383" s="1693"/>
      <c r="M1383" s="1693"/>
      <c r="N1383" s="1693"/>
      <c r="O1383" s="1693"/>
      <c r="P1383" s="1693"/>
      <c r="Q1383" s="994"/>
      <c r="R1383" s="994"/>
      <c r="S1383" s="994"/>
      <c r="T1383" s="1862">
        <f t="shared" si="261"/>
        <v>0</v>
      </c>
    </row>
    <row r="1384" spans="1:20" ht="22.2" hidden="1" customHeight="1">
      <c r="A1384" s="1448">
        <f>COUNTIF($C$12:C1384,"x")</f>
        <v>87</v>
      </c>
      <c r="B1384" s="1464" t="s">
        <v>356</v>
      </c>
      <c r="C1384" s="970" t="str">
        <f t="shared" si="262"/>
        <v xml:space="preserve"> </v>
      </c>
      <c r="D1384" s="1414">
        <v>0.02</v>
      </c>
      <c r="E1384" s="980" t="str">
        <f>VLOOKUP($B1384,DG!A:C,2,)</f>
        <v>02.1421</v>
      </c>
      <c r="F1384" s="985" t="str">
        <f>VLOOKUP($B1384,DG!A:C,3,)</f>
        <v>V/c phụ kiện vào vị trí (cự ly &lt;=100m)</v>
      </c>
      <c r="G1384" s="980" t="str">
        <f>VLOOKUP($B1384,DG!A:D,4,0)</f>
        <v>tấn</v>
      </c>
      <c r="H1384" s="1693"/>
      <c r="I1384" s="1693"/>
      <c r="J1384" s="1693"/>
      <c r="K1384" s="1693"/>
      <c r="L1384" s="1693"/>
      <c r="M1384" s="1693"/>
      <c r="N1384" s="1693"/>
      <c r="O1384" s="1693"/>
      <c r="P1384" s="1693"/>
      <c r="Q1384" s="994"/>
      <c r="R1384" s="994"/>
      <c r="S1384" s="994"/>
      <c r="T1384" s="1862">
        <f t="shared" si="261"/>
        <v>0</v>
      </c>
    </row>
    <row r="1385" spans="1:20" ht="22.2" hidden="1" customHeight="1">
      <c r="A1385" s="1448">
        <f>COUNTIF($C$12:C1385,"x")</f>
        <v>87</v>
      </c>
      <c r="B1385" s="1452" t="s">
        <v>812</v>
      </c>
      <c r="C1385" s="970" t="str">
        <f t="shared" si="262"/>
        <v xml:space="preserve"> </v>
      </c>
      <c r="D1385" s="1412"/>
      <c r="E1385" s="981"/>
      <c r="F1385" s="1276" t="s">
        <v>2486</v>
      </c>
      <c r="G1385" s="982" t="s">
        <v>2385</v>
      </c>
      <c r="H1385" s="1691">
        <f>SUM(I1385:O1385)</f>
        <v>0</v>
      </c>
      <c r="I1385" s="1692"/>
      <c r="J1385" s="1692"/>
      <c r="K1385" s="1692">
        <f>IFERROR(HLOOKUP(B1385,pp3p1m!$1:$3,2,0),0)</f>
        <v>0</v>
      </c>
      <c r="L1385" s="1692">
        <f>IFERROR(HLOOKUP(chitiet!B1385,pp1p!$1:$3,3,0),0)</f>
        <v>0</v>
      </c>
      <c r="M1385" s="1692"/>
      <c r="N1385" s="1692"/>
      <c r="O1385" s="1692"/>
      <c r="P1385" s="2674">
        <f>T1385</f>
        <v>0</v>
      </c>
      <c r="Q1385" s="983">
        <f>IF(P1385&gt;H1385,P1385-H1385,0)</f>
        <v>0</v>
      </c>
      <c r="R1385" s="983">
        <f>IF(H1385&gt;P1385,H1385-P1385,0)</f>
        <v>0</v>
      </c>
      <c r="S1385" s="983"/>
      <c r="T1385" s="1862">
        <f>IFERROR(HLOOKUP(B1385,pp1p!$1:$3,3,0),0)+IFERROR(HLOOKUP(B1385,pp3p1m!$1:$3,3,0),0)</f>
        <v>0</v>
      </c>
    </row>
    <row r="1386" spans="1:20" ht="22.2" hidden="1" customHeight="1">
      <c r="A1386" s="1448">
        <f>COUNTIF($C$12:C1386,"x")</f>
        <v>87</v>
      </c>
      <c r="B1386" s="1455" t="s">
        <v>669</v>
      </c>
      <c r="C1386" s="970" t="str">
        <f t="shared" si="262"/>
        <v xml:space="preserve"> </v>
      </c>
      <c r="D1386" s="1418">
        <v>1</v>
      </c>
      <c r="E1386" s="984"/>
      <c r="F1386" s="990" t="str">
        <f>VLOOKUP($B1386,DG!A:D,DG!$C$2,)&amp;"-Fe8x100 nhuùng keõm"</f>
        <v>Cổ dê Ø 195 nẹp trụ-Fe8x100 nhuùng keõm</v>
      </c>
      <c r="G1386" s="984" t="str">
        <f>VLOOKUP($B1386,DG!A:D,DG!$D$2,)</f>
        <v>bộ</v>
      </c>
      <c r="H1386" s="1694">
        <f t="shared" ref="H1386:J1394" si="265">H$1385*$D1386</f>
        <v>0</v>
      </c>
      <c r="I1386" s="1694">
        <f t="shared" si="265"/>
        <v>0</v>
      </c>
      <c r="J1386" s="1694">
        <f t="shared" si="265"/>
        <v>0</v>
      </c>
      <c r="K1386" s="1694"/>
      <c r="L1386" s="1694"/>
      <c r="M1386" s="1694"/>
      <c r="N1386" s="1694"/>
      <c r="O1386" s="1694"/>
      <c r="P1386" s="1694"/>
      <c r="Q1386" s="988"/>
      <c r="R1386" s="988"/>
      <c r="S1386" s="988"/>
      <c r="T1386" s="1862">
        <f t="shared" si="261"/>
        <v>0</v>
      </c>
    </row>
    <row r="1387" spans="1:20" ht="22.2" hidden="1" customHeight="1">
      <c r="A1387" s="1448">
        <f>COUNTIF($C$12:C1387,"x")</f>
        <v>87</v>
      </c>
      <c r="B1387" s="1455" t="s">
        <v>111</v>
      </c>
      <c r="C1387" s="970" t="str">
        <f t="shared" si="262"/>
        <v xml:space="preserve"> </v>
      </c>
      <c r="D1387" s="1418">
        <v>2</v>
      </c>
      <c r="E1387" s="984"/>
      <c r="F1387" s="990" t="str">
        <f>VLOOKUP($B1387,DG!A:D,DG!$C$2,)</f>
        <v>Sứ chằng</v>
      </c>
      <c r="G1387" s="984" t="str">
        <f>VLOOKUP($B1387,DG!A:D,DG!$D$2,)</f>
        <v>cái</v>
      </c>
      <c r="H1387" s="1694">
        <f t="shared" si="265"/>
        <v>0</v>
      </c>
      <c r="I1387" s="1694">
        <f t="shared" si="265"/>
        <v>0</v>
      </c>
      <c r="J1387" s="1694">
        <f t="shared" si="265"/>
        <v>0</v>
      </c>
      <c r="K1387" s="1694"/>
      <c r="L1387" s="1694"/>
      <c r="M1387" s="1694"/>
      <c r="N1387" s="1694"/>
      <c r="O1387" s="1694"/>
      <c r="P1387" s="1694"/>
      <c r="Q1387" s="988"/>
      <c r="R1387" s="988"/>
      <c r="S1387" s="988"/>
      <c r="T1387" s="1862">
        <f t="shared" si="261"/>
        <v>0</v>
      </c>
    </row>
    <row r="1388" spans="1:20" ht="22.2" hidden="1" customHeight="1">
      <c r="A1388" s="1448">
        <f>COUNTIF($C$12:C1388,"x")</f>
        <v>87</v>
      </c>
      <c r="B1388" s="1455" t="s">
        <v>1578</v>
      </c>
      <c r="C1388" s="970" t="str">
        <f t="shared" si="262"/>
        <v xml:space="preserve"> </v>
      </c>
      <c r="D1388" s="1418">
        <v>8</v>
      </c>
      <c r="E1388" s="984"/>
      <c r="F1388" s="990" t="str">
        <f>VLOOKUP($B1388,DG!A:D,DG!$C$2,)</f>
        <v>Kẹp cáp 3 boulon</v>
      </c>
      <c r="G1388" s="984" t="str">
        <f>VLOOKUP($B1388,DG!A:D,DG!$D$2,)</f>
        <v>cái</v>
      </c>
      <c r="H1388" s="1694">
        <f t="shared" si="265"/>
        <v>0</v>
      </c>
      <c r="I1388" s="1694">
        <f t="shared" si="265"/>
        <v>0</v>
      </c>
      <c r="J1388" s="1694">
        <f t="shared" si="265"/>
        <v>0</v>
      </c>
      <c r="K1388" s="1694"/>
      <c r="L1388" s="1694"/>
      <c r="M1388" s="1694"/>
      <c r="N1388" s="1694"/>
      <c r="O1388" s="1694"/>
      <c r="P1388" s="1694"/>
      <c r="Q1388" s="988"/>
      <c r="R1388" s="988"/>
      <c r="S1388" s="988"/>
      <c r="T1388" s="1862">
        <f t="shared" si="261"/>
        <v>0</v>
      </c>
    </row>
    <row r="1389" spans="1:20" ht="22.2" hidden="1" customHeight="1">
      <c r="A1389" s="1448">
        <f>COUNTIF($C$12:C1389,"x")</f>
        <v>87</v>
      </c>
      <c r="B1389" s="1455" t="s">
        <v>1359</v>
      </c>
      <c r="C1389" s="970" t="str">
        <f t="shared" si="262"/>
        <v xml:space="preserve"> </v>
      </c>
      <c r="D1389" s="1418">
        <v>19</v>
      </c>
      <c r="E1389" s="984"/>
      <c r="F1389" s="990" t="str">
        <f>VLOOKUP($B1389,DG!A:D,DG!$C$2,)</f>
        <v>Cáp thép 5/8"</v>
      </c>
      <c r="G1389" s="984" t="str">
        <f>VLOOKUP($B1389,DG!A:D,DG!$D$2,)</f>
        <v>kg</v>
      </c>
      <c r="H1389" s="1694">
        <f t="shared" si="265"/>
        <v>0</v>
      </c>
      <c r="I1389" s="1694">
        <f t="shared" si="265"/>
        <v>0</v>
      </c>
      <c r="J1389" s="1694">
        <f t="shared" si="265"/>
        <v>0</v>
      </c>
      <c r="K1389" s="1694"/>
      <c r="L1389" s="1694"/>
      <c r="M1389" s="1694"/>
      <c r="N1389" s="1694"/>
      <c r="O1389" s="1694"/>
      <c r="P1389" s="1694"/>
      <c r="Q1389" s="988"/>
      <c r="R1389" s="988"/>
      <c r="S1389" s="988"/>
      <c r="T1389" s="1862">
        <f t="shared" si="261"/>
        <v>0</v>
      </c>
    </row>
    <row r="1390" spans="1:20" ht="22.2" hidden="1" customHeight="1">
      <c r="A1390" s="1448">
        <f>COUNTIF($C$12:C1390,"x")</f>
        <v>87</v>
      </c>
      <c r="B1390" s="1455" t="s">
        <v>279</v>
      </c>
      <c r="C1390" s="970" t="str">
        <f t="shared" si="262"/>
        <v xml:space="preserve"> </v>
      </c>
      <c r="D1390" s="1418">
        <v>2</v>
      </c>
      <c r="E1390" s="984"/>
      <c r="F1390" s="990" t="str">
        <f>VLOOKUP($B1390,DG!A:D,DG!$C$2,)</f>
        <v>Sắt dẹt 60 x 6</v>
      </c>
      <c r="G1390" s="984" t="str">
        <f>VLOOKUP($B1390,DG!A:D,DG!$D$2,)</f>
        <v>kg</v>
      </c>
      <c r="H1390" s="1694">
        <f t="shared" si="265"/>
        <v>0</v>
      </c>
      <c r="I1390" s="1694">
        <f t="shared" si="265"/>
        <v>0</v>
      </c>
      <c r="J1390" s="1694">
        <f t="shared" si="265"/>
        <v>0</v>
      </c>
      <c r="K1390" s="1694"/>
      <c r="L1390" s="1694"/>
      <c r="M1390" s="1694"/>
      <c r="N1390" s="1694"/>
      <c r="O1390" s="1694"/>
      <c r="P1390" s="1694"/>
      <c r="Q1390" s="988"/>
      <c r="R1390" s="988"/>
      <c r="S1390" s="988"/>
      <c r="T1390" s="1862">
        <f t="shared" si="261"/>
        <v>0</v>
      </c>
    </row>
    <row r="1391" spans="1:20" ht="22.2" hidden="1" customHeight="1">
      <c r="A1391" s="1448">
        <f>COUNTIF($C$12:C1391,"x")</f>
        <v>87</v>
      </c>
      <c r="B1391" s="1455" t="s">
        <v>1371</v>
      </c>
      <c r="C1391" s="970" t="str">
        <f t="shared" si="262"/>
        <v xml:space="preserve"> </v>
      </c>
      <c r="D1391" s="1418">
        <v>1</v>
      </c>
      <c r="E1391" s="984"/>
      <c r="F1391" s="990" t="str">
        <f>VLOOKUP($B1391,DG!A:D,DG!$C$2,)</f>
        <v xml:space="preserve">Móc treo chữ U </v>
      </c>
      <c r="G1391" s="984" t="str">
        <f>VLOOKUP($B1391,DG!A:D,DG!$D$2,)</f>
        <v>cái</v>
      </c>
      <c r="H1391" s="1694">
        <f t="shared" si="265"/>
        <v>0</v>
      </c>
      <c r="I1391" s="1694">
        <f t="shared" si="265"/>
        <v>0</v>
      </c>
      <c r="J1391" s="1694">
        <f t="shared" si="265"/>
        <v>0</v>
      </c>
      <c r="K1391" s="1694"/>
      <c r="L1391" s="1694"/>
      <c r="M1391" s="1694"/>
      <c r="N1391" s="1694"/>
      <c r="O1391" s="1694"/>
      <c r="P1391" s="1694"/>
      <c r="Q1391" s="988"/>
      <c r="R1391" s="988"/>
      <c r="S1391" s="988"/>
      <c r="T1391" s="1862">
        <f t="shared" si="261"/>
        <v>0</v>
      </c>
    </row>
    <row r="1392" spans="1:20" ht="22.2" hidden="1" customHeight="1">
      <c r="A1392" s="1448">
        <f>COUNTIF($C$12:C1392,"x")</f>
        <v>87</v>
      </c>
      <c r="B1392" s="1471" t="s">
        <v>1891</v>
      </c>
      <c r="C1392" s="970" t="str">
        <f t="shared" si="262"/>
        <v xml:space="preserve"> </v>
      </c>
      <c r="D1392" s="1418">
        <v>2</v>
      </c>
      <c r="E1392" s="984"/>
      <c r="F1392" s="990" t="str">
        <f>VLOOKUP($B1392,DG!A:D,DG!$C$2,)</f>
        <v>Boulon 16x100VRS+ 4 long đền vuông D18-50x50x3/Zn</v>
      </c>
      <c r="G1392" s="984" t="str">
        <f>VLOOKUP($B1392,DG!A:D,DG!$D$2,)</f>
        <v>bộ</v>
      </c>
      <c r="H1392" s="1694">
        <f t="shared" si="265"/>
        <v>0</v>
      </c>
      <c r="I1392" s="1694">
        <f t="shared" si="265"/>
        <v>0</v>
      </c>
      <c r="J1392" s="1694">
        <f t="shared" si="265"/>
        <v>0</v>
      </c>
      <c r="K1392" s="1694"/>
      <c r="L1392" s="1694"/>
      <c r="M1392" s="1694"/>
      <c r="N1392" s="1694"/>
      <c r="O1392" s="1694"/>
      <c r="P1392" s="1694"/>
      <c r="Q1392" s="988"/>
      <c r="R1392" s="988"/>
      <c r="S1392" s="988"/>
      <c r="T1392" s="1862">
        <f t="shared" si="261"/>
        <v>0</v>
      </c>
    </row>
    <row r="1393" spans="1:20" ht="22.2" hidden="1" customHeight="1">
      <c r="A1393" s="1448">
        <f>COUNTIF($C$12:C1393,"x")</f>
        <v>87</v>
      </c>
      <c r="B1393" s="1455" t="s">
        <v>2000</v>
      </c>
      <c r="C1393" s="970" t="str">
        <f t="shared" si="262"/>
        <v xml:space="preserve"> </v>
      </c>
      <c r="D1393" s="1418">
        <v>2</v>
      </c>
      <c r="E1393" s="984"/>
      <c r="F1393" s="990" t="str">
        <f>VLOOKUP($B1393,DG!A:D,DG!$C$2,)</f>
        <v>Yếm cáp dày 2mm</v>
      </c>
      <c r="G1393" s="984" t="str">
        <f>VLOOKUP($B1393,DG!A:D,DG!$D$2,)</f>
        <v>cái</v>
      </c>
      <c r="H1393" s="1694">
        <f t="shared" si="265"/>
        <v>0</v>
      </c>
      <c r="I1393" s="1694">
        <f t="shared" si="265"/>
        <v>0</v>
      </c>
      <c r="J1393" s="1694">
        <f t="shared" si="265"/>
        <v>0</v>
      </c>
      <c r="K1393" s="1694"/>
      <c r="L1393" s="1694"/>
      <c r="M1393" s="1694"/>
      <c r="N1393" s="1694"/>
      <c r="O1393" s="1694"/>
      <c r="P1393" s="1694"/>
      <c r="Q1393" s="988"/>
      <c r="R1393" s="988"/>
      <c r="S1393" s="988"/>
      <c r="T1393" s="1862">
        <f t="shared" si="261"/>
        <v>0</v>
      </c>
    </row>
    <row r="1394" spans="1:20" ht="22.2" hidden="1" customHeight="1">
      <c r="A1394" s="1448">
        <f>COUNTIF($C$12:C1394,"x")</f>
        <v>87</v>
      </c>
      <c r="B1394" s="1455" t="s">
        <v>2001</v>
      </c>
      <c r="C1394" s="970" t="str">
        <f t="shared" si="262"/>
        <v xml:space="preserve"> </v>
      </c>
      <c r="D1394" s="1418">
        <v>1</v>
      </c>
      <c r="E1394" s="984"/>
      <c r="F1394" s="990" t="str">
        <f>VLOOKUP($B1394,DG!A:D,DG!$C$2,)</f>
        <v>Máng che dây chằng dày 1,6mm</v>
      </c>
      <c r="G1394" s="984" t="str">
        <f>VLOOKUP($B1394,DG!A:D,DG!$D$2,)</f>
        <v>cái</v>
      </c>
      <c r="H1394" s="1694">
        <f t="shared" si="265"/>
        <v>0</v>
      </c>
      <c r="I1394" s="1694">
        <f t="shared" si="265"/>
        <v>0</v>
      </c>
      <c r="J1394" s="1694">
        <f t="shared" si="265"/>
        <v>0</v>
      </c>
      <c r="K1394" s="1694"/>
      <c r="L1394" s="1694"/>
      <c r="M1394" s="1694"/>
      <c r="N1394" s="1694"/>
      <c r="O1394" s="1694"/>
      <c r="P1394" s="1694"/>
      <c r="Q1394" s="988"/>
      <c r="R1394" s="988"/>
      <c r="S1394" s="988"/>
      <c r="T1394" s="1862">
        <f t="shared" si="261"/>
        <v>0</v>
      </c>
    </row>
    <row r="1395" spans="1:20" ht="22.2" hidden="1" customHeight="1">
      <c r="A1395" s="1448">
        <f>COUNTIF($C$12:C1395,"x")</f>
        <v>87</v>
      </c>
      <c r="B1395" s="1455" t="s">
        <v>1918</v>
      </c>
      <c r="C1395" s="970" t="str">
        <f t="shared" si="262"/>
        <v xml:space="preserve"> </v>
      </c>
      <c r="D1395" s="1418">
        <f>D1386</f>
        <v>1</v>
      </c>
      <c r="E1395" s="984" t="str">
        <f>VLOOKUP($B1395,DG!A:D,DG!$B$2,)</f>
        <v>06.3241</v>
      </c>
      <c r="F1395" s="985" t="str">
        <f>VLOOKUP($B1395,DG!A:D,DG!$C$2,)</f>
        <v>Lắp bộ dây néo</v>
      </c>
      <c r="G1395" s="984" t="str">
        <f>VLOOKUP($B1395,DG!A:D,DG!$D$2,)</f>
        <v>bộ</v>
      </c>
      <c r="H1395" s="1694"/>
      <c r="I1395" s="1694"/>
      <c r="J1395" s="1694"/>
      <c r="K1395" s="1694"/>
      <c r="L1395" s="1694"/>
      <c r="M1395" s="1694"/>
      <c r="N1395" s="1694"/>
      <c r="O1395" s="1694"/>
      <c r="P1395" s="1694"/>
      <c r="Q1395" s="991"/>
      <c r="R1395" s="991"/>
      <c r="S1395" s="991"/>
      <c r="T1395" s="1862">
        <f t="shared" si="261"/>
        <v>0</v>
      </c>
    </row>
    <row r="1396" spans="1:20" ht="22.2" hidden="1" customHeight="1">
      <c r="A1396" s="1448">
        <f>COUNTIF($C$12:C1396,"x")</f>
        <v>87</v>
      </c>
      <c r="B1396" s="1455" t="s">
        <v>681</v>
      </c>
      <c r="C1396" s="970" t="str">
        <f t="shared" si="262"/>
        <v xml:space="preserve"> </v>
      </c>
      <c r="D1396" s="1418">
        <v>1</v>
      </c>
      <c r="E1396" s="984" t="str">
        <f>VLOOKUP($B1396,DG!A:D,DG!$B$2,)</f>
        <v>06.2110</v>
      </c>
      <c r="F1396" s="985" t="str">
        <f>VLOOKUP($B1396,DG!A:D,DG!$C$2,)</f>
        <v>Lắp cổ dê</v>
      </c>
      <c r="G1396" s="984" t="str">
        <f>VLOOKUP($B1396,DG!A:D,DG!$D$2,)</f>
        <v>cái</v>
      </c>
      <c r="H1396" s="1694"/>
      <c r="I1396" s="1694"/>
      <c r="J1396" s="1694"/>
      <c r="K1396" s="1694"/>
      <c r="L1396" s="1694"/>
      <c r="M1396" s="1694"/>
      <c r="N1396" s="1694"/>
      <c r="O1396" s="1694"/>
      <c r="P1396" s="1694"/>
      <c r="Q1396" s="991"/>
      <c r="R1396" s="991"/>
      <c r="S1396" s="991"/>
      <c r="T1396" s="1862">
        <f t="shared" si="261"/>
        <v>0</v>
      </c>
    </row>
    <row r="1397" spans="1:20" ht="22.2" hidden="1" customHeight="1">
      <c r="A1397" s="1448">
        <f>COUNTIF($C$12:C1397,"x")</f>
        <v>87</v>
      </c>
      <c r="B1397" s="1464" t="s">
        <v>356</v>
      </c>
      <c r="C1397" s="970" t="str">
        <f t="shared" si="262"/>
        <v xml:space="preserve"> </v>
      </c>
      <c r="D1397" s="1417">
        <v>0.02</v>
      </c>
      <c r="E1397" s="984" t="str">
        <f>VLOOKUP($B1397,DG!A:C,2,)</f>
        <v>02.1421</v>
      </c>
      <c r="F1397" s="985" t="str">
        <f>VLOOKUP($B1397,DG!A:C,3,)</f>
        <v>V/c phụ kiện vào vị trí (cự ly &lt;=100m)</v>
      </c>
      <c r="G1397" s="984" t="str">
        <f>VLOOKUP($B1397,DG!A:D,4,0)</f>
        <v>tấn</v>
      </c>
      <c r="H1397" s="1694"/>
      <c r="I1397" s="1694"/>
      <c r="J1397" s="1694"/>
      <c r="K1397" s="1694"/>
      <c r="L1397" s="1694"/>
      <c r="M1397" s="1694"/>
      <c r="N1397" s="1694"/>
      <c r="O1397" s="1694"/>
      <c r="P1397" s="1694"/>
      <c r="Q1397" s="991"/>
      <c r="R1397" s="991"/>
      <c r="S1397" s="991"/>
      <c r="T1397" s="1862">
        <f t="shared" si="261"/>
        <v>0</v>
      </c>
    </row>
    <row r="1398" spans="1:20" ht="22.2" hidden="1" customHeight="1">
      <c r="A1398" s="1448">
        <f>COUNTIF($C$12:C1398,"x")</f>
        <v>87</v>
      </c>
      <c r="B1398" s="1452" t="s">
        <v>1089</v>
      </c>
      <c r="C1398" s="970" t="str">
        <f t="shared" si="262"/>
        <v xml:space="preserve"> </v>
      </c>
      <c r="D1398" s="1412"/>
      <c r="E1398" s="981"/>
      <c r="F1398" s="1276" t="s">
        <v>2487</v>
      </c>
      <c r="G1398" s="982" t="s">
        <v>2385</v>
      </c>
      <c r="H1398" s="1691">
        <f>SUM(I1398:O1398)</f>
        <v>0</v>
      </c>
      <c r="I1398" s="1692"/>
      <c r="J1398" s="1692"/>
      <c r="K1398" s="1692">
        <f>IFERROR(HLOOKUP(B1398,pp3p1m!$1:$3,2,0),0)</f>
        <v>0</v>
      </c>
      <c r="L1398" s="1692">
        <f>IFERROR(HLOOKUP(chitiet!B1398,pp1p!$1:$3,3,0),0)</f>
        <v>0</v>
      </c>
      <c r="M1398" s="1692"/>
      <c r="N1398" s="1692"/>
      <c r="O1398" s="1692"/>
      <c r="P1398" s="2674">
        <f>T1398</f>
        <v>0</v>
      </c>
      <c r="Q1398" s="983">
        <f>IF(P1398&gt;H1398,P1398-H1398,0)</f>
        <v>0</v>
      </c>
      <c r="R1398" s="983">
        <f>IF(H1398&gt;P1398,H1398-P1398,0)</f>
        <v>0</v>
      </c>
      <c r="S1398" s="983"/>
      <c r="T1398" s="1862">
        <f>IFERROR(HLOOKUP(B1398,pp1p!$1:$3,3,0),0)+IFERROR(HLOOKUP(B1398,pp3p1m!$1:$3,3,0),0)</f>
        <v>0</v>
      </c>
    </row>
    <row r="1399" spans="1:20" ht="22.2" hidden="1" customHeight="1">
      <c r="A1399" s="1448">
        <f>COUNTIF($C$12:C1399,"x")</f>
        <v>87</v>
      </c>
      <c r="B1399" s="1455" t="s">
        <v>669</v>
      </c>
      <c r="C1399" s="970" t="str">
        <f t="shared" si="262"/>
        <v xml:space="preserve"> </v>
      </c>
      <c r="D1399" s="1415">
        <v>1</v>
      </c>
      <c r="E1399" s="980"/>
      <c r="F1399" s="992" t="str">
        <f>VLOOKUP($B1399,DG!A:D,DG!$C$2,)&amp;"-Fe8x100 nhuùng keõm"</f>
        <v>Cổ dê Ø 195 nẹp trụ-Fe8x100 nhuùng keõm</v>
      </c>
      <c r="G1399" s="980" t="str">
        <f>VLOOKUP($B1399,DG!A:D,DG!$D$2,)</f>
        <v>bộ</v>
      </c>
      <c r="H1399" s="1693">
        <f t="shared" ref="H1399:N1406" si="266">H$1398*$D1399</f>
        <v>0</v>
      </c>
      <c r="I1399" s="1693">
        <f t="shared" si="266"/>
        <v>0</v>
      </c>
      <c r="J1399" s="1693">
        <f t="shared" si="266"/>
        <v>0</v>
      </c>
      <c r="K1399" s="1693">
        <f t="shared" si="266"/>
        <v>0</v>
      </c>
      <c r="L1399" s="1693">
        <f t="shared" si="266"/>
        <v>0</v>
      </c>
      <c r="M1399" s="1693">
        <f t="shared" si="266"/>
        <v>0</v>
      </c>
      <c r="N1399" s="1693">
        <f t="shared" si="266"/>
        <v>0</v>
      </c>
      <c r="O1399" s="1693"/>
      <c r="P1399" s="1693"/>
      <c r="Q1399" s="989"/>
      <c r="R1399" s="989"/>
      <c r="S1399" s="989"/>
      <c r="T1399" s="1862">
        <f t="shared" si="261"/>
        <v>0</v>
      </c>
    </row>
    <row r="1400" spans="1:20" ht="22.2" hidden="1" customHeight="1">
      <c r="A1400" s="1448">
        <f>COUNTIF($C$12:C1400,"x")</f>
        <v>87</v>
      </c>
      <c r="B1400" s="1455" t="s">
        <v>111</v>
      </c>
      <c r="C1400" s="970" t="str">
        <f t="shared" si="262"/>
        <v xml:space="preserve"> </v>
      </c>
      <c r="D1400" s="1415">
        <v>2</v>
      </c>
      <c r="E1400" s="980"/>
      <c r="F1400" s="992" t="str">
        <f>VLOOKUP($B1400,DG!A:D,DG!$C$2,)</f>
        <v>Sứ chằng</v>
      </c>
      <c r="G1400" s="980" t="str">
        <f>VLOOKUP($B1400,DG!A:D,DG!$D$2,)</f>
        <v>cái</v>
      </c>
      <c r="H1400" s="1693">
        <f t="shared" si="266"/>
        <v>0</v>
      </c>
      <c r="I1400" s="1693">
        <f t="shared" si="266"/>
        <v>0</v>
      </c>
      <c r="J1400" s="1693">
        <f t="shared" si="266"/>
        <v>0</v>
      </c>
      <c r="K1400" s="1693">
        <f t="shared" si="266"/>
        <v>0</v>
      </c>
      <c r="L1400" s="1693">
        <f t="shared" si="266"/>
        <v>0</v>
      </c>
      <c r="M1400" s="1693">
        <f t="shared" si="266"/>
        <v>0</v>
      </c>
      <c r="N1400" s="1693">
        <f t="shared" si="266"/>
        <v>0</v>
      </c>
      <c r="O1400" s="1693"/>
      <c r="P1400" s="1693"/>
      <c r="Q1400" s="989"/>
      <c r="R1400" s="989"/>
      <c r="S1400" s="989"/>
      <c r="T1400" s="1862">
        <f t="shared" si="261"/>
        <v>0</v>
      </c>
    </row>
    <row r="1401" spans="1:20" ht="22.2" hidden="1" customHeight="1">
      <c r="A1401" s="1448">
        <f>COUNTIF($C$12:C1401,"x")</f>
        <v>87</v>
      </c>
      <c r="B1401" s="1455" t="s">
        <v>1578</v>
      </c>
      <c r="C1401" s="970" t="str">
        <f t="shared" si="262"/>
        <v xml:space="preserve"> </v>
      </c>
      <c r="D1401" s="1415">
        <v>12</v>
      </c>
      <c r="E1401" s="980"/>
      <c r="F1401" s="992" t="str">
        <f>VLOOKUP($B1401,DG!A:D,DG!$C$2,)</f>
        <v>Kẹp cáp 3 boulon</v>
      </c>
      <c r="G1401" s="980" t="str">
        <f>VLOOKUP($B1401,DG!A:D,DG!$D$2,)</f>
        <v>cái</v>
      </c>
      <c r="H1401" s="1693">
        <f t="shared" si="266"/>
        <v>0</v>
      </c>
      <c r="I1401" s="1693">
        <f t="shared" si="266"/>
        <v>0</v>
      </c>
      <c r="J1401" s="1693">
        <f t="shared" si="266"/>
        <v>0</v>
      </c>
      <c r="K1401" s="1693">
        <f t="shared" si="266"/>
        <v>0</v>
      </c>
      <c r="L1401" s="1693">
        <f t="shared" si="266"/>
        <v>0</v>
      </c>
      <c r="M1401" s="1693">
        <f t="shared" si="266"/>
        <v>0</v>
      </c>
      <c r="N1401" s="1693">
        <f t="shared" si="266"/>
        <v>0</v>
      </c>
      <c r="O1401" s="1693"/>
      <c r="P1401" s="1693"/>
      <c r="Q1401" s="989"/>
      <c r="R1401" s="989"/>
      <c r="S1401" s="989"/>
      <c r="T1401" s="1862">
        <f t="shared" si="261"/>
        <v>0</v>
      </c>
    </row>
    <row r="1402" spans="1:20" ht="22.2" hidden="1" customHeight="1">
      <c r="A1402" s="1448">
        <f>COUNTIF($C$12:C1402,"x")</f>
        <v>87</v>
      </c>
      <c r="B1402" s="1470" t="s">
        <v>1049</v>
      </c>
      <c r="C1402" s="970" t="str">
        <f t="shared" si="262"/>
        <v xml:space="preserve"> </v>
      </c>
      <c r="D1402" s="1415">
        <v>6</v>
      </c>
      <c r="E1402" s="980"/>
      <c r="F1402" s="992" t="str">
        <f>VLOOKUP($B1402,DG!A:D,DG!$C$2,)</f>
        <v>Kẹp hotline 4/0</v>
      </c>
      <c r="G1402" s="980" t="str">
        <f>VLOOKUP($B1402,DG!A:D,DG!$D$2,)</f>
        <v>cái</v>
      </c>
      <c r="H1402" s="1693">
        <f t="shared" si="266"/>
        <v>0</v>
      </c>
      <c r="I1402" s="1693">
        <f t="shared" si="266"/>
        <v>0</v>
      </c>
      <c r="J1402" s="1693">
        <f t="shared" si="266"/>
        <v>0</v>
      </c>
      <c r="K1402" s="1693">
        <f t="shared" si="266"/>
        <v>0</v>
      </c>
      <c r="L1402" s="1693">
        <f t="shared" si="266"/>
        <v>0</v>
      </c>
      <c r="M1402" s="1693">
        <f t="shared" si="266"/>
        <v>0</v>
      </c>
      <c r="N1402" s="1693">
        <f t="shared" si="266"/>
        <v>0</v>
      </c>
      <c r="O1402" s="1693"/>
      <c r="P1402" s="1693"/>
      <c r="Q1402" s="989"/>
      <c r="R1402" s="989"/>
      <c r="S1402" s="989"/>
      <c r="T1402" s="1862">
        <f t="shared" si="261"/>
        <v>0</v>
      </c>
    </row>
    <row r="1403" spans="1:20" ht="22.2" hidden="1" customHeight="1">
      <c r="A1403" s="1448">
        <f>COUNTIF($C$12:C1403,"x")</f>
        <v>87</v>
      </c>
      <c r="B1403" s="1455" t="s">
        <v>279</v>
      </c>
      <c r="C1403" s="970" t="str">
        <f t="shared" si="262"/>
        <v xml:space="preserve"> </v>
      </c>
      <c r="D1403" s="1415">
        <v>2</v>
      </c>
      <c r="E1403" s="980"/>
      <c r="F1403" s="992" t="str">
        <f>VLOOKUP($B1403,DG!A:D,DG!$C$2,)</f>
        <v>Sắt dẹt 60 x 6</v>
      </c>
      <c r="G1403" s="980" t="str">
        <f>VLOOKUP($B1403,DG!A:D,DG!$D$2,)</f>
        <v>kg</v>
      </c>
      <c r="H1403" s="1693">
        <f t="shared" si="266"/>
        <v>0</v>
      </c>
      <c r="I1403" s="1693">
        <f t="shared" si="266"/>
        <v>0</v>
      </c>
      <c r="J1403" s="1693">
        <f t="shared" si="266"/>
        <v>0</v>
      </c>
      <c r="K1403" s="1693">
        <f t="shared" si="266"/>
        <v>0</v>
      </c>
      <c r="L1403" s="1693">
        <f t="shared" si="266"/>
        <v>0</v>
      </c>
      <c r="M1403" s="1693">
        <f t="shared" si="266"/>
        <v>0</v>
      </c>
      <c r="N1403" s="1693">
        <f t="shared" si="266"/>
        <v>0</v>
      </c>
      <c r="O1403" s="1693"/>
      <c r="P1403" s="1693"/>
      <c r="Q1403" s="989"/>
      <c r="R1403" s="989"/>
      <c r="S1403" s="989"/>
      <c r="T1403" s="1862">
        <f t="shared" si="261"/>
        <v>0</v>
      </c>
    </row>
    <row r="1404" spans="1:20" ht="22.2" hidden="1" customHeight="1">
      <c r="A1404" s="1448">
        <f>COUNTIF($C$12:C1404,"x")</f>
        <v>87</v>
      </c>
      <c r="B1404" s="1455" t="s">
        <v>1371</v>
      </c>
      <c r="C1404" s="970" t="str">
        <f t="shared" si="262"/>
        <v xml:space="preserve"> </v>
      </c>
      <c r="D1404" s="1415">
        <v>2</v>
      </c>
      <c r="E1404" s="980"/>
      <c r="F1404" s="992" t="str">
        <f>VLOOKUP($B1404,DG!A:D,DG!$C$2,)</f>
        <v xml:space="preserve">Móc treo chữ U </v>
      </c>
      <c r="G1404" s="980" t="str">
        <f>VLOOKUP($B1404,DG!A:D,DG!$D$2,)</f>
        <v>cái</v>
      </c>
      <c r="H1404" s="1693">
        <f t="shared" si="266"/>
        <v>0</v>
      </c>
      <c r="I1404" s="1693">
        <f t="shared" si="266"/>
        <v>0</v>
      </c>
      <c r="J1404" s="1693">
        <f t="shared" si="266"/>
        <v>0</v>
      </c>
      <c r="K1404" s="1693">
        <f t="shared" si="266"/>
        <v>0</v>
      </c>
      <c r="L1404" s="1693">
        <f t="shared" si="266"/>
        <v>0</v>
      </c>
      <c r="M1404" s="1693">
        <f t="shared" si="266"/>
        <v>0</v>
      </c>
      <c r="N1404" s="1693">
        <f t="shared" si="266"/>
        <v>0</v>
      </c>
      <c r="O1404" s="1693"/>
      <c r="P1404" s="1693"/>
      <c r="Q1404" s="989"/>
      <c r="R1404" s="989"/>
      <c r="S1404" s="989"/>
      <c r="T1404" s="1862">
        <f t="shared" si="261"/>
        <v>0</v>
      </c>
    </row>
    <row r="1405" spans="1:20" ht="22.2" hidden="1" customHeight="1">
      <c r="A1405" s="1448">
        <f>COUNTIF($C$12:C1405,"x")</f>
        <v>87</v>
      </c>
      <c r="B1405" s="1471" t="s">
        <v>1891</v>
      </c>
      <c r="C1405" s="970" t="str">
        <f t="shared" si="262"/>
        <v xml:space="preserve"> </v>
      </c>
      <c r="D1405" s="1415">
        <v>2</v>
      </c>
      <c r="E1405" s="980"/>
      <c r="F1405" s="992" t="str">
        <f>VLOOKUP($B1405,DG!A:D,DG!$C$2,)</f>
        <v>Boulon 16x100VRS+ 4 long đền vuông D18-50x50x3/Zn</v>
      </c>
      <c r="G1405" s="980" t="str">
        <f>VLOOKUP($B1405,DG!A:D,DG!$D$2,)</f>
        <v>bộ</v>
      </c>
      <c r="H1405" s="1693">
        <f t="shared" si="266"/>
        <v>0</v>
      </c>
      <c r="I1405" s="1693">
        <f t="shared" si="266"/>
        <v>0</v>
      </c>
      <c r="J1405" s="1693">
        <f t="shared" si="266"/>
        <v>0</v>
      </c>
      <c r="K1405" s="1693">
        <f t="shared" si="266"/>
        <v>0</v>
      </c>
      <c r="L1405" s="1693">
        <f t="shared" si="266"/>
        <v>0</v>
      </c>
      <c r="M1405" s="1693">
        <f t="shared" si="266"/>
        <v>0</v>
      </c>
      <c r="N1405" s="1693">
        <f t="shared" si="266"/>
        <v>0</v>
      </c>
      <c r="O1405" s="1693"/>
      <c r="P1405" s="1693"/>
      <c r="Q1405" s="989"/>
      <c r="R1405" s="989"/>
      <c r="S1405" s="989"/>
      <c r="T1405" s="1862">
        <f t="shared" si="261"/>
        <v>0</v>
      </c>
    </row>
    <row r="1406" spans="1:20" ht="22.2" hidden="1" customHeight="1">
      <c r="A1406" s="1448">
        <f>COUNTIF($C$12:C1406,"x")</f>
        <v>87</v>
      </c>
      <c r="B1406" s="1455" t="s">
        <v>2000</v>
      </c>
      <c r="C1406" s="970" t="str">
        <f t="shared" si="262"/>
        <v xml:space="preserve"> </v>
      </c>
      <c r="D1406" s="1415">
        <v>2</v>
      </c>
      <c r="E1406" s="980"/>
      <c r="F1406" s="992" t="str">
        <f>VLOOKUP($B1406,DG!A:D,DG!$C$2,)</f>
        <v>Yếm cáp dày 2mm</v>
      </c>
      <c r="G1406" s="980" t="str">
        <f>VLOOKUP($B1406,DG!A:D,DG!$D$2,)</f>
        <v>cái</v>
      </c>
      <c r="H1406" s="1693">
        <f t="shared" si="266"/>
        <v>0</v>
      </c>
      <c r="I1406" s="1693">
        <f t="shared" si="266"/>
        <v>0</v>
      </c>
      <c r="J1406" s="1693">
        <f t="shared" si="266"/>
        <v>0</v>
      </c>
      <c r="K1406" s="1693">
        <f t="shared" si="266"/>
        <v>0</v>
      </c>
      <c r="L1406" s="1693">
        <f t="shared" si="266"/>
        <v>0</v>
      </c>
      <c r="M1406" s="1693">
        <f t="shared" si="266"/>
        <v>0</v>
      </c>
      <c r="N1406" s="1693">
        <f t="shared" si="266"/>
        <v>0</v>
      </c>
      <c r="O1406" s="1693"/>
      <c r="P1406" s="1693"/>
      <c r="Q1406" s="989"/>
      <c r="R1406" s="989"/>
      <c r="S1406" s="989"/>
      <c r="T1406" s="1862">
        <f t="shared" si="261"/>
        <v>0</v>
      </c>
    </row>
    <row r="1407" spans="1:20" ht="22.2" hidden="1" customHeight="1">
      <c r="A1407" s="1448">
        <f>COUNTIF($C$12:C1407,"x")</f>
        <v>87</v>
      </c>
      <c r="B1407" s="1455" t="s">
        <v>1918</v>
      </c>
      <c r="C1407" s="970" t="str">
        <f t="shared" si="262"/>
        <v xml:space="preserve"> </v>
      </c>
      <c r="D1407" s="1415">
        <f>D1399</f>
        <v>1</v>
      </c>
      <c r="E1407" s="980" t="str">
        <f>VLOOKUP($B1407,DG!A:D,DG!$B$2,)</f>
        <v>06.3241</v>
      </c>
      <c r="F1407" s="985" t="str">
        <f>VLOOKUP($B1407,DG!A:D,DG!$C$2,)</f>
        <v>Lắp bộ dây néo</v>
      </c>
      <c r="G1407" s="980" t="str">
        <f>VLOOKUP($B1407,DG!A:D,DG!$D$2,)</f>
        <v>bộ</v>
      </c>
      <c r="H1407" s="1693"/>
      <c r="I1407" s="1693"/>
      <c r="J1407" s="1693"/>
      <c r="K1407" s="1693"/>
      <c r="L1407" s="1693"/>
      <c r="M1407" s="1693"/>
      <c r="N1407" s="1693"/>
      <c r="O1407" s="1693"/>
      <c r="P1407" s="1693"/>
      <c r="Q1407" s="994"/>
      <c r="R1407" s="994"/>
      <c r="S1407" s="994"/>
      <c r="T1407" s="1862">
        <f t="shared" ref="T1407:T1470" si="267">IFERROR(HLOOKUP(B1407,BangKeTru,3,0),0)</f>
        <v>0</v>
      </c>
    </row>
    <row r="1408" spans="1:20" ht="22.2" hidden="1" customHeight="1">
      <c r="A1408" s="1448">
        <f>COUNTIF($C$12:C1408,"x")</f>
        <v>87</v>
      </c>
      <c r="B1408" s="1455" t="s">
        <v>681</v>
      </c>
      <c r="C1408" s="970" t="str">
        <f t="shared" si="262"/>
        <v xml:space="preserve"> </v>
      </c>
      <c r="D1408" s="1415">
        <v>1</v>
      </c>
      <c r="E1408" s="980" t="str">
        <f>VLOOKUP($B1408,DG!A:D,DG!$B$2,)</f>
        <v>06.2110</v>
      </c>
      <c r="F1408" s="985" t="str">
        <f>VLOOKUP($B1408,DG!A:D,DG!$C$2,)</f>
        <v>Lắp cổ dê</v>
      </c>
      <c r="G1408" s="980" t="str">
        <f>VLOOKUP($B1408,DG!A:D,DG!$D$2,)</f>
        <v>cái</v>
      </c>
      <c r="H1408" s="1693"/>
      <c r="I1408" s="1693"/>
      <c r="J1408" s="1693"/>
      <c r="K1408" s="1693"/>
      <c r="L1408" s="1693"/>
      <c r="M1408" s="1693"/>
      <c r="N1408" s="1693"/>
      <c r="O1408" s="1693"/>
      <c r="P1408" s="1693"/>
      <c r="Q1408" s="994"/>
      <c r="R1408" s="994"/>
      <c r="S1408" s="994"/>
      <c r="T1408" s="1862">
        <f t="shared" si="267"/>
        <v>0</v>
      </c>
    </row>
    <row r="1409" spans="1:20" ht="22.2" hidden="1" customHeight="1">
      <c r="A1409" s="1448">
        <f>COUNTIF($C$12:C1409,"x")</f>
        <v>87</v>
      </c>
      <c r="B1409" s="1464" t="s">
        <v>356</v>
      </c>
      <c r="C1409" s="970" t="str">
        <f t="shared" si="262"/>
        <v xml:space="preserve"> </v>
      </c>
      <c r="D1409" s="1414">
        <v>0.02</v>
      </c>
      <c r="E1409" s="980" t="str">
        <f>VLOOKUP($B1409,DG!A:C,2,)</f>
        <v>02.1421</v>
      </c>
      <c r="F1409" s="985" t="str">
        <f>VLOOKUP($B1409,DG!A:C,3,)</f>
        <v>V/c phụ kiện vào vị trí (cự ly &lt;=100m)</v>
      </c>
      <c r="G1409" s="980" t="str">
        <f>VLOOKUP($B1409,DG!A:D,4,0)</f>
        <v>tấn</v>
      </c>
      <c r="H1409" s="1693"/>
      <c r="I1409" s="1693"/>
      <c r="J1409" s="1693"/>
      <c r="K1409" s="1693"/>
      <c r="L1409" s="1693"/>
      <c r="M1409" s="1693"/>
      <c r="N1409" s="1693"/>
      <c r="O1409" s="1693"/>
      <c r="P1409" s="1693"/>
      <c r="Q1409" s="994"/>
      <c r="R1409" s="994"/>
      <c r="S1409" s="994"/>
      <c r="T1409" s="1862">
        <f t="shared" si="267"/>
        <v>0</v>
      </c>
    </row>
    <row r="1410" spans="1:20" ht="22.2" hidden="1" customHeight="1">
      <c r="A1410" s="1448">
        <f>COUNTIF($C$12:C1410,"x")</f>
        <v>87</v>
      </c>
      <c r="B1410" s="1452" t="s">
        <v>1090</v>
      </c>
      <c r="C1410" s="970" t="str">
        <f t="shared" si="262"/>
        <v xml:space="preserve"> </v>
      </c>
      <c r="D1410" s="1412"/>
      <c r="E1410" s="981"/>
      <c r="F1410" s="1276" t="s">
        <v>2488</v>
      </c>
      <c r="G1410" s="982" t="s">
        <v>2385</v>
      </c>
      <c r="H1410" s="1691">
        <f>SUM(I1410:O1410)</f>
        <v>0</v>
      </c>
      <c r="I1410" s="1692"/>
      <c r="J1410" s="1692"/>
      <c r="K1410" s="1692">
        <f>IFERROR(HLOOKUP(B1410,pp3p1m!$1:$3,2,0),0)</f>
        <v>0</v>
      </c>
      <c r="L1410" s="1692">
        <f>IFERROR(HLOOKUP(chitiet!B1410,pp1p!$1:$3,3,0),0)</f>
        <v>0</v>
      </c>
      <c r="M1410" s="1692"/>
      <c r="N1410" s="1692"/>
      <c r="O1410" s="1692"/>
      <c r="P1410" s="2674">
        <f>T1410</f>
        <v>0</v>
      </c>
      <c r="Q1410" s="983">
        <f>IF(P1410&gt;H1410,P1410-H1410,0)</f>
        <v>0</v>
      </c>
      <c r="R1410" s="983">
        <f>IF(H1410&gt;P1410,H1410-P1410,0)</f>
        <v>0</v>
      </c>
      <c r="S1410" s="983"/>
      <c r="T1410" s="1862">
        <f>IFERROR(HLOOKUP(B1410,pp1p!$1:$3,3,0),0)+IFERROR(HLOOKUP(B1410,pp3p1m!$1:$3,3,0),0)</f>
        <v>0</v>
      </c>
    </row>
    <row r="1411" spans="1:20" ht="22.2" hidden="1" customHeight="1">
      <c r="A1411" s="1448">
        <f>COUNTIF($C$12:C1411,"x")</f>
        <v>87</v>
      </c>
      <c r="B1411" s="1455" t="s">
        <v>669</v>
      </c>
      <c r="C1411" s="970" t="str">
        <f t="shared" si="262"/>
        <v xml:space="preserve"> </v>
      </c>
      <c r="D1411" s="1415">
        <v>2</v>
      </c>
      <c r="E1411" s="980"/>
      <c r="F1411" s="992" t="str">
        <f>VLOOKUP($B1411,DG!A:D,DG!$C$2,)&amp;"-Fe8x100 nhuùng keõm"</f>
        <v>Cổ dê Ø 195 nẹp trụ-Fe8x100 nhuùng keõm</v>
      </c>
      <c r="G1411" s="980" t="str">
        <f>VLOOKUP($B1411,DG!A:D,DG!$D$2,)</f>
        <v>bộ</v>
      </c>
      <c r="H1411" s="1693">
        <f t="shared" ref="H1411:N1418" si="268">H$1410*$D1411</f>
        <v>0</v>
      </c>
      <c r="I1411" s="1693">
        <f t="shared" si="268"/>
        <v>0</v>
      </c>
      <c r="J1411" s="1693">
        <f t="shared" si="268"/>
        <v>0</v>
      </c>
      <c r="K1411" s="1693">
        <f t="shared" si="268"/>
        <v>0</v>
      </c>
      <c r="L1411" s="1693">
        <f t="shared" si="268"/>
        <v>0</v>
      </c>
      <c r="M1411" s="1693">
        <f t="shared" si="268"/>
        <v>0</v>
      </c>
      <c r="N1411" s="1693">
        <f t="shared" si="268"/>
        <v>0</v>
      </c>
      <c r="O1411" s="1693"/>
      <c r="P1411" s="1693"/>
      <c r="Q1411" s="989"/>
      <c r="R1411" s="989"/>
      <c r="S1411" s="989"/>
      <c r="T1411" s="1862">
        <f t="shared" si="267"/>
        <v>0</v>
      </c>
    </row>
    <row r="1412" spans="1:20" ht="22.2" hidden="1" customHeight="1">
      <c r="A1412" s="1448">
        <f>COUNTIF($C$12:C1412,"x")</f>
        <v>87</v>
      </c>
      <c r="B1412" s="1455" t="s">
        <v>111</v>
      </c>
      <c r="C1412" s="970" t="str">
        <f t="shared" si="262"/>
        <v xml:space="preserve"> </v>
      </c>
      <c r="D1412" s="1415">
        <v>4</v>
      </c>
      <c r="E1412" s="980"/>
      <c r="F1412" s="992" t="str">
        <f>VLOOKUP($B1412,DG!A:D,DG!$C$2,)</f>
        <v>Sứ chằng</v>
      </c>
      <c r="G1412" s="980" t="str">
        <f>VLOOKUP($B1412,DG!A:D,DG!$D$2,)</f>
        <v>cái</v>
      </c>
      <c r="H1412" s="1693">
        <f t="shared" si="268"/>
        <v>0</v>
      </c>
      <c r="I1412" s="1693">
        <f t="shared" si="268"/>
        <v>0</v>
      </c>
      <c r="J1412" s="1693">
        <f t="shared" si="268"/>
        <v>0</v>
      </c>
      <c r="K1412" s="1693">
        <f t="shared" si="268"/>
        <v>0</v>
      </c>
      <c r="L1412" s="1693">
        <f t="shared" si="268"/>
        <v>0</v>
      </c>
      <c r="M1412" s="1693">
        <f t="shared" si="268"/>
        <v>0</v>
      </c>
      <c r="N1412" s="1693">
        <f t="shared" si="268"/>
        <v>0</v>
      </c>
      <c r="O1412" s="1693"/>
      <c r="P1412" s="1693"/>
      <c r="Q1412" s="989"/>
      <c r="R1412" s="989"/>
      <c r="S1412" s="989"/>
      <c r="T1412" s="1862">
        <f t="shared" si="267"/>
        <v>0</v>
      </c>
    </row>
    <row r="1413" spans="1:20" ht="22.2" hidden="1" customHeight="1">
      <c r="A1413" s="1448">
        <f>COUNTIF($C$12:C1413,"x")</f>
        <v>87</v>
      </c>
      <c r="B1413" s="1455" t="s">
        <v>1578</v>
      </c>
      <c r="C1413" s="970" t="str">
        <f t="shared" si="262"/>
        <v xml:space="preserve"> </v>
      </c>
      <c r="D1413" s="1415">
        <v>24</v>
      </c>
      <c r="E1413" s="980"/>
      <c r="F1413" s="992" t="str">
        <f>VLOOKUP($B1413,DG!A:D,DG!$C$2,)</f>
        <v>Kẹp cáp 3 boulon</v>
      </c>
      <c r="G1413" s="980" t="str">
        <f>VLOOKUP($B1413,DG!A:D,DG!$D$2,)</f>
        <v>cái</v>
      </c>
      <c r="H1413" s="1693">
        <f t="shared" si="268"/>
        <v>0</v>
      </c>
      <c r="I1413" s="1693">
        <f t="shared" si="268"/>
        <v>0</v>
      </c>
      <c r="J1413" s="1693">
        <f t="shared" si="268"/>
        <v>0</v>
      </c>
      <c r="K1413" s="1693">
        <f t="shared" si="268"/>
        <v>0</v>
      </c>
      <c r="L1413" s="1693">
        <f t="shared" si="268"/>
        <v>0</v>
      </c>
      <c r="M1413" s="1693">
        <f t="shared" si="268"/>
        <v>0</v>
      </c>
      <c r="N1413" s="1693">
        <f t="shared" si="268"/>
        <v>0</v>
      </c>
      <c r="O1413" s="1693"/>
      <c r="P1413" s="1693"/>
      <c r="Q1413" s="989"/>
      <c r="R1413" s="989"/>
      <c r="S1413" s="989"/>
      <c r="T1413" s="1862">
        <f t="shared" si="267"/>
        <v>0</v>
      </c>
    </row>
    <row r="1414" spans="1:20" ht="22.2" hidden="1" customHeight="1">
      <c r="A1414" s="1448">
        <f>COUNTIF($C$12:C1414,"x")</f>
        <v>87</v>
      </c>
      <c r="B1414" s="1470" t="s">
        <v>1049</v>
      </c>
      <c r="C1414" s="970" t="str">
        <f t="shared" si="262"/>
        <v xml:space="preserve"> </v>
      </c>
      <c r="D1414" s="1415">
        <v>12</v>
      </c>
      <c r="E1414" s="980"/>
      <c r="F1414" s="992" t="str">
        <f>VLOOKUP($B1414,DG!A:D,DG!$C$2,)</f>
        <v>Kẹp hotline 4/0</v>
      </c>
      <c r="G1414" s="980" t="str">
        <f>VLOOKUP($B1414,DG!A:D,DG!$D$2,)</f>
        <v>cái</v>
      </c>
      <c r="H1414" s="1693">
        <f t="shared" si="268"/>
        <v>0</v>
      </c>
      <c r="I1414" s="1693">
        <f t="shared" si="268"/>
        <v>0</v>
      </c>
      <c r="J1414" s="1693">
        <f t="shared" si="268"/>
        <v>0</v>
      </c>
      <c r="K1414" s="1693">
        <f t="shared" si="268"/>
        <v>0</v>
      </c>
      <c r="L1414" s="1693">
        <f t="shared" si="268"/>
        <v>0</v>
      </c>
      <c r="M1414" s="1693">
        <f t="shared" si="268"/>
        <v>0</v>
      </c>
      <c r="N1414" s="1693">
        <f t="shared" si="268"/>
        <v>0</v>
      </c>
      <c r="O1414" s="1693"/>
      <c r="P1414" s="1693"/>
      <c r="Q1414" s="989"/>
      <c r="R1414" s="989"/>
      <c r="S1414" s="989"/>
      <c r="T1414" s="1862">
        <f t="shared" si="267"/>
        <v>0</v>
      </c>
    </row>
    <row r="1415" spans="1:20" ht="22.2" hidden="1" customHeight="1">
      <c r="A1415" s="1448">
        <f>COUNTIF($C$12:C1415,"x")</f>
        <v>87</v>
      </c>
      <c r="B1415" s="1455" t="s">
        <v>279</v>
      </c>
      <c r="C1415" s="970" t="str">
        <f t="shared" ref="C1415:C1478" si="269">IF(OR(P1415&lt;&gt;0,H1415&lt;&gt;0),"x"," ")</f>
        <v xml:space="preserve"> </v>
      </c>
      <c r="D1415" s="1415">
        <v>8</v>
      </c>
      <c r="E1415" s="980"/>
      <c r="F1415" s="992" t="str">
        <f>VLOOKUP($B1415,DG!A:D,DG!$C$2,)</f>
        <v>Sắt dẹt 60 x 6</v>
      </c>
      <c r="G1415" s="980" t="str">
        <f>VLOOKUP($B1415,DG!A:D,DG!$D$2,)</f>
        <v>kg</v>
      </c>
      <c r="H1415" s="1693">
        <f t="shared" si="268"/>
        <v>0</v>
      </c>
      <c r="I1415" s="1693">
        <f t="shared" si="268"/>
        <v>0</v>
      </c>
      <c r="J1415" s="1693">
        <f t="shared" si="268"/>
        <v>0</v>
      </c>
      <c r="K1415" s="1693">
        <f t="shared" si="268"/>
        <v>0</v>
      </c>
      <c r="L1415" s="1693">
        <f t="shared" si="268"/>
        <v>0</v>
      </c>
      <c r="M1415" s="1693">
        <f t="shared" si="268"/>
        <v>0</v>
      </c>
      <c r="N1415" s="1693">
        <f t="shared" si="268"/>
        <v>0</v>
      </c>
      <c r="O1415" s="1693"/>
      <c r="P1415" s="1693"/>
      <c r="Q1415" s="989"/>
      <c r="R1415" s="989"/>
      <c r="S1415" s="989"/>
      <c r="T1415" s="1862">
        <f t="shared" si="267"/>
        <v>0</v>
      </c>
    </row>
    <row r="1416" spans="1:20" ht="22.2" hidden="1" customHeight="1">
      <c r="A1416" s="1448">
        <f>COUNTIF($C$12:C1416,"x")</f>
        <v>87</v>
      </c>
      <c r="B1416" s="1455" t="s">
        <v>1371</v>
      </c>
      <c r="C1416" s="970" t="str">
        <f t="shared" si="269"/>
        <v xml:space="preserve"> </v>
      </c>
      <c r="D1416" s="1415">
        <v>6</v>
      </c>
      <c r="E1416" s="980"/>
      <c r="F1416" s="992" t="str">
        <f>VLOOKUP($B1416,DG!A:D,DG!$C$2,)</f>
        <v xml:space="preserve">Móc treo chữ U </v>
      </c>
      <c r="G1416" s="980" t="str">
        <f>VLOOKUP($B1416,DG!A:D,DG!$D$2,)</f>
        <v>cái</v>
      </c>
      <c r="H1416" s="1693">
        <f t="shared" si="268"/>
        <v>0</v>
      </c>
      <c r="I1416" s="1693">
        <f t="shared" si="268"/>
        <v>0</v>
      </c>
      <c r="J1416" s="1693">
        <f t="shared" si="268"/>
        <v>0</v>
      </c>
      <c r="K1416" s="1693">
        <f t="shared" si="268"/>
        <v>0</v>
      </c>
      <c r="L1416" s="1693">
        <f t="shared" si="268"/>
        <v>0</v>
      </c>
      <c r="M1416" s="1693">
        <f t="shared" si="268"/>
        <v>0</v>
      </c>
      <c r="N1416" s="1693">
        <f t="shared" si="268"/>
        <v>0</v>
      </c>
      <c r="O1416" s="1693"/>
      <c r="P1416" s="1693"/>
      <c r="Q1416" s="989"/>
      <c r="R1416" s="989"/>
      <c r="S1416" s="989"/>
      <c r="T1416" s="1862">
        <f t="shared" si="267"/>
        <v>0</v>
      </c>
    </row>
    <row r="1417" spans="1:20" ht="22.2" hidden="1" customHeight="1">
      <c r="A1417" s="1448">
        <f>COUNTIF($C$12:C1417,"x")</f>
        <v>87</v>
      </c>
      <c r="B1417" s="1471" t="s">
        <v>1891</v>
      </c>
      <c r="C1417" s="970" t="str">
        <f t="shared" si="269"/>
        <v xml:space="preserve"> </v>
      </c>
      <c r="D1417" s="1415">
        <v>4</v>
      </c>
      <c r="E1417" s="980"/>
      <c r="F1417" s="992" t="str">
        <f>VLOOKUP($B1417,DG!A:D,DG!$C$2,)</f>
        <v>Boulon 16x100VRS+ 4 long đền vuông D18-50x50x3/Zn</v>
      </c>
      <c r="G1417" s="980" t="str">
        <f>VLOOKUP($B1417,DG!A:D,DG!$D$2,)</f>
        <v>bộ</v>
      </c>
      <c r="H1417" s="1693">
        <f t="shared" si="268"/>
        <v>0</v>
      </c>
      <c r="I1417" s="1693">
        <f t="shared" si="268"/>
        <v>0</v>
      </c>
      <c r="J1417" s="1693">
        <f t="shared" si="268"/>
        <v>0</v>
      </c>
      <c r="K1417" s="1693">
        <f t="shared" si="268"/>
        <v>0</v>
      </c>
      <c r="L1417" s="1693">
        <f t="shared" si="268"/>
        <v>0</v>
      </c>
      <c r="M1417" s="1693">
        <f t="shared" si="268"/>
        <v>0</v>
      </c>
      <c r="N1417" s="1693">
        <f t="shared" si="268"/>
        <v>0</v>
      </c>
      <c r="O1417" s="1693"/>
      <c r="P1417" s="1693"/>
      <c r="Q1417" s="989"/>
      <c r="R1417" s="989"/>
      <c r="S1417" s="989"/>
      <c r="T1417" s="1862">
        <f t="shared" si="267"/>
        <v>0</v>
      </c>
    </row>
    <row r="1418" spans="1:20" ht="22.2" hidden="1" customHeight="1">
      <c r="A1418" s="1448">
        <f>COUNTIF($C$12:C1418,"x")</f>
        <v>87</v>
      </c>
      <c r="B1418" s="1455" t="s">
        <v>2000</v>
      </c>
      <c r="C1418" s="970" t="str">
        <f t="shared" si="269"/>
        <v xml:space="preserve"> </v>
      </c>
      <c r="D1418" s="1415">
        <v>4</v>
      </c>
      <c r="E1418" s="980"/>
      <c r="F1418" s="992" t="str">
        <f>VLOOKUP($B1418,DG!A:D,DG!$C$2,)</f>
        <v>Yếm cáp dày 2mm</v>
      </c>
      <c r="G1418" s="980" t="str">
        <f>VLOOKUP($B1418,DG!A:D,DG!$D$2,)</f>
        <v>cái</v>
      </c>
      <c r="H1418" s="1693">
        <f t="shared" si="268"/>
        <v>0</v>
      </c>
      <c r="I1418" s="1693">
        <f t="shared" si="268"/>
        <v>0</v>
      </c>
      <c r="J1418" s="1693">
        <f t="shared" si="268"/>
        <v>0</v>
      </c>
      <c r="K1418" s="1693">
        <f t="shared" si="268"/>
        <v>0</v>
      </c>
      <c r="L1418" s="1693">
        <f t="shared" si="268"/>
        <v>0</v>
      </c>
      <c r="M1418" s="1693">
        <f t="shared" si="268"/>
        <v>0</v>
      </c>
      <c r="N1418" s="1693">
        <f t="shared" si="268"/>
        <v>0</v>
      </c>
      <c r="O1418" s="1693"/>
      <c r="P1418" s="1693"/>
      <c r="Q1418" s="989"/>
      <c r="R1418" s="989"/>
      <c r="S1418" s="989"/>
      <c r="T1418" s="1862">
        <f t="shared" si="267"/>
        <v>0</v>
      </c>
    </row>
    <row r="1419" spans="1:20" ht="22.2" hidden="1" customHeight="1">
      <c r="A1419" s="1448">
        <f>COUNTIF($C$12:C1419,"x")</f>
        <v>87</v>
      </c>
      <c r="B1419" s="1455" t="s">
        <v>1918</v>
      </c>
      <c r="C1419" s="970" t="str">
        <f t="shared" si="269"/>
        <v xml:space="preserve"> </v>
      </c>
      <c r="D1419" s="1415">
        <v>2</v>
      </c>
      <c r="E1419" s="980" t="str">
        <f>VLOOKUP($B1419,DG!A:D,DG!$B$2,)</f>
        <v>06.3241</v>
      </c>
      <c r="F1419" s="985" t="str">
        <f>VLOOKUP($B1419,DG!A:D,DG!$C$2,)</f>
        <v>Lắp bộ dây néo</v>
      </c>
      <c r="G1419" s="980" t="str">
        <f>VLOOKUP($B1419,DG!A:D,DG!$D$2,)</f>
        <v>bộ</v>
      </c>
      <c r="H1419" s="1693"/>
      <c r="I1419" s="1693"/>
      <c r="J1419" s="1693"/>
      <c r="K1419" s="1693"/>
      <c r="L1419" s="1693"/>
      <c r="M1419" s="1693"/>
      <c r="N1419" s="1693"/>
      <c r="O1419" s="1693"/>
      <c r="P1419" s="1693"/>
      <c r="Q1419" s="994"/>
      <c r="R1419" s="994"/>
      <c r="S1419" s="994"/>
      <c r="T1419" s="1862">
        <f t="shared" si="267"/>
        <v>0</v>
      </c>
    </row>
    <row r="1420" spans="1:20" ht="22.2" hidden="1" customHeight="1">
      <c r="A1420" s="1448">
        <f>COUNTIF($C$12:C1420,"x")</f>
        <v>87</v>
      </c>
      <c r="B1420" s="1455" t="s">
        <v>681</v>
      </c>
      <c r="C1420" s="970" t="str">
        <f t="shared" si="269"/>
        <v xml:space="preserve"> </v>
      </c>
      <c r="D1420" s="1415">
        <v>2</v>
      </c>
      <c r="E1420" s="980" t="str">
        <f>VLOOKUP($B1420,DG!A:D,DG!$B$2,)</f>
        <v>06.2110</v>
      </c>
      <c r="F1420" s="985" t="str">
        <f>VLOOKUP($B1420,DG!A:D,DG!$C$2,)</f>
        <v>Lắp cổ dê</v>
      </c>
      <c r="G1420" s="980" t="str">
        <f>VLOOKUP($B1420,DG!A:D,DG!$D$2,)</f>
        <v>cái</v>
      </c>
      <c r="H1420" s="1693"/>
      <c r="I1420" s="1693"/>
      <c r="J1420" s="1693"/>
      <c r="K1420" s="1693"/>
      <c r="L1420" s="1693"/>
      <c r="M1420" s="1693"/>
      <c r="N1420" s="1693"/>
      <c r="O1420" s="1693"/>
      <c r="P1420" s="1693"/>
      <c r="Q1420" s="994"/>
      <c r="R1420" s="994"/>
      <c r="S1420" s="994"/>
      <c r="T1420" s="1862">
        <f t="shared" si="267"/>
        <v>0</v>
      </c>
    </row>
    <row r="1421" spans="1:20" ht="22.2" hidden="1" customHeight="1">
      <c r="A1421" s="1448">
        <f>COUNTIF($C$12:C1421,"x")</f>
        <v>87</v>
      </c>
      <c r="B1421" s="1464" t="s">
        <v>356</v>
      </c>
      <c r="C1421" s="970" t="str">
        <f t="shared" si="269"/>
        <v xml:space="preserve"> </v>
      </c>
      <c r="D1421" s="1414">
        <v>0.02</v>
      </c>
      <c r="E1421" s="980" t="str">
        <f>VLOOKUP($B1421,DG!A:C,2,)</f>
        <v>02.1421</v>
      </c>
      <c r="F1421" s="985" t="str">
        <f>VLOOKUP($B1421,DG!A:C,3,)</f>
        <v>V/c phụ kiện vào vị trí (cự ly &lt;=100m)</v>
      </c>
      <c r="G1421" s="980" t="str">
        <f>VLOOKUP($B1421,DG!A:D,4,0)</f>
        <v>tấn</v>
      </c>
      <c r="H1421" s="1693"/>
      <c r="I1421" s="1693"/>
      <c r="J1421" s="1693"/>
      <c r="K1421" s="1693"/>
      <c r="L1421" s="1693"/>
      <c r="M1421" s="1693"/>
      <c r="N1421" s="1693"/>
      <c r="O1421" s="1693"/>
      <c r="P1421" s="1693"/>
      <c r="Q1421" s="994"/>
      <c r="R1421" s="994"/>
      <c r="S1421" s="994"/>
      <c r="T1421" s="1862">
        <f t="shared" si="267"/>
        <v>0</v>
      </c>
    </row>
    <row r="1422" spans="1:20" ht="22.2" hidden="1" customHeight="1">
      <c r="A1422" s="1448">
        <f>COUNTIF($C$12:C1422,"x")</f>
        <v>87</v>
      </c>
      <c r="B1422" s="1452" t="s">
        <v>1492</v>
      </c>
      <c r="C1422" s="1701" t="str">
        <f t="shared" si="269"/>
        <v xml:space="preserve"> </v>
      </c>
      <c r="D1422" s="1412"/>
      <c r="E1422" s="981"/>
      <c r="F1422" s="1276" t="s">
        <v>2489</v>
      </c>
      <c r="G1422" s="982" t="s">
        <v>2385</v>
      </c>
      <c r="H1422" s="1691">
        <f>SUM(I1422:O1422)</f>
        <v>0</v>
      </c>
      <c r="I1422" s="1692"/>
      <c r="J1422" s="1692"/>
      <c r="K1422" s="1692">
        <f>IFERROR(HLOOKUP(B1422,pp3p1m!$1:$3,2,0),0)</f>
        <v>0</v>
      </c>
      <c r="L1422" s="1692">
        <f>IFERROR(HLOOKUP(chitiet!B1422,pp1p!$1:$3,3,0),0)</f>
        <v>0</v>
      </c>
      <c r="M1422" s="1692"/>
      <c r="N1422" s="1692"/>
      <c r="O1422" s="1692"/>
      <c r="P1422" s="2674">
        <f>T1422</f>
        <v>0</v>
      </c>
      <c r="Q1422" s="983">
        <f>IF(P1422&gt;H1422,P1422-H1422,0)</f>
        <v>0</v>
      </c>
      <c r="R1422" s="983">
        <f>IF(H1422&gt;P1422,H1422-P1422,0)</f>
        <v>0</v>
      </c>
      <c r="S1422" s="983"/>
      <c r="T1422" s="1862">
        <f>IFERROR(HLOOKUP(B1422,pp1p!$1:$3,3,0),0)+IFERROR(HLOOKUP(B1422,pp3p1m!$1:$3,3,0),0)</f>
        <v>0</v>
      </c>
    </row>
    <row r="1423" spans="1:20" ht="22.2" hidden="1" customHeight="1">
      <c r="A1423" s="1448">
        <f>COUNTIF($C$12:C1423,"x")</f>
        <v>87</v>
      </c>
      <c r="B1423" s="1451" t="s">
        <v>536</v>
      </c>
      <c r="C1423" s="1701" t="str">
        <f t="shared" si="269"/>
        <v xml:space="preserve"> </v>
      </c>
      <c r="D1423" s="1415">
        <v>1</v>
      </c>
      <c r="E1423" s="980"/>
      <c r="F1423" s="992" t="str">
        <f>VLOOKUP($B1423,DG!A:D,DG!$C$2,)</f>
        <v>Ty neo Ø22x2400</v>
      </c>
      <c r="G1423" s="980" t="str">
        <f>VLOOKUP($B1423,DG!A:D,DG!$D$2,)</f>
        <v>cái</v>
      </c>
      <c r="H1423" s="1693">
        <f t="shared" ref="H1423:N1424" si="270">H$1422*$D1423</f>
        <v>0</v>
      </c>
      <c r="I1423" s="1693">
        <f t="shared" si="270"/>
        <v>0</v>
      </c>
      <c r="J1423" s="1693">
        <f t="shared" si="270"/>
        <v>0</v>
      </c>
      <c r="K1423" s="1693">
        <f t="shared" si="270"/>
        <v>0</v>
      </c>
      <c r="L1423" s="1693">
        <f t="shared" si="270"/>
        <v>0</v>
      </c>
      <c r="M1423" s="1693">
        <f t="shared" si="270"/>
        <v>0</v>
      </c>
      <c r="N1423" s="1693">
        <f t="shared" si="270"/>
        <v>0</v>
      </c>
      <c r="O1423" s="1693"/>
      <c r="P1423" s="1693">
        <f>$P$1422*D1423</f>
        <v>0</v>
      </c>
      <c r="Q1423" s="989"/>
      <c r="R1423" s="989">
        <f>$R$1422*D1423</f>
        <v>0</v>
      </c>
      <c r="S1423" s="989"/>
      <c r="T1423" s="1862">
        <f t="shared" si="267"/>
        <v>0</v>
      </c>
    </row>
    <row r="1424" spans="1:20" ht="22.2" hidden="1" customHeight="1">
      <c r="A1424" s="1448">
        <f>COUNTIF($C$12:C1424,"x")</f>
        <v>87</v>
      </c>
      <c r="B1424" s="1451" t="s">
        <v>1289</v>
      </c>
      <c r="C1424" s="1701" t="str">
        <f t="shared" si="269"/>
        <v xml:space="preserve"> </v>
      </c>
      <c r="D1424" s="1415">
        <v>1</v>
      </c>
      <c r="E1424" s="980" t="str">
        <f>VLOOKUP($B1424,DG!A:D,DG!$B$2,)</f>
        <v>04.4001</v>
      </c>
      <c r="F1424" s="992" t="str">
        <f>VLOOKUP($B1424,DG!A:D,DG!$C$2,)</f>
        <v>Neo xòe 8 hướng (dày 3,2mm)</v>
      </c>
      <c r="G1424" s="980" t="str">
        <f>VLOOKUP($B1424,DG!A:D,DG!$D$2,)</f>
        <v>cái</v>
      </c>
      <c r="H1424" s="1693">
        <f t="shared" si="270"/>
        <v>0</v>
      </c>
      <c r="I1424" s="1693">
        <f t="shared" si="270"/>
        <v>0</v>
      </c>
      <c r="J1424" s="1693">
        <f t="shared" si="270"/>
        <v>0</v>
      </c>
      <c r="K1424" s="1693">
        <f t="shared" si="270"/>
        <v>0</v>
      </c>
      <c r="L1424" s="1693">
        <f t="shared" si="270"/>
        <v>0</v>
      </c>
      <c r="M1424" s="1693">
        <f t="shared" si="270"/>
        <v>0</v>
      </c>
      <c r="N1424" s="1693">
        <f t="shared" si="270"/>
        <v>0</v>
      </c>
      <c r="O1424" s="1693"/>
      <c r="P1424" s="1693">
        <f>$P$1422*D1424</f>
        <v>0</v>
      </c>
      <c r="Q1424" s="989"/>
      <c r="R1424" s="989">
        <f>$R$1422*D1424</f>
        <v>0</v>
      </c>
      <c r="S1424" s="989"/>
      <c r="T1424" s="1862">
        <f t="shared" si="267"/>
        <v>0</v>
      </c>
    </row>
    <row r="1425" spans="1:20" ht="22.2" hidden="1" customHeight="1">
      <c r="A1425" s="1448">
        <f>COUNTIF($C$12:C1425,"x")</f>
        <v>87</v>
      </c>
      <c r="B1425" s="1451" t="s">
        <v>639</v>
      </c>
      <c r="C1425" s="1701" t="str">
        <f t="shared" si="269"/>
        <v xml:space="preserve"> </v>
      </c>
      <c r="D1425" s="1414">
        <v>0.36</v>
      </c>
      <c r="E1425" s="980" t="str">
        <f>VLOOKUP($B1425,DG!A:D,DG!$B$2,)</f>
        <v>03.1013</v>
      </c>
      <c r="F1425" s="985" t="str">
        <f>VLOOKUP($B1425,DG!A:D,DG!$C$2,)</f>
        <v>Đào hố móng đất cấp 3 sâu &gt;1m</v>
      </c>
      <c r="G1425" s="980" t="str">
        <f>VLOOKUP($B1425,DG!A:D,DG!$D$2,)</f>
        <v>m3</v>
      </c>
      <c r="H1425" s="1693">
        <f>H$1422*$D1425</f>
        <v>0</v>
      </c>
      <c r="I1425" s="1693"/>
      <c r="J1425" s="1693"/>
      <c r="K1425" s="1693"/>
      <c r="L1425" s="1693"/>
      <c r="M1425" s="1693"/>
      <c r="N1425" s="1693"/>
      <c r="O1425" s="1693"/>
      <c r="P1425" s="1693">
        <f>$P$1422*D1425</f>
        <v>0</v>
      </c>
      <c r="Q1425" s="989"/>
      <c r="R1425" s="993">
        <f>$R$1422*D1425</f>
        <v>0</v>
      </c>
      <c r="S1425" s="989"/>
      <c r="T1425" s="1862">
        <f t="shared" si="267"/>
        <v>0</v>
      </c>
    </row>
    <row r="1426" spans="1:20" ht="22.2" hidden="1" customHeight="1">
      <c r="A1426" s="1448">
        <f>COUNTIF($C$12:C1426,"x")</f>
        <v>87</v>
      </c>
      <c r="B1426" s="1451" t="s">
        <v>21</v>
      </c>
      <c r="C1426" s="1701" t="str">
        <f t="shared" si="269"/>
        <v xml:space="preserve"> </v>
      </c>
      <c r="D1426" s="1414">
        <v>0.36</v>
      </c>
      <c r="E1426" s="980" t="str">
        <f>VLOOKUP($B1426,DG!A:D,DG!$B$2,)</f>
        <v>03.4113</v>
      </c>
      <c r="F1426" s="985" t="str">
        <f>VLOOKUP($B1426,DG!A:D,DG!$C$2,)</f>
        <v>Đắp đất hố móng, độ chặt k=0,95</v>
      </c>
      <c r="G1426" s="980" t="str">
        <f>VLOOKUP($B1426,DG!A:D,DG!$D$2,)</f>
        <v>m3</v>
      </c>
      <c r="H1426" s="1693">
        <f>H$1422*$D1426</f>
        <v>0</v>
      </c>
      <c r="I1426" s="1693"/>
      <c r="J1426" s="1693"/>
      <c r="K1426" s="1693"/>
      <c r="L1426" s="1693"/>
      <c r="M1426" s="1693"/>
      <c r="N1426" s="1693"/>
      <c r="O1426" s="1693"/>
      <c r="P1426" s="1693">
        <f>$P$1422*D1426</f>
        <v>0</v>
      </c>
      <c r="Q1426" s="989"/>
      <c r="R1426" s="993">
        <f>$R$1422*D1426</f>
        <v>0</v>
      </c>
      <c r="S1426" s="989"/>
      <c r="T1426" s="1862">
        <f t="shared" si="267"/>
        <v>0</v>
      </c>
    </row>
    <row r="1427" spans="1:20" ht="22.2" hidden="1" customHeight="1">
      <c r="A1427" s="1448">
        <f>COUNTIF($C$12:C1427,"x")</f>
        <v>87</v>
      </c>
      <c r="B1427" s="1455" t="s">
        <v>747</v>
      </c>
      <c r="C1427" s="970" t="str">
        <f t="shared" si="269"/>
        <v xml:space="preserve"> </v>
      </c>
      <c r="D1427" s="1413"/>
      <c r="E1427" s="980" t="str">
        <f>VLOOKUP($B1427,DG!A:D,DG!$B$2,)</f>
        <v>02.3111</v>
      </c>
      <c r="F1427" s="985" t="str">
        <f>VLOOKUP($B1427,DG!A:D,DG!$C$2,)</f>
        <v>Bốc dỡ neo xèo</v>
      </c>
      <c r="G1427" s="980" t="str">
        <f>VLOOKUP($B1427,DG!A:D,DG!$D$2,)</f>
        <v>tấn</v>
      </c>
      <c r="H1427" s="1693"/>
      <c r="I1427" s="1693"/>
      <c r="J1427" s="1693"/>
      <c r="K1427" s="1693"/>
      <c r="L1427" s="1693"/>
      <c r="M1427" s="1693"/>
      <c r="N1427" s="1693"/>
      <c r="O1427" s="1693"/>
      <c r="P1427" s="1693"/>
      <c r="Q1427" s="989"/>
      <c r="R1427" s="989"/>
      <c r="S1427" s="989"/>
      <c r="T1427" s="1862">
        <f t="shared" si="267"/>
        <v>0</v>
      </c>
    </row>
    <row r="1428" spans="1:20" ht="22.2" hidden="1" customHeight="1">
      <c r="A1428" s="1448">
        <f>COUNTIF($C$12:C1428,"x")</f>
        <v>87</v>
      </c>
      <c r="B1428" s="1455" t="s">
        <v>1289</v>
      </c>
      <c r="C1428" s="970" t="str">
        <f t="shared" si="269"/>
        <v xml:space="preserve"> </v>
      </c>
      <c r="D1428" s="1413"/>
      <c r="E1428" s="980" t="str">
        <f>VLOOKUP($B1428,DG!A:C,2,)</f>
        <v>04.4001</v>
      </c>
      <c r="F1428" s="992" t="str">
        <f>VLOOKUP($B1428,DG!A:C,3,)</f>
        <v>Neo xòe 8 hướng (dày 3,2mm)</v>
      </c>
      <c r="G1428" s="980" t="str">
        <f>VLOOKUP($B1428,DG!A:D,4,0)</f>
        <v>cái</v>
      </c>
      <c r="H1428" s="1693"/>
      <c r="I1428" s="1693"/>
      <c r="J1428" s="1693"/>
      <c r="K1428" s="1693"/>
      <c r="L1428" s="1693"/>
      <c r="M1428" s="1693"/>
      <c r="N1428" s="1693"/>
      <c r="O1428" s="1693"/>
      <c r="P1428" s="1693"/>
      <c r="Q1428" s="994"/>
      <c r="R1428" s="994"/>
      <c r="S1428" s="994"/>
      <c r="T1428" s="1862">
        <f t="shared" si="267"/>
        <v>0</v>
      </c>
    </row>
    <row r="1429" spans="1:20" ht="22.2" hidden="1" customHeight="1">
      <c r="A1429" s="1448">
        <f>COUNTIF($C$12:C1429,"x")</f>
        <v>87</v>
      </c>
      <c r="B1429" s="1464" t="s">
        <v>606</v>
      </c>
      <c r="C1429" s="970" t="str">
        <f t="shared" si="269"/>
        <v xml:space="preserve"> </v>
      </c>
      <c r="D1429" s="1414"/>
      <c r="E1429" s="980" t="str">
        <f>VLOOKUP($B1429,DG!A:C,2,)</f>
        <v>02.1482</v>
      </c>
      <c r="F1429" s="985" t="str">
        <f>VLOOKUP($B1429,DG!A:C,3,)</f>
        <v>V/c dụng cụ thi công vào vị trí (cự ly &lt;=100m)</v>
      </c>
      <c r="G1429" s="980" t="str">
        <f>VLOOKUP($B1429,DG!A:D,4,0)</f>
        <v>tấn</v>
      </c>
      <c r="H1429" s="1693"/>
      <c r="I1429" s="1693"/>
      <c r="J1429" s="1693"/>
      <c r="K1429" s="1693"/>
      <c r="L1429" s="1693"/>
      <c r="M1429" s="1693"/>
      <c r="N1429" s="1693"/>
      <c r="O1429" s="1693"/>
      <c r="P1429" s="1693"/>
      <c r="Q1429" s="994"/>
      <c r="R1429" s="994"/>
      <c r="S1429" s="994"/>
      <c r="T1429" s="1862">
        <f t="shared" si="267"/>
        <v>0</v>
      </c>
    </row>
    <row r="1430" spans="1:20" ht="22.2" hidden="1" customHeight="1">
      <c r="A1430" s="1448">
        <f>COUNTIF($C$12:C1430,"x")</f>
        <v>87</v>
      </c>
      <c r="B1430" s="1452" t="s">
        <v>1493</v>
      </c>
      <c r="C1430" s="970" t="str">
        <f t="shared" si="269"/>
        <v xml:space="preserve"> </v>
      </c>
      <c r="D1430" s="1412"/>
      <c r="E1430" s="981"/>
      <c r="F1430" s="1276" t="s">
        <v>2490</v>
      </c>
      <c r="G1430" s="982" t="s">
        <v>2385</v>
      </c>
      <c r="H1430" s="1691">
        <f>SUM(I1430:O1430)</f>
        <v>0</v>
      </c>
      <c r="I1430" s="1692"/>
      <c r="J1430" s="1692"/>
      <c r="K1430" s="1692">
        <f>IFERROR(HLOOKUP(B1430,pp3p1m!$1:$3,2,0),0)</f>
        <v>0</v>
      </c>
      <c r="L1430" s="1692">
        <f>IFERROR(HLOOKUP(chitiet!B1430,pp1p!$1:$3,3,0),0)</f>
        <v>0</v>
      </c>
      <c r="M1430" s="1692"/>
      <c r="N1430" s="1692"/>
      <c r="O1430" s="1692"/>
      <c r="P1430" s="2674">
        <f>T1430</f>
        <v>0</v>
      </c>
      <c r="Q1430" s="983">
        <f>IF(P1430&gt;H1430,P1430-H1430,0)</f>
        <v>0</v>
      </c>
      <c r="R1430" s="983">
        <f>IF(H1430&gt;P1430,H1430-P1430,0)</f>
        <v>0</v>
      </c>
      <c r="S1430" s="983"/>
      <c r="T1430" s="1862">
        <f>IFERROR(HLOOKUP(B1430,pp1p!$1:$3,3,0),0)+IFERROR(HLOOKUP(B1430,pp3p1m!$1:$3,3,0),0)</f>
        <v>0</v>
      </c>
    </row>
    <row r="1431" spans="1:20" ht="22.2" hidden="1" customHeight="1">
      <c r="A1431" s="1448">
        <f>COUNTIF($C$12:C1431,"x")</f>
        <v>87</v>
      </c>
      <c r="B1431" s="1451" t="s">
        <v>536</v>
      </c>
      <c r="C1431" s="970" t="str">
        <f t="shared" si="269"/>
        <v xml:space="preserve"> </v>
      </c>
      <c r="D1431" s="1415">
        <v>1</v>
      </c>
      <c r="E1431" s="980"/>
      <c r="F1431" s="992" t="str">
        <f>VLOOKUP($B1431,DG!A:D,DG!$C$2,)</f>
        <v>Ty neo Ø22x2400</v>
      </c>
      <c r="G1431" s="980" t="str">
        <f>VLOOKUP($B1431,DG!A:D,DG!$D$2,)</f>
        <v>cái</v>
      </c>
      <c r="H1431" s="1693">
        <f t="shared" ref="H1431:N1432" si="271">H$1430*$D1431</f>
        <v>0</v>
      </c>
      <c r="I1431" s="1693">
        <f t="shared" si="271"/>
        <v>0</v>
      </c>
      <c r="J1431" s="1693">
        <f t="shared" si="271"/>
        <v>0</v>
      </c>
      <c r="K1431" s="1693">
        <f t="shared" si="271"/>
        <v>0</v>
      </c>
      <c r="L1431" s="1693">
        <f t="shared" si="271"/>
        <v>0</v>
      </c>
      <c r="M1431" s="1693">
        <f t="shared" si="271"/>
        <v>0</v>
      </c>
      <c r="N1431" s="1693">
        <f t="shared" si="271"/>
        <v>0</v>
      </c>
      <c r="O1431" s="1693"/>
      <c r="P1431" s="1693">
        <f>$P$1430*D1431</f>
        <v>0</v>
      </c>
      <c r="Q1431" s="989">
        <f>$Q$1430*D1431</f>
        <v>0</v>
      </c>
      <c r="R1431" s="989"/>
      <c r="S1431" s="989"/>
      <c r="T1431" s="1862">
        <f t="shared" si="267"/>
        <v>0</v>
      </c>
    </row>
    <row r="1432" spans="1:20" ht="22.2" hidden="1" customHeight="1">
      <c r="A1432" s="1448">
        <f>COUNTIF($C$12:C1432,"x")</f>
        <v>87</v>
      </c>
      <c r="B1432" s="1451" t="s">
        <v>1289</v>
      </c>
      <c r="C1432" s="970" t="str">
        <f t="shared" si="269"/>
        <v xml:space="preserve"> </v>
      </c>
      <c r="D1432" s="1415">
        <v>1</v>
      </c>
      <c r="E1432" s="980" t="str">
        <f>VLOOKUP($B1432,DG!A:D,DG!$B$2,)</f>
        <v>04.4001</v>
      </c>
      <c r="F1432" s="992" t="str">
        <f>VLOOKUP($B1432,DG!A:D,DG!$C$2,)</f>
        <v>Neo xòe 8 hướng (dày 3,2mm)</v>
      </c>
      <c r="G1432" s="980" t="str">
        <f>VLOOKUP($B1432,DG!A:D,DG!$D$2,)</f>
        <v>cái</v>
      </c>
      <c r="H1432" s="1693">
        <f t="shared" si="271"/>
        <v>0</v>
      </c>
      <c r="I1432" s="1693">
        <f t="shared" si="271"/>
        <v>0</v>
      </c>
      <c r="J1432" s="1693">
        <f t="shared" si="271"/>
        <v>0</v>
      </c>
      <c r="K1432" s="1693">
        <f t="shared" si="271"/>
        <v>0</v>
      </c>
      <c r="L1432" s="1693">
        <f t="shared" si="271"/>
        <v>0</v>
      </c>
      <c r="M1432" s="1693">
        <f t="shared" si="271"/>
        <v>0</v>
      </c>
      <c r="N1432" s="1693">
        <f t="shared" si="271"/>
        <v>0</v>
      </c>
      <c r="O1432" s="1693"/>
      <c r="P1432" s="1693">
        <f>$P$1430*D1432</f>
        <v>0</v>
      </c>
      <c r="Q1432" s="989">
        <f>$Q$1430*D1432</f>
        <v>0</v>
      </c>
      <c r="R1432" s="989"/>
      <c r="S1432" s="989"/>
      <c r="T1432" s="1862">
        <f t="shared" si="267"/>
        <v>0</v>
      </c>
    </row>
    <row r="1433" spans="1:20" ht="22.2" hidden="1" customHeight="1">
      <c r="A1433" s="1448">
        <f>COUNTIF($C$12:C1433,"x")</f>
        <v>87</v>
      </c>
      <c r="B1433" s="1451" t="s">
        <v>639</v>
      </c>
      <c r="C1433" s="970" t="str">
        <f t="shared" si="269"/>
        <v xml:space="preserve"> </v>
      </c>
      <c r="D1433" s="1414">
        <v>0.28999999999999998</v>
      </c>
      <c r="E1433" s="980" t="str">
        <f>VLOOKUP($B1433,DG!A:D,DG!$B$2,)</f>
        <v>03.1013</v>
      </c>
      <c r="F1433" s="985" t="str">
        <f>VLOOKUP($B1433,DG!A:D,DG!$C$2,)</f>
        <v>Đào hố móng đất cấp 3 sâu &gt;1m</v>
      </c>
      <c r="G1433" s="980" t="str">
        <f>VLOOKUP($B1433,DG!A:D,DG!$D$2,)</f>
        <v>m3</v>
      </c>
      <c r="H1433" s="1693">
        <f>H$1430*$D1433</f>
        <v>0</v>
      </c>
      <c r="I1433" s="1693"/>
      <c r="J1433" s="1693"/>
      <c r="K1433" s="1693"/>
      <c r="L1433" s="1693"/>
      <c r="M1433" s="1693"/>
      <c r="N1433" s="1693"/>
      <c r="O1433" s="1693"/>
      <c r="P1433" s="1693">
        <f>$P$1430*D1433</f>
        <v>0</v>
      </c>
      <c r="Q1433" s="993">
        <f>$Q$1430*D1433</f>
        <v>0</v>
      </c>
      <c r="R1433" s="993"/>
      <c r="S1433" s="989"/>
      <c r="T1433" s="1862">
        <f t="shared" si="267"/>
        <v>0</v>
      </c>
    </row>
    <row r="1434" spans="1:20" ht="22.2" hidden="1" customHeight="1">
      <c r="A1434" s="1448">
        <f>COUNTIF($C$12:C1434,"x")</f>
        <v>87</v>
      </c>
      <c r="B1434" s="1451" t="s">
        <v>21</v>
      </c>
      <c r="C1434" s="970" t="str">
        <f t="shared" si="269"/>
        <v xml:space="preserve"> </v>
      </c>
      <c r="D1434" s="1414">
        <v>0.28999999999999998</v>
      </c>
      <c r="E1434" s="980" t="str">
        <f>VLOOKUP($B1434,DG!A:D,DG!$B$2,)</f>
        <v>03.4113</v>
      </c>
      <c r="F1434" s="985" t="str">
        <f>VLOOKUP($B1434,DG!A:D,DG!$C$2,)</f>
        <v>Đắp đất hố móng, độ chặt k=0,95</v>
      </c>
      <c r="G1434" s="980" t="str">
        <f>VLOOKUP($B1434,DG!A:D,DG!$D$2,)</f>
        <v>m3</v>
      </c>
      <c r="H1434" s="1693">
        <f>H$1430*$D1434</f>
        <v>0</v>
      </c>
      <c r="I1434" s="1693"/>
      <c r="J1434" s="1693"/>
      <c r="K1434" s="1693"/>
      <c r="L1434" s="1693"/>
      <c r="M1434" s="1693"/>
      <c r="N1434" s="1693"/>
      <c r="O1434" s="1693"/>
      <c r="P1434" s="1693">
        <f>$P$1430*D1434</f>
        <v>0</v>
      </c>
      <c r="Q1434" s="993">
        <f>$Q$1430*D1434</f>
        <v>0</v>
      </c>
      <c r="R1434" s="993"/>
      <c r="S1434" s="989"/>
      <c r="T1434" s="1862">
        <f t="shared" si="267"/>
        <v>0</v>
      </c>
    </row>
    <row r="1435" spans="1:20" ht="22.2" hidden="1" customHeight="1">
      <c r="A1435" s="1448">
        <f>COUNTIF($C$12:C1435,"x")</f>
        <v>87</v>
      </c>
      <c r="B1435" s="1455" t="s">
        <v>747</v>
      </c>
      <c r="C1435" s="970" t="str">
        <f t="shared" si="269"/>
        <v xml:space="preserve"> </v>
      </c>
      <c r="D1435" s="1414"/>
      <c r="E1435" s="980" t="str">
        <f>VLOOKUP($B1435,DG!A:D,DG!$B$2,)</f>
        <v>02.3111</v>
      </c>
      <c r="F1435" s="985" t="str">
        <f>VLOOKUP($B1435,DG!A:D,DG!$C$2,)</f>
        <v>Bốc dỡ neo xèo</v>
      </c>
      <c r="G1435" s="980" t="str">
        <f>VLOOKUP($B1435,DG!A:D,DG!$D$2,)</f>
        <v>tấn</v>
      </c>
      <c r="H1435" s="1693"/>
      <c r="I1435" s="1693"/>
      <c r="J1435" s="1693"/>
      <c r="K1435" s="1693"/>
      <c r="L1435" s="1693"/>
      <c r="M1435" s="1693"/>
      <c r="N1435" s="1693"/>
      <c r="O1435" s="1693"/>
      <c r="P1435" s="1693"/>
      <c r="Q1435" s="989"/>
      <c r="R1435" s="989"/>
      <c r="S1435" s="989"/>
      <c r="T1435" s="1862">
        <f t="shared" si="267"/>
        <v>0</v>
      </c>
    </row>
    <row r="1436" spans="1:20" ht="22.2" hidden="1" customHeight="1">
      <c r="A1436" s="1448">
        <f>COUNTIF($C$12:C1436,"x")</f>
        <v>87</v>
      </c>
      <c r="B1436" s="1455" t="s">
        <v>1289</v>
      </c>
      <c r="C1436" s="970" t="str">
        <f t="shared" si="269"/>
        <v xml:space="preserve"> </v>
      </c>
      <c r="D1436" s="1414"/>
      <c r="E1436" s="980" t="str">
        <f>VLOOKUP($B1436,DG!A:C,2,)</f>
        <v>04.4001</v>
      </c>
      <c r="F1436" s="992" t="str">
        <f>VLOOKUP($B1436,DG!A:C,3,)</f>
        <v>Neo xòe 8 hướng (dày 3,2mm)</v>
      </c>
      <c r="G1436" s="980" t="str">
        <f>VLOOKUP($B1436,DG!A:D,4,0)</f>
        <v>cái</v>
      </c>
      <c r="H1436" s="1693"/>
      <c r="I1436" s="1693"/>
      <c r="J1436" s="1693"/>
      <c r="K1436" s="1693"/>
      <c r="L1436" s="1693"/>
      <c r="M1436" s="1693"/>
      <c r="N1436" s="1693"/>
      <c r="O1436" s="1693"/>
      <c r="P1436" s="1693"/>
      <c r="Q1436" s="994"/>
      <c r="R1436" s="994"/>
      <c r="S1436" s="994"/>
      <c r="T1436" s="1862">
        <f t="shared" si="267"/>
        <v>0</v>
      </c>
    </row>
    <row r="1437" spans="1:20" ht="22.2" hidden="1" customHeight="1">
      <c r="A1437" s="1448">
        <f>COUNTIF($C$12:C1437,"x")</f>
        <v>87</v>
      </c>
      <c r="B1437" s="1464" t="s">
        <v>606</v>
      </c>
      <c r="C1437" s="970" t="str">
        <f t="shared" si="269"/>
        <v xml:space="preserve"> </v>
      </c>
      <c r="D1437" s="1414"/>
      <c r="E1437" s="980" t="str">
        <f>VLOOKUP($B1437,DG!A:C,2,)</f>
        <v>02.1482</v>
      </c>
      <c r="F1437" s="985" t="str">
        <f>VLOOKUP($B1437,DG!A:C,3,)</f>
        <v>V/c dụng cụ thi công vào vị trí (cự ly &lt;=100m)</v>
      </c>
      <c r="G1437" s="980" t="str">
        <f>VLOOKUP($B1437,DG!A:D,4,0)</f>
        <v>tấn</v>
      </c>
      <c r="H1437" s="1693"/>
      <c r="I1437" s="1693"/>
      <c r="J1437" s="1693"/>
      <c r="K1437" s="1693"/>
      <c r="L1437" s="1693"/>
      <c r="M1437" s="1693"/>
      <c r="N1437" s="1693"/>
      <c r="O1437" s="1693"/>
      <c r="P1437" s="1693"/>
      <c r="Q1437" s="994"/>
      <c r="R1437" s="994"/>
      <c r="S1437" s="994"/>
      <c r="T1437" s="1862">
        <f t="shared" si="267"/>
        <v>0</v>
      </c>
    </row>
    <row r="1438" spans="1:20" ht="22.2" hidden="1" customHeight="1">
      <c r="A1438" s="1448">
        <f>COUNTIF($C$12:C1438,"x")</f>
        <v>87</v>
      </c>
      <c r="B1438" s="1452" t="s">
        <v>1572</v>
      </c>
      <c r="C1438" s="970" t="str">
        <f t="shared" si="269"/>
        <v xml:space="preserve"> </v>
      </c>
      <c r="D1438" s="1412"/>
      <c r="E1438" s="981"/>
      <c r="F1438" s="1276" t="s">
        <v>2491</v>
      </c>
      <c r="G1438" s="982" t="s">
        <v>2385</v>
      </c>
      <c r="H1438" s="1691">
        <f>SUM(I1438:O1438)</f>
        <v>0</v>
      </c>
      <c r="I1438" s="1692"/>
      <c r="J1438" s="1692"/>
      <c r="K1438" s="1692">
        <f>IFERROR(HLOOKUP(B1438,pp3p1m!$1:$3,2,0),0)</f>
        <v>0</v>
      </c>
      <c r="L1438" s="1692">
        <f>IFERROR(HLOOKUP(chitiet!B1438,pp1p!$1:$3,3,0),0)</f>
        <v>0</v>
      </c>
      <c r="M1438" s="1692"/>
      <c r="N1438" s="1692"/>
      <c r="O1438" s="1692"/>
      <c r="P1438" s="2674">
        <f>T1438</f>
        <v>0</v>
      </c>
      <c r="Q1438" s="983">
        <f>IF(P1438&gt;H1438,P1438-H1438,0)</f>
        <v>0</v>
      </c>
      <c r="R1438" s="983">
        <f>IF(H1438&gt;P1438,H1438-P1438,0)</f>
        <v>0</v>
      </c>
      <c r="S1438" s="983"/>
      <c r="T1438" s="1862">
        <f>IFERROR(HLOOKUP(B1438,pp1p!$1:$3,3,0),0)+IFERROR(HLOOKUP(B1438,pp3p1m!$1:$3,3,0),0)</f>
        <v>0</v>
      </c>
    </row>
    <row r="1439" spans="1:20" ht="22.2" hidden="1" customHeight="1">
      <c r="A1439" s="1448">
        <f>COUNTIF($C$12:C1439,"x")</f>
        <v>87</v>
      </c>
      <c r="B1439" s="1455" t="s">
        <v>1999</v>
      </c>
      <c r="C1439" s="970" t="str">
        <f t="shared" si="269"/>
        <v xml:space="preserve"> </v>
      </c>
      <c r="D1439" s="1415">
        <v>1</v>
      </c>
      <c r="E1439" s="980"/>
      <c r="F1439" s="992" t="str">
        <f>VLOOKUP($B1439,DG!A:D,DG!$C$2,)</f>
        <v>Ty neo Ø22x3000</v>
      </c>
      <c r="G1439" s="980" t="str">
        <f>VLOOKUP($B1439,DG!A:D,DG!$D$2,)</f>
        <v>cái</v>
      </c>
      <c r="H1439" s="1693">
        <f t="shared" ref="H1439:N1441" si="272">H$1438*$D1439</f>
        <v>0</v>
      </c>
      <c r="I1439" s="1693">
        <f t="shared" si="272"/>
        <v>0</v>
      </c>
      <c r="J1439" s="1693">
        <f t="shared" si="272"/>
        <v>0</v>
      </c>
      <c r="K1439" s="1693">
        <f t="shared" si="272"/>
        <v>0</v>
      </c>
      <c r="L1439" s="1693">
        <f t="shared" si="272"/>
        <v>0</v>
      </c>
      <c r="M1439" s="1693">
        <f t="shared" si="272"/>
        <v>0</v>
      </c>
      <c r="N1439" s="1693">
        <f t="shared" si="272"/>
        <v>0</v>
      </c>
      <c r="O1439" s="1693"/>
      <c r="P1439" s="1693"/>
      <c r="Q1439" s="989"/>
      <c r="R1439" s="989"/>
      <c r="S1439" s="989"/>
      <c r="T1439" s="1862">
        <f t="shared" si="267"/>
        <v>0</v>
      </c>
    </row>
    <row r="1440" spans="1:20" ht="22.2" hidden="1" customHeight="1">
      <c r="A1440" s="1448">
        <f>COUNTIF($C$12:C1440,"x")</f>
        <v>87</v>
      </c>
      <c r="B1440" s="1455" t="s">
        <v>1258</v>
      </c>
      <c r="C1440" s="970" t="str">
        <f t="shared" si="269"/>
        <v xml:space="preserve"> </v>
      </c>
      <c r="D1440" s="1415">
        <v>1</v>
      </c>
      <c r="E1440" s="980" t="str">
        <f>VLOOKUP($B1440,DG!A:D,DG!$B$2,)</f>
        <v>04.3801</v>
      </c>
      <c r="F1440" s="992" t="str">
        <f>VLOOKUP($B1440,DG!A:D,DG!$C$2,)</f>
        <v>Đế neo BTCT 200x1200</v>
      </c>
      <c r="G1440" s="980" t="str">
        <f>VLOOKUP($B1440,DG!A:D,DG!$D$2,)</f>
        <v>cái</v>
      </c>
      <c r="H1440" s="1693">
        <f t="shared" si="272"/>
        <v>0</v>
      </c>
      <c r="I1440" s="1693">
        <f t="shared" si="272"/>
        <v>0</v>
      </c>
      <c r="J1440" s="1693">
        <f t="shared" si="272"/>
        <v>0</v>
      </c>
      <c r="K1440" s="1693">
        <f t="shared" si="272"/>
        <v>0</v>
      </c>
      <c r="L1440" s="1693">
        <f t="shared" si="272"/>
        <v>0</v>
      </c>
      <c r="M1440" s="1693">
        <f t="shared" si="272"/>
        <v>0</v>
      </c>
      <c r="N1440" s="1693">
        <f t="shared" si="272"/>
        <v>0</v>
      </c>
      <c r="O1440" s="1693"/>
      <c r="P1440" s="1693"/>
      <c r="Q1440" s="989"/>
      <c r="R1440" s="989"/>
      <c r="S1440" s="989"/>
      <c r="T1440" s="1862">
        <f t="shared" si="267"/>
        <v>0</v>
      </c>
    </row>
    <row r="1441" spans="1:20" ht="22.2" hidden="1" customHeight="1">
      <c r="A1441" s="1448">
        <f>COUNTIF($C$12:C1441,"x")</f>
        <v>87</v>
      </c>
      <c r="B1441" s="1455" t="s">
        <v>1064</v>
      </c>
      <c r="C1441" s="970" t="str">
        <f t="shared" si="269"/>
        <v xml:space="preserve"> </v>
      </c>
      <c r="D1441" s="1425">
        <v>1.34</v>
      </c>
      <c r="E1441" s="980" t="str">
        <f>VLOOKUP($B1441,DG!A:D,DG!$B$2,)</f>
        <v>04.9001</v>
      </c>
      <c r="F1441" s="992" t="str">
        <f>VLOOKUP($B1441,DG!A:D,DG!$C$2,)</f>
        <v>Bitum</v>
      </c>
      <c r="G1441" s="980" t="str">
        <f>VLOOKUP($B1441,DG!A:D,DG!$D$2,)</f>
        <v>m2</v>
      </c>
      <c r="H1441" s="1693">
        <f t="shared" si="272"/>
        <v>0</v>
      </c>
      <c r="I1441" s="1693">
        <f t="shared" si="272"/>
        <v>0</v>
      </c>
      <c r="J1441" s="1693">
        <f t="shared" si="272"/>
        <v>0</v>
      </c>
      <c r="K1441" s="1693">
        <f t="shared" si="272"/>
        <v>0</v>
      </c>
      <c r="L1441" s="1693">
        <f t="shared" si="272"/>
        <v>0</v>
      </c>
      <c r="M1441" s="1693">
        <f t="shared" si="272"/>
        <v>0</v>
      </c>
      <c r="N1441" s="1693">
        <f t="shared" si="272"/>
        <v>0</v>
      </c>
      <c r="O1441" s="1693"/>
      <c r="P1441" s="1693"/>
      <c r="Q1441" s="989"/>
      <c r="R1441" s="989"/>
      <c r="S1441" s="989"/>
      <c r="T1441" s="1862">
        <f t="shared" si="267"/>
        <v>0</v>
      </c>
    </row>
    <row r="1442" spans="1:20" ht="22.2" hidden="1" customHeight="1">
      <c r="A1442" s="1448">
        <f>COUNTIF($C$12:C1442,"x")</f>
        <v>87</v>
      </c>
      <c r="B1442" s="1455" t="s">
        <v>639</v>
      </c>
      <c r="C1442" s="970" t="str">
        <f t="shared" si="269"/>
        <v xml:space="preserve"> </v>
      </c>
      <c r="D1442" s="1414">
        <v>2.71</v>
      </c>
      <c r="E1442" s="980" t="str">
        <f>VLOOKUP($B1442,DG!A:D,DG!$B$2,)</f>
        <v>03.1013</v>
      </c>
      <c r="F1442" s="985" t="str">
        <f>VLOOKUP($B1442,DG!A:D,DG!$C$2,)</f>
        <v>Đào hố móng đất cấp 3 sâu &gt;1m</v>
      </c>
      <c r="G1442" s="980" t="str">
        <f>VLOOKUP($B1442,DG!A:D,DG!$D$2,)</f>
        <v>m3</v>
      </c>
      <c r="H1442" s="1693"/>
      <c r="I1442" s="1693"/>
      <c r="J1442" s="1693"/>
      <c r="K1442" s="1693"/>
      <c r="L1442" s="1693"/>
      <c r="M1442" s="1693"/>
      <c r="N1442" s="1693"/>
      <c r="O1442" s="1693"/>
      <c r="P1442" s="1693"/>
      <c r="Q1442" s="989"/>
      <c r="R1442" s="989"/>
      <c r="S1442" s="989"/>
      <c r="T1442" s="1862">
        <f t="shared" si="267"/>
        <v>0</v>
      </c>
    </row>
    <row r="1443" spans="1:20" ht="22.2" hidden="1" customHeight="1">
      <c r="A1443" s="1448">
        <f>COUNTIF($C$12:C1443,"x")</f>
        <v>87</v>
      </c>
      <c r="B1443" s="1455" t="s">
        <v>21</v>
      </c>
      <c r="C1443" s="970" t="str">
        <f t="shared" si="269"/>
        <v xml:space="preserve"> </v>
      </c>
      <c r="D1443" s="1414">
        <v>3.23</v>
      </c>
      <c r="E1443" s="980" t="str">
        <f>VLOOKUP($B1443,DG!A:D,DG!$B$2,)</f>
        <v>03.4113</v>
      </c>
      <c r="F1443" s="985" t="str">
        <f>VLOOKUP($B1443,DG!A:D,DG!$C$2,)</f>
        <v>Đắp đất hố móng, độ chặt k=0,95</v>
      </c>
      <c r="G1443" s="980" t="str">
        <f>VLOOKUP($B1443,DG!A:D,DG!$D$2,)</f>
        <v>m3</v>
      </c>
      <c r="H1443" s="1693"/>
      <c r="I1443" s="1693"/>
      <c r="J1443" s="1693"/>
      <c r="K1443" s="1693"/>
      <c r="L1443" s="1693"/>
      <c r="M1443" s="1693"/>
      <c r="N1443" s="1693"/>
      <c r="O1443" s="1693"/>
      <c r="P1443" s="1693"/>
      <c r="Q1443" s="989"/>
      <c r="R1443" s="989"/>
      <c r="S1443" s="989"/>
      <c r="T1443" s="1862">
        <f t="shared" si="267"/>
        <v>0</v>
      </c>
    </row>
    <row r="1444" spans="1:20" ht="22.2" hidden="1" customHeight="1">
      <c r="A1444" s="1448">
        <f>COUNTIF($C$12:C1444,"x")</f>
        <v>87</v>
      </c>
      <c r="B1444" s="1455" t="s">
        <v>637</v>
      </c>
      <c r="C1444" s="970" t="str">
        <f t="shared" si="269"/>
        <v xml:space="preserve"> </v>
      </c>
      <c r="D1444" s="1414">
        <f>D1445</f>
        <v>8.6999999999999994E-2</v>
      </c>
      <c r="E1444" s="980" t="str">
        <f>VLOOKUP($B1444,DG!A:D,DG!$B$2,)</f>
        <v>02.1123</v>
      </c>
      <c r="F1444" s="985" t="str">
        <f>VLOOKUP($B1444,DG!A:D,DG!$C$2,)</f>
        <v>Bốc dỡ đà cản, đế néo</v>
      </c>
      <c r="G1444" s="980" t="str">
        <f>VLOOKUP($B1444,DG!A:D,DG!$D$2,)</f>
        <v>tấn</v>
      </c>
      <c r="H1444" s="1693"/>
      <c r="I1444" s="1693"/>
      <c r="J1444" s="1693"/>
      <c r="K1444" s="1693"/>
      <c r="L1444" s="1693"/>
      <c r="M1444" s="1693"/>
      <c r="N1444" s="1693"/>
      <c r="O1444" s="1693"/>
      <c r="P1444" s="1693"/>
      <c r="Q1444" s="989"/>
      <c r="R1444" s="989"/>
      <c r="S1444" s="989"/>
      <c r="T1444" s="1862">
        <f t="shared" si="267"/>
        <v>0</v>
      </c>
    </row>
    <row r="1445" spans="1:20" ht="22.2" hidden="1" customHeight="1">
      <c r="A1445" s="1448">
        <f>COUNTIF($C$12:C1445,"x")</f>
        <v>87</v>
      </c>
      <c r="B1445" s="1464" t="s">
        <v>605</v>
      </c>
      <c r="C1445" s="970" t="str">
        <f t="shared" si="269"/>
        <v xml:space="preserve"> </v>
      </c>
      <c r="D1445" s="1414">
        <v>8.6999999999999994E-2</v>
      </c>
      <c r="E1445" s="980" t="str">
        <f>VLOOKUP($B1445,DG!A:C,2,)</f>
        <v>02.1451</v>
      </c>
      <c r="F1445" s="985" t="str">
        <f>VLOOKUP($B1445,DG!A:C,3,)</f>
        <v>V/c đế néo vào vị trí (cự ly &lt;=100m)</v>
      </c>
      <c r="G1445" s="980" t="str">
        <f>VLOOKUP($B1445,DG!A:D,4,0)</f>
        <v>tấn</v>
      </c>
      <c r="H1445" s="1693"/>
      <c r="I1445" s="1693"/>
      <c r="J1445" s="1693"/>
      <c r="K1445" s="1693"/>
      <c r="L1445" s="1693"/>
      <c r="M1445" s="1693"/>
      <c r="N1445" s="1693"/>
      <c r="O1445" s="1693"/>
      <c r="P1445" s="1693"/>
      <c r="Q1445" s="994"/>
      <c r="R1445" s="994"/>
      <c r="S1445" s="994"/>
      <c r="T1445" s="1862">
        <f t="shared" si="267"/>
        <v>0</v>
      </c>
    </row>
    <row r="1446" spans="1:20" ht="22.2" hidden="1" customHeight="1">
      <c r="A1446" s="1448">
        <f>COUNTIF($C$12:C1446,"x")</f>
        <v>87</v>
      </c>
      <c r="B1446" s="1464" t="s">
        <v>606</v>
      </c>
      <c r="C1446" s="970" t="str">
        <f t="shared" si="269"/>
        <v xml:space="preserve"> </v>
      </c>
      <c r="D1446" s="1414">
        <v>0.05</v>
      </c>
      <c r="E1446" s="980" t="str">
        <f>VLOOKUP($B1446,DG!A:C,2,)</f>
        <v>02.1482</v>
      </c>
      <c r="F1446" s="985" t="str">
        <f>VLOOKUP($B1446,DG!A:C,3,)</f>
        <v>V/c dụng cụ thi công vào vị trí (cự ly &lt;=100m)</v>
      </c>
      <c r="G1446" s="980" t="str">
        <f>VLOOKUP($B1446,DG!A:D,4,0)</f>
        <v>tấn</v>
      </c>
      <c r="H1446" s="1693"/>
      <c r="I1446" s="1693"/>
      <c r="J1446" s="1693"/>
      <c r="K1446" s="1693"/>
      <c r="L1446" s="1693"/>
      <c r="M1446" s="1693"/>
      <c r="N1446" s="1693"/>
      <c r="O1446" s="1693"/>
      <c r="P1446" s="1693"/>
      <c r="Q1446" s="994"/>
      <c r="R1446" s="994"/>
      <c r="S1446" s="994"/>
      <c r="T1446" s="1862">
        <f t="shared" si="267"/>
        <v>0</v>
      </c>
    </row>
    <row r="1447" spans="1:20" ht="22.2" hidden="1" customHeight="1">
      <c r="A1447" s="1448">
        <f>COUNTIF($C$12:C1447,"x")</f>
        <v>87</v>
      </c>
      <c r="B1447" s="1452" t="s">
        <v>1091</v>
      </c>
      <c r="C1447" s="970" t="str">
        <f t="shared" si="269"/>
        <v xml:space="preserve"> </v>
      </c>
      <c r="D1447" s="1412"/>
      <c r="E1447" s="981"/>
      <c r="F1447" s="1276" t="s">
        <v>2492</v>
      </c>
      <c r="G1447" s="982" t="s">
        <v>2385</v>
      </c>
      <c r="H1447" s="1691">
        <f>SUM(I1447:O1447)</f>
        <v>0</v>
      </c>
      <c r="I1447" s="1692"/>
      <c r="J1447" s="1692"/>
      <c r="K1447" s="1692">
        <f>IFERROR(HLOOKUP(B1447,pp3p1m!$1:$3,2,0),0)</f>
        <v>0</v>
      </c>
      <c r="L1447" s="1692">
        <f>IFERROR(HLOOKUP(chitiet!B1447,pp1p!$1:$3,3,0),0)</f>
        <v>0</v>
      </c>
      <c r="M1447" s="1692"/>
      <c r="N1447" s="1692"/>
      <c r="O1447" s="1692"/>
      <c r="P1447" s="2674">
        <f>T1447</f>
        <v>0</v>
      </c>
      <c r="Q1447" s="983">
        <f>IF(P1447&gt;H1447,P1447-H1447,0)</f>
        <v>0</v>
      </c>
      <c r="R1447" s="983">
        <f>IF(H1447&gt;P1447,H1447-P1447,0)</f>
        <v>0</v>
      </c>
      <c r="S1447" s="983"/>
      <c r="T1447" s="1862">
        <f>IFERROR(HLOOKUP(B1447,pp1p!$1:$3,3,0),0)+IFERROR(HLOOKUP(B1447,pp3p1m!$1:$3,3,0),0)</f>
        <v>0</v>
      </c>
    </row>
    <row r="1448" spans="1:20" ht="22.2" hidden="1" customHeight="1">
      <c r="A1448" s="1448">
        <f>COUNTIF($C$12:C1448,"x")</f>
        <v>87</v>
      </c>
      <c r="B1448" s="1455" t="s">
        <v>2047</v>
      </c>
      <c r="C1448" s="970" t="str">
        <f t="shared" si="269"/>
        <v xml:space="preserve"> </v>
      </c>
      <c r="D1448" s="1415">
        <v>1</v>
      </c>
      <c r="E1448" s="980"/>
      <c r="F1448" s="992" t="str">
        <f>VLOOKUP($B1448,DG!A:D,DG!$C$2,)</f>
        <v>Ty neo Ø16x1800</v>
      </c>
      <c r="G1448" s="980" t="str">
        <f>VLOOKUP($B1448,DG!A:D,DG!$D$2,)</f>
        <v>cái</v>
      </c>
      <c r="H1448" s="1693">
        <f t="shared" ref="H1448:N1450" si="273">H$1447*$D1448</f>
        <v>0</v>
      </c>
      <c r="I1448" s="1693">
        <f t="shared" si="273"/>
        <v>0</v>
      </c>
      <c r="J1448" s="1693">
        <f t="shared" si="273"/>
        <v>0</v>
      </c>
      <c r="K1448" s="1693">
        <f t="shared" si="273"/>
        <v>0</v>
      </c>
      <c r="L1448" s="1693">
        <f t="shared" si="273"/>
        <v>0</v>
      </c>
      <c r="M1448" s="1693">
        <f t="shared" si="273"/>
        <v>0</v>
      </c>
      <c r="N1448" s="1693">
        <f t="shared" si="273"/>
        <v>0</v>
      </c>
      <c r="O1448" s="1693"/>
      <c r="P1448" s="1693"/>
      <c r="Q1448" s="989"/>
      <c r="R1448" s="989"/>
      <c r="S1448" s="989"/>
      <c r="T1448" s="1862">
        <f t="shared" si="267"/>
        <v>0</v>
      </c>
    </row>
    <row r="1449" spans="1:20" ht="22.2" hidden="1" customHeight="1">
      <c r="A1449" s="1448">
        <f>COUNTIF($C$12:C1449,"x")</f>
        <v>87</v>
      </c>
      <c r="B1449" s="1455" t="s">
        <v>1258</v>
      </c>
      <c r="C1449" s="970" t="str">
        <f t="shared" si="269"/>
        <v xml:space="preserve"> </v>
      </c>
      <c r="D1449" s="1415">
        <v>1</v>
      </c>
      <c r="E1449" s="980" t="str">
        <f>VLOOKUP($B1449,DG!A:D,DG!$B$2,)</f>
        <v>04.3801</v>
      </c>
      <c r="F1449" s="992" t="str">
        <f>VLOOKUP($B1449,DG!A:D,DG!$C$2,)</f>
        <v>Đế neo BTCT 200x1200</v>
      </c>
      <c r="G1449" s="980" t="str">
        <f>VLOOKUP($B1449,DG!A:D,DG!$D$2,)</f>
        <v>cái</v>
      </c>
      <c r="H1449" s="1693">
        <f t="shared" si="273"/>
        <v>0</v>
      </c>
      <c r="I1449" s="1693">
        <f t="shared" si="273"/>
        <v>0</v>
      </c>
      <c r="J1449" s="1693">
        <f t="shared" si="273"/>
        <v>0</v>
      </c>
      <c r="K1449" s="1693">
        <f t="shared" si="273"/>
        <v>0</v>
      </c>
      <c r="L1449" s="1693">
        <f t="shared" si="273"/>
        <v>0</v>
      </c>
      <c r="M1449" s="1693">
        <f t="shared" si="273"/>
        <v>0</v>
      </c>
      <c r="N1449" s="1693">
        <f t="shared" si="273"/>
        <v>0</v>
      </c>
      <c r="O1449" s="1693"/>
      <c r="P1449" s="1693"/>
      <c r="Q1449" s="989"/>
      <c r="R1449" s="989"/>
      <c r="S1449" s="989"/>
      <c r="T1449" s="1862">
        <f t="shared" si="267"/>
        <v>0</v>
      </c>
    </row>
    <row r="1450" spans="1:20" ht="22.2" hidden="1" customHeight="1">
      <c r="A1450" s="1448">
        <f>COUNTIF($C$12:C1450,"x")</f>
        <v>87</v>
      </c>
      <c r="B1450" s="1455" t="s">
        <v>1064</v>
      </c>
      <c r="C1450" s="970" t="str">
        <f t="shared" si="269"/>
        <v xml:space="preserve"> </v>
      </c>
      <c r="D1450" s="1425">
        <v>1.34</v>
      </c>
      <c r="E1450" s="980" t="str">
        <f>VLOOKUP($B1450,DG!A:D,DG!$B$2,)</f>
        <v>04.9001</v>
      </c>
      <c r="F1450" s="992" t="str">
        <f>VLOOKUP($B1450,DG!A:D,DG!$C$2,)</f>
        <v>Bitum</v>
      </c>
      <c r="G1450" s="980" t="str">
        <f>VLOOKUP($B1450,DG!A:D,DG!$D$2,)</f>
        <v>m2</v>
      </c>
      <c r="H1450" s="1693">
        <f t="shared" si="273"/>
        <v>0</v>
      </c>
      <c r="I1450" s="1693">
        <f t="shared" si="273"/>
        <v>0</v>
      </c>
      <c r="J1450" s="1693">
        <f t="shared" si="273"/>
        <v>0</v>
      </c>
      <c r="K1450" s="1693">
        <f t="shared" si="273"/>
        <v>0</v>
      </c>
      <c r="L1450" s="1693">
        <f t="shared" si="273"/>
        <v>0</v>
      </c>
      <c r="M1450" s="1693">
        <f t="shared" si="273"/>
        <v>0</v>
      </c>
      <c r="N1450" s="1693">
        <f t="shared" si="273"/>
        <v>0</v>
      </c>
      <c r="O1450" s="1693"/>
      <c r="P1450" s="1693"/>
      <c r="Q1450" s="989"/>
      <c r="R1450" s="989"/>
      <c r="S1450" s="989"/>
      <c r="T1450" s="1862">
        <f t="shared" si="267"/>
        <v>0</v>
      </c>
    </row>
    <row r="1451" spans="1:20" ht="22.2" hidden="1" customHeight="1">
      <c r="A1451" s="1448">
        <f>COUNTIF($C$12:C1451,"x")</f>
        <v>87</v>
      </c>
      <c r="B1451" s="1455" t="s">
        <v>639</v>
      </c>
      <c r="C1451" s="970" t="str">
        <f t="shared" si="269"/>
        <v xml:space="preserve"> </v>
      </c>
      <c r="D1451" s="1414">
        <v>2.69</v>
      </c>
      <c r="E1451" s="980" t="str">
        <f>VLOOKUP($B1451,DG!A:D,DG!$B$2,)</f>
        <v>03.1013</v>
      </c>
      <c r="F1451" s="985" t="str">
        <f>VLOOKUP($B1451,DG!A:D,DG!$C$2,)</f>
        <v>Đào hố móng đất cấp 3 sâu &gt;1m</v>
      </c>
      <c r="G1451" s="980" t="str">
        <f>VLOOKUP($B1451,DG!A:D,DG!$D$2,)</f>
        <v>m3</v>
      </c>
      <c r="H1451" s="1693"/>
      <c r="I1451" s="1693"/>
      <c r="J1451" s="1693"/>
      <c r="K1451" s="1693"/>
      <c r="L1451" s="1693"/>
      <c r="M1451" s="1693"/>
      <c r="N1451" s="1693"/>
      <c r="O1451" s="1693"/>
      <c r="P1451" s="1693"/>
      <c r="Q1451" s="989"/>
      <c r="R1451" s="989"/>
      <c r="S1451" s="989"/>
      <c r="T1451" s="1862">
        <f t="shared" si="267"/>
        <v>0</v>
      </c>
    </row>
    <row r="1452" spans="1:20" ht="22.2" hidden="1" customHeight="1">
      <c r="A1452" s="1448">
        <f>COUNTIF($C$12:C1452,"x")</f>
        <v>87</v>
      </c>
      <c r="B1452" s="1455" t="s">
        <v>21</v>
      </c>
      <c r="C1452" s="970" t="str">
        <f t="shared" si="269"/>
        <v xml:space="preserve"> </v>
      </c>
      <c r="D1452" s="1414">
        <v>3.19</v>
      </c>
      <c r="E1452" s="980" t="str">
        <f>VLOOKUP($B1452,DG!A:D,DG!$B$2,)</f>
        <v>03.4113</v>
      </c>
      <c r="F1452" s="985" t="str">
        <f>VLOOKUP($B1452,DG!A:D,DG!$C$2,)</f>
        <v>Đắp đất hố móng, độ chặt k=0,95</v>
      </c>
      <c r="G1452" s="980" t="str">
        <f>VLOOKUP($B1452,DG!A:D,DG!$D$2,)</f>
        <v>m3</v>
      </c>
      <c r="H1452" s="1693"/>
      <c r="I1452" s="1693"/>
      <c r="J1452" s="1693"/>
      <c r="K1452" s="1693"/>
      <c r="L1452" s="1693"/>
      <c r="M1452" s="1693"/>
      <c r="N1452" s="1693"/>
      <c r="O1452" s="1693"/>
      <c r="P1452" s="1693"/>
      <c r="Q1452" s="989"/>
      <c r="R1452" s="989"/>
      <c r="S1452" s="989"/>
      <c r="T1452" s="1862">
        <f t="shared" si="267"/>
        <v>0</v>
      </c>
    </row>
    <row r="1453" spans="1:20" ht="22.2" hidden="1" customHeight="1">
      <c r="A1453" s="1448">
        <f>COUNTIF($C$12:C1453,"x")</f>
        <v>87</v>
      </c>
      <c r="B1453" s="1455" t="s">
        <v>637</v>
      </c>
      <c r="C1453" s="970" t="str">
        <f t="shared" si="269"/>
        <v xml:space="preserve"> </v>
      </c>
      <c r="D1453" s="1414">
        <f>D1454</f>
        <v>8.6999999999999994E-2</v>
      </c>
      <c r="E1453" s="980" t="str">
        <f>VLOOKUP($B1453,DG!A:D,DG!$B$2,)</f>
        <v>02.1123</v>
      </c>
      <c r="F1453" s="985" t="str">
        <f>VLOOKUP($B1453,DG!A:D,DG!$C$2,)</f>
        <v>Bốc dỡ đà cản, đế néo</v>
      </c>
      <c r="G1453" s="980" t="str">
        <f>VLOOKUP($B1453,DG!A:D,DG!$D$2,)</f>
        <v>tấn</v>
      </c>
      <c r="H1453" s="1693"/>
      <c r="I1453" s="1693"/>
      <c r="J1453" s="1693"/>
      <c r="K1453" s="1693"/>
      <c r="L1453" s="1693"/>
      <c r="M1453" s="1693"/>
      <c r="N1453" s="1693"/>
      <c r="O1453" s="1693"/>
      <c r="P1453" s="1693"/>
      <c r="Q1453" s="989"/>
      <c r="R1453" s="989"/>
      <c r="S1453" s="989"/>
      <c r="T1453" s="1862">
        <f t="shared" si="267"/>
        <v>0</v>
      </c>
    </row>
    <row r="1454" spans="1:20" ht="22.2" hidden="1" customHeight="1">
      <c r="A1454" s="1448">
        <f>COUNTIF($C$12:C1454,"x")</f>
        <v>87</v>
      </c>
      <c r="B1454" s="1464" t="s">
        <v>605</v>
      </c>
      <c r="C1454" s="970" t="str">
        <f t="shared" si="269"/>
        <v xml:space="preserve"> </v>
      </c>
      <c r="D1454" s="1414">
        <v>8.6999999999999994E-2</v>
      </c>
      <c r="E1454" s="980" t="str">
        <f>VLOOKUP($B1454,DG!A:C,2,)</f>
        <v>02.1451</v>
      </c>
      <c r="F1454" s="985" t="str">
        <f>VLOOKUP($B1454,DG!A:C,3,)</f>
        <v>V/c đế néo vào vị trí (cự ly &lt;=100m)</v>
      </c>
      <c r="G1454" s="980" t="str">
        <f>VLOOKUP($B1454,DG!A:D,4,0)</f>
        <v>tấn</v>
      </c>
      <c r="H1454" s="1693"/>
      <c r="I1454" s="1693"/>
      <c r="J1454" s="1693"/>
      <c r="K1454" s="1693"/>
      <c r="L1454" s="1693"/>
      <c r="M1454" s="1693"/>
      <c r="N1454" s="1693"/>
      <c r="O1454" s="1693"/>
      <c r="P1454" s="1693"/>
      <c r="Q1454" s="994"/>
      <c r="R1454" s="994"/>
      <c r="S1454" s="994"/>
      <c r="T1454" s="1862">
        <f t="shared" si="267"/>
        <v>0</v>
      </c>
    </row>
    <row r="1455" spans="1:20" ht="22.2" hidden="1" customHeight="1">
      <c r="A1455" s="1448">
        <f>COUNTIF($C$12:C1455,"x")</f>
        <v>87</v>
      </c>
      <c r="B1455" s="1464" t="s">
        <v>606</v>
      </c>
      <c r="C1455" s="970" t="str">
        <f t="shared" si="269"/>
        <v xml:space="preserve"> </v>
      </c>
      <c r="D1455" s="1414">
        <v>0.05</v>
      </c>
      <c r="E1455" s="980" t="str">
        <f>VLOOKUP($B1455,DG!A:C,2,)</f>
        <v>02.1482</v>
      </c>
      <c r="F1455" s="985" t="str">
        <f>VLOOKUP($B1455,DG!A:C,3,)</f>
        <v>V/c dụng cụ thi công vào vị trí (cự ly &lt;=100m)</v>
      </c>
      <c r="G1455" s="980" t="str">
        <f>VLOOKUP($B1455,DG!A:D,4,0)</f>
        <v>tấn</v>
      </c>
      <c r="H1455" s="1693"/>
      <c r="I1455" s="1693"/>
      <c r="J1455" s="1693"/>
      <c r="K1455" s="1693"/>
      <c r="L1455" s="1693"/>
      <c r="M1455" s="1693"/>
      <c r="N1455" s="1693"/>
      <c r="O1455" s="1693"/>
      <c r="P1455" s="1693"/>
      <c r="Q1455" s="994"/>
      <c r="R1455" s="994"/>
      <c r="S1455" s="994"/>
      <c r="T1455" s="1862">
        <f t="shared" si="267"/>
        <v>0</v>
      </c>
    </row>
    <row r="1456" spans="1:20" ht="22.2" hidden="1" customHeight="1">
      <c r="A1456" s="1448">
        <f>COUNTIF($C$12:C1456,"x")</f>
        <v>87</v>
      </c>
      <c r="B1456" s="1452" t="s">
        <v>2146</v>
      </c>
      <c r="C1456" s="970" t="str">
        <f t="shared" si="269"/>
        <v xml:space="preserve"> </v>
      </c>
      <c r="D1456" s="1412"/>
      <c r="E1456" s="981"/>
      <c r="F1456" s="1276" t="s">
        <v>2493</v>
      </c>
      <c r="G1456" s="982" t="s">
        <v>2385</v>
      </c>
      <c r="H1456" s="1691">
        <f>SUM(I1456:O1456)</f>
        <v>0</v>
      </c>
      <c r="I1456" s="1692"/>
      <c r="J1456" s="1692"/>
      <c r="K1456" s="1692">
        <f>IFERROR(HLOOKUP(B1456,pp3p1m!$1:$3,2,0),0)</f>
        <v>0</v>
      </c>
      <c r="L1456" s="1692">
        <f>IFERROR(HLOOKUP(chitiet!B1456,pp1p!$1:$3,3,0),0)</f>
        <v>0</v>
      </c>
      <c r="M1456" s="1692"/>
      <c r="N1456" s="1692"/>
      <c r="O1456" s="1692"/>
      <c r="P1456" s="2674">
        <f>T1456</f>
        <v>0</v>
      </c>
      <c r="Q1456" s="983">
        <f>IF(P1456&gt;H1456,P1456-H1456,0)</f>
        <v>0</v>
      </c>
      <c r="R1456" s="983">
        <f>IF(H1456&gt;P1456,H1456-P1456,0)</f>
        <v>0</v>
      </c>
      <c r="S1456" s="983"/>
      <c r="T1456" s="1862">
        <f>IFERROR(HLOOKUP(B1456,pp1p!$1:$3,3,0),0)+IFERROR(HLOOKUP(B1456,pp3p1m!$1:$3,3,0),0)</f>
        <v>0</v>
      </c>
    </row>
    <row r="1457" spans="1:20" ht="22.2" hidden="1" customHeight="1">
      <c r="A1457" s="1448">
        <f>COUNTIF($C$12:C1457,"x")</f>
        <v>87</v>
      </c>
      <c r="B1457" s="1455" t="s">
        <v>113</v>
      </c>
      <c r="C1457" s="970" t="str">
        <f t="shared" si="269"/>
        <v xml:space="preserve"> </v>
      </c>
      <c r="D1457" s="1415">
        <v>1</v>
      </c>
      <c r="E1457" s="980"/>
      <c r="F1457" s="992" t="str">
        <f>VLOOKUP($B1457,DG!A:D,DG!$C$2,)</f>
        <v>Ty neo Ø22x3700</v>
      </c>
      <c r="G1457" s="980" t="str">
        <f>VLOOKUP($B1457,DG!A:D,DG!$D$2,)</f>
        <v>cái</v>
      </c>
      <c r="H1457" s="1693">
        <f t="shared" ref="H1457:N1459" si="274">H$1456*$D1457</f>
        <v>0</v>
      </c>
      <c r="I1457" s="1693">
        <f t="shared" si="274"/>
        <v>0</v>
      </c>
      <c r="J1457" s="1693">
        <f t="shared" si="274"/>
        <v>0</v>
      </c>
      <c r="K1457" s="1693">
        <f t="shared" si="274"/>
        <v>0</v>
      </c>
      <c r="L1457" s="1693">
        <f t="shared" si="274"/>
        <v>0</v>
      </c>
      <c r="M1457" s="1693">
        <f t="shared" si="274"/>
        <v>0</v>
      </c>
      <c r="N1457" s="1693">
        <f t="shared" si="274"/>
        <v>0</v>
      </c>
      <c r="O1457" s="1693"/>
      <c r="P1457" s="1693"/>
      <c r="Q1457" s="989"/>
      <c r="R1457" s="989"/>
      <c r="S1457" s="989"/>
      <c r="T1457" s="1862">
        <f t="shared" si="267"/>
        <v>0</v>
      </c>
    </row>
    <row r="1458" spans="1:20" ht="22.2" hidden="1" customHeight="1">
      <c r="A1458" s="1448">
        <f>COUNTIF($C$12:C1458,"x")</f>
        <v>87</v>
      </c>
      <c r="B1458" s="1455" t="s">
        <v>342</v>
      </c>
      <c r="C1458" s="970" t="str">
        <f t="shared" si="269"/>
        <v xml:space="preserve"> </v>
      </c>
      <c r="D1458" s="1415">
        <v>1</v>
      </c>
      <c r="E1458" s="980" t="str">
        <f>VLOOKUP($B1458,DG!A:D,DG!$B$2,)</f>
        <v>04.3801</v>
      </c>
      <c r="F1458" s="992" t="str">
        <f>VLOOKUP($B1458,DG!A:D,DG!$C$2,)</f>
        <v>Đế neo BTCT 400x1200</v>
      </c>
      <c r="G1458" s="980" t="str">
        <f>VLOOKUP($B1458,DG!A:D,DG!$D$2,)</f>
        <v>cái</v>
      </c>
      <c r="H1458" s="1693">
        <f t="shared" si="274"/>
        <v>0</v>
      </c>
      <c r="I1458" s="1693">
        <f t="shared" si="274"/>
        <v>0</v>
      </c>
      <c r="J1458" s="1693">
        <f t="shared" si="274"/>
        <v>0</v>
      </c>
      <c r="K1458" s="1693">
        <f t="shared" si="274"/>
        <v>0</v>
      </c>
      <c r="L1458" s="1693">
        <f t="shared" si="274"/>
        <v>0</v>
      </c>
      <c r="M1458" s="1693">
        <f t="shared" si="274"/>
        <v>0</v>
      </c>
      <c r="N1458" s="1693">
        <f t="shared" si="274"/>
        <v>0</v>
      </c>
      <c r="O1458" s="1693"/>
      <c r="P1458" s="1693"/>
      <c r="Q1458" s="989"/>
      <c r="R1458" s="989"/>
      <c r="S1458" s="989"/>
      <c r="T1458" s="1862">
        <f t="shared" si="267"/>
        <v>0</v>
      </c>
    </row>
    <row r="1459" spans="1:20" ht="22.2" hidden="1" customHeight="1">
      <c r="A1459" s="1448">
        <f>COUNTIF($C$12:C1459,"x")</f>
        <v>87</v>
      </c>
      <c r="B1459" s="1455" t="s">
        <v>1064</v>
      </c>
      <c r="C1459" s="970" t="str">
        <f t="shared" si="269"/>
        <v xml:space="preserve"> </v>
      </c>
      <c r="D1459" s="1425">
        <v>1.58</v>
      </c>
      <c r="E1459" s="980" t="str">
        <f>VLOOKUP($B1459,DG!A:D,DG!$B$2,)</f>
        <v>04.9001</v>
      </c>
      <c r="F1459" s="992" t="str">
        <f>VLOOKUP($B1459,DG!A:D,DG!$C$2,)</f>
        <v>Bitum</v>
      </c>
      <c r="G1459" s="980" t="str">
        <f>VLOOKUP($B1459,DG!A:D,DG!$D$2,)</f>
        <v>m2</v>
      </c>
      <c r="H1459" s="1693">
        <f t="shared" si="274"/>
        <v>0</v>
      </c>
      <c r="I1459" s="1693">
        <f t="shared" si="274"/>
        <v>0</v>
      </c>
      <c r="J1459" s="1693">
        <f t="shared" si="274"/>
        <v>0</v>
      </c>
      <c r="K1459" s="1693">
        <f t="shared" si="274"/>
        <v>0</v>
      </c>
      <c r="L1459" s="1693">
        <f t="shared" si="274"/>
        <v>0</v>
      </c>
      <c r="M1459" s="1693">
        <f t="shared" si="274"/>
        <v>0</v>
      </c>
      <c r="N1459" s="1693">
        <f t="shared" si="274"/>
        <v>0</v>
      </c>
      <c r="O1459" s="1693"/>
      <c r="P1459" s="1693"/>
      <c r="Q1459" s="989"/>
      <c r="R1459" s="989"/>
      <c r="S1459" s="989"/>
      <c r="T1459" s="1862">
        <f t="shared" si="267"/>
        <v>0</v>
      </c>
    </row>
    <row r="1460" spans="1:20" ht="22.2" hidden="1" customHeight="1">
      <c r="A1460" s="1448">
        <f>COUNTIF($C$12:C1460,"x")</f>
        <v>87</v>
      </c>
      <c r="B1460" s="1455" t="s">
        <v>639</v>
      </c>
      <c r="C1460" s="970" t="str">
        <f t="shared" si="269"/>
        <v xml:space="preserve"> </v>
      </c>
      <c r="D1460" s="1414">
        <v>9.39</v>
      </c>
      <c r="E1460" s="980" t="str">
        <f>VLOOKUP($B1460,DG!A:D,DG!$B$2,)</f>
        <v>03.1013</v>
      </c>
      <c r="F1460" s="985" t="str">
        <f>VLOOKUP($B1460,DG!A:D,DG!$C$2,)</f>
        <v>Đào hố móng đất cấp 3 sâu &gt;1m</v>
      </c>
      <c r="G1460" s="980" t="str">
        <f>VLOOKUP($B1460,DG!A:D,DG!$D$2,)</f>
        <v>m3</v>
      </c>
      <c r="H1460" s="1693"/>
      <c r="I1460" s="1693"/>
      <c r="J1460" s="1693"/>
      <c r="K1460" s="1693"/>
      <c r="L1460" s="1693"/>
      <c r="M1460" s="1693"/>
      <c r="N1460" s="1693"/>
      <c r="O1460" s="1693"/>
      <c r="P1460" s="1693"/>
      <c r="Q1460" s="989"/>
      <c r="R1460" s="989"/>
      <c r="S1460" s="989"/>
      <c r="T1460" s="1862">
        <f t="shared" si="267"/>
        <v>0</v>
      </c>
    </row>
    <row r="1461" spans="1:20" ht="22.2" hidden="1" customHeight="1">
      <c r="A1461" s="1448">
        <f>COUNTIF($C$12:C1461,"x")</f>
        <v>87</v>
      </c>
      <c r="B1461" s="1455" t="s">
        <v>21</v>
      </c>
      <c r="C1461" s="970" t="str">
        <f t="shared" si="269"/>
        <v xml:space="preserve"> </v>
      </c>
      <c r="D1461" s="1414">
        <v>10.7</v>
      </c>
      <c r="E1461" s="980" t="str">
        <f>VLOOKUP($B1461,DG!A:D,DG!$B$2,)</f>
        <v>03.4113</v>
      </c>
      <c r="F1461" s="985" t="str">
        <f>VLOOKUP($B1461,DG!A:D,DG!$C$2,)</f>
        <v>Đắp đất hố móng, độ chặt k=0,95</v>
      </c>
      <c r="G1461" s="980" t="str">
        <f>VLOOKUP($B1461,DG!A:D,DG!$D$2,)</f>
        <v>m3</v>
      </c>
      <c r="H1461" s="1693"/>
      <c r="I1461" s="1693"/>
      <c r="J1461" s="1693"/>
      <c r="K1461" s="1693"/>
      <c r="L1461" s="1693"/>
      <c r="M1461" s="1693"/>
      <c r="N1461" s="1693"/>
      <c r="O1461" s="1693"/>
      <c r="P1461" s="1693"/>
      <c r="Q1461" s="989"/>
      <c r="R1461" s="989"/>
      <c r="S1461" s="989"/>
      <c r="T1461" s="1862">
        <f t="shared" si="267"/>
        <v>0</v>
      </c>
    </row>
    <row r="1462" spans="1:20" ht="22.2" hidden="1" customHeight="1">
      <c r="A1462" s="1448">
        <f>COUNTIF($C$12:C1462,"x")</f>
        <v>87</v>
      </c>
      <c r="B1462" s="1455" t="s">
        <v>637</v>
      </c>
      <c r="C1462" s="970" t="str">
        <f t="shared" si="269"/>
        <v xml:space="preserve"> </v>
      </c>
      <c r="D1462" s="1414">
        <f>D1463</f>
        <v>0.17399999999999999</v>
      </c>
      <c r="E1462" s="980" t="str">
        <f>VLOOKUP($B1462,DG!A:D,DG!$B$2,)</f>
        <v>02.1123</v>
      </c>
      <c r="F1462" s="985" t="str">
        <f>VLOOKUP($B1462,DG!A:D,DG!$C$2,)</f>
        <v>Bốc dỡ đà cản, đế néo</v>
      </c>
      <c r="G1462" s="980" t="str">
        <f>VLOOKUP($B1462,DG!A:D,DG!$D$2,)</f>
        <v>tấn</v>
      </c>
      <c r="H1462" s="1693"/>
      <c r="I1462" s="1693"/>
      <c r="J1462" s="1693"/>
      <c r="K1462" s="1693"/>
      <c r="L1462" s="1693"/>
      <c r="M1462" s="1693"/>
      <c r="N1462" s="1693"/>
      <c r="O1462" s="1693"/>
      <c r="P1462" s="1693"/>
      <c r="Q1462" s="989"/>
      <c r="R1462" s="989"/>
      <c r="S1462" s="989"/>
      <c r="T1462" s="1862">
        <f t="shared" si="267"/>
        <v>0</v>
      </c>
    </row>
    <row r="1463" spans="1:20" ht="22.2" hidden="1" customHeight="1">
      <c r="A1463" s="1448">
        <f>COUNTIF($C$12:C1463,"x")</f>
        <v>87</v>
      </c>
      <c r="B1463" s="1464" t="s">
        <v>605</v>
      </c>
      <c r="C1463" s="970" t="str">
        <f t="shared" si="269"/>
        <v xml:space="preserve"> </v>
      </c>
      <c r="D1463" s="1414">
        <v>0.17399999999999999</v>
      </c>
      <c r="E1463" s="980" t="str">
        <f>VLOOKUP($B1463,DG!A:C,2,)</f>
        <v>02.1451</v>
      </c>
      <c r="F1463" s="985" t="str">
        <f>VLOOKUP($B1463,DG!A:C,3,)</f>
        <v>V/c đế néo vào vị trí (cự ly &lt;=100m)</v>
      </c>
      <c r="G1463" s="980" t="str">
        <f>VLOOKUP($B1463,DG!A:D,4,0)</f>
        <v>tấn</v>
      </c>
      <c r="H1463" s="1693"/>
      <c r="I1463" s="1693"/>
      <c r="J1463" s="1693"/>
      <c r="K1463" s="1693"/>
      <c r="L1463" s="1693"/>
      <c r="M1463" s="1693"/>
      <c r="N1463" s="1693"/>
      <c r="O1463" s="1693"/>
      <c r="P1463" s="1693"/>
      <c r="Q1463" s="994"/>
      <c r="R1463" s="994"/>
      <c r="S1463" s="994"/>
      <c r="T1463" s="1862">
        <f t="shared" si="267"/>
        <v>0</v>
      </c>
    </row>
    <row r="1464" spans="1:20" ht="22.2" hidden="1" customHeight="1">
      <c r="A1464" s="1448">
        <f>COUNTIF($C$12:C1464,"x")</f>
        <v>87</v>
      </c>
      <c r="B1464" s="1464" t="s">
        <v>606</v>
      </c>
      <c r="C1464" s="970" t="str">
        <f t="shared" si="269"/>
        <v xml:space="preserve"> </v>
      </c>
      <c r="D1464" s="1414">
        <v>0.05</v>
      </c>
      <c r="E1464" s="980" t="str">
        <f>VLOOKUP($B1464,DG!A:C,2,)</f>
        <v>02.1482</v>
      </c>
      <c r="F1464" s="985" t="str">
        <f>VLOOKUP($B1464,DG!A:C,3,)</f>
        <v>V/c dụng cụ thi công vào vị trí (cự ly &lt;=100m)</v>
      </c>
      <c r="G1464" s="980" t="str">
        <f>VLOOKUP($B1464,DG!A:D,4,0)</f>
        <v>tấn</v>
      </c>
      <c r="H1464" s="1693"/>
      <c r="I1464" s="1693"/>
      <c r="J1464" s="1693"/>
      <c r="K1464" s="1693"/>
      <c r="L1464" s="1693"/>
      <c r="M1464" s="1693"/>
      <c r="N1464" s="1693"/>
      <c r="O1464" s="1693"/>
      <c r="P1464" s="1693"/>
      <c r="Q1464" s="994"/>
      <c r="R1464" s="994"/>
      <c r="S1464" s="994"/>
      <c r="T1464" s="1862">
        <f t="shared" si="267"/>
        <v>0</v>
      </c>
    </row>
    <row r="1465" spans="1:20" ht="22.2" hidden="1" customHeight="1">
      <c r="A1465" s="1448">
        <f>COUNTIF($C$12:C1465,"x")</f>
        <v>87</v>
      </c>
      <c r="B1465" s="1452" t="s">
        <v>1092</v>
      </c>
      <c r="C1465" s="970" t="str">
        <f t="shared" si="269"/>
        <v xml:space="preserve"> </v>
      </c>
      <c r="D1465" s="1412"/>
      <c r="E1465" s="981"/>
      <c r="F1465" s="1276" t="s">
        <v>2494</v>
      </c>
      <c r="G1465" s="982" t="s">
        <v>2385</v>
      </c>
      <c r="H1465" s="1691">
        <f>SUM(I1465:O1465)</f>
        <v>0</v>
      </c>
      <c r="I1465" s="1692"/>
      <c r="J1465" s="1692"/>
      <c r="K1465" s="1692">
        <f>IFERROR(HLOOKUP(B1465,pp3p1m!$1:$3,2,0),0)</f>
        <v>0</v>
      </c>
      <c r="L1465" s="1692">
        <f>IFERROR(HLOOKUP(chitiet!B1465,pp1p!$1:$3,3,0),0)</f>
        <v>0</v>
      </c>
      <c r="M1465" s="1692"/>
      <c r="N1465" s="1692"/>
      <c r="O1465" s="1692"/>
      <c r="P1465" s="2674">
        <f>T1465</f>
        <v>0</v>
      </c>
      <c r="Q1465" s="983">
        <f>IF(P1465&gt;H1465,P1465-H1465,0)</f>
        <v>0</v>
      </c>
      <c r="R1465" s="983">
        <f>IF(H1465&gt;P1465,H1465-P1465,0)</f>
        <v>0</v>
      </c>
      <c r="S1465" s="983"/>
      <c r="T1465" s="1862">
        <f>IFERROR(HLOOKUP(B1465,pp1p!$1:$3,3,0),0)+IFERROR(HLOOKUP(B1465,pp3p1m!$1:$3,3,0),0)</f>
        <v>0</v>
      </c>
    </row>
    <row r="1466" spans="1:20" ht="22.2" hidden="1" customHeight="1">
      <c r="A1466" s="1448">
        <f>COUNTIF($C$12:C1466,"x")</f>
        <v>87</v>
      </c>
      <c r="B1466" s="1455" t="s">
        <v>1999</v>
      </c>
      <c r="C1466" s="970" t="str">
        <f t="shared" si="269"/>
        <v xml:space="preserve"> </v>
      </c>
      <c r="D1466" s="1415">
        <v>1</v>
      </c>
      <c r="E1466" s="980"/>
      <c r="F1466" s="992" t="str">
        <f>VLOOKUP($B1466,DG!A:D,DG!$C$2,)</f>
        <v>Ty neo Ø22x3000</v>
      </c>
      <c r="G1466" s="980" t="str">
        <f>VLOOKUP($B1466,DG!A:D,DG!$D$2,)</f>
        <v>cái</v>
      </c>
      <c r="H1466" s="1693">
        <f t="shared" ref="H1466:N1468" si="275">H$1465*$D1466</f>
        <v>0</v>
      </c>
      <c r="I1466" s="1693">
        <f t="shared" si="275"/>
        <v>0</v>
      </c>
      <c r="J1466" s="1693">
        <f t="shared" si="275"/>
        <v>0</v>
      </c>
      <c r="K1466" s="1693">
        <f t="shared" si="275"/>
        <v>0</v>
      </c>
      <c r="L1466" s="1693">
        <f t="shared" si="275"/>
        <v>0</v>
      </c>
      <c r="M1466" s="1693">
        <f t="shared" si="275"/>
        <v>0</v>
      </c>
      <c r="N1466" s="1693">
        <f t="shared" si="275"/>
        <v>0</v>
      </c>
      <c r="O1466" s="1693"/>
      <c r="P1466" s="1693"/>
      <c r="Q1466" s="989"/>
      <c r="R1466" s="989"/>
      <c r="S1466" s="989"/>
      <c r="T1466" s="1862">
        <f t="shared" si="267"/>
        <v>0</v>
      </c>
    </row>
    <row r="1467" spans="1:20" ht="22.2" hidden="1" customHeight="1">
      <c r="A1467" s="1448">
        <f>COUNTIF($C$12:C1467,"x")</f>
        <v>87</v>
      </c>
      <c r="B1467" s="1455" t="s">
        <v>342</v>
      </c>
      <c r="C1467" s="970" t="str">
        <f t="shared" si="269"/>
        <v xml:space="preserve"> </v>
      </c>
      <c r="D1467" s="1415">
        <v>1</v>
      </c>
      <c r="E1467" s="980" t="str">
        <f>VLOOKUP($B1467,DG!A:D,DG!$B$2,)</f>
        <v>04.3801</v>
      </c>
      <c r="F1467" s="992" t="str">
        <f>VLOOKUP($B1467,DG!A:D,DG!$C$2,)</f>
        <v>Đế neo BTCT 400x1200</v>
      </c>
      <c r="G1467" s="980" t="str">
        <f>VLOOKUP($B1467,DG!A:D,DG!$D$2,)</f>
        <v>cái</v>
      </c>
      <c r="H1467" s="1693">
        <f t="shared" si="275"/>
        <v>0</v>
      </c>
      <c r="I1467" s="1693">
        <f t="shared" si="275"/>
        <v>0</v>
      </c>
      <c r="J1467" s="1693">
        <f t="shared" si="275"/>
        <v>0</v>
      </c>
      <c r="K1467" s="1693">
        <f t="shared" si="275"/>
        <v>0</v>
      </c>
      <c r="L1467" s="1693">
        <f t="shared" si="275"/>
        <v>0</v>
      </c>
      <c r="M1467" s="1693">
        <f t="shared" si="275"/>
        <v>0</v>
      </c>
      <c r="N1467" s="1693">
        <f t="shared" si="275"/>
        <v>0</v>
      </c>
      <c r="O1467" s="1693"/>
      <c r="P1467" s="1693"/>
      <c r="Q1467" s="989"/>
      <c r="R1467" s="989"/>
      <c r="S1467" s="989"/>
      <c r="T1467" s="1862">
        <f t="shared" si="267"/>
        <v>0</v>
      </c>
    </row>
    <row r="1468" spans="1:20" ht="22.2" hidden="1" customHeight="1">
      <c r="A1468" s="1448">
        <f>COUNTIF($C$12:C1468,"x")</f>
        <v>87</v>
      </c>
      <c r="B1468" s="1455" t="s">
        <v>1064</v>
      </c>
      <c r="C1468" s="970" t="str">
        <f t="shared" si="269"/>
        <v xml:space="preserve"> </v>
      </c>
      <c r="D1468" s="1425">
        <v>1.58</v>
      </c>
      <c r="E1468" s="980" t="str">
        <f>VLOOKUP($B1468,DG!A:D,DG!$B$2,)</f>
        <v>04.9001</v>
      </c>
      <c r="F1468" s="992" t="str">
        <f>VLOOKUP($B1468,DG!A:D,DG!$C$2,)</f>
        <v>Bitum</v>
      </c>
      <c r="G1468" s="980" t="str">
        <f>VLOOKUP($B1468,DG!A:D,DG!$D$2,)</f>
        <v>m2</v>
      </c>
      <c r="H1468" s="1693">
        <f t="shared" si="275"/>
        <v>0</v>
      </c>
      <c r="I1468" s="1693">
        <f t="shared" si="275"/>
        <v>0</v>
      </c>
      <c r="J1468" s="1693">
        <f t="shared" si="275"/>
        <v>0</v>
      </c>
      <c r="K1468" s="1693">
        <f t="shared" si="275"/>
        <v>0</v>
      </c>
      <c r="L1468" s="1693">
        <f t="shared" si="275"/>
        <v>0</v>
      </c>
      <c r="M1468" s="1693">
        <f t="shared" si="275"/>
        <v>0</v>
      </c>
      <c r="N1468" s="1693">
        <f t="shared" si="275"/>
        <v>0</v>
      </c>
      <c r="O1468" s="1693"/>
      <c r="P1468" s="1693"/>
      <c r="Q1468" s="989"/>
      <c r="R1468" s="989"/>
      <c r="S1468" s="989"/>
      <c r="T1468" s="1862">
        <f t="shared" si="267"/>
        <v>0</v>
      </c>
    </row>
    <row r="1469" spans="1:20" ht="22.2" hidden="1" customHeight="1">
      <c r="A1469" s="1448">
        <f>COUNTIF($C$12:C1469,"x")</f>
        <v>87</v>
      </c>
      <c r="B1469" s="1455" t="s">
        <v>639</v>
      </c>
      <c r="C1469" s="970" t="str">
        <f t="shared" si="269"/>
        <v xml:space="preserve"> </v>
      </c>
      <c r="D1469" s="1414">
        <v>8.23</v>
      </c>
      <c r="E1469" s="980" t="str">
        <f>VLOOKUP($B1469,DG!A:D,DG!$B$2,)</f>
        <v>03.1013</v>
      </c>
      <c r="F1469" s="985" t="str">
        <f>VLOOKUP($B1469,DG!A:D,DG!$C$2,)</f>
        <v>Đào hố móng đất cấp 3 sâu &gt;1m</v>
      </c>
      <c r="G1469" s="980" t="str">
        <f>VLOOKUP($B1469,DG!A:D,DG!$D$2,)</f>
        <v>m3</v>
      </c>
      <c r="H1469" s="1693"/>
      <c r="I1469" s="1693"/>
      <c r="J1469" s="1693"/>
      <c r="K1469" s="1693"/>
      <c r="L1469" s="1693"/>
      <c r="M1469" s="1693"/>
      <c r="N1469" s="1693"/>
      <c r="O1469" s="1693"/>
      <c r="P1469" s="1693"/>
      <c r="Q1469" s="989"/>
      <c r="R1469" s="989"/>
      <c r="S1469" s="989"/>
      <c r="T1469" s="1862">
        <f t="shared" si="267"/>
        <v>0</v>
      </c>
    </row>
    <row r="1470" spans="1:20" ht="22.2" hidden="1" customHeight="1">
      <c r="A1470" s="1448">
        <f>COUNTIF($C$12:C1470,"x")</f>
        <v>87</v>
      </c>
      <c r="B1470" s="1455" t="s">
        <v>21</v>
      </c>
      <c r="C1470" s="970" t="str">
        <f t="shared" si="269"/>
        <v xml:space="preserve"> </v>
      </c>
      <c r="D1470" s="1414">
        <v>9.2899999999999991</v>
      </c>
      <c r="E1470" s="980" t="str">
        <f>VLOOKUP($B1470,DG!A:D,DG!$B$2,)</f>
        <v>03.4113</v>
      </c>
      <c r="F1470" s="985" t="str">
        <f>VLOOKUP($B1470,DG!A:D,DG!$C$2,)</f>
        <v>Đắp đất hố móng, độ chặt k=0,95</v>
      </c>
      <c r="G1470" s="980" t="str">
        <f>VLOOKUP($B1470,DG!A:D,DG!$D$2,)</f>
        <v>m3</v>
      </c>
      <c r="H1470" s="1693"/>
      <c r="I1470" s="1693"/>
      <c r="J1470" s="1693"/>
      <c r="K1470" s="1693"/>
      <c r="L1470" s="1693"/>
      <c r="M1470" s="1693"/>
      <c r="N1470" s="1693"/>
      <c r="O1470" s="1693"/>
      <c r="P1470" s="1693"/>
      <c r="Q1470" s="989"/>
      <c r="R1470" s="989"/>
      <c r="S1470" s="989"/>
      <c r="T1470" s="1862">
        <f t="shared" si="267"/>
        <v>0</v>
      </c>
    </row>
    <row r="1471" spans="1:20" ht="22.2" hidden="1" customHeight="1">
      <c r="A1471" s="1448">
        <f>COUNTIF($C$12:C1471,"x")</f>
        <v>87</v>
      </c>
      <c r="B1471" s="1455" t="s">
        <v>637</v>
      </c>
      <c r="C1471" s="970" t="str">
        <f t="shared" si="269"/>
        <v xml:space="preserve"> </v>
      </c>
      <c r="D1471" s="1414">
        <f>D1472</f>
        <v>0.17399999999999999</v>
      </c>
      <c r="E1471" s="980" t="str">
        <f>VLOOKUP($B1471,DG!A:D,DG!$B$2,)</f>
        <v>02.1123</v>
      </c>
      <c r="F1471" s="985" t="str">
        <f>VLOOKUP($B1471,DG!A:D,DG!$C$2,)</f>
        <v>Bốc dỡ đà cản, đế néo</v>
      </c>
      <c r="G1471" s="980" t="str">
        <f>VLOOKUP($B1471,DG!A:D,DG!$D$2,)</f>
        <v>tấn</v>
      </c>
      <c r="H1471" s="1693"/>
      <c r="I1471" s="1693"/>
      <c r="J1471" s="1693"/>
      <c r="K1471" s="1693"/>
      <c r="L1471" s="1693"/>
      <c r="M1471" s="1693"/>
      <c r="N1471" s="1693"/>
      <c r="O1471" s="1693"/>
      <c r="P1471" s="1693"/>
      <c r="Q1471" s="989"/>
      <c r="R1471" s="989"/>
      <c r="S1471" s="989"/>
      <c r="T1471" s="1862">
        <f t="shared" ref="T1471:T1534" si="276">IFERROR(HLOOKUP(B1471,BangKeTru,3,0),0)</f>
        <v>0</v>
      </c>
    </row>
    <row r="1472" spans="1:20" ht="22.2" hidden="1" customHeight="1">
      <c r="A1472" s="1448">
        <f>COUNTIF($C$12:C1472,"x")</f>
        <v>87</v>
      </c>
      <c r="B1472" s="1464" t="s">
        <v>605</v>
      </c>
      <c r="C1472" s="970" t="str">
        <f t="shared" si="269"/>
        <v xml:space="preserve"> </v>
      </c>
      <c r="D1472" s="1414">
        <v>0.17399999999999999</v>
      </c>
      <c r="E1472" s="980" t="str">
        <f>VLOOKUP($B1472,DG!A:C,2,)</f>
        <v>02.1451</v>
      </c>
      <c r="F1472" s="985" t="str">
        <f>VLOOKUP($B1472,DG!A:C,3,)</f>
        <v>V/c đế néo vào vị trí (cự ly &lt;=100m)</v>
      </c>
      <c r="G1472" s="980" t="str">
        <f>VLOOKUP($B1472,DG!A:D,4,0)</f>
        <v>tấn</v>
      </c>
      <c r="H1472" s="1693"/>
      <c r="I1472" s="1693"/>
      <c r="J1472" s="1693"/>
      <c r="K1472" s="1693"/>
      <c r="L1472" s="1693"/>
      <c r="M1472" s="1693"/>
      <c r="N1472" s="1693"/>
      <c r="O1472" s="1693"/>
      <c r="P1472" s="1693"/>
      <c r="Q1472" s="994"/>
      <c r="R1472" s="994"/>
      <c r="S1472" s="994"/>
      <c r="T1472" s="1862">
        <f t="shared" si="276"/>
        <v>0</v>
      </c>
    </row>
    <row r="1473" spans="1:20" ht="22.2" hidden="1" customHeight="1">
      <c r="A1473" s="1448">
        <f>COUNTIF($C$12:C1473,"x")</f>
        <v>87</v>
      </c>
      <c r="B1473" s="1464" t="s">
        <v>606</v>
      </c>
      <c r="C1473" s="970" t="str">
        <f t="shared" si="269"/>
        <v xml:space="preserve"> </v>
      </c>
      <c r="D1473" s="1414">
        <v>0.05</v>
      </c>
      <c r="E1473" s="980" t="str">
        <f>VLOOKUP($B1473,DG!A:C,2,)</f>
        <v>02.1482</v>
      </c>
      <c r="F1473" s="985" t="str">
        <f>VLOOKUP($B1473,DG!A:C,3,)</f>
        <v>V/c dụng cụ thi công vào vị trí (cự ly &lt;=100m)</v>
      </c>
      <c r="G1473" s="980" t="str">
        <f>VLOOKUP($B1473,DG!A:D,4,0)</f>
        <v>tấn</v>
      </c>
      <c r="H1473" s="1693"/>
      <c r="I1473" s="1693"/>
      <c r="J1473" s="1693"/>
      <c r="K1473" s="1693"/>
      <c r="L1473" s="1693"/>
      <c r="M1473" s="1693"/>
      <c r="N1473" s="1693"/>
      <c r="O1473" s="1693"/>
      <c r="P1473" s="1693"/>
      <c r="Q1473" s="994"/>
      <c r="R1473" s="994"/>
      <c r="S1473" s="994"/>
      <c r="T1473" s="1862">
        <f t="shared" si="276"/>
        <v>0</v>
      </c>
    </row>
    <row r="1474" spans="1:20" ht="22.2" hidden="1" customHeight="1">
      <c r="A1474" s="1448">
        <f>COUNTIF($C$12:C1474,"x")</f>
        <v>87</v>
      </c>
      <c r="B1474" s="1452" t="s">
        <v>2147</v>
      </c>
      <c r="C1474" s="970" t="str">
        <f t="shared" si="269"/>
        <v xml:space="preserve"> </v>
      </c>
      <c r="D1474" s="1412"/>
      <c r="E1474" s="981"/>
      <c r="F1474" s="1276" t="s">
        <v>2495</v>
      </c>
      <c r="G1474" s="982" t="s">
        <v>2385</v>
      </c>
      <c r="H1474" s="1691">
        <f>SUM(I1474:O1474)</f>
        <v>0</v>
      </c>
      <c r="I1474" s="1692"/>
      <c r="J1474" s="1692"/>
      <c r="K1474" s="1692">
        <f>IFERROR(HLOOKUP(B1474,pp3p1m!$1:$3,2,0),0)</f>
        <v>0</v>
      </c>
      <c r="L1474" s="1692">
        <f>IFERROR(HLOOKUP(chitiet!B1474,pp1p!$1:$3,3,0),0)</f>
        <v>0</v>
      </c>
      <c r="M1474" s="1692"/>
      <c r="N1474" s="1692"/>
      <c r="O1474" s="1692"/>
      <c r="P1474" s="2674">
        <f>T1474</f>
        <v>0</v>
      </c>
      <c r="Q1474" s="983">
        <f>IF(P1474&gt;H1474,P1474-H1474,0)</f>
        <v>0</v>
      </c>
      <c r="R1474" s="983">
        <f>IF(H1474&gt;P1474,H1474-P1474,0)</f>
        <v>0</v>
      </c>
      <c r="S1474" s="983"/>
      <c r="T1474" s="1862">
        <f>IFERROR(HLOOKUP(B1474,pp1p!$1:$3,3,0),0)+IFERROR(HLOOKUP(B1474,pp3p1m!$1:$3,3,0),0)</f>
        <v>0</v>
      </c>
    </row>
    <row r="1475" spans="1:20" ht="22.2" hidden="1" customHeight="1">
      <c r="A1475" s="1448">
        <f>COUNTIF($C$12:C1475,"x")</f>
        <v>87</v>
      </c>
      <c r="B1475" s="1455" t="s">
        <v>113</v>
      </c>
      <c r="C1475" s="970" t="str">
        <f t="shared" si="269"/>
        <v xml:space="preserve"> </v>
      </c>
      <c r="D1475" s="1415">
        <v>1</v>
      </c>
      <c r="E1475" s="980"/>
      <c r="F1475" s="992" t="str">
        <f>VLOOKUP($B1475,DG!A:D,DG!$C$2,)</f>
        <v>Ty neo Ø22x3700</v>
      </c>
      <c r="G1475" s="980" t="str">
        <f>VLOOKUP($B1475,DG!A:D,DG!$D$2,)</f>
        <v>cái</v>
      </c>
      <c r="H1475" s="1693">
        <f t="shared" ref="H1475:N1477" si="277">H$1474*$D1475</f>
        <v>0</v>
      </c>
      <c r="I1475" s="1693">
        <f t="shared" si="277"/>
        <v>0</v>
      </c>
      <c r="J1475" s="1693">
        <f t="shared" si="277"/>
        <v>0</v>
      </c>
      <c r="K1475" s="1693">
        <f t="shared" si="277"/>
        <v>0</v>
      </c>
      <c r="L1475" s="1693">
        <f t="shared" si="277"/>
        <v>0</v>
      </c>
      <c r="M1475" s="1693">
        <f t="shared" si="277"/>
        <v>0</v>
      </c>
      <c r="N1475" s="1693">
        <f t="shared" si="277"/>
        <v>0</v>
      </c>
      <c r="O1475" s="1693"/>
      <c r="P1475" s="1693"/>
      <c r="Q1475" s="989"/>
      <c r="R1475" s="989"/>
      <c r="S1475" s="989"/>
      <c r="T1475" s="1862">
        <f t="shared" si="276"/>
        <v>0</v>
      </c>
    </row>
    <row r="1476" spans="1:20" ht="22.2" hidden="1" customHeight="1">
      <c r="A1476" s="1448">
        <f>COUNTIF($C$12:C1476,"x")</f>
        <v>87</v>
      </c>
      <c r="B1476" s="1455" t="s">
        <v>2130</v>
      </c>
      <c r="C1476" s="970" t="str">
        <f t="shared" si="269"/>
        <v xml:space="preserve"> </v>
      </c>
      <c r="D1476" s="1415">
        <v>1</v>
      </c>
      <c r="E1476" s="980" t="str">
        <f>VLOOKUP($B1476,DG!A:D,DG!$B$2,)</f>
        <v>04.3802</v>
      </c>
      <c r="F1476" s="992" t="str">
        <f>VLOOKUP($B1476,DG!A:D,DG!$C$2,)</f>
        <v>Đế neo BTCT 400x1500</v>
      </c>
      <c r="G1476" s="980" t="str">
        <f>VLOOKUP($B1476,DG!A:D,DG!$D$2,)</f>
        <v>cái</v>
      </c>
      <c r="H1476" s="1693">
        <f t="shared" si="277"/>
        <v>0</v>
      </c>
      <c r="I1476" s="1693">
        <f t="shared" si="277"/>
        <v>0</v>
      </c>
      <c r="J1476" s="1693">
        <f t="shared" si="277"/>
        <v>0</v>
      </c>
      <c r="K1476" s="1693">
        <f t="shared" si="277"/>
        <v>0</v>
      </c>
      <c r="L1476" s="1693">
        <f t="shared" si="277"/>
        <v>0</v>
      </c>
      <c r="M1476" s="1693">
        <f t="shared" si="277"/>
        <v>0</v>
      </c>
      <c r="N1476" s="1693">
        <f t="shared" si="277"/>
        <v>0</v>
      </c>
      <c r="O1476" s="1693"/>
      <c r="P1476" s="1693"/>
      <c r="Q1476" s="989"/>
      <c r="R1476" s="989"/>
      <c r="S1476" s="989"/>
      <c r="T1476" s="1862">
        <f t="shared" si="276"/>
        <v>0</v>
      </c>
    </row>
    <row r="1477" spans="1:20" ht="22.2" hidden="1" customHeight="1">
      <c r="A1477" s="1448">
        <f>COUNTIF($C$12:C1477,"x")</f>
        <v>87</v>
      </c>
      <c r="B1477" s="1455" t="s">
        <v>1064</v>
      </c>
      <c r="C1477" s="970" t="str">
        <f t="shared" si="269"/>
        <v xml:space="preserve"> </v>
      </c>
      <c r="D1477" s="1425">
        <v>1.7</v>
      </c>
      <c r="E1477" s="980" t="str">
        <f>VLOOKUP($B1477,DG!A:D,DG!$B$2,)</f>
        <v>04.9001</v>
      </c>
      <c r="F1477" s="992" t="str">
        <f>VLOOKUP($B1477,DG!A:D,DG!$C$2,)</f>
        <v>Bitum</v>
      </c>
      <c r="G1477" s="980" t="str">
        <f>VLOOKUP($B1477,DG!A:D,DG!$D$2,)</f>
        <v>m2</v>
      </c>
      <c r="H1477" s="1693">
        <f t="shared" si="277"/>
        <v>0</v>
      </c>
      <c r="I1477" s="1693">
        <f t="shared" si="277"/>
        <v>0</v>
      </c>
      <c r="J1477" s="1693">
        <f t="shared" si="277"/>
        <v>0</v>
      </c>
      <c r="K1477" s="1693">
        <f t="shared" si="277"/>
        <v>0</v>
      </c>
      <c r="L1477" s="1693">
        <f t="shared" si="277"/>
        <v>0</v>
      </c>
      <c r="M1477" s="1693">
        <f t="shared" si="277"/>
        <v>0</v>
      </c>
      <c r="N1477" s="1693">
        <f t="shared" si="277"/>
        <v>0</v>
      </c>
      <c r="O1477" s="1693"/>
      <c r="P1477" s="1693"/>
      <c r="Q1477" s="989"/>
      <c r="R1477" s="989"/>
      <c r="S1477" s="989"/>
      <c r="T1477" s="1862">
        <f t="shared" si="276"/>
        <v>0</v>
      </c>
    </row>
    <row r="1478" spans="1:20" ht="22.2" hidden="1" customHeight="1">
      <c r="A1478" s="1448">
        <f>COUNTIF($C$12:C1478,"x")</f>
        <v>87</v>
      </c>
      <c r="B1478" s="1455" t="s">
        <v>639</v>
      </c>
      <c r="C1478" s="970" t="str">
        <f t="shared" si="269"/>
        <v xml:space="preserve"> </v>
      </c>
      <c r="D1478" s="1414">
        <v>10.5</v>
      </c>
      <c r="E1478" s="980" t="str">
        <f>VLOOKUP($B1478,DG!A:D,DG!$B$2,)</f>
        <v>03.1013</v>
      </c>
      <c r="F1478" s="985" t="str">
        <f>VLOOKUP($B1478,DG!A:D,DG!$C$2,)</f>
        <v>Đào hố móng đất cấp 3 sâu &gt;1m</v>
      </c>
      <c r="G1478" s="980" t="str">
        <f>VLOOKUP($B1478,DG!A:D,DG!$D$2,)</f>
        <v>m3</v>
      </c>
      <c r="H1478" s="1693"/>
      <c r="I1478" s="1693"/>
      <c r="J1478" s="1693"/>
      <c r="K1478" s="1693"/>
      <c r="L1478" s="1693"/>
      <c r="M1478" s="1693"/>
      <c r="N1478" s="1693"/>
      <c r="O1478" s="1693"/>
      <c r="P1478" s="1693"/>
      <c r="Q1478" s="989"/>
      <c r="R1478" s="989"/>
      <c r="S1478" s="989"/>
      <c r="T1478" s="1862">
        <f t="shared" si="276"/>
        <v>0</v>
      </c>
    </row>
    <row r="1479" spans="1:20" ht="22.2" hidden="1" customHeight="1">
      <c r="A1479" s="1448">
        <f>COUNTIF($C$12:C1479,"x")</f>
        <v>87</v>
      </c>
      <c r="B1479" s="1455" t="s">
        <v>21</v>
      </c>
      <c r="C1479" s="970" t="str">
        <f t="shared" ref="C1479:C1542" si="278">IF(OR(P1479&lt;&gt;0,H1479&lt;&gt;0),"x"," ")</f>
        <v xml:space="preserve"> </v>
      </c>
      <c r="D1479" s="1414">
        <v>11.95</v>
      </c>
      <c r="E1479" s="980" t="str">
        <f>VLOOKUP($B1479,DG!A:D,DG!$B$2,)</f>
        <v>03.4113</v>
      </c>
      <c r="F1479" s="985" t="str">
        <f>VLOOKUP($B1479,DG!A:D,DG!$C$2,)</f>
        <v>Đắp đất hố móng, độ chặt k=0,95</v>
      </c>
      <c r="G1479" s="980" t="str">
        <f>VLOOKUP($B1479,DG!A:D,DG!$D$2,)</f>
        <v>m3</v>
      </c>
      <c r="H1479" s="1693"/>
      <c r="I1479" s="1693"/>
      <c r="J1479" s="1693"/>
      <c r="K1479" s="1693"/>
      <c r="L1479" s="1693"/>
      <c r="M1479" s="1693"/>
      <c r="N1479" s="1693"/>
      <c r="O1479" s="1693"/>
      <c r="P1479" s="1693"/>
      <c r="Q1479" s="989"/>
      <c r="R1479" s="989"/>
      <c r="S1479" s="989"/>
      <c r="T1479" s="1862">
        <f t="shared" si="276"/>
        <v>0</v>
      </c>
    </row>
    <row r="1480" spans="1:20" ht="22.2" hidden="1" customHeight="1">
      <c r="A1480" s="1448">
        <f>COUNTIF($C$12:C1480,"x")</f>
        <v>87</v>
      </c>
      <c r="B1480" s="1455" t="s">
        <v>637</v>
      </c>
      <c r="C1480" s="970" t="str">
        <f t="shared" si="278"/>
        <v xml:space="preserve"> </v>
      </c>
      <c r="D1480" s="1414">
        <f>D1481</f>
        <v>0.193</v>
      </c>
      <c r="E1480" s="980" t="str">
        <f>VLOOKUP($B1480,DG!A:D,DG!$B$2,)</f>
        <v>02.1123</v>
      </c>
      <c r="F1480" s="985" t="str">
        <f>VLOOKUP($B1480,DG!A:D,DG!$C$2,)</f>
        <v>Bốc dỡ đà cản, đế néo</v>
      </c>
      <c r="G1480" s="980" t="str">
        <f>VLOOKUP($B1480,DG!A:D,DG!$D$2,)</f>
        <v>tấn</v>
      </c>
      <c r="H1480" s="1693"/>
      <c r="I1480" s="1693"/>
      <c r="J1480" s="1693"/>
      <c r="K1480" s="1693"/>
      <c r="L1480" s="1693"/>
      <c r="M1480" s="1693"/>
      <c r="N1480" s="1693"/>
      <c r="O1480" s="1693"/>
      <c r="P1480" s="1693"/>
      <c r="Q1480" s="989"/>
      <c r="R1480" s="989"/>
      <c r="S1480" s="989"/>
      <c r="T1480" s="1862">
        <f t="shared" si="276"/>
        <v>0</v>
      </c>
    </row>
    <row r="1481" spans="1:20" ht="22.2" hidden="1" customHeight="1">
      <c r="A1481" s="1448">
        <f>COUNTIF($C$12:C1481,"x")</f>
        <v>87</v>
      </c>
      <c r="B1481" s="1464" t="s">
        <v>605</v>
      </c>
      <c r="C1481" s="970" t="str">
        <f t="shared" si="278"/>
        <v xml:space="preserve"> </v>
      </c>
      <c r="D1481" s="1414">
        <v>0.193</v>
      </c>
      <c r="E1481" s="980" t="str">
        <f>VLOOKUP($B1481,DG!A:C,2,)</f>
        <v>02.1451</v>
      </c>
      <c r="F1481" s="985" t="str">
        <f>VLOOKUP($B1481,DG!A:C,3,)</f>
        <v>V/c đế néo vào vị trí (cự ly &lt;=100m)</v>
      </c>
      <c r="G1481" s="980" t="str">
        <f>VLOOKUP($B1481,DG!A:D,4,0)</f>
        <v>tấn</v>
      </c>
      <c r="H1481" s="1693"/>
      <c r="I1481" s="1693"/>
      <c r="J1481" s="1693"/>
      <c r="K1481" s="1693"/>
      <c r="L1481" s="1693"/>
      <c r="M1481" s="1693"/>
      <c r="N1481" s="1693"/>
      <c r="O1481" s="1693"/>
      <c r="P1481" s="1693"/>
      <c r="Q1481" s="994"/>
      <c r="R1481" s="994"/>
      <c r="S1481" s="994"/>
      <c r="T1481" s="1862">
        <f t="shared" si="276"/>
        <v>0</v>
      </c>
    </row>
    <row r="1482" spans="1:20" ht="22.2" hidden="1" customHeight="1">
      <c r="A1482" s="1448">
        <f>COUNTIF($C$12:C1482,"x")</f>
        <v>87</v>
      </c>
      <c r="B1482" s="1464" t="s">
        <v>606</v>
      </c>
      <c r="C1482" s="970" t="str">
        <f t="shared" si="278"/>
        <v xml:space="preserve"> </v>
      </c>
      <c r="D1482" s="1414">
        <v>0.05</v>
      </c>
      <c r="E1482" s="980" t="str">
        <f>VLOOKUP($B1482,DG!A:C,2,)</f>
        <v>02.1482</v>
      </c>
      <c r="F1482" s="985" t="str">
        <f>VLOOKUP($B1482,DG!A:C,3,)</f>
        <v>V/c dụng cụ thi công vào vị trí (cự ly &lt;=100m)</v>
      </c>
      <c r="G1482" s="980" t="str">
        <f>VLOOKUP($B1482,DG!A:D,4,0)</f>
        <v>tấn</v>
      </c>
      <c r="H1482" s="1693"/>
      <c r="I1482" s="1693"/>
      <c r="J1482" s="1693"/>
      <c r="K1482" s="1693"/>
      <c r="L1482" s="1693"/>
      <c r="M1482" s="1693"/>
      <c r="N1482" s="1693"/>
      <c r="O1482" s="1693"/>
      <c r="P1482" s="1693"/>
      <c r="Q1482" s="994"/>
      <c r="R1482" s="994"/>
      <c r="S1482" s="994"/>
      <c r="T1482" s="1862">
        <f t="shared" si="276"/>
        <v>0</v>
      </c>
    </row>
    <row r="1483" spans="1:20" ht="22.2" hidden="1" customHeight="1">
      <c r="A1483" s="1448">
        <f>COUNTIF($C$12:C1483,"x")</f>
        <v>87</v>
      </c>
      <c r="B1483" s="1452" t="s">
        <v>1093</v>
      </c>
      <c r="C1483" s="970" t="str">
        <f t="shared" si="278"/>
        <v xml:space="preserve"> </v>
      </c>
      <c r="D1483" s="1412"/>
      <c r="E1483" s="981"/>
      <c r="F1483" s="1276" t="s">
        <v>2496</v>
      </c>
      <c r="G1483" s="982" t="s">
        <v>2385</v>
      </c>
      <c r="H1483" s="1691">
        <f>SUM(I1483:O1483)</f>
        <v>0</v>
      </c>
      <c r="I1483" s="1692"/>
      <c r="J1483" s="1692"/>
      <c r="K1483" s="1692">
        <f>IFERROR(HLOOKUP(B1483,pp3p1m!$1:$3,2,0),0)</f>
        <v>0</v>
      </c>
      <c r="L1483" s="1692">
        <f>IFERROR(HLOOKUP(chitiet!B1483,pp1p!$1:$3,3,0),0)</f>
        <v>0</v>
      </c>
      <c r="M1483" s="1692"/>
      <c r="N1483" s="1692"/>
      <c r="O1483" s="1692"/>
      <c r="P1483" s="2674">
        <f>T1483</f>
        <v>0</v>
      </c>
      <c r="Q1483" s="983">
        <f>IF(P1483&gt;H1483,P1483-H1483,0)</f>
        <v>0</v>
      </c>
      <c r="R1483" s="983">
        <f>IF(H1483&gt;P1483,H1483-P1483,0)</f>
        <v>0</v>
      </c>
      <c r="S1483" s="983"/>
      <c r="T1483" s="1862">
        <f>IFERROR(HLOOKUP(B1483,pp1p!$1:$3,3,0),0)+IFERROR(HLOOKUP(B1483,pp3p1m!$1:$3,3,0),0)</f>
        <v>0</v>
      </c>
    </row>
    <row r="1484" spans="1:20" ht="22.2" hidden="1" customHeight="1">
      <c r="A1484" s="1448">
        <f>COUNTIF($C$12:C1484,"x")</f>
        <v>87</v>
      </c>
      <c r="B1484" s="1455" t="s">
        <v>1999</v>
      </c>
      <c r="C1484" s="970" t="str">
        <f t="shared" si="278"/>
        <v xml:space="preserve"> </v>
      </c>
      <c r="D1484" s="1415">
        <v>1</v>
      </c>
      <c r="E1484" s="980"/>
      <c r="F1484" s="992" t="str">
        <f>VLOOKUP($B1484,DG!A:D,DG!$C$2,)</f>
        <v>Ty neo Ø22x3000</v>
      </c>
      <c r="G1484" s="980" t="str">
        <f>VLOOKUP($B1484,DG!A:D,DG!$D$2,)</f>
        <v>cái</v>
      </c>
      <c r="H1484" s="1693">
        <f t="shared" ref="H1484:N1486" si="279">H$1483*$D1484</f>
        <v>0</v>
      </c>
      <c r="I1484" s="1693">
        <f t="shared" si="279"/>
        <v>0</v>
      </c>
      <c r="J1484" s="1693">
        <f t="shared" si="279"/>
        <v>0</v>
      </c>
      <c r="K1484" s="1693">
        <f t="shared" si="279"/>
        <v>0</v>
      </c>
      <c r="L1484" s="1693">
        <f t="shared" si="279"/>
        <v>0</v>
      </c>
      <c r="M1484" s="1693">
        <f t="shared" si="279"/>
        <v>0</v>
      </c>
      <c r="N1484" s="1693">
        <f t="shared" si="279"/>
        <v>0</v>
      </c>
      <c r="O1484" s="1693"/>
      <c r="P1484" s="1693"/>
      <c r="Q1484" s="989"/>
      <c r="R1484" s="989"/>
      <c r="S1484" s="989"/>
      <c r="T1484" s="1862">
        <f t="shared" si="276"/>
        <v>0</v>
      </c>
    </row>
    <row r="1485" spans="1:20" ht="22.2" hidden="1" customHeight="1">
      <c r="A1485" s="1448">
        <f>COUNTIF($C$12:C1485,"x")</f>
        <v>87</v>
      </c>
      <c r="B1485" s="1455" t="s">
        <v>2130</v>
      </c>
      <c r="C1485" s="970" t="str">
        <f t="shared" si="278"/>
        <v xml:space="preserve"> </v>
      </c>
      <c r="D1485" s="1415">
        <v>1</v>
      </c>
      <c r="E1485" s="980" t="str">
        <f>VLOOKUP($B1485,DG!A:D,DG!$B$2,)</f>
        <v>04.3802</v>
      </c>
      <c r="F1485" s="992" t="str">
        <f>VLOOKUP($B1485,DG!A:D,DG!$C$2,)</f>
        <v>Đế neo BTCT 400x1500</v>
      </c>
      <c r="G1485" s="980" t="str">
        <f>VLOOKUP($B1485,DG!A:D,DG!$D$2,)</f>
        <v>cái</v>
      </c>
      <c r="H1485" s="1693">
        <f t="shared" si="279"/>
        <v>0</v>
      </c>
      <c r="I1485" s="1693">
        <f t="shared" si="279"/>
        <v>0</v>
      </c>
      <c r="J1485" s="1693">
        <f t="shared" si="279"/>
        <v>0</v>
      </c>
      <c r="K1485" s="1693">
        <f t="shared" si="279"/>
        <v>0</v>
      </c>
      <c r="L1485" s="1693">
        <f t="shared" si="279"/>
        <v>0</v>
      </c>
      <c r="M1485" s="1693">
        <f t="shared" si="279"/>
        <v>0</v>
      </c>
      <c r="N1485" s="1693">
        <f t="shared" si="279"/>
        <v>0</v>
      </c>
      <c r="O1485" s="1693"/>
      <c r="P1485" s="1693"/>
      <c r="Q1485" s="989"/>
      <c r="R1485" s="989"/>
      <c r="S1485" s="989"/>
      <c r="T1485" s="1862">
        <f t="shared" si="276"/>
        <v>0</v>
      </c>
    </row>
    <row r="1486" spans="1:20" ht="22.2" hidden="1" customHeight="1">
      <c r="A1486" s="1448">
        <f>COUNTIF($C$12:C1486,"x")</f>
        <v>87</v>
      </c>
      <c r="B1486" s="1455" t="s">
        <v>1064</v>
      </c>
      <c r="C1486" s="970" t="str">
        <f t="shared" si="278"/>
        <v xml:space="preserve"> </v>
      </c>
      <c r="D1486" s="1425">
        <v>1.7</v>
      </c>
      <c r="E1486" s="980" t="str">
        <f>VLOOKUP($B1486,DG!A:D,DG!$B$2,)</f>
        <v>04.9001</v>
      </c>
      <c r="F1486" s="992" t="str">
        <f>VLOOKUP($B1486,DG!A:D,DG!$C$2,)</f>
        <v>Bitum</v>
      </c>
      <c r="G1486" s="980" t="str">
        <f>VLOOKUP($B1486,DG!A:D,DG!$D$2,)</f>
        <v>m2</v>
      </c>
      <c r="H1486" s="1693">
        <f t="shared" si="279"/>
        <v>0</v>
      </c>
      <c r="I1486" s="1693">
        <f t="shared" si="279"/>
        <v>0</v>
      </c>
      <c r="J1486" s="1693">
        <f t="shared" si="279"/>
        <v>0</v>
      </c>
      <c r="K1486" s="1693">
        <f t="shared" si="279"/>
        <v>0</v>
      </c>
      <c r="L1486" s="1693">
        <f t="shared" si="279"/>
        <v>0</v>
      </c>
      <c r="M1486" s="1693">
        <f t="shared" si="279"/>
        <v>0</v>
      </c>
      <c r="N1486" s="1693">
        <f t="shared" si="279"/>
        <v>0</v>
      </c>
      <c r="O1486" s="1693"/>
      <c r="P1486" s="1693"/>
      <c r="Q1486" s="989"/>
      <c r="R1486" s="989"/>
      <c r="S1486" s="989"/>
      <c r="T1486" s="1862">
        <f t="shared" si="276"/>
        <v>0</v>
      </c>
    </row>
    <row r="1487" spans="1:20" ht="22.2" hidden="1" customHeight="1">
      <c r="A1487" s="1448">
        <f>COUNTIF($C$12:C1487,"x")</f>
        <v>87</v>
      </c>
      <c r="B1487" s="1455" t="s">
        <v>639</v>
      </c>
      <c r="C1487" s="970" t="str">
        <f t="shared" si="278"/>
        <v xml:space="preserve"> </v>
      </c>
      <c r="D1487" s="1414">
        <v>9.2799999999999994</v>
      </c>
      <c r="E1487" s="980" t="str">
        <f>VLOOKUP($B1487,DG!A:D,DG!$B$2,)</f>
        <v>03.1013</v>
      </c>
      <c r="F1487" s="985" t="str">
        <f>VLOOKUP($B1487,DG!A:D,DG!$C$2,)</f>
        <v>Đào hố móng đất cấp 3 sâu &gt;1m</v>
      </c>
      <c r="G1487" s="980" t="str">
        <f>VLOOKUP($B1487,DG!A:D,DG!$D$2,)</f>
        <v>m3</v>
      </c>
      <c r="H1487" s="1693"/>
      <c r="I1487" s="1693"/>
      <c r="J1487" s="1693"/>
      <c r="K1487" s="1693"/>
      <c r="L1487" s="1693"/>
      <c r="M1487" s="1693"/>
      <c r="N1487" s="1693"/>
      <c r="O1487" s="1693"/>
      <c r="P1487" s="1693"/>
      <c r="Q1487" s="989"/>
      <c r="R1487" s="989"/>
      <c r="S1487" s="989"/>
      <c r="T1487" s="1862">
        <f t="shared" si="276"/>
        <v>0</v>
      </c>
    </row>
    <row r="1488" spans="1:20" ht="22.2" hidden="1" customHeight="1">
      <c r="A1488" s="1448">
        <f>COUNTIF($C$12:C1488,"x")</f>
        <v>87</v>
      </c>
      <c r="B1488" s="1455" t="s">
        <v>21</v>
      </c>
      <c r="C1488" s="970" t="str">
        <f t="shared" si="278"/>
        <v xml:space="preserve"> </v>
      </c>
      <c r="D1488" s="1414">
        <v>9.76</v>
      </c>
      <c r="E1488" s="980" t="str">
        <f>VLOOKUP($B1488,DG!A:D,DG!$B$2,)</f>
        <v>03.4113</v>
      </c>
      <c r="F1488" s="985" t="str">
        <f>VLOOKUP($B1488,DG!A:D,DG!$C$2,)</f>
        <v>Đắp đất hố móng, độ chặt k=0,95</v>
      </c>
      <c r="G1488" s="980" t="str">
        <f>VLOOKUP($B1488,DG!A:D,DG!$D$2,)</f>
        <v>m3</v>
      </c>
      <c r="H1488" s="1693"/>
      <c r="I1488" s="1693"/>
      <c r="J1488" s="1693"/>
      <c r="K1488" s="1693"/>
      <c r="L1488" s="1693"/>
      <c r="M1488" s="1693"/>
      <c r="N1488" s="1693"/>
      <c r="O1488" s="1693"/>
      <c r="P1488" s="1693"/>
      <c r="Q1488" s="989"/>
      <c r="R1488" s="989"/>
      <c r="S1488" s="989"/>
      <c r="T1488" s="1862">
        <f t="shared" si="276"/>
        <v>0</v>
      </c>
    </row>
    <row r="1489" spans="1:20" ht="22.2" hidden="1" customHeight="1">
      <c r="A1489" s="1448">
        <f>COUNTIF($C$12:C1489,"x")</f>
        <v>87</v>
      </c>
      <c r="B1489" s="1455" t="s">
        <v>637</v>
      </c>
      <c r="C1489" s="970" t="str">
        <f t="shared" si="278"/>
        <v xml:space="preserve"> </v>
      </c>
      <c r="D1489" s="1414">
        <f>D1490</f>
        <v>0.193</v>
      </c>
      <c r="E1489" s="980" t="str">
        <f>VLOOKUP($B1489,DG!A:D,DG!$B$2,)</f>
        <v>02.1123</v>
      </c>
      <c r="F1489" s="985" t="str">
        <f>VLOOKUP($B1489,DG!A:D,DG!$C$2,)</f>
        <v>Bốc dỡ đà cản, đế néo</v>
      </c>
      <c r="G1489" s="980" t="str">
        <f>VLOOKUP($B1489,DG!A:D,DG!$D$2,)</f>
        <v>tấn</v>
      </c>
      <c r="H1489" s="1693"/>
      <c r="I1489" s="1693"/>
      <c r="J1489" s="1693"/>
      <c r="K1489" s="1693"/>
      <c r="L1489" s="1693"/>
      <c r="M1489" s="1693"/>
      <c r="N1489" s="1693"/>
      <c r="O1489" s="1693"/>
      <c r="P1489" s="1693"/>
      <c r="Q1489" s="989"/>
      <c r="R1489" s="989"/>
      <c r="S1489" s="989"/>
      <c r="T1489" s="1862">
        <f t="shared" si="276"/>
        <v>0</v>
      </c>
    </row>
    <row r="1490" spans="1:20" ht="22.2" hidden="1" customHeight="1">
      <c r="A1490" s="1448">
        <f>COUNTIF($C$12:C1490,"x")</f>
        <v>87</v>
      </c>
      <c r="B1490" s="1464" t="s">
        <v>605</v>
      </c>
      <c r="C1490" s="970" t="str">
        <f t="shared" si="278"/>
        <v xml:space="preserve"> </v>
      </c>
      <c r="D1490" s="1414">
        <v>0.193</v>
      </c>
      <c r="E1490" s="980" t="str">
        <f>VLOOKUP($B1490,DG!A:C,2,)</f>
        <v>02.1451</v>
      </c>
      <c r="F1490" s="985" t="str">
        <f>VLOOKUP($B1490,DG!A:C,3,)</f>
        <v>V/c đế néo vào vị trí (cự ly &lt;=100m)</v>
      </c>
      <c r="G1490" s="980" t="str">
        <f>VLOOKUP($B1490,DG!A:D,4,0)</f>
        <v>tấn</v>
      </c>
      <c r="H1490" s="1693"/>
      <c r="I1490" s="1693"/>
      <c r="J1490" s="1693"/>
      <c r="K1490" s="1693"/>
      <c r="L1490" s="1693"/>
      <c r="M1490" s="1693"/>
      <c r="N1490" s="1693"/>
      <c r="O1490" s="1693"/>
      <c r="P1490" s="1693"/>
      <c r="Q1490" s="994"/>
      <c r="R1490" s="994"/>
      <c r="S1490" s="994"/>
      <c r="T1490" s="1862">
        <f t="shared" si="276"/>
        <v>0</v>
      </c>
    </row>
    <row r="1491" spans="1:20" ht="22.2" hidden="1" customHeight="1">
      <c r="A1491" s="1448">
        <f>COUNTIF($C$12:C1491,"x")</f>
        <v>87</v>
      </c>
      <c r="B1491" s="1464" t="s">
        <v>606</v>
      </c>
      <c r="C1491" s="970" t="str">
        <f t="shared" si="278"/>
        <v xml:space="preserve"> </v>
      </c>
      <c r="D1491" s="1414">
        <v>0.05</v>
      </c>
      <c r="E1491" s="980" t="str">
        <f>VLOOKUP($B1491,DG!A:C,2,)</f>
        <v>02.1482</v>
      </c>
      <c r="F1491" s="985" t="str">
        <f>VLOOKUP($B1491,DG!A:C,3,)</f>
        <v>V/c dụng cụ thi công vào vị trí (cự ly &lt;=100m)</v>
      </c>
      <c r="G1491" s="980" t="str">
        <f>VLOOKUP($B1491,DG!A:D,4,0)</f>
        <v>tấn</v>
      </c>
      <c r="H1491" s="1693"/>
      <c r="I1491" s="1693"/>
      <c r="J1491" s="1693"/>
      <c r="K1491" s="1693"/>
      <c r="L1491" s="1693"/>
      <c r="M1491" s="1693"/>
      <c r="N1491" s="1693"/>
      <c r="O1491" s="1693"/>
      <c r="P1491" s="1693"/>
      <c r="Q1491" s="994"/>
      <c r="R1491" s="994"/>
      <c r="S1491" s="994"/>
      <c r="T1491" s="1862">
        <f t="shared" si="276"/>
        <v>0</v>
      </c>
    </row>
    <row r="1492" spans="1:20" ht="22.2" hidden="1" customHeight="1">
      <c r="A1492" s="1448">
        <f>COUNTIF($C$12:C1492,"x")</f>
        <v>87</v>
      </c>
      <c r="B1492" s="1452" t="s">
        <v>2045</v>
      </c>
      <c r="C1492" s="970" t="str">
        <f t="shared" si="278"/>
        <v xml:space="preserve"> </v>
      </c>
      <c r="D1492" s="1412"/>
      <c r="E1492" s="981"/>
      <c r="F1492" s="1276" t="s">
        <v>2497</v>
      </c>
      <c r="G1492" s="982" t="s">
        <v>2385</v>
      </c>
      <c r="H1492" s="1691">
        <f>SUM(I1492:O1492)</f>
        <v>0</v>
      </c>
      <c r="I1492" s="1692"/>
      <c r="J1492" s="1692"/>
      <c r="K1492" s="1692">
        <f>IFERROR(HLOOKUP(B1492,pp3p1m!$1:$3,2,0),0)</f>
        <v>0</v>
      </c>
      <c r="L1492" s="1692">
        <f>IFERROR(HLOOKUP(chitiet!B1492,pp1p!$1:$3,3,0),0)</f>
        <v>0</v>
      </c>
      <c r="M1492" s="1692"/>
      <c r="N1492" s="1692"/>
      <c r="O1492" s="1692"/>
      <c r="P1492" s="2674">
        <f>T1492</f>
        <v>0</v>
      </c>
      <c r="Q1492" s="983">
        <f>IF(P1492&gt;H1492,P1492-H1492,0)</f>
        <v>0</v>
      </c>
      <c r="R1492" s="983">
        <f>IF(H1492&gt;P1492,H1492-P1492,0)</f>
        <v>0</v>
      </c>
      <c r="S1492" s="983"/>
      <c r="T1492" s="1862">
        <f>IFERROR(HLOOKUP(B1492,pp1p!$1:$3,3,0),0)+IFERROR(HLOOKUP(B1492,pp3p1m!$1:$3,3,0),0)</f>
        <v>0</v>
      </c>
    </row>
    <row r="1493" spans="1:20" ht="22.2" hidden="1" customHeight="1">
      <c r="A1493" s="1448">
        <f>COUNTIF($C$12:C1493,"x")</f>
        <v>87</v>
      </c>
      <c r="B1493" s="1455" t="s">
        <v>113</v>
      </c>
      <c r="C1493" s="970" t="str">
        <f t="shared" si="278"/>
        <v xml:space="preserve"> </v>
      </c>
      <c r="D1493" s="1415">
        <v>1</v>
      </c>
      <c r="E1493" s="980"/>
      <c r="F1493" s="992" t="str">
        <f>VLOOKUP($B1493,DG!A:D,DG!$C$2,)</f>
        <v>Ty neo Ø22x3700</v>
      </c>
      <c r="G1493" s="980" t="str">
        <f>VLOOKUP($B1493,DG!A:D,DG!$D$2,)</f>
        <v>cái</v>
      </c>
      <c r="H1493" s="1693">
        <f t="shared" ref="H1493:N1495" si="280">H$1492*$D1493</f>
        <v>0</v>
      </c>
      <c r="I1493" s="1693">
        <f t="shared" si="280"/>
        <v>0</v>
      </c>
      <c r="J1493" s="1693">
        <f t="shared" si="280"/>
        <v>0</v>
      </c>
      <c r="K1493" s="1693">
        <f t="shared" si="280"/>
        <v>0</v>
      </c>
      <c r="L1493" s="1693">
        <f t="shared" si="280"/>
        <v>0</v>
      </c>
      <c r="M1493" s="1693">
        <f t="shared" si="280"/>
        <v>0</v>
      </c>
      <c r="N1493" s="1693">
        <f t="shared" si="280"/>
        <v>0</v>
      </c>
      <c r="O1493" s="1693"/>
      <c r="P1493" s="1693"/>
      <c r="Q1493" s="989"/>
      <c r="R1493" s="989"/>
      <c r="S1493" s="989"/>
      <c r="T1493" s="1862">
        <f t="shared" si="276"/>
        <v>0</v>
      </c>
    </row>
    <row r="1494" spans="1:20" ht="22.2" hidden="1" customHeight="1">
      <c r="A1494" s="1448">
        <f>COUNTIF($C$12:C1494,"x")</f>
        <v>87</v>
      </c>
      <c r="B1494" s="1455" t="s">
        <v>2131</v>
      </c>
      <c r="C1494" s="970" t="str">
        <f t="shared" si="278"/>
        <v xml:space="preserve"> </v>
      </c>
      <c r="D1494" s="1415">
        <v>1</v>
      </c>
      <c r="E1494" s="980" t="str">
        <f>VLOOKUP($B1494,DG!A:D,DG!$B$2,)</f>
        <v>04.3802</v>
      </c>
      <c r="F1494" s="992" t="str">
        <f>VLOOKUP($B1494,DG!A:D,DG!$C$2,)</f>
        <v>Đế neo BTCT 600x1500</v>
      </c>
      <c r="G1494" s="980" t="str">
        <f>VLOOKUP($B1494,DG!A:D,DG!$D$2,)</f>
        <v>cái</v>
      </c>
      <c r="H1494" s="1693">
        <f t="shared" si="280"/>
        <v>0</v>
      </c>
      <c r="I1494" s="1693">
        <f t="shared" si="280"/>
        <v>0</v>
      </c>
      <c r="J1494" s="1693">
        <f t="shared" si="280"/>
        <v>0</v>
      </c>
      <c r="K1494" s="1693">
        <f t="shared" si="280"/>
        <v>0</v>
      </c>
      <c r="L1494" s="1693">
        <f t="shared" si="280"/>
        <v>0</v>
      </c>
      <c r="M1494" s="1693">
        <f t="shared" si="280"/>
        <v>0</v>
      </c>
      <c r="N1494" s="1693">
        <f t="shared" si="280"/>
        <v>0</v>
      </c>
      <c r="O1494" s="1693"/>
      <c r="P1494" s="1693"/>
      <c r="Q1494" s="989"/>
      <c r="R1494" s="989"/>
      <c r="S1494" s="989"/>
      <c r="T1494" s="1862">
        <f t="shared" si="276"/>
        <v>0</v>
      </c>
    </row>
    <row r="1495" spans="1:20" ht="22.2" hidden="1" customHeight="1">
      <c r="A1495" s="1448">
        <f>COUNTIF($C$12:C1495,"x")</f>
        <v>87</v>
      </c>
      <c r="B1495" s="1455" t="s">
        <v>1064</v>
      </c>
      <c r="C1495" s="970" t="str">
        <f t="shared" si="278"/>
        <v xml:space="preserve"> </v>
      </c>
      <c r="D1495" s="1425">
        <v>2</v>
      </c>
      <c r="E1495" s="980" t="str">
        <f>VLOOKUP($B1495,DG!A:D,DG!$B$2,)</f>
        <v>04.9001</v>
      </c>
      <c r="F1495" s="992" t="str">
        <f>VLOOKUP($B1495,DG!A:D,DG!$C$2,)</f>
        <v>Bitum</v>
      </c>
      <c r="G1495" s="980" t="str">
        <f>VLOOKUP($B1495,DG!A:D,DG!$D$2,)</f>
        <v>m2</v>
      </c>
      <c r="H1495" s="1693">
        <f t="shared" si="280"/>
        <v>0</v>
      </c>
      <c r="I1495" s="1693">
        <f t="shared" si="280"/>
        <v>0</v>
      </c>
      <c r="J1495" s="1693">
        <f t="shared" si="280"/>
        <v>0</v>
      </c>
      <c r="K1495" s="1693">
        <f t="shared" si="280"/>
        <v>0</v>
      </c>
      <c r="L1495" s="1693">
        <f t="shared" si="280"/>
        <v>0</v>
      </c>
      <c r="M1495" s="1693">
        <f t="shared" si="280"/>
        <v>0</v>
      </c>
      <c r="N1495" s="1693">
        <f t="shared" si="280"/>
        <v>0</v>
      </c>
      <c r="O1495" s="1693"/>
      <c r="P1495" s="1693"/>
      <c r="Q1495" s="989"/>
      <c r="R1495" s="989"/>
      <c r="S1495" s="989"/>
      <c r="T1495" s="1862">
        <f t="shared" si="276"/>
        <v>0</v>
      </c>
    </row>
    <row r="1496" spans="1:20" ht="22.2" hidden="1" customHeight="1">
      <c r="A1496" s="1448">
        <f>COUNTIF($C$12:C1496,"x")</f>
        <v>87</v>
      </c>
      <c r="B1496" s="1455" t="s">
        <v>639</v>
      </c>
      <c r="C1496" s="970" t="str">
        <f t="shared" si="278"/>
        <v xml:space="preserve"> </v>
      </c>
      <c r="D1496" s="1414">
        <v>11.01</v>
      </c>
      <c r="E1496" s="980" t="str">
        <f>VLOOKUP($B1496,DG!A:D,DG!$B$2,)</f>
        <v>03.1013</v>
      </c>
      <c r="F1496" s="985" t="str">
        <f>VLOOKUP($B1496,DG!A:D,DG!$C$2,)</f>
        <v>Đào hố móng đất cấp 3 sâu &gt;1m</v>
      </c>
      <c r="G1496" s="980" t="str">
        <f>VLOOKUP($B1496,DG!A:D,DG!$D$2,)</f>
        <v>m3</v>
      </c>
      <c r="H1496" s="1693"/>
      <c r="I1496" s="1693"/>
      <c r="J1496" s="1693"/>
      <c r="K1496" s="1693"/>
      <c r="L1496" s="1693"/>
      <c r="M1496" s="1693"/>
      <c r="N1496" s="1693"/>
      <c r="O1496" s="1693"/>
      <c r="P1496" s="1693"/>
      <c r="Q1496" s="989"/>
      <c r="R1496" s="989"/>
      <c r="S1496" s="989"/>
      <c r="T1496" s="1862">
        <f t="shared" si="276"/>
        <v>0</v>
      </c>
    </row>
    <row r="1497" spans="1:20" ht="22.2" hidden="1" customHeight="1">
      <c r="A1497" s="1448">
        <f>COUNTIF($C$12:C1497,"x")</f>
        <v>87</v>
      </c>
      <c r="B1497" s="1455" t="s">
        <v>21</v>
      </c>
      <c r="C1497" s="970" t="str">
        <f t="shared" si="278"/>
        <v xml:space="preserve"> </v>
      </c>
      <c r="D1497" s="1414">
        <v>12.48</v>
      </c>
      <c r="E1497" s="980" t="str">
        <f>VLOOKUP($B1497,DG!A:D,DG!$B$2,)</f>
        <v>03.4113</v>
      </c>
      <c r="F1497" s="985" t="str">
        <f>VLOOKUP($B1497,DG!A:D,DG!$C$2,)</f>
        <v>Đắp đất hố móng, độ chặt k=0,95</v>
      </c>
      <c r="G1497" s="980" t="str">
        <f>VLOOKUP($B1497,DG!A:D,DG!$D$2,)</f>
        <v>m3</v>
      </c>
      <c r="H1497" s="1693"/>
      <c r="I1497" s="1693"/>
      <c r="J1497" s="1693"/>
      <c r="K1497" s="1693"/>
      <c r="L1497" s="1693"/>
      <c r="M1497" s="1693"/>
      <c r="N1497" s="1693"/>
      <c r="O1497" s="1693"/>
      <c r="P1497" s="1693"/>
      <c r="Q1497" s="989"/>
      <c r="R1497" s="989"/>
      <c r="S1497" s="989"/>
      <c r="T1497" s="1862">
        <f t="shared" si="276"/>
        <v>0</v>
      </c>
    </row>
    <row r="1498" spans="1:20" ht="22.2" hidden="1" customHeight="1">
      <c r="A1498" s="1448">
        <f>COUNTIF($C$12:C1498,"x")</f>
        <v>87</v>
      </c>
      <c r="B1498" s="1455" t="s">
        <v>637</v>
      </c>
      <c r="C1498" s="970" t="str">
        <f t="shared" si="278"/>
        <v xml:space="preserve"> </v>
      </c>
      <c r="D1498" s="1414">
        <f>D1499</f>
        <v>0.28899999999999998</v>
      </c>
      <c r="E1498" s="980" t="str">
        <f>VLOOKUP($B1498,DG!A:D,DG!$B$2,)</f>
        <v>02.1123</v>
      </c>
      <c r="F1498" s="985" t="str">
        <f>VLOOKUP($B1498,DG!A:D,DG!$C$2,)</f>
        <v>Bốc dỡ đà cản, đế néo</v>
      </c>
      <c r="G1498" s="980" t="str">
        <f>VLOOKUP($B1498,DG!A:D,DG!$D$2,)</f>
        <v>tấn</v>
      </c>
      <c r="H1498" s="1693"/>
      <c r="I1498" s="1693"/>
      <c r="J1498" s="1693"/>
      <c r="K1498" s="1693"/>
      <c r="L1498" s="1693"/>
      <c r="M1498" s="1693"/>
      <c r="N1498" s="1693"/>
      <c r="O1498" s="1693"/>
      <c r="P1498" s="1693"/>
      <c r="Q1498" s="989"/>
      <c r="R1498" s="989"/>
      <c r="S1498" s="989"/>
      <c r="T1498" s="1862">
        <f t="shared" si="276"/>
        <v>0</v>
      </c>
    </row>
    <row r="1499" spans="1:20" ht="22.2" hidden="1" customHeight="1">
      <c r="A1499" s="1448">
        <f>COUNTIF($C$12:C1499,"x")</f>
        <v>87</v>
      </c>
      <c r="B1499" s="1464" t="s">
        <v>605</v>
      </c>
      <c r="C1499" s="970" t="str">
        <f t="shared" si="278"/>
        <v xml:space="preserve"> </v>
      </c>
      <c r="D1499" s="1414">
        <v>0.28899999999999998</v>
      </c>
      <c r="E1499" s="980" t="str">
        <f>VLOOKUP($B1499,DG!A:C,2,)</f>
        <v>02.1451</v>
      </c>
      <c r="F1499" s="985" t="str">
        <f>VLOOKUP($B1499,DG!A:C,3,)</f>
        <v>V/c đế néo vào vị trí (cự ly &lt;=100m)</v>
      </c>
      <c r="G1499" s="980" t="str">
        <f>VLOOKUP($B1499,DG!A:D,4,0)</f>
        <v>tấn</v>
      </c>
      <c r="H1499" s="1693"/>
      <c r="I1499" s="1693"/>
      <c r="J1499" s="1693"/>
      <c r="K1499" s="1693"/>
      <c r="L1499" s="1693"/>
      <c r="M1499" s="1693"/>
      <c r="N1499" s="1693"/>
      <c r="O1499" s="1693"/>
      <c r="P1499" s="1693"/>
      <c r="Q1499" s="994"/>
      <c r="R1499" s="994"/>
      <c r="S1499" s="994"/>
      <c r="T1499" s="1862">
        <f t="shared" si="276"/>
        <v>0</v>
      </c>
    </row>
    <row r="1500" spans="1:20" ht="22.2" hidden="1" customHeight="1">
      <c r="A1500" s="1448">
        <f>COUNTIF($C$12:C1500,"x")</f>
        <v>87</v>
      </c>
      <c r="B1500" s="1464" t="s">
        <v>606</v>
      </c>
      <c r="C1500" s="970" t="str">
        <f t="shared" si="278"/>
        <v xml:space="preserve"> </v>
      </c>
      <c r="D1500" s="1414">
        <v>0.05</v>
      </c>
      <c r="E1500" s="980" t="str">
        <f>VLOOKUP($B1500,DG!A:C,2,)</f>
        <v>02.1482</v>
      </c>
      <c r="F1500" s="985" t="str">
        <f>VLOOKUP($B1500,DG!A:C,3,)</f>
        <v>V/c dụng cụ thi công vào vị trí (cự ly &lt;=100m)</v>
      </c>
      <c r="G1500" s="980" t="str">
        <f>VLOOKUP($B1500,DG!A:D,4,0)</f>
        <v>tấn</v>
      </c>
      <c r="H1500" s="1693"/>
      <c r="I1500" s="1693"/>
      <c r="J1500" s="1693"/>
      <c r="K1500" s="1693"/>
      <c r="L1500" s="1693"/>
      <c r="M1500" s="1693"/>
      <c r="N1500" s="1693"/>
      <c r="O1500" s="1693"/>
      <c r="P1500" s="1693"/>
      <c r="Q1500" s="994"/>
      <c r="R1500" s="994"/>
      <c r="S1500" s="994"/>
      <c r="T1500" s="1862">
        <f t="shared" si="276"/>
        <v>0</v>
      </c>
    </row>
    <row r="1501" spans="1:20" ht="22.2" hidden="1" customHeight="1">
      <c r="A1501" s="1448">
        <f>COUNTIF($C$12:C1501,"x")</f>
        <v>87</v>
      </c>
      <c r="B1501" s="1452" t="s">
        <v>1094</v>
      </c>
      <c r="C1501" s="970" t="str">
        <f t="shared" si="278"/>
        <v xml:space="preserve"> </v>
      </c>
      <c r="D1501" s="1412"/>
      <c r="E1501" s="981"/>
      <c r="F1501" s="1276" t="s">
        <v>2498</v>
      </c>
      <c r="G1501" s="982" t="s">
        <v>2385</v>
      </c>
      <c r="H1501" s="1691">
        <f>SUM(I1501:O1501)</f>
        <v>0</v>
      </c>
      <c r="I1501" s="1692"/>
      <c r="J1501" s="1692"/>
      <c r="K1501" s="1692">
        <f>IFERROR(HLOOKUP(B1501,pp3p1m!$1:$3,2,0),0)</f>
        <v>0</v>
      </c>
      <c r="L1501" s="1692">
        <f>IFERROR(HLOOKUP(chitiet!B1501,pp1p!$1:$3,3,0),0)</f>
        <v>0</v>
      </c>
      <c r="M1501" s="1692"/>
      <c r="N1501" s="1692"/>
      <c r="O1501" s="1692"/>
      <c r="P1501" s="2674">
        <f>T1501</f>
        <v>0</v>
      </c>
      <c r="Q1501" s="983">
        <f>IF(P1501&gt;H1501,P1501-H1501,0)</f>
        <v>0</v>
      </c>
      <c r="R1501" s="983">
        <f>IF(H1501&gt;P1501,H1501-P1501,0)</f>
        <v>0</v>
      </c>
      <c r="S1501" s="983"/>
      <c r="T1501" s="1862">
        <f>IFERROR(HLOOKUP(B1501,pp1p!$1:$3,3,0),0)+IFERROR(HLOOKUP(B1501,pp3p1m!$1:$3,3,0),0)</f>
        <v>0</v>
      </c>
    </row>
    <row r="1502" spans="1:20" ht="22.2" hidden="1" customHeight="1">
      <c r="A1502" s="1448">
        <f>COUNTIF($C$12:C1502,"x")</f>
        <v>87</v>
      </c>
      <c r="B1502" s="1455" t="s">
        <v>1999</v>
      </c>
      <c r="C1502" s="970" t="str">
        <f t="shared" si="278"/>
        <v xml:space="preserve"> </v>
      </c>
      <c r="D1502" s="1415">
        <v>1</v>
      </c>
      <c r="E1502" s="980"/>
      <c r="F1502" s="992" t="str">
        <f>VLOOKUP($B1502,DG!A:D,DG!$C$2,)</f>
        <v>Ty neo Ø22x3000</v>
      </c>
      <c r="G1502" s="980" t="str">
        <f>VLOOKUP($B1502,DG!A:D,DG!$D$2,)</f>
        <v>cái</v>
      </c>
      <c r="H1502" s="1693">
        <f t="shared" ref="H1502:N1504" si="281">H$1501*$D1502</f>
        <v>0</v>
      </c>
      <c r="I1502" s="1693">
        <f t="shared" si="281"/>
        <v>0</v>
      </c>
      <c r="J1502" s="1693">
        <f t="shared" si="281"/>
        <v>0</v>
      </c>
      <c r="K1502" s="1693">
        <f t="shared" si="281"/>
        <v>0</v>
      </c>
      <c r="L1502" s="1693">
        <f t="shared" si="281"/>
        <v>0</v>
      </c>
      <c r="M1502" s="1693">
        <f t="shared" si="281"/>
        <v>0</v>
      </c>
      <c r="N1502" s="1693">
        <f t="shared" si="281"/>
        <v>0</v>
      </c>
      <c r="O1502" s="1693"/>
      <c r="P1502" s="1693"/>
      <c r="Q1502" s="989"/>
      <c r="R1502" s="989"/>
      <c r="S1502" s="989"/>
      <c r="T1502" s="1862">
        <f t="shared" si="276"/>
        <v>0</v>
      </c>
    </row>
    <row r="1503" spans="1:20" ht="22.2" hidden="1" customHeight="1">
      <c r="A1503" s="1448">
        <f>COUNTIF($C$12:C1503,"x")</f>
        <v>87</v>
      </c>
      <c r="B1503" s="1455" t="s">
        <v>2131</v>
      </c>
      <c r="C1503" s="970" t="str">
        <f t="shared" si="278"/>
        <v xml:space="preserve"> </v>
      </c>
      <c r="D1503" s="1415">
        <v>1</v>
      </c>
      <c r="E1503" s="980" t="str">
        <f>VLOOKUP($B1503,DG!A:D,DG!$B$2,)</f>
        <v>04.3802</v>
      </c>
      <c r="F1503" s="992" t="str">
        <f>VLOOKUP($B1503,DG!A:D,DG!$C$2,)</f>
        <v>Đế neo BTCT 600x1500</v>
      </c>
      <c r="G1503" s="980" t="str">
        <f>VLOOKUP($B1503,DG!A:D,DG!$D$2,)</f>
        <v>cái</v>
      </c>
      <c r="H1503" s="1693">
        <f t="shared" si="281"/>
        <v>0</v>
      </c>
      <c r="I1503" s="1693">
        <f t="shared" si="281"/>
        <v>0</v>
      </c>
      <c r="J1503" s="1693">
        <f t="shared" si="281"/>
        <v>0</v>
      </c>
      <c r="K1503" s="1693">
        <f t="shared" si="281"/>
        <v>0</v>
      </c>
      <c r="L1503" s="1693">
        <f t="shared" si="281"/>
        <v>0</v>
      </c>
      <c r="M1503" s="1693">
        <f t="shared" si="281"/>
        <v>0</v>
      </c>
      <c r="N1503" s="1693">
        <f t="shared" si="281"/>
        <v>0</v>
      </c>
      <c r="O1503" s="1693"/>
      <c r="P1503" s="1693"/>
      <c r="Q1503" s="989"/>
      <c r="R1503" s="989"/>
      <c r="S1503" s="989"/>
      <c r="T1503" s="1862">
        <f t="shared" si="276"/>
        <v>0</v>
      </c>
    </row>
    <row r="1504" spans="1:20" ht="22.2" hidden="1" customHeight="1">
      <c r="A1504" s="1448">
        <f>COUNTIF($C$12:C1504,"x")</f>
        <v>87</v>
      </c>
      <c r="B1504" s="1455" t="s">
        <v>1064</v>
      </c>
      <c r="C1504" s="970" t="str">
        <f t="shared" si="278"/>
        <v xml:space="preserve"> </v>
      </c>
      <c r="D1504" s="1425">
        <v>2</v>
      </c>
      <c r="E1504" s="980" t="str">
        <f>VLOOKUP($B1504,DG!A:D,DG!$B$2,)</f>
        <v>04.9001</v>
      </c>
      <c r="F1504" s="992" t="str">
        <f>VLOOKUP($B1504,DG!A:D,DG!$C$2,)</f>
        <v>Bitum</v>
      </c>
      <c r="G1504" s="980" t="str">
        <f>VLOOKUP($B1504,DG!A:D,DG!$D$2,)</f>
        <v>m2</v>
      </c>
      <c r="H1504" s="1693">
        <f t="shared" si="281"/>
        <v>0</v>
      </c>
      <c r="I1504" s="1693">
        <f t="shared" si="281"/>
        <v>0</v>
      </c>
      <c r="J1504" s="1693">
        <f t="shared" si="281"/>
        <v>0</v>
      </c>
      <c r="K1504" s="1693">
        <f t="shared" si="281"/>
        <v>0</v>
      </c>
      <c r="L1504" s="1693">
        <f t="shared" si="281"/>
        <v>0</v>
      </c>
      <c r="M1504" s="1693">
        <f t="shared" si="281"/>
        <v>0</v>
      </c>
      <c r="N1504" s="1693">
        <f t="shared" si="281"/>
        <v>0</v>
      </c>
      <c r="O1504" s="1693"/>
      <c r="P1504" s="1693"/>
      <c r="Q1504" s="989"/>
      <c r="R1504" s="989"/>
      <c r="S1504" s="989"/>
      <c r="T1504" s="1862">
        <f t="shared" si="276"/>
        <v>0</v>
      </c>
    </row>
    <row r="1505" spans="1:20" ht="22.2" hidden="1" customHeight="1">
      <c r="A1505" s="1448">
        <f>COUNTIF($C$12:C1505,"x")</f>
        <v>87</v>
      </c>
      <c r="B1505" s="1455" t="s">
        <v>639</v>
      </c>
      <c r="C1505" s="970" t="str">
        <f t="shared" si="278"/>
        <v xml:space="preserve"> </v>
      </c>
      <c r="D1505" s="1414">
        <v>10.56</v>
      </c>
      <c r="E1505" s="980" t="str">
        <f>VLOOKUP($B1505,DG!A:D,DG!$B$2,)</f>
        <v>03.1013</v>
      </c>
      <c r="F1505" s="985" t="str">
        <f>VLOOKUP($B1505,DG!A:D,DG!$C$2,)</f>
        <v>Đào hố móng đất cấp 3 sâu &gt;1m</v>
      </c>
      <c r="G1505" s="980" t="str">
        <f>VLOOKUP($B1505,DG!A:D,DG!$D$2,)</f>
        <v>m3</v>
      </c>
      <c r="H1505" s="1693"/>
      <c r="I1505" s="1693"/>
      <c r="J1505" s="1693"/>
      <c r="K1505" s="1693"/>
      <c r="L1505" s="1693"/>
      <c r="M1505" s="1693"/>
      <c r="N1505" s="1693"/>
      <c r="O1505" s="1693"/>
      <c r="P1505" s="1693"/>
      <c r="Q1505" s="989"/>
      <c r="R1505" s="989"/>
      <c r="S1505" s="989"/>
      <c r="T1505" s="1862">
        <f t="shared" si="276"/>
        <v>0</v>
      </c>
    </row>
    <row r="1506" spans="1:20" ht="22.2" hidden="1" customHeight="1">
      <c r="A1506" s="1448">
        <f>COUNTIF($C$12:C1506,"x")</f>
        <v>87</v>
      </c>
      <c r="B1506" s="1455" t="s">
        <v>21</v>
      </c>
      <c r="C1506" s="970" t="str">
        <f t="shared" si="278"/>
        <v xml:space="preserve"> </v>
      </c>
      <c r="D1506" s="1414">
        <v>11.78</v>
      </c>
      <c r="E1506" s="980" t="str">
        <f>VLOOKUP($B1506,DG!A:D,DG!$B$2,)</f>
        <v>03.4113</v>
      </c>
      <c r="F1506" s="985" t="str">
        <f>VLOOKUP($B1506,DG!A:D,DG!$C$2,)</f>
        <v>Đắp đất hố móng, độ chặt k=0,95</v>
      </c>
      <c r="G1506" s="980" t="str">
        <f>VLOOKUP($B1506,DG!A:D,DG!$D$2,)</f>
        <v>m3</v>
      </c>
      <c r="H1506" s="1693"/>
      <c r="I1506" s="1693"/>
      <c r="J1506" s="1693"/>
      <c r="K1506" s="1693"/>
      <c r="L1506" s="1693"/>
      <c r="M1506" s="1693"/>
      <c r="N1506" s="1693"/>
      <c r="O1506" s="1693"/>
      <c r="P1506" s="1693"/>
      <c r="Q1506" s="989"/>
      <c r="R1506" s="989"/>
      <c r="S1506" s="989"/>
      <c r="T1506" s="1862">
        <f t="shared" si="276"/>
        <v>0</v>
      </c>
    </row>
    <row r="1507" spans="1:20" ht="22.2" hidden="1" customHeight="1">
      <c r="A1507" s="1448">
        <f>COUNTIF($C$12:C1507,"x")</f>
        <v>87</v>
      </c>
      <c r="B1507" s="1455" t="s">
        <v>637</v>
      </c>
      <c r="C1507" s="970" t="str">
        <f t="shared" si="278"/>
        <v xml:space="preserve"> </v>
      </c>
      <c r="D1507" s="1414">
        <f>D1508</f>
        <v>0.28899999999999998</v>
      </c>
      <c r="E1507" s="980" t="str">
        <f>VLOOKUP($B1507,DG!A:D,DG!$B$2,)</f>
        <v>02.1123</v>
      </c>
      <c r="F1507" s="985" t="str">
        <f>VLOOKUP($B1507,DG!A:D,DG!$C$2,)</f>
        <v>Bốc dỡ đà cản, đế néo</v>
      </c>
      <c r="G1507" s="980" t="str">
        <f>VLOOKUP($B1507,DG!A:D,DG!$D$2,)</f>
        <v>tấn</v>
      </c>
      <c r="H1507" s="1693"/>
      <c r="I1507" s="1693"/>
      <c r="J1507" s="1693"/>
      <c r="K1507" s="1693"/>
      <c r="L1507" s="1693"/>
      <c r="M1507" s="1693"/>
      <c r="N1507" s="1693"/>
      <c r="O1507" s="1693"/>
      <c r="P1507" s="1693"/>
      <c r="Q1507" s="989"/>
      <c r="R1507" s="989"/>
      <c r="S1507" s="989"/>
      <c r="T1507" s="1862">
        <f t="shared" si="276"/>
        <v>0</v>
      </c>
    </row>
    <row r="1508" spans="1:20" ht="22.2" hidden="1" customHeight="1">
      <c r="A1508" s="1448">
        <f>COUNTIF($C$12:C1508,"x")</f>
        <v>87</v>
      </c>
      <c r="B1508" s="1464" t="s">
        <v>605</v>
      </c>
      <c r="C1508" s="970" t="str">
        <f t="shared" si="278"/>
        <v xml:space="preserve"> </v>
      </c>
      <c r="D1508" s="1414">
        <v>0.28899999999999998</v>
      </c>
      <c r="E1508" s="980" t="str">
        <f>VLOOKUP($B1508,DG!A:C,2,)</f>
        <v>02.1451</v>
      </c>
      <c r="F1508" s="985" t="str">
        <f>VLOOKUP($B1508,DG!A:C,3,)</f>
        <v>V/c đế néo vào vị trí (cự ly &lt;=100m)</v>
      </c>
      <c r="G1508" s="980" t="str">
        <f>VLOOKUP($B1508,DG!A:D,4,0)</f>
        <v>tấn</v>
      </c>
      <c r="H1508" s="1693"/>
      <c r="I1508" s="1693"/>
      <c r="J1508" s="1693"/>
      <c r="K1508" s="1693"/>
      <c r="L1508" s="1693"/>
      <c r="M1508" s="1693"/>
      <c r="N1508" s="1693"/>
      <c r="O1508" s="1693"/>
      <c r="P1508" s="1693"/>
      <c r="Q1508" s="994"/>
      <c r="R1508" s="994"/>
      <c r="S1508" s="994"/>
      <c r="T1508" s="1862">
        <f t="shared" si="276"/>
        <v>0</v>
      </c>
    </row>
    <row r="1509" spans="1:20" ht="22.2" hidden="1" customHeight="1">
      <c r="A1509" s="1448">
        <f>COUNTIF($C$12:C1509,"x")</f>
        <v>87</v>
      </c>
      <c r="B1509" s="1464" t="s">
        <v>606</v>
      </c>
      <c r="C1509" s="970" t="str">
        <f t="shared" si="278"/>
        <v xml:space="preserve"> </v>
      </c>
      <c r="D1509" s="1414">
        <v>0.05</v>
      </c>
      <c r="E1509" s="980" t="str">
        <f>VLOOKUP($B1509,DG!A:C,2,)</f>
        <v>02.1482</v>
      </c>
      <c r="F1509" s="985" t="str">
        <f>VLOOKUP($B1509,DG!A:C,3,)</f>
        <v>V/c dụng cụ thi công vào vị trí (cự ly &lt;=100m)</v>
      </c>
      <c r="G1509" s="980" t="str">
        <f>VLOOKUP($B1509,DG!A:D,4,0)</f>
        <v>tấn</v>
      </c>
      <c r="H1509" s="1693"/>
      <c r="I1509" s="1693"/>
      <c r="J1509" s="1693"/>
      <c r="K1509" s="1693"/>
      <c r="L1509" s="1693"/>
      <c r="M1509" s="1693"/>
      <c r="N1509" s="1693"/>
      <c r="O1509" s="1693"/>
      <c r="P1509" s="1693"/>
      <c r="Q1509" s="994"/>
      <c r="R1509" s="994"/>
      <c r="S1509" s="994"/>
      <c r="T1509" s="1862">
        <f t="shared" si="276"/>
        <v>0</v>
      </c>
    </row>
    <row r="1510" spans="1:20" ht="22.2" customHeight="1">
      <c r="A1510" s="1448">
        <f>COUNTIF($C$12:C1510,"x")</f>
        <v>88</v>
      </c>
      <c r="B1510" s="1452">
        <v>0</v>
      </c>
      <c r="C1510" s="1701" t="s">
        <v>1956</v>
      </c>
      <c r="D1510" s="1427">
        <f>SUM(H1510:N1510)+S1510</f>
        <v>0</v>
      </c>
      <c r="E1510" s="982" t="s">
        <v>1908</v>
      </c>
      <c r="F1510" s="982" t="s">
        <v>2300</v>
      </c>
      <c r="G1510" s="981"/>
      <c r="H1510" s="1691">
        <f>SUM(I1510:O1510)</f>
        <v>0</v>
      </c>
      <c r="I1510" s="1687"/>
      <c r="J1510" s="1687"/>
      <c r="K1510" s="1687"/>
      <c r="L1510" s="1692">
        <f>IFERROR(HLOOKUP(chitiet!B1510,pp1p!$1:$3,3,0),0)</f>
        <v>0</v>
      </c>
      <c r="M1510" s="1687"/>
      <c r="N1510" s="1687"/>
      <c r="O1510" s="1687"/>
      <c r="P1510" s="2674">
        <f>T1510</f>
        <v>0</v>
      </c>
      <c r="Q1510" s="2677">
        <f>IF(P1510&gt;H1510,P1510-H1510,0)</f>
        <v>0</v>
      </c>
      <c r="R1510" s="983">
        <f>IF(H1510&gt;P1510,H1510-P1510,0)</f>
        <v>0</v>
      </c>
      <c r="S1510" s="981"/>
      <c r="T1510" s="1862">
        <f t="shared" si="276"/>
        <v>0</v>
      </c>
    </row>
    <row r="1511" spans="1:20" ht="22.2" customHeight="1">
      <c r="A1511" s="1448">
        <f>COUNTIF($C$12:C1511,"x")</f>
        <v>89</v>
      </c>
      <c r="B1511" s="1452" t="s">
        <v>28</v>
      </c>
      <c r="C1511" s="970" t="str">
        <f>IF(D1511&lt;&gt;0,"x"," ")</f>
        <v>x</v>
      </c>
      <c r="D1511" s="1412">
        <f>IF(SUM(D1512:D1530)&lt;&gt;0,1,0)</f>
        <v>1</v>
      </c>
      <c r="E1511" s="982" t="s">
        <v>2170</v>
      </c>
      <c r="F1511" s="1276" t="s">
        <v>4407</v>
      </c>
      <c r="G1511" s="982" t="s">
        <v>2301</v>
      </c>
      <c r="H1511" s="1691">
        <f>SUM(I1511:O1511)</f>
        <v>0</v>
      </c>
      <c r="I1511" s="1692"/>
      <c r="J1511" s="1692"/>
      <c r="K1511" s="1692"/>
      <c r="L1511" s="1692">
        <f>IFERROR(HLOOKUP(chitiet!B1511,pp1p!$1:$3,3,0),0)</f>
        <v>0</v>
      </c>
      <c r="M1511" s="1692"/>
      <c r="N1511" s="1692"/>
      <c r="O1511" s="1692"/>
      <c r="P1511" s="2674">
        <f>T1511</f>
        <v>0</v>
      </c>
      <c r="Q1511" s="983">
        <f>IF(P1511&gt;H1511,P1511-H1511,0)</f>
        <v>0</v>
      </c>
      <c r="R1511" s="983">
        <f>IF(H1511&gt;P1511,H1511-P1511,0)</f>
        <v>0</v>
      </c>
      <c r="S1511" s="983"/>
      <c r="T1511" s="1862">
        <f t="shared" si="276"/>
        <v>0</v>
      </c>
    </row>
    <row r="1512" spans="1:20" ht="22.2" hidden="1" customHeight="1">
      <c r="A1512" s="1448">
        <f>COUNTIF($C$12:C1512,"x")</f>
        <v>89</v>
      </c>
      <c r="B1512" s="1455" t="s">
        <v>728</v>
      </c>
      <c r="C1512" s="970" t="str">
        <f t="shared" si="278"/>
        <v xml:space="preserve"> </v>
      </c>
      <c r="D1512" s="1425">
        <f>ROUND(E1512*1.02*0.952,2)</f>
        <v>0</v>
      </c>
      <c r="E1512" s="997">
        <f>pp_NC!D186</f>
        <v>0</v>
      </c>
      <c r="F1512" s="992" t="str">
        <f>VLOOKUP($B1512,DG!A:D,DG!$C$2,)</f>
        <v>Cáp nhôm lõi thép AC-240/39</v>
      </c>
      <c r="G1512" s="980" t="str">
        <f>VLOOKUP($B1512,DG!A:D,DG!$D$2,)</f>
        <v>kg</v>
      </c>
      <c r="H1512" s="1693">
        <f t="shared" ref="H1512:H1543" si="282">$D1512</f>
        <v>0</v>
      </c>
      <c r="I1512" s="1693"/>
      <c r="J1512" s="1693">
        <f t="shared" ref="J1512:J1543" si="283">D1512</f>
        <v>0</v>
      </c>
      <c r="K1512" s="1693"/>
      <c r="L1512" s="1693"/>
      <c r="M1512" s="1693"/>
      <c r="N1512" s="1693"/>
      <c r="O1512" s="1693"/>
      <c r="P1512" s="1693">
        <f>H1512+Q1512-R1512</f>
        <v>0</v>
      </c>
      <c r="Q1512" s="989"/>
      <c r="R1512" s="989"/>
      <c r="S1512" s="989"/>
      <c r="T1512" s="1862">
        <f t="shared" si="276"/>
        <v>0</v>
      </c>
    </row>
    <row r="1513" spans="1:20" ht="22.2" hidden="1" customHeight="1">
      <c r="A1513" s="1448">
        <f>COUNTIF($C$12:C1513,"x")</f>
        <v>89</v>
      </c>
      <c r="B1513" s="1455" t="s">
        <v>729</v>
      </c>
      <c r="C1513" s="970" t="str">
        <f t="shared" si="278"/>
        <v xml:space="preserve"> </v>
      </c>
      <c r="D1513" s="1425">
        <f>ROUND(E1513*1.02*0.727,2)</f>
        <v>0</v>
      </c>
      <c r="E1513" s="997">
        <f>pp_NC!D187</f>
        <v>0</v>
      </c>
      <c r="F1513" s="992" t="str">
        <f>VLOOKUP($B1513,DG!A:D,DG!$C$2,)</f>
        <v>Cáp nhôm lõi thép AC-185/29</v>
      </c>
      <c r="G1513" s="980" t="str">
        <f>VLOOKUP($B1513,DG!A:D,DG!$D$2,)</f>
        <v>kg</v>
      </c>
      <c r="H1513" s="1693">
        <f t="shared" si="282"/>
        <v>0</v>
      </c>
      <c r="I1513" s="1693"/>
      <c r="J1513" s="1693">
        <f t="shared" si="283"/>
        <v>0</v>
      </c>
      <c r="K1513" s="1693"/>
      <c r="L1513" s="1693"/>
      <c r="M1513" s="1693"/>
      <c r="N1513" s="1693"/>
      <c r="O1513" s="1693"/>
      <c r="P1513" s="1693">
        <f t="shared" ref="P1513:P1576" si="284">H1513+Q1513-R1513</f>
        <v>0</v>
      </c>
      <c r="Q1513" s="989"/>
      <c r="R1513" s="989"/>
      <c r="S1513" s="989"/>
      <c r="T1513" s="1862">
        <f t="shared" si="276"/>
        <v>0</v>
      </c>
    </row>
    <row r="1514" spans="1:20" ht="22.2" hidden="1" customHeight="1">
      <c r="A1514" s="1448">
        <f>COUNTIF($C$12:C1514,"x")</f>
        <v>89</v>
      </c>
      <c r="B1514" s="1455" t="s">
        <v>841</v>
      </c>
      <c r="C1514" s="970" t="str">
        <f t="shared" si="278"/>
        <v xml:space="preserve"> </v>
      </c>
      <c r="D1514" s="1425">
        <f>ROUND(E1514*1.02*0.6,2)</f>
        <v>0</v>
      </c>
      <c r="E1514" s="997">
        <f>pp_NC!D188</f>
        <v>0</v>
      </c>
      <c r="F1514" s="992" t="str">
        <f>VLOOKUP($B1514,DG!A:D,DG!$C$2,)</f>
        <v>Cáp nhôm lõi thép AC-150/24</v>
      </c>
      <c r="G1514" s="980" t="str">
        <f>VLOOKUP($B1514,DG!A:D,DG!$D$2,)</f>
        <v>kg</v>
      </c>
      <c r="H1514" s="1693">
        <f t="shared" si="282"/>
        <v>0</v>
      </c>
      <c r="I1514" s="1693"/>
      <c r="J1514" s="1693">
        <f t="shared" si="283"/>
        <v>0</v>
      </c>
      <c r="K1514" s="1693"/>
      <c r="L1514" s="1693"/>
      <c r="M1514" s="1693"/>
      <c r="N1514" s="1693"/>
      <c r="O1514" s="1693"/>
      <c r="P1514" s="1693">
        <f t="shared" si="284"/>
        <v>0</v>
      </c>
      <c r="Q1514" s="989"/>
      <c r="R1514" s="989"/>
      <c r="S1514" s="989"/>
      <c r="T1514" s="1862">
        <f t="shared" si="276"/>
        <v>0</v>
      </c>
    </row>
    <row r="1515" spans="1:20" ht="22.2" hidden="1" customHeight="1">
      <c r="A1515" s="1448">
        <f>COUNTIF($C$12:C1515,"x")</f>
        <v>89</v>
      </c>
      <c r="B1515" s="1455" t="s">
        <v>539</v>
      </c>
      <c r="C1515" s="970" t="str">
        <f t="shared" si="278"/>
        <v xml:space="preserve"> </v>
      </c>
      <c r="D1515" s="1425">
        <f>ROUND(E1515*1.02*0.471,2)</f>
        <v>0</v>
      </c>
      <c r="E1515" s="997"/>
      <c r="F1515" s="992" t="str">
        <f>VLOOKUP($B1515,DG!A:D,DG!$C$2,)</f>
        <v>Cáp nhôm lõi thép AC-120/19</v>
      </c>
      <c r="G1515" s="980" t="str">
        <f>VLOOKUP($B1515,DG!A:D,DG!$D$2,)</f>
        <v>kg</v>
      </c>
      <c r="H1515" s="1693">
        <f t="shared" si="282"/>
        <v>0</v>
      </c>
      <c r="I1515" s="1693"/>
      <c r="J1515" s="1693">
        <f t="shared" si="283"/>
        <v>0</v>
      </c>
      <c r="K1515" s="1693"/>
      <c r="L1515" s="1693"/>
      <c r="M1515" s="1693"/>
      <c r="N1515" s="1693"/>
      <c r="O1515" s="1693"/>
      <c r="P1515" s="1693">
        <f t="shared" si="284"/>
        <v>0</v>
      </c>
      <c r="Q1515" s="989"/>
      <c r="R1515" s="989"/>
      <c r="S1515" s="989"/>
      <c r="T1515" s="1862">
        <f t="shared" si="276"/>
        <v>0</v>
      </c>
    </row>
    <row r="1516" spans="1:20" ht="22.2" hidden="1" customHeight="1">
      <c r="A1516" s="1448">
        <f>COUNTIF($C$12:C1516,"x")</f>
        <v>89</v>
      </c>
      <c r="B1516" s="1455" t="s">
        <v>269</v>
      </c>
      <c r="C1516" s="970" t="str">
        <f t="shared" si="278"/>
        <v xml:space="preserve"> </v>
      </c>
      <c r="D1516" s="1425">
        <f>ROUND(E1516*1.02*0.384,2)</f>
        <v>0</v>
      </c>
      <c r="E1516" s="997">
        <f>pp_NC!D190</f>
        <v>0</v>
      </c>
      <c r="F1516" s="992" t="str">
        <f>VLOOKUP($B1516,DG!A:D,DG!$C$2,)</f>
        <v>Cáp nhôm lõi thép AC-95/16</v>
      </c>
      <c r="G1516" s="980" t="str">
        <f>VLOOKUP($B1516,DG!A:D,DG!$D$2,)</f>
        <v>kg</v>
      </c>
      <c r="H1516" s="1693">
        <f t="shared" si="282"/>
        <v>0</v>
      </c>
      <c r="I1516" s="1693"/>
      <c r="J1516" s="1693">
        <f t="shared" si="283"/>
        <v>0</v>
      </c>
      <c r="K1516" s="1693"/>
      <c r="L1516" s="1693"/>
      <c r="M1516" s="1693"/>
      <c r="N1516" s="1693"/>
      <c r="O1516" s="1693"/>
      <c r="P1516" s="1693">
        <f t="shared" si="284"/>
        <v>0</v>
      </c>
      <c r="Q1516" s="989"/>
      <c r="R1516" s="989"/>
      <c r="S1516" s="989"/>
      <c r="T1516" s="1862">
        <f t="shared" si="276"/>
        <v>0</v>
      </c>
    </row>
    <row r="1517" spans="1:20" ht="22.2" hidden="1" customHeight="1">
      <c r="A1517" s="1448">
        <f>COUNTIF($C$12:C1517,"x")</f>
        <v>89</v>
      </c>
      <c r="B1517" s="1455" t="s">
        <v>1239</v>
      </c>
      <c r="C1517" s="970" t="str">
        <f t="shared" si="278"/>
        <v xml:space="preserve"> </v>
      </c>
      <c r="D1517" s="1425">
        <f>0.274*1.02</f>
        <v>0.27948000000000001</v>
      </c>
      <c r="E1517" s="997">
        <f>pp_NC!D191</f>
        <v>0</v>
      </c>
      <c r="F1517" s="992" t="str">
        <f>VLOOKUP($B1517,DG!A:D,DG!$C$2,)</f>
        <v>Cáp nhôm lõi thép AC-70/11</v>
      </c>
      <c r="G1517" s="980" t="str">
        <f>VLOOKUP($B1517,DG!A:D,DG!$D$2,)</f>
        <v>kg</v>
      </c>
      <c r="H1517" s="1693"/>
      <c r="I1517" s="1693"/>
      <c r="J1517" s="1693">
        <f t="shared" si="283"/>
        <v>0.27948000000000001</v>
      </c>
      <c r="K1517" s="1693"/>
      <c r="L1517" s="1693"/>
      <c r="M1517" s="1693"/>
      <c r="N1517" s="1693"/>
      <c r="O1517" s="1693"/>
      <c r="P1517" s="1693">
        <f t="shared" si="284"/>
        <v>0</v>
      </c>
      <c r="Q1517" s="989"/>
      <c r="R1517" s="989"/>
      <c r="S1517" s="989"/>
      <c r="T1517" s="1862">
        <f t="shared" si="276"/>
        <v>0</v>
      </c>
    </row>
    <row r="1518" spans="1:20" ht="22.2" hidden="1" customHeight="1">
      <c r="A1518" s="1448">
        <f>COUNTIF($C$12:C1518,"x")</f>
        <v>89</v>
      </c>
      <c r="B1518" s="1455" t="s">
        <v>88</v>
      </c>
      <c r="C1518" s="970" t="str">
        <f t="shared" si="278"/>
        <v xml:space="preserve"> </v>
      </c>
      <c r="D1518" s="1425">
        <f>0.195*1.02</f>
        <v>0.19890000000000002</v>
      </c>
      <c r="E1518" s="997"/>
      <c r="F1518" s="992" t="str">
        <f>VLOOKUP($B1518,DG!A:D,DG!$C$2,)</f>
        <v>Cáp nhôm lõi thép AC-50/8</v>
      </c>
      <c r="G1518" s="980" t="str">
        <f>VLOOKUP($B1518,DG!A:D,DG!$D$2,)</f>
        <v>kg</v>
      </c>
      <c r="H1518" s="1693"/>
      <c r="I1518" s="1693"/>
      <c r="J1518" s="1693">
        <f t="shared" si="283"/>
        <v>0.19890000000000002</v>
      </c>
      <c r="K1518" s="1693"/>
      <c r="L1518" s="1693"/>
      <c r="M1518" s="1693"/>
      <c r="N1518" s="1693"/>
      <c r="O1518" s="1693"/>
      <c r="P1518" s="1693">
        <f t="shared" si="284"/>
        <v>0</v>
      </c>
      <c r="Q1518" s="989"/>
      <c r="R1518" s="989"/>
      <c r="S1518" s="989"/>
      <c r="T1518" s="1862">
        <f t="shared" si="276"/>
        <v>0</v>
      </c>
    </row>
    <row r="1519" spans="1:20" ht="22.2" hidden="1" customHeight="1">
      <c r="A1519" s="1448">
        <f>COUNTIF($C$12:C1519,"x")</f>
        <v>89</v>
      </c>
      <c r="B1519" s="1451" t="s">
        <v>360</v>
      </c>
      <c r="C1519" s="970" t="str">
        <f t="shared" si="278"/>
        <v xml:space="preserve"> </v>
      </c>
      <c r="D1519" s="1425">
        <f>E1519*2.04</f>
        <v>0</v>
      </c>
      <c r="E1519" s="997">
        <f>pp_NC!C199</f>
        <v>0</v>
      </c>
      <c r="F1519" s="992" t="str">
        <f>VLOOKUP($B1519,DG!A:D,DG!$C$2,)</f>
        <v>Cáp 24KV ACX 50mm2</v>
      </c>
      <c r="G1519" s="980" t="str">
        <f>VLOOKUP($B1519,DG!A:D,DG!$D$2,)</f>
        <v>mét</v>
      </c>
      <c r="H1519" s="1693">
        <f t="shared" si="282"/>
        <v>0</v>
      </c>
      <c r="I1519" s="1693"/>
      <c r="J1519" s="1693">
        <f t="shared" si="283"/>
        <v>0</v>
      </c>
      <c r="K1519" s="1693"/>
      <c r="L1519" s="1693"/>
      <c r="M1519" s="1693"/>
      <c r="N1519" s="1693"/>
      <c r="O1519" s="1693"/>
      <c r="P1519" s="1693">
        <f t="shared" si="284"/>
        <v>0</v>
      </c>
      <c r="Q1519" s="989"/>
      <c r="R1519" s="989"/>
      <c r="S1519" s="989"/>
      <c r="T1519" s="1862">
        <f t="shared" si="276"/>
        <v>0</v>
      </c>
    </row>
    <row r="1520" spans="1:20" ht="22.2" hidden="1" customHeight="1">
      <c r="A1520" s="1448">
        <f>COUNTIF($C$12:C1520,"x")</f>
        <v>89</v>
      </c>
      <c r="B1520" s="1455" t="s">
        <v>1794</v>
      </c>
      <c r="C1520" s="970" t="str">
        <f t="shared" si="278"/>
        <v xml:space="preserve"> </v>
      </c>
      <c r="D1520" s="1415">
        <f t="shared" ref="D1520:D1525" si="285">ROUND(E1520*1.03,2)</f>
        <v>0</v>
      </c>
      <c r="E1520" s="997">
        <f>pp_NC!D193</f>
        <v>0</v>
      </c>
      <c r="F1520" s="992" t="str">
        <f>VLOOKUP($B1520,DG!A:D,DG!$C$2,)</f>
        <v>Cáp 24KV A/XLPE/PVC 240mm2</v>
      </c>
      <c r="G1520" s="980" t="str">
        <f>VLOOKUP($B1520,DG!A:D,DG!$D$2,)</f>
        <v>mét</v>
      </c>
      <c r="H1520" s="1693">
        <f t="shared" si="282"/>
        <v>0</v>
      </c>
      <c r="I1520" s="1693"/>
      <c r="J1520" s="1693">
        <f t="shared" si="283"/>
        <v>0</v>
      </c>
      <c r="K1520" s="1693"/>
      <c r="L1520" s="1693"/>
      <c r="M1520" s="1693"/>
      <c r="N1520" s="1693"/>
      <c r="O1520" s="1693"/>
      <c r="P1520" s="1693">
        <f t="shared" si="284"/>
        <v>0</v>
      </c>
      <c r="Q1520" s="989"/>
      <c r="R1520" s="989"/>
      <c r="S1520" s="989"/>
      <c r="T1520" s="1862">
        <f t="shared" si="276"/>
        <v>0</v>
      </c>
    </row>
    <row r="1521" spans="1:20" ht="22.2" hidden="1" customHeight="1">
      <c r="A1521" s="1448">
        <f>COUNTIF($C$12:C1521,"x")</f>
        <v>89</v>
      </c>
      <c r="B1521" s="1455" t="s">
        <v>1031</v>
      </c>
      <c r="C1521" s="970" t="str">
        <f t="shared" si="278"/>
        <v xml:space="preserve"> </v>
      </c>
      <c r="D1521" s="1415">
        <f t="shared" si="285"/>
        <v>0</v>
      </c>
      <c r="E1521" s="997">
        <f>pp_NC!D194</f>
        <v>0</v>
      </c>
      <c r="F1521" s="992" t="str">
        <f>VLOOKUP($B1521,DG!A:D,DG!$C$2,)</f>
        <v>Cáp 24KV A/XLPE/PVC 185mm2</v>
      </c>
      <c r="G1521" s="980" t="str">
        <f>VLOOKUP($B1521,DG!A:D,DG!$D$2,)</f>
        <v>mét</v>
      </c>
      <c r="H1521" s="1693">
        <f t="shared" si="282"/>
        <v>0</v>
      </c>
      <c r="I1521" s="1693"/>
      <c r="J1521" s="1693">
        <f t="shared" si="283"/>
        <v>0</v>
      </c>
      <c r="K1521" s="1693"/>
      <c r="L1521" s="1693"/>
      <c r="M1521" s="1693"/>
      <c r="N1521" s="1693"/>
      <c r="O1521" s="1693"/>
      <c r="P1521" s="1693">
        <f t="shared" si="284"/>
        <v>0</v>
      </c>
      <c r="Q1521" s="989"/>
      <c r="R1521" s="989"/>
      <c r="S1521" s="989"/>
      <c r="T1521" s="1862">
        <f t="shared" si="276"/>
        <v>0</v>
      </c>
    </row>
    <row r="1522" spans="1:20" ht="22.2" hidden="1" customHeight="1">
      <c r="A1522" s="1448">
        <f>COUNTIF($C$12:C1522,"x")</f>
        <v>89</v>
      </c>
      <c r="B1522" s="1455" t="s">
        <v>1032</v>
      </c>
      <c r="C1522" s="970" t="str">
        <f t="shared" si="278"/>
        <v xml:space="preserve"> </v>
      </c>
      <c r="D1522" s="1415">
        <f t="shared" si="285"/>
        <v>0</v>
      </c>
      <c r="E1522" s="997">
        <f>pp_NC!D195</f>
        <v>0</v>
      </c>
      <c r="F1522" s="992" t="str">
        <f>VLOOKUP($B1522,DG!A:D,DG!$C$2,)</f>
        <v>Cáp 24KV A/XLPE/PVC 150mm2</v>
      </c>
      <c r="G1522" s="980" t="str">
        <f>VLOOKUP($B1522,DG!A:D,DG!$D$2,)</f>
        <v>mét</v>
      </c>
      <c r="H1522" s="1693">
        <f t="shared" si="282"/>
        <v>0</v>
      </c>
      <c r="I1522" s="1693"/>
      <c r="J1522" s="1693">
        <f t="shared" si="283"/>
        <v>0</v>
      </c>
      <c r="K1522" s="1693"/>
      <c r="L1522" s="1693"/>
      <c r="M1522" s="1693"/>
      <c r="N1522" s="1693"/>
      <c r="O1522" s="1693"/>
      <c r="P1522" s="1693">
        <f t="shared" si="284"/>
        <v>0</v>
      </c>
      <c r="Q1522" s="989"/>
      <c r="R1522" s="989"/>
      <c r="S1522" s="989"/>
      <c r="T1522" s="1862">
        <f t="shared" si="276"/>
        <v>0</v>
      </c>
    </row>
    <row r="1523" spans="1:20" ht="22.2" hidden="1" customHeight="1">
      <c r="A1523" s="1448">
        <f>COUNTIF($C$12:C1523,"x")</f>
        <v>89</v>
      </c>
      <c r="B1523" s="1455" t="s">
        <v>657</v>
      </c>
      <c r="C1523" s="970" t="str">
        <f t="shared" si="278"/>
        <v xml:space="preserve"> </v>
      </c>
      <c r="D1523" s="1415">
        <f t="shared" si="285"/>
        <v>0</v>
      </c>
      <c r="E1523" s="997">
        <f>pp_NC!D196</f>
        <v>0</v>
      </c>
      <c r="F1523" s="992" t="str">
        <f>VLOOKUP($B1523,DG!A:D,DG!$C$2,)</f>
        <v>Cáp 24KV A/XLPE/PVC 120mm2</v>
      </c>
      <c r="G1523" s="980" t="str">
        <f>VLOOKUP($B1523,DG!A:D,DG!$D$2,)</f>
        <v>mét</v>
      </c>
      <c r="H1523" s="1693">
        <f t="shared" si="282"/>
        <v>0</v>
      </c>
      <c r="I1523" s="1693"/>
      <c r="J1523" s="1693">
        <f t="shared" si="283"/>
        <v>0</v>
      </c>
      <c r="K1523" s="1693"/>
      <c r="L1523" s="1693"/>
      <c r="M1523" s="1693"/>
      <c r="N1523" s="1693"/>
      <c r="O1523" s="1693"/>
      <c r="P1523" s="1693">
        <f t="shared" si="284"/>
        <v>0</v>
      </c>
      <c r="Q1523" s="989"/>
      <c r="R1523" s="989"/>
      <c r="S1523" s="989"/>
      <c r="T1523" s="1862">
        <f t="shared" si="276"/>
        <v>0</v>
      </c>
    </row>
    <row r="1524" spans="1:20" ht="22.2" hidden="1" customHeight="1">
      <c r="A1524" s="1448">
        <f>COUNTIF($C$12:C1524,"x")</f>
        <v>89</v>
      </c>
      <c r="B1524" s="1455" t="s">
        <v>57</v>
      </c>
      <c r="C1524" s="970" t="str">
        <f t="shared" si="278"/>
        <v xml:space="preserve"> </v>
      </c>
      <c r="D1524" s="1415">
        <f t="shared" si="285"/>
        <v>0</v>
      </c>
      <c r="E1524" s="997">
        <f>pp_NC!D197</f>
        <v>0</v>
      </c>
      <c r="F1524" s="992" t="str">
        <f>VLOOKUP($B1524,DG!A:D,DG!$C$2,)</f>
        <v>Cáp 24KV A/XLPE/PVC 95mm2</v>
      </c>
      <c r="G1524" s="980" t="str">
        <f>VLOOKUP($B1524,DG!A:D,DG!$D$2,)</f>
        <v>mét</v>
      </c>
      <c r="H1524" s="1693">
        <f t="shared" si="282"/>
        <v>0</v>
      </c>
      <c r="I1524" s="1693"/>
      <c r="J1524" s="1693">
        <f t="shared" si="283"/>
        <v>0</v>
      </c>
      <c r="K1524" s="1693"/>
      <c r="L1524" s="1693"/>
      <c r="M1524" s="1693"/>
      <c r="N1524" s="1693"/>
      <c r="O1524" s="1693"/>
      <c r="P1524" s="1693">
        <f t="shared" si="284"/>
        <v>0</v>
      </c>
      <c r="Q1524" s="989"/>
      <c r="R1524" s="989"/>
      <c r="S1524" s="989"/>
      <c r="T1524" s="1862">
        <f t="shared" si="276"/>
        <v>0</v>
      </c>
    </row>
    <row r="1525" spans="1:20" ht="22.2" hidden="1" customHeight="1">
      <c r="A1525" s="1448">
        <f>COUNTIF($C$12:C1525,"x")</f>
        <v>89</v>
      </c>
      <c r="B1525" s="1455" t="s">
        <v>56</v>
      </c>
      <c r="C1525" s="970" t="str">
        <f t="shared" si="278"/>
        <v xml:space="preserve"> </v>
      </c>
      <c r="D1525" s="1415">
        <f t="shared" si="285"/>
        <v>0</v>
      </c>
      <c r="E1525" s="997">
        <f>pp_NC!D198</f>
        <v>0</v>
      </c>
      <c r="F1525" s="992" t="str">
        <f>VLOOKUP($B1525,DG!A:D,DG!$C$2,)</f>
        <v>Cáp 24KV A/XLPE/PVC 70mm2</v>
      </c>
      <c r="G1525" s="980" t="str">
        <f>VLOOKUP($B1525,DG!A:D,DG!$D$2,)</f>
        <v>mét</v>
      </c>
      <c r="H1525" s="1693">
        <f t="shared" si="282"/>
        <v>0</v>
      </c>
      <c r="I1525" s="1693"/>
      <c r="J1525" s="1693">
        <f t="shared" si="283"/>
        <v>0</v>
      </c>
      <c r="K1525" s="1693"/>
      <c r="L1525" s="1693"/>
      <c r="M1525" s="1693"/>
      <c r="N1525" s="1693"/>
      <c r="O1525" s="1693"/>
      <c r="P1525" s="1693">
        <f t="shared" si="284"/>
        <v>0</v>
      </c>
      <c r="Q1525" s="989"/>
      <c r="R1525" s="989"/>
      <c r="S1525" s="989"/>
      <c r="T1525" s="1862">
        <f t="shared" si="276"/>
        <v>0</v>
      </c>
    </row>
    <row r="1526" spans="1:20" ht="22.2" hidden="1" customHeight="1">
      <c r="A1526" s="1448">
        <f>COUNTIF($C$12:C1526,"x")</f>
        <v>89</v>
      </c>
      <c r="B1526" s="1472" t="s">
        <v>2499</v>
      </c>
      <c r="C1526" s="970" t="str">
        <f t="shared" si="278"/>
        <v xml:space="preserve"> </v>
      </c>
      <c r="D1526" s="1415">
        <f>pp_NC!DK184</f>
        <v>0</v>
      </c>
      <c r="E1526" s="980"/>
      <c r="F1526" s="998" t="s">
        <v>2500</v>
      </c>
      <c r="G1526" s="999" t="s">
        <v>2439</v>
      </c>
      <c r="H1526" s="1693">
        <f t="shared" si="282"/>
        <v>0</v>
      </c>
      <c r="I1526" s="1693"/>
      <c r="J1526" s="1693">
        <f t="shared" si="283"/>
        <v>0</v>
      </c>
      <c r="K1526" s="1693"/>
      <c r="L1526" s="1693"/>
      <c r="M1526" s="1693"/>
      <c r="N1526" s="1693"/>
      <c r="O1526" s="1693"/>
      <c r="P1526" s="1693">
        <f t="shared" si="284"/>
        <v>0</v>
      </c>
      <c r="Q1526" s="989"/>
      <c r="R1526" s="989"/>
      <c r="S1526" s="989"/>
      <c r="T1526" s="1862">
        <f t="shared" si="276"/>
        <v>0</v>
      </c>
    </row>
    <row r="1527" spans="1:20" ht="22.2" hidden="1" customHeight="1">
      <c r="A1527" s="1448">
        <f>COUNTIF($C$12:C1527,"x")</f>
        <v>89</v>
      </c>
      <c r="B1527" s="1455" t="s">
        <v>1909</v>
      </c>
      <c r="C1527" s="970" t="str">
        <f t="shared" si="278"/>
        <v xml:space="preserve"> </v>
      </c>
      <c r="D1527" s="1415">
        <f>D1526</f>
        <v>0</v>
      </c>
      <c r="E1527" s="980"/>
      <c r="F1527" s="992" t="str">
        <f>VLOOKUP($B1527,DG!A:D,DG!$C$2,)</f>
        <v>Uclevis + sứ ống chỉ</v>
      </c>
      <c r="G1527" s="980" t="str">
        <f>VLOOKUP($B1527,DG!A:D,DG!$D$2,)</f>
        <v>bộ</v>
      </c>
      <c r="H1527" s="1693">
        <f t="shared" si="282"/>
        <v>0</v>
      </c>
      <c r="I1527" s="1693"/>
      <c r="J1527" s="1693">
        <f t="shared" si="283"/>
        <v>0</v>
      </c>
      <c r="K1527" s="1693"/>
      <c r="L1527" s="1693"/>
      <c r="M1527" s="1693"/>
      <c r="N1527" s="1693"/>
      <c r="O1527" s="1693"/>
      <c r="P1527" s="1693">
        <f t="shared" si="284"/>
        <v>0</v>
      </c>
      <c r="Q1527" s="989"/>
      <c r="R1527" s="989"/>
      <c r="S1527" s="989"/>
      <c r="T1527" s="1862">
        <f t="shared" si="276"/>
        <v>0</v>
      </c>
    </row>
    <row r="1528" spans="1:20" ht="22.2" hidden="1" customHeight="1">
      <c r="A1528" s="1448">
        <f>COUNTIF($C$12:C1528,"x")</f>
        <v>89</v>
      </c>
      <c r="B1528" s="1455" t="s">
        <v>1610</v>
      </c>
      <c r="C1528" s="970" t="str">
        <f t="shared" si="278"/>
        <v xml:space="preserve"> </v>
      </c>
      <c r="D1528" s="1415">
        <f>D1526</f>
        <v>0</v>
      </c>
      <c r="E1528" s="980"/>
      <c r="F1528" s="992" t="str">
        <f>VLOOKUP($B1528,DG!A:D,DG!$C$2,)</f>
        <v>Boulon 16x300+ 2 long đền vuông D18-50x50x3/Zn</v>
      </c>
      <c r="G1528" s="980" t="str">
        <f>VLOOKUP($B1528,DG!A:D,DG!$D$2,)</f>
        <v>bộ</v>
      </c>
      <c r="H1528" s="1693">
        <f t="shared" si="282"/>
        <v>0</v>
      </c>
      <c r="I1528" s="1693"/>
      <c r="J1528" s="1693">
        <f t="shared" si="283"/>
        <v>0</v>
      </c>
      <c r="K1528" s="1693"/>
      <c r="L1528" s="1693"/>
      <c r="M1528" s="1693"/>
      <c r="N1528" s="1693"/>
      <c r="O1528" s="1693"/>
      <c r="P1528" s="1693">
        <f t="shared" si="284"/>
        <v>0</v>
      </c>
      <c r="Q1528" s="989"/>
      <c r="R1528" s="989"/>
      <c r="S1528" s="989"/>
      <c r="T1528" s="1862">
        <f t="shared" si="276"/>
        <v>0</v>
      </c>
    </row>
    <row r="1529" spans="1:20" ht="22.2" hidden="1" customHeight="1">
      <c r="A1529" s="1448">
        <f>COUNTIF($C$12:C1529,"x")</f>
        <v>89</v>
      </c>
      <c r="B1529" s="1472" t="s">
        <v>1621</v>
      </c>
      <c r="C1529" s="970" t="str">
        <f t="shared" si="278"/>
        <v xml:space="preserve"> </v>
      </c>
      <c r="D1529" s="1415">
        <f>pp_NC!DM184</f>
        <v>0</v>
      </c>
      <c r="E1529" s="980"/>
      <c r="F1529" s="998" t="s">
        <v>2501</v>
      </c>
      <c r="G1529" s="999" t="s">
        <v>2439</v>
      </c>
      <c r="H1529" s="1693">
        <f t="shared" si="282"/>
        <v>0</v>
      </c>
      <c r="I1529" s="1693"/>
      <c r="J1529" s="1693">
        <f t="shared" si="283"/>
        <v>0</v>
      </c>
      <c r="K1529" s="1693"/>
      <c r="L1529" s="1693"/>
      <c r="M1529" s="1693"/>
      <c r="N1529" s="1693"/>
      <c r="O1529" s="1693"/>
      <c r="P1529" s="1693">
        <f t="shared" si="284"/>
        <v>0</v>
      </c>
      <c r="Q1529" s="989"/>
      <c r="R1529" s="989"/>
      <c r="S1529" s="989"/>
      <c r="T1529" s="1862">
        <f t="shared" si="276"/>
        <v>0</v>
      </c>
    </row>
    <row r="1530" spans="1:20" ht="22.2" hidden="1" customHeight="1">
      <c r="A1530" s="1448">
        <f>COUNTIF($C$12:C1530,"x")</f>
        <v>89</v>
      </c>
      <c r="B1530" s="1455" t="s">
        <v>1909</v>
      </c>
      <c r="C1530" s="970" t="str">
        <f t="shared" si="278"/>
        <v xml:space="preserve"> </v>
      </c>
      <c r="D1530" s="1415">
        <f>D1529</f>
        <v>0</v>
      </c>
      <c r="E1530" s="980"/>
      <c r="F1530" s="992" t="str">
        <f>VLOOKUP($B1530,DG!A:D,DG!$C$2,)</f>
        <v>Uclevis + sứ ống chỉ</v>
      </c>
      <c r="G1530" s="980" t="str">
        <f>VLOOKUP($B1530,DG!A:D,DG!$D$2,)</f>
        <v>bộ</v>
      </c>
      <c r="H1530" s="1693">
        <f t="shared" si="282"/>
        <v>0</v>
      </c>
      <c r="I1530" s="1693"/>
      <c r="J1530" s="1693">
        <f t="shared" si="283"/>
        <v>0</v>
      </c>
      <c r="K1530" s="1693"/>
      <c r="L1530" s="1693"/>
      <c r="M1530" s="1693"/>
      <c r="N1530" s="1693"/>
      <c r="O1530" s="1693"/>
      <c r="P1530" s="1693">
        <f t="shared" si="284"/>
        <v>0</v>
      </c>
      <c r="Q1530" s="989"/>
      <c r="R1530" s="989"/>
      <c r="S1530" s="989"/>
      <c r="T1530" s="1862">
        <f t="shared" si="276"/>
        <v>0</v>
      </c>
    </row>
    <row r="1531" spans="1:20" ht="22.2" hidden="1" customHeight="1">
      <c r="A1531" s="1448">
        <f>COUNTIF($C$12:C1531,"x")</f>
        <v>89</v>
      </c>
      <c r="B1531" s="1455" t="s">
        <v>1610</v>
      </c>
      <c r="C1531" s="970" t="str">
        <f t="shared" si="278"/>
        <v xml:space="preserve"> </v>
      </c>
      <c r="D1531" s="1415">
        <f>D1529</f>
        <v>0</v>
      </c>
      <c r="E1531" s="980"/>
      <c r="F1531" s="992" t="str">
        <f>VLOOKUP($B1531,DG!A:D,DG!$C$2,)</f>
        <v>Boulon 16x300+ 2 long đền vuông D18-50x50x3/Zn</v>
      </c>
      <c r="G1531" s="980" t="str">
        <f>VLOOKUP($B1531,DG!A:D,DG!$D$2,)</f>
        <v>bộ</v>
      </c>
      <c r="H1531" s="1693">
        <f t="shared" si="282"/>
        <v>0</v>
      </c>
      <c r="I1531" s="1693"/>
      <c r="J1531" s="1693">
        <f t="shared" si="283"/>
        <v>0</v>
      </c>
      <c r="K1531" s="1693"/>
      <c r="L1531" s="1693"/>
      <c r="M1531" s="1693"/>
      <c r="N1531" s="1693"/>
      <c r="O1531" s="1693"/>
      <c r="P1531" s="1693">
        <f t="shared" si="284"/>
        <v>0</v>
      </c>
      <c r="Q1531" s="989"/>
      <c r="R1531" s="989"/>
      <c r="S1531" s="989"/>
      <c r="T1531" s="1862">
        <f t="shared" si="276"/>
        <v>0</v>
      </c>
    </row>
    <row r="1532" spans="1:20" ht="22.2" hidden="1" customHeight="1">
      <c r="A1532" s="1448">
        <f>COUNTIF($C$12:C1532,"x")</f>
        <v>89</v>
      </c>
      <c r="B1532" s="1455" t="s">
        <v>1851</v>
      </c>
      <c r="C1532" s="970" t="str">
        <f t="shared" si="278"/>
        <v xml:space="preserve"> </v>
      </c>
      <c r="D1532" s="1415">
        <f>D1529*3</f>
        <v>0</v>
      </c>
      <c r="E1532" s="980"/>
      <c r="F1532" s="992" t="str">
        <f>VLOOKUP($B1532,DG!A:D,DG!$C$2,)</f>
        <v>Kẹp 2 rãnh cỡ dây 50mm2</v>
      </c>
      <c r="G1532" s="980" t="str">
        <f>VLOOKUP($B1532,DG!A:D,DG!$D$2,)</f>
        <v>cái</v>
      </c>
      <c r="H1532" s="1693">
        <f t="shared" si="282"/>
        <v>0</v>
      </c>
      <c r="I1532" s="1693"/>
      <c r="J1532" s="1693">
        <f t="shared" si="283"/>
        <v>0</v>
      </c>
      <c r="K1532" s="1693"/>
      <c r="L1532" s="1693"/>
      <c r="M1532" s="1693"/>
      <c r="N1532" s="1693"/>
      <c r="O1532" s="1693"/>
      <c r="P1532" s="1693">
        <f t="shared" si="284"/>
        <v>0</v>
      </c>
      <c r="Q1532" s="989"/>
      <c r="R1532" s="989"/>
      <c r="S1532" s="989"/>
      <c r="T1532" s="1862">
        <f t="shared" si="276"/>
        <v>0</v>
      </c>
    </row>
    <row r="1533" spans="1:20" ht="22.2" hidden="1" customHeight="1">
      <c r="A1533" s="1448">
        <f>COUNTIF($C$12:C1533,"x")</f>
        <v>89</v>
      </c>
      <c r="B1533" s="1472" t="s">
        <v>1622</v>
      </c>
      <c r="C1533" s="970" t="str">
        <f t="shared" si="278"/>
        <v xml:space="preserve"> </v>
      </c>
      <c r="D1533" s="1415">
        <f>pp_NC!DN184</f>
        <v>0</v>
      </c>
      <c r="E1533" s="980"/>
      <c r="F1533" s="998" t="s">
        <v>2502</v>
      </c>
      <c r="G1533" s="999" t="s">
        <v>2439</v>
      </c>
      <c r="H1533" s="1693">
        <f t="shared" si="282"/>
        <v>0</v>
      </c>
      <c r="I1533" s="1693"/>
      <c r="J1533" s="1693">
        <f t="shared" si="283"/>
        <v>0</v>
      </c>
      <c r="K1533" s="1693"/>
      <c r="L1533" s="1693"/>
      <c r="M1533" s="1693"/>
      <c r="N1533" s="1693"/>
      <c r="O1533" s="1693"/>
      <c r="P1533" s="1693">
        <f t="shared" si="284"/>
        <v>0</v>
      </c>
      <c r="Q1533" s="989"/>
      <c r="R1533" s="989"/>
      <c r="S1533" s="989"/>
      <c r="T1533" s="1862">
        <f t="shared" si="276"/>
        <v>0</v>
      </c>
    </row>
    <row r="1534" spans="1:20" ht="22.2" hidden="1" customHeight="1">
      <c r="A1534" s="1448">
        <f>COUNTIF($C$12:C1534,"x")</f>
        <v>89</v>
      </c>
      <c r="B1534" s="1473" t="s">
        <v>904</v>
      </c>
      <c r="C1534" s="970" t="str">
        <f t="shared" si="278"/>
        <v xml:space="preserve"> </v>
      </c>
      <c r="D1534" s="1415">
        <f>D1533</f>
        <v>0</v>
      </c>
      <c r="E1534" s="980"/>
      <c r="F1534" s="992" t="str">
        <f>VLOOKUP($B1534,DG!A:D,DG!$C$2,)</f>
        <v>Khóa néo dây cỡ dây 50</v>
      </c>
      <c r="G1534" s="980" t="str">
        <f>VLOOKUP($B1534,DG!A:D,DG!$D$2,)</f>
        <v>cái</v>
      </c>
      <c r="H1534" s="1693">
        <f t="shared" si="282"/>
        <v>0</v>
      </c>
      <c r="I1534" s="1693"/>
      <c r="J1534" s="1693">
        <f t="shared" si="283"/>
        <v>0</v>
      </c>
      <c r="K1534" s="1693"/>
      <c r="L1534" s="1693"/>
      <c r="M1534" s="1693"/>
      <c r="N1534" s="1693"/>
      <c r="O1534" s="1693"/>
      <c r="P1534" s="1693">
        <f t="shared" si="284"/>
        <v>0</v>
      </c>
      <c r="Q1534" s="989"/>
      <c r="R1534" s="989"/>
      <c r="S1534" s="989"/>
      <c r="T1534" s="1862">
        <f t="shared" si="276"/>
        <v>0</v>
      </c>
    </row>
    <row r="1535" spans="1:20" ht="22.2" hidden="1" customHeight="1">
      <c r="A1535" s="1448">
        <f>COUNTIF($C$12:C1535,"x")</f>
        <v>89</v>
      </c>
      <c r="B1535" s="1455" t="s">
        <v>1486</v>
      </c>
      <c r="C1535" s="970" t="str">
        <f t="shared" si="278"/>
        <v xml:space="preserve"> </v>
      </c>
      <c r="D1535" s="1415">
        <f>D1533*2</f>
        <v>0</v>
      </c>
      <c r="E1535" s="980"/>
      <c r="F1535" s="992" t="str">
        <f>VLOOKUP($B1535,DG!A:D,DG!$C$2,)</f>
        <v xml:space="preserve">Móc treo chữ U </v>
      </c>
      <c r="G1535" s="980" t="str">
        <f>VLOOKUP($B1535,DG!A:D,DG!$D$2,)</f>
        <v>cái</v>
      </c>
      <c r="H1535" s="1693">
        <f t="shared" si="282"/>
        <v>0</v>
      </c>
      <c r="I1535" s="1693"/>
      <c r="J1535" s="1693">
        <f t="shared" si="283"/>
        <v>0</v>
      </c>
      <c r="K1535" s="1693"/>
      <c r="L1535" s="1693"/>
      <c r="M1535" s="1693"/>
      <c r="N1535" s="1693"/>
      <c r="O1535" s="1693"/>
      <c r="P1535" s="1693">
        <f t="shared" si="284"/>
        <v>0</v>
      </c>
      <c r="Q1535" s="989"/>
      <c r="R1535" s="989"/>
      <c r="S1535" s="989"/>
      <c r="T1535" s="1862">
        <f t="shared" ref="T1535:T1598" si="286">IFERROR(HLOOKUP(B1535,BangKeTru,3,0),0)</f>
        <v>0</v>
      </c>
    </row>
    <row r="1536" spans="1:20" ht="22.2" hidden="1" customHeight="1">
      <c r="A1536" s="1448">
        <f>COUNTIF($C$12:C1536,"x")</f>
        <v>89</v>
      </c>
      <c r="B1536" s="1455" t="s">
        <v>417</v>
      </c>
      <c r="C1536" s="970" t="str">
        <f t="shared" si="278"/>
        <v xml:space="preserve"> </v>
      </c>
      <c r="D1536" s="1415">
        <f>D1534</f>
        <v>0</v>
      </c>
      <c r="E1536" s="980"/>
      <c r="F1536" s="992" t="str">
        <f>VLOOKUP($B1536,DG!A:D,DG!$C$2,)</f>
        <v>Boulon mắt 16x300+ 2 long đền vuông D18-50x50x3/Zn</v>
      </c>
      <c r="G1536" s="980" t="str">
        <f>VLOOKUP($B1536,DG!A:D,DG!$D$2,)</f>
        <v>bộ</v>
      </c>
      <c r="H1536" s="1693">
        <f t="shared" si="282"/>
        <v>0</v>
      </c>
      <c r="I1536" s="1693"/>
      <c r="J1536" s="1693">
        <f t="shared" si="283"/>
        <v>0</v>
      </c>
      <c r="K1536" s="1693"/>
      <c r="L1536" s="1693"/>
      <c r="M1536" s="1693"/>
      <c r="N1536" s="1693"/>
      <c r="O1536" s="1693"/>
      <c r="P1536" s="1693">
        <f t="shared" si="284"/>
        <v>0</v>
      </c>
      <c r="Q1536" s="989"/>
      <c r="R1536" s="989"/>
      <c r="S1536" s="989"/>
      <c r="T1536" s="1862">
        <f t="shared" si="286"/>
        <v>0</v>
      </c>
    </row>
    <row r="1537" spans="1:20" ht="22.2" hidden="1" customHeight="1">
      <c r="A1537" s="1448">
        <f>COUNTIF($C$12:C1537,"x")</f>
        <v>89</v>
      </c>
      <c r="B1537" s="1455" t="s">
        <v>1579</v>
      </c>
      <c r="C1537" s="970" t="str">
        <f t="shared" si="278"/>
        <v xml:space="preserve"> </v>
      </c>
      <c r="D1537" s="1415">
        <f>D1533</f>
        <v>0</v>
      </c>
      <c r="E1537" s="980"/>
      <c r="F1537" s="992" t="str">
        <f>VLOOKUP($B1537,DG!A:D,DG!$C$2,)</f>
        <v>Kẹp ép WR cỡ dây 50mm2</v>
      </c>
      <c r="G1537" s="980" t="str">
        <f>VLOOKUP($B1537,DG!A:D,DG!$D$2,)</f>
        <v>cái</v>
      </c>
      <c r="H1537" s="1693">
        <f t="shared" si="282"/>
        <v>0</v>
      </c>
      <c r="I1537" s="1693"/>
      <c r="J1537" s="1693">
        <f t="shared" si="283"/>
        <v>0</v>
      </c>
      <c r="K1537" s="1693"/>
      <c r="L1537" s="1693"/>
      <c r="M1537" s="1693"/>
      <c r="N1537" s="1693"/>
      <c r="O1537" s="1693"/>
      <c r="P1537" s="1693">
        <f t="shared" si="284"/>
        <v>0</v>
      </c>
      <c r="Q1537" s="989"/>
      <c r="R1537" s="989"/>
      <c r="S1537" s="989"/>
      <c r="T1537" s="1862">
        <f t="shared" si="286"/>
        <v>0</v>
      </c>
    </row>
    <row r="1538" spans="1:20" ht="22.2" hidden="1" customHeight="1">
      <c r="A1538" s="1448">
        <f>COUNTIF($C$12:C1538,"x")</f>
        <v>89</v>
      </c>
      <c r="B1538" s="1472" t="s">
        <v>2160</v>
      </c>
      <c r="C1538" s="970" t="str">
        <f t="shared" si="278"/>
        <v xml:space="preserve"> </v>
      </c>
      <c r="D1538" s="1415">
        <f>pp_NC!DO95</f>
        <v>0</v>
      </c>
      <c r="E1538" s="980"/>
      <c r="F1538" s="998" t="s">
        <v>2503</v>
      </c>
      <c r="G1538" s="999" t="s">
        <v>2439</v>
      </c>
      <c r="H1538" s="1693">
        <f t="shared" si="282"/>
        <v>0</v>
      </c>
      <c r="I1538" s="1693"/>
      <c r="J1538" s="1693">
        <f t="shared" si="283"/>
        <v>0</v>
      </c>
      <c r="K1538" s="1693"/>
      <c r="L1538" s="1693"/>
      <c r="M1538" s="1693"/>
      <c r="N1538" s="1693"/>
      <c r="O1538" s="1693"/>
      <c r="P1538" s="1693">
        <f t="shared" si="284"/>
        <v>0</v>
      </c>
      <c r="Q1538" s="989"/>
      <c r="R1538" s="989"/>
      <c r="S1538" s="989"/>
      <c r="T1538" s="1862">
        <f t="shared" si="286"/>
        <v>0</v>
      </c>
    </row>
    <row r="1539" spans="1:20" ht="22.2" hidden="1" customHeight="1">
      <c r="A1539" s="1448">
        <f>COUNTIF($C$12:C1539,"x")</f>
        <v>89</v>
      </c>
      <c r="B1539" s="1473" t="s">
        <v>904</v>
      </c>
      <c r="C1539" s="970" t="str">
        <f t="shared" si="278"/>
        <v xml:space="preserve"> </v>
      </c>
      <c r="D1539" s="1415">
        <f>D1538</f>
        <v>0</v>
      </c>
      <c r="E1539" s="980"/>
      <c r="F1539" s="992" t="str">
        <f>VLOOKUP($B1539,DG!A:D,DG!$C$2,)</f>
        <v>Khóa néo dây cỡ dây 50</v>
      </c>
      <c r="G1539" s="980" t="str">
        <f>VLOOKUP($B1539,DG!A:D,DG!$D$2,)</f>
        <v>cái</v>
      </c>
      <c r="H1539" s="1693">
        <f t="shared" si="282"/>
        <v>0</v>
      </c>
      <c r="I1539" s="1693"/>
      <c r="J1539" s="1693">
        <f t="shared" si="283"/>
        <v>0</v>
      </c>
      <c r="K1539" s="1693"/>
      <c r="L1539" s="1693"/>
      <c r="M1539" s="1693"/>
      <c r="N1539" s="1693"/>
      <c r="O1539" s="1693"/>
      <c r="P1539" s="1693">
        <f t="shared" si="284"/>
        <v>0</v>
      </c>
      <c r="Q1539" s="989"/>
      <c r="R1539" s="989"/>
      <c r="S1539" s="989"/>
      <c r="T1539" s="1862">
        <f t="shared" si="286"/>
        <v>0</v>
      </c>
    </row>
    <row r="1540" spans="1:20" ht="22.2" hidden="1" customHeight="1">
      <c r="A1540" s="1448">
        <f>COUNTIF($C$12:C1540,"x")</f>
        <v>89</v>
      </c>
      <c r="B1540" s="1455" t="s">
        <v>1486</v>
      </c>
      <c r="C1540" s="970" t="str">
        <f t="shared" si="278"/>
        <v xml:space="preserve"> </v>
      </c>
      <c r="D1540" s="1415">
        <f>D1538*2</f>
        <v>0</v>
      </c>
      <c r="E1540" s="980"/>
      <c r="F1540" s="992" t="str">
        <f>VLOOKUP($B1540,DG!A:D,DG!$C$2,)</f>
        <v xml:space="preserve">Móc treo chữ U </v>
      </c>
      <c r="G1540" s="980" t="str">
        <f>VLOOKUP($B1540,DG!A:D,DG!$D$2,)</f>
        <v>cái</v>
      </c>
      <c r="H1540" s="1693">
        <f t="shared" si="282"/>
        <v>0</v>
      </c>
      <c r="I1540" s="1693"/>
      <c r="J1540" s="1693">
        <f t="shared" si="283"/>
        <v>0</v>
      </c>
      <c r="K1540" s="1693"/>
      <c r="L1540" s="1693"/>
      <c r="M1540" s="1693"/>
      <c r="N1540" s="1693"/>
      <c r="O1540" s="1693"/>
      <c r="P1540" s="1693">
        <f t="shared" si="284"/>
        <v>0</v>
      </c>
      <c r="Q1540" s="989"/>
      <c r="R1540" s="989"/>
      <c r="S1540" s="989"/>
      <c r="T1540" s="1862">
        <f t="shared" si="286"/>
        <v>0</v>
      </c>
    </row>
    <row r="1541" spans="1:20" ht="22.2" hidden="1" customHeight="1">
      <c r="A1541" s="1448">
        <f>COUNTIF($C$12:C1541,"x")</f>
        <v>89</v>
      </c>
      <c r="B1541" s="1455" t="s">
        <v>1579</v>
      </c>
      <c r="C1541" s="970" t="str">
        <f t="shared" si="278"/>
        <v xml:space="preserve"> </v>
      </c>
      <c r="D1541" s="1415">
        <f>D1538*2</f>
        <v>0</v>
      </c>
      <c r="E1541" s="980"/>
      <c r="F1541" s="992" t="str">
        <f>VLOOKUP($B1541,DG!A:D,DG!$C$2,)</f>
        <v>Kẹp ép WR cỡ dây 50mm2</v>
      </c>
      <c r="G1541" s="980" t="str">
        <f>VLOOKUP($B1541,DG!A:D,DG!$D$2,)</f>
        <v>cái</v>
      </c>
      <c r="H1541" s="1693">
        <f t="shared" si="282"/>
        <v>0</v>
      </c>
      <c r="I1541" s="1693"/>
      <c r="J1541" s="1693">
        <f t="shared" si="283"/>
        <v>0</v>
      </c>
      <c r="K1541" s="1693"/>
      <c r="L1541" s="1693"/>
      <c r="M1541" s="1693"/>
      <c r="N1541" s="1693"/>
      <c r="O1541" s="1693"/>
      <c r="P1541" s="1693">
        <f t="shared" si="284"/>
        <v>0</v>
      </c>
      <c r="Q1541" s="989"/>
      <c r="R1541" s="989"/>
      <c r="S1541" s="989"/>
      <c r="T1541" s="1862">
        <f t="shared" si="286"/>
        <v>0</v>
      </c>
    </row>
    <row r="1542" spans="1:20" ht="22.2" hidden="1" customHeight="1">
      <c r="A1542" s="1448">
        <f>COUNTIF($C$12:C1542,"x")</f>
        <v>89</v>
      </c>
      <c r="B1542" s="1458" t="s">
        <v>2504</v>
      </c>
      <c r="C1542" s="970" t="str">
        <f t="shared" si="278"/>
        <v xml:space="preserve"> </v>
      </c>
      <c r="D1542" s="1415">
        <f>pp_NC!DH184</f>
        <v>0</v>
      </c>
      <c r="E1542" s="980"/>
      <c r="F1542" s="998" t="s">
        <v>2505</v>
      </c>
      <c r="G1542" s="999" t="s">
        <v>2439</v>
      </c>
      <c r="H1542" s="1693">
        <f t="shared" si="282"/>
        <v>0</v>
      </c>
      <c r="I1542" s="1693"/>
      <c r="J1542" s="1693">
        <f t="shared" si="283"/>
        <v>0</v>
      </c>
      <c r="K1542" s="1693"/>
      <c r="L1542" s="1693"/>
      <c r="M1542" s="1693"/>
      <c r="N1542" s="1693"/>
      <c r="O1542" s="1693"/>
      <c r="P1542" s="1693">
        <f t="shared" si="284"/>
        <v>0</v>
      </c>
      <c r="Q1542" s="989"/>
      <c r="R1542" s="989"/>
      <c r="S1542" s="989"/>
      <c r="T1542" s="1862">
        <f t="shared" si="286"/>
        <v>0</v>
      </c>
    </row>
    <row r="1543" spans="1:20" ht="22.2" hidden="1" customHeight="1">
      <c r="A1543" s="1448">
        <f>COUNTIF($C$12:C1543,"x")</f>
        <v>89</v>
      </c>
      <c r="B1543" s="1451" t="s">
        <v>696</v>
      </c>
      <c r="C1543" s="970" t="str">
        <f t="shared" ref="C1543:C1606" si="287">IF(OR(P1543&lt;&gt;0,H1543&lt;&gt;0),"x"," ")</f>
        <v xml:space="preserve"> </v>
      </c>
      <c r="D1543" s="1415">
        <f>D1542</f>
        <v>0</v>
      </c>
      <c r="E1543" s="980"/>
      <c r="F1543" s="992" t="str">
        <f>VLOOKUP($B1543,DG!A:D,DG!$C$2,)</f>
        <v xml:space="preserve">Sứ đứng 24KV </v>
      </c>
      <c r="G1543" s="980" t="str">
        <f>VLOOKUP($B1543,DG!A:D,DG!$D$2,)</f>
        <v>cái</v>
      </c>
      <c r="H1543" s="1693">
        <f t="shared" si="282"/>
        <v>0</v>
      </c>
      <c r="I1543" s="1693"/>
      <c r="J1543" s="1693">
        <f t="shared" si="283"/>
        <v>0</v>
      </c>
      <c r="K1543" s="1693"/>
      <c r="L1543" s="1693"/>
      <c r="M1543" s="1693"/>
      <c r="N1543" s="1693"/>
      <c r="O1543" s="1693"/>
      <c r="P1543" s="1693">
        <f t="shared" si="284"/>
        <v>0</v>
      </c>
      <c r="Q1543" s="989"/>
      <c r="R1543" s="989"/>
      <c r="S1543" s="989"/>
      <c r="T1543" s="1862">
        <f t="shared" si="286"/>
        <v>0</v>
      </c>
    </row>
    <row r="1544" spans="1:20" ht="22.2" hidden="1" customHeight="1">
      <c r="A1544" s="1448">
        <f>COUNTIF($C$12:C1544,"x")</f>
        <v>89</v>
      </c>
      <c r="B1544" s="1451" t="s">
        <v>1265</v>
      </c>
      <c r="C1544" s="970" t="str">
        <f t="shared" si="287"/>
        <v xml:space="preserve"> </v>
      </c>
      <c r="D1544" s="1415">
        <f>D1542</f>
        <v>0</v>
      </c>
      <c r="E1544" s="980"/>
      <c r="F1544" s="992" t="str">
        <f>VLOOKUP($B1544,DG!A:D,DG!$C$2,)</f>
        <v>Chân sứ đứng D20</v>
      </c>
      <c r="G1544" s="980" t="str">
        <f>VLOOKUP($B1544,DG!A:D,DG!$D$2,)</f>
        <v>cái</v>
      </c>
      <c r="H1544" s="1693">
        <f t="shared" ref="H1544:H1575" si="288">$D1544</f>
        <v>0</v>
      </c>
      <c r="I1544" s="1693"/>
      <c r="J1544" s="1693">
        <f t="shared" ref="J1544:J1575" si="289">D1544</f>
        <v>0</v>
      </c>
      <c r="K1544" s="1693"/>
      <c r="L1544" s="1693"/>
      <c r="M1544" s="1693"/>
      <c r="N1544" s="1693"/>
      <c r="O1544" s="1693"/>
      <c r="P1544" s="1693">
        <f t="shared" si="284"/>
        <v>0</v>
      </c>
      <c r="Q1544" s="989"/>
      <c r="R1544" s="989"/>
      <c r="S1544" s="989"/>
      <c r="T1544" s="1862">
        <f t="shared" si="286"/>
        <v>0</v>
      </c>
    </row>
    <row r="1545" spans="1:20" ht="22.2" hidden="1" customHeight="1">
      <c r="A1545" s="1448">
        <f>COUNTIF($C$12:C1545,"x")</f>
        <v>89</v>
      </c>
      <c r="B1545" s="1472" t="s">
        <v>2506</v>
      </c>
      <c r="C1545" s="970" t="str">
        <f t="shared" si="287"/>
        <v xml:space="preserve"> </v>
      </c>
      <c r="D1545" s="1415">
        <f>pp_NC!DF184</f>
        <v>0</v>
      </c>
      <c r="E1545" s="980"/>
      <c r="F1545" s="998" t="s">
        <v>2507</v>
      </c>
      <c r="G1545" s="999" t="s">
        <v>2439</v>
      </c>
      <c r="H1545" s="1693">
        <f t="shared" si="288"/>
        <v>0</v>
      </c>
      <c r="I1545" s="1693"/>
      <c r="J1545" s="1693">
        <f t="shared" si="289"/>
        <v>0</v>
      </c>
      <c r="K1545" s="1693"/>
      <c r="L1545" s="1693"/>
      <c r="M1545" s="1693"/>
      <c r="N1545" s="1693"/>
      <c r="O1545" s="1693"/>
      <c r="P1545" s="1693">
        <f t="shared" si="284"/>
        <v>0</v>
      </c>
      <c r="Q1545" s="989"/>
      <c r="R1545" s="989"/>
      <c r="S1545" s="989"/>
      <c r="T1545" s="1862">
        <f t="shared" si="286"/>
        <v>0</v>
      </c>
    </row>
    <row r="1546" spans="1:20" ht="22.2" hidden="1" customHeight="1">
      <c r="A1546" s="1448">
        <f>COUNTIF($C$12:C1546,"x")</f>
        <v>89</v>
      </c>
      <c r="B1546" s="1455" t="s">
        <v>696</v>
      </c>
      <c r="C1546" s="970" t="str">
        <f t="shared" si="287"/>
        <v xml:space="preserve"> </v>
      </c>
      <c r="D1546" s="1415">
        <f>D1545</f>
        <v>0</v>
      </c>
      <c r="E1546" s="980"/>
      <c r="F1546" s="992" t="str">
        <f>VLOOKUP($B1546,DG!A:D,DG!$C$2,)</f>
        <v xml:space="preserve">Sứ đứng 24KV </v>
      </c>
      <c r="G1546" s="980" t="str">
        <f>VLOOKUP($B1546,DG!A:D,DG!$D$2,)</f>
        <v>cái</v>
      </c>
      <c r="H1546" s="1693">
        <f t="shared" si="288"/>
        <v>0</v>
      </c>
      <c r="I1546" s="1693"/>
      <c r="J1546" s="1693">
        <f t="shared" si="289"/>
        <v>0</v>
      </c>
      <c r="K1546" s="1693"/>
      <c r="L1546" s="1693"/>
      <c r="M1546" s="1693"/>
      <c r="N1546" s="1693"/>
      <c r="O1546" s="1693"/>
      <c r="P1546" s="1693">
        <f t="shared" si="284"/>
        <v>0</v>
      </c>
      <c r="Q1546" s="989"/>
      <c r="R1546" s="989"/>
      <c r="S1546" s="989"/>
      <c r="T1546" s="1862">
        <f t="shared" si="286"/>
        <v>0</v>
      </c>
    </row>
    <row r="1547" spans="1:20" ht="22.2" hidden="1" customHeight="1">
      <c r="A1547" s="1448">
        <f>COUNTIF($C$12:C1547,"x")</f>
        <v>89</v>
      </c>
      <c r="B1547" s="1455" t="s">
        <v>1266</v>
      </c>
      <c r="C1547" s="970" t="str">
        <f t="shared" si="287"/>
        <v xml:space="preserve"> </v>
      </c>
      <c r="D1547" s="1415">
        <f>D1545</f>
        <v>0</v>
      </c>
      <c r="E1547" s="980"/>
      <c r="F1547" s="992" t="str">
        <f>VLOOKUP($B1547,DG!A:D,DG!$C$2,)</f>
        <v>Chân sứ đỉnh thẳng dài 870mm</v>
      </c>
      <c r="G1547" s="980" t="str">
        <f>VLOOKUP($B1547,DG!A:D,DG!$D$2,)</f>
        <v>cái</v>
      </c>
      <c r="H1547" s="1693">
        <f t="shared" si="288"/>
        <v>0</v>
      </c>
      <c r="I1547" s="1693"/>
      <c r="J1547" s="1693">
        <f t="shared" si="289"/>
        <v>0</v>
      </c>
      <c r="K1547" s="1693"/>
      <c r="L1547" s="1693"/>
      <c r="M1547" s="1693"/>
      <c r="N1547" s="1693"/>
      <c r="O1547" s="1693"/>
      <c r="P1547" s="1693">
        <f t="shared" si="284"/>
        <v>0</v>
      </c>
      <c r="Q1547" s="989"/>
      <c r="R1547" s="989"/>
      <c r="S1547" s="989"/>
      <c r="T1547" s="1862">
        <f t="shared" si="286"/>
        <v>0</v>
      </c>
    </row>
    <row r="1548" spans="1:20" ht="22.2" hidden="1" customHeight="1">
      <c r="A1548" s="1448">
        <f>COUNTIF($C$12:C1548,"x")</f>
        <v>89</v>
      </c>
      <c r="B1548" s="1455" t="s">
        <v>1610</v>
      </c>
      <c r="C1548" s="970" t="str">
        <f t="shared" si="287"/>
        <v xml:space="preserve"> </v>
      </c>
      <c r="D1548" s="1415">
        <f>D1545*2</f>
        <v>0</v>
      </c>
      <c r="E1548" s="980"/>
      <c r="F1548" s="992" t="str">
        <f>VLOOKUP($B1548,DG!A:D,DG!$C$2,)</f>
        <v>Boulon 16x300+ 2 long đền vuông D18-50x50x3/Zn</v>
      </c>
      <c r="G1548" s="980" t="str">
        <f>VLOOKUP($B1548,DG!A:D,DG!$D$2,)</f>
        <v>bộ</v>
      </c>
      <c r="H1548" s="1693">
        <f t="shared" si="288"/>
        <v>0</v>
      </c>
      <c r="I1548" s="1693"/>
      <c r="J1548" s="1693">
        <f t="shared" si="289"/>
        <v>0</v>
      </c>
      <c r="K1548" s="1693"/>
      <c r="L1548" s="1693"/>
      <c r="M1548" s="1693"/>
      <c r="N1548" s="1693"/>
      <c r="O1548" s="1693"/>
      <c r="P1548" s="1693">
        <f t="shared" si="284"/>
        <v>0</v>
      </c>
      <c r="Q1548" s="989"/>
      <c r="R1548" s="989"/>
      <c r="S1548" s="989"/>
      <c r="T1548" s="1862">
        <f t="shared" si="286"/>
        <v>0</v>
      </c>
    </row>
    <row r="1549" spans="1:20" ht="22.2" hidden="1" customHeight="1">
      <c r="A1549" s="1448">
        <f>COUNTIF($C$12:C1549,"x")</f>
        <v>89</v>
      </c>
      <c r="B1549" s="1474" t="s">
        <v>2508</v>
      </c>
      <c r="C1549" s="970" t="str">
        <f t="shared" si="287"/>
        <v xml:space="preserve"> </v>
      </c>
      <c r="D1549" s="1418">
        <f>pp_NC!DG184</f>
        <v>0</v>
      </c>
      <c r="E1549" s="984"/>
      <c r="F1549" s="998" t="s">
        <v>2509</v>
      </c>
      <c r="G1549" s="1216" t="s">
        <v>2439</v>
      </c>
      <c r="H1549" s="1693">
        <f t="shared" si="288"/>
        <v>0</v>
      </c>
      <c r="I1549" s="1694"/>
      <c r="J1549" s="1693">
        <f t="shared" si="289"/>
        <v>0</v>
      </c>
      <c r="K1549" s="1694"/>
      <c r="L1549" s="1694"/>
      <c r="M1549" s="1694"/>
      <c r="N1549" s="1694"/>
      <c r="O1549" s="1694"/>
      <c r="P1549" s="1693">
        <f t="shared" si="284"/>
        <v>0</v>
      </c>
      <c r="Q1549" s="989"/>
      <c r="R1549" s="989"/>
      <c r="S1549" s="989"/>
      <c r="T1549" s="1862">
        <f t="shared" si="286"/>
        <v>0</v>
      </c>
    </row>
    <row r="1550" spans="1:20" ht="22.2" hidden="1" customHeight="1">
      <c r="A1550" s="1448">
        <f>COUNTIF($C$12:C1550,"x")</f>
        <v>89</v>
      </c>
      <c r="B1550" s="1455" t="s">
        <v>696</v>
      </c>
      <c r="C1550" s="970" t="str">
        <f t="shared" si="287"/>
        <v xml:space="preserve"> </v>
      </c>
      <c r="D1550" s="1418">
        <f>D1549*2</f>
        <v>0</v>
      </c>
      <c r="E1550" s="984"/>
      <c r="F1550" s="992" t="str">
        <f>VLOOKUP($B1550,DG!A:D,DG!$C$2,)</f>
        <v xml:space="preserve">Sứ đứng 24KV </v>
      </c>
      <c r="G1550" s="980" t="str">
        <f>VLOOKUP($B1550,DG!A:D,DG!$D$2,)</f>
        <v>cái</v>
      </c>
      <c r="H1550" s="1693">
        <f t="shared" si="288"/>
        <v>0</v>
      </c>
      <c r="I1550" s="1694"/>
      <c r="J1550" s="1693">
        <f t="shared" si="289"/>
        <v>0</v>
      </c>
      <c r="K1550" s="1694"/>
      <c r="L1550" s="1694"/>
      <c r="M1550" s="1694"/>
      <c r="N1550" s="1694"/>
      <c r="O1550" s="1694"/>
      <c r="P1550" s="1693">
        <f t="shared" si="284"/>
        <v>0</v>
      </c>
      <c r="Q1550" s="989"/>
      <c r="R1550" s="989"/>
      <c r="S1550" s="989"/>
      <c r="T1550" s="1862">
        <f t="shared" si="286"/>
        <v>0</v>
      </c>
    </row>
    <row r="1551" spans="1:20" ht="22.2" hidden="1" customHeight="1">
      <c r="A1551" s="1448">
        <f>COUNTIF($C$12:C1551,"x")</f>
        <v>89</v>
      </c>
      <c r="B1551" s="1455" t="s">
        <v>590</v>
      </c>
      <c r="C1551" s="970" t="str">
        <f t="shared" si="287"/>
        <v xml:space="preserve"> </v>
      </c>
      <c r="D1551" s="1418">
        <f>D1549*2</f>
        <v>0</v>
      </c>
      <c r="E1551" s="984"/>
      <c r="F1551" s="992" t="str">
        <f>VLOOKUP($B1551,DG!A:D,DG!$C$2,)</f>
        <v>Chân sứ đỉnh đỡ góc dài 870mm</v>
      </c>
      <c r="G1551" s="980" t="str">
        <f>VLOOKUP($B1551,DG!A:D,DG!$D$2,)</f>
        <v>cái</v>
      </c>
      <c r="H1551" s="1693">
        <f t="shared" si="288"/>
        <v>0</v>
      </c>
      <c r="I1551" s="1694"/>
      <c r="J1551" s="1693">
        <f t="shared" si="289"/>
        <v>0</v>
      </c>
      <c r="K1551" s="1694"/>
      <c r="L1551" s="1694"/>
      <c r="M1551" s="1694"/>
      <c r="N1551" s="1694"/>
      <c r="O1551" s="1694"/>
      <c r="P1551" s="1693">
        <f t="shared" si="284"/>
        <v>0</v>
      </c>
      <c r="Q1551" s="989"/>
      <c r="R1551" s="989"/>
      <c r="S1551" s="989"/>
      <c r="T1551" s="1862">
        <f t="shared" si="286"/>
        <v>0</v>
      </c>
    </row>
    <row r="1552" spans="1:20" ht="22.2" hidden="1" customHeight="1">
      <c r="A1552" s="1448">
        <f>COUNTIF($C$12:C1552,"x")</f>
        <v>89</v>
      </c>
      <c r="B1552" s="1455" t="s">
        <v>1610</v>
      </c>
      <c r="C1552" s="970" t="str">
        <f t="shared" si="287"/>
        <v xml:space="preserve"> </v>
      </c>
      <c r="D1552" s="1418">
        <f>D1549*2</f>
        <v>0</v>
      </c>
      <c r="E1552" s="984"/>
      <c r="F1552" s="992" t="str">
        <f>VLOOKUP($B1552,DG!A:D,DG!$C$2,)</f>
        <v>Boulon 16x300+ 2 long đền vuông D18-50x50x3/Zn</v>
      </c>
      <c r="G1552" s="980" t="str">
        <f>VLOOKUP($B1552,DG!A:D,DG!$D$2,)</f>
        <v>bộ</v>
      </c>
      <c r="H1552" s="1693">
        <f t="shared" si="288"/>
        <v>0</v>
      </c>
      <c r="I1552" s="1694"/>
      <c r="J1552" s="1693">
        <f t="shared" si="289"/>
        <v>0</v>
      </c>
      <c r="K1552" s="1694"/>
      <c r="L1552" s="1694"/>
      <c r="M1552" s="1694"/>
      <c r="N1552" s="1694"/>
      <c r="O1552" s="1694"/>
      <c r="P1552" s="1693">
        <f t="shared" si="284"/>
        <v>0</v>
      </c>
      <c r="Q1552" s="989"/>
      <c r="R1552" s="989"/>
      <c r="S1552" s="989"/>
      <c r="T1552" s="1862">
        <f t="shared" si="286"/>
        <v>0</v>
      </c>
    </row>
    <row r="1553" spans="1:20" ht="22.2" hidden="1" customHeight="1">
      <c r="A1553" s="1448">
        <f>COUNTIF($C$12:C1553,"x")</f>
        <v>89</v>
      </c>
      <c r="B1553" s="1472" t="s">
        <v>2510</v>
      </c>
      <c r="C1553" s="970" t="str">
        <f t="shared" si="287"/>
        <v xml:space="preserve"> </v>
      </c>
      <c r="D1553" s="1415"/>
      <c r="E1553" s="980"/>
      <c r="F1553" s="998" t="s">
        <v>2511</v>
      </c>
      <c r="G1553" s="999" t="s">
        <v>2512</v>
      </c>
      <c r="H1553" s="1693">
        <f t="shared" si="288"/>
        <v>0</v>
      </c>
      <c r="I1553" s="1693"/>
      <c r="J1553" s="1693">
        <f t="shared" si="289"/>
        <v>0</v>
      </c>
      <c r="K1553" s="1693"/>
      <c r="L1553" s="1693"/>
      <c r="M1553" s="1693"/>
      <c r="N1553" s="1693"/>
      <c r="O1553" s="1693"/>
      <c r="P1553" s="1693">
        <f t="shared" si="284"/>
        <v>0</v>
      </c>
      <c r="Q1553" s="989"/>
      <c r="R1553" s="989"/>
      <c r="S1553" s="989"/>
      <c r="T1553" s="1862">
        <f t="shared" si="286"/>
        <v>0</v>
      </c>
    </row>
    <row r="1554" spans="1:20" ht="22.2" hidden="1" customHeight="1">
      <c r="A1554" s="1448">
        <f>COUNTIF($C$12:C1554,"x")</f>
        <v>89</v>
      </c>
      <c r="B1554" s="1455" t="s">
        <v>1267</v>
      </c>
      <c r="C1554" s="970" t="str">
        <f t="shared" si="287"/>
        <v xml:space="preserve"> </v>
      </c>
      <c r="D1554" s="1415">
        <f>D1553*2</f>
        <v>0</v>
      </c>
      <c r="E1554" s="980"/>
      <c r="F1554" s="992" t="str">
        <f>VLOOKUP($B1554,DG!A:D,DG!$C$2,)</f>
        <v>Sứ treo loại 70kN</v>
      </c>
      <c r="G1554" s="980" t="str">
        <f>VLOOKUP($B1554,DG!A:D,DG!$D$2,)</f>
        <v>bát</v>
      </c>
      <c r="H1554" s="1693">
        <f t="shared" si="288"/>
        <v>0</v>
      </c>
      <c r="I1554" s="1693"/>
      <c r="J1554" s="1693">
        <f t="shared" si="289"/>
        <v>0</v>
      </c>
      <c r="K1554" s="1693"/>
      <c r="L1554" s="1693"/>
      <c r="M1554" s="1693"/>
      <c r="N1554" s="1693"/>
      <c r="O1554" s="1693"/>
      <c r="P1554" s="1693">
        <f t="shared" si="284"/>
        <v>0</v>
      </c>
      <c r="Q1554" s="989"/>
      <c r="R1554" s="989"/>
      <c r="S1554" s="989"/>
      <c r="T1554" s="1862">
        <f t="shared" si="286"/>
        <v>0</v>
      </c>
    </row>
    <row r="1555" spans="1:20" ht="22.2" hidden="1" customHeight="1">
      <c r="A1555" s="1448">
        <f>COUNTIF($C$12:C1555,"x")</f>
        <v>89</v>
      </c>
      <c r="B1555" s="1455" t="s">
        <v>1486</v>
      </c>
      <c r="C1555" s="970" t="str">
        <f t="shared" si="287"/>
        <v xml:space="preserve"> </v>
      </c>
      <c r="D1555" s="1415">
        <f>D1553*2</f>
        <v>0</v>
      </c>
      <c r="E1555" s="980"/>
      <c r="F1555" s="992" t="str">
        <f>VLOOKUP($B1555,DG!A:D,DG!$C$2,)</f>
        <v xml:space="preserve">Móc treo chữ U </v>
      </c>
      <c r="G1555" s="980" t="str">
        <f>VLOOKUP($B1555,DG!A:D,DG!$D$2,)</f>
        <v>cái</v>
      </c>
      <c r="H1555" s="1693">
        <f t="shared" si="288"/>
        <v>0</v>
      </c>
      <c r="I1555" s="1693"/>
      <c r="J1555" s="1693">
        <f t="shared" si="289"/>
        <v>0</v>
      </c>
      <c r="K1555" s="1693"/>
      <c r="L1555" s="1693"/>
      <c r="M1555" s="1693"/>
      <c r="N1555" s="1693"/>
      <c r="O1555" s="1693"/>
      <c r="P1555" s="1693">
        <f t="shared" si="284"/>
        <v>0</v>
      </c>
      <c r="Q1555" s="989"/>
      <c r="R1555" s="989"/>
      <c r="S1555" s="989"/>
      <c r="T1555" s="1862">
        <f t="shared" si="286"/>
        <v>0</v>
      </c>
    </row>
    <row r="1556" spans="1:20" ht="22.2" hidden="1" customHeight="1">
      <c r="A1556" s="1448">
        <f>COUNTIF($C$12:C1556,"x")</f>
        <v>89</v>
      </c>
      <c r="B1556" s="1455" t="s">
        <v>1569</v>
      </c>
      <c r="C1556" s="970" t="str">
        <f t="shared" si="287"/>
        <v xml:space="preserve"> </v>
      </c>
      <c r="D1556" s="1415">
        <f>D1553</f>
        <v>0</v>
      </c>
      <c r="E1556" s="980"/>
      <c r="F1556" s="992" t="str">
        <f>VLOOKUP($B1556,DG!A:D,DG!$C$2,)</f>
        <v>Vòng treo đầu tròn</v>
      </c>
      <c r="G1556" s="980" t="str">
        <f>VLOOKUP($B1556,DG!A:D,DG!$D$2,)</f>
        <v>cái</v>
      </c>
      <c r="H1556" s="1693">
        <f t="shared" si="288"/>
        <v>0</v>
      </c>
      <c r="I1556" s="1693"/>
      <c r="J1556" s="1693">
        <f t="shared" si="289"/>
        <v>0</v>
      </c>
      <c r="K1556" s="1693"/>
      <c r="L1556" s="1693"/>
      <c r="M1556" s="1693"/>
      <c r="N1556" s="1693"/>
      <c r="O1556" s="1693"/>
      <c r="P1556" s="1693">
        <f t="shared" si="284"/>
        <v>0</v>
      </c>
      <c r="Q1556" s="989"/>
      <c r="R1556" s="989"/>
      <c r="S1556" s="989"/>
      <c r="T1556" s="1862">
        <f t="shared" si="286"/>
        <v>0</v>
      </c>
    </row>
    <row r="1557" spans="1:20" ht="22.2" hidden="1" customHeight="1">
      <c r="A1557" s="1448">
        <f>COUNTIF($C$12:C1557,"x")</f>
        <v>89</v>
      </c>
      <c r="B1557" s="1455" t="s">
        <v>1484</v>
      </c>
      <c r="C1557" s="970" t="str">
        <f t="shared" si="287"/>
        <v xml:space="preserve"> </v>
      </c>
      <c r="D1557" s="1415">
        <f>D1553</f>
        <v>0</v>
      </c>
      <c r="E1557" s="980"/>
      <c r="F1557" s="992" t="str">
        <f>VLOOKUP($B1557,DG!A:D,DG!$C$2,)</f>
        <v>Mắt nối đơn</v>
      </c>
      <c r="G1557" s="980" t="str">
        <f>VLOOKUP($B1557,DG!A:D,DG!$D$2,)</f>
        <v>cái</v>
      </c>
      <c r="H1557" s="1693">
        <f t="shared" si="288"/>
        <v>0</v>
      </c>
      <c r="I1557" s="1693"/>
      <c r="J1557" s="1693">
        <f t="shared" si="289"/>
        <v>0</v>
      </c>
      <c r="K1557" s="1693"/>
      <c r="L1557" s="1693"/>
      <c r="M1557" s="1693"/>
      <c r="N1557" s="1693"/>
      <c r="O1557" s="1693"/>
      <c r="P1557" s="1693">
        <f t="shared" si="284"/>
        <v>0</v>
      </c>
      <c r="Q1557" s="989"/>
      <c r="R1557" s="989"/>
      <c r="S1557" s="989"/>
      <c r="T1557" s="1862">
        <f t="shared" si="286"/>
        <v>0</v>
      </c>
    </row>
    <row r="1558" spans="1:20" ht="22.2" hidden="1" customHeight="1">
      <c r="A1558" s="1448">
        <f>COUNTIF($C$12:C1558,"x")</f>
        <v>89</v>
      </c>
      <c r="B1558" s="1455" t="s">
        <v>1268</v>
      </c>
      <c r="C1558" s="970" t="str">
        <f t="shared" si="287"/>
        <v xml:space="preserve"> </v>
      </c>
      <c r="D1558" s="1415">
        <f>D1553</f>
        <v>0</v>
      </c>
      <c r="E1558" s="980"/>
      <c r="F1558" s="992" t="str">
        <f>VLOOKUP($B1558,DG!A:D,DG!$C$2,)</f>
        <v>Boulon mắt 16x300+ 2 long đền vuông D18-50x50x3/Zn</v>
      </c>
      <c r="G1558" s="980" t="str">
        <f>VLOOKUP($B1558,DG!A:D,DG!$D$2,)</f>
        <v>bộ</v>
      </c>
      <c r="H1558" s="1693">
        <f t="shared" si="288"/>
        <v>0</v>
      </c>
      <c r="I1558" s="1693"/>
      <c r="J1558" s="1693">
        <f t="shared" si="289"/>
        <v>0</v>
      </c>
      <c r="K1558" s="1693"/>
      <c r="L1558" s="1693"/>
      <c r="M1558" s="1693"/>
      <c r="N1558" s="1693"/>
      <c r="O1558" s="1693"/>
      <c r="P1558" s="1693">
        <f t="shared" si="284"/>
        <v>0</v>
      </c>
      <c r="Q1558" s="989"/>
      <c r="R1558" s="989"/>
      <c r="S1558" s="989"/>
      <c r="T1558" s="1862">
        <f t="shared" si="286"/>
        <v>0</v>
      </c>
    </row>
    <row r="1559" spans="1:20" ht="22.2" hidden="1" customHeight="1">
      <c r="A1559" s="1448">
        <f>COUNTIF($C$12:C1559,"x")</f>
        <v>89</v>
      </c>
      <c r="B1559" s="1472" t="s">
        <v>2513</v>
      </c>
      <c r="C1559" s="970" t="str">
        <f t="shared" si="287"/>
        <v xml:space="preserve"> </v>
      </c>
      <c r="D1559" s="1415"/>
      <c r="E1559" s="980"/>
      <c r="F1559" s="1287" t="s">
        <v>2514</v>
      </c>
      <c r="G1559" s="999" t="s">
        <v>2512</v>
      </c>
      <c r="H1559" s="1693">
        <f t="shared" si="288"/>
        <v>0</v>
      </c>
      <c r="I1559" s="1693"/>
      <c r="J1559" s="1693">
        <f t="shared" si="289"/>
        <v>0</v>
      </c>
      <c r="K1559" s="1693"/>
      <c r="L1559" s="1693"/>
      <c r="M1559" s="1693"/>
      <c r="N1559" s="1693"/>
      <c r="O1559" s="1693"/>
      <c r="P1559" s="1693">
        <f t="shared" si="284"/>
        <v>0</v>
      </c>
      <c r="Q1559" s="989"/>
      <c r="R1559" s="989"/>
      <c r="S1559" s="989"/>
      <c r="T1559" s="1862">
        <f t="shared" si="286"/>
        <v>0</v>
      </c>
    </row>
    <row r="1560" spans="1:20" ht="22.2" hidden="1" customHeight="1">
      <c r="A1560" s="1448">
        <f>COUNTIF($C$12:C1560,"x")</f>
        <v>89</v>
      </c>
      <c r="B1560" s="1455" t="s">
        <v>112</v>
      </c>
      <c r="C1560" s="970" t="str">
        <f t="shared" si="287"/>
        <v xml:space="preserve"> </v>
      </c>
      <c r="D1560" s="1415">
        <f>D1559*0</f>
        <v>0</v>
      </c>
      <c r="E1560" s="980"/>
      <c r="F1560" s="992" t="str">
        <f>VLOOKUP($B1560,DG!A:D,DG!$C$2,)</f>
        <v>Sứ treo loại 70kN</v>
      </c>
      <c r="G1560" s="980" t="str">
        <f>VLOOKUP($B1560,DG!A:D,DG!$D$2,)</f>
        <v>bát</v>
      </c>
      <c r="H1560" s="1693">
        <f t="shared" si="288"/>
        <v>0</v>
      </c>
      <c r="I1560" s="1693"/>
      <c r="J1560" s="1693">
        <f t="shared" si="289"/>
        <v>0</v>
      </c>
      <c r="K1560" s="1693"/>
      <c r="L1560" s="1693"/>
      <c r="M1560" s="1693"/>
      <c r="N1560" s="1693"/>
      <c r="O1560" s="1693"/>
      <c r="P1560" s="1693">
        <f t="shared" si="284"/>
        <v>0</v>
      </c>
      <c r="Q1560" s="989"/>
      <c r="R1560" s="989"/>
      <c r="S1560" s="989"/>
      <c r="T1560" s="1862">
        <f t="shared" si="286"/>
        <v>0</v>
      </c>
    </row>
    <row r="1561" spans="1:20" ht="22.2" hidden="1" customHeight="1">
      <c r="A1561" s="1448">
        <f>COUNTIF($C$12:C1561,"x")</f>
        <v>89</v>
      </c>
      <c r="B1561" s="1455" t="s">
        <v>1486</v>
      </c>
      <c r="C1561" s="970" t="str">
        <f t="shared" si="287"/>
        <v xml:space="preserve"> </v>
      </c>
      <c r="D1561" s="1415">
        <f>D1559*2</f>
        <v>0</v>
      </c>
      <c r="E1561" s="980"/>
      <c r="F1561" s="992" t="str">
        <f>VLOOKUP($B1561,DG!A:D,DG!$C$2,)</f>
        <v xml:space="preserve">Móc treo chữ U </v>
      </c>
      <c r="G1561" s="980" t="str">
        <f>VLOOKUP($B1561,DG!A:D,DG!$D$2,)</f>
        <v>cái</v>
      </c>
      <c r="H1561" s="1693">
        <f t="shared" si="288"/>
        <v>0</v>
      </c>
      <c r="I1561" s="1693"/>
      <c r="J1561" s="1693">
        <f t="shared" si="289"/>
        <v>0</v>
      </c>
      <c r="K1561" s="1693"/>
      <c r="L1561" s="1693"/>
      <c r="M1561" s="1693"/>
      <c r="N1561" s="1693"/>
      <c r="O1561" s="1693"/>
      <c r="P1561" s="1693">
        <f t="shared" si="284"/>
        <v>0</v>
      </c>
      <c r="Q1561" s="989"/>
      <c r="R1561" s="989"/>
      <c r="S1561" s="989"/>
      <c r="T1561" s="1862">
        <f t="shared" si="286"/>
        <v>0</v>
      </c>
    </row>
    <row r="1562" spans="1:20" ht="22.2" hidden="1" customHeight="1">
      <c r="A1562" s="1448">
        <f>COUNTIF($C$12:C1562,"x")</f>
        <v>89</v>
      </c>
      <c r="B1562" s="1455" t="s">
        <v>1569</v>
      </c>
      <c r="C1562" s="970" t="str">
        <f t="shared" si="287"/>
        <v xml:space="preserve"> </v>
      </c>
      <c r="D1562" s="1415">
        <f>D1559</f>
        <v>0</v>
      </c>
      <c r="E1562" s="980"/>
      <c r="F1562" s="992" t="str">
        <f>VLOOKUP($B1562,DG!A:D,DG!$C$2,)</f>
        <v>Vòng treo đầu tròn</v>
      </c>
      <c r="G1562" s="980" t="str">
        <f>VLOOKUP($B1562,DG!A:D,DG!$D$2,)</f>
        <v>cái</v>
      </c>
      <c r="H1562" s="1693">
        <f t="shared" si="288"/>
        <v>0</v>
      </c>
      <c r="I1562" s="1693"/>
      <c r="J1562" s="1693">
        <f t="shared" si="289"/>
        <v>0</v>
      </c>
      <c r="K1562" s="1693"/>
      <c r="L1562" s="1693"/>
      <c r="M1562" s="1693"/>
      <c r="N1562" s="1693"/>
      <c r="O1562" s="1693"/>
      <c r="P1562" s="1693">
        <f t="shared" si="284"/>
        <v>0</v>
      </c>
      <c r="Q1562" s="989"/>
      <c r="R1562" s="989"/>
      <c r="S1562" s="989"/>
      <c r="T1562" s="1862">
        <f t="shared" si="286"/>
        <v>0</v>
      </c>
    </row>
    <row r="1563" spans="1:20" ht="22.2" hidden="1" customHeight="1">
      <c r="A1563" s="1448">
        <f>COUNTIF($C$12:C1563,"x")</f>
        <v>89</v>
      </c>
      <c r="B1563" s="1455" t="s">
        <v>1484</v>
      </c>
      <c r="C1563" s="970" t="str">
        <f t="shared" si="287"/>
        <v xml:space="preserve"> </v>
      </c>
      <c r="D1563" s="1415">
        <f>D1559</f>
        <v>0</v>
      </c>
      <c r="E1563" s="980"/>
      <c r="F1563" s="992" t="str">
        <f>VLOOKUP($B1563,DG!A:D,DG!$C$2,)</f>
        <v>Mắt nối đơn</v>
      </c>
      <c r="G1563" s="980" t="str">
        <f>VLOOKUP($B1563,DG!A:D,DG!$D$2,)</f>
        <v>cái</v>
      </c>
      <c r="H1563" s="1693">
        <f t="shared" si="288"/>
        <v>0</v>
      </c>
      <c r="I1563" s="1693"/>
      <c r="J1563" s="1693">
        <f t="shared" si="289"/>
        <v>0</v>
      </c>
      <c r="K1563" s="1693"/>
      <c r="L1563" s="1693"/>
      <c r="M1563" s="1693"/>
      <c r="N1563" s="1693"/>
      <c r="O1563" s="1693"/>
      <c r="P1563" s="1693">
        <f t="shared" si="284"/>
        <v>0</v>
      </c>
      <c r="Q1563" s="989"/>
      <c r="R1563" s="989"/>
      <c r="S1563" s="989"/>
      <c r="T1563" s="1862">
        <f t="shared" si="286"/>
        <v>0</v>
      </c>
    </row>
    <row r="1564" spans="1:20" ht="22.2" hidden="1" customHeight="1">
      <c r="A1564" s="1448">
        <f>COUNTIF($C$12:C1564,"x")</f>
        <v>89</v>
      </c>
      <c r="B1564" s="1458" t="s">
        <v>2515</v>
      </c>
      <c r="C1564" s="970" t="str">
        <f t="shared" si="287"/>
        <v xml:space="preserve"> </v>
      </c>
      <c r="D1564" s="1415">
        <f>pp_NC!DJ95</f>
        <v>0</v>
      </c>
      <c r="E1564" s="980"/>
      <c r="F1564" s="998" t="s">
        <v>2516</v>
      </c>
      <c r="G1564" s="999" t="s">
        <v>2512</v>
      </c>
      <c r="H1564" s="1693">
        <f t="shared" si="288"/>
        <v>0</v>
      </c>
      <c r="I1564" s="1693"/>
      <c r="J1564" s="1693">
        <f t="shared" si="289"/>
        <v>0</v>
      </c>
      <c r="K1564" s="1693"/>
      <c r="L1564" s="1693"/>
      <c r="M1564" s="1693"/>
      <c r="N1564" s="1693"/>
      <c r="O1564" s="1693"/>
      <c r="P1564" s="1693">
        <f t="shared" si="284"/>
        <v>0</v>
      </c>
      <c r="Q1564" s="989"/>
      <c r="R1564" s="989"/>
      <c r="S1564" s="989"/>
      <c r="T1564" s="1862">
        <f t="shared" si="286"/>
        <v>0</v>
      </c>
    </row>
    <row r="1565" spans="1:20" ht="22.2" hidden="1" customHeight="1">
      <c r="A1565" s="1448">
        <f>COUNTIF($C$12:C1565,"x")</f>
        <v>89</v>
      </c>
      <c r="B1565" s="1451" t="s">
        <v>1506</v>
      </c>
      <c r="C1565" s="970" t="str">
        <f t="shared" si="287"/>
        <v xml:space="preserve"> </v>
      </c>
      <c r="D1565" s="1415">
        <f>D1564</f>
        <v>0</v>
      </c>
      <c r="E1565" s="980"/>
      <c r="F1565" s="992" t="str">
        <f>VLOOKUP($B1565,DG!A:D,DG!$C$2,)</f>
        <v>Sứ treo polymer</v>
      </c>
      <c r="G1565" s="980" t="str">
        <f>VLOOKUP($B1565,DG!A:D,DG!$D$2,)</f>
        <v>chuỗi</v>
      </c>
      <c r="H1565" s="1693">
        <f t="shared" si="288"/>
        <v>0</v>
      </c>
      <c r="I1565" s="1693"/>
      <c r="J1565" s="1693">
        <f t="shared" si="289"/>
        <v>0</v>
      </c>
      <c r="K1565" s="1693"/>
      <c r="L1565" s="1693"/>
      <c r="M1565" s="1693"/>
      <c r="N1565" s="1693"/>
      <c r="O1565" s="1693"/>
      <c r="P1565" s="1693">
        <f t="shared" si="284"/>
        <v>0</v>
      </c>
      <c r="Q1565" s="989"/>
      <c r="R1565" s="989"/>
      <c r="S1565" s="989"/>
      <c r="T1565" s="1862">
        <f t="shared" si="286"/>
        <v>0</v>
      </c>
    </row>
    <row r="1566" spans="1:20" ht="22.2" hidden="1" customHeight="1">
      <c r="A1566" s="1448">
        <f>COUNTIF($C$12:C1566,"x")</f>
        <v>89</v>
      </c>
      <c r="B1566" s="1451" t="s">
        <v>1486</v>
      </c>
      <c r="C1566" s="970" t="str">
        <f t="shared" si="287"/>
        <v xml:space="preserve"> </v>
      </c>
      <c r="D1566" s="1415">
        <f>D1564*2</f>
        <v>0</v>
      </c>
      <c r="E1566" s="980"/>
      <c r="F1566" s="992" t="str">
        <f>VLOOKUP($B1566,DG!A:D,DG!$C$2,)</f>
        <v xml:space="preserve">Móc treo chữ U </v>
      </c>
      <c r="G1566" s="980" t="str">
        <f>VLOOKUP($B1566,DG!A:D,DG!$D$2,)</f>
        <v>cái</v>
      </c>
      <c r="H1566" s="1693">
        <f t="shared" si="288"/>
        <v>0</v>
      </c>
      <c r="I1566" s="1693"/>
      <c r="J1566" s="1693">
        <f t="shared" si="289"/>
        <v>0</v>
      </c>
      <c r="K1566" s="1693"/>
      <c r="L1566" s="1693"/>
      <c r="M1566" s="1693"/>
      <c r="N1566" s="1693"/>
      <c r="O1566" s="1693"/>
      <c r="P1566" s="1693">
        <f t="shared" si="284"/>
        <v>0</v>
      </c>
      <c r="Q1566" s="989"/>
      <c r="R1566" s="989"/>
      <c r="S1566" s="989"/>
      <c r="T1566" s="1862">
        <f t="shared" si="286"/>
        <v>0</v>
      </c>
    </row>
    <row r="1567" spans="1:20" ht="22.2" hidden="1" customHeight="1">
      <c r="A1567" s="1448">
        <f>COUNTIF($C$12:C1567,"x")</f>
        <v>89</v>
      </c>
      <c r="B1567" s="1451" t="s">
        <v>904</v>
      </c>
      <c r="C1567" s="970" t="str">
        <f t="shared" si="287"/>
        <v xml:space="preserve"> </v>
      </c>
      <c r="D1567" s="1415">
        <f>D1564</f>
        <v>0</v>
      </c>
      <c r="E1567" s="980"/>
      <c r="F1567" s="992" t="str">
        <f>VLOOKUP($B1567,DG!A:D,DG!$C$2,)</f>
        <v>Khóa néo dây cỡ dây 50</v>
      </c>
      <c r="G1567" s="980" t="str">
        <f>VLOOKUP($B1567,DG!A:D,DG!$D$2,)</f>
        <v>cái</v>
      </c>
      <c r="H1567" s="1693">
        <f t="shared" si="288"/>
        <v>0</v>
      </c>
      <c r="I1567" s="1693"/>
      <c r="J1567" s="1693">
        <f t="shared" si="289"/>
        <v>0</v>
      </c>
      <c r="K1567" s="1693"/>
      <c r="L1567" s="1693"/>
      <c r="M1567" s="1693"/>
      <c r="N1567" s="1693"/>
      <c r="O1567" s="1693"/>
      <c r="P1567" s="1693">
        <f t="shared" si="284"/>
        <v>0</v>
      </c>
      <c r="Q1567" s="989"/>
      <c r="R1567" s="989"/>
      <c r="S1567" s="989"/>
      <c r="T1567" s="1862">
        <f t="shared" si="286"/>
        <v>0</v>
      </c>
    </row>
    <row r="1568" spans="1:20" ht="22.2" hidden="1" customHeight="1">
      <c r="A1568" s="1448">
        <f>COUNTIF($C$12:C1568,"x")</f>
        <v>89</v>
      </c>
      <c r="B1568" s="1455" t="s">
        <v>1569</v>
      </c>
      <c r="C1568" s="970" t="str">
        <f t="shared" si="287"/>
        <v xml:space="preserve"> </v>
      </c>
      <c r="D1568" s="1415"/>
      <c r="E1568" s="980"/>
      <c r="F1568" s="992" t="str">
        <f>VLOOKUP($B1568,DG!A:D,DG!$C$2,)</f>
        <v>Vòng treo đầu tròn</v>
      </c>
      <c r="G1568" s="980" t="str">
        <f>VLOOKUP($B1568,DG!A:D,DG!$D$2,)</f>
        <v>cái</v>
      </c>
      <c r="H1568" s="1693">
        <f t="shared" si="288"/>
        <v>0</v>
      </c>
      <c r="I1568" s="1693"/>
      <c r="J1568" s="1693">
        <f t="shared" si="289"/>
        <v>0</v>
      </c>
      <c r="K1568" s="1693"/>
      <c r="L1568" s="1693"/>
      <c r="M1568" s="1693"/>
      <c r="N1568" s="1693"/>
      <c r="O1568" s="1693"/>
      <c r="P1568" s="1693">
        <f t="shared" si="284"/>
        <v>0</v>
      </c>
      <c r="Q1568" s="989"/>
      <c r="R1568" s="989"/>
      <c r="S1568" s="989"/>
      <c r="T1568" s="1862">
        <f t="shared" si="286"/>
        <v>0</v>
      </c>
    </row>
    <row r="1569" spans="1:20" ht="22.2" hidden="1" customHeight="1">
      <c r="A1569" s="1448">
        <f>COUNTIF($C$12:C1569,"x")</f>
        <v>89</v>
      </c>
      <c r="B1569" s="1455" t="s">
        <v>1484</v>
      </c>
      <c r="C1569" s="970" t="str">
        <f t="shared" si="287"/>
        <v xml:space="preserve"> </v>
      </c>
      <c r="D1569" s="1415"/>
      <c r="E1569" s="980"/>
      <c r="F1569" s="992" t="str">
        <f>VLOOKUP($B1569,DG!A:D,DG!$C$2,)</f>
        <v>Mắt nối đơn</v>
      </c>
      <c r="G1569" s="980" t="str">
        <f>VLOOKUP($B1569,DG!A:D,DG!$D$2,)</f>
        <v>cái</v>
      </c>
      <c r="H1569" s="1693">
        <f t="shared" si="288"/>
        <v>0</v>
      </c>
      <c r="I1569" s="1693"/>
      <c r="J1569" s="1693">
        <f t="shared" si="289"/>
        <v>0</v>
      </c>
      <c r="K1569" s="1693"/>
      <c r="L1569" s="1693"/>
      <c r="M1569" s="1693"/>
      <c r="N1569" s="1693"/>
      <c r="O1569" s="1693"/>
      <c r="P1569" s="1693">
        <f t="shared" si="284"/>
        <v>0</v>
      </c>
      <c r="Q1569" s="989"/>
      <c r="R1569" s="989"/>
      <c r="S1569" s="989"/>
      <c r="T1569" s="1862">
        <f t="shared" si="286"/>
        <v>0</v>
      </c>
    </row>
    <row r="1570" spans="1:20" ht="22.2" hidden="1" customHeight="1">
      <c r="A1570" s="1448">
        <f>COUNTIF($C$12:C1570,"x")</f>
        <v>89</v>
      </c>
      <c r="B1570" s="1460"/>
      <c r="C1570" s="970" t="str">
        <f t="shared" si="287"/>
        <v xml:space="preserve"> </v>
      </c>
      <c r="D1570" s="1415"/>
      <c r="E1570" s="980"/>
      <c r="F1570" s="1277" t="s">
        <v>2517</v>
      </c>
      <c r="G1570" s="980"/>
      <c r="H1570" s="1693">
        <f t="shared" si="288"/>
        <v>0</v>
      </c>
      <c r="I1570" s="1693"/>
      <c r="J1570" s="1693">
        <f t="shared" si="289"/>
        <v>0</v>
      </c>
      <c r="K1570" s="1693"/>
      <c r="L1570" s="1693"/>
      <c r="M1570" s="1693"/>
      <c r="N1570" s="1693"/>
      <c r="O1570" s="1693"/>
      <c r="P1570" s="1693">
        <f t="shared" si="284"/>
        <v>0</v>
      </c>
      <c r="Q1570" s="989"/>
      <c r="R1570" s="989"/>
      <c r="S1570" s="989"/>
      <c r="T1570" s="1862">
        <f t="shared" si="286"/>
        <v>0</v>
      </c>
    </row>
    <row r="1571" spans="1:20" ht="22.2" hidden="1" customHeight="1">
      <c r="A1571" s="1448">
        <f>COUNTIF($C$12:C1571,"x")</f>
        <v>89</v>
      </c>
      <c r="B1571" s="1460" t="s">
        <v>1144</v>
      </c>
      <c r="C1571" s="970" t="str">
        <f t="shared" si="287"/>
        <v xml:space="preserve"> </v>
      </c>
      <c r="D1571" s="1428"/>
      <c r="E1571" s="980"/>
      <c r="F1571" s="992" t="str">
        <f>VLOOKUP($B1571,DG!A:D,DG!$C$2,)</f>
        <v>Khóa đỡ dây cỡ dây 240</v>
      </c>
      <c r="G1571" s="980" t="str">
        <f>VLOOKUP($B1571,DG!A:D,DG!$D$2,)</f>
        <v>cái</v>
      </c>
      <c r="H1571" s="1693">
        <f t="shared" si="288"/>
        <v>0</v>
      </c>
      <c r="I1571" s="1693"/>
      <c r="J1571" s="1693">
        <f t="shared" si="289"/>
        <v>0</v>
      </c>
      <c r="K1571" s="1693"/>
      <c r="L1571" s="1693"/>
      <c r="M1571" s="1693"/>
      <c r="N1571" s="1693"/>
      <c r="O1571" s="1693"/>
      <c r="P1571" s="1693">
        <f t="shared" si="284"/>
        <v>0</v>
      </c>
      <c r="Q1571" s="989"/>
      <c r="R1571" s="989"/>
      <c r="S1571" s="989"/>
      <c r="T1571" s="1862">
        <f t="shared" si="286"/>
        <v>0</v>
      </c>
    </row>
    <row r="1572" spans="1:20" ht="22.2" hidden="1" customHeight="1">
      <c r="A1572" s="1448">
        <f>COUNTIF($C$12:C1572,"x")</f>
        <v>89</v>
      </c>
      <c r="B1572" s="1460" t="s">
        <v>1143</v>
      </c>
      <c r="C1572" s="970" t="str">
        <f t="shared" si="287"/>
        <v xml:space="preserve"> </v>
      </c>
      <c r="D1572" s="1428"/>
      <c r="E1572" s="980"/>
      <c r="F1572" s="992" t="str">
        <f>VLOOKUP($B1572,DG!A:D,DG!$C$2,)</f>
        <v>Khóa đỡ dây cỡ dây 185</v>
      </c>
      <c r="G1572" s="980" t="str">
        <f>VLOOKUP($B1572,DG!A:D,DG!$D$2,)</f>
        <v>cái</v>
      </c>
      <c r="H1572" s="1693">
        <f t="shared" si="288"/>
        <v>0</v>
      </c>
      <c r="I1572" s="1693"/>
      <c r="J1572" s="1693">
        <f t="shared" si="289"/>
        <v>0</v>
      </c>
      <c r="K1572" s="1693"/>
      <c r="L1572" s="1693"/>
      <c r="M1572" s="1693"/>
      <c r="N1572" s="1693"/>
      <c r="O1572" s="1693"/>
      <c r="P1572" s="1693">
        <f t="shared" si="284"/>
        <v>0</v>
      </c>
      <c r="Q1572" s="989"/>
      <c r="R1572" s="989"/>
      <c r="S1572" s="989"/>
      <c r="T1572" s="1862">
        <f t="shared" si="286"/>
        <v>0</v>
      </c>
    </row>
    <row r="1573" spans="1:20" ht="22.2" hidden="1" customHeight="1">
      <c r="A1573" s="1448">
        <f>COUNTIF($C$12:C1573,"x")</f>
        <v>89</v>
      </c>
      <c r="B1573" s="1460" t="s">
        <v>1142</v>
      </c>
      <c r="C1573" s="970" t="str">
        <f t="shared" si="287"/>
        <v xml:space="preserve"> </v>
      </c>
      <c r="D1573" s="1428"/>
      <c r="E1573" s="980"/>
      <c r="F1573" s="992" t="str">
        <f>VLOOKUP($B1573,DG!A:D,DG!$C$2,)</f>
        <v>Khóa đỡ dây cỡ dây 150</v>
      </c>
      <c r="G1573" s="980" t="str">
        <f>VLOOKUP($B1573,DG!A:D,DG!$D$2,)</f>
        <v>cái</v>
      </c>
      <c r="H1573" s="1693">
        <f t="shared" si="288"/>
        <v>0</v>
      </c>
      <c r="I1573" s="1693"/>
      <c r="J1573" s="1693">
        <f t="shared" si="289"/>
        <v>0</v>
      </c>
      <c r="K1573" s="1693"/>
      <c r="L1573" s="1693"/>
      <c r="M1573" s="1693"/>
      <c r="N1573" s="1693"/>
      <c r="O1573" s="1693"/>
      <c r="P1573" s="1693">
        <f t="shared" si="284"/>
        <v>0</v>
      </c>
      <c r="Q1573" s="989"/>
      <c r="R1573" s="989"/>
      <c r="S1573" s="989"/>
      <c r="T1573" s="1862">
        <f t="shared" si="286"/>
        <v>0</v>
      </c>
    </row>
    <row r="1574" spans="1:20" ht="22.2" hidden="1" customHeight="1">
      <c r="A1574" s="1448">
        <f>COUNTIF($C$12:C1574,"x")</f>
        <v>89</v>
      </c>
      <c r="B1574" s="1460" t="s">
        <v>1141</v>
      </c>
      <c r="C1574" s="970" t="str">
        <f t="shared" si="287"/>
        <v xml:space="preserve"> </v>
      </c>
      <c r="D1574" s="1428"/>
      <c r="E1574" s="980"/>
      <c r="F1574" s="992" t="str">
        <f>VLOOKUP($B1574,DG!A:D,DG!$C$2,)</f>
        <v>Khóa đỡ dây cỡ dây 120</v>
      </c>
      <c r="G1574" s="980" t="str">
        <f>VLOOKUP($B1574,DG!A:D,DG!$D$2,)</f>
        <v>cái</v>
      </c>
      <c r="H1574" s="1693">
        <f t="shared" si="288"/>
        <v>0</v>
      </c>
      <c r="I1574" s="1693"/>
      <c r="J1574" s="1693">
        <f t="shared" si="289"/>
        <v>0</v>
      </c>
      <c r="K1574" s="1693"/>
      <c r="L1574" s="1693"/>
      <c r="M1574" s="1693"/>
      <c r="N1574" s="1693"/>
      <c r="O1574" s="1693"/>
      <c r="P1574" s="1693">
        <f t="shared" si="284"/>
        <v>0</v>
      </c>
      <c r="Q1574" s="989"/>
      <c r="R1574" s="989"/>
      <c r="S1574" s="989"/>
      <c r="T1574" s="1862">
        <f t="shared" si="286"/>
        <v>0</v>
      </c>
    </row>
    <row r="1575" spans="1:20" ht="22.2" hidden="1" customHeight="1">
      <c r="A1575" s="1448">
        <f>COUNTIF($C$12:C1575,"x")</f>
        <v>89</v>
      </c>
      <c r="B1575" s="1460" t="s">
        <v>101</v>
      </c>
      <c r="C1575" s="970" t="str">
        <f t="shared" si="287"/>
        <v xml:space="preserve"> </v>
      </c>
      <c r="D1575" s="1428"/>
      <c r="E1575" s="980"/>
      <c r="F1575" s="992" t="str">
        <f>VLOOKUP($B1575,DG!A:D,DG!$C$2,)</f>
        <v>Khóa đỡ dây cỡ dây 95</v>
      </c>
      <c r="G1575" s="980" t="str">
        <f>VLOOKUP($B1575,DG!A:D,DG!$D$2,)</f>
        <v>cái</v>
      </c>
      <c r="H1575" s="1693">
        <f t="shared" si="288"/>
        <v>0</v>
      </c>
      <c r="I1575" s="1693"/>
      <c r="J1575" s="1693">
        <f t="shared" si="289"/>
        <v>0</v>
      </c>
      <c r="K1575" s="1693"/>
      <c r="L1575" s="1693"/>
      <c r="M1575" s="1693"/>
      <c r="N1575" s="1693"/>
      <c r="O1575" s="1693"/>
      <c r="P1575" s="1693">
        <f t="shared" si="284"/>
        <v>0</v>
      </c>
      <c r="Q1575" s="989"/>
      <c r="R1575" s="989"/>
      <c r="S1575" s="989"/>
      <c r="T1575" s="1862">
        <f t="shared" si="286"/>
        <v>0</v>
      </c>
    </row>
    <row r="1576" spans="1:20" ht="22.2" hidden="1" customHeight="1">
      <c r="A1576" s="1448">
        <f>COUNTIF($C$12:C1576,"x")</f>
        <v>89</v>
      </c>
      <c r="B1576" s="1460" t="s">
        <v>1481</v>
      </c>
      <c r="C1576" s="970" t="str">
        <f t="shared" si="287"/>
        <v xml:space="preserve"> </v>
      </c>
      <c r="D1576" s="1428"/>
      <c r="E1576" s="980"/>
      <c r="F1576" s="992" t="str">
        <f>VLOOKUP($B1576,DG!A:D,DG!$C$2,)</f>
        <v>Khóa đỡ dây cỡ dây 70</v>
      </c>
      <c r="G1576" s="980" t="str">
        <f>VLOOKUP($B1576,DG!A:D,DG!$D$2,)</f>
        <v>cái</v>
      </c>
      <c r="H1576" s="1693">
        <f t="shared" ref="H1576:H1607" si="290">$D1576</f>
        <v>0</v>
      </c>
      <c r="I1576" s="1693"/>
      <c r="J1576" s="1693">
        <f t="shared" ref="J1576:J1607" si="291">D1576</f>
        <v>0</v>
      </c>
      <c r="K1576" s="1693"/>
      <c r="L1576" s="1693"/>
      <c r="M1576" s="1693"/>
      <c r="N1576" s="1693"/>
      <c r="O1576" s="1693"/>
      <c r="P1576" s="1693">
        <f t="shared" si="284"/>
        <v>0</v>
      </c>
      <c r="Q1576" s="989"/>
      <c r="R1576" s="989"/>
      <c r="S1576" s="989"/>
      <c r="T1576" s="1862">
        <f t="shared" si="286"/>
        <v>0</v>
      </c>
    </row>
    <row r="1577" spans="1:20" ht="22.2" hidden="1" customHeight="1">
      <c r="A1577" s="1448">
        <f>COUNTIF($C$12:C1577,"x")</f>
        <v>89</v>
      </c>
      <c r="B1577" s="1460" t="s">
        <v>1175</v>
      </c>
      <c r="C1577" s="970" t="str">
        <f t="shared" si="287"/>
        <v xml:space="preserve"> </v>
      </c>
      <c r="D1577" s="1428"/>
      <c r="E1577" s="980"/>
      <c r="F1577" s="992" t="str">
        <f>VLOOKUP($B1577,DG!A:D,DG!$C$2,)</f>
        <v>Khóa đỡ dây cỡ dây 50</v>
      </c>
      <c r="G1577" s="980" t="str">
        <f>VLOOKUP($B1577,DG!A:D,DG!$D$2,)</f>
        <v>cái</v>
      </c>
      <c r="H1577" s="1693">
        <f t="shared" si="290"/>
        <v>0</v>
      </c>
      <c r="I1577" s="1693"/>
      <c r="J1577" s="1693">
        <f t="shared" si="291"/>
        <v>0</v>
      </c>
      <c r="K1577" s="1693"/>
      <c r="L1577" s="1693"/>
      <c r="M1577" s="1693"/>
      <c r="N1577" s="1693"/>
      <c r="O1577" s="1693"/>
      <c r="P1577" s="1693">
        <f t="shared" ref="P1577:P1640" si="292">H1577+Q1577-R1577</f>
        <v>0</v>
      </c>
      <c r="Q1577" s="989"/>
      <c r="R1577" s="989"/>
      <c r="S1577" s="989"/>
      <c r="T1577" s="1862">
        <f t="shared" si="286"/>
        <v>0</v>
      </c>
    </row>
    <row r="1578" spans="1:20" ht="22.2" hidden="1" customHeight="1">
      <c r="A1578" s="1448">
        <f>COUNTIF($C$12:C1578,"x")</f>
        <v>89</v>
      </c>
      <c r="B1578" s="1460" t="s">
        <v>1741</v>
      </c>
      <c r="C1578" s="970" t="str">
        <f t="shared" si="287"/>
        <v xml:space="preserve"> </v>
      </c>
      <c r="D1578" s="1412"/>
      <c r="E1578" s="980"/>
      <c r="F1578" s="992" t="str">
        <f>VLOOKUP($B1578,DG!A:D,DG!$C$2,)</f>
        <v>Khóa néo dây cỡ dây 240</v>
      </c>
      <c r="G1578" s="980" t="str">
        <f>VLOOKUP($B1578,DG!A:D,DG!$D$2,)</f>
        <v>cái</v>
      </c>
      <c r="H1578" s="1693">
        <f t="shared" si="290"/>
        <v>0</v>
      </c>
      <c r="I1578" s="1693"/>
      <c r="J1578" s="1693">
        <f t="shared" si="291"/>
        <v>0</v>
      </c>
      <c r="K1578" s="1693"/>
      <c r="L1578" s="1693"/>
      <c r="M1578" s="1693"/>
      <c r="N1578" s="1693"/>
      <c r="O1578" s="1693"/>
      <c r="P1578" s="1693">
        <f t="shared" si="292"/>
        <v>0</v>
      </c>
      <c r="Q1578" s="989"/>
      <c r="R1578" s="989"/>
      <c r="S1578" s="989"/>
      <c r="T1578" s="1862">
        <f t="shared" si="286"/>
        <v>0</v>
      </c>
    </row>
    <row r="1579" spans="1:20" ht="22.2" hidden="1" customHeight="1">
      <c r="A1579" s="1448">
        <f>COUNTIF($C$12:C1579,"x")</f>
        <v>89</v>
      </c>
      <c r="B1579" s="1461" t="s">
        <v>1742</v>
      </c>
      <c r="C1579" s="970" t="str">
        <f t="shared" si="287"/>
        <v xml:space="preserve"> </v>
      </c>
      <c r="D1579" s="1412"/>
      <c r="E1579" s="980"/>
      <c r="F1579" s="992" t="str">
        <f>VLOOKUP($B1579,DG!A:D,DG!$C$2,)</f>
        <v>Khóa néo dây cỡ dây 185</v>
      </c>
      <c r="G1579" s="980" t="str">
        <f>VLOOKUP($B1579,DG!A:D,DG!$D$2,)</f>
        <v>cái</v>
      </c>
      <c r="H1579" s="1693">
        <f t="shared" si="290"/>
        <v>0</v>
      </c>
      <c r="I1579" s="1693"/>
      <c r="J1579" s="1693">
        <f t="shared" si="291"/>
        <v>0</v>
      </c>
      <c r="K1579" s="1693"/>
      <c r="L1579" s="1693"/>
      <c r="M1579" s="1693"/>
      <c r="N1579" s="1693"/>
      <c r="O1579" s="1693"/>
      <c r="P1579" s="1693">
        <f t="shared" si="292"/>
        <v>0</v>
      </c>
      <c r="Q1579" s="989"/>
      <c r="R1579" s="989"/>
      <c r="S1579" s="989"/>
      <c r="T1579" s="1862">
        <f t="shared" si="286"/>
        <v>0</v>
      </c>
    </row>
    <row r="1580" spans="1:20" ht="22.2" hidden="1" customHeight="1">
      <c r="A1580" s="1448">
        <f>COUNTIF($C$12:C1580,"x")</f>
        <v>89</v>
      </c>
      <c r="B1580" s="1460" t="s">
        <v>2109</v>
      </c>
      <c r="C1580" s="970" t="str">
        <f t="shared" si="287"/>
        <v xml:space="preserve"> </v>
      </c>
      <c r="D1580" s="1412"/>
      <c r="E1580" s="980"/>
      <c r="F1580" s="992" t="str">
        <f>VLOOKUP($B1580,DG!A:D,DG!$C$2,)</f>
        <v>Khóa néo dây cỡ dây 150</v>
      </c>
      <c r="G1580" s="980" t="str">
        <f>VLOOKUP($B1580,DG!A:D,DG!$D$2,)</f>
        <v>cái</v>
      </c>
      <c r="H1580" s="1693">
        <f t="shared" si="290"/>
        <v>0</v>
      </c>
      <c r="I1580" s="1693"/>
      <c r="J1580" s="1693">
        <f t="shared" si="291"/>
        <v>0</v>
      </c>
      <c r="K1580" s="1693"/>
      <c r="L1580" s="1693"/>
      <c r="M1580" s="1693"/>
      <c r="N1580" s="1693"/>
      <c r="O1580" s="1693"/>
      <c r="P1580" s="1693">
        <f t="shared" si="292"/>
        <v>0</v>
      </c>
      <c r="Q1580" s="989"/>
      <c r="R1580" s="989"/>
      <c r="S1580" s="989"/>
      <c r="T1580" s="1862">
        <f t="shared" si="286"/>
        <v>0</v>
      </c>
    </row>
    <row r="1581" spans="1:20" ht="22.2" hidden="1" customHeight="1">
      <c r="A1581" s="1448">
        <f>COUNTIF($C$12:C1581,"x")</f>
        <v>89</v>
      </c>
      <c r="B1581" s="1461" t="s">
        <v>431</v>
      </c>
      <c r="C1581" s="970" t="str">
        <f t="shared" si="287"/>
        <v xml:space="preserve"> </v>
      </c>
      <c r="D1581" s="1412"/>
      <c r="E1581" s="980"/>
      <c r="F1581" s="992" t="str">
        <f>VLOOKUP($B1581,DG!A:D,DG!$C$2,)</f>
        <v>Khóa néo dây cỡ dây 120</v>
      </c>
      <c r="G1581" s="980" t="str">
        <f>VLOOKUP($B1581,DG!A:D,DG!$D$2,)</f>
        <v>cái</v>
      </c>
      <c r="H1581" s="1693">
        <f t="shared" si="290"/>
        <v>0</v>
      </c>
      <c r="I1581" s="1693"/>
      <c r="J1581" s="1693">
        <f t="shared" si="291"/>
        <v>0</v>
      </c>
      <c r="K1581" s="1693"/>
      <c r="L1581" s="1693"/>
      <c r="M1581" s="1693"/>
      <c r="N1581" s="1693"/>
      <c r="O1581" s="1693"/>
      <c r="P1581" s="1693">
        <f t="shared" si="292"/>
        <v>0</v>
      </c>
      <c r="Q1581" s="989"/>
      <c r="R1581" s="989"/>
      <c r="S1581" s="989"/>
      <c r="T1581" s="1862">
        <f t="shared" si="286"/>
        <v>0</v>
      </c>
    </row>
    <row r="1582" spans="1:20" ht="22.2" hidden="1" customHeight="1">
      <c r="A1582" s="1448">
        <f>COUNTIF($C$12:C1582,"x")</f>
        <v>89</v>
      </c>
      <c r="B1582" s="1460" t="s">
        <v>1257</v>
      </c>
      <c r="C1582" s="970" t="str">
        <f t="shared" si="287"/>
        <v xml:space="preserve"> </v>
      </c>
      <c r="D1582" s="1415"/>
      <c r="E1582" s="980"/>
      <c r="F1582" s="992" t="str">
        <f>VLOOKUP($B1582,DG!A:D,DG!$C$2,)</f>
        <v>Khóa néo dây cỡ dây 95</v>
      </c>
      <c r="G1582" s="980" t="str">
        <f>VLOOKUP($B1582,DG!A:D,DG!$D$2,)</f>
        <v>cái</v>
      </c>
      <c r="H1582" s="1693">
        <f t="shared" si="290"/>
        <v>0</v>
      </c>
      <c r="I1582" s="1693"/>
      <c r="J1582" s="1693">
        <f t="shared" si="291"/>
        <v>0</v>
      </c>
      <c r="K1582" s="1693"/>
      <c r="L1582" s="1693"/>
      <c r="M1582" s="1693"/>
      <c r="N1582" s="1693"/>
      <c r="O1582" s="1693"/>
      <c r="P1582" s="1693">
        <f t="shared" si="292"/>
        <v>0</v>
      </c>
      <c r="Q1582" s="989"/>
      <c r="R1582" s="989"/>
      <c r="S1582" s="989"/>
      <c r="T1582" s="1862">
        <f t="shared" si="286"/>
        <v>0</v>
      </c>
    </row>
    <row r="1583" spans="1:20" ht="22.2" hidden="1" customHeight="1">
      <c r="A1583" s="1448">
        <f>COUNTIF($C$12:C1583,"x")</f>
        <v>89</v>
      </c>
      <c r="B1583" s="1461" t="s">
        <v>2231</v>
      </c>
      <c r="C1583" s="970" t="str">
        <f t="shared" si="287"/>
        <v xml:space="preserve"> </v>
      </c>
      <c r="D1583" s="1412"/>
      <c r="E1583" s="980"/>
      <c r="F1583" s="992" t="str">
        <f>VLOOKUP($B1583,DG!A:D,DG!$C$2,)</f>
        <v>Khóa néo dây cỡ dây 70</v>
      </c>
      <c r="G1583" s="980" t="str">
        <f>VLOOKUP($B1583,DG!A:D,DG!$D$2,)</f>
        <v>cái</v>
      </c>
      <c r="H1583" s="1693">
        <f t="shared" si="290"/>
        <v>0</v>
      </c>
      <c r="I1583" s="1693"/>
      <c r="J1583" s="1693">
        <f t="shared" si="291"/>
        <v>0</v>
      </c>
      <c r="K1583" s="1693"/>
      <c r="L1583" s="1693"/>
      <c r="M1583" s="1693"/>
      <c r="N1583" s="1693"/>
      <c r="O1583" s="1693"/>
      <c r="P1583" s="1693">
        <f t="shared" si="292"/>
        <v>0</v>
      </c>
      <c r="Q1583" s="989"/>
      <c r="R1583" s="989"/>
      <c r="S1583" s="989"/>
      <c r="T1583" s="1862">
        <f t="shared" si="286"/>
        <v>0</v>
      </c>
    </row>
    <row r="1584" spans="1:20" ht="22.2" hidden="1" customHeight="1">
      <c r="A1584" s="1448">
        <f>COUNTIF($C$12:C1584,"x")</f>
        <v>89</v>
      </c>
      <c r="B1584" s="1461" t="s">
        <v>1482</v>
      </c>
      <c r="C1584" s="970" t="str">
        <f t="shared" si="287"/>
        <v xml:space="preserve"> </v>
      </c>
      <c r="D1584" s="1412"/>
      <c r="E1584" s="980"/>
      <c r="F1584" s="992" t="str">
        <f>VLOOKUP($B1584,DG!A:D,DG!$C$2,)</f>
        <v>Khóa néo dây cỡ dây 50</v>
      </c>
      <c r="G1584" s="980" t="str">
        <f>VLOOKUP($B1584,DG!A:D,DG!$D$2,)</f>
        <v>cái</v>
      </c>
      <c r="H1584" s="1693">
        <f t="shared" si="290"/>
        <v>0</v>
      </c>
      <c r="I1584" s="1693"/>
      <c r="J1584" s="1693">
        <f t="shared" si="291"/>
        <v>0</v>
      </c>
      <c r="K1584" s="1693"/>
      <c r="L1584" s="1693"/>
      <c r="M1584" s="1693"/>
      <c r="N1584" s="1693"/>
      <c r="O1584" s="1693"/>
      <c r="P1584" s="1693">
        <f t="shared" si="292"/>
        <v>0</v>
      </c>
      <c r="Q1584" s="989"/>
      <c r="R1584" s="989"/>
      <c r="S1584" s="989"/>
      <c r="T1584" s="1862">
        <f t="shared" si="286"/>
        <v>0</v>
      </c>
    </row>
    <row r="1585" spans="1:20" ht="22.2" hidden="1" customHeight="1">
      <c r="A1585" s="1448">
        <f>COUNTIF($C$12:C1585,"x")</f>
        <v>89</v>
      </c>
      <c r="B1585" s="1460" t="s">
        <v>1582</v>
      </c>
      <c r="C1585" s="970" t="str">
        <f t="shared" si="287"/>
        <v xml:space="preserve"> </v>
      </c>
      <c r="D1585" s="1428"/>
      <c r="E1585" s="980"/>
      <c r="F1585" s="992" t="str">
        <f>VLOOKUP($B1585,DG!A:D,DG!$C$2,)</f>
        <v>Kẹp 2 rãnh cỡ dây 50mm2</v>
      </c>
      <c r="G1585" s="980" t="str">
        <f>VLOOKUP($B1585,DG!A:D,DG!$D$2,)</f>
        <v>cái</v>
      </c>
      <c r="H1585" s="1693">
        <f t="shared" si="290"/>
        <v>0</v>
      </c>
      <c r="I1585" s="1693"/>
      <c r="J1585" s="1693">
        <f t="shared" si="291"/>
        <v>0</v>
      </c>
      <c r="K1585" s="1693"/>
      <c r="L1585" s="1693"/>
      <c r="M1585" s="1693"/>
      <c r="N1585" s="1693"/>
      <c r="O1585" s="1693"/>
      <c r="P1585" s="1693">
        <f t="shared" si="292"/>
        <v>0</v>
      </c>
      <c r="Q1585" s="989"/>
      <c r="R1585" s="989"/>
      <c r="S1585" s="989"/>
      <c r="T1585" s="1862">
        <f t="shared" si="286"/>
        <v>0</v>
      </c>
    </row>
    <row r="1586" spans="1:20" ht="22.2" hidden="1" customHeight="1">
      <c r="A1586" s="1448">
        <f>COUNTIF($C$12:C1586,"x")</f>
        <v>89</v>
      </c>
      <c r="B1586" s="1460" t="s">
        <v>1581</v>
      </c>
      <c r="C1586" s="970" t="str">
        <f t="shared" si="287"/>
        <v xml:space="preserve"> </v>
      </c>
      <c r="D1586" s="1428"/>
      <c r="E1586" s="980"/>
      <c r="F1586" s="992" t="str">
        <f>VLOOKUP($B1586,DG!A:D,DG!$C$2,)</f>
        <v>Kẹp 2 rãnh cỡ dây 70mm2</v>
      </c>
      <c r="G1586" s="980" t="str">
        <f>VLOOKUP($B1586,DG!A:D,DG!$D$2,)</f>
        <v>cái</v>
      </c>
      <c r="H1586" s="1693">
        <f t="shared" si="290"/>
        <v>0</v>
      </c>
      <c r="I1586" s="1693"/>
      <c r="J1586" s="1693">
        <f t="shared" si="291"/>
        <v>0</v>
      </c>
      <c r="K1586" s="1693"/>
      <c r="L1586" s="1693"/>
      <c r="M1586" s="1693"/>
      <c r="N1586" s="1693"/>
      <c r="O1586" s="1693"/>
      <c r="P1586" s="1693">
        <f t="shared" si="292"/>
        <v>0</v>
      </c>
      <c r="Q1586" s="989"/>
      <c r="R1586" s="989"/>
      <c r="S1586" s="989"/>
      <c r="T1586" s="1862">
        <f t="shared" si="286"/>
        <v>0</v>
      </c>
    </row>
    <row r="1587" spans="1:20" ht="22.2" hidden="1" customHeight="1">
      <c r="A1587" s="1448">
        <f>COUNTIF($C$12:C1587,"x")</f>
        <v>89</v>
      </c>
      <c r="B1587" s="1460" t="s">
        <v>1022</v>
      </c>
      <c r="C1587" s="970" t="str">
        <f t="shared" si="287"/>
        <v xml:space="preserve"> </v>
      </c>
      <c r="D1587" s="1428"/>
      <c r="E1587" s="980"/>
      <c r="F1587" s="992" t="str">
        <f>VLOOKUP($B1587,DG!A:D,DG!$C$2,)</f>
        <v>Kẹp 2 rãnh cỡ dây 95mm2</v>
      </c>
      <c r="G1587" s="980" t="str">
        <f>VLOOKUP($B1587,DG!A:D,DG!$D$2,)</f>
        <v>cái</v>
      </c>
      <c r="H1587" s="1693">
        <f t="shared" si="290"/>
        <v>0</v>
      </c>
      <c r="I1587" s="1693"/>
      <c r="J1587" s="1693">
        <f t="shared" si="291"/>
        <v>0</v>
      </c>
      <c r="K1587" s="1693"/>
      <c r="L1587" s="1693"/>
      <c r="M1587" s="1693"/>
      <c r="N1587" s="1693"/>
      <c r="O1587" s="1693"/>
      <c r="P1587" s="1693">
        <f t="shared" si="292"/>
        <v>0</v>
      </c>
      <c r="Q1587" s="989"/>
      <c r="R1587" s="989"/>
      <c r="S1587" s="989"/>
      <c r="T1587" s="1862">
        <f t="shared" si="286"/>
        <v>0</v>
      </c>
    </row>
    <row r="1588" spans="1:20" ht="22.2" hidden="1" customHeight="1">
      <c r="A1588" s="1448">
        <f>COUNTIF($C$12:C1588,"x")</f>
        <v>89</v>
      </c>
      <c r="B1588" s="1459" t="s">
        <v>1479</v>
      </c>
      <c r="C1588" s="970" t="str">
        <f t="shared" si="287"/>
        <v xml:space="preserve"> </v>
      </c>
      <c r="D1588" s="1428">
        <f>pp_NC!DP95</f>
        <v>0</v>
      </c>
      <c r="E1588" s="980"/>
      <c r="F1588" s="992" t="str">
        <f>VLOOKUP($B1588,DG!A:D,DG!$C$2,)</f>
        <v>Kẹp quai 2/0</v>
      </c>
      <c r="G1588" s="980" t="str">
        <f>VLOOKUP($B1588,DG!A:D,DG!$D$2,)</f>
        <v>cái</v>
      </c>
      <c r="H1588" s="1693">
        <f t="shared" si="290"/>
        <v>0</v>
      </c>
      <c r="I1588" s="1693"/>
      <c r="J1588" s="1693">
        <f t="shared" si="291"/>
        <v>0</v>
      </c>
      <c r="K1588" s="1693"/>
      <c r="L1588" s="1693"/>
      <c r="M1588" s="1693"/>
      <c r="N1588" s="1693"/>
      <c r="O1588" s="1693"/>
      <c r="P1588" s="1693">
        <f t="shared" si="292"/>
        <v>0</v>
      </c>
      <c r="Q1588" s="989"/>
      <c r="R1588" s="989"/>
      <c r="S1588" s="989"/>
      <c r="T1588" s="1862">
        <f t="shared" si="286"/>
        <v>0</v>
      </c>
    </row>
    <row r="1589" spans="1:20" ht="22.2" hidden="1" customHeight="1">
      <c r="A1589" s="1448">
        <f>COUNTIF($C$12:C1589,"x")</f>
        <v>89</v>
      </c>
      <c r="B1589" s="1459" t="s">
        <v>1477</v>
      </c>
      <c r="C1589" s="970" t="str">
        <f t="shared" si="287"/>
        <v xml:space="preserve"> </v>
      </c>
      <c r="D1589" s="1428">
        <f>pp_NC!DQ95</f>
        <v>0</v>
      </c>
      <c r="E1589" s="980"/>
      <c r="F1589" s="992" t="str">
        <f>VLOOKUP($B1589,DG!A:D,DG!$C$2,)</f>
        <v>Kẹp hotline 2/0</v>
      </c>
      <c r="G1589" s="980" t="str">
        <f>VLOOKUP($B1589,DG!A:D,DG!$D$2,)</f>
        <v>cái</v>
      </c>
      <c r="H1589" s="1693">
        <f t="shared" si="290"/>
        <v>0</v>
      </c>
      <c r="I1589" s="1693"/>
      <c r="J1589" s="1693">
        <f t="shared" si="291"/>
        <v>0</v>
      </c>
      <c r="K1589" s="1693"/>
      <c r="L1589" s="1693"/>
      <c r="M1589" s="1693"/>
      <c r="N1589" s="1693"/>
      <c r="O1589" s="1693"/>
      <c r="P1589" s="1693">
        <f t="shared" si="292"/>
        <v>0</v>
      </c>
      <c r="Q1589" s="989"/>
      <c r="R1589" s="989"/>
      <c r="S1589" s="989"/>
      <c r="T1589" s="1862">
        <f t="shared" si="286"/>
        <v>0</v>
      </c>
    </row>
    <row r="1590" spans="1:20" ht="22.2" hidden="1" customHeight="1">
      <c r="A1590" s="1448">
        <f>COUNTIF($C$12:C1590,"x")</f>
        <v>89</v>
      </c>
      <c r="B1590" s="1459" t="s">
        <v>905</v>
      </c>
      <c r="C1590" s="970" t="str">
        <f t="shared" si="287"/>
        <v xml:space="preserve"> </v>
      </c>
      <c r="D1590" s="1428">
        <f>pp_NC!DR95</f>
        <v>0</v>
      </c>
      <c r="E1590" s="980"/>
      <c r="F1590" s="992" t="str">
        <f>VLOOKUP($B1590,DG!A:D,DG!$C$2,)</f>
        <v>Kẹp ép WR cỡ dây 50mm2</v>
      </c>
      <c r="G1590" s="980" t="str">
        <f>VLOOKUP($B1590,DG!A:D,DG!$D$2,)</f>
        <v>cái</v>
      </c>
      <c r="H1590" s="1693">
        <f t="shared" si="290"/>
        <v>0</v>
      </c>
      <c r="I1590" s="1693"/>
      <c r="J1590" s="1693">
        <f t="shared" si="291"/>
        <v>0</v>
      </c>
      <c r="K1590" s="1693"/>
      <c r="L1590" s="1693"/>
      <c r="M1590" s="1693"/>
      <c r="N1590" s="1693"/>
      <c r="O1590" s="1693"/>
      <c r="P1590" s="1693">
        <f t="shared" si="292"/>
        <v>0</v>
      </c>
      <c r="Q1590" s="989"/>
      <c r="R1590" s="989"/>
      <c r="S1590" s="989"/>
      <c r="T1590" s="1862">
        <f t="shared" si="286"/>
        <v>0</v>
      </c>
    </row>
    <row r="1591" spans="1:20" ht="22.2" hidden="1" customHeight="1">
      <c r="A1591" s="1448">
        <f>COUNTIF($C$12:C1591,"x")</f>
        <v>89</v>
      </c>
      <c r="B1591" s="1459" t="s">
        <v>36</v>
      </c>
      <c r="C1591" s="970" t="str">
        <f t="shared" si="287"/>
        <v xml:space="preserve"> </v>
      </c>
      <c r="D1591" s="1428">
        <f>pp_NC!DS95</f>
        <v>0</v>
      </c>
      <c r="E1591" s="980"/>
      <c r="F1591" s="992" t="str">
        <f>VLOOKUP($B1591,DG!A:D,DG!$C$2,)</f>
        <v>Kẹp ép WR cỡ dây 95mm2</v>
      </c>
      <c r="G1591" s="980" t="str">
        <f>VLOOKUP($B1591,DG!A:D,DG!$D$2,)</f>
        <v>cái</v>
      </c>
      <c r="H1591" s="1693">
        <f t="shared" si="290"/>
        <v>0</v>
      </c>
      <c r="I1591" s="1693"/>
      <c r="J1591" s="1693">
        <f t="shared" si="291"/>
        <v>0</v>
      </c>
      <c r="K1591" s="1693"/>
      <c r="L1591" s="1693"/>
      <c r="M1591" s="1693"/>
      <c r="N1591" s="1693"/>
      <c r="O1591" s="1693"/>
      <c r="P1591" s="1693">
        <f t="shared" si="292"/>
        <v>0</v>
      </c>
      <c r="Q1591" s="989"/>
      <c r="R1591" s="989"/>
      <c r="S1591" s="989"/>
      <c r="T1591" s="1862">
        <f t="shared" si="286"/>
        <v>0</v>
      </c>
    </row>
    <row r="1592" spans="1:20" ht="22.2" hidden="1" customHeight="1">
      <c r="A1592" s="1448">
        <f>COUNTIF($C$12:C1592,"x")</f>
        <v>89</v>
      </c>
      <c r="B1592" s="1460" t="s">
        <v>1067</v>
      </c>
      <c r="C1592" s="970" t="str">
        <f t="shared" si="287"/>
        <v xml:space="preserve"> </v>
      </c>
      <c r="D1592" s="1428">
        <f>pp_NC!DU95</f>
        <v>0</v>
      </c>
      <c r="E1592" s="980"/>
      <c r="F1592" s="992" t="str">
        <f>VLOOKUP($B1592,DG!A:D,DG!$C$2,)</f>
        <v>Kẹp ép WR cỡ dây 150mm2</v>
      </c>
      <c r="G1592" s="980" t="str">
        <f>VLOOKUP($B1592,DG!A:D,DG!$D$2,)</f>
        <v>cái</v>
      </c>
      <c r="H1592" s="1693">
        <f t="shared" si="290"/>
        <v>0</v>
      </c>
      <c r="I1592" s="1693"/>
      <c r="J1592" s="1693">
        <f t="shared" si="291"/>
        <v>0</v>
      </c>
      <c r="K1592" s="1693"/>
      <c r="L1592" s="1693"/>
      <c r="M1592" s="1693"/>
      <c r="N1592" s="1693"/>
      <c r="O1592" s="1693"/>
      <c r="P1592" s="1693">
        <f t="shared" si="292"/>
        <v>0</v>
      </c>
      <c r="Q1592" s="989"/>
      <c r="R1592" s="989"/>
      <c r="S1592" s="989"/>
      <c r="T1592" s="1862">
        <f t="shared" si="286"/>
        <v>0</v>
      </c>
    </row>
    <row r="1593" spans="1:20" ht="22.2" hidden="1" customHeight="1">
      <c r="A1593" s="1448">
        <f>COUNTIF($C$12:C1593,"x")</f>
        <v>89</v>
      </c>
      <c r="B1593" s="1460" t="s">
        <v>14</v>
      </c>
      <c r="C1593" s="970" t="str">
        <f t="shared" si="287"/>
        <v xml:space="preserve"> </v>
      </c>
      <c r="D1593" s="1428"/>
      <c r="E1593" s="980"/>
      <c r="F1593" s="992" t="str">
        <f>VLOOKUP($B1593,DG!A:D,DG!$C$2,)</f>
        <v>Kẹp ép WR cỡ dây 185mm2</v>
      </c>
      <c r="G1593" s="980" t="str">
        <f>VLOOKUP($B1593,DG!A:D,DG!$D$2,)</f>
        <v>cái</v>
      </c>
      <c r="H1593" s="1693">
        <f t="shared" si="290"/>
        <v>0</v>
      </c>
      <c r="I1593" s="1693"/>
      <c r="J1593" s="1693">
        <f t="shared" si="291"/>
        <v>0</v>
      </c>
      <c r="K1593" s="1693"/>
      <c r="L1593" s="1693"/>
      <c r="M1593" s="1693"/>
      <c r="N1593" s="1693"/>
      <c r="O1593" s="1693"/>
      <c r="P1593" s="1693">
        <f t="shared" si="292"/>
        <v>0</v>
      </c>
      <c r="Q1593" s="989"/>
      <c r="R1593" s="989"/>
      <c r="S1593" s="989"/>
      <c r="T1593" s="1862">
        <f t="shared" si="286"/>
        <v>0</v>
      </c>
    </row>
    <row r="1594" spans="1:20" ht="22.2" hidden="1" customHeight="1">
      <c r="A1594" s="1448">
        <f>COUNTIF($C$12:C1594,"x")</f>
        <v>89</v>
      </c>
      <c r="B1594" s="1460" t="s">
        <v>1068</v>
      </c>
      <c r="C1594" s="970" t="str">
        <f t="shared" si="287"/>
        <v xml:space="preserve"> </v>
      </c>
      <c r="D1594" s="1428">
        <f>pp_NC!DV95</f>
        <v>0</v>
      </c>
      <c r="E1594" s="980"/>
      <c r="F1594" s="992" t="str">
        <f>VLOOKUP($B1594,DG!A:D,DG!$C$2,)</f>
        <v>Kẹp ép WR cỡ dây 240mm2</v>
      </c>
      <c r="G1594" s="980" t="str">
        <f>VLOOKUP($B1594,DG!A:D,DG!$D$2,)</f>
        <v>cái</v>
      </c>
      <c r="H1594" s="1693">
        <f t="shared" si="290"/>
        <v>0</v>
      </c>
      <c r="I1594" s="1693"/>
      <c r="J1594" s="1693">
        <f t="shared" si="291"/>
        <v>0</v>
      </c>
      <c r="K1594" s="1693"/>
      <c r="L1594" s="1693"/>
      <c r="M1594" s="1693"/>
      <c r="N1594" s="1693"/>
      <c r="O1594" s="1693"/>
      <c r="P1594" s="1693">
        <f t="shared" si="292"/>
        <v>0</v>
      </c>
      <c r="Q1594" s="989"/>
      <c r="R1594" s="989"/>
      <c r="S1594" s="989"/>
      <c r="T1594" s="1862">
        <f t="shared" si="286"/>
        <v>0</v>
      </c>
    </row>
    <row r="1595" spans="1:20" ht="22.2" hidden="1" customHeight="1">
      <c r="A1595" s="1448">
        <f>COUNTIF($C$12:C1595,"x")</f>
        <v>89</v>
      </c>
      <c r="B1595" s="1460" t="s">
        <v>1887</v>
      </c>
      <c r="C1595" s="970" t="str">
        <f t="shared" si="287"/>
        <v xml:space="preserve"> </v>
      </c>
      <c r="D1595" s="1428">
        <f>pp_NC!DW184</f>
        <v>0</v>
      </c>
      <c r="E1595" s="980" t="str">
        <f>VLOOKUP($B1595,DG!A:D,DG!$B$2,)</f>
        <v>03.4003</v>
      </c>
      <c r="F1595" s="992" t="str">
        <f>VLOOKUP($B1595,DG!A:D,DG!$C$2,)</f>
        <v>Đầu cosse ép Cu-Al 70mm2</v>
      </c>
      <c r="G1595" s="980" t="str">
        <f>VLOOKUP($B1595,DG!A:D,DG!$D$2,)</f>
        <v>cái</v>
      </c>
      <c r="H1595" s="1693">
        <f t="shared" si="290"/>
        <v>0</v>
      </c>
      <c r="I1595" s="1693"/>
      <c r="J1595" s="1693">
        <f t="shared" si="291"/>
        <v>0</v>
      </c>
      <c r="K1595" s="1693"/>
      <c r="L1595" s="1693"/>
      <c r="M1595" s="1693"/>
      <c r="N1595" s="1693"/>
      <c r="O1595" s="1693"/>
      <c r="P1595" s="1693">
        <f t="shared" si="292"/>
        <v>0</v>
      </c>
      <c r="Q1595" s="989"/>
      <c r="R1595" s="989"/>
      <c r="S1595" s="989"/>
      <c r="T1595" s="1862">
        <f t="shared" si="286"/>
        <v>0</v>
      </c>
    </row>
    <row r="1596" spans="1:20" ht="22.2" hidden="1" customHeight="1">
      <c r="A1596" s="1448">
        <f>COUNTIF($C$12:C1596,"x")</f>
        <v>89</v>
      </c>
      <c r="B1596" s="1460" t="s">
        <v>1888</v>
      </c>
      <c r="C1596" s="970" t="str">
        <f t="shared" si="287"/>
        <v xml:space="preserve"> </v>
      </c>
      <c r="D1596" s="1428">
        <f>pp_NC!DY184</f>
        <v>0</v>
      </c>
      <c r="E1596" s="980" t="str">
        <f>VLOOKUP($B1596,DG!A:D,DG!$B$2,)</f>
        <v>03.4004</v>
      </c>
      <c r="F1596" s="992" t="str">
        <f>VLOOKUP($B1596,DG!A:D,DG!$C$2,)</f>
        <v>Đầu cosse ép Cu-Al 95mm2</v>
      </c>
      <c r="G1596" s="980" t="str">
        <f>VLOOKUP($B1596,DG!A:D,DG!$D$2,)</f>
        <v>cái</v>
      </c>
      <c r="H1596" s="1693">
        <f t="shared" si="290"/>
        <v>0</v>
      </c>
      <c r="I1596" s="1693"/>
      <c r="J1596" s="1693">
        <f t="shared" si="291"/>
        <v>0</v>
      </c>
      <c r="K1596" s="1693"/>
      <c r="L1596" s="1693"/>
      <c r="M1596" s="1693"/>
      <c r="N1596" s="1693"/>
      <c r="O1596" s="1693"/>
      <c r="P1596" s="1693">
        <f t="shared" si="292"/>
        <v>0</v>
      </c>
      <c r="Q1596" s="989"/>
      <c r="R1596" s="989"/>
      <c r="S1596" s="989"/>
      <c r="T1596" s="1862">
        <f t="shared" si="286"/>
        <v>0</v>
      </c>
    </row>
    <row r="1597" spans="1:20" ht="22.2" hidden="1" customHeight="1">
      <c r="A1597" s="1448">
        <f>COUNTIF($C$12:C1597,"x")</f>
        <v>89</v>
      </c>
      <c r="B1597" s="1460" t="s">
        <v>1889</v>
      </c>
      <c r="C1597" s="970" t="str">
        <f t="shared" si="287"/>
        <v xml:space="preserve"> </v>
      </c>
      <c r="D1597" s="1428">
        <f>pp_NC!DZ184</f>
        <v>0</v>
      </c>
      <c r="E1597" s="980" t="str">
        <f>VLOOKUP($B1597,DG!A:D,DG!$B$2,)</f>
        <v>03.4005</v>
      </c>
      <c r="F1597" s="992" t="str">
        <f>VLOOKUP($B1597,DG!A:D,DG!$C$2,)</f>
        <v>Đầu cosse ép Cu-Al 120mm2</v>
      </c>
      <c r="G1597" s="980" t="str">
        <f>VLOOKUP($B1597,DG!A:D,DG!$D$2,)</f>
        <v>cái</v>
      </c>
      <c r="H1597" s="1693">
        <f t="shared" si="290"/>
        <v>0</v>
      </c>
      <c r="I1597" s="1693"/>
      <c r="J1597" s="1693">
        <f t="shared" si="291"/>
        <v>0</v>
      </c>
      <c r="K1597" s="1693"/>
      <c r="L1597" s="1693"/>
      <c r="M1597" s="1693"/>
      <c r="N1597" s="1693"/>
      <c r="O1597" s="1693"/>
      <c r="P1597" s="1693">
        <f t="shared" si="292"/>
        <v>0</v>
      </c>
      <c r="Q1597" s="989"/>
      <c r="R1597" s="989"/>
      <c r="S1597" s="989"/>
      <c r="T1597" s="1862">
        <f t="shared" si="286"/>
        <v>0</v>
      </c>
    </row>
    <row r="1598" spans="1:20" ht="22.2" hidden="1" customHeight="1">
      <c r="A1598" s="1448">
        <f>COUNTIF($C$12:C1598,"x")</f>
        <v>89</v>
      </c>
      <c r="B1598" s="1460" t="s">
        <v>1019</v>
      </c>
      <c r="C1598" s="970" t="str">
        <f t="shared" si="287"/>
        <v xml:space="preserve"> </v>
      </c>
      <c r="D1598" s="1428">
        <f>pp_NC!EA184</f>
        <v>0</v>
      </c>
      <c r="E1598" s="980" t="str">
        <f>VLOOKUP($B1598,DG!A:D,DG!$B$2,)</f>
        <v>03.4006</v>
      </c>
      <c r="F1598" s="992" t="str">
        <f>VLOOKUP($B1598,DG!A:D,DG!$C$2,)</f>
        <v>Đầu cosse ép Cu-Al 150mm2</v>
      </c>
      <c r="G1598" s="980" t="str">
        <f>VLOOKUP($B1598,DG!A:D,DG!$D$2,)</f>
        <v>cái</v>
      </c>
      <c r="H1598" s="1693">
        <f t="shared" si="290"/>
        <v>0</v>
      </c>
      <c r="I1598" s="1693"/>
      <c r="J1598" s="1693">
        <f t="shared" si="291"/>
        <v>0</v>
      </c>
      <c r="K1598" s="1693"/>
      <c r="L1598" s="1693"/>
      <c r="M1598" s="1693"/>
      <c r="N1598" s="1693"/>
      <c r="O1598" s="1693"/>
      <c r="P1598" s="1693">
        <f t="shared" si="292"/>
        <v>0</v>
      </c>
      <c r="Q1598" s="989"/>
      <c r="R1598" s="989"/>
      <c r="S1598" s="989"/>
      <c r="T1598" s="1862">
        <f t="shared" si="286"/>
        <v>0</v>
      </c>
    </row>
    <row r="1599" spans="1:20" ht="22.2" hidden="1" customHeight="1">
      <c r="A1599" s="1448">
        <f>COUNTIF($C$12:C1599,"x")</f>
        <v>89</v>
      </c>
      <c r="B1599" s="1460" t="s">
        <v>1020</v>
      </c>
      <c r="C1599" s="970" t="str">
        <f t="shared" si="287"/>
        <v xml:space="preserve"> </v>
      </c>
      <c r="D1599" s="1428"/>
      <c r="E1599" s="980" t="str">
        <f>VLOOKUP($B1599,DG!A:D,DG!$B$2,)</f>
        <v>03.4007</v>
      </c>
      <c r="F1599" s="992" t="str">
        <f>VLOOKUP($B1599,DG!A:D,DG!$C$2,)</f>
        <v>Đầu cosse ép Cu-Al 185mm2</v>
      </c>
      <c r="G1599" s="980" t="str">
        <f>VLOOKUP($B1599,DG!A:D,DG!$D$2,)</f>
        <v>cái</v>
      </c>
      <c r="H1599" s="1693">
        <f t="shared" si="290"/>
        <v>0</v>
      </c>
      <c r="I1599" s="1693"/>
      <c r="J1599" s="1693">
        <f t="shared" si="291"/>
        <v>0</v>
      </c>
      <c r="K1599" s="1693"/>
      <c r="L1599" s="1693"/>
      <c r="M1599" s="1693"/>
      <c r="N1599" s="1693"/>
      <c r="O1599" s="1693"/>
      <c r="P1599" s="1693">
        <f t="shared" si="292"/>
        <v>0</v>
      </c>
      <c r="Q1599" s="989"/>
      <c r="R1599" s="989"/>
      <c r="S1599" s="989"/>
      <c r="T1599" s="1862">
        <f t="shared" ref="T1599:T1662" si="293">IFERROR(HLOOKUP(B1599,BangKeTru,3,0),0)</f>
        <v>0</v>
      </c>
    </row>
    <row r="1600" spans="1:20" ht="22.2" hidden="1" customHeight="1">
      <c r="A1600" s="1448">
        <f>COUNTIF($C$12:C1600,"x")</f>
        <v>89</v>
      </c>
      <c r="B1600" s="1460" t="s">
        <v>1831</v>
      </c>
      <c r="C1600" s="970" t="str">
        <f t="shared" si="287"/>
        <v xml:space="preserve"> </v>
      </c>
      <c r="D1600" s="1428">
        <f>pp_NC!EC95</f>
        <v>0</v>
      </c>
      <c r="E1600" s="980" t="str">
        <f>VLOOKUP($B1600,DG!A:D,DG!$B$2,)</f>
        <v>03.4008</v>
      </c>
      <c r="F1600" s="992" t="str">
        <f>VLOOKUP($B1600,DG!A:D,DG!$C$2,)</f>
        <v>Đầu cosse ép Cu-Al 240mm2</v>
      </c>
      <c r="G1600" s="980" t="str">
        <f>VLOOKUP($B1600,DG!A:D,DG!$D$2,)</f>
        <v>cái</v>
      </c>
      <c r="H1600" s="1693">
        <f t="shared" si="290"/>
        <v>0</v>
      </c>
      <c r="I1600" s="1693"/>
      <c r="J1600" s="1693">
        <f t="shared" si="291"/>
        <v>0</v>
      </c>
      <c r="K1600" s="1693"/>
      <c r="L1600" s="1693"/>
      <c r="M1600" s="1693"/>
      <c r="N1600" s="1693"/>
      <c r="O1600" s="1693"/>
      <c r="P1600" s="1693">
        <f t="shared" si="292"/>
        <v>0</v>
      </c>
      <c r="Q1600" s="989"/>
      <c r="R1600" s="989"/>
      <c r="S1600" s="989"/>
      <c r="T1600" s="1862">
        <f t="shared" si="293"/>
        <v>0</v>
      </c>
    </row>
    <row r="1601" spans="1:20" ht="22.2" hidden="1" customHeight="1">
      <c r="A1601" s="1448">
        <f>COUNTIF($C$12:C1601,"x")</f>
        <v>89</v>
      </c>
      <c r="B1601" s="1460" t="s">
        <v>437</v>
      </c>
      <c r="C1601" s="970" t="str">
        <f t="shared" si="287"/>
        <v xml:space="preserve"> </v>
      </c>
      <c r="D1601" s="1428">
        <f>SUM(D1595:D1600)*2</f>
        <v>0</v>
      </c>
      <c r="E1601" s="980">
        <f>VLOOKUP($B1601,DG!A:D,DG!$B$2,)</f>
        <v>0</v>
      </c>
      <c r="F1601" s="992" t="str">
        <f>VLOOKUP($B1601,DG!A:D,DG!$C$2,)</f>
        <v>Boulon 12x30+ 2 long đền vuông D14-50x50x3/Zn</v>
      </c>
      <c r="G1601" s="980" t="str">
        <f>VLOOKUP($B1601,DG!A:D,DG!$D$2,)</f>
        <v>bộ</v>
      </c>
      <c r="H1601" s="1693">
        <f t="shared" si="290"/>
        <v>0</v>
      </c>
      <c r="I1601" s="1693"/>
      <c r="J1601" s="1693">
        <f t="shared" si="291"/>
        <v>0</v>
      </c>
      <c r="K1601" s="1693"/>
      <c r="L1601" s="1693"/>
      <c r="M1601" s="1693"/>
      <c r="N1601" s="1693"/>
      <c r="O1601" s="1693"/>
      <c r="P1601" s="1693">
        <f t="shared" si="292"/>
        <v>0</v>
      </c>
      <c r="Q1601" s="989"/>
      <c r="R1601" s="989"/>
      <c r="S1601" s="989"/>
      <c r="T1601" s="1862">
        <f t="shared" si="293"/>
        <v>0</v>
      </c>
    </row>
    <row r="1602" spans="1:20" ht="22.2" hidden="1" customHeight="1">
      <c r="A1602" s="1448">
        <f>COUNTIF($C$12:C1602,"x")</f>
        <v>89</v>
      </c>
      <c r="B1602" s="1460" t="s">
        <v>1479</v>
      </c>
      <c r="C1602" s="970" t="str">
        <f t="shared" si="287"/>
        <v xml:space="preserve"> </v>
      </c>
      <c r="D1602" s="1428"/>
      <c r="E1602" s="980" t="str">
        <f>VLOOKUP($B1602,DG!A:D,DG!$B$2,)</f>
        <v>04.3007</v>
      </c>
      <c r="F1602" s="992" t="str">
        <f>VLOOKUP($B1602,DG!A:D,DG!$C$2,)</f>
        <v>Kẹp quai 2/0</v>
      </c>
      <c r="G1602" s="980" t="str">
        <f>VLOOKUP($B1602,DG!A:D,DG!$D$2,)</f>
        <v>cái</v>
      </c>
      <c r="H1602" s="1693">
        <f t="shared" si="290"/>
        <v>0</v>
      </c>
      <c r="I1602" s="1693"/>
      <c r="J1602" s="1693">
        <f t="shared" si="291"/>
        <v>0</v>
      </c>
      <c r="K1602" s="1693"/>
      <c r="L1602" s="1693"/>
      <c r="M1602" s="1693"/>
      <c r="N1602" s="1693"/>
      <c r="O1602" s="1693"/>
      <c r="P1602" s="1693">
        <f t="shared" si="292"/>
        <v>0</v>
      </c>
      <c r="Q1602" s="989"/>
      <c r="R1602" s="989"/>
      <c r="S1602" s="989"/>
      <c r="T1602" s="1862">
        <f t="shared" si="293"/>
        <v>0</v>
      </c>
    </row>
    <row r="1603" spans="1:20" ht="22.2" hidden="1" customHeight="1">
      <c r="A1603" s="1448">
        <f>COUNTIF($C$12:C1603,"x")</f>
        <v>89</v>
      </c>
      <c r="B1603" s="1460" t="s">
        <v>236</v>
      </c>
      <c r="C1603" s="970" t="str">
        <f t="shared" si="287"/>
        <v xml:space="preserve"> </v>
      </c>
      <c r="D1603" s="1415">
        <f>D1602</f>
        <v>0</v>
      </c>
      <c r="E1603" s="980" t="str">
        <f>VLOOKUP($B1603,DG!A:D,DG!$B$2,)</f>
        <v>04.3007</v>
      </c>
      <c r="F1603" s="992" t="str">
        <f>VLOOKUP($B1603,DG!A:D,DG!$C$2,)</f>
        <v>Kẹp quai 4/0</v>
      </c>
      <c r="G1603" s="980" t="str">
        <f>VLOOKUP($B1603,DG!A:D,DG!$D$2,)</f>
        <v>cái</v>
      </c>
      <c r="H1603" s="1693">
        <f t="shared" si="290"/>
        <v>0</v>
      </c>
      <c r="I1603" s="1693"/>
      <c r="J1603" s="1693">
        <f t="shared" si="291"/>
        <v>0</v>
      </c>
      <c r="K1603" s="1693"/>
      <c r="L1603" s="1693"/>
      <c r="M1603" s="1693"/>
      <c r="N1603" s="1693"/>
      <c r="O1603" s="1693"/>
      <c r="P1603" s="1693">
        <f t="shared" si="292"/>
        <v>0</v>
      </c>
      <c r="Q1603" s="989"/>
      <c r="R1603" s="989"/>
      <c r="S1603" s="989"/>
      <c r="T1603" s="1862">
        <f t="shared" si="293"/>
        <v>0</v>
      </c>
    </row>
    <row r="1604" spans="1:20" ht="22.2" hidden="1" customHeight="1">
      <c r="A1604" s="1448">
        <f>COUNTIF($C$12:C1604,"x")</f>
        <v>89</v>
      </c>
      <c r="B1604" s="1475" t="s">
        <v>1477</v>
      </c>
      <c r="C1604" s="970" t="str">
        <f t="shared" si="287"/>
        <v xml:space="preserve"> </v>
      </c>
      <c r="D1604" s="1415">
        <f>D1602*3/2</f>
        <v>0</v>
      </c>
      <c r="E1604" s="980"/>
      <c r="F1604" s="992" t="str">
        <f>VLOOKUP($B1604,DG!A:D,DG!$C$2,)</f>
        <v>Kẹp hotline 2/0</v>
      </c>
      <c r="G1604" s="980" t="str">
        <f>VLOOKUP($B1604,DG!A:D,DG!$D$2,)</f>
        <v>cái</v>
      </c>
      <c r="H1604" s="1693">
        <f t="shared" si="290"/>
        <v>0</v>
      </c>
      <c r="I1604" s="1693"/>
      <c r="J1604" s="1693">
        <f t="shared" si="291"/>
        <v>0</v>
      </c>
      <c r="K1604" s="1693"/>
      <c r="L1604" s="1693"/>
      <c r="M1604" s="1693"/>
      <c r="N1604" s="1693"/>
      <c r="O1604" s="1693"/>
      <c r="P1604" s="1693">
        <f t="shared" si="292"/>
        <v>0</v>
      </c>
      <c r="Q1604" s="989"/>
      <c r="R1604" s="989"/>
      <c r="S1604" s="989"/>
      <c r="T1604" s="1862">
        <f t="shared" si="293"/>
        <v>0</v>
      </c>
    </row>
    <row r="1605" spans="1:20" ht="22.2" hidden="1" customHeight="1">
      <c r="A1605" s="1448">
        <f>COUNTIF($C$12:C1605,"x")</f>
        <v>89</v>
      </c>
      <c r="B1605" s="1475" t="s">
        <v>1049</v>
      </c>
      <c r="C1605" s="970" t="str">
        <f t="shared" si="287"/>
        <v xml:space="preserve"> </v>
      </c>
      <c r="D1605" s="1428">
        <f>pp_NC!BP184</f>
        <v>0</v>
      </c>
      <c r="E1605" s="980"/>
      <c r="F1605" s="992" t="str">
        <f>VLOOKUP($B1605,DG!A:D,DG!$C$2,)</f>
        <v>Kẹp hotline 4/0</v>
      </c>
      <c r="G1605" s="980" t="str">
        <f>VLOOKUP($B1605,DG!A:D,DG!$D$2,)</f>
        <v>cái</v>
      </c>
      <c r="H1605" s="1693">
        <f t="shared" si="290"/>
        <v>0</v>
      </c>
      <c r="I1605" s="1693"/>
      <c r="J1605" s="1693">
        <f t="shared" si="291"/>
        <v>0</v>
      </c>
      <c r="K1605" s="1693"/>
      <c r="L1605" s="1693"/>
      <c r="M1605" s="1693"/>
      <c r="N1605" s="1693"/>
      <c r="O1605" s="1693"/>
      <c r="P1605" s="1693">
        <f t="shared" si="292"/>
        <v>0</v>
      </c>
      <c r="Q1605" s="989"/>
      <c r="R1605" s="989"/>
      <c r="S1605" s="989"/>
      <c r="T1605" s="1862">
        <f t="shared" si="293"/>
        <v>0</v>
      </c>
    </row>
    <row r="1606" spans="1:20" ht="22.2" hidden="1" customHeight="1">
      <c r="A1606" s="1448">
        <f>COUNTIF($C$12:C1606,"x")</f>
        <v>89</v>
      </c>
      <c r="B1606" s="1460" t="s">
        <v>1487</v>
      </c>
      <c r="C1606" s="970" t="str">
        <f t="shared" si="287"/>
        <v xml:space="preserve"> </v>
      </c>
      <c r="D1606" s="1415">
        <f>ROUND((E1518)*1.03/1500,0)</f>
        <v>0</v>
      </c>
      <c r="E1606" s="980"/>
      <c r="F1606" s="992" t="str">
        <f>VLOOKUP($B1606,DG!A:D,DG!$C$2,)</f>
        <v>Ống nối dây cỡ 50mm2</v>
      </c>
      <c r="G1606" s="980" t="str">
        <f>VLOOKUP($B1606,DG!A:D,DG!$D$2,)</f>
        <v>cái</v>
      </c>
      <c r="H1606" s="1693">
        <f t="shared" si="290"/>
        <v>0</v>
      </c>
      <c r="I1606" s="1693"/>
      <c r="J1606" s="1693">
        <f t="shared" si="291"/>
        <v>0</v>
      </c>
      <c r="K1606" s="1693"/>
      <c r="L1606" s="1693"/>
      <c r="M1606" s="1693"/>
      <c r="N1606" s="1693"/>
      <c r="O1606" s="1693"/>
      <c r="P1606" s="1693">
        <f t="shared" si="292"/>
        <v>0</v>
      </c>
      <c r="Q1606" s="989"/>
      <c r="R1606" s="989"/>
      <c r="S1606" s="989"/>
      <c r="T1606" s="1862">
        <f t="shared" si="293"/>
        <v>0</v>
      </c>
    </row>
    <row r="1607" spans="1:20" ht="22.2" hidden="1" customHeight="1">
      <c r="A1607" s="1448">
        <f>COUNTIF($C$12:C1607,"x")</f>
        <v>89</v>
      </c>
      <c r="B1607" s="1460" t="s">
        <v>1488</v>
      </c>
      <c r="C1607" s="970" t="str">
        <f t="shared" ref="C1607:C1670" si="294">IF(OR(P1607&lt;&gt;0,H1607&lt;&gt;0),"x"," ")</f>
        <v xml:space="preserve"> </v>
      </c>
      <c r="D1607" s="1415">
        <f>ROUND((E1517+E1525)*1.03/1400,0)</f>
        <v>0</v>
      </c>
      <c r="E1607" s="980"/>
      <c r="F1607" s="992" t="str">
        <f>VLOOKUP($B1607,DG!A:D,DG!$C$2,)</f>
        <v>Ống nối dây cỡ 70mm2</v>
      </c>
      <c r="G1607" s="980" t="str">
        <f>VLOOKUP($B1607,DG!A:D,DG!$D$2,)</f>
        <v>cái</v>
      </c>
      <c r="H1607" s="1693">
        <f t="shared" si="290"/>
        <v>0</v>
      </c>
      <c r="I1607" s="1693"/>
      <c r="J1607" s="1693">
        <f t="shared" si="291"/>
        <v>0</v>
      </c>
      <c r="K1607" s="1693"/>
      <c r="L1607" s="1693"/>
      <c r="M1607" s="1693"/>
      <c r="N1607" s="1693"/>
      <c r="O1607" s="1693"/>
      <c r="P1607" s="1693">
        <f t="shared" si="292"/>
        <v>0</v>
      </c>
      <c r="Q1607" s="989"/>
      <c r="R1607" s="989"/>
      <c r="S1607" s="989"/>
      <c r="T1607" s="1862">
        <f t="shared" si="293"/>
        <v>0</v>
      </c>
    </row>
    <row r="1608" spans="1:20" ht="22.2" hidden="1" customHeight="1">
      <c r="A1608" s="1448">
        <f>COUNTIF($C$12:C1608,"x")</f>
        <v>89</v>
      </c>
      <c r="B1608" s="1460" t="s">
        <v>432</v>
      </c>
      <c r="C1608" s="970" t="str">
        <f t="shared" si="294"/>
        <v xml:space="preserve"> </v>
      </c>
      <c r="D1608" s="1415">
        <f>ROUND((E1516+E1524)*1.03/1200,0)</f>
        <v>0</v>
      </c>
      <c r="E1608" s="980"/>
      <c r="F1608" s="992" t="str">
        <f>VLOOKUP($B1608,DG!A:D,DG!$C$2,)</f>
        <v>Ống nối dây cỡ 95mm2</v>
      </c>
      <c r="G1608" s="980" t="str">
        <f>VLOOKUP($B1608,DG!A:D,DG!$D$2,)</f>
        <v>cái</v>
      </c>
      <c r="H1608" s="1693">
        <f t="shared" ref="H1608:H1614" si="295">$D1608</f>
        <v>0</v>
      </c>
      <c r="I1608" s="1693"/>
      <c r="J1608" s="1693">
        <f t="shared" ref="J1608:J1614" si="296">D1608</f>
        <v>0</v>
      </c>
      <c r="K1608" s="1693"/>
      <c r="L1608" s="1693"/>
      <c r="M1608" s="1693"/>
      <c r="N1608" s="1693"/>
      <c r="O1608" s="1693"/>
      <c r="P1608" s="1693">
        <f t="shared" si="292"/>
        <v>0</v>
      </c>
      <c r="Q1608" s="989"/>
      <c r="R1608" s="989"/>
      <c r="S1608" s="989"/>
      <c r="T1608" s="1862">
        <f t="shared" si="293"/>
        <v>0</v>
      </c>
    </row>
    <row r="1609" spans="1:20" ht="22.2" hidden="1" customHeight="1">
      <c r="A1609" s="1448">
        <f>COUNTIF($C$12:C1609,"x")</f>
        <v>89</v>
      </c>
      <c r="B1609" s="1460" t="s">
        <v>573</v>
      </c>
      <c r="C1609" s="970" t="str">
        <f t="shared" si="294"/>
        <v xml:space="preserve"> </v>
      </c>
      <c r="D1609" s="1415">
        <f>ROUND((E1515+E1523)*1.03/1200,0)</f>
        <v>0</v>
      </c>
      <c r="E1609" s="980"/>
      <c r="F1609" s="992" t="str">
        <f>VLOOKUP($B1609,DG!A:D,DG!$C$2,)</f>
        <v>Ống nối dây cỡ 120mm2</v>
      </c>
      <c r="G1609" s="980" t="str">
        <f>VLOOKUP($B1609,DG!A:D,DG!$D$2,)</f>
        <v>cái</v>
      </c>
      <c r="H1609" s="1693">
        <f t="shared" si="295"/>
        <v>0</v>
      </c>
      <c r="I1609" s="1693"/>
      <c r="J1609" s="1693">
        <f t="shared" si="296"/>
        <v>0</v>
      </c>
      <c r="K1609" s="1693"/>
      <c r="L1609" s="1693"/>
      <c r="M1609" s="1693"/>
      <c r="N1609" s="1693"/>
      <c r="O1609" s="1693"/>
      <c r="P1609" s="1693">
        <f t="shared" si="292"/>
        <v>0</v>
      </c>
      <c r="Q1609" s="989"/>
      <c r="R1609" s="989"/>
      <c r="S1609" s="989"/>
      <c r="T1609" s="1862">
        <f t="shared" si="293"/>
        <v>0</v>
      </c>
    </row>
    <row r="1610" spans="1:20" ht="22.2" hidden="1" customHeight="1">
      <c r="A1610" s="1448">
        <f>COUNTIF($C$12:C1610,"x")</f>
        <v>89</v>
      </c>
      <c r="B1610" s="1460" t="s">
        <v>937</v>
      </c>
      <c r="C1610" s="970" t="str">
        <f t="shared" si="294"/>
        <v xml:space="preserve"> </v>
      </c>
      <c r="D1610" s="1415">
        <f>ROUND((E1514+E1522)*1.03/1200,0)</f>
        <v>0</v>
      </c>
      <c r="E1610" s="980"/>
      <c r="F1610" s="992" t="str">
        <f>VLOOKUP($B1610,DG!A:D,DG!$C$2,)</f>
        <v>Ống nối dây cỡ 150mm2</v>
      </c>
      <c r="G1610" s="980" t="str">
        <f>VLOOKUP($B1610,DG!A:D,DG!$D$2,)</f>
        <v>cái</v>
      </c>
      <c r="H1610" s="1693">
        <f t="shared" si="295"/>
        <v>0</v>
      </c>
      <c r="I1610" s="1693"/>
      <c r="J1610" s="1693">
        <f t="shared" si="296"/>
        <v>0</v>
      </c>
      <c r="K1610" s="1693"/>
      <c r="L1610" s="1693"/>
      <c r="M1610" s="1693"/>
      <c r="N1610" s="1693"/>
      <c r="O1610" s="1693"/>
      <c r="P1610" s="1693">
        <f t="shared" si="292"/>
        <v>0</v>
      </c>
      <c r="Q1610" s="989"/>
      <c r="R1610" s="989"/>
      <c r="S1610" s="989"/>
      <c r="T1610" s="1862">
        <f t="shared" si="293"/>
        <v>0</v>
      </c>
    </row>
    <row r="1611" spans="1:20" ht="22.2" hidden="1" customHeight="1">
      <c r="A1611" s="1448">
        <f>COUNTIF($C$12:C1611,"x")</f>
        <v>89</v>
      </c>
      <c r="B1611" s="1460" t="s">
        <v>572</v>
      </c>
      <c r="C1611" s="970" t="str">
        <f t="shared" si="294"/>
        <v xml:space="preserve"> </v>
      </c>
      <c r="D1611" s="1415">
        <f>ROUND((E1513+E1521)*1.03/1200,0)</f>
        <v>0</v>
      </c>
      <c r="E1611" s="980"/>
      <c r="F1611" s="992" t="str">
        <f>VLOOKUP($B1611,DG!A:D,DG!$C$2,)</f>
        <v>Ống nối dây cỡ 185mm2</v>
      </c>
      <c r="G1611" s="980" t="str">
        <f>VLOOKUP($B1611,DG!A:D,DG!$D$2,)</f>
        <v>cái</v>
      </c>
      <c r="H1611" s="1693">
        <f t="shared" si="295"/>
        <v>0</v>
      </c>
      <c r="I1611" s="1693"/>
      <c r="J1611" s="1693">
        <f t="shared" si="296"/>
        <v>0</v>
      </c>
      <c r="K1611" s="1693"/>
      <c r="L1611" s="1693"/>
      <c r="M1611" s="1693"/>
      <c r="N1611" s="1693"/>
      <c r="O1611" s="1693"/>
      <c r="P1611" s="1693">
        <f t="shared" si="292"/>
        <v>0</v>
      </c>
      <c r="Q1611" s="989"/>
      <c r="R1611" s="989"/>
      <c r="S1611" s="989"/>
      <c r="T1611" s="1862">
        <f t="shared" si="293"/>
        <v>0</v>
      </c>
    </row>
    <row r="1612" spans="1:20" ht="22.2" hidden="1" customHeight="1">
      <c r="A1612" s="1448">
        <f>COUNTIF($C$12:C1612,"x")</f>
        <v>89</v>
      </c>
      <c r="B1612" s="1460" t="s">
        <v>571</v>
      </c>
      <c r="C1612" s="970" t="str">
        <f t="shared" si="294"/>
        <v xml:space="preserve"> </v>
      </c>
      <c r="D1612" s="1415">
        <f>ROUND((E1512+E1520)*1.03/1200,0)</f>
        <v>0</v>
      </c>
      <c r="E1612" s="980"/>
      <c r="F1612" s="992" t="str">
        <f>VLOOKUP($B1612,DG!A:D,DG!$C$2,)</f>
        <v>Ống nối dây cỡ 240mm2</v>
      </c>
      <c r="G1612" s="980" t="str">
        <f>VLOOKUP($B1612,DG!A:D,DG!$D$2,)</f>
        <v>cái</v>
      </c>
      <c r="H1612" s="1693">
        <f t="shared" si="295"/>
        <v>0</v>
      </c>
      <c r="I1612" s="1693"/>
      <c r="J1612" s="1693">
        <f t="shared" si="296"/>
        <v>0</v>
      </c>
      <c r="K1612" s="1693"/>
      <c r="L1612" s="1693"/>
      <c r="M1612" s="1693"/>
      <c r="N1612" s="1693"/>
      <c r="O1612" s="1693"/>
      <c r="P1612" s="1693">
        <f t="shared" si="292"/>
        <v>0</v>
      </c>
      <c r="Q1612" s="989"/>
      <c r="R1612" s="989"/>
      <c r="S1612" s="989"/>
      <c r="T1612" s="1862">
        <f t="shared" si="293"/>
        <v>0</v>
      </c>
    </row>
    <row r="1613" spans="1:20" ht="22.2" hidden="1" customHeight="1">
      <c r="A1613" s="1448">
        <f>COUNTIF($C$12:C1613,"x")</f>
        <v>89</v>
      </c>
      <c r="B1613" s="1459" t="s">
        <v>229</v>
      </c>
      <c r="C1613" s="970" t="str">
        <f t="shared" si="294"/>
        <v xml:space="preserve"> </v>
      </c>
      <c r="D1613" s="1415"/>
      <c r="E1613" s="980"/>
      <c r="F1613" s="992" t="str">
        <f>VLOOKUP($B1613,DG!A:D,DG!$C$2,)</f>
        <v xml:space="preserve">Dây nhôm buộc </v>
      </c>
      <c r="G1613" s="980" t="str">
        <f>VLOOKUP($B1613,DG!A:D,DG!$D$2,)</f>
        <v>kg</v>
      </c>
      <c r="H1613" s="1693">
        <f t="shared" si="295"/>
        <v>0</v>
      </c>
      <c r="I1613" s="1693"/>
      <c r="J1613" s="1693">
        <f t="shared" si="296"/>
        <v>0</v>
      </c>
      <c r="K1613" s="1693"/>
      <c r="L1613" s="1693"/>
      <c r="M1613" s="1693"/>
      <c r="N1613" s="1693"/>
      <c r="O1613" s="1693"/>
      <c r="P1613" s="1693">
        <f>H1613+Q1613-R1613</f>
        <v>0</v>
      </c>
      <c r="Q1613" s="989"/>
      <c r="R1613" s="989"/>
      <c r="S1613" s="989"/>
      <c r="T1613" s="1862">
        <f t="shared" si="293"/>
        <v>0</v>
      </c>
    </row>
    <row r="1614" spans="1:20" ht="22.2" hidden="1" customHeight="1">
      <c r="A1614" s="1448">
        <f>COUNTIF($C$12:C1614,"x")</f>
        <v>89</v>
      </c>
      <c r="B1614" s="1460" t="s">
        <v>1570</v>
      </c>
      <c r="C1614" s="970" t="str">
        <f t="shared" si="294"/>
        <v xml:space="preserve"> </v>
      </c>
      <c r="D1614" s="1415"/>
      <c r="E1614" s="980"/>
      <c r="F1614" s="992" t="str">
        <f>VLOOKUP($B1614,DG!A:D,DG!$C$2,)</f>
        <v>Biển số - Bảng nguy hiểm</v>
      </c>
      <c r="G1614" s="980" t="str">
        <f>VLOOKUP($B1614,DG!A:D,DG!$D$2,)</f>
        <v>cái</v>
      </c>
      <c r="H1614" s="1693">
        <f t="shared" si="295"/>
        <v>0</v>
      </c>
      <c r="I1614" s="1693"/>
      <c r="J1614" s="1693">
        <f t="shared" si="296"/>
        <v>0</v>
      </c>
      <c r="K1614" s="1693"/>
      <c r="L1614" s="1693"/>
      <c r="M1614" s="1693"/>
      <c r="N1614" s="1693"/>
      <c r="O1614" s="1693"/>
      <c r="P1614" s="1693">
        <f t="shared" si="292"/>
        <v>0</v>
      </c>
      <c r="Q1614" s="989"/>
      <c r="R1614" s="989"/>
      <c r="S1614" s="989"/>
      <c r="T1614" s="1862">
        <f t="shared" si="293"/>
        <v>0</v>
      </c>
    </row>
    <row r="1615" spans="1:20" ht="22.2" hidden="1" customHeight="1">
      <c r="A1615" s="1448">
        <f>COUNTIF($C$12:C1615,"x")</f>
        <v>89</v>
      </c>
      <c r="B1615" s="1460" t="s">
        <v>1269</v>
      </c>
      <c r="C1615" s="970" t="str">
        <f t="shared" si="294"/>
        <v xml:space="preserve"> </v>
      </c>
      <c r="D1615" s="1413"/>
      <c r="E1615" s="980" t="str">
        <f>VLOOKUP($B1615,DG!A:D,DG!$B$2,)</f>
        <v>06.6114</v>
      </c>
      <c r="F1615" s="992" t="s">
        <v>2518</v>
      </c>
      <c r="G1615" s="980" t="str">
        <f>VLOOKUP($B1615,DG!A:D,DG!$D$2,)</f>
        <v>km</v>
      </c>
      <c r="H1615" s="1693"/>
      <c r="I1615" s="1693"/>
      <c r="J1615" s="1693"/>
      <c r="K1615" s="1693"/>
      <c r="L1615" s="1693"/>
      <c r="M1615" s="1693"/>
      <c r="N1615" s="1693"/>
      <c r="O1615" s="1693"/>
      <c r="P1615" s="1693">
        <f t="shared" si="292"/>
        <v>0</v>
      </c>
      <c r="Q1615" s="989"/>
      <c r="R1615" s="989"/>
      <c r="S1615" s="989"/>
      <c r="T1615" s="1862">
        <f t="shared" si="293"/>
        <v>0</v>
      </c>
    </row>
    <row r="1616" spans="1:20" ht="22.2" hidden="1" customHeight="1">
      <c r="A1616" s="1448">
        <f>COUNTIF($C$12:C1616,"x")</f>
        <v>89</v>
      </c>
      <c r="B1616" s="1460" t="s">
        <v>1414</v>
      </c>
      <c r="C1616" s="970" t="str">
        <f t="shared" si="294"/>
        <v xml:space="preserve"> </v>
      </c>
      <c r="D1616" s="1413">
        <f>(E1517)/1000</f>
        <v>0</v>
      </c>
      <c r="E1616" s="980" t="str">
        <f>VLOOKUP($B1616,DG!A:D,DG!$B$2,)</f>
        <v>06.6105</v>
      </c>
      <c r="F1616" s="985" t="str">
        <f>VLOOKUP($B1616,DG!A:D,DG!$C$2,)</f>
        <v>Kéo dây nhôm lõi thép cỡ dây 70mm2</v>
      </c>
      <c r="G1616" s="980" t="str">
        <f>VLOOKUP($B1616,DG!A:D,DG!$D$2,)</f>
        <v>km</v>
      </c>
      <c r="H1616" s="1693"/>
      <c r="I1616" s="1693"/>
      <c r="J1616" s="1693"/>
      <c r="K1616" s="1693"/>
      <c r="L1616" s="1693"/>
      <c r="M1616" s="1693"/>
      <c r="N1616" s="1693"/>
      <c r="O1616" s="1693"/>
      <c r="P1616" s="1693">
        <f t="shared" si="292"/>
        <v>0</v>
      </c>
      <c r="Q1616" s="989"/>
      <c r="R1616" s="989"/>
      <c r="S1616" s="989"/>
      <c r="T1616" s="1862">
        <f t="shared" si="293"/>
        <v>0</v>
      </c>
    </row>
    <row r="1617" spans="1:20" ht="22.2" hidden="1" customHeight="1">
      <c r="A1617" s="1448">
        <f>COUNTIF($C$12:C1617,"x")</f>
        <v>89</v>
      </c>
      <c r="B1617" s="1460" t="s">
        <v>1524</v>
      </c>
      <c r="C1617" s="970" t="str">
        <f t="shared" si="294"/>
        <v xml:space="preserve"> </v>
      </c>
      <c r="D1617" s="1413">
        <f>(E1516)/1000</f>
        <v>0</v>
      </c>
      <c r="E1617" s="980" t="str">
        <f>VLOOKUP($B1617,DG!A:D,DG!$B$2,)</f>
        <v>06.6106</v>
      </c>
      <c r="F1617" s="985" t="str">
        <f>VLOOKUP($B1617,DG!A:D,DG!$C$2,)</f>
        <v>Kéo dây nhôm lõi thép cỡ dây 95mm2</v>
      </c>
      <c r="G1617" s="980" t="str">
        <f>VLOOKUP($B1617,DG!A:D,DG!$D$2,)</f>
        <v>km</v>
      </c>
      <c r="H1617" s="1693"/>
      <c r="I1617" s="1693"/>
      <c r="J1617" s="1693"/>
      <c r="K1617" s="1693"/>
      <c r="L1617" s="1693"/>
      <c r="M1617" s="1693"/>
      <c r="N1617" s="1693"/>
      <c r="O1617" s="1693"/>
      <c r="P1617" s="1693">
        <f t="shared" si="292"/>
        <v>0</v>
      </c>
      <c r="Q1617" s="989"/>
      <c r="R1617" s="989"/>
      <c r="S1617" s="989"/>
      <c r="T1617" s="1862">
        <f t="shared" si="293"/>
        <v>0</v>
      </c>
    </row>
    <row r="1618" spans="1:20" ht="22.2" hidden="1" customHeight="1">
      <c r="A1618" s="1448">
        <f>COUNTIF($C$12:C1618,"x")</f>
        <v>89</v>
      </c>
      <c r="B1618" s="1460" t="s">
        <v>139</v>
      </c>
      <c r="C1618" s="970" t="str">
        <f t="shared" si="294"/>
        <v xml:space="preserve"> </v>
      </c>
      <c r="D1618" s="1413">
        <f>(E1515)/1000</f>
        <v>0</v>
      </c>
      <c r="E1618" s="980" t="str">
        <f>VLOOKUP($B1618,DG!A:D,DG!$B$2,)</f>
        <v>06.6107</v>
      </c>
      <c r="F1618" s="985" t="str">
        <f>VLOOKUP($B1618,DG!A:D,DG!$C$2,)</f>
        <v>Kéo dây nhôm lõi thép cỡ dây 120mm2</v>
      </c>
      <c r="G1618" s="980" t="str">
        <f>VLOOKUP($B1618,DG!A:D,DG!$D$2,)</f>
        <v>km</v>
      </c>
      <c r="H1618" s="1693"/>
      <c r="I1618" s="1693"/>
      <c r="J1618" s="1693"/>
      <c r="K1618" s="1693"/>
      <c r="L1618" s="1693"/>
      <c r="M1618" s="1693"/>
      <c r="N1618" s="1693"/>
      <c r="O1618" s="1693"/>
      <c r="P1618" s="1693">
        <f t="shared" si="292"/>
        <v>0</v>
      </c>
      <c r="Q1618" s="989"/>
      <c r="R1618" s="989"/>
      <c r="S1618" s="989"/>
      <c r="T1618" s="1862">
        <f t="shared" si="293"/>
        <v>0</v>
      </c>
    </row>
    <row r="1619" spans="1:20" ht="22.2" hidden="1" customHeight="1">
      <c r="A1619" s="1448">
        <f>COUNTIF($C$12:C1619,"x")</f>
        <v>89</v>
      </c>
      <c r="B1619" s="1460" t="s">
        <v>791</v>
      </c>
      <c r="C1619" s="970" t="str">
        <f t="shared" si="294"/>
        <v xml:space="preserve"> </v>
      </c>
      <c r="D1619" s="1413">
        <f>(E1514)/1000</f>
        <v>0</v>
      </c>
      <c r="E1619" s="980" t="str">
        <f>VLOOKUP($B1619,DG!A:D,DG!$B$2,)</f>
        <v>06.6108</v>
      </c>
      <c r="F1619" s="985" t="str">
        <f>VLOOKUP($B1619,DG!A:D,DG!$C$2,)</f>
        <v>Kéo dây nhôm lõi thép cỡ dây 150mm2</v>
      </c>
      <c r="G1619" s="980" t="str">
        <f>VLOOKUP($B1619,DG!A:D,DG!$D$2,)</f>
        <v>km</v>
      </c>
      <c r="H1619" s="1693"/>
      <c r="I1619" s="1693"/>
      <c r="J1619" s="1693"/>
      <c r="K1619" s="1693"/>
      <c r="L1619" s="1693"/>
      <c r="M1619" s="1693"/>
      <c r="N1619" s="1693"/>
      <c r="O1619" s="1693"/>
      <c r="P1619" s="1693">
        <f t="shared" si="292"/>
        <v>0</v>
      </c>
      <c r="Q1619" s="989"/>
      <c r="R1619" s="989"/>
      <c r="S1619" s="989"/>
      <c r="T1619" s="1862">
        <f t="shared" si="293"/>
        <v>0</v>
      </c>
    </row>
    <row r="1620" spans="1:20" ht="22.2" hidden="1" customHeight="1">
      <c r="A1620" s="1448">
        <f>COUNTIF($C$12:C1620,"x")</f>
        <v>89</v>
      </c>
      <c r="B1620" s="1459" t="s">
        <v>366</v>
      </c>
      <c r="C1620" s="970" t="str">
        <f t="shared" si="294"/>
        <v xml:space="preserve"> </v>
      </c>
      <c r="D1620" s="1413"/>
      <c r="E1620" s="980" t="str">
        <f>VLOOKUP($B1620,DG!A:D,DG!$B$2,)</f>
        <v>06.6114</v>
      </c>
      <c r="F1620" s="985" t="str">
        <f>VLOOKUP($B1620,DG!A:D,DG!$C$2,)</f>
        <v>Kéo dây nhôm bọc cỡ dây 50mm2</v>
      </c>
      <c r="G1620" s="980" t="str">
        <f>VLOOKUP($B1620,DG!A:D,DG!$D$2,)</f>
        <v>km</v>
      </c>
      <c r="H1620" s="1693">
        <f>$D1620</f>
        <v>0</v>
      </c>
      <c r="I1620" s="1693"/>
      <c r="J1620" s="1693"/>
      <c r="K1620" s="1693"/>
      <c r="L1620" s="1693"/>
      <c r="M1620" s="1693"/>
      <c r="N1620" s="1693"/>
      <c r="O1620" s="1693"/>
      <c r="P1620" s="1693">
        <f t="shared" si="292"/>
        <v>0</v>
      </c>
      <c r="Q1620" s="989"/>
      <c r="R1620" s="989"/>
      <c r="S1620" s="989"/>
      <c r="T1620" s="1862">
        <f t="shared" si="293"/>
        <v>0</v>
      </c>
    </row>
    <row r="1621" spans="1:20" ht="22.2" hidden="1" customHeight="1">
      <c r="A1621" s="1448">
        <f>COUNTIF($C$12:C1621,"x")</f>
        <v>89</v>
      </c>
      <c r="B1621" s="1460" t="s">
        <v>140</v>
      </c>
      <c r="C1621" s="970" t="str">
        <f t="shared" si="294"/>
        <v xml:space="preserve"> </v>
      </c>
      <c r="D1621" s="1413">
        <f>(E1513)/1000</f>
        <v>0</v>
      </c>
      <c r="E1621" s="980" t="str">
        <f>VLOOKUP($B1621,DG!A:D,DG!$B$2,)</f>
        <v>06.6109</v>
      </c>
      <c r="F1621" s="985" t="str">
        <f>VLOOKUP($B1621,DG!A:D,DG!$C$2,)</f>
        <v>Kéo dây nhôm lõi thép cỡ dây 185mm2</v>
      </c>
      <c r="G1621" s="980" t="str">
        <f>VLOOKUP($B1621,DG!A:D,DG!$D$2,)</f>
        <v>km</v>
      </c>
      <c r="H1621" s="1693"/>
      <c r="I1621" s="1693"/>
      <c r="J1621" s="1693"/>
      <c r="K1621" s="1693"/>
      <c r="L1621" s="1693"/>
      <c r="M1621" s="1693"/>
      <c r="N1621" s="1693"/>
      <c r="O1621" s="1693"/>
      <c r="P1621" s="1693">
        <f t="shared" si="292"/>
        <v>0</v>
      </c>
      <c r="Q1621" s="989"/>
      <c r="R1621" s="989"/>
      <c r="S1621" s="989"/>
      <c r="T1621" s="1862">
        <f t="shared" si="293"/>
        <v>0</v>
      </c>
    </row>
    <row r="1622" spans="1:20" ht="22.2" hidden="1" customHeight="1">
      <c r="A1622" s="1448">
        <f>COUNTIF($C$12:C1622,"x")</f>
        <v>89</v>
      </c>
      <c r="B1622" s="1460" t="s">
        <v>711</v>
      </c>
      <c r="C1622" s="970" t="str">
        <f t="shared" si="294"/>
        <v xml:space="preserve"> </v>
      </c>
      <c r="D1622" s="1413">
        <f>(E1512)/1000</f>
        <v>0</v>
      </c>
      <c r="E1622" s="980" t="str">
        <f>VLOOKUP($B1622,DG!A:D,DG!$B$2,)</f>
        <v>06.6110</v>
      </c>
      <c r="F1622" s="985" t="str">
        <f>VLOOKUP($B1622,DG!A:D,DG!$C$2,)</f>
        <v>Kéo dây nhôm lõi thép cỡ dây 240mm2</v>
      </c>
      <c r="G1622" s="980" t="str">
        <f>VLOOKUP($B1622,DG!A:D,DG!$D$2,)</f>
        <v>km</v>
      </c>
      <c r="H1622" s="1693"/>
      <c r="I1622" s="1693"/>
      <c r="J1622" s="1693"/>
      <c r="K1622" s="1693"/>
      <c r="L1622" s="1693"/>
      <c r="M1622" s="1693"/>
      <c r="N1622" s="1693"/>
      <c r="O1622" s="1693"/>
      <c r="P1622" s="1693">
        <f t="shared" si="292"/>
        <v>0</v>
      </c>
      <c r="Q1622" s="989"/>
      <c r="R1622" s="989"/>
      <c r="S1622" s="989"/>
      <c r="T1622" s="1862">
        <f t="shared" si="293"/>
        <v>0</v>
      </c>
    </row>
    <row r="1623" spans="1:20" ht="22.2" hidden="1" customHeight="1">
      <c r="A1623" s="1448">
        <f>COUNTIF($C$12:C1623,"x")</f>
        <v>89</v>
      </c>
      <c r="B1623" s="1460" t="s">
        <v>79</v>
      </c>
      <c r="C1623" s="970" t="str">
        <f t="shared" si="294"/>
        <v xml:space="preserve"> </v>
      </c>
      <c r="D1623" s="1413">
        <f>E1525/1000</f>
        <v>0</v>
      </c>
      <c r="E1623" s="980" t="str">
        <f>VLOOKUP($B1623,DG!A:D,DG!$B$2,)</f>
        <v>06.6105</v>
      </c>
      <c r="F1623" s="985" t="str">
        <f>VLOOKUP($B1623,DG!A:D,DG!$C$2,)</f>
        <v>Kéo dây nhôm bọc 70mm2</v>
      </c>
      <c r="G1623" s="980" t="str">
        <f>VLOOKUP($B1623,DG!A:D,DG!$D$2,)</f>
        <v>km</v>
      </c>
      <c r="H1623" s="1693"/>
      <c r="I1623" s="1693"/>
      <c r="J1623" s="1693"/>
      <c r="K1623" s="1693"/>
      <c r="L1623" s="1693"/>
      <c r="M1623" s="1693"/>
      <c r="N1623" s="1693"/>
      <c r="O1623" s="1693"/>
      <c r="P1623" s="1693">
        <f t="shared" si="292"/>
        <v>0</v>
      </c>
      <c r="Q1623" s="989"/>
      <c r="R1623" s="989"/>
      <c r="S1623" s="989"/>
      <c r="T1623" s="1862">
        <f t="shared" si="293"/>
        <v>0</v>
      </c>
    </row>
    <row r="1624" spans="1:20" ht="22.2" hidden="1" customHeight="1">
      <c r="A1624" s="1448">
        <f>COUNTIF($C$12:C1624,"x")</f>
        <v>89</v>
      </c>
      <c r="B1624" s="1460" t="s">
        <v>1509</v>
      </c>
      <c r="C1624" s="970" t="str">
        <f t="shared" si="294"/>
        <v xml:space="preserve"> </v>
      </c>
      <c r="D1624" s="1413">
        <f>E1524/1000</f>
        <v>0</v>
      </c>
      <c r="E1624" s="980" t="str">
        <f>VLOOKUP($B1624,DG!A:D,DG!$B$2,)</f>
        <v>06.6106</v>
      </c>
      <c r="F1624" s="985" t="str">
        <f>VLOOKUP($B1624,DG!A:D,DG!$C$2,)</f>
        <v>Kéo dây nhôm bọc 95mm2</v>
      </c>
      <c r="G1624" s="980" t="str">
        <f>VLOOKUP($B1624,DG!A:D,DG!$D$2,)</f>
        <v>km</v>
      </c>
      <c r="H1624" s="1693"/>
      <c r="I1624" s="1693"/>
      <c r="J1624" s="1693"/>
      <c r="K1624" s="1693"/>
      <c r="L1624" s="1693"/>
      <c r="M1624" s="1693"/>
      <c r="N1624" s="1693"/>
      <c r="O1624" s="1693"/>
      <c r="P1624" s="1693">
        <f t="shared" si="292"/>
        <v>0</v>
      </c>
      <c r="Q1624" s="989"/>
      <c r="R1624" s="989"/>
      <c r="S1624" s="989"/>
      <c r="T1624" s="1862">
        <f t="shared" si="293"/>
        <v>0</v>
      </c>
    </row>
    <row r="1625" spans="1:20" ht="22.2" hidden="1" customHeight="1">
      <c r="A1625" s="1448">
        <f>COUNTIF($C$12:C1625,"x")</f>
        <v>89</v>
      </c>
      <c r="B1625" s="1460" t="s">
        <v>1174</v>
      </c>
      <c r="C1625" s="970" t="str">
        <f t="shared" si="294"/>
        <v xml:space="preserve"> </v>
      </c>
      <c r="D1625" s="1413">
        <f>E1523/1000</f>
        <v>0</v>
      </c>
      <c r="E1625" s="980" t="str">
        <f>VLOOKUP($B1625,DG!A:D,DG!$B$2,)</f>
        <v>06.6107</v>
      </c>
      <c r="F1625" s="985" t="str">
        <f>VLOOKUP($B1625,DG!A:D,DG!$C$2,)</f>
        <v>Kéo dây nhôm bọc 120mm2</v>
      </c>
      <c r="G1625" s="980" t="str">
        <f>VLOOKUP($B1625,DG!A:D,DG!$D$2,)</f>
        <v>km</v>
      </c>
      <c r="H1625" s="1693"/>
      <c r="I1625" s="1693"/>
      <c r="J1625" s="1693"/>
      <c r="K1625" s="1693"/>
      <c r="L1625" s="1693"/>
      <c r="M1625" s="1693"/>
      <c r="N1625" s="1693"/>
      <c r="O1625" s="1693"/>
      <c r="P1625" s="1693">
        <f t="shared" si="292"/>
        <v>0</v>
      </c>
      <c r="Q1625" s="989"/>
      <c r="R1625" s="989"/>
      <c r="S1625" s="989"/>
      <c r="T1625" s="1862">
        <f t="shared" si="293"/>
        <v>0</v>
      </c>
    </row>
    <row r="1626" spans="1:20" ht="22.2" hidden="1" customHeight="1">
      <c r="A1626" s="1448">
        <f>COUNTIF($C$12:C1626,"x")</f>
        <v>89</v>
      </c>
      <c r="B1626" s="1460" t="s">
        <v>924</v>
      </c>
      <c r="C1626" s="970" t="str">
        <f t="shared" si="294"/>
        <v xml:space="preserve"> </v>
      </c>
      <c r="D1626" s="1413">
        <f>E1522/1000</f>
        <v>0</v>
      </c>
      <c r="E1626" s="980" t="str">
        <f>VLOOKUP($B1626,DG!A:D,DG!$B$2,)</f>
        <v>06.6108</v>
      </c>
      <c r="F1626" s="985" t="str">
        <f>VLOOKUP($B1626,DG!A:D,DG!$C$2,)</f>
        <v>Kéo dây nhôm bọc 150mm2</v>
      </c>
      <c r="G1626" s="980" t="str">
        <f>VLOOKUP($B1626,DG!A:D,DG!$D$2,)</f>
        <v>km</v>
      </c>
      <c r="H1626" s="1693"/>
      <c r="I1626" s="1693"/>
      <c r="J1626" s="1693"/>
      <c r="K1626" s="1693"/>
      <c r="L1626" s="1693"/>
      <c r="M1626" s="1693"/>
      <c r="N1626" s="1693"/>
      <c r="O1626" s="1693"/>
      <c r="P1626" s="1693">
        <f t="shared" si="292"/>
        <v>0</v>
      </c>
      <c r="Q1626" s="989"/>
      <c r="R1626" s="989"/>
      <c r="S1626" s="989"/>
      <c r="T1626" s="1862">
        <f t="shared" si="293"/>
        <v>0</v>
      </c>
    </row>
    <row r="1627" spans="1:20" ht="22.2" hidden="1" customHeight="1">
      <c r="A1627" s="1448">
        <f>COUNTIF($C$12:C1627,"x")</f>
        <v>89</v>
      </c>
      <c r="B1627" s="1460" t="s">
        <v>925</v>
      </c>
      <c r="C1627" s="970" t="str">
        <f t="shared" si="294"/>
        <v xml:space="preserve"> </v>
      </c>
      <c r="D1627" s="1413">
        <f>E1521/1000</f>
        <v>0</v>
      </c>
      <c r="E1627" s="980" t="str">
        <f>VLOOKUP($B1627,DG!A:D,DG!$B$2,)</f>
        <v>06.6109</v>
      </c>
      <c r="F1627" s="985" t="str">
        <f>VLOOKUP($B1627,DG!A:D,DG!$C$2,)</f>
        <v>Kéo dây nhôm bọc 185mm2</v>
      </c>
      <c r="G1627" s="980" t="str">
        <f>VLOOKUP($B1627,DG!A:D,DG!$D$2,)</f>
        <v>km</v>
      </c>
      <c r="H1627" s="1693"/>
      <c r="I1627" s="1693"/>
      <c r="J1627" s="1693"/>
      <c r="K1627" s="1693"/>
      <c r="L1627" s="1693"/>
      <c r="M1627" s="1693"/>
      <c r="N1627" s="1693"/>
      <c r="O1627" s="1693"/>
      <c r="P1627" s="1693">
        <f t="shared" si="292"/>
        <v>0</v>
      </c>
      <c r="Q1627" s="989"/>
      <c r="R1627" s="989"/>
      <c r="S1627" s="989"/>
      <c r="T1627" s="1862">
        <f t="shared" si="293"/>
        <v>0</v>
      </c>
    </row>
    <row r="1628" spans="1:20" ht="22.2" hidden="1" customHeight="1">
      <c r="A1628" s="1448">
        <f>COUNTIF($C$12:C1628,"x")</f>
        <v>89</v>
      </c>
      <c r="B1628" s="1460" t="s">
        <v>1441</v>
      </c>
      <c r="C1628" s="970" t="str">
        <f t="shared" si="294"/>
        <v xml:space="preserve"> </v>
      </c>
      <c r="D1628" s="1413">
        <f>E1520/1000</f>
        <v>0</v>
      </c>
      <c r="E1628" s="980" t="str">
        <f>VLOOKUP($B1628,DG!A:D,DG!$B$2,)</f>
        <v>06.6110</v>
      </c>
      <c r="F1628" s="985" t="str">
        <f>VLOOKUP($B1628,DG!A:D,DG!$C$2,)</f>
        <v>Kéo dây nhôm bọc 240mm2</v>
      </c>
      <c r="G1628" s="980" t="str">
        <f>VLOOKUP($B1628,DG!A:D,DG!$D$2,)</f>
        <v>km</v>
      </c>
      <c r="H1628" s="1693"/>
      <c r="I1628" s="1693"/>
      <c r="J1628" s="1693"/>
      <c r="K1628" s="1693"/>
      <c r="L1628" s="1693"/>
      <c r="M1628" s="1693"/>
      <c r="N1628" s="1693"/>
      <c r="O1628" s="1693"/>
      <c r="P1628" s="1693">
        <f t="shared" si="292"/>
        <v>0</v>
      </c>
      <c r="Q1628" s="989"/>
      <c r="R1628" s="989"/>
      <c r="S1628" s="989"/>
      <c r="T1628" s="1862">
        <f t="shared" si="293"/>
        <v>0</v>
      </c>
    </row>
    <row r="1629" spans="1:20" ht="22.2" hidden="1" customHeight="1">
      <c r="A1629" s="1448">
        <f>COUNTIF($C$12:C1629,"x")</f>
        <v>89</v>
      </c>
      <c r="B1629" s="1460" t="s">
        <v>349</v>
      </c>
      <c r="C1629" s="970" t="str">
        <f t="shared" si="294"/>
        <v xml:space="preserve"> </v>
      </c>
      <c r="D1629" s="1415">
        <f>SUM(D1571:D1572)</f>
        <v>0</v>
      </c>
      <c r="E1629" s="980" t="str">
        <f>VLOOKUP($B1629,DG!A:D,DG!$B$2,)</f>
        <v>06.1410</v>
      </c>
      <c r="F1629" s="985" t="str">
        <f>VLOOKUP($B1629,DG!A:D,DG!$C$2,)</f>
        <v>Lắp chuỗi sứ đỡ 2 bát/chuỗi</v>
      </c>
      <c r="G1629" s="980" t="str">
        <f>VLOOKUP($B1629,DG!A:D,DG!$D$2,)</f>
        <v>chuỗi</v>
      </c>
      <c r="H1629" s="1693"/>
      <c r="I1629" s="1693"/>
      <c r="J1629" s="1693"/>
      <c r="K1629" s="1693"/>
      <c r="L1629" s="1693"/>
      <c r="M1629" s="1693"/>
      <c r="N1629" s="1693"/>
      <c r="O1629" s="1693"/>
      <c r="P1629" s="1693">
        <f t="shared" si="292"/>
        <v>0</v>
      </c>
      <c r="Q1629" s="994"/>
      <c r="R1629" s="994"/>
      <c r="S1629" s="994"/>
      <c r="T1629" s="1862">
        <f t="shared" si="293"/>
        <v>0</v>
      </c>
    </row>
    <row r="1630" spans="1:20" ht="22.2" hidden="1" customHeight="1">
      <c r="A1630" s="1448">
        <f>COUNTIF($C$12:C1630,"x")</f>
        <v>89</v>
      </c>
      <c r="B1630" s="1460" t="s">
        <v>350</v>
      </c>
      <c r="C1630" s="970" t="str">
        <f t="shared" si="294"/>
        <v xml:space="preserve"> </v>
      </c>
      <c r="D1630" s="1415">
        <f>+D1553+D1559-D1629</f>
        <v>0</v>
      </c>
      <c r="E1630" s="980" t="str">
        <f>VLOOKUP($B1630,DG!A:D,DG!$B$2,)</f>
        <v>06.1511</v>
      </c>
      <c r="F1630" s="985" t="str">
        <f>VLOOKUP($B1630,DG!A:D,DG!$C$2,)</f>
        <v>Lắp chuỗi sứ néo 2 bát/chuỗi</v>
      </c>
      <c r="G1630" s="980" t="str">
        <f>VLOOKUP($B1630,DG!A:D,DG!$D$2,)</f>
        <v>chuỗi</v>
      </c>
      <c r="H1630" s="1693"/>
      <c r="I1630" s="1693"/>
      <c r="J1630" s="1693"/>
      <c r="K1630" s="1693"/>
      <c r="L1630" s="1693"/>
      <c r="M1630" s="1693"/>
      <c r="N1630" s="1693"/>
      <c r="O1630" s="1693"/>
      <c r="P1630" s="1693">
        <f t="shared" si="292"/>
        <v>0</v>
      </c>
      <c r="Q1630" s="994"/>
      <c r="R1630" s="994"/>
      <c r="S1630" s="994"/>
      <c r="T1630" s="1862">
        <f t="shared" si="293"/>
        <v>0</v>
      </c>
    </row>
    <row r="1631" spans="1:20" ht="22.2" hidden="1" customHeight="1">
      <c r="A1631" s="1448">
        <f>COUNTIF($C$12:C1631,"x")</f>
        <v>89</v>
      </c>
      <c r="B1631" s="1460" t="s">
        <v>1507</v>
      </c>
      <c r="C1631" s="970" t="str">
        <f t="shared" si="294"/>
        <v xml:space="preserve"> </v>
      </c>
      <c r="D1631" s="1415"/>
      <c r="E1631" s="980" t="str">
        <f>VLOOKUP($B1631,DG!A:D,DG!$B$2,)</f>
        <v>06.2201</v>
      </c>
      <c r="F1631" s="985" t="s">
        <v>2519</v>
      </c>
      <c r="G1631" s="980" t="str">
        <f>VLOOKUP($B1631,DG!A:D,DG!$D$2,)</f>
        <v>chuỗi</v>
      </c>
      <c r="H1631" s="1693"/>
      <c r="I1631" s="1693"/>
      <c r="J1631" s="1693"/>
      <c r="K1631" s="1693"/>
      <c r="L1631" s="1693"/>
      <c r="M1631" s="1693"/>
      <c r="N1631" s="1693"/>
      <c r="O1631" s="1693"/>
      <c r="P1631" s="1693">
        <f t="shared" si="292"/>
        <v>0</v>
      </c>
      <c r="Q1631" s="994"/>
      <c r="R1631" s="994"/>
      <c r="S1631" s="994"/>
      <c r="T1631" s="1862">
        <f t="shared" si="293"/>
        <v>0</v>
      </c>
    </row>
    <row r="1632" spans="1:20" ht="22.2" hidden="1" customHeight="1">
      <c r="A1632" s="1448">
        <f>COUNTIF($C$12:C1632,"x")</f>
        <v>89</v>
      </c>
      <c r="B1632" s="1459" t="s">
        <v>1507</v>
      </c>
      <c r="C1632" s="970" t="str">
        <f t="shared" si="294"/>
        <v xml:space="preserve"> </v>
      </c>
      <c r="D1632" s="1415">
        <f>SUM(I1632:O1632)</f>
        <v>0</v>
      </c>
      <c r="E1632" s="980" t="str">
        <f>VLOOKUP($B1632,DG!A:D,DG!$B$2,)</f>
        <v>06.2201</v>
      </c>
      <c r="F1632" s="985" t="str">
        <f>VLOOKUP($B1632,DG!A:D,DG!$C$2,)</f>
        <v>Lắp chuỗi sứ néo Polymer</v>
      </c>
      <c r="G1632" s="980" t="str">
        <f>VLOOKUP($B1632,DG!A:D,DG!$D$2,)</f>
        <v>chuỗi</v>
      </c>
      <c r="H1632" s="1693">
        <f>$D1632</f>
        <v>0</v>
      </c>
      <c r="I1632" s="1693"/>
      <c r="J1632" s="1693"/>
      <c r="K1632" s="1693">
        <f>pp_NC!DJ184</f>
        <v>0</v>
      </c>
      <c r="L1632" s="1693"/>
      <c r="M1632" s="1693"/>
      <c r="N1632" s="1693"/>
      <c r="O1632" s="1693"/>
      <c r="P1632" s="1693">
        <f t="shared" si="292"/>
        <v>0</v>
      </c>
      <c r="Q1632" s="994"/>
      <c r="R1632" s="994"/>
      <c r="S1632" s="994"/>
      <c r="T1632" s="1862">
        <f t="shared" si="293"/>
        <v>0</v>
      </c>
    </row>
    <row r="1633" spans="1:20" ht="22.2" hidden="1" customHeight="1">
      <c r="A1633" s="1448">
        <f>COUNTIF($C$12:C1633,"x")</f>
        <v>89</v>
      </c>
      <c r="B1633" s="1459" t="s">
        <v>1565</v>
      </c>
      <c r="C1633" s="970" t="str">
        <f t="shared" si="294"/>
        <v xml:space="preserve"> </v>
      </c>
      <c r="D1633" s="1415">
        <f>D1542</f>
        <v>0</v>
      </c>
      <c r="E1633" s="980" t="str">
        <f>VLOOKUP($B1633,DG!A:D,DG!$B$2,)</f>
        <v>06.1115</v>
      </c>
      <c r="F1633" s="985" t="s">
        <v>3271</v>
      </c>
      <c r="G1633" s="980" t="str">
        <f>VLOOKUP($B1633,DG!A:D,DG!$D$2,)</f>
        <v>bộ</v>
      </c>
      <c r="H1633" s="1693">
        <f>$D1633</f>
        <v>0</v>
      </c>
      <c r="I1633" s="1693"/>
      <c r="J1633" s="1693"/>
      <c r="K1633" s="1693"/>
      <c r="L1633" s="1693"/>
      <c r="M1633" s="1693"/>
      <c r="N1633" s="1693"/>
      <c r="O1633" s="1693"/>
      <c r="P1633" s="1693">
        <f t="shared" si="292"/>
        <v>0</v>
      </c>
      <c r="Q1633" s="994"/>
      <c r="R1633" s="994"/>
      <c r="S1633" s="994"/>
      <c r="T1633" s="1862">
        <f t="shared" si="293"/>
        <v>0</v>
      </c>
    </row>
    <row r="1634" spans="1:20" ht="22.2" hidden="1" customHeight="1">
      <c r="A1634" s="1448">
        <f>COUNTIF($C$12:C1634,"x")</f>
        <v>89</v>
      </c>
      <c r="B1634" s="1460" t="s">
        <v>351</v>
      </c>
      <c r="C1634" s="970" t="str">
        <f t="shared" si="294"/>
        <v xml:space="preserve"> </v>
      </c>
      <c r="D1634" s="1415"/>
      <c r="E1634" s="980" t="str">
        <f>VLOOKUP($B1634,DG!A:D,DG!$B$2,)</f>
        <v>06.1211</v>
      </c>
      <c r="F1634" s="985" t="s">
        <v>2520</v>
      </c>
      <c r="G1634" s="980" t="str">
        <f>VLOOKUP($B1634,DG!A:D,DG!$D$2,)</f>
        <v>bộ</v>
      </c>
      <c r="H1634" s="1693"/>
      <c r="I1634" s="1693"/>
      <c r="J1634" s="1693"/>
      <c r="K1634" s="1693"/>
      <c r="L1634" s="1693"/>
      <c r="M1634" s="1693"/>
      <c r="N1634" s="1693"/>
      <c r="O1634" s="1693"/>
      <c r="P1634" s="1693">
        <f t="shared" si="292"/>
        <v>0</v>
      </c>
      <c r="Q1634" s="989"/>
      <c r="R1634" s="989"/>
      <c r="S1634" s="989"/>
      <c r="T1634" s="1862">
        <f t="shared" si="293"/>
        <v>0</v>
      </c>
    </row>
    <row r="1635" spans="1:20" ht="22.2" hidden="1" customHeight="1">
      <c r="A1635" s="1448">
        <f>COUNTIF($C$12:C1635,"x")</f>
        <v>89</v>
      </c>
      <c r="B1635" s="1460" t="s">
        <v>452</v>
      </c>
      <c r="C1635" s="970" t="str">
        <f t="shared" si="294"/>
        <v xml:space="preserve"> </v>
      </c>
      <c r="D1635" s="1415"/>
      <c r="E1635" s="980" t="str">
        <f>VLOOKUP($B1635,DG!A:D,DG!$B$2,)</f>
        <v>06.1214</v>
      </c>
      <c r="F1635" s="985" t="s">
        <v>2521</v>
      </c>
      <c r="G1635" s="980" t="str">
        <f>VLOOKUP($B1635,DG!A:D,DG!$D$2,)</f>
        <v>bộ</v>
      </c>
      <c r="H1635" s="1693"/>
      <c r="I1635" s="1693"/>
      <c r="J1635" s="1693"/>
      <c r="K1635" s="1693"/>
      <c r="L1635" s="1693"/>
      <c r="M1635" s="1693"/>
      <c r="N1635" s="1693"/>
      <c r="O1635" s="1693"/>
      <c r="P1635" s="1693">
        <f t="shared" si="292"/>
        <v>0</v>
      </c>
      <c r="Q1635" s="989"/>
      <c r="R1635" s="989"/>
      <c r="S1635" s="989"/>
      <c r="T1635" s="1862">
        <f t="shared" si="293"/>
        <v>0</v>
      </c>
    </row>
    <row r="1636" spans="1:20" ht="22.2" hidden="1" customHeight="1">
      <c r="A1636" s="1448">
        <f>COUNTIF($C$12:C1636,"x")</f>
        <v>89</v>
      </c>
      <c r="B1636" s="1460" t="s">
        <v>831</v>
      </c>
      <c r="C1636" s="970" t="str">
        <f t="shared" si="294"/>
        <v xml:space="preserve"> </v>
      </c>
      <c r="D1636" s="1415"/>
      <c r="E1636" s="980" t="str">
        <f>VLOOKUP($B1636,DG!A:D,DG!$B$2,)</f>
        <v>02.3505</v>
      </c>
      <c r="F1636" s="985" t="s">
        <v>2522</v>
      </c>
      <c r="G1636" s="980" t="str">
        <f>VLOOKUP($B1636,DG!A:D,DG!$D$2,)</f>
        <v>cái</v>
      </c>
      <c r="H1636" s="1693"/>
      <c r="I1636" s="1693"/>
      <c r="J1636" s="1693"/>
      <c r="K1636" s="1693"/>
      <c r="L1636" s="1693"/>
      <c r="M1636" s="1693"/>
      <c r="N1636" s="1693"/>
      <c r="O1636" s="1693"/>
      <c r="P1636" s="1693">
        <f t="shared" si="292"/>
        <v>0</v>
      </c>
      <c r="Q1636" s="989"/>
      <c r="R1636" s="989"/>
      <c r="S1636" s="989"/>
      <c r="T1636" s="1862">
        <f t="shared" si="293"/>
        <v>0</v>
      </c>
    </row>
    <row r="1637" spans="1:20" ht="22.2" hidden="1" customHeight="1">
      <c r="A1637" s="1448">
        <f>COUNTIF($C$12:C1637,"x")</f>
        <v>89</v>
      </c>
      <c r="B1637" s="1460" t="s">
        <v>831</v>
      </c>
      <c r="C1637" s="970" t="str">
        <f t="shared" si="294"/>
        <v xml:space="preserve"> </v>
      </c>
      <c r="D1637" s="1415"/>
      <c r="E1637" s="980" t="str">
        <f>VLOOKUP($B1637,DG!A:D,DG!$B$2,)</f>
        <v>02.3505</v>
      </c>
      <c r="F1637" s="985" t="str">
        <f>VLOOKUP($B1637,DG!A:D,DG!$C$2,)</f>
        <v>Lắp FCO 24KV</v>
      </c>
      <c r="G1637" s="980" t="str">
        <f>VLOOKUP($B1637,DG!A:D,DG!$D$2,)</f>
        <v>cái</v>
      </c>
      <c r="H1637" s="1693"/>
      <c r="I1637" s="1693"/>
      <c r="J1637" s="1693"/>
      <c r="K1637" s="1693"/>
      <c r="L1637" s="1693"/>
      <c r="M1637" s="1693"/>
      <c r="N1637" s="1693"/>
      <c r="O1637" s="1693"/>
      <c r="P1637" s="1693">
        <f t="shared" si="292"/>
        <v>0</v>
      </c>
      <c r="Q1637" s="989"/>
      <c r="R1637" s="989"/>
      <c r="S1637" s="989"/>
      <c r="T1637" s="1862">
        <f t="shared" si="293"/>
        <v>0</v>
      </c>
    </row>
    <row r="1638" spans="1:20" ht="22.2" hidden="1" customHeight="1">
      <c r="A1638" s="1448">
        <f>COUNTIF($C$12:C1638,"x")</f>
        <v>89</v>
      </c>
      <c r="B1638" s="1460" t="s">
        <v>1373</v>
      </c>
      <c r="C1638" s="970" t="str">
        <f t="shared" si="294"/>
        <v xml:space="preserve"> </v>
      </c>
      <c r="D1638" s="1415"/>
      <c r="E1638" s="980" t="str">
        <f>VLOOKUP($B1638,DG!A:D,DG!$B$2,)</f>
        <v>02.5114</v>
      </c>
      <c r="F1638" s="985" t="s">
        <v>2523</v>
      </c>
      <c r="G1638" s="980" t="str">
        <f>VLOOKUP($B1638,DG!A:D,DG!$D$2,)</f>
        <v>cái</v>
      </c>
      <c r="H1638" s="1693"/>
      <c r="I1638" s="1693"/>
      <c r="J1638" s="1693"/>
      <c r="K1638" s="1693"/>
      <c r="L1638" s="1693"/>
      <c r="M1638" s="1693"/>
      <c r="N1638" s="1693"/>
      <c r="O1638" s="1693"/>
      <c r="P1638" s="1693">
        <f t="shared" si="292"/>
        <v>0</v>
      </c>
      <c r="Q1638" s="989"/>
      <c r="R1638" s="989"/>
      <c r="S1638" s="989"/>
      <c r="T1638" s="1862">
        <f t="shared" si="293"/>
        <v>0</v>
      </c>
    </row>
    <row r="1639" spans="1:20" ht="22.2" hidden="1" customHeight="1">
      <c r="A1639" s="1448">
        <f>COUNTIF($C$12:C1639,"x")</f>
        <v>89</v>
      </c>
      <c r="B1639" s="1460" t="s">
        <v>1373</v>
      </c>
      <c r="C1639" s="970" t="str">
        <f t="shared" si="294"/>
        <v xml:space="preserve"> </v>
      </c>
      <c r="D1639" s="1415"/>
      <c r="E1639" s="980" t="str">
        <f>VLOOKUP($B1639,DG!A:D,DG!$B$2,)</f>
        <v>02.5114</v>
      </c>
      <c r="F1639" s="985" t="s">
        <v>2524</v>
      </c>
      <c r="G1639" s="980" t="str">
        <f>VLOOKUP($B1639,DG!A:D,DG!$D$2,)</f>
        <v>cái</v>
      </c>
      <c r="H1639" s="1693"/>
      <c r="I1639" s="1693"/>
      <c r="J1639" s="1693"/>
      <c r="K1639" s="1693"/>
      <c r="L1639" s="1693"/>
      <c r="M1639" s="1693"/>
      <c r="N1639" s="1693"/>
      <c r="O1639" s="1693"/>
      <c r="P1639" s="1693">
        <f t="shared" si="292"/>
        <v>0</v>
      </c>
      <c r="Q1639" s="989"/>
      <c r="R1639" s="989"/>
      <c r="S1639" s="989"/>
      <c r="T1639" s="1862">
        <f t="shared" si="293"/>
        <v>0</v>
      </c>
    </row>
    <row r="1640" spans="1:20" ht="22.2" hidden="1" customHeight="1">
      <c r="A1640" s="1448">
        <f>COUNTIF($C$12:C1640,"x")</f>
        <v>89</v>
      </c>
      <c r="B1640" s="1460" t="s">
        <v>1399</v>
      </c>
      <c r="C1640" s="970" t="str">
        <f t="shared" si="294"/>
        <v xml:space="preserve"> </v>
      </c>
      <c r="D1640" s="1415"/>
      <c r="E1640" s="980" t="str">
        <f>VLOOKUP($B1640,DG!A:D,DG!$B$2,)</f>
        <v>06.2110</v>
      </c>
      <c r="F1640" s="985" t="s">
        <v>2525</v>
      </c>
      <c r="G1640" s="980" t="str">
        <f>VLOOKUP($B1640,DG!A:D,DG!$D$2,)</f>
        <v>bộ</v>
      </c>
      <c r="H1640" s="1693"/>
      <c r="I1640" s="1693"/>
      <c r="J1640" s="1693"/>
      <c r="K1640" s="1693"/>
      <c r="L1640" s="1693"/>
      <c r="M1640" s="1693"/>
      <c r="N1640" s="1693"/>
      <c r="O1640" s="1693"/>
      <c r="P1640" s="1693">
        <f t="shared" si="292"/>
        <v>0</v>
      </c>
      <c r="Q1640" s="989"/>
      <c r="R1640" s="989"/>
      <c r="S1640" s="989"/>
      <c r="T1640" s="1862">
        <f t="shared" si="293"/>
        <v>0</v>
      </c>
    </row>
    <row r="1641" spans="1:20" ht="22.2" hidden="1" customHeight="1">
      <c r="A1641" s="1448">
        <f>COUNTIF($C$12:C1641,"x")</f>
        <v>89</v>
      </c>
      <c r="B1641" s="1460" t="s">
        <v>1399</v>
      </c>
      <c r="C1641" s="970" t="str">
        <f t="shared" si="294"/>
        <v xml:space="preserve"> </v>
      </c>
      <c r="D1641" s="1415"/>
      <c r="E1641" s="980" t="str">
        <f>VLOOKUP($B1641,DG!A:D,DG!$B$2,)</f>
        <v>06.2110</v>
      </c>
      <c r="F1641" s="985" t="s">
        <v>2526</v>
      </c>
      <c r="G1641" s="980" t="str">
        <f>VLOOKUP($B1641,DG!A:D,DG!$D$2,)</f>
        <v>bộ</v>
      </c>
      <c r="H1641" s="1693"/>
      <c r="I1641" s="1693"/>
      <c r="J1641" s="1693"/>
      <c r="K1641" s="1693"/>
      <c r="L1641" s="1693"/>
      <c r="M1641" s="1693"/>
      <c r="N1641" s="1693"/>
      <c r="O1641" s="1693"/>
      <c r="P1641" s="1693">
        <f t="shared" ref="P1641:P1704" si="297">H1641+Q1641-R1641</f>
        <v>0</v>
      </c>
      <c r="Q1641" s="989"/>
      <c r="R1641" s="989"/>
      <c r="S1641" s="989"/>
      <c r="T1641" s="1862">
        <f t="shared" si="293"/>
        <v>0</v>
      </c>
    </row>
    <row r="1642" spans="1:20" ht="22.2" hidden="1" customHeight="1">
      <c r="A1642" s="1448">
        <f>COUNTIF($C$12:C1642,"x")</f>
        <v>89</v>
      </c>
      <c r="B1642" s="1460" t="s">
        <v>353</v>
      </c>
      <c r="C1642" s="970" t="str">
        <f t="shared" si="294"/>
        <v xml:space="preserve"> </v>
      </c>
      <c r="D1642" s="1415">
        <f>P1642</f>
        <v>0</v>
      </c>
      <c r="E1642" s="980" t="str">
        <f>VLOOKUP($B1642,DG!A:D,DG!$B$2,)</f>
        <v>06.5072</v>
      </c>
      <c r="F1642" s="985" t="str">
        <f>VLOOKUP($B1642,DG!A:D,DG!$C$2,)</f>
        <v xml:space="preserve">Kéo dây qua vị trí bẻ góc dây </v>
      </c>
      <c r="G1642" s="980" t="str">
        <f>VLOOKUP($B1642,DG!A:D,DG!$D$2,)</f>
        <v>vị trí</v>
      </c>
      <c r="H1642" s="1693"/>
      <c r="I1642" s="1693"/>
      <c r="J1642" s="1693"/>
      <c r="K1642" s="1693"/>
      <c r="L1642" s="1693"/>
      <c r="M1642" s="1693"/>
      <c r="N1642" s="1693"/>
      <c r="O1642" s="1693"/>
      <c r="P1642" s="1693">
        <f t="shared" si="297"/>
        <v>0</v>
      </c>
      <c r="Q1642" s="994"/>
      <c r="R1642" s="994"/>
      <c r="S1642" s="994"/>
      <c r="T1642" s="1862">
        <f t="shared" si="293"/>
        <v>0</v>
      </c>
    </row>
    <row r="1643" spans="1:20" ht="22.2" hidden="1" customHeight="1">
      <c r="A1643" s="1448">
        <f>COUNTIF($C$12:C1643,"x")</f>
        <v>89</v>
      </c>
      <c r="B1643" s="1460" t="s">
        <v>354</v>
      </c>
      <c r="C1643" s="970" t="str">
        <f t="shared" si="294"/>
        <v xml:space="preserve"> </v>
      </c>
      <c r="D1643" s="1412">
        <f>pp_NC!GT184</f>
        <v>0</v>
      </c>
      <c r="E1643" s="980" t="str">
        <f>VLOOKUP($B1643,DG!A:D,DG!$B$2,)</f>
        <v>06.5082</v>
      </c>
      <c r="F1643" s="985" t="str">
        <f>VLOOKUP($B1643,DG!A:D,DG!$C$2,)</f>
        <v>Kéo dây qua sông ( S&lt;=300)</v>
      </c>
      <c r="G1643" s="980" t="str">
        <f>VLOOKUP($B1643,DG!A:D,DG!$D$2,)</f>
        <v>vị trí</v>
      </c>
      <c r="H1643" s="1693"/>
      <c r="I1643" s="1693"/>
      <c r="J1643" s="1693"/>
      <c r="K1643" s="1693"/>
      <c r="L1643" s="1693"/>
      <c r="M1643" s="1693"/>
      <c r="N1643" s="1693"/>
      <c r="O1643" s="1693"/>
      <c r="P1643" s="1693">
        <f t="shared" si="297"/>
        <v>0</v>
      </c>
      <c r="Q1643" s="994"/>
      <c r="R1643" s="994"/>
      <c r="S1643" s="994"/>
      <c r="T1643" s="1862">
        <f t="shared" si="293"/>
        <v>0</v>
      </c>
    </row>
    <row r="1644" spans="1:20" ht="22.2" hidden="1" customHeight="1">
      <c r="A1644" s="1448">
        <f>COUNTIF($C$12:C1644,"x")</f>
        <v>89</v>
      </c>
      <c r="B1644" s="1459" t="s">
        <v>355</v>
      </c>
      <c r="C1644" s="970" t="str">
        <f t="shared" si="294"/>
        <v xml:space="preserve"> </v>
      </c>
      <c r="D1644" s="1414"/>
      <c r="E1644" s="980" t="str">
        <f>VLOOKUP($B1644,DG!A:D,DG!$B$2,)</f>
        <v>02.1122</v>
      </c>
      <c r="F1644" s="985" t="str">
        <f>VLOOKUP($B1644,DG!A:D,DG!$C$2,)</f>
        <v>Bốc dỡ dây</v>
      </c>
      <c r="G1644" s="980" t="str">
        <f>VLOOKUP($B1644,DG!A:D,DG!$D$2,)</f>
        <v>tấn</v>
      </c>
      <c r="H1644" s="1693">
        <f>D1644</f>
        <v>0</v>
      </c>
      <c r="I1644" s="1693"/>
      <c r="J1644" s="1693"/>
      <c r="K1644" s="1693"/>
      <c r="L1644" s="1693"/>
      <c r="M1644" s="1693"/>
      <c r="N1644" s="1693"/>
      <c r="O1644" s="1693"/>
      <c r="P1644" s="1693">
        <f t="shared" si="297"/>
        <v>0</v>
      </c>
      <c r="Q1644" s="994"/>
      <c r="R1644" s="994"/>
      <c r="S1644" s="994"/>
      <c r="T1644" s="1862">
        <f t="shared" si="293"/>
        <v>0</v>
      </c>
    </row>
    <row r="1645" spans="1:20" ht="22.2" hidden="1" customHeight="1">
      <c r="A1645" s="1448">
        <f>COUNTIF($C$12:C1645,"x")</f>
        <v>89</v>
      </c>
      <c r="B1645" s="1459" t="s">
        <v>1902</v>
      </c>
      <c r="C1645" s="970" t="str">
        <f t="shared" si="294"/>
        <v xml:space="preserve"> </v>
      </c>
      <c r="D1645" s="1414"/>
      <c r="E1645" s="980" t="str">
        <f>VLOOKUP($B1645,DG!A:D,DG!$B$2,)</f>
        <v>02.1120</v>
      </c>
      <c r="F1645" s="985" t="str">
        <f>VLOOKUP($B1645,DG!A:D,DG!$C$2,)</f>
        <v>Bốc dỡ phụ kiện</v>
      </c>
      <c r="G1645" s="980" t="str">
        <f>VLOOKUP($B1645,DG!A:D,DG!$D$2,)</f>
        <v>tấn</v>
      </c>
      <c r="H1645" s="1693">
        <f>D1645</f>
        <v>0</v>
      </c>
      <c r="I1645" s="1693"/>
      <c r="J1645" s="1693"/>
      <c r="K1645" s="1693"/>
      <c r="L1645" s="1693"/>
      <c r="M1645" s="1693"/>
      <c r="N1645" s="1693"/>
      <c r="O1645" s="1693"/>
      <c r="P1645" s="1693">
        <f t="shared" si="297"/>
        <v>0</v>
      </c>
      <c r="Q1645" s="994"/>
      <c r="R1645" s="994"/>
      <c r="S1645" s="994"/>
      <c r="T1645" s="1862">
        <f t="shared" si="293"/>
        <v>0</v>
      </c>
    </row>
    <row r="1646" spans="1:20" ht="22.2" hidden="1" customHeight="1">
      <c r="A1646" s="1448">
        <f>COUNTIF($C$12:C1646,"x")</f>
        <v>89</v>
      </c>
      <c r="B1646" s="1459" t="s">
        <v>356</v>
      </c>
      <c r="C1646" s="970" t="str">
        <f t="shared" si="294"/>
        <v xml:space="preserve"> </v>
      </c>
      <c r="D1646" s="1414"/>
      <c r="E1646" s="980" t="str">
        <f>VLOOKUP($B1646,DG!A:D,DG!$B$2,)</f>
        <v>02.1421</v>
      </c>
      <c r="F1646" s="985" t="str">
        <f>VLOOKUP($B1646,DG!A:D,DG!$C$2,)</f>
        <v>V/c phụ kiện vào vị trí (cự ly &lt;=100m)</v>
      </c>
      <c r="G1646" s="980" t="str">
        <f>VLOOKUP($B1646,DG!A:D,DG!$D$2,)</f>
        <v>tấn</v>
      </c>
      <c r="H1646" s="1693">
        <f>D1646</f>
        <v>0</v>
      </c>
      <c r="I1646" s="1693"/>
      <c r="J1646" s="1693"/>
      <c r="K1646" s="1693"/>
      <c r="L1646" s="1693"/>
      <c r="M1646" s="1693"/>
      <c r="N1646" s="1693"/>
      <c r="O1646" s="1693"/>
      <c r="P1646" s="1693">
        <f t="shared" si="297"/>
        <v>0</v>
      </c>
      <c r="Q1646" s="994"/>
      <c r="R1646" s="994"/>
      <c r="S1646" s="994"/>
      <c r="T1646" s="1862">
        <f t="shared" si="293"/>
        <v>0</v>
      </c>
    </row>
    <row r="1647" spans="1:20" ht="22.2" hidden="1" customHeight="1">
      <c r="A1647" s="1448">
        <f>COUNTIF($C$12:C1647,"x")</f>
        <v>89</v>
      </c>
      <c r="B1647" s="1459" t="s">
        <v>357</v>
      </c>
      <c r="C1647" s="970" t="str">
        <f t="shared" si="294"/>
        <v xml:space="preserve"> </v>
      </c>
      <c r="D1647" s="1414"/>
      <c r="E1647" s="980" t="str">
        <f>VLOOKUP($B1647,DG!A:D,DG!$B$2,)</f>
        <v>02.1441</v>
      </c>
      <c r="F1647" s="985" t="str">
        <f>VLOOKUP($B1647,DG!A:D,DG!$C$2,)</f>
        <v>V/c dây vào vị trí (cự ly &lt;=100m)</v>
      </c>
      <c r="G1647" s="980" t="str">
        <f>VLOOKUP($B1647,DG!A:D,DG!$D$2,)</f>
        <v>tấn</v>
      </c>
      <c r="H1647" s="1693">
        <f>D1647</f>
        <v>0</v>
      </c>
      <c r="I1647" s="1693"/>
      <c r="J1647" s="1693"/>
      <c r="K1647" s="1693"/>
      <c r="L1647" s="1693"/>
      <c r="M1647" s="1693"/>
      <c r="N1647" s="1693"/>
      <c r="O1647" s="1693"/>
      <c r="P1647" s="1693">
        <f t="shared" si="297"/>
        <v>0</v>
      </c>
      <c r="Q1647" s="994"/>
      <c r="R1647" s="994"/>
      <c r="S1647" s="994"/>
      <c r="T1647" s="1862">
        <f t="shared" si="293"/>
        <v>0</v>
      </c>
    </row>
    <row r="1648" spans="1:20" ht="22.2" hidden="1" customHeight="1">
      <c r="A1648" s="1448">
        <f>COUNTIF($C$12:C1648,"x")</f>
        <v>89</v>
      </c>
      <c r="B1648" s="1476" t="s">
        <v>606</v>
      </c>
      <c r="C1648" s="970" t="str">
        <f t="shared" si="294"/>
        <v xml:space="preserve"> </v>
      </c>
      <c r="D1648" s="1414"/>
      <c r="E1648" s="980" t="str">
        <f>VLOOKUP($B1648,DG!A:D,DG!$B$2,)</f>
        <v>02.1482</v>
      </c>
      <c r="F1648" s="985" t="str">
        <f>VLOOKUP($B1648,DG!A:D,DG!$C$2,)</f>
        <v>V/c dụng cụ thi công vào vị trí (cự ly &lt;=100m)</v>
      </c>
      <c r="G1648" s="980" t="str">
        <f>VLOOKUP($B1648,DG!A:D,DG!$D$2,)</f>
        <v>tấn</v>
      </c>
      <c r="H1648" s="1693">
        <f>D1648</f>
        <v>0</v>
      </c>
      <c r="I1648" s="1693"/>
      <c r="J1648" s="1693"/>
      <c r="K1648" s="1693"/>
      <c r="L1648" s="1693"/>
      <c r="M1648" s="1693"/>
      <c r="N1648" s="1693"/>
      <c r="O1648" s="1693"/>
      <c r="P1648" s="1693">
        <f t="shared" si="297"/>
        <v>0</v>
      </c>
      <c r="Q1648" s="994"/>
      <c r="R1648" s="994"/>
      <c r="S1648" s="994"/>
      <c r="T1648" s="1862">
        <f t="shared" si="293"/>
        <v>0</v>
      </c>
    </row>
    <row r="1649" spans="1:20" ht="22.2" hidden="1" customHeight="1">
      <c r="A1649" s="1448">
        <f>COUNTIF($C$12:C1649,"x")</f>
        <v>89</v>
      </c>
      <c r="B1649" s="1452" t="s">
        <v>742</v>
      </c>
      <c r="C1649" s="970" t="str">
        <f>IF(D1649&lt;&gt;0,"x"," ")</f>
        <v xml:space="preserve"> </v>
      </c>
      <c r="D1649" s="1412"/>
      <c r="E1649" s="982" t="s">
        <v>358</v>
      </c>
      <c r="F1649" s="1276" t="s">
        <v>2527</v>
      </c>
      <c r="G1649" s="982" t="s">
        <v>2301</v>
      </c>
      <c r="H1649" s="1691">
        <f>SUM(I1649:O1649)</f>
        <v>0</v>
      </c>
      <c r="I1649" s="1692"/>
      <c r="J1649" s="1692"/>
      <c r="K1649" s="1692"/>
      <c r="L1649" s="1692">
        <f>IFERROR(HLOOKUP(chitiet!B1649,pp1p!$1:$3,3,0),0)</f>
        <v>0</v>
      </c>
      <c r="M1649" s="1692"/>
      <c r="N1649" s="1692"/>
      <c r="O1649" s="1692"/>
      <c r="P1649" s="2674">
        <f>T1649</f>
        <v>0</v>
      </c>
      <c r="Q1649" s="983">
        <f>IF(P1649&gt;H1649,P1649-H1649,0)</f>
        <v>0</v>
      </c>
      <c r="R1649" s="983">
        <f>IF(H1649&gt;P1649,H1649-P1649,0)</f>
        <v>0</v>
      </c>
      <c r="S1649" s="983"/>
      <c r="T1649" s="1862">
        <f t="shared" si="293"/>
        <v>0</v>
      </c>
    </row>
    <row r="1650" spans="1:20" ht="22.2" hidden="1" customHeight="1">
      <c r="A1650" s="1448">
        <f>COUNTIF($C$12:C1650,"x")</f>
        <v>89</v>
      </c>
      <c r="B1650" s="1455" t="s">
        <v>88</v>
      </c>
      <c r="C1650" s="970" t="str">
        <f t="shared" si="294"/>
        <v xml:space="preserve"> </v>
      </c>
      <c r="D1650" s="1418">
        <f>ROUND(E1650*1.02*0.195,2)</f>
        <v>0</v>
      </c>
      <c r="E1650" s="997">
        <f>'pp3p2m '!C90</f>
        <v>0</v>
      </c>
      <c r="F1650" s="992" t="str">
        <f>VLOOKUP($B1650,DG!A:D,DG!$C$2,)</f>
        <v>Cáp nhôm lõi thép AC-50/8</v>
      </c>
      <c r="G1650" s="980" t="str">
        <f>VLOOKUP($B1650,DG!A:D,DG!$D$2,)</f>
        <v>kg</v>
      </c>
      <c r="H1650" s="1693">
        <f t="shared" ref="H1650:H1681" si="298">$D1650</f>
        <v>0</v>
      </c>
      <c r="I1650" s="1693">
        <f t="shared" ref="I1650:I1681" si="299">D1650</f>
        <v>0</v>
      </c>
      <c r="J1650" s="1693"/>
      <c r="K1650" s="1693"/>
      <c r="L1650" s="1693"/>
      <c r="M1650" s="1693"/>
      <c r="N1650" s="1693"/>
      <c r="O1650" s="1693"/>
      <c r="P1650" s="1693">
        <f t="shared" si="297"/>
        <v>0</v>
      </c>
      <c r="Q1650" s="989"/>
      <c r="R1650" s="989"/>
      <c r="S1650" s="989"/>
      <c r="T1650" s="1862">
        <f t="shared" si="293"/>
        <v>0</v>
      </c>
    </row>
    <row r="1651" spans="1:20" ht="22.2" hidden="1" customHeight="1">
      <c r="A1651" s="1448">
        <f>COUNTIF($C$12:C1651,"x")</f>
        <v>89</v>
      </c>
      <c r="B1651" s="1455" t="s">
        <v>1239</v>
      </c>
      <c r="C1651" s="970" t="str">
        <f t="shared" si="294"/>
        <v xml:space="preserve"> </v>
      </c>
      <c r="D1651" s="1418">
        <f>ROUND(E1651*1.02*0.276,2)</f>
        <v>0</v>
      </c>
      <c r="E1651" s="997">
        <f>'pp3p2m '!C89</f>
        <v>0</v>
      </c>
      <c r="F1651" s="992" t="str">
        <f>VLOOKUP($B1651,DG!A:D,DG!$C$2,)</f>
        <v>Cáp nhôm lõi thép AC-70/11</v>
      </c>
      <c r="G1651" s="980" t="str">
        <f>VLOOKUP($B1651,DG!A:D,DG!$D$2,)</f>
        <v>kg</v>
      </c>
      <c r="H1651" s="1693">
        <f t="shared" si="298"/>
        <v>0</v>
      </c>
      <c r="I1651" s="1693">
        <f t="shared" si="299"/>
        <v>0</v>
      </c>
      <c r="J1651" s="1693"/>
      <c r="K1651" s="1693"/>
      <c r="L1651" s="1693"/>
      <c r="M1651" s="1693"/>
      <c r="N1651" s="1693"/>
      <c r="O1651" s="1693"/>
      <c r="P1651" s="1693">
        <f t="shared" si="297"/>
        <v>0</v>
      </c>
      <c r="Q1651" s="989"/>
      <c r="R1651" s="989"/>
      <c r="S1651" s="989"/>
      <c r="T1651" s="1862">
        <f t="shared" si="293"/>
        <v>0</v>
      </c>
    </row>
    <row r="1652" spans="1:20" ht="22.2" hidden="1" customHeight="1">
      <c r="A1652" s="1448">
        <f>COUNTIF($C$12:C1652,"x")</f>
        <v>89</v>
      </c>
      <c r="B1652" s="1455" t="s">
        <v>269</v>
      </c>
      <c r="C1652" s="970" t="str">
        <f t="shared" si="294"/>
        <v xml:space="preserve"> </v>
      </c>
      <c r="D1652" s="1418">
        <f>ROUND(E1652*1.02*0.385,2)</f>
        <v>0</v>
      </c>
      <c r="E1652" s="997">
        <f>'pp3p2m '!C88</f>
        <v>0</v>
      </c>
      <c r="F1652" s="992" t="str">
        <f>VLOOKUP($B1652,DG!A:D,DG!$C$2,)</f>
        <v>Cáp nhôm lõi thép AC-95/16</v>
      </c>
      <c r="G1652" s="980" t="str">
        <f>VLOOKUP($B1652,DG!A:D,DG!$D$2,)</f>
        <v>kg</v>
      </c>
      <c r="H1652" s="1693">
        <f t="shared" si="298"/>
        <v>0</v>
      </c>
      <c r="I1652" s="1693">
        <f t="shared" si="299"/>
        <v>0</v>
      </c>
      <c r="J1652" s="1693"/>
      <c r="K1652" s="1693"/>
      <c r="L1652" s="1693"/>
      <c r="M1652" s="1693"/>
      <c r="N1652" s="1693"/>
      <c r="O1652" s="1693"/>
      <c r="P1652" s="1693">
        <f t="shared" si="297"/>
        <v>0</v>
      </c>
      <c r="Q1652" s="989"/>
      <c r="R1652" s="989"/>
      <c r="S1652" s="989"/>
      <c r="T1652" s="1862">
        <f t="shared" si="293"/>
        <v>0</v>
      </c>
    </row>
    <row r="1653" spans="1:20" ht="22.2" hidden="1" customHeight="1">
      <c r="A1653" s="1448">
        <f>COUNTIF($C$12:C1653,"x")</f>
        <v>89</v>
      </c>
      <c r="B1653" s="1455" t="s">
        <v>539</v>
      </c>
      <c r="C1653" s="970" t="str">
        <f t="shared" si="294"/>
        <v xml:space="preserve"> </v>
      </c>
      <c r="D1653" s="1418">
        <f>ROUND(E1653*1.02*0.471,2)</f>
        <v>0</v>
      </c>
      <c r="E1653" s="997">
        <f>'pp3p2m '!C87</f>
        <v>0</v>
      </c>
      <c r="F1653" s="992" t="str">
        <f>VLOOKUP($B1653,DG!A:D,DG!$C$2,)</f>
        <v>Cáp nhôm lõi thép AC-120/19</v>
      </c>
      <c r="G1653" s="980" t="str">
        <f>VLOOKUP($B1653,DG!A:D,DG!$D$2,)</f>
        <v>kg</v>
      </c>
      <c r="H1653" s="1693">
        <f t="shared" si="298"/>
        <v>0</v>
      </c>
      <c r="I1653" s="1693">
        <f t="shared" si="299"/>
        <v>0</v>
      </c>
      <c r="J1653" s="1693"/>
      <c r="K1653" s="1693"/>
      <c r="L1653" s="1693"/>
      <c r="M1653" s="1693"/>
      <c r="N1653" s="1693"/>
      <c r="O1653" s="1693"/>
      <c r="P1653" s="1693">
        <f t="shared" si="297"/>
        <v>0</v>
      </c>
      <c r="Q1653" s="989"/>
      <c r="R1653" s="989"/>
      <c r="S1653" s="989"/>
      <c r="T1653" s="1862">
        <f t="shared" si="293"/>
        <v>0</v>
      </c>
    </row>
    <row r="1654" spans="1:20" ht="22.2" hidden="1" customHeight="1">
      <c r="A1654" s="1448">
        <f>COUNTIF($C$12:C1654,"x")</f>
        <v>89</v>
      </c>
      <c r="B1654" s="1455" t="s">
        <v>841</v>
      </c>
      <c r="C1654" s="970" t="str">
        <f t="shared" si="294"/>
        <v xml:space="preserve"> </v>
      </c>
      <c r="D1654" s="1418">
        <f>ROUND(E1654*1.02*0.599,2)</f>
        <v>0</v>
      </c>
      <c r="E1654" s="997">
        <f>'pp3p2m '!C86</f>
        <v>0</v>
      </c>
      <c r="F1654" s="992" t="str">
        <f>VLOOKUP($B1654,DG!A:D,DG!$C$2,)</f>
        <v>Cáp nhôm lõi thép AC-150/24</v>
      </c>
      <c r="G1654" s="980" t="str">
        <f>VLOOKUP($B1654,DG!A:D,DG!$D$2,)</f>
        <v>kg</v>
      </c>
      <c r="H1654" s="1693">
        <f t="shared" si="298"/>
        <v>0</v>
      </c>
      <c r="I1654" s="1693">
        <f t="shared" si="299"/>
        <v>0</v>
      </c>
      <c r="J1654" s="1693"/>
      <c r="K1654" s="1693"/>
      <c r="L1654" s="1693"/>
      <c r="M1654" s="1693"/>
      <c r="N1654" s="1693"/>
      <c r="O1654" s="1693"/>
      <c r="P1654" s="1693">
        <f t="shared" si="297"/>
        <v>0</v>
      </c>
      <c r="Q1654" s="989"/>
      <c r="R1654" s="989"/>
      <c r="S1654" s="989"/>
      <c r="T1654" s="1862">
        <f t="shared" si="293"/>
        <v>0</v>
      </c>
    </row>
    <row r="1655" spans="1:20" ht="22.2" hidden="1" customHeight="1">
      <c r="A1655" s="1448">
        <f>COUNTIF($C$12:C1655,"x")</f>
        <v>89</v>
      </c>
      <c r="B1655" s="1455" t="s">
        <v>729</v>
      </c>
      <c r="C1655" s="970" t="str">
        <f t="shared" si="294"/>
        <v xml:space="preserve"> </v>
      </c>
      <c r="D1655" s="1418">
        <f>ROUND(E1655*1.02*0.728,2)</f>
        <v>0</v>
      </c>
      <c r="E1655" s="997">
        <f>'pp3p2m '!C85</f>
        <v>0</v>
      </c>
      <c r="F1655" s="992" t="str">
        <f>VLOOKUP($B1655,DG!A:D,DG!$C$2,)</f>
        <v>Cáp nhôm lõi thép AC-185/29</v>
      </c>
      <c r="G1655" s="980" t="str">
        <f>VLOOKUP($B1655,DG!A:D,DG!$D$2,)</f>
        <v>kg</v>
      </c>
      <c r="H1655" s="1693">
        <f t="shared" si="298"/>
        <v>0</v>
      </c>
      <c r="I1655" s="1693">
        <f t="shared" si="299"/>
        <v>0</v>
      </c>
      <c r="J1655" s="1693"/>
      <c r="K1655" s="1693"/>
      <c r="L1655" s="1693"/>
      <c r="M1655" s="1693"/>
      <c r="N1655" s="1693"/>
      <c r="O1655" s="1693"/>
      <c r="P1655" s="1693">
        <f t="shared" si="297"/>
        <v>0</v>
      </c>
      <c r="Q1655" s="989"/>
      <c r="R1655" s="989"/>
      <c r="S1655" s="989"/>
      <c r="T1655" s="1862">
        <f t="shared" si="293"/>
        <v>0</v>
      </c>
    </row>
    <row r="1656" spans="1:20" ht="22.2" hidden="1" customHeight="1">
      <c r="A1656" s="1448">
        <f>COUNTIF($C$12:C1656,"x")</f>
        <v>89</v>
      </c>
      <c r="B1656" s="1455" t="s">
        <v>728</v>
      </c>
      <c r="C1656" s="970" t="str">
        <f t="shared" si="294"/>
        <v xml:space="preserve"> </v>
      </c>
      <c r="D1656" s="1418">
        <f>ROUND(E1656*1.02*0.921,2)</f>
        <v>0</v>
      </c>
      <c r="E1656" s="997">
        <f>'pp3p2m '!C84</f>
        <v>0</v>
      </c>
      <c r="F1656" s="992" t="str">
        <f>VLOOKUP($B1656,DG!A:D,DG!$C$2,)</f>
        <v>Cáp nhôm lõi thép AC-240/39</v>
      </c>
      <c r="G1656" s="980" t="str">
        <f>VLOOKUP($B1656,DG!A:D,DG!$D$2,)</f>
        <v>kg</v>
      </c>
      <c r="H1656" s="1693">
        <f t="shared" si="298"/>
        <v>0</v>
      </c>
      <c r="I1656" s="1693">
        <f t="shared" si="299"/>
        <v>0</v>
      </c>
      <c r="J1656" s="1693"/>
      <c r="K1656" s="1693"/>
      <c r="L1656" s="1693"/>
      <c r="M1656" s="1693"/>
      <c r="N1656" s="1693"/>
      <c r="O1656" s="1693"/>
      <c r="P1656" s="1693">
        <f t="shared" si="297"/>
        <v>0</v>
      </c>
      <c r="Q1656" s="989"/>
      <c r="R1656" s="989"/>
      <c r="S1656" s="989"/>
      <c r="T1656" s="1862">
        <f t="shared" si="293"/>
        <v>0</v>
      </c>
    </row>
    <row r="1657" spans="1:20" ht="22.2" hidden="1" customHeight="1">
      <c r="A1657" s="1448">
        <f>COUNTIF($C$12:C1657,"x")</f>
        <v>89</v>
      </c>
      <c r="B1657" s="1455" t="s">
        <v>1794</v>
      </c>
      <c r="C1657" s="970" t="str">
        <f t="shared" si="294"/>
        <v xml:space="preserve"> </v>
      </c>
      <c r="D1657" s="1415">
        <f>ROUND(E1657*1.03,2)</f>
        <v>0</v>
      </c>
      <c r="E1657" s="997">
        <f>'pp3p2m '!C98</f>
        <v>0</v>
      </c>
      <c r="F1657" s="992" t="str">
        <f>VLOOKUP($B1657,DG!A:D,DG!$C$2,)</f>
        <v>Cáp 24KV A/XLPE/PVC 240mm2</v>
      </c>
      <c r="G1657" s="980" t="str">
        <f>VLOOKUP($B1657,DG!A:D,DG!$D$2,)</f>
        <v>mét</v>
      </c>
      <c r="H1657" s="1693">
        <f t="shared" si="298"/>
        <v>0</v>
      </c>
      <c r="I1657" s="1693">
        <f t="shared" si="299"/>
        <v>0</v>
      </c>
      <c r="J1657" s="1693"/>
      <c r="K1657" s="1693"/>
      <c r="L1657" s="1693"/>
      <c r="M1657" s="1693"/>
      <c r="N1657" s="1693"/>
      <c r="O1657" s="1693"/>
      <c r="P1657" s="1693">
        <f t="shared" si="297"/>
        <v>0</v>
      </c>
      <c r="Q1657" s="989"/>
      <c r="R1657" s="989"/>
      <c r="S1657" s="989"/>
      <c r="T1657" s="1862">
        <f t="shared" si="293"/>
        <v>0</v>
      </c>
    </row>
    <row r="1658" spans="1:20" ht="22.2" hidden="1" customHeight="1">
      <c r="A1658" s="1448">
        <f>COUNTIF($C$12:C1658,"x")</f>
        <v>89</v>
      </c>
      <c r="B1658" s="1455" t="s">
        <v>1031</v>
      </c>
      <c r="C1658" s="970" t="str">
        <f t="shared" si="294"/>
        <v xml:space="preserve"> </v>
      </c>
      <c r="D1658" s="1415">
        <f>ROUND(E1658*1.02,2)</f>
        <v>0</v>
      </c>
      <c r="E1658" s="997"/>
      <c r="F1658" s="992" t="str">
        <f>VLOOKUP($B1658,DG!A:D,DG!$C$2,)</f>
        <v>Cáp 24KV A/XLPE/PVC 185mm2</v>
      </c>
      <c r="G1658" s="980" t="str">
        <f>VLOOKUP($B1658,DG!A:D,DG!$D$2,)</f>
        <v>mét</v>
      </c>
      <c r="H1658" s="1693">
        <f t="shared" si="298"/>
        <v>0</v>
      </c>
      <c r="I1658" s="1693">
        <f t="shared" si="299"/>
        <v>0</v>
      </c>
      <c r="J1658" s="1693"/>
      <c r="K1658" s="1693"/>
      <c r="L1658" s="1693"/>
      <c r="M1658" s="1693"/>
      <c r="N1658" s="1693"/>
      <c r="O1658" s="1693"/>
      <c r="P1658" s="1693">
        <f t="shared" si="297"/>
        <v>0</v>
      </c>
      <c r="Q1658" s="989"/>
      <c r="R1658" s="989"/>
      <c r="S1658" s="989"/>
      <c r="T1658" s="1862">
        <f t="shared" si="293"/>
        <v>0</v>
      </c>
    </row>
    <row r="1659" spans="1:20" ht="22.2" hidden="1" customHeight="1">
      <c r="A1659" s="1448">
        <f>COUNTIF($C$12:C1659,"x")</f>
        <v>89</v>
      </c>
      <c r="B1659" s="1455" t="s">
        <v>1032</v>
      </c>
      <c r="C1659" s="970" t="str">
        <f t="shared" si="294"/>
        <v xml:space="preserve"> </v>
      </c>
      <c r="D1659" s="1415">
        <f>ROUND(E1659*1.03,2)</f>
        <v>0</v>
      </c>
      <c r="E1659" s="997">
        <f>'pp3p2m '!C100</f>
        <v>0</v>
      </c>
      <c r="F1659" s="992" t="str">
        <f>VLOOKUP($B1659,DG!A:D,DG!$C$2,)</f>
        <v>Cáp 24KV A/XLPE/PVC 150mm2</v>
      </c>
      <c r="G1659" s="980" t="str">
        <f>VLOOKUP($B1659,DG!A:D,DG!$D$2,)</f>
        <v>mét</v>
      </c>
      <c r="H1659" s="1693">
        <f t="shared" si="298"/>
        <v>0</v>
      </c>
      <c r="I1659" s="1693">
        <f t="shared" si="299"/>
        <v>0</v>
      </c>
      <c r="J1659" s="1693"/>
      <c r="K1659" s="1693"/>
      <c r="L1659" s="1693"/>
      <c r="M1659" s="1693"/>
      <c r="N1659" s="1693"/>
      <c r="O1659" s="1693"/>
      <c r="P1659" s="1693">
        <f t="shared" si="297"/>
        <v>0</v>
      </c>
      <c r="Q1659" s="989"/>
      <c r="R1659" s="989"/>
      <c r="S1659" s="989"/>
      <c r="T1659" s="1862">
        <f t="shared" si="293"/>
        <v>0</v>
      </c>
    </row>
    <row r="1660" spans="1:20" ht="22.2" hidden="1" customHeight="1">
      <c r="A1660" s="1448">
        <f>COUNTIF($C$12:C1660,"x")</f>
        <v>89</v>
      </c>
      <c r="B1660" s="1455" t="s">
        <v>657</v>
      </c>
      <c r="C1660" s="970" t="str">
        <f t="shared" si="294"/>
        <v xml:space="preserve"> </v>
      </c>
      <c r="D1660" s="1415">
        <f>ROUND(E1660*1.03,2)</f>
        <v>0</v>
      </c>
      <c r="E1660" s="997">
        <f>'pp3p2m '!C101</f>
        <v>0</v>
      </c>
      <c r="F1660" s="992" t="str">
        <f>VLOOKUP($B1660,DG!A:D,DG!$C$2,)</f>
        <v>Cáp 24KV A/XLPE/PVC 120mm2</v>
      </c>
      <c r="G1660" s="980" t="str">
        <f>VLOOKUP($B1660,DG!A:D,DG!$D$2,)</f>
        <v>mét</v>
      </c>
      <c r="H1660" s="1693">
        <f t="shared" si="298"/>
        <v>0</v>
      </c>
      <c r="I1660" s="1693">
        <f t="shared" si="299"/>
        <v>0</v>
      </c>
      <c r="J1660" s="1693"/>
      <c r="K1660" s="1693"/>
      <c r="L1660" s="1693"/>
      <c r="M1660" s="1693"/>
      <c r="N1660" s="1693"/>
      <c r="O1660" s="1693"/>
      <c r="P1660" s="1693">
        <f t="shared" si="297"/>
        <v>0</v>
      </c>
      <c r="Q1660" s="989"/>
      <c r="R1660" s="989"/>
      <c r="S1660" s="989"/>
      <c r="T1660" s="1862">
        <f t="shared" si="293"/>
        <v>0</v>
      </c>
    </row>
    <row r="1661" spans="1:20" ht="22.2" hidden="1" customHeight="1">
      <c r="A1661" s="1448">
        <f>COUNTIF($C$12:C1661,"x")</f>
        <v>89</v>
      </c>
      <c r="B1661" s="1455" t="s">
        <v>57</v>
      </c>
      <c r="C1661" s="970" t="str">
        <f t="shared" si="294"/>
        <v xml:space="preserve"> </v>
      </c>
      <c r="D1661" s="1415">
        <f>ROUND(E1661*1.03,2)</f>
        <v>0</v>
      </c>
      <c r="E1661" s="997">
        <f>'pp3p2m '!C102</f>
        <v>0</v>
      </c>
      <c r="F1661" s="992" t="str">
        <f>VLOOKUP($B1661,DG!A:D,DG!$C$2,)</f>
        <v>Cáp 24KV A/XLPE/PVC 95mm2</v>
      </c>
      <c r="G1661" s="980" t="str">
        <f>VLOOKUP($B1661,DG!A:D,DG!$D$2,)</f>
        <v>mét</v>
      </c>
      <c r="H1661" s="1693">
        <f t="shared" si="298"/>
        <v>0</v>
      </c>
      <c r="I1661" s="1693">
        <f t="shared" si="299"/>
        <v>0</v>
      </c>
      <c r="J1661" s="1693"/>
      <c r="K1661" s="1693"/>
      <c r="L1661" s="1693"/>
      <c r="M1661" s="1693"/>
      <c r="N1661" s="1693"/>
      <c r="O1661" s="1693"/>
      <c r="P1661" s="1693">
        <f t="shared" si="297"/>
        <v>0</v>
      </c>
      <c r="Q1661" s="989"/>
      <c r="R1661" s="989"/>
      <c r="S1661" s="989"/>
      <c r="T1661" s="1862">
        <f t="shared" si="293"/>
        <v>0</v>
      </c>
    </row>
    <row r="1662" spans="1:20" ht="22.2" hidden="1" customHeight="1">
      <c r="A1662" s="1448">
        <f>COUNTIF($C$12:C1662,"x")</f>
        <v>89</v>
      </c>
      <c r="B1662" s="1455" t="s">
        <v>56</v>
      </c>
      <c r="C1662" s="970" t="str">
        <f t="shared" si="294"/>
        <v xml:space="preserve"> </v>
      </c>
      <c r="D1662" s="1415">
        <f>ROUND(E1662*1.03,2)</f>
        <v>0</v>
      </c>
      <c r="E1662" s="997">
        <f>'pp3p2m '!C103</f>
        <v>0</v>
      </c>
      <c r="F1662" s="992" t="str">
        <f>VLOOKUP($B1662,DG!A:D,DG!$C$2,)</f>
        <v>Cáp 24KV A/XLPE/PVC 70mm2</v>
      </c>
      <c r="G1662" s="980" t="str">
        <f>VLOOKUP($B1662,DG!A:D,DG!$D$2,)</f>
        <v>mét</v>
      </c>
      <c r="H1662" s="1693">
        <f t="shared" si="298"/>
        <v>0</v>
      </c>
      <c r="I1662" s="1693">
        <f t="shared" si="299"/>
        <v>0</v>
      </c>
      <c r="J1662" s="1693"/>
      <c r="K1662" s="1693"/>
      <c r="L1662" s="1693"/>
      <c r="M1662" s="1693"/>
      <c r="N1662" s="1693"/>
      <c r="O1662" s="1693"/>
      <c r="P1662" s="1693">
        <f t="shared" si="297"/>
        <v>0</v>
      </c>
      <c r="Q1662" s="989"/>
      <c r="R1662" s="989"/>
      <c r="S1662" s="989"/>
      <c r="T1662" s="1862">
        <f t="shared" si="293"/>
        <v>0</v>
      </c>
    </row>
    <row r="1663" spans="1:20" ht="22.2" hidden="1" customHeight="1">
      <c r="A1663" s="1448">
        <f>COUNTIF($C$12:C1663,"x")</f>
        <v>89</v>
      </c>
      <c r="B1663" s="1472" t="s">
        <v>2499</v>
      </c>
      <c r="C1663" s="970" t="str">
        <f t="shared" si="294"/>
        <v xml:space="preserve"> </v>
      </c>
      <c r="D1663" s="1428">
        <f>'pp3p2m '!CU82</f>
        <v>0</v>
      </c>
      <c r="E1663" s="980"/>
      <c r="F1663" s="998" t="s">
        <v>2500</v>
      </c>
      <c r="G1663" s="999" t="s">
        <v>2439</v>
      </c>
      <c r="H1663" s="1693">
        <f t="shared" si="298"/>
        <v>0</v>
      </c>
      <c r="I1663" s="1693">
        <f t="shared" si="299"/>
        <v>0</v>
      </c>
      <c r="J1663" s="1693"/>
      <c r="K1663" s="1693"/>
      <c r="L1663" s="1693"/>
      <c r="M1663" s="1693"/>
      <c r="N1663" s="1693"/>
      <c r="O1663" s="1693"/>
      <c r="P1663" s="1693">
        <f t="shared" si="297"/>
        <v>0</v>
      </c>
      <c r="Q1663" s="989"/>
      <c r="R1663" s="989"/>
      <c r="S1663" s="989"/>
      <c r="T1663" s="1862">
        <f t="shared" ref="T1663:T1726" si="300">IFERROR(HLOOKUP(B1663,BangKeTru,3,0),0)</f>
        <v>0</v>
      </c>
    </row>
    <row r="1664" spans="1:20" ht="22.2" hidden="1" customHeight="1">
      <c r="A1664" s="1448">
        <f>COUNTIF($C$12:C1664,"x")</f>
        <v>89</v>
      </c>
      <c r="B1664" s="1455" t="s">
        <v>1909</v>
      </c>
      <c r="C1664" s="970" t="str">
        <f t="shared" si="294"/>
        <v xml:space="preserve"> </v>
      </c>
      <c r="D1664" s="1415">
        <f>D1663</f>
        <v>0</v>
      </c>
      <c r="E1664" s="980"/>
      <c r="F1664" s="992" t="str">
        <f>VLOOKUP($B1664,DG!A:D,DG!$C$2,)</f>
        <v>Uclevis + sứ ống chỉ</v>
      </c>
      <c r="G1664" s="980" t="str">
        <f>VLOOKUP($B1664,DG!A:D,DG!$D$2,)</f>
        <v>bộ</v>
      </c>
      <c r="H1664" s="1693">
        <f t="shared" si="298"/>
        <v>0</v>
      </c>
      <c r="I1664" s="1693">
        <f t="shared" si="299"/>
        <v>0</v>
      </c>
      <c r="J1664" s="1693"/>
      <c r="K1664" s="1693"/>
      <c r="L1664" s="1693"/>
      <c r="M1664" s="1693"/>
      <c r="N1664" s="1693"/>
      <c r="O1664" s="1693"/>
      <c r="P1664" s="1693">
        <f t="shared" si="297"/>
        <v>0</v>
      </c>
      <c r="Q1664" s="989"/>
      <c r="R1664" s="989"/>
      <c r="S1664" s="989"/>
      <c r="T1664" s="1862">
        <f t="shared" si="300"/>
        <v>0</v>
      </c>
    </row>
    <row r="1665" spans="1:20" ht="22.2" hidden="1" customHeight="1">
      <c r="A1665" s="1448">
        <f>COUNTIF($C$12:C1665,"x")</f>
        <v>89</v>
      </c>
      <c r="B1665" s="1455" t="s">
        <v>1610</v>
      </c>
      <c r="C1665" s="970" t="str">
        <f t="shared" si="294"/>
        <v xml:space="preserve"> </v>
      </c>
      <c r="D1665" s="1415">
        <f>D1663</f>
        <v>0</v>
      </c>
      <c r="E1665" s="980"/>
      <c r="F1665" s="992" t="str">
        <f>VLOOKUP($B1665,DG!A:D,DG!$C$2,)</f>
        <v>Boulon 16x300+ 2 long đền vuông D18-50x50x3/Zn</v>
      </c>
      <c r="G1665" s="980" t="str">
        <f>VLOOKUP($B1665,DG!A:D,DG!$D$2,)</f>
        <v>bộ</v>
      </c>
      <c r="H1665" s="1693">
        <f t="shared" si="298"/>
        <v>0</v>
      </c>
      <c r="I1665" s="1693">
        <f t="shared" si="299"/>
        <v>0</v>
      </c>
      <c r="J1665" s="1693"/>
      <c r="K1665" s="1693"/>
      <c r="L1665" s="1693"/>
      <c r="M1665" s="1693"/>
      <c r="N1665" s="1693"/>
      <c r="O1665" s="1693"/>
      <c r="P1665" s="1693">
        <f t="shared" si="297"/>
        <v>0</v>
      </c>
      <c r="Q1665" s="989"/>
      <c r="R1665" s="989"/>
      <c r="S1665" s="989"/>
      <c r="T1665" s="1862">
        <f t="shared" si="300"/>
        <v>0</v>
      </c>
    </row>
    <row r="1666" spans="1:20" ht="22.2" hidden="1" customHeight="1">
      <c r="A1666" s="1448">
        <f>COUNTIF($C$12:C1666,"x")</f>
        <v>89</v>
      </c>
      <c r="B1666" s="1472" t="s">
        <v>1621</v>
      </c>
      <c r="C1666" s="970" t="str">
        <f t="shared" si="294"/>
        <v xml:space="preserve"> </v>
      </c>
      <c r="D1666" s="1428">
        <f>'pp3p2m '!CW82</f>
        <v>0</v>
      </c>
      <c r="E1666" s="980"/>
      <c r="F1666" s="998" t="s">
        <v>2501</v>
      </c>
      <c r="G1666" s="999" t="s">
        <v>2439</v>
      </c>
      <c r="H1666" s="1693">
        <f t="shared" si="298"/>
        <v>0</v>
      </c>
      <c r="I1666" s="1693">
        <f t="shared" si="299"/>
        <v>0</v>
      </c>
      <c r="J1666" s="1693"/>
      <c r="K1666" s="1693"/>
      <c r="L1666" s="1693"/>
      <c r="M1666" s="1693"/>
      <c r="N1666" s="1693"/>
      <c r="O1666" s="1693"/>
      <c r="P1666" s="1693">
        <f t="shared" si="297"/>
        <v>0</v>
      </c>
      <c r="Q1666" s="989"/>
      <c r="R1666" s="989"/>
      <c r="S1666" s="989"/>
      <c r="T1666" s="1862">
        <f t="shared" si="300"/>
        <v>0</v>
      </c>
    </row>
    <row r="1667" spans="1:20" ht="22.2" hidden="1" customHeight="1">
      <c r="A1667" s="1448">
        <f>COUNTIF($C$12:C1667,"x")</f>
        <v>89</v>
      </c>
      <c r="B1667" s="1455" t="s">
        <v>1909</v>
      </c>
      <c r="C1667" s="970" t="str">
        <f t="shared" si="294"/>
        <v xml:space="preserve"> </v>
      </c>
      <c r="D1667" s="1415">
        <f>D1666</f>
        <v>0</v>
      </c>
      <c r="E1667" s="980"/>
      <c r="F1667" s="992" t="str">
        <f>VLOOKUP($B1667,DG!A:D,DG!$C$2,)</f>
        <v>Uclevis + sứ ống chỉ</v>
      </c>
      <c r="G1667" s="980" t="str">
        <f>VLOOKUP($B1667,DG!A:D,DG!$D$2,)</f>
        <v>bộ</v>
      </c>
      <c r="H1667" s="1693">
        <f t="shared" si="298"/>
        <v>0</v>
      </c>
      <c r="I1667" s="1693">
        <f t="shared" si="299"/>
        <v>0</v>
      </c>
      <c r="J1667" s="1693"/>
      <c r="K1667" s="1693"/>
      <c r="L1667" s="1693"/>
      <c r="M1667" s="1693"/>
      <c r="N1667" s="1693"/>
      <c r="O1667" s="1693"/>
      <c r="P1667" s="1693">
        <f t="shared" si="297"/>
        <v>0</v>
      </c>
      <c r="Q1667" s="989"/>
      <c r="R1667" s="989"/>
      <c r="S1667" s="989"/>
      <c r="T1667" s="1862">
        <f t="shared" si="300"/>
        <v>0</v>
      </c>
    </row>
    <row r="1668" spans="1:20" ht="22.2" hidden="1" customHeight="1">
      <c r="A1668" s="1448">
        <f>COUNTIF($C$12:C1668,"x")</f>
        <v>89</v>
      </c>
      <c r="B1668" s="1455" t="s">
        <v>1610</v>
      </c>
      <c r="C1668" s="970" t="str">
        <f t="shared" si="294"/>
        <v xml:space="preserve"> </v>
      </c>
      <c r="D1668" s="1415">
        <f>D1666</f>
        <v>0</v>
      </c>
      <c r="E1668" s="980"/>
      <c r="F1668" s="992" t="str">
        <f>VLOOKUP($B1668,DG!A:D,DG!$C$2,)</f>
        <v>Boulon 16x300+ 2 long đền vuông D18-50x50x3/Zn</v>
      </c>
      <c r="G1668" s="980" t="str">
        <f>VLOOKUP($B1668,DG!A:D,DG!$D$2,)</f>
        <v>bộ</v>
      </c>
      <c r="H1668" s="1693">
        <f t="shared" si="298"/>
        <v>0</v>
      </c>
      <c r="I1668" s="1693">
        <f t="shared" si="299"/>
        <v>0</v>
      </c>
      <c r="J1668" s="1693"/>
      <c r="K1668" s="1693"/>
      <c r="L1668" s="1693"/>
      <c r="M1668" s="1693"/>
      <c r="N1668" s="1693"/>
      <c r="O1668" s="1693"/>
      <c r="P1668" s="1693">
        <f t="shared" si="297"/>
        <v>0</v>
      </c>
      <c r="Q1668" s="989"/>
      <c r="R1668" s="989"/>
      <c r="S1668" s="989"/>
      <c r="T1668" s="1862">
        <f t="shared" si="300"/>
        <v>0</v>
      </c>
    </row>
    <row r="1669" spans="1:20" ht="22.2" hidden="1" customHeight="1">
      <c r="A1669" s="1448">
        <f>COUNTIF($C$12:C1669,"x")</f>
        <v>89</v>
      </c>
      <c r="B1669" s="1455" t="s">
        <v>1851</v>
      </c>
      <c r="C1669" s="970" t="str">
        <f t="shared" si="294"/>
        <v xml:space="preserve"> </v>
      </c>
      <c r="D1669" s="1415">
        <f>D1666*6</f>
        <v>0</v>
      </c>
      <c r="E1669" s="980"/>
      <c r="F1669" s="992" t="str">
        <f>VLOOKUP($B1669,DG!A:D,DG!$C$2,)</f>
        <v>Kẹp 2 rãnh cỡ dây 50mm2</v>
      </c>
      <c r="G1669" s="980" t="str">
        <f>VLOOKUP($B1669,DG!A:D,DG!$D$2,)</f>
        <v>cái</v>
      </c>
      <c r="H1669" s="1693">
        <f t="shared" si="298"/>
        <v>0</v>
      </c>
      <c r="I1669" s="1693">
        <f t="shared" si="299"/>
        <v>0</v>
      </c>
      <c r="J1669" s="1693"/>
      <c r="K1669" s="1693"/>
      <c r="L1669" s="1693"/>
      <c r="M1669" s="1693"/>
      <c r="N1669" s="1693"/>
      <c r="O1669" s="1693"/>
      <c r="P1669" s="1693">
        <f t="shared" si="297"/>
        <v>0</v>
      </c>
      <c r="Q1669" s="989"/>
      <c r="R1669" s="989"/>
      <c r="S1669" s="989"/>
      <c r="T1669" s="1862">
        <f t="shared" si="300"/>
        <v>0</v>
      </c>
    </row>
    <row r="1670" spans="1:20" ht="22.2" hidden="1" customHeight="1">
      <c r="A1670" s="1448">
        <f>COUNTIF($C$12:C1670,"x")</f>
        <v>89</v>
      </c>
      <c r="B1670" s="1472" t="s">
        <v>1622</v>
      </c>
      <c r="C1670" s="970" t="str">
        <f t="shared" si="294"/>
        <v xml:space="preserve"> </v>
      </c>
      <c r="D1670" s="1428">
        <f>'pp3p2m '!CX82</f>
        <v>0</v>
      </c>
      <c r="E1670" s="980"/>
      <c r="F1670" s="998" t="s">
        <v>2502</v>
      </c>
      <c r="G1670" s="999" t="s">
        <v>2439</v>
      </c>
      <c r="H1670" s="1693">
        <f t="shared" si="298"/>
        <v>0</v>
      </c>
      <c r="I1670" s="1693">
        <f t="shared" si="299"/>
        <v>0</v>
      </c>
      <c r="J1670" s="1693"/>
      <c r="K1670" s="1693"/>
      <c r="L1670" s="1693"/>
      <c r="M1670" s="1693"/>
      <c r="N1670" s="1693"/>
      <c r="O1670" s="1693"/>
      <c r="P1670" s="1693">
        <f t="shared" si="297"/>
        <v>0</v>
      </c>
      <c r="Q1670" s="989"/>
      <c r="R1670" s="989"/>
      <c r="S1670" s="989"/>
      <c r="T1670" s="1862">
        <f t="shared" si="300"/>
        <v>0</v>
      </c>
    </row>
    <row r="1671" spans="1:20" ht="22.2" hidden="1" customHeight="1">
      <c r="A1671" s="1448">
        <f>COUNTIF($C$12:C1671,"x")</f>
        <v>89</v>
      </c>
      <c r="B1671" s="1473" t="s">
        <v>1920</v>
      </c>
      <c r="C1671" s="970" t="str">
        <f t="shared" ref="C1671:C1734" si="301">IF(OR(P1671&lt;&gt;0,H1671&lt;&gt;0),"x"," ")</f>
        <v xml:space="preserve"> </v>
      </c>
      <c r="D1671" s="1415">
        <f>D1670</f>
        <v>0</v>
      </c>
      <c r="E1671" s="980"/>
      <c r="F1671" s="990" t="str">
        <f>VLOOKUP($B1671,DG!A:D,DG!$C$2,)</f>
        <v>Khóa néo dây cỡ dây 120</v>
      </c>
      <c r="G1671" s="980" t="str">
        <f>VLOOKUP($B1671,DG!A:D,DG!$D$2,)</f>
        <v>cái</v>
      </c>
      <c r="H1671" s="1693">
        <f t="shared" si="298"/>
        <v>0</v>
      </c>
      <c r="I1671" s="1693">
        <f t="shared" si="299"/>
        <v>0</v>
      </c>
      <c r="J1671" s="1693"/>
      <c r="K1671" s="1693"/>
      <c r="L1671" s="1693"/>
      <c r="M1671" s="1693"/>
      <c r="N1671" s="1693"/>
      <c r="O1671" s="1693"/>
      <c r="P1671" s="1693">
        <f t="shared" si="297"/>
        <v>0</v>
      </c>
      <c r="Q1671" s="989"/>
      <c r="R1671" s="989"/>
      <c r="S1671" s="989"/>
      <c r="T1671" s="1862">
        <f t="shared" si="300"/>
        <v>0</v>
      </c>
    </row>
    <row r="1672" spans="1:20" ht="22.2" hidden="1" customHeight="1">
      <c r="A1672" s="1448">
        <f>COUNTIF($C$12:C1672,"x")</f>
        <v>89</v>
      </c>
      <c r="B1672" s="1455" t="s">
        <v>1486</v>
      </c>
      <c r="C1672" s="970" t="str">
        <f t="shared" si="301"/>
        <v xml:space="preserve"> </v>
      </c>
      <c r="D1672" s="1415">
        <f>D1670*2</f>
        <v>0</v>
      </c>
      <c r="E1672" s="980"/>
      <c r="F1672" s="990" t="str">
        <f>VLOOKUP($B1672,DG!A:D,DG!$C$2,)</f>
        <v xml:space="preserve">Móc treo chữ U </v>
      </c>
      <c r="G1672" s="980" t="str">
        <f>VLOOKUP($B1672,DG!A:D,DG!$D$2,)</f>
        <v>cái</v>
      </c>
      <c r="H1672" s="1693">
        <f t="shared" si="298"/>
        <v>0</v>
      </c>
      <c r="I1672" s="1693">
        <f t="shared" si="299"/>
        <v>0</v>
      </c>
      <c r="J1672" s="1693"/>
      <c r="K1672" s="1693"/>
      <c r="L1672" s="1693"/>
      <c r="M1672" s="1693"/>
      <c r="N1672" s="1693"/>
      <c r="O1672" s="1693"/>
      <c r="P1672" s="1693">
        <f t="shared" si="297"/>
        <v>0</v>
      </c>
      <c r="Q1672" s="989"/>
      <c r="R1672" s="989"/>
      <c r="S1672" s="989"/>
      <c r="T1672" s="1862">
        <f t="shared" si="300"/>
        <v>0</v>
      </c>
    </row>
    <row r="1673" spans="1:20" ht="22.2" hidden="1" customHeight="1">
      <c r="A1673" s="1448">
        <f>COUNTIF($C$12:C1673,"x")</f>
        <v>89</v>
      </c>
      <c r="B1673" s="1455" t="s">
        <v>417</v>
      </c>
      <c r="C1673" s="970" t="str">
        <f t="shared" si="301"/>
        <v xml:space="preserve"> </v>
      </c>
      <c r="D1673" s="1415">
        <f>D1671</f>
        <v>0</v>
      </c>
      <c r="E1673" s="980"/>
      <c r="F1673" s="990" t="str">
        <f>VLOOKUP($B1673,DG!A:D,DG!$C$2,)</f>
        <v>Boulon mắt 16x300+ 2 long đền vuông D18-50x50x3/Zn</v>
      </c>
      <c r="G1673" s="980" t="str">
        <f>VLOOKUP($B1673,DG!A:D,DG!$D$2,)</f>
        <v>bộ</v>
      </c>
      <c r="H1673" s="1693">
        <f t="shared" si="298"/>
        <v>0</v>
      </c>
      <c r="I1673" s="1693">
        <f t="shared" si="299"/>
        <v>0</v>
      </c>
      <c r="J1673" s="1693"/>
      <c r="K1673" s="1693"/>
      <c r="L1673" s="1693"/>
      <c r="M1673" s="1693"/>
      <c r="N1673" s="1693"/>
      <c r="O1673" s="1693"/>
      <c r="P1673" s="1693">
        <f t="shared" si="297"/>
        <v>0</v>
      </c>
      <c r="Q1673" s="989"/>
      <c r="R1673" s="989"/>
      <c r="S1673" s="989"/>
      <c r="T1673" s="1862">
        <f t="shared" si="300"/>
        <v>0</v>
      </c>
    </row>
    <row r="1674" spans="1:20" ht="22.2" hidden="1" customHeight="1">
      <c r="A1674" s="1448">
        <f>COUNTIF($C$12:C1674,"x")</f>
        <v>89</v>
      </c>
      <c r="B1674" s="1455" t="s">
        <v>241</v>
      </c>
      <c r="C1674" s="970" t="str">
        <f t="shared" si="301"/>
        <v xml:space="preserve"> </v>
      </c>
      <c r="D1674" s="1415">
        <f>D1670</f>
        <v>0</v>
      </c>
      <c r="E1674" s="980"/>
      <c r="F1674" s="990" t="str">
        <f>VLOOKUP($B1674,DG!A:D,DG!$C$2,)</f>
        <v>Kẹp ép WR cỡ dây 120mm2</v>
      </c>
      <c r="G1674" s="980" t="str">
        <f>VLOOKUP($B1674,DG!A:D,DG!$D$2,)</f>
        <v>cái</v>
      </c>
      <c r="H1674" s="1693">
        <f t="shared" si="298"/>
        <v>0</v>
      </c>
      <c r="I1674" s="1693">
        <f t="shared" si="299"/>
        <v>0</v>
      </c>
      <c r="J1674" s="1693"/>
      <c r="K1674" s="1693"/>
      <c r="L1674" s="1693"/>
      <c r="M1674" s="1693"/>
      <c r="N1674" s="1693"/>
      <c r="O1674" s="1693"/>
      <c r="P1674" s="1693">
        <f t="shared" si="297"/>
        <v>0</v>
      </c>
      <c r="Q1674" s="989"/>
      <c r="R1674" s="989"/>
      <c r="S1674" s="989"/>
      <c r="T1674" s="1862">
        <f t="shared" si="300"/>
        <v>0</v>
      </c>
    </row>
    <row r="1675" spans="1:20" ht="22.2" hidden="1" customHeight="1">
      <c r="A1675" s="1448">
        <f>COUNTIF($C$12:C1675,"x")</f>
        <v>89</v>
      </c>
      <c r="B1675" s="1472" t="s">
        <v>2504</v>
      </c>
      <c r="C1675" s="970" t="str">
        <f t="shared" si="301"/>
        <v xml:space="preserve"> </v>
      </c>
      <c r="D1675" s="1428">
        <f>'pp3p2m '!CP82</f>
        <v>0</v>
      </c>
      <c r="E1675" s="980"/>
      <c r="F1675" s="998" t="s">
        <v>2505</v>
      </c>
      <c r="G1675" s="999" t="s">
        <v>2439</v>
      </c>
      <c r="H1675" s="1693">
        <f t="shared" si="298"/>
        <v>0</v>
      </c>
      <c r="I1675" s="1693">
        <f t="shared" si="299"/>
        <v>0</v>
      </c>
      <c r="J1675" s="1693"/>
      <c r="K1675" s="1693"/>
      <c r="L1675" s="1693"/>
      <c r="M1675" s="1693"/>
      <c r="N1675" s="1693"/>
      <c r="O1675" s="1693"/>
      <c r="P1675" s="1693">
        <f t="shared" si="297"/>
        <v>0</v>
      </c>
      <c r="Q1675" s="989"/>
      <c r="R1675" s="989"/>
      <c r="S1675" s="989"/>
      <c r="T1675" s="1862">
        <f t="shared" si="300"/>
        <v>0</v>
      </c>
    </row>
    <row r="1676" spans="1:20" ht="22.2" hidden="1" customHeight="1">
      <c r="A1676" s="1448">
        <f>COUNTIF($C$12:C1676,"x")</f>
        <v>89</v>
      </c>
      <c r="B1676" s="1455" t="s">
        <v>696</v>
      </c>
      <c r="C1676" s="970" t="str">
        <f t="shared" si="301"/>
        <v xml:space="preserve"> </v>
      </c>
      <c r="D1676" s="1415">
        <f>D1675</f>
        <v>0</v>
      </c>
      <c r="E1676" s="980"/>
      <c r="F1676" s="992" t="str">
        <f>VLOOKUP($B1676,DG!A:D,DG!$C$2,)</f>
        <v xml:space="preserve">Sứ đứng 24KV </v>
      </c>
      <c r="G1676" s="980" t="str">
        <f>VLOOKUP($B1676,DG!A:D,DG!$D$2,)</f>
        <v>cái</v>
      </c>
      <c r="H1676" s="1693">
        <f t="shared" si="298"/>
        <v>0</v>
      </c>
      <c r="I1676" s="1693">
        <f t="shared" si="299"/>
        <v>0</v>
      </c>
      <c r="J1676" s="1693"/>
      <c r="K1676" s="1693"/>
      <c r="L1676" s="1693"/>
      <c r="M1676" s="1693"/>
      <c r="N1676" s="1693"/>
      <c r="O1676" s="1693"/>
      <c r="P1676" s="1693">
        <f t="shared" si="297"/>
        <v>0</v>
      </c>
      <c r="Q1676" s="989"/>
      <c r="R1676" s="989"/>
      <c r="S1676" s="989"/>
      <c r="T1676" s="1862">
        <f t="shared" si="300"/>
        <v>0</v>
      </c>
    </row>
    <row r="1677" spans="1:20" ht="22.2" hidden="1" customHeight="1">
      <c r="A1677" s="1448">
        <f>COUNTIF($C$12:C1677,"x")</f>
        <v>89</v>
      </c>
      <c r="B1677" s="1455" t="s">
        <v>1265</v>
      </c>
      <c r="C1677" s="970" t="str">
        <f t="shared" si="301"/>
        <v xml:space="preserve"> </v>
      </c>
      <c r="D1677" s="1415">
        <f>D1675</f>
        <v>0</v>
      </c>
      <c r="E1677" s="980"/>
      <c r="F1677" s="992" t="str">
        <f>VLOOKUP($B1677,DG!A:D,DG!$C$2,)</f>
        <v>Chân sứ đứng D20</v>
      </c>
      <c r="G1677" s="980" t="str">
        <f>VLOOKUP($B1677,DG!A:D,DG!$D$2,)</f>
        <v>cái</v>
      </c>
      <c r="H1677" s="1693">
        <f t="shared" si="298"/>
        <v>0</v>
      </c>
      <c r="I1677" s="1693">
        <f t="shared" si="299"/>
        <v>0</v>
      </c>
      <c r="J1677" s="1693"/>
      <c r="K1677" s="1693"/>
      <c r="L1677" s="1693"/>
      <c r="M1677" s="1693"/>
      <c r="N1677" s="1693"/>
      <c r="O1677" s="1693"/>
      <c r="P1677" s="1693">
        <f t="shared" si="297"/>
        <v>0</v>
      </c>
      <c r="Q1677" s="989"/>
      <c r="R1677" s="989"/>
      <c r="S1677" s="989"/>
      <c r="T1677" s="1862">
        <f t="shared" si="300"/>
        <v>0</v>
      </c>
    </row>
    <row r="1678" spans="1:20" ht="22.2" hidden="1" customHeight="1">
      <c r="A1678" s="1448">
        <f>COUNTIF($C$12:C1678,"x")</f>
        <v>89</v>
      </c>
      <c r="B1678" s="1472" t="s">
        <v>2506</v>
      </c>
      <c r="C1678" s="970" t="str">
        <f t="shared" si="301"/>
        <v xml:space="preserve"> </v>
      </c>
      <c r="D1678" s="1428">
        <f>'pp3p2m '!CN82</f>
        <v>0</v>
      </c>
      <c r="E1678" s="980"/>
      <c r="F1678" s="998" t="s">
        <v>2507</v>
      </c>
      <c r="G1678" s="999" t="s">
        <v>2439</v>
      </c>
      <c r="H1678" s="1693">
        <f t="shared" si="298"/>
        <v>0</v>
      </c>
      <c r="I1678" s="1693">
        <f t="shared" si="299"/>
        <v>0</v>
      </c>
      <c r="J1678" s="1693"/>
      <c r="K1678" s="1693"/>
      <c r="L1678" s="1693"/>
      <c r="M1678" s="1693"/>
      <c r="N1678" s="1693"/>
      <c r="O1678" s="1693"/>
      <c r="P1678" s="1693">
        <f t="shared" si="297"/>
        <v>0</v>
      </c>
      <c r="Q1678" s="989"/>
      <c r="R1678" s="989"/>
      <c r="S1678" s="989"/>
      <c r="T1678" s="1862">
        <f t="shared" si="300"/>
        <v>0</v>
      </c>
    </row>
    <row r="1679" spans="1:20" ht="22.2" hidden="1" customHeight="1">
      <c r="A1679" s="1448">
        <f>COUNTIF($C$12:C1679,"x")</f>
        <v>89</v>
      </c>
      <c r="B1679" s="1455" t="s">
        <v>696</v>
      </c>
      <c r="C1679" s="970" t="str">
        <f t="shared" si="301"/>
        <v xml:space="preserve"> </v>
      </c>
      <c r="D1679" s="1415">
        <f>D1678</f>
        <v>0</v>
      </c>
      <c r="E1679" s="980"/>
      <c r="F1679" s="992" t="str">
        <f>VLOOKUP($B1679,DG!A:D,DG!$C$2,)</f>
        <v xml:space="preserve">Sứ đứng 24KV </v>
      </c>
      <c r="G1679" s="980" t="str">
        <f>VLOOKUP($B1679,DG!A:D,DG!$D$2,)</f>
        <v>cái</v>
      </c>
      <c r="H1679" s="1693">
        <f t="shared" si="298"/>
        <v>0</v>
      </c>
      <c r="I1679" s="1693">
        <f t="shared" si="299"/>
        <v>0</v>
      </c>
      <c r="J1679" s="1693"/>
      <c r="K1679" s="1693"/>
      <c r="L1679" s="1693"/>
      <c r="M1679" s="1693"/>
      <c r="N1679" s="1693"/>
      <c r="O1679" s="1693"/>
      <c r="P1679" s="1693">
        <f t="shared" si="297"/>
        <v>0</v>
      </c>
      <c r="Q1679" s="989"/>
      <c r="R1679" s="989"/>
      <c r="S1679" s="989"/>
      <c r="T1679" s="1862">
        <f t="shared" si="300"/>
        <v>0</v>
      </c>
    </row>
    <row r="1680" spans="1:20" ht="22.2" hidden="1" customHeight="1">
      <c r="A1680" s="1448">
        <f>COUNTIF($C$12:C1680,"x")</f>
        <v>89</v>
      </c>
      <c r="B1680" s="1455" t="s">
        <v>1266</v>
      </c>
      <c r="C1680" s="970" t="str">
        <f t="shared" si="301"/>
        <v xml:space="preserve"> </v>
      </c>
      <c r="D1680" s="1415">
        <f>D1678</f>
        <v>0</v>
      </c>
      <c r="E1680" s="980"/>
      <c r="F1680" s="992" t="str">
        <f>VLOOKUP($B1680,DG!A:D,DG!$C$2,)</f>
        <v>Chân sứ đỉnh thẳng dài 870mm</v>
      </c>
      <c r="G1680" s="980" t="str">
        <f>VLOOKUP($B1680,DG!A:D,DG!$D$2,)</f>
        <v>cái</v>
      </c>
      <c r="H1680" s="1693">
        <f t="shared" si="298"/>
        <v>0</v>
      </c>
      <c r="I1680" s="1693">
        <f t="shared" si="299"/>
        <v>0</v>
      </c>
      <c r="J1680" s="1693"/>
      <c r="K1680" s="1693"/>
      <c r="L1680" s="1693"/>
      <c r="M1680" s="1693"/>
      <c r="N1680" s="1693"/>
      <c r="O1680" s="1693"/>
      <c r="P1680" s="1693">
        <f t="shared" si="297"/>
        <v>0</v>
      </c>
      <c r="Q1680" s="989"/>
      <c r="R1680" s="989"/>
      <c r="S1680" s="989"/>
      <c r="T1680" s="1862">
        <f t="shared" si="300"/>
        <v>0</v>
      </c>
    </row>
    <row r="1681" spans="1:20" ht="22.2" hidden="1" customHeight="1">
      <c r="A1681" s="1448">
        <f>COUNTIF($C$12:C1681,"x")</f>
        <v>89</v>
      </c>
      <c r="B1681" s="1455" t="s">
        <v>1610</v>
      </c>
      <c r="C1681" s="970" t="str">
        <f t="shared" si="301"/>
        <v xml:space="preserve"> </v>
      </c>
      <c r="D1681" s="1415">
        <f>D1678*2</f>
        <v>0</v>
      </c>
      <c r="E1681" s="980"/>
      <c r="F1681" s="992" t="str">
        <f>VLOOKUP($B1681,DG!A:D,DG!$C$2,)</f>
        <v>Boulon 16x300+ 2 long đền vuông D18-50x50x3/Zn</v>
      </c>
      <c r="G1681" s="980" t="str">
        <f>VLOOKUP($B1681,DG!A:D,DG!$D$2,)</f>
        <v>bộ</v>
      </c>
      <c r="H1681" s="1693">
        <f t="shared" si="298"/>
        <v>0</v>
      </c>
      <c r="I1681" s="1693">
        <f t="shared" si="299"/>
        <v>0</v>
      </c>
      <c r="J1681" s="1693"/>
      <c r="K1681" s="1693"/>
      <c r="L1681" s="1693"/>
      <c r="M1681" s="1693"/>
      <c r="N1681" s="1693"/>
      <c r="O1681" s="1693"/>
      <c r="P1681" s="1693">
        <f t="shared" si="297"/>
        <v>0</v>
      </c>
      <c r="Q1681" s="989"/>
      <c r="R1681" s="989"/>
      <c r="S1681" s="989"/>
      <c r="T1681" s="1862">
        <f t="shared" si="300"/>
        <v>0</v>
      </c>
    </row>
    <row r="1682" spans="1:20" ht="22.2" hidden="1" customHeight="1">
      <c r="A1682" s="1448">
        <f>COUNTIF($C$12:C1682,"x")</f>
        <v>89</v>
      </c>
      <c r="B1682" s="1474" t="s">
        <v>2508</v>
      </c>
      <c r="C1682" s="970" t="str">
        <f t="shared" si="301"/>
        <v xml:space="preserve"> </v>
      </c>
      <c r="D1682" s="1429">
        <f>'pp3p2m '!CO82</f>
        <v>0</v>
      </c>
      <c r="E1682" s="984"/>
      <c r="F1682" s="998" t="s">
        <v>2509</v>
      </c>
      <c r="G1682" s="1216" t="s">
        <v>2439</v>
      </c>
      <c r="H1682" s="1693">
        <f t="shared" ref="H1682:H1713" si="302">$D1682</f>
        <v>0</v>
      </c>
      <c r="I1682" s="1694">
        <f t="shared" ref="I1682:I1713" si="303">D1682</f>
        <v>0</v>
      </c>
      <c r="J1682" s="1694"/>
      <c r="K1682" s="1694"/>
      <c r="L1682" s="1694"/>
      <c r="M1682" s="1694"/>
      <c r="N1682" s="1694"/>
      <c r="O1682" s="1694"/>
      <c r="P1682" s="1693">
        <f t="shared" si="297"/>
        <v>0</v>
      </c>
      <c r="Q1682" s="989"/>
      <c r="R1682" s="989"/>
      <c r="S1682" s="989"/>
      <c r="T1682" s="1862">
        <f t="shared" si="300"/>
        <v>0</v>
      </c>
    </row>
    <row r="1683" spans="1:20" ht="22.2" hidden="1" customHeight="1">
      <c r="A1683" s="1448">
        <f>COUNTIF($C$12:C1683,"x")</f>
        <v>89</v>
      </c>
      <c r="B1683" s="1455" t="s">
        <v>696</v>
      </c>
      <c r="C1683" s="970" t="str">
        <f t="shared" si="301"/>
        <v xml:space="preserve"> </v>
      </c>
      <c r="D1683" s="1418">
        <f>D1682*2</f>
        <v>0</v>
      </c>
      <c r="E1683" s="984"/>
      <c r="F1683" s="992" t="str">
        <f>VLOOKUP($B1683,DG!A:D,DG!$C$2,)</f>
        <v xml:space="preserve">Sứ đứng 24KV </v>
      </c>
      <c r="G1683" s="980" t="str">
        <f>VLOOKUP($B1683,DG!A:D,DG!$D$2,)</f>
        <v>cái</v>
      </c>
      <c r="H1683" s="1693">
        <f t="shared" si="302"/>
        <v>0</v>
      </c>
      <c r="I1683" s="1694">
        <f t="shared" si="303"/>
        <v>0</v>
      </c>
      <c r="J1683" s="1694"/>
      <c r="K1683" s="1694"/>
      <c r="L1683" s="1694"/>
      <c r="M1683" s="1694"/>
      <c r="N1683" s="1694"/>
      <c r="O1683" s="1694"/>
      <c r="P1683" s="1693">
        <f t="shared" si="297"/>
        <v>0</v>
      </c>
      <c r="Q1683" s="989"/>
      <c r="R1683" s="989"/>
      <c r="S1683" s="989"/>
      <c r="T1683" s="1862">
        <f t="shared" si="300"/>
        <v>0</v>
      </c>
    </row>
    <row r="1684" spans="1:20" ht="22.2" hidden="1" customHeight="1">
      <c r="A1684" s="1448">
        <f>COUNTIF($C$12:C1684,"x")</f>
        <v>89</v>
      </c>
      <c r="B1684" s="1455" t="s">
        <v>590</v>
      </c>
      <c r="C1684" s="970" t="str">
        <f t="shared" si="301"/>
        <v xml:space="preserve"> </v>
      </c>
      <c r="D1684" s="1418">
        <f>D1682*2</f>
        <v>0</v>
      </c>
      <c r="E1684" s="984"/>
      <c r="F1684" s="992" t="str">
        <f>VLOOKUP($B1684,DG!A:D,DG!$C$2,)</f>
        <v>Chân sứ đỉnh đỡ góc dài 870mm</v>
      </c>
      <c r="G1684" s="980" t="str">
        <f>VLOOKUP($B1684,DG!A:D,DG!$D$2,)</f>
        <v>cái</v>
      </c>
      <c r="H1684" s="1693">
        <f t="shared" si="302"/>
        <v>0</v>
      </c>
      <c r="I1684" s="1694">
        <f t="shared" si="303"/>
        <v>0</v>
      </c>
      <c r="J1684" s="1694"/>
      <c r="K1684" s="1694"/>
      <c r="L1684" s="1694"/>
      <c r="M1684" s="1694"/>
      <c r="N1684" s="1694"/>
      <c r="O1684" s="1694"/>
      <c r="P1684" s="1693">
        <f t="shared" si="297"/>
        <v>0</v>
      </c>
      <c r="Q1684" s="989"/>
      <c r="R1684" s="989"/>
      <c r="S1684" s="989"/>
      <c r="T1684" s="1862">
        <f t="shared" si="300"/>
        <v>0</v>
      </c>
    </row>
    <row r="1685" spans="1:20" ht="22.2" hidden="1" customHeight="1">
      <c r="A1685" s="1448">
        <f>COUNTIF($C$12:C1685,"x")</f>
        <v>89</v>
      </c>
      <c r="B1685" s="1455" t="s">
        <v>1610</v>
      </c>
      <c r="C1685" s="970" t="str">
        <f t="shared" si="301"/>
        <v xml:space="preserve"> </v>
      </c>
      <c r="D1685" s="1418">
        <f>D1682*2</f>
        <v>0</v>
      </c>
      <c r="E1685" s="984"/>
      <c r="F1685" s="992" t="str">
        <f>VLOOKUP($B1685,DG!A:D,DG!$C$2,)</f>
        <v>Boulon 16x300+ 2 long đền vuông D18-50x50x3/Zn</v>
      </c>
      <c r="G1685" s="980" t="str">
        <f>VLOOKUP($B1685,DG!A:D,DG!$D$2,)</f>
        <v>bộ</v>
      </c>
      <c r="H1685" s="1693">
        <f t="shared" si="302"/>
        <v>0</v>
      </c>
      <c r="I1685" s="1694">
        <f t="shared" si="303"/>
        <v>0</v>
      </c>
      <c r="J1685" s="1694"/>
      <c r="K1685" s="1694"/>
      <c r="L1685" s="1694"/>
      <c r="M1685" s="1694"/>
      <c r="N1685" s="1694"/>
      <c r="O1685" s="1694"/>
      <c r="P1685" s="1693">
        <f t="shared" si="297"/>
        <v>0</v>
      </c>
      <c r="Q1685" s="989"/>
      <c r="R1685" s="989"/>
      <c r="S1685" s="989"/>
      <c r="T1685" s="1862">
        <f t="shared" si="300"/>
        <v>0</v>
      </c>
    </row>
    <row r="1686" spans="1:20" ht="22.2" hidden="1" customHeight="1">
      <c r="A1686" s="1448">
        <f>COUNTIF($C$12:C1686,"x")</f>
        <v>89</v>
      </c>
      <c r="B1686" s="1472" t="s">
        <v>2510</v>
      </c>
      <c r="C1686" s="970" t="str">
        <f t="shared" si="301"/>
        <v xml:space="preserve"> </v>
      </c>
      <c r="D1686" s="1428"/>
      <c r="E1686" s="980"/>
      <c r="F1686" s="998" t="s">
        <v>2528</v>
      </c>
      <c r="G1686" s="999" t="s">
        <v>2512</v>
      </c>
      <c r="H1686" s="1693">
        <f t="shared" si="302"/>
        <v>0</v>
      </c>
      <c r="I1686" s="1693">
        <f t="shared" si="303"/>
        <v>0</v>
      </c>
      <c r="J1686" s="1693"/>
      <c r="K1686" s="1693"/>
      <c r="L1686" s="1693"/>
      <c r="M1686" s="1693"/>
      <c r="N1686" s="1693"/>
      <c r="O1686" s="1693"/>
      <c r="P1686" s="1693">
        <f t="shared" si="297"/>
        <v>0</v>
      </c>
      <c r="Q1686" s="989"/>
      <c r="R1686" s="989"/>
      <c r="S1686" s="989"/>
      <c r="T1686" s="1862">
        <f t="shared" si="300"/>
        <v>0</v>
      </c>
    </row>
    <row r="1687" spans="1:20" ht="22.2" hidden="1" customHeight="1">
      <c r="A1687" s="1448">
        <f>COUNTIF($C$12:C1687,"x")</f>
        <v>89</v>
      </c>
      <c r="B1687" s="1455" t="s">
        <v>1267</v>
      </c>
      <c r="C1687" s="970" t="str">
        <f t="shared" si="301"/>
        <v xml:space="preserve"> </v>
      </c>
      <c r="D1687" s="1415">
        <f>D1686*2</f>
        <v>0</v>
      </c>
      <c r="E1687" s="980"/>
      <c r="F1687" s="992" t="str">
        <f>VLOOKUP($B1687,DG!A:D,DG!$C$2,)</f>
        <v>Sứ treo loại 70kN</v>
      </c>
      <c r="G1687" s="980" t="str">
        <f>VLOOKUP($B1687,DG!A:D,DG!$D$2,)</f>
        <v>bát</v>
      </c>
      <c r="H1687" s="1693">
        <f t="shared" si="302"/>
        <v>0</v>
      </c>
      <c r="I1687" s="1693">
        <f t="shared" si="303"/>
        <v>0</v>
      </c>
      <c r="J1687" s="1693"/>
      <c r="K1687" s="1693"/>
      <c r="L1687" s="1693"/>
      <c r="M1687" s="1693"/>
      <c r="N1687" s="1693"/>
      <c r="O1687" s="1693"/>
      <c r="P1687" s="1693">
        <f t="shared" si="297"/>
        <v>0</v>
      </c>
      <c r="Q1687" s="989"/>
      <c r="R1687" s="989"/>
      <c r="S1687" s="989"/>
      <c r="T1687" s="1862">
        <f t="shared" si="300"/>
        <v>0</v>
      </c>
    </row>
    <row r="1688" spans="1:20" ht="22.2" hidden="1" customHeight="1">
      <c r="A1688" s="1448">
        <f>COUNTIF($C$12:C1688,"x")</f>
        <v>89</v>
      </c>
      <c r="B1688" s="1455" t="s">
        <v>1486</v>
      </c>
      <c r="C1688" s="970" t="str">
        <f t="shared" si="301"/>
        <v xml:space="preserve"> </v>
      </c>
      <c r="D1688" s="1415">
        <f>D1686*2</f>
        <v>0</v>
      </c>
      <c r="E1688" s="980"/>
      <c r="F1688" s="992" t="str">
        <f>VLOOKUP($B1688,DG!A:D,DG!$C$2,)</f>
        <v xml:space="preserve">Móc treo chữ U </v>
      </c>
      <c r="G1688" s="980" t="str">
        <f>VLOOKUP($B1688,DG!A:D,DG!$D$2,)</f>
        <v>cái</v>
      </c>
      <c r="H1688" s="1693">
        <f t="shared" si="302"/>
        <v>0</v>
      </c>
      <c r="I1688" s="1693">
        <f t="shared" si="303"/>
        <v>0</v>
      </c>
      <c r="J1688" s="1693"/>
      <c r="K1688" s="1693"/>
      <c r="L1688" s="1693"/>
      <c r="M1688" s="1693"/>
      <c r="N1688" s="1693"/>
      <c r="O1688" s="1693"/>
      <c r="P1688" s="1693">
        <f t="shared" si="297"/>
        <v>0</v>
      </c>
      <c r="Q1688" s="989"/>
      <c r="R1688" s="989"/>
      <c r="S1688" s="989"/>
      <c r="T1688" s="1862">
        <f t="shared" si="300"/>
        <v>0</v>
      </c>
    </row>
    <row r="1689" spans="1:20" ht="22.2" hidden="1" customHeight="1">
      <c r="A1689" s="1448">
        <f>COUNTIF($C$12:C1689,"x")</f>
        <v>89</v>
      </c>
      <c r="B1689" s="1455" t="s">
        <v>1569</v>
      </c>
      <c r="C1689" s="970" t="str">
        <f t="shared" si="301"/>
        <v xml:space="preserve"> </v>
      </c>
      <c r="D1689" s="1415">
        <f>D1686</f>
        <v>0</v>
      </c>
      <c r="E1689" s="980"/>
      <c r="F1689" s="992" t="str">
        <f>VLOOKUP($B1689,DG!A:D,DG!$C$2,)</f>
        <v>Vòng treo đầu tròn</v>
      </c>
      <c r="G1689" s="980" t="str">
        <f>VLOOKUP($B1689,DG!A:D,DG!$D$2,)</f>
        <v>cái</v>
      </c>
      <c r="H1689" s="1693">
        <f t="shared" si="302"/>
        <v>0</v>
      </c>
      <c r="I1689" s="1693">
        <f t="shared" si="303"/>
        <v>0</v>
      </c>
      <c r="J1689" s="1693"/>
      <c r="K1689" s="1693"/>
      <c r="L1689" s="1693"/>
      <c r="M1689" s="1693"/>
      <c r="N1689" s="1693"/>
      <c r="O1689" s="1693"/>
      <c r="P1689" s="1693">
        <f t="shared" si="297"/>
        <v>0</v>
      </c>
      <c r="Q1689" s="989"/>
      <c r="R1689" s="989"/>
      <c r="S1689" s="989"/>
      <c r="T1689" s="1862">
        <f t="shared" si="300"/>
        <v>0</v>
      </c>
    </row>
    <row r="1690" spans="1:20" ht="22.2" hidden="1" customHeight="1">
      <c r="A1690" s="1448">
        <f>COUNTIF($C$12:C1690,"x")</f>
        <v>89</v>
      </c>
      <c r="B1690" s="1455" t="s">
        <v>1484</v>
      </c>
      <c r="C1690" s="970" t="str">
        <f t="shared" si="301"/>
        <v xml:space="preserve"> </v>
      </c>
      <c r="D1690" s="1415">
        <f>D1686</f>
        <v>0</v>
      </c>
      <c r="E1690" s="980"/>
      <c r="F1690" s="992" t="str">
        <f>VLOOKUP($B1690,DG!A:D,DG!$C$2,)</f>
        <v>Mắt nối đơn</v>
      </c>
      <c r="G1690" s="980" t="str">
        <f>VLOOKUP($B1690,DG!A:D,DG!$D$2,)</f>
        <v>cái</v>
      </c>
      <c r="H1690" s="1693">
        <f t="shared" si="302"/>
        <v>0</v>
      </c>
      <c r="I1690" s="1693">
        <f t="shared" si="303"/>
        <v>0</v>
      </c>
      <c r="J1690" s="1693"/>
      <c r="K1690" s="1693"/>
      <c r="L1690" s="1693"/>
      <c r="M1690" s="1693"/>
      <c r="N1690" s="1693"/>
      <c r="O1690" s="1693"/>
      <c r="P1690" s="1693">
        <f t="shared" si="297"/>
        <v>0</v>
      </c>
      <c r="Q1690" s="989"/>
      <c r="R1690" s="989"/>
      <c r="S1690" s="989"/>
      <c r="T1690" s="1862">
        <f t="shared" si="300"/>
        <v>0</v>
      </c>
    </row>
    <row r="1691" spans="1:20" ht="22.2" hidden="1" customHeight="1">
      <c r="A1691" s="1448">
        <f>COUNTIF($C$12:C1691,"x")</f>
        <v>89</v>
      </c>
      <c r="B1691" s="1455" t="s">
        <v>1268</v>
      </c>
      <c r="C1691" s="970" t="str">
        <f t="shared" si="301"/>
        <v xml:space="preserve"> </v>
      </c>
      <c r="D1691" s="1415">
        <f>D1686</f>
        <v>0</v>
      </c>
      <c r="E1691" s="980"/>
      <c r="F1691" s="992" t="str">
        <f>VLOOKUP($B1691,DG!A:D,DG!$C$2,)</f>
        <v>Boulon mắt 16x300+ 2 long đền vuông D18-50x50x3/Zn</v>
      </c>
      <c r="G1691" s="980" t="str">
        <f>VLOOKUP($B1691,DG!A:D,DG!$D$2,)</f>
        <v>bộ</v>
      </c>
      <c r="H1691" s="1693">
        <f t="shared" si="302"/>
        <v>0</v>
      </c>
      <c r="I1691" s="1693">
        <f t="shared" si="303"/>
        <v>0</v>
      </c>
      <c r="J1691" s="1693"/>
      <c r="K1691" s="1693"/>
      <c r="L1691" s="1693"/>
      <c r="M1691" s="1693"/>
      <c r="N1691" s="1693"/>
      <c r="O1691" s="1693"/>
      <c r="P1691" s="1693">
        <f t="shared" si="297"/>
        <v>0</v>
      </c>
      <c r="Q1691" s="989"/>
      <c r="R1691" s="989"/>
      <c r="S1691" s="989"/>
      <c r="T1691" s="1862">
        <f t="shared" si="300"/>
        <v>0</v>
      </c>
    </row>
    <row r="1692" spans="1:20" ht="22.2" hidden="1" customHeight="1">
      <c r="A1692" s="1448">
        <f>COUNTIF($C$12:C1692,"x")</f>
        <v>89</v>
      </c>
      <c r="B1692" s="1472" t="s">
        <v>2529</v>
      </c>
      <c r="C1692" s="970" t="str">
        <f t="shared" si="301"/>
        <v xml:space="preserve"> </v>
      </c>
      <c r="D1692" s="1428"/>
      <c r="E1692" s="1288"/>
      <c r="F1692" s="998" t="s">
        <v>2530</v>
      </c>
      <c r="G1692" s="999" t="s">
        <v>2512</v>
      </c>
      <c r="H1692" s="1693">
        <f t="shared" si="302"/>
        <v>0</v>
      </c>
      <c r="I1692" s="1693">
        <f t="shared" si="303"/>
        <v>0</v>
      </c>
      <c r="J1692" s="1693"/>
      <c r="K1692" s="1693"/>
      <c r="L1692" s="1693"/>
      <c r="M1692" s="1693"/>
      <c r="N1692" s="1693"/>
      <c r="O1692" s="1693"/>
      <c r="P1692" s="1693">
        <f t="shared" si="297"/>
        <v>0</v>
      </c>
      <c r="Q1692" s="989"/>
      <c r="R1692" s="989"/>
      <c r="S1692" s="989"/>
      <c r="T1692" s="1862">
        <f t="shared" si="300"/>
        <v>0</v>
      </c>
    </row>
    <row r="1693" spans="1:20" ht="22.2" hidden="1" customHeight="1">
      <c r="A1693" s="1448">
        <f>COUNTIF($C$12:C1693,"x")</f>
        <v>89</v>
      </c>
      <c r="B1693" s="1455" t="s">
        <v>112</v>
      </c>
      <c r="C1693" s="970" t="str">
        <f t="shared" si="301"/>
        <v xml:space="preserve"> </v>
      </c>
      <c r="D1693" s="1415">
        <f>D1692*2</f>
        <v>0</v>
      </c>
      <c r="E1693" s="980"/>
      <c r="F1693" s="992" t="str">
        <f>VLOOKUP($B1693,DG!A:D,DG!$C$2,)</f>
        <v>Sứ treo loại 70kN</v>
      </c>
      <c r="G1693" s="980" t="str">
        <f>VLOOKUP($B1693,DG!A:D,DG!$D$2,)</f>
        <v>bát</v>
      </c>
      <c r="H1693" s="1693">
        <f t="shared" si="302"/>
        <v>0</v>
      </c>
      <c r="I1693" s="1693">
        <f t="shared" si="303"/>
        <v>0</v>
      </c>
      <c r="J1693" s="1693"/>
      <c r="K1693" s="1693"/>
      <c r="L1693" s="1693"/>
      <c r="M1693" s="1693"/>
      <c r="N1693" s="1693"/>
      <c r="O1693" s="1693"/>
      <c r="P1693" s="1693">
        <f t="shared" si="297"/>
        <v>0</v>
      </c>
      <c r="Q1693" s="989"/>
      <c r="R1693" s="989"/>
      <c r="S1693" s="989"/>
      <c r="T1693" s="1862">
        <f t="shared" si="300"/>
        <v>0</v>
      </c>
    </row>
    <row r="1694" spans="1:20" ht="22.2" hidden="1" customHeight="1">
      <c r="A1694" s="1448">
        <f>COUNTIF($C$12:C1694,"x")</f>
        <v>89</v>
      </c>
      <c r="B1694" s="1455" t="s">
        <v>1486</v>
      </c>
      <c r="C1694" s="970" t="str">
        <f t="shared" si="301"/>
        <v xml:space="preserve"> </v>
      </c>
      <c r="D1694" s="1415">
        <f>D1692*2</f>
        <v>0</v>
      </c>
      <c r="E1694" s="980"/>
      <c r="F1694" s="992" t="str">
        <f>VLOOKUP($B1694,DG!A:D,DG!$C$2,)</f>
        <v xml:space="preserve">Móc treo chữ U </v>
      </c>
      <c r="G1694" s="980" t="str">
        <f>VLOOKUP($B1694,DG!A:D,DG!$D$2,)</f>
        <v>cái</v>
      </c>
      <c r="H1694" s="1693">
        <f t="shared" si="302"/>
        <v>0</v>
      </c>
      <c r="I1694" s="1693">
        <f t="shared" si="303"/>
        <v>0</v>
      </c>
      <c r="J1694" s="1693"/>
      <c r="K1694" s="1693"/>
      <c r="L1694" s="1693"/>
      <c r="M1694" s="1693"/>
      <c r="N1694" s="1693"/>
      <c r="O1694" s="1693"/>
      <c r="P1694" s="1693">
        <f t="shared" si="297"/>
        <v>0</v>
      </c>
      <c r="Q1694" s="989"/>
      <c r="R1694" s="989"/>
      <c r="S1694" s="989"/>
      <c r="T1694" s="1862">
        <f t="shared" si="300"/>
        <v>0</v>
      </c>
    </row>
    <row r="1695" spans="1:20" ht="22.2" hidden="1" customHeight="1">
      <c r="A1695" s="1448">
        <f>COUNTIF($C$12:C1695,"x")</f>
        <v>89</v>
      </c>
      <c r="B1695" s="1472" t="s">
        <v>2513</v>
      </c>
      <c r="C1695" s="970" t="str">
        <f t="shared" si="301"/>
        <v xml:space="preserve"> </v>
      </c>
      <c r="D1695" s="1428">
        <f>'pp3p2m '!CQ82</f>
        <v>0</v>
      </c>
      <c r="E1695" s="980"/>
      <c r="F1695" s="998" t="s">
        <v>2531</v>
      </c>
      <c r="G1695" s="999" t="s">
        <v>2512</v>
      </c>
      <c r="H1695" s="1693">
        <f t="shared" si="302"/>
        <v>0</v>
      </c>
      <c r="I1695" s="1693">
        <f t="shared" si="303"/>
        <v>0</v>
      </c>
      <c r="J1695" s="1693"/>
      <c r="K1695" s="1693"/>
      <c r="L1695" s="1693"/>
      <c r="M1695" s="1693"/>
      <c r="N1695" s="1693"/>
      <c r="O1695" s="1693"/>
      <c r="P1695" s="1693">
        <f t="shared" si="297"/>
        <v>0</v>
      </c>
      <c r="Q1695" s="989"/>
      <c r="R1695" s="989"/>
      <c r="S1695" s="989"/>
      <c r="T1695" s="1862">
        <f t="shared" si="300"/>
        <v>0</v>
      </c>
    </row>
    <row r="1696" spans="1:20" ht="22.2" hidden="1" customHeight="1">
      <c r="A1696" s="1448">
        <f>COUNTIF($C$12:C1696,"x")</f>
        <v>89</v>
      </c>
      <c r="B1696" s="1455" t="s">
        <v>1506</v>
      </c>
      <c r="C1696" s="970" t="str">
        <f t="shared" si="301"/>
        <v xml:space="preserve"> </v>
      </c>
      <c r="D1696" s="1415">
        <f>D1695</f>
        <v>0</v>
      </c>
      <c r="E1696" s="980"/>
      <c r="F1696" s="992" t="str">
        <f>VLOOKUP($B1696,DG!A:D,DG!$C$2,)</f>
        <v>Sứ treo polymer</v>
      </c>
      <c r="G1696" s="980" t="str">
        <f>VLOOKUP($B1696,DG!A:D,DG!$D$2,)</f>
        <v>chuỗi</v>
      </c>
      <c r="H1696" s="1693">
        <f t="shared" si="302"/>
        <v>0</v>
      </c>
      <c r="I1696" s="1693">
        <f t="shared" si="303"/>
        <v>0</v>
      </c>
      <c r="J1696" s="1693"/>
      <c r="K1696" s="1693"/>
      <c r="L1696" s="1693"/>
      <c r="M1696" s="1693"/>
      <c r="N1696" s="1693"/>
      <c r="O1696" s="1693"/>
      <c r="P1696" s="1693">
        <f t="shared" si="297"/>
        <v>0</v>
      </c>
      <c r="Q1696" s="989"/>
      <c r="R1696" s="989"/>
      <c r="S1696" s="989"/>
      <c r="T1696" s="1862">
        <f t="shared" si="300"/>
        <v>0</v>
      </c>
    </row>
    <row r="1697" spans="1:20" ht="22.2" hidden="1" customHeight="1">
      <c r="A1697" s="1448">
        <f>COUNTIF($C$12:C1697,"x")</f>
        <v>89</v>
      </c>
      <c r="B1697" s="1455" t="s">
        <v>1486</v>
      </c>
      <c r="C1697" s="970" t="str">
        <f t="shared" si="301"/>
        <v xml:space="preserve"> </v>
      </c>
      <c r="D1697" s="1415">
        <f>D1695*2</f>
        <v>0</v>
      </c>
      <c r="E1697" s="980"/>
      <c r="F1697" s="992" t="str">
        <f>VLOOKUP($B1697,DG!A:D,DG!$C$2,)</f>
        <v xml:space="preserve">Móc treo chữ U </v>
      </c>
      <c r="G1697" s="980" t="str">
        <f>VLOOKUP($B1697,DG!A:D,DG!$D$2,)</f>
        <v>cái</v>
      </c>
      <c r="H1697" s="1693">
        <f t="shared" si="302"/>
        <v>0</v>
      </c>
      <c r="I1697" s="1693">
        <f t="shared" si="303"/>
        <v>0</v>
      </c>
      <c r="J1697" s="1693"/>
      <c r="K1697" s="1693"/>
      <c r="L1697" s="1693"/>
      <c r="M1697" s="1693"/>
      <c r="N1697" s="1693"/>
      <c r="O1697" s="1693"/>
      <c r="P1697" s="1693">
        <f t="shared" si="297"/>
        <v>0</v>
      </c>
      <c r="Q1697" s="989"/>
      <c r="R1697" s="989"/>
      <c r="S1697" s="989"/>
      <c r="T1697" s="1862">
        <f t="shared" si="300"/>
        <v>0</v>
      </c>
    </row>
    <row r="1698" spans="1:20" ht="22.2" hidden="1" customHeight="1">
      <c r="A1698" s="1448">
        <f>COUNTIF($C$12:C1698,"x")</f>
        <v>89</v>
      </c>
      <c r="B1698" s="1455" t="s">
        <v>1569</v>
      </c>
      <c r="C1698" s="970" t="str">
        <f t="shared" si="301"/>
        <v xml:space="preserve"> </v>
      </c>
      <c r="D1698" s="1415">
        <f>D1695</f>
        <v>0</v>
      </c>
      <c r="E1698" s="980"/>
      <c r="F1698" s="992" t="str">
        <f>VLOOKUP($B1698,DG!A:D,DG!$C$2,)</f>
        <v>Vòng treo đầu tròn</v>
      </c>
      <c r="G1698" s="980" t="str">
        <f>VLOOKUP($B1698,DG!A:D,DG!$D$2,)</f>
        <v>cái</v>
      </c>
      <c r="H1698" s="1693">
        <f t="shared" si="302"/>
        <v>0</v>
      </c>
      <c r="I1698" s="1693">
        <f t="shared" si="303"/>
        <v>0</v>
      </c>
      <c r="J1698" s="1693"/>
      <c r="K1698" s="1693"/>
      <c r="L1698" s="1693"/>
      <c r="M1698" s="1693"/>
      <c r="N1698" s="1693"/>
      <c r="O1698" s="1693"/>
      <c r="P1698" s="1693">
        <f t="shared" si="297"/>
        <v>0</v>
      </c>
      <c r="Q1698" s="989"/>
      <c r="R1698" s="989"/>
      <c r="S1698" s="989"/>
      <c r="T1698" s="1862">
        <f t="shared" si="300"/>
        <v>0</v>
      </c>
    </row>
    <row r="1699" spans="1:20" ht="22.2" hidden="1" customHeight="1">
      <c r="A1699" s="1448">
        <f>COUNTIF($C$12:C1699,"x")</f>
        <v>89</v>
      </c>
      <c r="B1699" s="1455" t="s">
        <v>1484</v>
      </c>
      <c r="C1699" s="970" t="str">
        <f t="shared" si="301"/>
        <v xml:space="preserve"> </v>
      </c>
      <c r="D1699" s="1415">
        <f>D1695</f>
        <v>0</v>
      </c>
      <c r="E1699" s="980"/>
      <c r="F1699" s="992" t="str">
        <f>VLOOKUP($B1699,DG!A:D,DG!$C$2,)</f>
        <v>Mắt nối đơn</v>
      </c>
      <c r="G1699" s="980" t="str">
        <f>VLOOKUP($B1699,DG!A:D,DG!$D$2,)</f>
        <v>cái</v>
      </c>
      <c r="H1699" s="1693">
        <f t="shared" si="302"/>
        <v>0</v>
      </c>
      <c r="I1699" s="1693">
        <f t="shared" si="303"/>
        <v>0</v>
      </c>
      <c r="J1699" s="1693"/>
      <c r="K1699" s="1693"/>
      <c r="L1699" s="1693"/>
      <c r="M1699" s="1693"/>
      <c r="N1699" s="1693"/>
      <c r="O1699" s="1693"/>
      <c r="P1699" s="1693">
        <f t="shared" si="297"/>
        <v>0</v>
      </c>
      <c r="Q1699" s="989"/>
      <c r="R1699" s="989"/>
      <c r="S1699" s="989"/>
      <c r="T1699" s="1862">
        <f t="shared" si="300"/>
        <v>0</v>
      </c>
    </row>
    <row r="1700" spans="1:20" ht="22.2" hidden="1" customHeight="1">
      <c r="A1700" s="1448">
        <f>COUNTIF($C$12:C1700,"x")</f>
        <v>89</v>
      </c>
      <c r="B1700" s="1477" t="s">
        <v>544</v>
      </c>
      <c r="C1700" s="970" t="str">
        <f t="shared" si="301"/>
        <v xml:space="preserve"> </v>
      </c>
      <c r="D1700" s="1415">
        <f>'pp3p2m '!EB82</f>
        <v>0</v>
      </c>
      <c r="E1700" s="980"/>
      <c r="F1700" s="992" t="str">
        <f>VLOOKUP($B1700,DG!A:D,DG!$C$2,)</f>
        <v>Giáp níu dừng dây bọc ACX50</v>
      </c>
      <c r="G1700" s="980" t="str">
        <f>VLOOKUP($B1700,DG!A:D,DG!$D$2,)</f>
        <v>cái</v>
      </c>
      <c r="H1700" s="1693">
        <f t="shared" si="302"/>
        <v>0</v>
      </c>
      <c r="I1700" s="1693">
        <f t="shared" si="303"/>
        <v>0</v>
      </c>
      <c r="J1700" s="1693"/>
      <c r="K1700" s="1693"/>
      <c r="L1700" s="1693"/>
      <c r="M1700" s="1693"/>
      <c r="N1700" s="1693"/>
      <c r="O1700" s="1693"/>
      <c r="P1700" s="1693">
        <f t="shared" si="297"/>
        <v>0</v>
      </c>
      <c r="Q1700" s="989"/>
      <c r="R1700" s="989"/>
      <c r="S1700" s="989"/>
      <c r="T1700" s="1862">
        <f t="shared" si="300"/>
        <v>0</v>
      </c>
    </row>
    <row r="1701" spans="1:20" ht="22.2" hidden="1" customHeight="1">
      <c r="A1701" s="1448">
        <f>COUNTIF($C$12:C1701,"x")</f>
        <v>89</v>
      </c>
      <c r="B1701" s="1460" t="s">
        <v>1144</v>
      </c>
      <c r="C1701" s="970" t="str">
        <f t="shared" si="301"/>
        <v xml:space="preserve"> </v>
      </c>
      <c r="D1701" s="1428">
        <f>HLOOKUP(B1701,'pp3p2m '!$EE$81:$EK$82,2,)</f>
        <v>0</v>
      </c>
      <c r="E1701" s="980"/>
      <c r="F1701" s="992" t="str">
        <f>VLOOKUP($B1701,DG!A:D,DG!$C$2,)</f>
        <v>Khóa đỡ dây cỡ dây 240</v>
      </c>
      <c r="G1701" s="980" t="str">
        <f>VLOOKUP($B1701,DG!A:D,DG!$D$2,)</f>
        <v>cái</v>
      </c>
      <c r="H1701" s="1693">
        <f t="shared" si="302"/>
        <v>0</v>
      </c>
      <c r="I1701" s="1693">
        <f t="shared" si="303"/>
        <v>0</v>
      </c>
      <c r="J1701" s="1693"/>
      <c r="K1701" s="1693"/>
      <c r="L1701" s="1693"/>
      <c r="M1701" s="1693"/>
      <c r="N1701" s="1693"/>
      <c r="O1701" s="1693"/>
      <c r="P1701" s="1693">
        <f t="shared" si="297"/>
        <v>0</v>
      </c>
      <c r="Q1701" s="989"/>
      <c r="R1701" s="989"/>
      <c r="S1701" s="989"/>
      <c r="T1701" s="1862">
        <f t="shared" si="300"/>
        <v>0</v>
      </c>
    </row>
    <row r="1702" spans="1:20" ht="22.2" hidden="1" customHeight="1">
      <c r="A1702" s="1448">
        <f>COUNTIF($C$12:C1702,"x")</f>
        <v>89</v>
      </c>
      <c r="B1702" s="1460" t="s">
        <v>1143</v>
      </c>
      <c r="C1702" s="970" t="str">
        <f t="shared" si="301"/>
        <v xml:space="preserve"> </v>
      </c>
      <c r="D1702" s="1428">
        <f>HLOOKUP(B1702,'pp3p2m '!$EE$81:$EK$82,2,)</f>
        <v>0</v>
      </c>
      <c r="E1702" s="980"/>
      <c r="F1702" s="992" t="str">
        <f>VLOOKUP($B1702,DG!A:D,DG!$C$2,)</f>
        <v>Khóa đỡ dây cỡ dây 185</v>
      </c>
      <c r="G1702" s="980" t="str">
        <f>VLOOKUP($B1702,DG!A:D,DG!$D$2,)</f>
        <v>cái</v>
      </c>
      <c r="H1702" s="1693">
        <f t="shared" si="302"/>
        <v>0</v>
      </c>
      <c r="I1702" s="1693">
        <f t="shared" si="303"/>
        <v>0</v>
      </c>
      <c r="J1702" s="1693"/>
      <c r="K1702" s="1693"/>
      <c r="L1702" s="1693"/>
      <c r="M1702" s="1693"/>
      <c r="N1702" s="1693"/>
      <c r="O1702" s="1693"/>
      <c r="P1702" s="1693">
        <f t="shared" si="297"/>
        <v>0</v>
      </c>
      <c r="Q1702" s="989"/>
      <c r="R1702" s="989"/>
      <c r="S1702" s="989"/>
      <c r="T1702" s="1862">
        <f t="shared" si="300"/>
        <v>0</v>
      </c>
    </row>
    <row r="1703" spans="1:20" ht="22.2" hidden="1" customHeight="1">
      <c r="A1703" s="1448">
        <f>COUNTIF($C$12:C1703,"x")</f>
        <v>89</v>
      </c>
      <c r="B1703" s="1460" t="s">
        <v>1142</v>
      </c>
      <c r="C1703" s="970" t="str">
        <f t="shared" si="301"/>
        <v xml:space="preserve"> </v>
      </c>
      <c r="D1703" s="1428">
        <f>HLOOKUP(B1703,'pp3p2m '!$EE$81:$EK$82,2,)</f>
        <v>0</v>
      </c>
      <c r="E1703" s="980"/>
      <c r="F1703" s="992" t="str">
        <f>VLOOKUP($B1703,DG!A:D,DG!$C$2,)</f>
        <v>Khóa đỡ dây cỡ dây 150</v>
      </c>
      <c r="G1703" s="980" t="str">
        <f>VLOOKUP($B1703,DG!A:D,DG!$D$2,)</f>
        <v>cái</v>
      </c>
      <c r="H1703" s="1693">
        <f t="shared" si="302"/>
        <v>0</v>
      </c>
      <c r="I1703" s="1693">
        <f t="shared" si="303"/>
        <v>0</v>
      </c>
      <c r="J1703" s="1693"/>
      <c r="K1703" s="1693"/>
      <c r="L1703" s="1693"/>
      <c r="M1703" s="1693"/>
      <c r="N1703" s="1693"/>
      <c r="O1703" s="1693"/>
      <c r="P1703" s="1693">
        <f t="shared" si="297"/>
        <v>0</v>
      </c>
      <c r="Q1703" s="989"/>
      <c r="R1703" s="989"/>
      <c r="S1703" s="989"/>
      <c r="T1703" s="1862">
        <f t="shared" si="300"/>
        <v>0</v>
      </c>
    </row>
    <row r="1704" spans="1:20" ht="22.2" hidden="1" customHeight="1">
      <c r="A1704" s="1448">
        <f>COUNTIF($C$12:C1704,"x")</f>
        <v>89</v>
      </c>
      <c r="B1704" s="1460" t="s">
        <v>1141</v>
      </c>
      <c r="C1704" s="970" t="str">
        <f t="shared" si="301"/>
        <v xml:space="preserve"> </v>
      </c>
      <c r="D1704" s="1428">
        <f>HLOOKUP(B1704,'pp3p2m '!$EE$81:$EK$82,2,)</f>
        <v>0</v>
      </c>
      <c r="E1704" s="980"/>
      <c r="F1704" s="992" t="str">
        <f>VLOOKUP($B1704,DG!A:D,DG!$C$2,)</f>
        <v>Khóa đỡ dây cỡ dây 120</v>
      </c>
      <c r="G1704" s="980" t="str">
        <f>VLOOKUP($B1704,DG!A:D,DG!$D$2,)</f>
        <v>cái</v>
      </c>
      <c r="H1704" s="1693">
        <f t="shared" si="302"/>
        <v>0</v>
      </c>
      <c r="I1704" s="1693">
        <f t="shared" si="303"/>
        <v>0</v>
      </c>
      <c r="J1704" s="1693"/>
      <c r="K1704" s="1693"/>
      <c r="L1704" s="1693"/>
      <c r="M1704" s="1693"/>
      <c r="N1704" s="1693"/>
      <c r="O1704" s="1693"/>
      <c r="P1704" s="1693">
        <f t="shared" si="297"/>
        <v>0</v>
      </c>
      <c r="Q1704" s="989"/>
      <c r="R1704" s="989"/>
      <c r="S1704" s="989"/>
      <c r="T1704" s="1862">
        <f t="shared" si="300"/>
        <v>0</v>
      </c>
    </row>
    <row r="1705" spans="1:20" ht="22.2" hidden="1" customHeight="1">
      <c r="A1705" s="1448">
        <f>COUNTIF($C$12:C1705,"x")</f>
        <v>89</v>
      </c>
      <c r="B1705" s="1460" t="s">
        <v>101</v>
      </c>
      <c r="C1705" s="970" t="str">
        <f t="shared" si="301"/>
        <v xml:space="preserve"> </v>
      </c>
      <c r="D1705" s="1428">
        <f>HLOOKUP(B1705,'pp3p2m '!$EE$81:$EK$82,2,)</f>
        <v>0</v>
      </c>
      <c r="E1705" s="980"/>
      <c r="F1705" s="992" t="str">
        <f>VLOOKUP($B1705,DG!A:D,DG!$C$2,)</f>
        <v>Khóa đỡ dây cỡ dây 95</v>
      </c>
      <c r="G1705" s="980" t="str">
        <f>VLOOKUP($B1705,DG!A:D,DG!$D$2,)</f>
        <v>cái</v>
      </c>
      <c r="H1705" s="1693">
        <f t="shared" si="302"/>
        <v>0</v>
      </c>
      <c r="I1705" s="1693">
        <f t="shared" si="303"/>
        <v>0</v>
      </c>
      <c r="J1705" s="1693"/>
      <c r="K1705" s="1693"/>
      <c r="L1705" s="1693"/>
      <c r="M1705" s="1693"/>
      <c r="N1705" s="1693"/>
      <c r="O1705" s="1693"/>
      <c r="P1705" s="1693">
        <f t="shared" ref="P1705:P1771" si="304">H1705+Q1705-R1705</f>
        <v>0</v>
      </c>
      <c r="Q1705" s="989"/>
      <c r="R1705" s="989"/>
      <c r="S1705" s="989"/>
      <c r="T1705" s="1862">
        <f t="shared" si="300"/>
        <v>0</v>
      </c>
    </row>
    <row r="1706" spans="1:20" ht="22.2" hidden="1" customHeight="1">
      <c r="A1706" s="1448">
        <f>COUNTIF($C$12:C1706,"x")</f>
        <v>89</v>
      </c>
      <c r="B1706" s="1460" t="s">
        <v>1481</v>
      </c>
      <c r="C1706" s="970" t="str">
        <f t="shared" si="301"/>
        <v xml:space="preserve"> </v>
      </c>
      <c r="D1706" s="1428">
        <f>HLOOKUP(B1706,'pp3p2m '!$EE$81:$EK$82,2,)</f>
        <v>0</v>
      </c>
      <c r="E1706" s="980"/>
      <c r="F1706" s="992" t="str">
        <f>VLOOKUP($B1706,DG!A:D,DG!$C$2,)</f>
        <v>Khóa đỡ dây cỡ dây 70</v>
      </c>
      <c r="G1706" s="980" t="str">
        <f>VLOOKUP($B1706,DG!A:D,DG!$D$2,)</f>
        <v>cái</v>
      </c>
      <c r="H1706" s="1693">
        <f t="shared" si="302"/>
        <v>0</v>
      </c>
      <c r="I1706" s="1693">
        <f t="shared" si="303"/>
        <v>0</v>
      </c>
      <c r="J1706" s="1693"/>
      <c r="K1706" s="1693"/>
      <c r="L1706" s="1693"/>
      <c r="M1706" s="1693"/>
      <c r="N1706" s="1693"/>
      <c r="O1706" s="1693"/>
      <c r="P1706" s="1693">
        <f t="shared" si="304"/>
        <v>0</v>
      </c>
      <c r="Q1706" s="989"/>
      <c r="R1706" s="989"/>
      <c r="S1706" s="989"/>
      <c r="T1706" s="1862">
        <f t="shared" si="300"/>
        <v>0</v>
      </c>
    </row>
    <row r="1707" spans="1:20" ht="22.2" hidden="1" customHeight="1">
      <c r="A1707" s="1448">
        <f>COUNTIF($C$12:C1707,"x")</f>
        <v>89</v>
      </c>
      <c r="B1707" s="1460" t="s">
        <v>1175</v>
      </c>
      <c r="C1707" s="970" t="str">
        <f t="shared" si="301"/>
        <v xml:space="preserve"> </v>
      </c>
      <c r="D1707" s="1428">
        <f>HLOOKUP(B1707,'pp3p2m '!$EE$81:$EK$82,2,)</f>
        <v>0</v>
      </c>
      <c r="E1707" s="980"/>
      <c r="F1707" s="992" t="str">
        <f>VLOOKUP($B1707,DG!A:D,DG!$C$2,)</f>
        <v>Khóa đỡ dây cỡ dây 50</v>
      </c>
      <c r="G1707" s="980" t="str">
        <f>VLOOKUP($B1707,DG!A:D,DG!$D$2,)</f>
        <v>cái</v>
      </c>
      <c r="H1707" s="1693">
        <f t="shared" si="302"/>
        <v>0</v>
      </c>
      <c r="I1707" s="1693">
        <f t="shared" si="303"/>
        <v>0</v>
      </c>
      <c r="J1707" s="1693"/>
      <c r="K1707" s="1693"/>
      <c r="L1707" s="1693"/>
      <c r="M1707" s="1693"/>
      <c r="N1707" s="1693"/>
      <c r="O1707" s="1693"/>
      <c r="P1707" s="1693">
        <f t="shared" si="304"/>
        <v>0</v>
      </c>
      <c r="Q1707" s="989"/>
      <c r="R1707" s="989"/>
      <c r="S1707" s="989"/>
      <c r="T1707" s="1862">
        <f t="shared" si="300"/>
        <v>0</v>
      </c>
    </row>
    <row r="1708" spans="1:20" ht="22.2" hidden="1" customHeight="1">
      <c r="A1708" s="1448">
        <f>COUNTIF($C$12:C1708,"x")</f>
        <v>89</v>
      </c>
      <c r="B1708" s="1460" t="s">
        <v>1741</v>
      </c>
      <c r="C1708" s="970" t="str">
        <f t="shared" si="301"/>
        <v xml:space="preserve"> </v>
      </c>
      <c r="D1708" s="1415">
        <f>'pp3p2m '!CT82</f>
        <v>0</v>
      </c>
      <c r="E1708" s="980"/>
      <c r="F1708" s="992" t="str">
        <f>VLOOKUP($B1708,DG!A:D,DG!$C$2,)</f>
        <v>Khóa néo dây cỡ dây 240</v>
      </c>
      <c r="G1708" s="980" t="str">
        <f>VLOOKUP($B1708,DG!A:D,DG!$D$2,)</f>
        <v>cái</v>
      </c>
      <c r="H1708" s="1693">
        <f t="shared" si="302"/>
        <v>0</v>
      </c>
      <c r="I1708" s="1693">
        <f t="shared" si="303"/>
        <v>0</v>
      </c>
      <c r="J1708" s="1693"/>
      <c r="K1708" s="1693"/>
      <c r="L1708" s="1693"/>
      <c r="M1708" s="1693"/>
      <c r="N1708" s="1693"/>
      <c r="O1708" s="1693"/>
      <c r="P1708" s="1693">
        <f t="shared" si="304"/>
        <v>0</v>
      </c>
      <c r="Q1708" s="989"/>
      <c r="R1708" s="989"/>
      <c r="S1708" s="989"/>
      <c r="T1708" s="1862">
        <f t="shared" si="300"/>
        <v>0</v>
      </c>
    </row>
    <row r="1709" spans="1:20" ht="22.2" hidden="1" customHeight="1">
      <c r="A1709" s="1448">
        <f>COUNTIF($C$12:C1709,"x")</f>
        <v>89</v>
      </c>
      <c r="B1709" s="1460" t="s">
        <v>1742</v>
      </c>
      <c r="C1709" s="970" t="str">
        <f t="shared" si="301"/>
        <v xml:space="preserve"> </v>
      </c>
      <c r="D1709" s="1415">
        <f>+D1686+D1692-D1701</f>
        <v>0</v>
      </c>
      <c r="E1709" s="980"/>
      <c r="F1709" s="992" t="str">
        <f>VLOOKUP($B1709,DG!A:D,DG!$C$2,)</f>
        <v>Khóa néo dây cỡ dây 185</v>
      </c>
      <c r="G1709" s="980" t="str">
        <f>VLOOKUP($B1709,DG!A:D,DG!$D$2,)</f>
        <v>cái</v>
      </c>
      <c r="H1709" s="1693">
        <f t="shared" si="302"/>
        <v>0</v>
      </c>
      <c r="I1709" s="1693">
        <f t="shared" si="303"/>
        <v>0</v>
      </c>
      <c r="J1709" s="1693"/>
      <c r="K1709" s="1693"/>
      <c r="L1709" s="1693"/>
      <c r="M1709" s="1693"/>
      <c r="N1709" s="1693"/>
      <c r="O1709" s="1693"/>
      <c r="P1709" s="1693">
        <f t="shared" si="304"/>
        <v>0</v>
      </c>
      <c r="Q1709" s="989"/>
      <c r="R1709" s="989"/>
      <c r="S1709" s="989"/>
      <c r="T1709" s="1862">
        <f t="shared" si="300"/>
        <v>0</v>
      </c>
    </row>
    <row r="1710" spans="1:20" ht="22.2" hidden="1" customHeight="1">
      <c r="A1710" s="1448">
        <f>COUNTIF($C$12:C1710,"x")</f>
        <v>89</v>
      </c>
      <c r="B1710" s="1460" t="s">
        <v>2109</v>
      </c>
      <c r="C1710" s="970" t="str">
        <f t="shared" si="301"/>
        <v xml:space="preserve"> </v>
      </c>
      <c r="D1710" s="1415">
        <f>'pp3p2m '!CS82</f>
        <v>0</v>
      </c>
      <c r="E1710" s="980"/>
      <c r="F1710" s="992" t="str">
        <f>VLOOKUP($B1710,DG!A:D,DG!$C$2,)</f>
        <v>Khóa néo dây cỡ dây 150</v>
      </c>
      <c r="G1710" s="980" t="str">
        <f>VLOOKUP($B1710,DG!A:D,DG!$D$2,)</f>
        <v>cái</v>
      </c>
      <c r="H1710" s="1693">
        <f t="shared" si="302"/>
        <v>0</v>
      </c>
      <c r="I1710" s="1693">
        <f t="shared" si="303"/>
        <v>0</v>
      </c>
      <c r="J1710" s="1693"/>
      <c r="K1710" s="1693"/>
      <c r="L1710" s="1693"/>
      <c r="M1710" s="1693"/>
      <c r="N1710" s="1693"/>
      <c r="O1710" s="1693"/>
      <c r="P1710" s="1693">
        <f t="shared" si="304"/>
        <v>0</v>
      </c>
      <c r="Q1710" s="989"/>
      <c r="R1710" s="989"/>
      <c r="S1710" s="989"/>
      <c r="T1710" s="1862">
        <f t="shared" si="300"/>
        <v>0</v>
      </c>
    </row>
    <row r="1711" spans="1:20" ht="22.2" hidden="1" customHeight="1">
      <c r="A1711" s="1448">
        <f>COUNTIF($C$12:C1711,"x")</f>
        <v>89</v>
      </c>
      <c r="B1711" s="1460" t="s">
        <v>431</v>
      </c>
      <c r="C1711" s="970" t="str">
        <f t="shared" si="301"/>
        <v xml:space="preserve"> </v>
      </c>
      <c r="D1711" s="1415"/>
      <c r="E1711" s="980"/>
      <c r="F1711" s="992" t="str">
        <f>VLOOKUP($B1711,DG!A:D,DG!$C$2,)</f>
        <v>Khóa néo dây cỡ dây 120</v>
      </c>
      <c r="G1711" s="980" t="str">
        <f>VLOOKUP($B1711,DG!A:D,DG!$D$2,)</f>
        <v>cái</v>
      </c>
      <c r="H1711" s="1693">
        <f t="shared" si="302"/>
        <v>0</v>
      </c>
      <c r="I1711" s="1693">
        <f t="shared" si="303"/>
        <v>0</v>
      </c>
      <c r="J1711" s="1693"/>
      <c r="K1711" s="1693"/>
      <c r="L1711" s="1693"/>
      <c r="M1711" s="1693"/>
      <c r="N1711" s="1693"/>
      <c r="O1711" s="1693"/>
      <c r="P1711" s="1693">
        <f t="shared" si="304"/>
        <v>0</v>
      </c>
      <c r="Q1711" s="989"/>
      <c r="R1711" s="989"/>
      <c r="S1711" s="989"/>
      <c r="T1711" s="1862">
        <f t="shared" si="300"/>
        <v>0</v>
      </c>
    </row>
    <row r="1712" spans="1:20" ht="22.2" hidden="1" customHeight="1">
      <c r="A1712" s="1448">
        <f>COUNTIF($C$12:C1712,"x")</f>
        <v>89</v>
      </c>
      <c r="B1712" s="1460" t="s">
        <v>1257</v>
      </c>
      <c r="C1712" s="970" t="str">
        <f t="shared" si="301"/>
        <v xml:space="preserve"> </v>
      </c>
      <c r="D1712" s="1415"/>
      <c r="E1712" s="980"/>
      <c r="F1712" s="992" t="str">
        <f>VLOOKUP($B1712,DG!A:D,DG!$C$2,)</f>
        <v>Khóa néo dây cỡ dây 95</v>
      </c>
      <c r="G1712" s="980" t="str">
        <f>VLOOKUP($B1712,DG!A:D,DG!$D$2,)</f>
        <v>cái</v>
      </c>
      <c r="H1712" s="1693">
        <f t="shared" si="302"/>
        <v>0</v>
      </c>
      <c r="I1712" s="1693">
        <f t="shared" si="303"/>
        <v>0</v>
      </c>
      <c r="J1712" s="1693"/>
      <c r="K1712" s="1693"/>
      <c r="L1712" s="1693"/>
      <c r="M1712" s="1693"/>
      <c r="N1712" s="1693"/>
      <c r="O1712" s="1693"/>
      <c r="P1712" s="1693">
        <f t="shared" si="304"/>
        <v>0</v>
      </c>
      <c r="Q1712" s="989"/>
      <c r="R1712" s="989"/>
      <c r="S1712" s="989"/>
      <c r="T1712" s="1862">
        <f t="shared" si="300"/>
        <v>0</v>
      </c>
    </row>
    <row r="1713" spans="1:20" ht="22.2" hidden="1" customHeight="1">
      <c r="A1713" s="1448">
        <f>COUNTIF($C$12:C1713,"x")</f>
        <v>89</v>
      </c>
      <c r="B1713" s="1460" t="s">
        <v>2231</v>
      </c>
      <c r="C1713" s="970" t="str">
        <f t="shared" si="301"/>
        <v xml:space="preserve"> </v>
      </c>
      <c r="D1713" s="1415"/>
      <c r="E1713" s="980"/>
      <c r="F1713" s="992" t="str">
        <f>VLOOKUP($B1713,DG!A:D,DG!$C$2,)</f>
        <v>Khóa néo dây cỡ dây 70</v>
      </c>
      <c r="G1713" s="980" t="str">
        <f>VLOOKUP($B1713,DG!A:D,DG!$D$2,)</f>
        <v>cái</v>
      </c>
      <c r="H1713" s="1693">
        <f t="shared" si="302"/>
        <v>0</v>
      </c>
      <c r="I1713" s="1693">
        <f t="shared" si="303"/>
        <v>0</v>
      </c>
      <c r="J1713" s="1693"/>
      <c r="K1713" s="1693"/>
      <c r="L1713" s="1693"/>
      <c r="M1713" s="1693"/>
      <c r="N1713" s="1693"/>
      <c r="O1713" s="1693"/>
      <c r="P1713" s="1693">
        <f t="shared" si="304"/>
        <v>0</v>
      </c>
      <c r="Q1713" s="989"/>
      <c r="R1713" s="989"/>
      <c r="S1713" s="989"/>
      <c r="T1713" s="1862">
        <f t="shared" si="300"/>
        <v>0</v>
      </c>
    </row>
    <row r="1714" spans="1:20" ht="22.2" hidden="1" customHeight="1">
      <c r="A1714" s="1448">
        <f>COUNTIF($C$12:C1714,"x")</f>
        <v>89</v>
      </c>
      <c r="B1714" s="1460" t="s">
        <v>1482</v>
      </c>
      <c r="C1714" s="970" t="str">
        <f t="shared" si="301"/>
        <v xml:space="preserve"> </v>
      </c>
      <c r="D1714" s="1415"/>
      <c r="E1714" s="980"/>
      <c r="F1714" s="992" t="str">
        <f>VLOOKUP($B1714,DG!A:D,DG!$C$2,)</f>
        <v>Khóa néo dây cỡ dây 50</v>
      </c>
      <c r="G1714" s="980" t="str">
        <f>VLOOKUP($B1714,DG!A:D,DG!$D$2,)</f>
        <v>cái</v>
      </c>
      <c r="H1714" s="1693">
        <f t="shared" ref="H1714:H1721" si="305">$D1714</f>
        <v>0</v>
      </c>
      <c r="I1714" s="1693">
        <f t="shared" ref="I1714:I1721" si="306">D1714</f>
        <v>0</v>
      </c>
      <c r="J1714" s="1693"/>
      <c r="K1714" s="1693"/>
      <c r="L1714" s="1693"/>
      <c r="M1714" s="1693"/>
      <c r="N1714" s="1693"/>
      <c r="O1714" s="1693"/>
      <c r="P1714" s="1693">
        <f t="shared" si="304"/>
        <v>0</v>
      </c>
      <c r="Q1714" s="989"/>
      <c r="R1714" s="989"/>
      <c r="S1714" s="989"/>
      <c r="T1714" s="1862">
        <f t="shared" si="300"/>
        <v>0</v>
      </c>
    </row>
    <row r="1715" spans="1:20" ht="22.2" hidden="1" customHeight="1">
      <c r="A1715" s="1448">
        <f>COUNTIF($C$12:C1715,"x")</f>
        <v>89</v>
      </c>
      <c r="B1715" s="1460" t="s">
        <v>1582</v>
      </c>
      <c r="C1715" s="970" t="str">
        <f t="shared" si="301"/>
        <v xml:space="preserve"> </v>
      </c>
      <c r="D1715" s="1428">
        <f>'pp3p2m '!CY82</f>
        <v>0</v>
      </c>
      <c r="E1715" s="980"/>
      <c r="F1715" s="992" t="str">
        <f>VLOOKUP($B1715,DG!A:D,DG!$C$2,)</f>
        <v>Kẹp 2 rãnh cỡ dây 50mm2</v>
      </c>
      <c r="G1715" s="980" t="str">
        <f>VLOOKUP($B1715,DG!A:D,DG!$D$2,)</f>
        <v>cái</v>
      </c>
      <c r="H1715" s="1693">
        <f t="shared" si="305"/>
        <v>0</v>
      </c>
      <c r="I1715" s="1693">
        <f t="shared" si="306"/>
        <v>0</v>
      </c>
      <c r="J1715" s="1693"/>
      <c r="K1715" s="1693"/>
      <c r="L1715" s="1693"/>
      <c r="M1715" s="1693"/>
      <c r="N1715" s="1693"/>
      <c r="O1715" s="1693"/>
      <c r="P1715" s="1693">
        <f t="shared" si="304"/>
        <v>0</v>
      </c>
      <c r="Q1715" s="989"/>
      <c r="R1715" s="989"/>
      <c r="S1715" s="989"/>
      <c r="T1715" s="1862">
        <f t="shared" si="300"/>
        <v>0</v>
      </c>
    </row>
    <row r="1716" spans="1:20" ht="22.2" hidden="1" customHeight="1">
      <c r="A1716" s="1448">
        <f>COUNTIF($C$12:C1716,"x")</f>
        <v>89</v>
      </c>
      <c r="B1716" s="1460" t="s">
        <v>1581</v>
      </c>
      <c r="C1716" s="970" t="str">
        <f t="shared" si="301"/>
        <v xml:space="preserve"> </v>
      </c>
      <c r="D1716" s="1428">
        <f>'pp3p2m '!CZ82</f>
        <v>0</v>
      </c>
      <c r="E1716" s="980"/>
      <c r="F1716" s="992" t="str">
        <f>VLOOKUP($B1716,DG!A:D,DG!$C$2,)</f>
        <v>Kẹp 2 rãnh cỡ dây 70mm2</v>
      </c>
      <c r="G1716" s="980" t="str">
        <f>VLOOKUP($B1716,DG!A:D,DG!$D$2,)</f>
        <v>cái</v>
      </c>
      <c r="H1716" s="1693">
        <f t="shared" si="305"/>
        <v>0</v>
      </c>
      <c r="I1716" s="1693">
        <f t="shared" si="306"/>
        <v>0</v>
      </c>
      <c r="J1716" s="1693"/>
      <c r="K1716" s="1693"/>
      <c r="L1716" s="1693"/>
      <c r="M1716" s="1693"/>
      <c r="N1716" s="1693"/>
      <c r="O1716" s="1693"/>
      <c r="P1716" s="1693">
        <f t="shared" si="304"/>
        <v>0</v>
      </c>
      <c r="Q1716" s="989"/>
      <c r="R1716" s="989"/>
      <c r="S1716" s="989"/>
      <c r="T1716" s="1862">
        <f t="shared" si="300"/>
        <v>0</v>
      </c>
    </row>
    <row r="1717" spans="1:20" ht="22.2" hidden="1" customHeight="1">
      <c r="A1717" s="1448">
        <f>COUNTIF($C$12:C1717,"x")</f>
        <v>89</v>
      </c>
      <c r="B1717" s="1460" t="s">
        <v>1022</v>
      </c>
      <c r="C1717" s="970" t="str">
        <f t="shared" si="301"/>
        <v xml:space="preserve"> </v>
      </c>
      <c r="D1717" s="1428">
        <f>'pp3p2m '!DA82</f>
        <v>0</v>
      </c>
      <c r="E1717" s="980"/>
      <c r="F1717" s="992" t="str">
        <f>VLOOKUP($B1717,DG!A:D,DG!$C$2,)</f>
        <v>Kẹp 2 rãnh cỡ dây 95mm2</v>
      </c>
      <c r="G1717" s="980" t="str">
        <f>VLOOKUP($B1717,DG!A:D,DG!$D$2,)</f>
        <v>cái</v>
      </c>
      <c r="H1717" s="1693">
        <f t="shared" si="305"/>
        <v>0</v>
      </c>
      <c r="I1717" s="1693">
        <f t="shared" si="306"/>
        <v>0</v>
      </c>
      <c r="J1717" s="1693"/>
      <c r="K1717" s="1693"/>
      <c r="L1717" s="1693"/>
      <c r="M1717" s="1693"/>
      <c r="N1717" s="1693"/>
      <c r="O1717" s="1693"/>
      <c r="P1717" s="1693">
        <f t="shared" si="304"/>
        <v>0</v>
      </c>
      <c r="Q1717" s="989"/>
      <c r="R1717" s="989"/>
      <c r="S1717" s="989"/>
      <c r="T1717" s="1862">
        <f t="shared" si="300"/>
        <v>0</v>
      </c>
    </row>
    <row r="1718" spans="1:20" ht="22.2" hidden="1" customHeight="1">
      <c r="A1718" s="1448">
        <f>COUNTIF($C$12:C1718,"x")</f>
        <v>89</v>
      </c>
      <c r="B1718" s="1460" t="s">
        <v>13</v>
      </c>
      <c r="C1718" s="970" t="str">
        <f t="shared" si="301"/>
        <v xml:space="preserve"> </v>
      </c>
      <c r="D1718" s="1428"/>
      <c r="E1718" s="980"/>
      <c r="F1718" s="992" t="str">
        <f>VLOOKUP($B1718,DG!A:D,DG!$C$2,)</f>
        <v>Kẹp ép WR cỡ dây 120mm2</v>
      </c>
      <c r="G1718" s="980" t="str">
        <f>VLOOKUP($B1718,DG!A:D,DG!$D$2,)</f>
        <v>cái</v>
      </c>
      <c r="H1718" s="1693">
        <f t="shared" si="305"/>
        <v>0</v>
      </c>
      <c r="I1718" s="1693">
        <f t="shared" si="306"/>
        <v>0</v>
      </c>
      <c r="J1718" s="1693"/>
      <c r="K1718" s="1693"/>
      <c r="L1718" s="1693"/>
      <c r="M1718" s="1693"/>
      <c r="N1718" s="1693"/>
      <c r="O1718" s="1693"/>
      <c r="P1718" s="1693">
        <f t="shared" si="304"/>
        <v>0</v>
      </c>
      <c r="Q1718" s="989"/>
      <c r="R1718" s="989"/>
      <c r="S1718" s="989"/>
      <c r="T1718" s="1862">
        <f t="shared" si="300"/>
        <v>0</v>
      </c>
    </row>
    <row r="1719" spans="1:20" ht="22.2" hidden="1" customHeight="1">
      <c r="A1719" s="1448">
        <f>COUNTIF($C$12:C1719,"x")</f>
        <v>89</v>
      </c>
      <c r="B1719" s="1460" t="s">
        <v>1067</v>
      </c>
      <c r="C1719" s="970" t="str">
        <f t="shared" si="301"/>
        <v xml:space="preserve"> </v>
      </c>
      <c r="D1719" s="1428">
        <f>'pp3p2m '!DB82</f>
        <v>0</v>
      </c>
      <c r="E1719" s="980"/>
      <c r="F1719" s="992" t="str">
        <f>VLOOKUP($B1719,DG!A:D,DG!$C$2,)</f>
        <v>Kẹp ép WR cỡ dây 150mm2</v>
      </c>
      <c r="G1719" s="980" t="str">
        <f>VLOOKUP($B1719,DG!A:D,DG!$D$2,)</f>
        <v>cái</v>
      </c>
      <c r="H1719" s="1693">
        <f t="shared" si="305"/>
        <v>0</v>
      </c>
      <c r="I1719" s="1693">
        <f t="shared" si="306"/>
        <v>0</v>
      </c>
      <c r="J1719" s="1693"/>
      <c r="K1719" s="1693"/>
      <c r="L1719" s="1693"/>
      <c r="M1719" s="1693"/>
      <c r="N1719" s="1693"/>
      <c r="O1719" s="1693"/>
      <c r="P1719" s="1693">
        <f t="shared" si="304"/>
        <v>0</v>
      </c>
      <c r="Q1719" s="989"/>
      <c r="R1719" s="989"/>
      <c r="S1719" s="989"/>
      <c r="T1719" s="1862">
        <f t="shared" si="300"/>
        <v>0</v>
      </c>
    </row>
    <row r="1720" spans="1:20" ht="22.2" hidden="1" customHeight="1">
      <c r="A1720" s="1448">
        <f>COUNTIF($C$12:C1720,"x")</f>
        <v>89</v>
      </c>
      <c r="B1720" s="1460" t="s">
        <v>15</v>
      </c>
      <c r="C1720" s="970" t="str">
        <f t="shared" si="301"/>
        <v xml:space="preserve"> </v>
      </c>
      <c r="D1720" s="1428">
        <f>'pp3p2m '!DD82</f>
        <v>0</v>
      </c>
      <c r="E1720" s="980"/>
      <c r="F1720" s="992" t="str">
        <f>VLOOKUP($B1720,DG!A:D,DG!$C$2,)</f>
        <v>Kẹp ép WR cỡ dây 240mm2</v>
      </c>
      <c r="G1720" s="980" t="str">
        <f>VLOOKUP($B1720,DG!A:D,DG!$D$2,)</f>
        <v>cái</v>
      </c>
      <c r="H1720" s="1693">
        <f t="shared" si="305"/>
        <v>0</v>
      </c>
      <c r="I1720" s="1693">
        <f t="shared" si="306"/>
        <v>0</v>
      </c>
      <c r="J1720" s="1693"/>
      <c r="K1720" s="1693"/>
      <c r="L1720" s="1693"/>
      <c r="M1720" s="1693"/>
      <c r="N1720" s="1693"/>
      <c r="O1720" s="1693"/>
      <c r="P1720" s="1693">
        <f t="shared" si="304"/>
        <v>0</v>
      </c>
      <c r="Q1720" s="989"/>
      <c r="R1720" s="989"/>
      <c r="S1720" s="989"/>
      <c r="T1720" s="1862">
        <f t="shared" si="300"/>
        <v>0</v>
      </c>
    </row>
    <row r="1721" spans="1:20" ht="22.2" hidden="1" customHeight="1">
      <c r="A1721" s="1448">
        <f>COUNTIF($C$12:C1721,"x")</f>
        <v>89</v>
      </c>
      <c r="B1721" s="1460" t="s">
        <v>1795</v>
      </c>
      <c r="C1721" s="970" t="str">
        <f t="shared" si="301"/>
        <v xml:space="preserve"> </v>
      </c>
      <c r="D1721" s="1428">
        <f>'pp3p2m '!DE82</f>
        <v>0</v>
      </c>
      <c r="E1721" s="980"/>
      <c r="F1721" s="992" t="str">
        <f>VLOOKUP($B1721,DG!A:D,DG!$C$2,)</f>
        <v>Kẹp 2 rãnh cỡ dây 240 mm2</v>
      </c>
      <c r="G1721" s="980" t="str">
        <f>VLOOKUP($B1721,DG!A:D,DG!$D$2,)</f>
        <v>cái</v>
      </c>
      <c r="H1721" s="1693">
        <f t="shared" si="305"/>
        <v>0</v>
      </c>
      <c r="I1721" s="1693">
        <f t="shared" si="306"/>
        <v>0</v>
      </c>
      <c r="J1721" s="1693"/>
      <c r="K1721" s="1693"/>
      <c r="L1721" s="1693"/>
      <c r="M1721" s="1693"/>
      <c r="N1721" s="1693"/>
      <c r="O1721" s="1693"/>
      <c r="P1721" s="1693">
        <f t="shared" si="304"/>
        <v>0</v>
      </c>
      <c r="Q1721" s="989"/>
      <c r="R1721" s="989"/>
      <c r="S1721" s="989"/>
      <c r="T1721" s="1862">
        <f t="shared" si="300"/>
        <v>0</v>
      </c>
    </row>
    <row r="1722" spans="1:20" ht="22.2" hidden="1" customHeight="1">
      <c r="A1722" s="1448">
        <f>COUNTIF($C$12:C1722,"x")</f>
        <v>89</v>
      </c>
      <c r="B1722" s="1460" t="s">
        <v>1887</v>
      </c>
      <c r="C1722" s="970" t="str">
        <f t="shared" si="301"/>
        <v xml:space="preserve"> </v>
      </c>
      <c r="D1722" s="1428"/>
      <c r="E1722" s="980" t="str">
        <f>VLOOKUP($B1722,DG!A:D,DG!$B$2,)</f>
        <v>03.4003</v>
      </c>
      <c r="F1722" s="992" t="str">
        <f>VLOOKUP($B1722,DG!A:D,DG!$C$2,)</f>
        <v>Đầu cosse ép Cu-Al 70mm2</v>
      </c>
      <c r="G1722" s="980" t="str">
        <f>VLOOKUP($B1722,DG!A:D,DG!$D$2,)</f>
        <v>cái</v>
      </c>
      <c r="H1722" s="1693">
        <f>$D1722*0</f>
        <v>0</v>
      </c>
      <c r="I1722" s="1693">
        <f>D1722*0</f>
        <v>0</v>
      </c>
      <c r="J1722" s="1693"/>
      <c r="K1722" s="1693"/>
      <c r="L1722" s="1693"/>
      <c r="M1722" s="1693"/>
      <c r="N1722" s="1693"/>
      <c r="O1722" s="1693"/>
      <c r="P1722" s="1693">
        <f t="shared" si="304"/>
        <v>0</v>
      </c>
      <c r="Q1722" s="989"/>
      <c r="R1722" s="989"/>
      <c r="S1722" s="989"/>
      <c r="T1722" s="1862">
        <f t="shared" si="300"/>
        <v>0</v>
      </c>
    </row>
    <row r="1723" spans="1:20" ht="22.2" hidden="1" customHeight="1">
      <c r="A1723" s="1448">
        <f>COUNTIF($C$12:C1723,"x")</f>
        <v>89</v>
      </c>
      <c r="B1723" s="1460" t="s">
        <v>1888</v>
      </c>
      <c r="C1723" s="970" t="str">
        <f t="shared" si="301"/>
        <v xml:space="preserve"> </v>
      </c>
      <c r="D1723" s="1428">
        <f>'pp3p2m '!DF82</f>
        <v>0</v>
      </c>
      <c r="E1723" s="980" t="str">
        <f>VLOOKUP($B1723,DG!A:D,DG!$B$2,)</f>
        <v>03.4004</v>
      </c>
      <c r="F1723" s="992" t="str">
        <f>VLOOKUP($B1723,DG!A:D,DG!$C$2,)</f>
        <v>Đầu cosse ép Cu-Al 95mm2</v>
      </c>
      <c r="G1723" s="980" t="str">
        <f>VLOOKUP($B1723,DG!A:D,DG!$D$2,)</f>
        <v>cái</v>
      </c>
      <c r="H1723" s="1693">
        <f t="shared" ref="H1723:H1742" si="307">$D1723</f>
        <v>0</v>
      </c>
      <c r="I1723" s="1693">
        <f t="shared" ref="I1723:I1739" si="308">D1723</f>
        <v>0</v>
      </c>
      <c r="J1723" s="1693"/>
      <c r="K1723" s="1693"/>
      <c r="L1723" s="1693"/>
      <c r="M1723" s="1693"/>
      <c r="N1723" s="1693"/>
      <c r="O1723" s="1693"/>
      <c r="P1723" s="1693">
        <f t="shared" si="304"/>
        <v>0</v>
      </c>
      <c r="Q1723" s="989"/>
      <c r="R1723" s="989"/>
      <c r="S1723" s="989"/>
      <c r="T1723" s="1862">
        <f t="shared" si="300"/>
        <v>0</v>
      </c>
    </row>
    <row r="1724" spans="1:20" ht="22.2" hidden="1" customHeight="1">
      <c r="A1724" s="1448">
        <f>COUNTIF($C$12:C1724,"x")</f>
        <v>89</v>
      </c>
      <c r="B1724" s="1460" t="s">
        <v>1889</v>
      </c>
      <c r="C1724" s="970" t="str">
        <f t="shared" si="301"/>
        <v xml:space="preserve"> </v>
      </c>
      <c r="D1724" s="1428">
        <f>'pp3p2m '!DI82</f>
        <v>0</v>
      </c>
      <c r="E1724" s="980" t="str">
        <f>VLOOKUP($B1724,DG!A:D,DG!$B$2,)</f>
        <v>03.4005</v>
      </c>
      <c r="F1724" s="992" t="str">
        <f>VLOOKUP($B1724,DG!A:D,DG!$C$2,)</f>
        <v>Đầu cosse ép Cu-Al 120mm2</v>
      </c>
      <c r="G1724" s="980" t="str">
        <f>VLOOKUP($B1724,DG!A:D,DG!$D$2,)</f>
        <v>cái</v>
      </c>
      <c r="H1724" s="1693">
        <f t="shared" si="307"/>
        <v>0</v>
      </c>
      <c r="I1724" s="1693">
        <f t="shared" si="308"/>
        <v>0</v>
      </c>
      <c r="J1724" s="1693"/>
      <c r="K1724" s="1693"/>
      <c r="L1724" s="1693"/>
      <c r="M1724" s="1693"/>
      <c r="N1724" s="1693"/>
      <c r="O1724" s="1693"/>
      <c r="P1724" s="1693">
        <f t="shared" si="304"/>
        <v>0</v>
      </c>
      <c r="Q1724" s="989"/>
      <c r="R1724" s="989"/>
      <c r="S1724" s="989"/>
      <c r="T1724" s="1862">
        <f t="shared" si="300"/>
        <v>0</v>
      </c>
    </row>
    <row r="1725" spans="1:20" ht="22.2" hidden="1" customHeight="1">
      <c r="A1725" s="1448">
        <f>COUNTIF($C$12:C1725,"x")</f>
        <v>89</v>
      </c>
      <c r="B1725" s="1460" t="s">
        <v>1019</v>
      </c>
      <c r="C1725" s="970" t="str">
        <f t="shared" si="301"/>
        <v xml:space="preserve"> </v>
      </c>
      <c r="D1725" s="1428">
        <f>'pp3p2m '!DJ82</f>
        <v>0</v>
      </c>
      <c r="E1725" s="980" t="str">
        <f>VLOOKUP($B1725,DG!A:D,DG!$B$2,)</f>
        <v>03.4006</v>
      </c>
      <c r="F1725" s="992" t="str">
        <f>VLOOKUP($B1725,DG!A:D,DG!$C$2,)</f>
        <v>Đầu cosse ép Cu-Al 150mm2</v>
      </c>
      <c r="G1725" s="980" t="str">
        <f>VLOOKUP($B1725,DG!A:D,DG!$D$2,)</f>
        <v>cái</v>
      </c>
      <c r="H1725" s="1693">
        <f t="shared" si="307"/>
        <v>0</v>
      </c>
      <c r="I1725" s="1693">
        <f t="shared" si="308"/>
        <v>0</v>
      </c>
      <c r="J1725" s="1693"/>
      <c r="K1725" s="1693"/>
      <c r="L1725" s="1693"/>
      <c r="M1725" s="1693"/>
      <c r="N1725" s="1693"/>
      <c r="O1725" s="1693"/>
      <c r="P1725" s="1693">
        <f t="shared" si="304"/>
        <v>0</v>
      </c>
      <c r="Q1725" s="989"/>
      <c r="R1725" s="989"/>
      <c r="S1725" s="989"/>
      <c r="T1725" s="1862">
        <f t="shared" si="300"/>
        <v>0</v>
      </c>
    </row>
    <row r="1726" spans="1:20" ht="22.2" hidden="1" customHeight="1">
      <c r="A1726" s="1448">
        <f>COUNTIF($C$12:C1726,"x")</f>
        <v>89</v>
      </c>
      <c r="B1726" s="1460" t="s">
        <v>1020</v>
      </c>
      <c r="C1726" s="970" t="str">
        <f t="shared" si="301"/>
        <v xml:space="preserve"> </v>
      </c>
      <c r="D1726" s="1428"/>
      <c r="E1726" s="980" t="str">
        <f>VLOOKUP($B1726,DG!A:D,DG!$B$2,)</f>
        <v>03.4007</v>
      </c>
      <c r="F1726" s="992" t="str">
        <f>VLOOKUP($B1726,DG!A:D,DG!$C$2,)</f>
        <v>Đầu cosse ép Cu-Al 185mm2</v>
      </c>
      <c r="G1726" s="980" t="str">
        <f>VLOOKUP($B1726,DG!A:D,DG!$D$2,)</f>
        <v>cái</v>
      </c>
      <c r="H1726" s="1693">
        <f t="shared" si="307"/>
        <v>0</v>
      </c>
      <c r="I1726" s="1693">
        <f t="shared" si="308"/>
        <v>0</v>
      </c>
      <c r="J1726" s="1693"/>
      <c r="K1726" s="1693"/>
      <c r="L1726" s="1693"/>
      <c r="M1726" s="1693"/>
      <c r="N1726" s="1693"/>
      <c r="O1726" s="1693"/>
      <c r="P1726" s="1693">
        <f t="shared" si="304"/>
        <v>0</v>
      </c>
      <c r="Q1726" s="989"/>
      <c r="R1726" s="989"/>
      <c r="S1726" s="989"/>
      <c r="T1726" s="1862">
        <f t="shared" si="300"/>
        <v>0</v>
      </c>
    </row>
    <row r="1727" spans="1:20" ht="22.2" hidden="1" customHeight="1">
      <c r="A1727" s="1448">
        <f>COUNTIF($C$12:C1727,"x")</f>
        <v>89</v>
      </c>
      <c r="B1727" s="1460" t="s">
        <v>1831</v>
      </c>
      <c r="C1727" s="970" t="str">
        <f t="shared" si="301"/>
        <v xml:space="preserve"> </v>
      </c>
      <c r="D1727" s="1428">
        <f>'pp3p2m '!DK82</f>
        <v>0</v>
      </c>
      <c r="E1727" s="980" t="str">
        <f>VLOOKUP($B1727,DG!A:D,DG!$B$2,)</f>
        <v>03.4008</v>
      </c>
      <c r="F1727" s="992" t="str">
        <f>VLOOKUP($B1727,DG!A:D,DG!$C$2,)</f>
        <v>Đầu cosse ép Cu-Al 240mm2</v>
      </c>
      <c r="G1727" s="980" t="str">
        <f>VLOOKUP($B1727,DG!A:D,DG!$D$2,)</f>
        <v>cái</v>
      </c>
      <c r="H1727" s="1693">
        <f t="shared" si="307"/>
        <v>0</v>
      </c>
      <c r="I1727" s="1693">
        <f t="shared" si="308"/>
        <v>0</v>
      </c>
      <c r="J1727" s="1693"/>
      <c r="K1727" s="1693"/>
      <c r="L1727" s="1693"/>
      <c r="M1727" s="1693"/>
      <c r="N1727" s="1693"/>
      <c r="O1727" s="1693"/>
      <c r="P1727" s="1693">
        <f t="shared" si="304"/>
        <v>0</v>
      </c>
      <c r="Q1727" s="989"/>
      <c r="R1727" s="989"/>
      <c r="S1727" s="989"/>
      <c r="T1727" s="1862">
        <f t="shared" ref="T1727:T1768" si="309">IFERROR(HLOOKUP(B1727,BangKeTru,3,0),0)</f>
        <v>0</v>
      </c>
    </row>
    <row r="1728" spans="1:20" ht="22.2" hidden="1" customHeight="1">
      <c r="A1728" s="1448">
        <f>COUNTIF($C$12:C1728,"x")</f>
        <v>89</v>
      </c>
      <c r="B1728" s="1460" t="s">
        <v>437</v>
      </c>
      <c r="C1728" s="970" t="str">
        <f t="shared" si="301"/>
        <v xml:space="preserve"> </v>
      </c>
      <c r="D1728" s="1428">
        <f>SUM(D1722:D1727)/2</f>
        <v>0</v>
      </c>
      <c r="E1728" s="980">
        <f>VLOOKUP($B1728,DG!A:D,DG!$B$2,)</f>
        <v>0</v>
      </c>
      <c r="F1728" s="992" t="str">
        <f>VLOOKUP($B1728,DG!A:D,DG!$C$2,)</f>
        <v>Boulon 12x30+ 2 long đền vuông D14-50x50x3/Zn</v>
      </c>
      <c r="G1728" s="980" t="str">
        <f>VLOOKUP($B1728,DG!A:D,DG!$D$2,)</f>
        <v>bộ</v>
      </c>
      <c r="H1728" s="1693">
        <f t="shared" si="307"/>
        <v>0</v>
      </c>
      <c r="I1728" s="1693">
        <f t="shared" si="308"/>
        <v>0</v>
      </c>
      <c r="J1728" s="1693"/>
      <c r="K1728" s="1693"/>
      <c r="L1728" s="1693"/>
      <c r="M1728" s="1693"/>
      <c r="N1728" s="1693"/>
      <c r="O1728" s="1693"/>
      <c r="P1728" s="1693">
        <f t="shared" si="304"/>
        <v>0</v>
      </c>
      <c r="Q1728" s="989"/>
      <c r="R1728" s="989"/>
      <c r="S1728" s="989"/>
      <c r="T1728" s="1862">
        <f t="shared" si="309"/>
        <v>0</v>
      </c>
    </row>
    <row r="1729" spans="1:20" ht="22.2" hidden="1" customHeight="1">
      <c r="A1729" s="1448">
        <f>COUNTIF($C$12:C1729,"x")</f>
        <v>89</v>
      </c>
      <c r="B1729" s="1460" t="s">
        <v>1479</v>
      </c>
      <c r="C1729" s="970" t="str">
        <f t="shared" si="301"/>
        <v xml:space="preserve"> </v>
      </c>
      <c r="D1729" s="1428">
        <f>'pp3p2m '!DM82*2</f>
        <v>0</v>
      </c>
      <c r="E1729" s="980" t="str">
        <f>VLOOKUP($B1729,DG!A:D,DG!$B$2,)</f>
        <v>04.3007</v>
      </c>
      <c r="F1729" s="992" t="str">
        <f>VLOOKUP($B1729,DG!A:D,DG!$C$2,)</f>
        <v>Kẹp quai 2/0</v>
      </c>
      <c r="G1729" s="980" t="str">
        <f>VLOOKUP($B1729,DG!A:D,DG!$D$2,)</f>
        <v>cái</v>
      </c>
      <c r="H1729" s="1693">
        <f t="shared" si="307"/>
        <v>0</v>
      </c>
      <c r="I1729" s="1693">
        <f t="shared" si="308"/>
        <v>0</v>
      </c>
      <c r="J1729" s="1693"/>
      <c r="K1729" s="1693"/>
      <c r="L1729" s="1693"/>
      <c r="M1729" s="1693"/>
      <c r="N1729" s="1693"/>
      <c r="O1729" s="1693"/>
      <c r="P1729" s="1693">
        <f t="shared" si="304"/>
        <v>0</v>
      </c>
      <c r="Q1729" s="989"/>
      <c r="R1729" s="989"/>
      <c r="S1729" s="989"/>
      <c r="T1729" s="1862">
        <f t="shared" si="309"/>
        <v>0</v>
      </c>
    </row>
    <row r="1730" spans="1:20" ht="22.2" hidden="1" customHeight="1">
      <c r="A1730" s="1448">
        <f>COUNTIF($C$12:C1730,"x")</f>
        <v>89</v>
      </c>
      <c r="B1730" s="1460" t="s">
        <v>236</v>
      </c>
      <c r="C1730" s="970" t="str">
        <f t="shared" si="301"/>
        <v xml:space="preserve"> </v>
      </c>
      <c r="D1730" s="1415">
        <f>D1729</f>
        <v>0</v>
      </c>
      <c r="E1730" s="980" t="str">
        <f>VLOOKUP($B1730,DG!A:D,DG!$B$2,)</f>
        <v>04.3007</v>
      </c>
      <c r="F1730" s="992" t="str">
        <f>VLOOKUP($B1730,DG!A:D,DG!$C$2,)</f>
        <v>Kẹp quai 4/0</v>
      </c>
      <c r="G1730" s="980" t="str">
        <f>VLOOKUP($B1730,DG!A:D,DG!$D$2,)</f>
        <v>cái</v>
      </c>
      <c r="H1730" s="1693">
        <f t="shared" si="307"/>
        <v>0</v>
      </c>
      <c r="I1730" s="1693">
        <f t="shared" si="308"/>
        <v>0</v>
      </c>
      <c r="J1730" s="1693"/>
      <c r="K1730" s="1693"/>
      <c r="L1730" s="1693"/>
      <c r="M1730" s="1693"/>
      <c r="N1730" s="1693"/>
      <c r="O1730" s="1693"/>
      <c r="P1730" s="1693">
        <f t="shared" si="304"/>
        <v>0</v>
      </c>
      <c r="Q1730" s="989"/>
      <c r="R1730" s="989"/>
      <c r="S1730" s="989"/>
      <c r="T1730" s="1862">
        <f t="shared" si="309"/>
        <v>0</v>
      </c>
    </row>
    <row r="1731" spans="1:20" ht="22.2" hidden="1" customHeight="1">
      <c r="A1731" s="1448">
        <f>COUNTIF($C$12:C1731,"x")</f>
        <v>89</v>
      </c>
      <c r="B1731" s="1475" t="s">
        <v>1477</v>
      </c>
      <c r="C1731" s="970" t="str">
        <f t="shared" si="301"/>
        <v xml:space="preserve"> </v>
      </c>
      <c r="D1731" s="1415">
        <f>D1729</f>
        <v>0</v>
      </c>
      <c r="E1731" s="980"/>
      <c r="F1731" s="1278" t="str">
        <f>VLOOKUP($B1731,DG!A:D,DG!$C$2,)</f>
        <v>Kẹp hotline 2/0</v>
      </c>
      <c r="G1731" s="980" t="str">
        <f>VLOOKUP($B1731,DG!A:D,DG!$D$2,)</f>
        <v>cái</v>
      </c>
      <c r="H1731" s="1693">
        <f t="shared" si="307"/>
        <v>0</v>
      </c>
      <c r="I1731" s="1693">
        <f t="shared" si="308"/>
        <v>0</v>
      </c>
      <c r="J1731" s="1693"/>
      <c r="K1731" s="1693"/>
      <c r="L1731" s="1693"/>
      <c r="M1731" s="1693"/>
      <c r="N1731" s="1693"/>
      <c r="O1731" s="1693"/>
      <c r="P1731" s="1693">
        <f t="shared" si="304"/>
        <v>0</v>
      </c>
      <c r="Q1731" s="989"/>
      <c r="R1731" s="989"/>
      <c r="S1731" s="989"/>
      <c r="T1731" s="1862">
        <f t="shared" si="309"/>
        <v>0</v>
      </c>
    </row>
    <row r="1732" spans="1:20" ht="22.2" hidden="1" customHeight="1">
      <c r="A1732" s="1448">
        <f>COUNTIF($C$12:C1732,"x")</f>
        <v>89</v>
      </c>
      <c r="B1732" s="1475" t="s">
        <v>1049</v>
      </c>
      <c r="C1732" s="970" t="str">
        <f t="shared" si="301"/>
        <v xml:space="preserve"> </v>
      </c>
      <c r="D1732" s="1428">
        <f>D1730</f>
        <v>0</v>
      </c>
      <c r="E1732" s="980"/>
      <c r="F1732" s="992" t="str">
        <f>VLOOKUP($B1732,DG!A:D,DG!$C$2,)</f>
        <v>Kẹp hotline 4/0</v>
      </c>
      <c r="G1732" s="980" t="str">
        <f>VLOOKUP($B1732,DG!A:D,DG!$D$2,)</f>
        <v>cái</v>
      </c>
      <c r="H1732" s="1693">
        <f t="shared" si="307"/>
        <v>0</v>
      </c>
      <c r="I1732" s="1693">
        <f t="shared" si="308"/>
        <v>0</v>
      </c>
      <c r="J1732" s="1693"/>
      <c r="K1732" s="1693"/>
      <c r="L1732" s="1693"/>
      <c r="M1732" s="1693"/>
      <c r="N1732" s="1693"/>
      <c r="O1732" s="1693"/>
      <c r="P1732" s="1693">
        <f t="shared" si="304"/>
        <v>0</v>
      </c>
      <c r="Q1732" s="989"/>
      <c r="R1732" s="989"/>
      <c r="S1732" s="989"/>
      <c r="T1732" s="1862">
        <f t="shared" si="309"/>
        <v>0</v>
      </c>
    </row>
    <row r="1733" spans="1:20" ht="22.2" hidden="1" customHeight="1">
      <c r="A1733" s="1448">
        <f>COUNTIF($C$12:C1733,"x")</f>
        <v>89</v>
      </c>
      <c r="B1733" s="1460" t="s">
        <v>1487</v>
      </c>
      <c r="C1733" s="970" t="str">
        <f t="shared" si="301"/>
        <v xml:space="preserve"> </v>
      </c>
      <c r="D1733" s="1415">
        <f>ROUND((E1650)*1.03/1500,0)</f>
        <v>0</v>
      </c>
      <c r="E1733" s="980"/>
      <c r="F1733" s="992" t="str">
        <f>VLOOKUP($B1733,DG!A:D,DG!$C$2,)</f>
        <v>Ống nối dây cỡ 50mm2</v>
      </c>
      <c r="G1733" s="980" t="str">
        <f>VLOOKUP($B1733,DG!A:D,DG!$D$2,)</f>
        <v>cái</v>
      </c>
      <c r="H1733" s="1693">
        <f t="shared" si="307"/>
        <v>0</v>
      </c>
      <c r="I1733" s="1693">
        <f t="shared" si="308"/>
        <v>0</v>
      </c>
      <c r="J1733" s="1693"/>
      <c r="K1733" s="1693"/>
      <c r="L1733" s="1693"/>
      <c r="M1733" s="1693"/>
      <c r="N1733" s="1693"/>
      <c r="O1733" s="1693"/>
      <c r="P1733" s="1693">
        <f t="shared" si="304"/>
        <v>0</v>
      </c>
      <c r="Q1733" s="989"/>
      <c r="R1733" s="989"/>
      <c r="S1733" s="989"/>
      <c r="T1733" s="1862">
        <f t="shared" si="309"/>
        <v>0</v>
      </c>
    </row>
    <row r="1734" spans="1:20" ht="22.2" hidden="1" customHeight="1">
      <c r="A1734" s="1448">
        <f>COUNTIF($C$12:C1734,"x")</f>
        <v>89</v>
      </c>
      <c r="B1734" s="1460" t="s">
        <v>1488</v>
      </c>
      <c r="C1734" s="970" t="str">
        <f t="shared" si="301"/>
        <v xml:space="preserve"> </v>
      </c>
      <c r="D1734" s="1415">
        <f>ROUND((E1651+E1662)*1.03/1400,0)</f>
        <v>0</v>
      </c>
      <c r="E1734" s="980"/>
      <c r="F1734" s="992" t="str">
        <f>VLOOKUP($B1734,DG!A:D,DG!$C$2,)</f>
        <v>Ống nối dây cỡ 70mm2</v>
      </c>
      <c r="G1734" s="980" t="str">
        <f>VLOOKUP($B1734,DG!A:D,DG!$D$2,)</f>
        <v>cái</v>
      </c>
      <c r="H1734" s="1693">
        <f t="shared" si="307"/>
        <v>0</v>
      </c>
      <c r="I1734" s="1693">
        <f t="shared" si="308"/>
        <v>0</v>
      </c>
      <c r="J1734" s="1693"/>
      <c r="K1734" s="1693"/>
      <c r="L1734" s="1693"/>
      <c r="M1734" s="1693"/>
      <c r="N1734" s="1693"/>
      <c r="O1734" s="1693"/>
      <c r="P1734" s="1693">
        <f t="shared" si="304"/>
        <v>0</v>
      </c>
      <c r="Q1734" s="989"/>
      <c r="R1734" s="989"/>
      <c r="S1734" s="989"/>
      <c r="T1734" s="1862">
        <f t="shared" si="309"/>
        <v>0</v>
      </c>
    </row>
    <row r="1735" spans="1:20" ht="22.2" hidden="1" customHeight="1">
      <c r="A1735" s="1448">
        <f>COUNTIF($C$12:C1735,"x")</f>
        <v>89</v>
      </c>
      <c r="B1735" s="1460" t="s">
        <v>432</v>
      </c>
      <c r="C1735" s="970" t="str">
        <f t="shared" ref="C1735:C1800" si="310">IF(OR(P1735&lt;&gt;0,H1735&lt;&gt;0),"x"," ")</f>
        <v xml:space="preserve"> </v>
      </c>
      <c r="D1735" s="1415">
        <f>ROUND((E1652+E1661)*1.03/1200,0)</f>
        <v>0</v>
      </c>
      <c r="E1735" s="980"/>
      <c r="F1735" s="992" t="str">
        <f>VLOOKUP($B1735,DG!A:D,DG!$C$2,)</f>
        <v>Ống nối dây cỡ 95mm2</v>
      </c>
      <c r="G1735" s="980" t="str">
        <f>VLOOKUP($B1735,DG!A:D,DG!$D$2,)</f>
        <v>cái</v>
      </c>
      <c r="H1735" s="1693">
        <f t="shared" si="307"/>
        <v>0</v>
      </c>
      <c r="I1735" s="1693">
        <f t="shared" si="308"/>
        <v>0</v>
      </c>
      <c r="J1735" s="1693"/>
      <c r="K1735" s="1693"/>
      <c r="L1735" s="1693"/>
      <c r="M1735" s="1693"/>
      <c r="N1735" s="1693"/>
      <c r="O1735" s="1693"/>
      <c r="P1735" s="1693">
        <f t="shared" si="304"/>
        <v>0</v>
      </c>
      <c r="Q1735" s="989"/>
      <c r="R1735" s="989"/>
      <c r="S1735" s="989"/>
      <c r="T1735" s="1862">
        <f t="shared" si="309"/>
        <v>0</v>
      </c>
    </row>
    <row r="1736" spans="1:20" ht="22.2" hidden="1" customHeight="1">
      <c r="A1736" s="1448">
        <f>COUNTIF($C$12:C1736,"x")</f>
        <v>89</v>
      </c>
      <c r="B1736" s="1460" t="s">
        <v>573</v>
      </c>
      <c r="C1736" s="970" t="str">
        <f t="shared" si="310"/>
        <v xml:space="preserve"> </v>
      </c>
      <c r="D1736" s="1415">
        <f>ROUND((E1653+E1660)*1.03/1200,0)</f>
        <v>0</v>
      </c>
      <c r="E1736" s="980"/>
      <c r="F1736" s="992" t="str">
        <f>VLOOKUP($B1736,DG!A:D,DG!$C$2,)</f>
        <v>Ống nối dây cỡ 120mm2</v>
      </c>
      <c r="G1736" s="980" t="str">
        <f>VLOOKUP($B1736,DG!A:D,DG!$D$2,)</f>
        <v>cái</v>
      </c>
      <c r="H1736" s="1693">
        <f t="shared" si="307"/>
        <v>0</v>
      </c>
      <c r="I1736" s="1693">
        <f t="shared" si="308"/>
        <v>0</v>
      </c>
      <c r="J1736" s="1693"/>
      <c r="K1736" s="1693"/>
      <c r="L1736" s="1693"/>
      <c r="M1736" s="1693"/>
      <c r="N1736" s="1693"/>
      <c r="O1736" s="1693"/>
      <c r="P1736" s="1693">
        <f t="shared" si="304"/>
        <v>0</v>
      </c>
      <c r="Q1736" s="989"/>
      <c r="R1736" s="989"/>
      <c r="S1736" s="989"/>
      <c r="T1736" s="1862">
        <f t="shared" si="309"/>
        <v>0</v>
      </c>
    </row>
    <row r="1737" spans="1:20" ht="22.2" hidden="1" customHeight="1">
      <c r="A1737" s="1448">
        <f>COUNTIF($C$12:C1737,"x")</f>
        <v>89</v>
      </c>
      <c r="B1737" s="1460" t="s">
        <v>937</v>
      </c>
      <c r="C1737" s="970" t="str">
        <f t="shared" si="310"/>
        <v xml:space="preserve"> </v>
      </c>
      <c r="D1737" s="1415">
        <f>ROUND((E1654+E1659)*1.03/1200,0)</f>
        <v>0</v>
      </c>
      <c r="E1737" s="980"/>
      <c r="F1737" s="992" t="str">
        <f>VLOOKUP($B1737,DG!A:D,DG!$C$2,)</f>
        <v>Ống nối dây cỡ 150mm2</v>
      </c>
      <c r="G1737" s="980" t="str">
        <f>VLOOKUP($B1737,DG!A:D,DG!$D$2,)</f>
        <v>cái</v>
      </c>
      <c r="H1737" s="1693">
        <f t="shared" si="307"/>
        <v>0</v>
      </c>
      <c r="I1737" s="1693">
        <f t="shared" si="308"/>
        <v>0</v>
      </c>
      <c r="J1737" s="1693"/>
      <c r="K1737" s="1693"/>
      <c r="L1737" s="1693"/>
      <c r="M1737" s="1693"/>
      <c r="N1737" s="1693"/>
      <c r="O1737" s="1693"/>
      <c r="P1737" s="1693">
        <f t="shared" si="304"/>
        <v>0</v>
      </c>
      <c r="Q1737" s="989"/>
      <c r="R1737" s="989"/>
      <c r="S1737" s="989"/>
      <c r="T1737" s="1862">
        <f t="shared" si="309"/>
        <v>0</v>
      </c>
    </row>
    <row r="1738" spans="1:20" ht="22.2" hidden="1" customHeight="1">
      <c r="A1738" s="1448">
        <f>COUNTIF($C$12:C1738,"x")</f>
        <v>89</v>
      </c>
      <c r="B1738" s="1460" t="s">
        <v>572</v>
      </c>
      <c r="C1738" s="970" t="str">
        <f t="shared" si="310"/>
        <v xml:space="preserve"> </v>
      </c>
      <c r="D1738" s="1415">
        <f>ROUND((E1655+E1658)*1.03/1200,0)</f>
        <v>0</v>
      </c>
      <c r="E1738" s="980"/>
      <c r="F1738" s="992" t="str">
        <f>VLOOKUP($B1738,DG!A:D,DG!$C$2,)</f>
        <v>Ống nối dây cỡ 185mm2</v>
      </c>
      <c r="G1738" s="980" t="str">
        <f>VLOOKUP($B1738,DG!A:D,DG!$D$2,)</f>
        <v>cái</v>
      </c>
      <c r="H1738" s="1693">
        <f t="shared" si="307"/>
        <v>0</v>
      </c>
      <c r="I1738" s="1693">
        <f t="shared" si="308"/>
        <v>0</v>
      </c>
      <c r="J1738" s="1693"/>
      <c r="K1738" s="1693"/>
      <c r="L1738" s="1693"/>
      <c r="M1738" s="1693"/>
      <c r="N1738" s="1693"/>
      <c r="O1738" s="1693"/>
      <c r="P1738" s="1693">
        <f t="shared" si="304"/>
        <v>0</v>
      </c>
      <c r="Q1738" s="989"/>
      <c r="R1738" s="989"/>
      <c r="S1738" s="989"/>
      <c r="T1738" s="1862">
        <f t="shared" si="309"/>
        <v>0</v>
      </c>
    </row>
    <row r="1739" spans="1:20" ht="22.2" hidden="1" customHeight="1">
      <c r="A1739" s="1448">
        <f>COUNTIF($C$12:C1739,"x")</f>
        <v>89</v>
      </c>
      <c r="B1739" s="1460" t="s">
        <v>571</v>
      </c>
      <c r="C1739" s="970" t="str">
        <f t="shared" si="310"/>
        <v xml:space="preserve"> </v>
      </c>
      <c r="D1739" s="1415">
        <f>ROUND((E1656+E1657)*1.03/1200,0)</f>
        <v>0</v>
      </c>
      <c r="E1739" s="980"/>
      <c r="F1739" s="992" t="str">
        <f>VLOOKUP($B1739,DG!A:D,DG!$C$2,)</f>
        <v>Ống nối dây cỡ 240mm2</v>
      </c>
      <c r="G1739" s="980" t="str">
        <f>VLOOKUP($B1739,DG!A:D,DG!$D$2,)</f>
        <v>cái</v>
      </c>
      <c r="H1739" s="1693">
        <f t="shared" si="307"/>
        <v>0</v>
      </c>
      <c r="I1739" s="1693">
        <f t="shared" si="308"/>
        <v>0</v>
      </c>
      <c r="J1739" s="1693"/>
      <c r="K1739" s="1693"/>
      <c r="L1739" s="1693"/>
      <c r="M1739" s="1693"/>
      <c r="N1739" s="1693"/>
      <c r="O1739" s="1693"/>
      <c r="P1739" s="1693">
        <f t="shared" si="304"/>
        <v>0</v>
      </c>
      <c r="Q1739" s="989"/>
      <c r="R1739" s="989"/>
      <c r="S1739" s="989"/>
      <c r="T1739" s="1862">
        <f t="shared" si="309"/>
        <v>0</v>
      </c>
    </row>
    <row r="1740" spans="1:20" ht="22.2" hidden="1" customHeight="1">
      <c r="A1740" s="1448">
        <f>COUNTIF($C$12:C1740,"x")</f>
        <v>89</v>
      </c>
      <c r="B1740" s="1460" t="s">
        <v>1610</v>
      </c>
      <c r="C1740" s="970" t="str">
        <f t="shared" si="310"/>
        <v xml:space="preserve"> </v>
      </c>
      <c r="D1740" s="1428">
        <f>'pp3p2m '!DF82</f>
        <v>0</v>
      </c>
      <c r="E1740" s="980"/>
      <c r="F1740" s="992" t="str">
        <f>VLOOKUP($B1740,DG!A:D,DG!$C$2,)</f>
        <v>Boulon 16x300+ 2 long đền vuông D18-50x50x3/Zn</v>
      </c>
      <c r="G1740" s="980" t="str">
        <f>VLOOKUP($B1740,DG!A:D,DG!$D$2,)</f>
        <v>bộ</v>
      </c>
      <c r="H1740" s="1693">
        <f t="shared" si="307"/>
        <v>0</v>
      </c>
      <c r="I1740" s="1693">
        <f>H1740</f>
        <v>0</v>
      </c>
      <c r="J1740" s="1693"/>
      <c r="K1740" s="1693"/>
      <c r="L1740" s="1693"/>
      <c r="M1740" s="1693"/>
      <c r="N1740" s="1693"/>
      <c r="O1740" s="1693"/>
      <c r="P1740" s="1693">
        <f t="shared" si="304"/>
        <v>0</v>
      </c>
      <c r="Q1740" s="989"/>
      <c r="R1740" s="989"/>
      <c r="S1740" s="989"/>
      <c r="T1740" s="1862">
        <f t="shared" si="309"/>
        <v>0</v>
      </c>
    </row>
    <row r="1741" spans="1:20" ht="22.2" hidden="1" customHeight="1">
      <c r="A1741" s="1448">
        <f>COUNTIF($C$12:C1741,"x")</f>
        <v>89</v>
      </c>
      <c r="B1741" s="1460" t="s">
        <v>229</v>
      </c>
      <c r="C1741" s="970" t="str">
        <f t="shared" si="310"/>
        <v xml:space="preserve"> </v>
      </c>
      <c r="D1741" s="1415">
        <f>SUM(D1743:D1755)*5/1.4</f>
        <v>0</v>
      </c>
      <c r="E1741" s="980"/>
      <c r="F1741" s="992" t="str">
        <f>VLOOKUP($B1741,DG!A:D,DG!$C$2,)</f>
        <v xml:space="preserve">Dây nhôm buộc </v>
      </c>
      <c r="G1741" s="980" t="str">
        <f>VLOOKUP($B1741,DG!A:D,DG!$D$2,)</f>
        <v>kg</v>
      </c>
      <c r="H1741" s="1693">
        <f t="shared" si="307"/>
        <v>0</v>
      </c>
      <c r="I1741" s="1693">
        <f>D1741</f>
        <v>0</v>
      </c>
      <c r="J1741" s="1693"/>
      <c r="K1741" s="1693"/>
      <c r="L1741" s="1693"/>
      <c r="M1741" s="1693"/>
      <c r="N1741" s="1693"/>
      <c r="O1741" s="1693"/>
      <c r="P1741" s="1693">
        <f t="shared" si="304"/>
        <v>0</v>
      </c>
      <c r="Q1741" s="989"/>
      <c r="R1741" s="989"/>
      <c r="S1741" s="989"/>
      <c r="T1741" s="1862">
        <f t="shared" si="309"/>
        <v>0</v>
      </c>
    </row>
    <row r="1742" spans="1:20" ht="22.2" hidden="1" customHeight="1">
      <c r="A1742" s="1448">
        <f>COUNTIF($C$12:C1742,"x")</f>
        <v>89</v>
      </c>
      <c r="B1742" s="1460" t="s">
        <v>1570</v>
      </c>
      <c r="C1742" s="970" t="str">
        <f t="shared" si="310"/>
        <v xml:space="preserve"> </v>
      </c>
      <c r="D1742" s="1415">
        <f>SUM(G142:G145)</f>
        <v>0</v>
      </c>
      <c r="E1742" s="980"/>
      <c r="F1742" s="992" t="str">
        <f>VLOOKUP($B1742,DG!A:D,DG!$C$2,)</f>
        <v>Biển số - Bảng nguy hiểm</v>
      </c>
      <c r="G1742" s="980" t="str">
        <f>VLOOKUP($B1742,DG!A:D,DG!$D$2,)</f>
        <v>cái</v>
      </c>
      <c r="H1742" s="1693">
        <f t="shared" si="307"/>
        <v>0</v>
      </c>
      <c r="I1742" s="1693">
        <f>D1742</f>
        <v>0</v>
      </c>
      <c r="J1742" s="1693"/>
      <c r="K1742" s="1693"/>
      <c r="L1742" s="1693"/>
      <c r="M1742" s="1693"/>
      <c r="N1742" s="1693"/>
      <c r="O1742" s="1693"/>
      <c r="P1742" s="1693">
        <f t="shared" si="304"/>
        <v>0</v>
      </c>
      <c r="Q1742" s="989"/>
      <c r="R1742" s="989"/>
      <c r="S1742" s="989"/>
      <c r="T1742" s="1862">
        <f t="shared" si="309"/>
        <v>0</v>
      </c>
    </row>
    <row r="1743" spans="1:20" ht="22.2" hidden="1" customHeight="1">
      <c r="A1743" s="1448">
        <f>COUNTIF($C$12:C1743,"x")</f>
        <v>89</v>
      </c>
      <c r="B1743" s="1460" t="s">
        <v>1269</v>
      </c>
      <c r="C1743" s="970" t="str">
        <f t="shared" si="310"/>
        <v xml:space="preserve"> </v>
      </c>
      <c r="D1743" s="1413"/>
      <c r="E1743" s="980" t="str">
        <f>VLOOKUP($B1743,DG!A:D,DG!$B$2,)</f>
        <v>06.6114</v>
      </c>
      <c r="F1743" s="985" t="str">
        <f>VLOOKUP($B1743,DG!A:D,DG!$C$2,)</f>
        <v>Kéo dây nhôm lõi thép cỡ dây 50mm2</v>
      </c>
      <c r="G1743" s="980" t="str">
        <f>VLOOKUP($B1743,DG!A:D,DG!$D$2,)</f>
        <v>km</v>
      </c>
      <c r="H1743" s="1693"/>
      <c r="I1743" s="1693"/>
      <c r="J1743" s="1693"/>
      <c r="K1743" s="1693"/>
      <c r="L1743" s="1693"/>
      <c r="M1743" s="1693"/>
      <c r="N1743" s="1693"/>
      <c r="O1743" s="1693"/>
      <c r="P1743" s="1693">
        <f t="shared" si="304"/>
        <v>0</v>
      </c>
      <c r="Q1743" s="989"/>
      <c r="R1743" s="989"/>
      <c r="S1743" s="989"/>
      <c r="T1743" s="1862">
        <f t="shared" si="309"/>
        <v>0</v>
      </c>
    </row>
    <row r="1744" spans="1:20" ht="22.2" hidden="1" customHeight="1">
      <c r="A1744" s="1448">
        <f>COUNTIF($C$12:C1744,"x")</f>
        <v>89</v>
      </c>
      <c r="B1744" s="1460" t="s">
        <v>1414</v>
      </c>
      <c r="C1744" s="970" t="str">
        <f t="shared" si="310"/>
        <v xml:space="preserve"> </v>
      </c>
      <c r="D1744" s="1413">
        <f t="shared" ref="D1744:D1749" si="311">(E1651)/1000</f>
        <v>0</v>
      </c>
      <c r="E1744" s="980" t="str">
        <f>VLOOKUP($B1744,DG!A:D,DG!$B$2,)</f>
        <v>06.6105</v>
      </c>
      <c r="F1744" s="985" t="str">
        <f>VLOOKUP($B1744,DG!A:D,DG!$C$2,)</f>
        <v>Kéo dây nhôm lõi thép cỡ dây 70mm2</v>
      </c>
      <c r="G1744" s="980" t="str">
        <f>VLOOKUP($B1744,DG!A:D,DG!$D$2,)</f>
        <v>km</v>
      </c>
      <c r="H1744" s="1693"/>
      <c r="I1744" s="1693"/>
      <c r="J1744" s="1693"/>
      <c r="K1744" s="1693"/>
      <c r="L1744" s="1693"/>
      <c r="M1744" s="1693"/>
      <c r="N1744" s="1693"/>
      <c r="O1744" s="1693"/>
      <c r="P1744" s="1693">
        <f t="shared" si="304"/>
        <v>0</v>
      </c>
      <c r="Q1744" s="989"/>
      <c r="R1744" s="989"/>
      <c r="S1744" s="989"/>
      <c r="T1744" s="1862">
        <f t="shared" si="309"/>
        <v>0</v>
      </c>
    </row>
    <row r="1745" spans="1:20" ht="22.2" hidden="1" customHeight="1">
      <c r="A1745" s="1448">
        <f>COUNTIF($C$12:C1745,"x")</f>
        <v>89</v>
      </c>
      <c r="B1745" s="1460" t="s">
        <v>1524</v>
      </c>
      <c r="C1745" s="970" t="str">
        <f t="shared" si="310"/>
        <v xml:space="preserve"> </v>
      </c>
      <c r="D1745" s="1413">
        <f t="shared" si="311"/>
        <v>0</v>
      </c>
      <c r="E1745" s="980" t="str">
        <f>VLOOKUP($B1745,DG!A:D,DG!$B$2,)</f>
        <v>06.6106</v>
      </c>
      <c r="F1745" s="985" t="str">
        <f>VLOOKUP($B1745,DG!A:D,DG!$C$2,)</f>
        <v>Kéo dây nhôm lõi thép cỡ dây 95mm2</v>
      </c>
      <c r="G1745" s="980" t="str">
        <f>VLOOKUP($B1745,DG!A:D,DG!$D$2,)</f>
        <v>km</v>
      </c>
      <c r="H1745" s="1693"/>
      <c r="I1745" s="1693"/>
      <c r="J1745" s="1693"/>
      <c r="K1745" s="1693"/>
      <c r="L1745" s="1693"/>
      <c r="M1745" s="1693"/>
      <c r="N1745" s="1693"/>
      <c r="O1745" s="1693"/>
      <c r="P1745" s="1693">
        <f t="shared" si="304"/>
        <v>0</v>
      </c>
      <c r="Q1745" s="989"/>
      <c r="R1745" s="989"/>
      <c r="S1745" s="989"/>
      <c r="T1745" s="1862">
        <f t="shared" si="309"/>
        <v>0</v>
      </c>
    </row>
    <row r="1746" spans="1:20" ht="22.2" hidden="1" customHeight="1">
      <c r="A1746" s="1448">
        <f>COUNTIF($C$12:C1746,"x")</f>
        <v>89</v>
      </c>
      <c r="B1746" s="1460" t="s">
        <v>139</v>
      </c>
      <c r="C1746" s="970" t="str">
        <f t="shared" si="310"/>
        <v xml:space="preserve"> </v>
      </c>
      <c r="D1746" s="1413">
        <f t="shared" si="311"/>
        <v>0</v>
      </c>
      <c r="E1746" s="980" t="str">
        <f>VLOOKUP($B1746,DG!A:D,DG!$B$2,)</f>
        <v>06.6107</v>
      </c>
      <c r="F1746" s="985" t="str">
        <f>VLOOKUP($B1746,DG!A:D,DG!$C$2,)</f>
        <v>Kéo dây nhôm lõi thép cỡ dây 120mm2</v>
      </c>
      <c r="G1746" s="980" t="str">
        <f>VLOOKUP($B1746,DG!A:D,DG!$D$2,)</f>
        <v>km</v>
      </c>
      <c r="H1746" s="1693"/>
      <c r="I1746" s="1693"/>
      <c r="J1746" s="1693"/>
      <c r="K1746" s="1693"/>
      <c r="L1746" s="1693"/>
      <c r="M1746" s="1693"/>
      <c r="N1746" s="1693"/>
      <c r="O1746" s="1693"/>
      <c r="P1746" s="1693">
        <f t="shared" si="304"/>
        <v>0</v>
      </c>
      <c r="Q1746" s="989"/>
      <c r="R1746" s="989"/>
      <c r="S1746" s="989"/>
      <c r="T1746" s="1862">
        <f t="shared" si="309"/>
        <v>0</v>
      </c>
    </row>
    <row r="1747" spans="1:20" ht="22.2" hidden="1" customHeight="1">
      <c r="A1747" s="1448">
        <f>COUNTIF($C$12:C1747,"x")</f>
        <v>89</v>
      </c>
      <c r="B1747" s="1460" t="s">
        <v>791</v>
      </c>
      <c r="C1747" s="970" t="str">
        <f t="shared" si="310"/>
        <v xml:space="preserve"> </v>
      </c>
      <c r="D1747" s="1413">
        <f t="shared" si="311"/>
        <v>0</v>
      </c>
      <c r="E1747" s="980" t="str">
        <f>VLOOKUP($B1747,DG!A:D,DG!$B$2,)</f>
        <v>06.6108</v>
      </c>
      <c r="F1747" s="985" t="str">
        <f>VLOOKUP($B1747,DG!A:D,DG!$C$2,)</f>
        <v>Kéo dây nhôm lõi thép cỡ dây 150mm2</v>
      </c>
      <c r="G1747" s="980" t="str">
        <f>VLOOKUP($B1747,DG!A:D,DG!$D$2,)</f>
        <v>km</v>
      </c>
      <c r="H1747" s="1693"/>
      <c r="I1747" s="1693"/>
      <c r="J1747" s="1693"/>
      <c r="K1747" s="1693"/>
      <c r="L1747" s="1693"/>
      <c r="M1747" s="1693"/>
      <c r="N1747" s="1693"/>
      <c r="O1747" s="1693"/>
      <c r="P1747" s="1693">
        <f t="shared" si="304"/>
        <v>0</v>
      </c>
      <c r="Q1747" s="989"/>
      <c r="R1747" s="989"/>
      <c r="S1747" s="989"/>
      <c r="T1747" s="1862">
        <f t="shared" si="309"/>
        <v>0</v>
      </c>
    </row>
    <row r="1748" spans="1:20" ht="22.2" hidden="1" customHeight="1">
      <c r="A1748" s="1448">
        <f>COUNTIF($C$12:C1748,"x")</f>
        <v>89</v>
      </c>
      <c r="B1748" s="1460" t="s">
        <v>140</v>
      </c>
      <c r="C1748" s="970" t="str">
        <f t="shared" si="310"/>
        <v xml:space="preserve"> </v>
      </c>
      <c r="D1748" s="1413">
        <f t="shared" si="311"/>
        <v>0</v>
      </c>
      <c r="E1748" s="980" t="str">
        <f>VLOOKUP($B1748,DG!A:D,DG!$B$2,)</f>
        <v>06.6109</v>
      </c>
      <c r="F1748" s="985" t="str">
        <f>VLOOKUP($B1748,DG!A:D,DG!$C$2,)</f>
        <v>Kéo dây nhôm lõi thép cỡ dây 185mm2</v>
      </c>
      <c r="G1748" s="980" t="str">
        <f>VLOOKUP($B1748,DG!A:D,DG!$D$2,)</f>
        <v>km</v>
      </c>
      <c r="H1748" s="1693"/>
      <c r="I1748" s="1693"/>
      <c r="J1748" s="1693"/>
      <c r="K1748" s="1693"/>
      <c r="L1748" s="1693"/>
      <c r="M1748" s="1693"/>
      <c r="N1748" s="1693"/>
      <c r="O1748" s="1693"/>
      <c r="P1748" s="1693">
        <f t="shared" si="304"/>
        <v>0</v>
      </c>
      <c r="Q1748" s="989"/>
      <c r="R1748" s="989"/>
      <c r="S1748" s="989"/>
      <c r="T1748" s="1862">
        <f t="shared" si="309"/>
        <v>0</v>
      </c>
    </row>
    <row r="1749" spans="1:20" ht="22.2" hidden="1" customHeight="1">
      <c r="A1749" s="1448">
        <f>COUNTIF($C$12:C1749,"x")</f>
        <v>89</v>
      </c>
      <c r="B1749" s="1460" t="s">
        <v>711</v>
      </c>
      <c r="C1749" s="970" t="str">
        <f t="shared" si="310"/>
        <v xml:space="preserve"> </v>
      </c>
      <c r="D1749" s="1413">
        <f t="shared" si="311"/>
        <v>0</v>
      </c>
      <c r="E1749" s="980" t="str">
        <f>VLOOKUP($B1749,DG!A:D,DG!$B$2,)</f>
        <v>06.6110</v>
      </c>
      <c r="F1749" s="985" t="str">
        <f>VLOOKUP($B1749,DG!A:D,DG!$C$2,)</f>
        <v>Kéo dây nhôm lõi thép cỡ dây 240mm2</v>
      </c>
      <c r="G1749" s="980" t="str">
        <f>VLOOKUP($B1749,DG!A:D,DG!$D$2,)</f>
        <v>km</v>
      </c>
      <c r="H1749" s="1693"/>
      <c r="I1749" s="1693"/>
      <c r="J1749" s="1693"/>
      <c r="K1749" s="1693"/>
      <c r="L1749" s="1693"/>
      <c r="M1749" s="1693"/>
      <c r="N1749" s="1693"/>
      <c r="O1749" s="1693"/>
      <c r="P1749" s="1693">
        <f t="shared" si="304"/>
        <v>0</v>
      </c>
      <c r="Q1749" s="989"/>
      <c r="R1749" s="989"/>
      <c r="S1749" s="989"/>
      <c r="T1749" s="1862">
        <f t="shared" si="309"/>
        <v>0</v>
      </c>
    </row>
    <row r="1750" spans="1:20" ht="22.2" hidden="1" customHeight="1">
      <c r="A1750" s="1448">
        <f>COUNTIF($C$12:C1750,"x")</f>
        <v>89</v>
      </c>
      <c r="B1750" s="1460" t="s">
        <v>79</v>
      </c>
      <c r="C1750" s="970" t="str">
        <f t="shared" si="310"/>
        <v xml:space="preserve"> </v>
      </c>
      <c r="D1750" s="1413">
        <f>E1662/1000</f>
        <v>0</v>
      </c>
      <c r="E1750" s="980" t="str">
        <f>VLOOKUP($B1750,DG!A:D,DG!$B$2,)</f>
        <v>06.6105</v>
      </c>
      <c r="F1750" s="985" t="str">
        <f>VLOOKUP($B1750,DG!A:D,DG!$C$2,)</f>
        <v>Kéo dây nhôm bọc 70mm2</v>
      </c>
      <c r="G1750" s="980" t="str">
        <f>VLOOKUP($B1750,DG!A:D,DG!$D$2,)</f>
        <v>km</v>
      </c>
      <c r="H1750" s="1693"/>
      <c r="I1750" s="1693"/>
      <c r="J1750" s="1693"/>
      <c r="K1750" s="1693"/>
      <c r="L1750" s="1693"/>
      <c r="M1750" s="1693"/>
      <c r="N1750" s="1693"/>
      <c r="O1750" s="1693"/>
      <c r="P1750" s="1693">
        <f t="shared" si="304"/>
        <v>0</v>
      </c>
      <c r="Q1750" s="989"/>
      <c r="R1750" s="989"/>
      <c r="S1750" s="989"/>
      <c r="T1750" s="1862">
        <f t="shared" si="309"/>
        <v>0</v>
      </c>
    </row>
    <row r="1751" spans="1:20" ht="22.2" hidden="1" customHeight="1">
      <c r="A1751" s="1448">
        <f>COUNTIF($C$12:C1751,"x")</f>
        <v>89</v>
      </c>
      <c r="B1751" s="1460" t="s">
        <v>1509</v>
      </c>
      <c r="C1751" s="970" t="str">
        <f t="shared" si="310"/>
        <v xml:space="preserve"> </v>
      </c>
      <c r="D1751" s="1413">
        <f>E1661/1000</f>
        <v>0</v>
      </c>
      <c r="E1751" s="980" t="str">
        <f>VLOOKUP($B1751,DG!A:D,DG!$B$2,)</f>
        <v>06.6106</v>
      </c>
      <c r="F1751" s="985" t="str">
        <f>VLOOKUP($B1751,DG!A:D,DG!$C$2,)</f>
        <v>Kéo dây nhôm bọc 95mm2</v>
      </c>
      <c r="G1751" s="980" t="str">
        <f>VLOOKUP($B1751,DG!A:D,DG!$D$2,)</f>
        <v>km</v>
      </c>
      <c r="H1751" s="1693"/>
      <c r="I1751" s="1693"/>
      <c r="J1751" s="1693"/>
      <c r="K1751" s="1693"/>
      <c r="L1751" s="1693"/>
      <c r="M1751" s="1693"/>
      <c r="N1751" s="1693"/>
      <c r="O1751" s="1693"/>
      <c r="P1751" s="1693">
        <f t="shared" si="304"/>
        <v>0</v>
      </c>
      <c r="Q1751" s="989"/>
      <c r="R1751" s="989"/>
      <c r="S1751" s="989"/>
      <c r="T1751" s="1862">
        <f t="shared" si="309"/>
        <v>0</v>
      </c>
    </row>
    <row r="1752" spans="1:20" ht="22.2" hidden="1" customHeight="1">
      <c r="A1752" s="1448">
        <f>COUNTIF($C$12:C1752,"x")</f>
        <v>89</v>
      </c>
      <c r="B1752" s="1460" t="s">
        <v>1174</v>
      </c>
      <c r="C1752" s="970" t="str">
        <f t="shared" si="310"/>
        <v xml:space="preserve"> </v>
      </c>
      <c r="D1752" s="1413">
        <f>E1660/1000</f>
        <v>0</v>
      </c>
      <c r="E1752" s="980" t="str">
        <f>VLOOKUP($B1752,DG!A:D,DG!$B$2,)</f>
        <v>06.6107</v>
      </c>
      <c r="F1752" s="985" t="str">
        <f>VLOOKUP($B1752,DG!A:D,DG!$C$2,)</f>
        <v>Kéo dây nhôm bọc 120mm2</v>
      </c>
      <c r="G1752" s="980" t="str">
        <f>VLOOKUP($B1752,DG!A:D,DG!$D$2,)</f>
        <v>km</v>
      </c>
      <c r="H1752" s="1693"/>
      <c r="I1752" s="1693"/>
      <c r="J1752" s="1693"/>
      <c r="K1752" s="1693"/>
      <c r="L1752" s="1693"/>
      <c r="M1752" s="1693"/>
      <c r="N1752" s="1693"/>
      <c r="O1752" s="1693"/>
      <c r="P1752" s="1693">
        <f t="shared" si="304"/>
        <v>0</v>
      </c>
      <c r="Q1752" s="989"/>
      <c r="R1752" s="989"/>
      <c r="S1752" s="989"/>
      <c r="T1752" s="1862">
        <f t="shared" si="309"/>
        <v>0</v>
      </c>
    </row>
    <row r="1753" spans="1:20" ht="22.2" hidden="1" customHeight="1">
      <c r="A1753" s="1448">
        <f>COUNTIF($C$12:C1753,"x")</f>
        <v>89</v>
      </c>
      <c r="B1753" s="1460" t="s">
        <v>924</v>
      </c>
      <c r="C1753" s="970" t="str">
        <f t="shared" si="310"/>
        <v xml:space="preserve"> </v>
      </c>
      <c r="D1753" s="1413">
        <f>E1659/1000</f>
        <v>0</v>
      </c>
      <c r="E1753" s="980" t="str">
        <f>VLOOKUP($B1753,DG!A:D,DG!$B$2,)</f>
        <v>06.6108</v>
      </c>
      <c r="F1753" s="985" t="str">
        <f>VLOOKUP($B1753,DG!A:D,DG!$C$2,)</f>
        <v>Kéo dây nhôm bọc 150mm2</v>
      </c>
      <c r="G1753" s="980" t="str">
        <f>VLOOKUP($B1753,DG!A:D,DG!$D$2,)</f>
        <v>km</v>
      </c>
      <c r="H1753" s="1693"/>
      <c r="I1753" s="1693"/>
      <c r="J1753" s="1693"/>
      <c r="K1753" s="1693"/>
      <c r="L1753" s="1693"/>
      <c r="M1753" s="1693"/>
      <c r="N1753" s="1693"/>
      <c r="O1753" s="1693"/>
      <c r="P1753" s="1693">
        <f t="shared" si="304"/>
        <v>0</v>
      </c>
      <c r="Q1753" s="989"/>
      <c r="R1753" s="989"/>
      <c r="S1753" s="989"/>
      <c r="T1753" s="1862">
        <f t="shared" si="309"/>
        <v>0</v>
      </c>
    </row>
    <row r="1754" spans="1:20" ht="22.2" hidden="1" customHeight="1">
      <c r="A1754" s="1448">
        <f>COUNTIF($C$12:C1754,"x")</f>
        <v>89</v>
      </c>
      <c r="B1754" s="1460" t="s">
        <v>925</v>
      </c>
      <c r="C1754" s="970" t="str">
        <f t="shared" si="310"/>
        <v xml:space="preserve"> </v>
      </c>
      <c r="D1754" s="1413">
        <f>E1658/1000</f>
        <v>0</v>
      </c>
      <c r="E1754" s="980" t="str">
        <f>VLOOKUP($B1754,DG!A:D,DG!$B$2,)</f>
        <v>06.6109</v>
      </c>
      <c r="F1754" s="985" t="str">
        <f>VLOOKUP($B1754,DG!A:D,DG!$C$2,)</f>
        <v>Kéo dây nhôm bọc 185mm2</v>
      </c>
      <c r="G1754" s="980" t="str">
        <f>VLOOKUP($B1754,DG!A:D,DG!$D$2,)</f>
        <v>km</v>
      </c>
      <c r="H1754" s="1693"/>
      <c r="I1754" s="1693"/>
      <c r="J1754" s="1693"/>
      <c r="K1754" s="1693"/>
      <c r="L1754" s="1693"/>
      <c r="M1754" s="1693"/>
      <c r="N1754" s="1693"/>
      <c r="O1754" s="1693"/>
      <c r="P1754" s="1693">
        <f t="shared" si="304"/>
        <v>0</v>
      </c>
      <c r="Q1754" s="989"/>
      <c r="R1754" s="989"/>
      <c r="S1754" s="989"/>
      <c r="T1754" s="1862">
        <f t="shared" si="309"/>
        <v>0</v>
      </c>
    </row>
    <row r="1755" spans="1:20" ht="22.2" hidden="1" customHeight="1">
      <c r="A1755" s="1448">
        <f>COUNTIF($C$12:C1755,"x")</f>
        <v>89</v>
      </c>
      <c r="B1755" s="1460" t="s">
        <v>1441</v>
      </c>
      <c r="C1755" s="970" t="str">
        <f t="shared" si="310"/>
        <v xml:space="preserve"> </v>
      </c>
      <c r="D1755" s="1413">
        <f>E1657/1000</f>
        <v>0</v>
      </c>
      <c r="E1755" s="980" t="str">
        <f>VLOOKUP($B1755,DG!A:D,DG!$B$2,)</f>
        <v>06.6110</v>
      </c>
      <c r="F1755" s="985" t="str">
        <f>VLOOKUP($B1755,DG!A:D,DG!$C$2,)</f>
        <v>Kéo dây nhôm bọc 240mm2</v>
      </c>
      <c r="G1755" s="980" t="str">
        <f>VLOOKUP($B1755,DG!A:D,DG!$D$2,)</f>
        <v>km</v>
      </c>
      <c r="H1755" s="1693"/>
      <c r="I1755" s="1693"/>
      <c r="J1755" s="1693"/>
      <c r="K1755" s="1693"/>
      <c r="L1755" s="1693"/>
      <c r="M1755" s="1693"/>
      <c r="N1755" s="1693"/>
      <c r="O1755" s="1693"/>
      <c r="P1755" s="1693">
        <f t="shared" si="304"/>
        <v>0</v>
      </c>
      <c r="Q1755" s="989"/>
      <c r="R1755" s="989"/>
      <c r="S1755" s="989"/>
      <c r="T1755" s="1862">
        <f t="shared" si="309"/>
        <v>0</v>
      </c>
    </row>
    <row r="1756" spans="1:20" ht="22.2" hidden="1" customHeight="1">
      <c r="A1756" s="1448">
        <f>COUNTIF($C$12:C1756,"x")</f>
        <v>89</v>
      </c>
      <c r="B1756" s="1455" t="s">
        <v>347</v>
      </c>
      <c r="C1756" s="970" t="str">
        <f t="shared" si="310"/>
        <v xml:space="preserve"> </v>
      </c>
      <c r="D1756" s="1415">
        <f>D1675+D1678+D1682*2</f>
        <v>0</v>
      </c>
      <c r="E1756" s="980" t="str">
        <f>VLOOKUP($B1756,DG!A:D,DG!$B$2,)</f>
        <v>06.1115</v>
      </c>
      <c r="F1756" s="985" t="str">
        <f>VLOOKUP($B1756,DG!A:D,DG!$C$2,)</f>
        <v>Lắp sứ đứng 24KV</v>
      </c>
      <c r="G1756" s="980" t="str">
        <f>VLOOKUP($B1756,DG!A:D,DG!$D$2,)</f>
        <v>bộ</v>
      </c>
      <c r="H1756" s="1693"/>
      <c r="I1756" s="1693"/>
      <c r="J1756" s="1693"/>
      <c r="K1756" s="1693"/>
      <c r="L1756" s="1693"/>
      <c r="M1756" s="1693"/>
      <c r="N1756" s="1693"/>
      <c r="O1756" s="1693"/>
      <c r="P1756" s="1693">
        <f t="shared" si="304"/>
        <v>0</v>
      </c>
      <c r="Q1756" s="989"/>
      <c r="R1756" s="989"/>
      <c r="S1756" s="989"/>
      <c r="T1756" s="1862">
        <f t="shared" si="309"/>
        <v>0</v>
      </c>
    </row>
    <row r="1757" spans="1:20" ht="22.2" hidden="1" customHeight="1">
      <c r="A1757" s="1448">
        <f>COUNTIF($C$12:C1757,"x")</f>
        <v>89</v>
      </c>
      <c r="B1757" s="1455" t="s">
        <v>348</v>
      </c>
      <c r="C1757" s="970" t="str">
        <f t="shared" si="310"/>
        <v xml:space="preserve"> </v>
      </c>
      <c r="D1757" s="1415">
        <f>D1678+D1682*2</f>
        <v>0</v>
      </c>
      <c r="E1757" s="980" t="str">
        <f>VLOOKUP($B1757,DG!A:D,DG!$B$2,)</f>
        <v>06.3231</v>
      </c>
      <c r="F1757" s="985" t="str">
        <f>VLOOKUP($B1757,DG!A:D,DG!$C$2,)</f>
        <v>Lắp chân sứ đỉnh</v>
      </c>
      <c r="G1757" s="980" t="str">
        <f>VLOOKUP($B1757,DG!A:D,DG!$D$2,)</f>
        <v>cái</v>
      </c>
      <c r="H1757" s="1693"/>
      <c r="I1757" s="1693"/>
      <c r="J1757" s="1693"/>
      <c r="K1757" s="1693"/>
      <c r="L1757" s="1693"/>
      <c r="M1757" s="1693"/>
      <c r="N1757" s="1693"/>
      <c r="O1757" s="1693"/>
      <c r="P1757" s="1693">
        <f t="shared" si="304"/>
        <v>0</v>
      </c>
      <c r="Q1757" s="989"/>
      <c r="R1757" s="989"/>
      <c r="S1757" s="989"/>
      <c r="T1757" s="1862">
        <f t="shared" si="309"/>
        <v>0</v>
      </c>
    </row>
    <row r="1758" spans="1:20" ht="22.2" hidden="1" customHeight="1">
      <c r="A1758" s="1448">
        <f>COUNTIF($C$12:C1758,"x")</f>
        <v>89</v>
      </c>
      <c r="B1758" s="1455" t="s">
        <v>349</v>
      </c>
      <c r="C1758" s="970" t="str">
        <f t="shared" si="310"/>
        <v xml:space="preserve"> </v>
      </c>
      <c r="D1758" s="1415">
        <f>-SUM(D1701:D1702)</f>
        <v>0</v>
      </c>
      <c r="E1758" s="980" t="str">
        <f>VLOOKUP($B1758,DG!A:D,DG!$B$2,)</f>
        <v>06.1410</v>
      </c>
      <c r="F1758" s="985" t="str">
        <f>VLOOKUP($B1758,DG!A:D,DG!$C$2,)</f>
        <v>Lắp chuỗi sứ đỡ 2 bát/chuỗi</v>
      </c>
      <c r="G1758" s="980" t="str">
        <f>VLOOKUP($B1758,DG!A:D,DG!$D$2,)</f>
        <v>chuỗi</v>
      </c>
      <c r="H1758" s="1693"/>
      <c r="I1758" s="1693"/>
      <c r="J1758" s="1693"/>
      <c r="K1758" s="1693"/>
      <c r="L1758" s="1693"/>
      <c r="M1758" s="1693"/>
      <c r="N1758" s="1693"/>
      <c r="O1758" s="1693"/>
      <c r="P1758" s="1693">
        <f t="shared" si="304"/>
        <v>0</v>
      </c>
      <c r="Q1758" s="989"/>
      <c r="R1758" s="989"/>
      <c r="S1758" s="989"/>
      <c r="T1758" s="1862">
        <f t="shared" si="309"/>
        <v>0</v>
      </c>
    </row>
    <row r="1759" spans="1:20" ht="22.2" hidden="1" customHeight="1">
      <c r="A1759" s="1448">
        <f>COUNTIF($C$12:C1759,"x")</f>
        <v>89</v>
      </c>
      <c r="B1759" s="1455" t="s">
        <v>350</v>
      </c>
      <c r="C1759" s="970" t="str">
        <f t="shared" si="310"/>
        <v xml:space="preserve"> </v>
      </c>
      <c r="D1759" s="1415">
        <f>D1692+D1686-D1758</f>
        <v>0</v>
      </c>
      <c r="E1759" s="980" t="str">
        <f>VLOOKUP($B1759,DG!A:D,DG!$B$2,)</f>
        <v>06.1511</v>
      </c>
      <c r="F1759" s="985" t="str">
        <f>VLOOKUP($B1759,DG!A:D,DG!$C$2,)</f>
        <v>Lắp chuỗi sứ néo 2 bát/chuỗi</v>
      </c>
      <c r="G1759" s="980" t="str">
        <f>VLOOKUP($B1759,DG!A:D,DG!$D$2,)</f>
        <v>chuỗi</v>
      </c>
      <c r="H1759" s="1693"/>
      <c r="I1759" s="1693"/>
      <c r="J1759" s="1693"/>
      <c r="K1759" s="1693"/>
      <c r="L1759" s="1693"/>
      <c r="M1759" s="1693"/>
      <c r="N1759" s="1693"/>
      <c r="O1759" s="1693"/>
      <c r="P1759" s="1693">
        <f t="shared" si="304"/>
        <v>0</v>
      </c>
      <c r="Q1759" s="994"/>
      <c r="R1759" s="994"/>
      <c r="S1759" s="994"/>
      <c r="T1759" s="1862">
        <f t="shared" si="309"/>
        <v>0</v>
      </c>
    </row>
    <row r="1760" spans="1:20" ht="22.2" hidden="1" customHeight="1">
      <c r="A1760" s="1448">
        <f>COUNTIF($C$12:C1760,"x")</f>
        <v>89</v>
      </c>
      <c r="B1760" s="1455" t="s">
        <v>1507</v>
      </c>
      <c r="C1760" s="970" t="str">
        <f t="shared" si="310"/>
        <v xml:space="preserve"> </v>
      </c>
      <c r="D1760" s="1415">
        <f>D1693+D1687-D1759</f>
        <v>0</v>
      </c>
      <c r="E1760" s="980" t="str">
        <f>VLOOKUP($B1760,DG!A:D,DG!$B$2,)</f>
        <v>06.2201</v>
      </c>
      <c r="F1760" s="985" t="str">
        <f>VLOOKUP($B1760,DG!A:D,DG!$C$2,)</f>
        <v>Lắp chuỗi sứ néo Polymer</v>
      </c>
      <c r="G1760" s="980" t="str">
        <f>VLOOKUP($B1760,DG!A:D,DG!$D$2,)</f>
        <v>chuỗi</v>
      </c>
      <c r="H1760" s="1693"/>
      <c r="I1760" s="1693"/>
      <c r="J1760" s="1693"/>
      <c r="K1760" s="1693"/>
      <c r="L1760" s="1693"/>
      <c r="M1760" s="1693"/>
      <c r="N1760" s="1693"/>
      <c r="O1760" s="1693"/>
      <c r="P1760" s="1693">
        <f t="shared" si="304"/>
        <v>0</v>
      </c>
      <c r="Q1760" s="994"/>
      <c r="R1760" s="994"/>
      <c r="S1760" s="994"/>
      <c r="T1760" s="1862">
        <f t="shared" si="309"/>
        <v>0</v>
      </c>
    </row>
    <row r="1761" spans="1:20" ht="22.2" hidden="1" customHeight="1">
      <c r="A1761" s="1448">
        <f>COUNTIF($C$12:C1761,"x")</f>
        <v>89</v>
      </c>
      <c r="B1761" s="1455" t="s">
        <v>351</v>
      </c>
      <c r="C1761" s="970" t="str">
        <f t="shared" si="310"/>
        <v xml:space="preserve"> </v>
      </c>
      <c r="D1761" s="1415">
        <f>D1663+D1666</f>
        <v>0</v>
      </c>
      <c r="E1761" s="980" t="str">
        <f>VLOOKUP($B1761,DG!A:D,DG!$B$2,)</f>
        <v>06.1211</v>
      </c>
      <c r="F1761" s="985" t="str">
        <f>VLOOKUP($B1761,DG!A:D,DG!$C$2,)</f>
        <v>Lắp rack sứ + sứ ống chỉ</v>
      </c>
      <c r="G1761" s="980" t="str">
        <f>VLOOKUP($B1761,DG!A:D,DG!$D$2,)</f>
        <v>bộ</v>
      </c>
      <c r="H1761" s="1693"/>
      <c r="I1761" s="1693"/>
      <c r="J1761" s="1693"/>
      <c r="K1761" s="1693"/>
      <c r="L1761" s="1693"/>
      <c r="M1761" s="1693"/>
      <c r="N1761" s="1693"/>
      <c r="O1761" s="1693"/>
      <c r="P1761" s="1693">
        <f t="shared" si="304"/>
        <v>0</v>
      </c>
      <c r="Q1761" s="989"/>
      <c r="R1761" s="989"/>
      <c r="S1761" s="989"/>
      <c r="T1761" s="1862">
        <f t="shared" si="309"/>
        <v>0</v>
      </c>
    </row>
    <row r="1762" spans="1:20" ht="22.2" hidden="1" customHeight="1">
      <c r="A1762" s="1448">
        <f>COUNTIF($C$12:C1762,"x")</f>
        <v>89</v>
      </c>
      <c r="B1762" s="1455" t="s">
        <v>353</v>
      </c>
      <c r="C1762" s="970" t="str">
        <f t="shared" si="310"/>
        <v xml:space="preserve"> </v>
      </c>
      <c r="D1762" s="1415">
        <f>P1762</f>
        <v>0</v>
      </c>
      <c r="E1762" s="980" t="str">
        <f>VLOOKUP($B1762,DG!A:D,DG!$B$2,)</f>
        <v>06.5072</v>
      </c>
      <c r="F1762" s="985" t="str">
        <f>VLOOKUP($B1762,DG!A:D,DG!$C$2,)</f>
        <v xml:space="preserve">Kéo dây qua vị trí bẻ góc dây </v>
      </c>
      <c r="G1762" s="980" t="str">
        <f>VLOOKUP($B1762,DG!A:D,DG!$D$2,)</f>
        <v>vị trí</v>
      </c>
      <c r="H1762" s="1693"/>
      <c r="I1762" s="1693"/>
      <c r="J1762" s="1693"/>
      <c r="K1762" s="1693"/>
      <c r="L1762" s="1693"/>
      <c r="M1762" s="1693"/>
      <c r="N1762" s="1693"/>
      <c r="O1762" s="1693"/>
      <c r="P1762" s="1693">
        <f t="shared" si="304"/>
        <v>0</v>
      </c>
      <c r="Q1762" s="994"/>
      <c r="R1762" s="994"/>
      <c r="S1762" s="994"/>
      <c r="T1762" s="1862">
        <f t="shared" si="309"/>
        <v>0</v>
      </c>
    </row>
    <row r="1763" spans="1:20" ht="22.2" hidden="1" customHeight="1">
      <c r="A1763" s="1448">
        <f>COUNTIF($C$12:C1763,"x")</f>
        <v>89</v>
      </c>
      <c r="B1763" s="1455" t="s">
        <v>354</v>
      </c>
      <c r="C1763" s="970" t="str">
        <f t="shared" si="310"/>
        <v xml:space="preserve"> </v>
      </c>
      <c r="D1763" s="1412">
        <f>'pp3p2m '!EA82</f>
        <v>0</v>
      </c>
      <c r="E1763" s="980" t="str">
        <f>VLOOKUP($B1763,DG!A:D,DG!$B$2,)</f>
        <v>06.5082</v>
      </c>
      <c r="F1763" s="985" t="str">
        <f>VLOOKUP($B1763,DG!A:D,DG!$C$2,)</f>
        <v>Kéo dây qua sông ( S&lt;=300)</v>
      </c>
      <c r="G1763" s="980" t="str">
        <f>VLOOKUP($B1763,DG!A:D,DG!$D$2,)</f>
        <v>vị trí</v>
      </c>
      <c r="H1763" s="1693"/>
      <c r="I1763" s="1693"/>
      <c r="J1763" s="1693"/>
      <c r="K1763" s="1693"/>
      <c r="L1763" s="1693"/>
      <c r="M1763" s="1693"/>
      <c r="N1763" s="1693"/>
      <c r="O1763" s="1693"/>
      <c r="P1763" s="1693">
        <f t="shared" si="304"/>
        <v>0</v>
      </c>
      <c r="Q1763" s="994"/>
      <c r="R1763" s="994"/>
      <c r="S1763" s="994"/>
      <c r="T1763" s="1862">
        <f t="shared" si="309"/>
        <v>0</v>
      </c>
    </row>
    <row r="1764" spans="1:20" ht="22.2" hidden="1" customHeight="1">
      <c r="A1764" s="1448">
        <f>COUNTIF($C$12:C1764,"x")</f>
        <v>89</v>
      </c>
      <c r="B1764" s="1455" t="s">
        <v>355</v>
      </c>
      <c r="C1764" s="970" t="str">
        <f t="shared" si="310"/>
        <v xml:space="preserve"> </v>
      </c>
      <c r="D1764" s="1414">
        <f>D1647</f>
        <v>0</v>
      </c>
      <c r="E1764" s="980" t="str">
        <f>VLOOKUP($B1764,DG!A:D,DG!$B$2,)</f>
        <v>02.1122</v>
      </c>
      <c r="F1764" s="985" t="str">
        <f>VLOOKUP($B1764,DG!A:D,DG!$C$2,)</f>
        <v>Bốc dỡ dây</v>
      </c>
      <c r="G1764" s="980" t="str">
        <f>VLOOKUP($B1764,DG!A:D,DG!$D$2,)</f>
        <v>tấn</v>
      </c>
      <c r="H1764" s="1693"/>
      <c r="I1764" s="1693"/>
      <c r="J1764" s="1693"/>
      <c r="K1764" s="1693"/>
      <c r="L1764" s="1693"/>
      <c r="M1764" s="1693"/>
      <c r="N1764" s="1693"/>
      <c r="O1764" s="1693"/>
      <c r="P1764" s="1693">
        <f t="shared" si="304"/>
        <v>0</v>
      </c>
      <c r="Q1764" s="994"/>
      <c r="R1764" s="994"/>
      <c r="S1764" s="994"/>
      <c r="T1764" s="1862">
        <f t="shared" si="309"/>
        <v>0</v>
      </c>
    </row>
    <row r="1765" spans="1:20" ht="22.2" hidden="1" customHeight="1">
      <c r="A1765" s="1448">
        <f>COUNTIF($C$12:C1765,"x")</f>
        <v>89</v>
      </c>
      <c r="B1765" s="1455" t="s">
        <v>1902</v>
      </c>
      <c r="C1765" s="970" t="str">
        <f t="shared" si="310"/>
        <v xml:space="preserve"> </v>
      </c>
      <c r="D1765" s="1414">
        <f>D1646</f>
        <v>0</v>
      </c>
      <c r="E1765" s="980" t="str">
        <f>VLOOKUP($B1765,DG!A:D,DG!$B$2,)</f>
        <v>02.1120</v>
      </c>
      <c r="F1765" s="985" t="str">
        <f>VLOOKUP($B1765,DG!A:D,DG!$C$2,)</f>
        <v>Bốc dỡ phụ kiện</v>
      </c>
      <c r="G1765" s="980" t="str">
        <f>VLOOKUP($B1765,DG!A:D,DG!$D$2,)</f>
        <v>tấn</v>
      </c>
      <c r="H1765" s="1693"/>
      <c r="I1765" s="1693"/>
      <c r="J1765" s="1693"/>
      <c r="K1765" s="1693"/>
      <c r="L1765" s="1693"/>
      <c r="M1765" s="1693"/>
      <c r="N1765" s="1693"/>
      <c r="O1765" s="1693"/>
      <c r="P1765" s="1693">
        <f t="shared" si="304"/>
        <v>0</v>
      </c>
      <c r="Q1765" s="994"/>
      <c r="R1765" s="994"/>
      <c r="S1765" s="994"/>
      <c r="T1765" s="1862">
        <f t="shared" si="309"/>
        <v>0</v>
      </c>
    </row>
    <row r="1766" spans="1:20" ht="22.2" hidden="1" customHeight="1">
      <c r="A1766" s="1448">
        <f>COUNTIF($C$12:C1766,"x")</f>
        <v>89</v>
      </c>
      <c r="B1766" s="1466" t="s">
        <v>356</v>
      </c>
      <c r="C1766" s="970" t="str">
        <f t="shared" si="310"/>
        <v xml:space="preserve"> </v>
      </c>
      <c r="D1766" s="1430"/>
      <c r="E1766" s="980" t="str">
        <f>VLOOKUP($B1766,DG!A:D,DG!$B$2,)</f>
        <v>02.1421</v>
      </c>
      <c r="F1766" s="985" t="str">
        <f>VLOOKUP($B1766,DG!A:D,DG!$C$2,)</f>
        <v>V/c phụ kiện vào vị trí (cự ly &lt;=100m)</v>
      </c>
      <c r="G1766" s="980" t="str">
        <f>VLOOKUP($B1766,DG!A:D,DG!$D$2,)</f>
        <v>tấn</v>
      </c>
      <c r="H1766" s="1693"/>
      <c r="I1766" s="1693"/>
      <c r="J1766" s="1693"/>
      <c r="K1766" s="1693"/>
      <c r="L1766" s="1693"/>
      <c r="M1766" s="1693"/>
      <c r="N1766" s="1693"/>
      <c r="O1766" s="1693"/>
      <c r="P1766" s="1693">
        <f t="shared" si="304"/>
        <v>0</v>
      </c>
      <c r="Q1766" s="994"/>
      <c r="R1766" s="994"/>
      <c r="S1766" s="994"/>
      <c r="T1766" s="1862">
        <f t="shared" si="309"/>
        <v>0</v>
      </c>
    </row>
    <row r="1767" spans="1:20" ht="22.2" hidden="1" customHeight="1">
      <c r="A1767" s="1448">
        <f>COUNTIF($C$12:C1767,"x")</f>
        <v>89</v>
      </c>
      <c r="B1767" s="1466" t="s">
        <v>357</v>
      </c>
      <c r="C1767" s="970" t="str">
        <f t="shared" si="310"/>
        <v xml:space="preserve"> </v>
      </c>
      <c r="D1767" s="1430"/>
      <c r="E1767" s="980" t="str">
        <f>VLOOKUP($B1767,DG!A:D,DG!$B$2,)</f>
        <v>02.1441</v>
      </c>
      <c r="F1767" s="985" t="str">
        <f>VLOOKUP($B1767,DG!A:D,DG!$C$2,)</f>
        <v>V/c dây vào vị trí (cự ly &lt;=100m)</v>
      </c>
      <c r="G1767" s="980" t="str">
        <f>VLOOKUP($B1767,DG!A:D,DG!$D$2,)</f>
        <v>tấn</v>
      </c>
      <c r="H1767" s="1693"/>
      <c r="I1767" s="1693"/>
      <c r="J1767" s="1693"/>
      <c r="K1767" s="1693"/>
      <c r="L1767" s="1693"/>
      <c r="M1767" s="1693"/>
      <c r="N1767" s="1693"/>
      <c r="O1767" s="1693"/>
      <c r="P1767" s="1693">
        <f t="shared" si="304"/>
        <v>0</v>
      </c>
      <c r="Q1767" s="994"/>
      <c r="R1767" s="994"/>
      <c r="S1767" s="994"/>
      <c r="T1767" s="1862">
        <f t="shared" si="309"/>
        <v>0</v>
      </c>
    </row>
    <row r="1768" spans="1:20" ht="22.2" hidden="1" customHeight="1">
      <c r="A1768" s="1448">
        <f>COUNTIF($C$12:C1768,"x")</f>
        <v>89</v>
      </c>
      <c r="B1768" s="1464" t="s">
        <v>606</v>
      </c>
      <c r="C1768" s="970" t="str">
        <f t="shared" si="310"/>
        <v xml:space="preserve"> </v>
      </c>
      <c r="D1768" s="1430"/>
      <c r="E1768" s="980" t="str">
        <f>VLOOKUP($B1768,DG!A:D,DG!$B$2,)</f>
        <v>02.1482</v>
      </c>
      <c r="F1768" s="985" t="str">
        <f>VLOOKUP($B1768,DG!A:D,DG!$C$2,)</f>
        <v>V/c dụng cụ thi công vào vị trí (cự ly &lt;=100m)</v>
      </c>
      <c r="G1768" s="980" t="str">
        <f>VLOOKUP($B1768,DG!A:D,DG!$D$2,)</f>
        <v>tấn</v>
      </c>
      <c r="H1768" s="1693"/>
      <c r="I1768" s="1693"/>
      <c r="J1768" s="1693"/>
      <c r="K1768" s="1693"/>
      <c r="L1768" s="1693"/>
      <c r="M1768" s="1693"/>
      <c r="N1768" s="1693"/>
      <c r="O1768" s="1693"/>
      <c r="P1768" s="1693">
        <f t="shared" si="304"/>
        <v>0</v>
      </c>
      <c r="Q1768" s="994"/>
      <c r="R1768" s="994"/>
      <c r="S1768" s="994"/>
      <c r="T1768" s="1862">
        <f t="shared" si="309"/>
        <v>0</v>
      </c>
    </row>
    <row r="1769" spans="1:20" ht="22.2" customHeight="1">
      <c r="A1769" s="1448">
        <f>COUNTIF($C$12:C1769,"x")</f>
        <v>90</v>
      </c>
      <c r="B1769" s="1452" t="s">
        <v>1919</v>
      </c>
      <c r="C1769" s="1701" t="str">
        <f>IF(K1769&lt;&gt;0,"x"," ")</f>
        <v>x</v>
      </c>
      <c r="D1769" s="1412">
        <f>IF(SUM(D1770:D1790)&lt;&gt;0,1,0)</f>
        <v>1</v>
      </c>
      <c r="E1769" s="982">
        <v>1</v>
      </c>
      <c r="F1769" s="1276" t="s">
        <v>4468</v>
      </c>
      <c r="G1769" s="982" t="s">
        <v>2301</v>
      </c>
      <c r="H1769" s="1691"/>
      <c r="I1769" s="1692"/>
      <c r="J1769" s="1692"/>
      <c r="K1769" s="1692">
        <f>IF(SUM(K1770:K1790)&gt;0,1,0)</f>
        <v>1</v>
      </c>
      <c r="L1769" s="1692">
        <f>IFERROR(HLOOKUP(chitiet!B1769,pp1p!$1:$3,3,0),0)</f>
        <v>0</v>
      </c>
      <c r="M1769" s="1692"/>
      <c r="N1769" s="1692"/>
      <c r="O1769" s="1692"/>
      <c r="P1769" s="1691">
        <f>T1769</f>
        <v>0</v>
      </c>
      <c r="Q1769" s="1691">
        <f>IF(P1769&gt;H1769,P1769-H1769,0)</f>
        <v>0</v>
      </c>
      <c r="R1769" s="1691"/>
      <c r="S1769" s="983"/>
      <c r="T1769" s="1862">
        <f>IFERROR(HLOOKUP(B1769,pp3p1m!$1:$3,3,0),0)</f>
        <v>0</v>
      </c>
    </row>
    <row r="1770" spans="1:20" ht="22.2" hidden="1" customHeight="1">
      <c r="A1770" s="1448">
        <f>COUNTIF($C$12:C1770,"x")</f>
        <v>90</v>
      </c>
      <c r="B1770" s="1455" t="s">
        <v>728</v>
      </c>
      <c r="C1770" s="970" t="str">
        <f t="shared" si="310"/>
        <v xml:space="preserve"> </v>
      </c>
      <c r="D1770" s="1418">
        <f>ROUND(E1770*1.02*0.921,2)</f>
        <v>0</v>
      </c>
      <c r="E1770" s="997"/>
      <c r="F1770" s="992" t="str">
        <f>VLOOKUP($B1770,DG!A:D,DG!$C$2,)</f>
        <v>Cáp nhôm lõi thép AC-240/39</v>
      </c>
      <c r="G1770" s="980" t="str">
        <f>VLOOKUP($B1770,DG!A:D,DG!$D$2,)</f>
        <v>kg</v>
      </c>
      <c r="H1770" s="1693">
        <f t="shared" ref="H1770:H1790" si="312">$D1770</f>
        <v>0</v>
      </c>
      <c r="I1770" s="1693"/>
      <c r="J1770" s="1693"/>
      <c r="K1770" s="1693">
        <f>IFERROR(HLOOKUP(B1770,pp3p1m!$1:$3,3,0),0)</f>
        <v>0</v>
      </c>
      <c r="L1770" s="1693"/>
      <c r="M1770" s="1693"/>
      <c r="N1770" s="1693"/>
      <c r="O1770" s="1693"/>
      <c r="P1770" s="1693">
        <f t="shared" si="304"/>
        <v>0</v>
      </c>
      <c r="Q1770" s="2679"/>
      <c r="R1770" s="2679"/>
      <c r="S1770" s="989"/>
      <c r="T1770" s="1862">
        <f>IFERROR(HLOOKUP(B1770,pp3p1m!2:4,3,0),0)</f>
        <v>0</v>
      </c>
    </row>
    <row r="1771" spans="1:20" ht="22.2" hidden="1" customHeight="1">
      <c r="A1771" s="1448">
        <f>COUNTIF($C$12:C1771,"x")</f>
        <v>90</v>
      </c>
      <c r="B1771" s="1455" t="s">
        <v>729</v>
      </c>
      <c r="C1771" s="970" t="str">
        <f t="shared" si="310"/>
        <v xml:space="preserve"> </v>
      </c>
      <c r="D1771" s="1420">
        <f>ROUND(E1771*1.02*0.728,2)</f>
        <v>0</v>
      </c>
      <c r="E1771" s="997"/>
      <c r="F1771" s="992" t="str">
        <f>VLOOKUP($B1771,DG!A:D,DG!$C$2,)</f>
        <v>Cáp nhôm lõi thép AC-185/29</v>
      </c>
      <c r="G1771" s="980" t="str">
        <f>VLOOKUP($B1771,DG!A:D,DG!$D$2,)</f>
        <v>kg</v>
      </c>
      <c r="H1771" s="1693">
        <f t="shared" si="312"/>
        <v>0</v>
      </c>
      <c r="I1771" s="1693"/>
      <c r="J1771" s="1693"/>
      <c r="K1771" s="1693">
        <f>IFERROR(HLOOKUP(B1771,pp3p1m!$1:$3,3,0),0)</f>
        <v>0</v>
      </c>
      <c r="L1771" s="1693"/>
      <c r="M1771" s="1693"/>
      <c r="N1771" s="1693"/>
      <c r="O1771" s="1693"/>
      <c r="P1771" s="1693">
        <f t="shared" si="304"/>
        <v>0</v>
      </c>
      <c r="Q1771" s="2679"/>
      <c r="R1771" s="2679"/>
      <c r="S1771" s="989"/>
      <c r="T1771" s="1862">
        <f>IFERROR(HLOOKUP(B1771,pp3p1m!3:5,3,0),0)</f>
        <v>0</v>
      </c>
    </row>
    <row r="1772" spans="1:20" ht="22.2" hidden="1" customHeight="1">
      <c r="A1772" s="1448">
        <f>COUNTIF($C$12:C1772,"x")</f>
        <v>90</v>
      </c>
      <c r="B1772" s="1455" t="s">
        <v>841</v>
      </c>
      <c r="C1772" s="970" t="str">
        <f t="shared" si="310"/>
        <v xml:space="preserve"> </v>
      </c>
      <c r="D1772" s="1418">
        <f>ROUND(E1772*1.02*0.599,2)</f>
        <v>0</v>
      </c>
      <c r="E1772" s="997"/>
      <c r="F1772" s="992" t="str">
        <f>VLOOKUP($B1772,DG!A:D,DG!$C$2,)</f>
        <v>Cáp nhôm lõi thép AC-150/24</v>
      </c>
      <c r="G1772" s="980" t="str">
        <f>VLOOKUP($B1772,DG!A:D,DG!$D$2,)</f>
        <v>kg</v>
      </c>
      <c r="H1772" s="1693">
        <f t="shared" si="312"/>
        <v>0</v>
      </c>
      <c r="I1772" s="1693"/>
      <c r="J1772" s="1693"/>
      <c r="K1772" s="1693">
        <f>IFERROR(HLOOKUP(B1772,pp3p1m!$1:$3,3,0),0)</f>
        <v>0</v>
      </c>
      <c r="L1772" s="1693"/>
      <c r="M1772" s="1693"/>
      <c r="N1772" s="1693"/>
      <c r="O1772" s="1693"/>
      <c r="P1772" s="1693">
        <f t="shared" ref="P1772:P1835" si="313">H1772+Q1772-R1772</f>
        <v>0</v>
      </c>
      <c r="Q1772" s="2679"/>
      <c r="R1772" s="2679"/>
      <c r="S1772" s="989"/>
      <c r="T1772" s="1862">
        <f>IFERROR(HLOOKUP(B1772,pp3p1m!4:6,3,0),0)</f>
        <v>0</v>
      </c>
    </row>
    <row r="1773" spans="1:20" ht="22.2" hidden="1" customHeight="1">
      <c r="A1773" s="1448">
        <f>COUNTIF($C$12:C1773,"x")</f>
        <v>90</v>
      </c>
      <c r="B1773" s="1455" t="s">
        <v>539</v>
      </c>
      <c r="C1773" s="970" t="str">
        <f t="shared" si="310"/>
        <v xml:space="preserve"> </v>
      </c>
      <c r="D1773" s="1420">
        <f>ROUND(E1773*1.02*0.471,2)</f>
        <v>0</v>
      </c>
      <c r="E1773" s="997"/>
      <c r="F1773" s="992" t="str">
        <f>VLOOKUP($B1773,DG!A:D,DG!$C$2,)</f>
        <v>Cáp nhôm lõi thép AC-120/19</v>
      </c>
      <c r="G1773" s="980" t="str">
        <f>VLOOKUP($B1773,DG!A:D,DG!$D$2,)</f>
        <v>kg</v>
      </c>
      <c r="H1773" s="1693">
        <f t="shared" si="312"/>
        <v>0</v>
      </c>
      <c r="I1773" s="1693"/>
      <c r="J1773" s="1693"/>
      <c r="K1773" s="1693">
        <f>IFERROR(HLOOKUP(B1773,pp3p1m!$1:$3,3,0),0)</f>
        <v>0</v>
      </c>
      <c r="L1773" s="1693"/>
      <c r="M1773" s="1693"/>
      <c r="N1773" s="1693"/>
      <c r="O1773" s="1693"/>
      <c r="P1773" s="1693">
        <f t="shared" si="313"/>
        <v>0</v>
      </c>
      <c r="Q1773" s="2679"/>
      <c r="R1773" s="2679"/>
      <c r="S1773" s="989"/>
      <c r="T1773" s="1862">
        <f>IFERROR(HLOOKUP(B1773,pp3p1m!5:7,3,0),0)</f>
        <v>0</v>
      </c>
    </row>
    <row r="1774" spans="1:20" ht="22.2" hidden="1" customHeight="1">
      <c r="A1774" s="1448">
        <f>COUNTIF($C$12:C1774,"x")</f>
        <v>90</v>
      </c>
      <c r="B1774" s="1455" t="s">
        <v>269</v>
      </c>
      <c r="C1774" s="970" t="str">
        <f t="shared" si="310"/>
        <v xml:space="preserve"> </v>
      </c>
      <c r="D1774" s="1415">
        <f>ROUND(E1774*1.02*0.385,2)</f>
        <v>0</v>
      </c>
      <c r="E1774" s="997"/>
      <c r="F1774" s="992" t="str">
        <f>VLOOKUP($B1774,DG!A:D,DG!$C$2,)</f>
        <v>Cáp nhôm lõi thép AC-95/16</v>
      </c>
      <c r="G1774" s="980" t="str">
        <f>VLOOKUP($B1774,DG!A:D,DG!$D$2,)</f>
        <v>kg</v>
      </c>
      <c r="H1774" s="1693">
        <f t="shared" si="312"/>
        <v>0</v>
      </c>
      <c r="I1774" s="1693"/>
      <c r="J1774" s="1693"/>
      <c r="K1774" s="1693">
        <f>IFERROR(HLOOKUP(B1774,pp3p1m!$1:$3,3,0),0)</f>
        <v>0</v>
      </c>
      <c r="L1774" s="1693"/>
      <c r="M1774" s="1693"/>
      <c r="N1774" s="1693"/>
      <c r="O1774" s="1693"/>
      <c r="P1774" s="1693">
        <f t="shared" si="313"/>
        <v>0</v>
      </c>
      <c r="Q1774" s="2679"/>
      <c r="R1774" s="2679"/>
      <c r="S1774" s="989"/>
      <c r="T1774" s="1862">
        <f>IFERROR(HLOOKUP(B1774,pp3p1m!$1:$3,3,0),0)</f>
        <v>0</v>
      </c>
    </row>
    <row r="1775" spans="1:20" ht="22.2" customHeight="1">
      <c r="A1775" s="1448">
        <f>COUNTIF($C$12:C1775,"x")</f>
        <v>91</v>
      </c>
      <c r="B1775" s="1455" t="s">
        <v>1239</v>
      </c>
      <c r="C1775" s="970" t="str">
        <f t="shared" si="310"/>
        <v>x</v>
      </c>
      <c r="D1775" s="3038">
        <f>0.274</f>
        <v>0.27400000000000002</v>
      </c>
      <c r="E1775" s="997">
        <f>K1775*1.02</f>
        <v>990.11400000000003</v>
      </c>
      <c r="F1775" s="992" t="str">
        <f>VLOOKUP($B1775,DG!A:D,DG!$C$2,)</f>
        <v>Cáp nhôm lõi thép AC-70/11</v>
      </c>
      <c r="G1775" s="980" t="str">
        <f>VLOOKUP($B1775,DG!A:D,DG!$D$2,)</f>
        <v>kg</v>
      </c>
      <c r="H1775" s="1996">
        <f>E1775*D1775</f>
        <v>271.29123600000003</v>
      </c>
      <c r="I1775" s="1693"/>
      <c r="J1775" s="1693"/>
      <c r="K1775" s="1693">
        <f>K1777</f>
        <v>970.7</v>
      </c>
      <c r="L1775" s="1693"/>
      <c r="M1775" s="1693"/>
      <c r="N1775" s="1693"/>
      <c r="O1775" s="1693"/>
      <c r="P1775" s="1996">
        <f t="shared" si="313"/>
        <v>271.29123600000003</v>
      </c>
      <c r="Q1775" s="989"/>
      <c r="R1775" s="989"/>
      <c r="S1775" s="989"/>
      <c r="T1775" s="1862">
        <f>IFERROR(HLOOKUP(B1775,pp3p1m!$1:$3,3,0),0)</f>
        <v>970.7</v>
      </c>
    </row>
    <row r="1776" spans="1:20" ht="22.2" customHeight="1">
      <c r="A1776" s="1448">
        <f>COUNTIF($C$12:C1776,"x")</f>
        <v>92</v>
      </c>
      <c r="B1776" s="1451" t="s">
        <v>88</v>
      </c>
      <c r="C1776" s="1701" t="str">
        <f t="shared" si="310"/>
        <v>x</v>
      </c>
      <c r="D1776" s="3038">
        <f>0.195</f>
        <v>0.19500000000000001</v>
      </c>
      <c r="E1776" s="997">
        <f>K1776*1.02</f>
        <v>549.78</v>
      </c>
      <c r="F1776" s="992" t="str">
        <f>VLOOKUP($B1776,DG!A:D,DG!$C$2,)</f>
        <v>Cáp nhôm lõi thép AC-50/8</v>
      </c>
      <c r="G1776" s="980" t="str">
        <f>VLOOKUP($B1776,DG!A:D,DG!$D$2,)</f>
        <v>kg</v>
      </c>
      <c r="H1776" s="1996">
        <f>E1776*D1776</f>
        <v>107.2071</v>
      </c>
      <c r="I1776" s="1693"/>
      <c r="J1776" s="1693"/>
      <c r="K1776" s="1693">
        <f>K1778</f>
        <v>539</v>
      </c>
      <c r="L1776" s="1693"/>
      <c r="M1776" s="1693"/>
      <c r="N1776" s="1693"/>
      <c r="O1776" s="1693"/>
      <c r="P1776" s="1996">
        <f t="shared" si="313"/>
        <v>107.2071</v>
      </c>
      <c r="Q1776" s="2679"/>
      <c r="R1776" s="989"/>
      <c r="S1776" s="989"/>
      <c r="T1776" s="1862">
        <f>IFERROR(HLOOKUP(B1776,pp3p1m!$1:$3,3,0),0)</f>
        <v>539</v>
      </c>
    </row>
    <row r="1777" spans="1:20" ht="22.2" customHeight="1">
      <c r="A1777" s="1448">
        <f>COUNTIF($C$12:C1777,"x")</f>
        <v>93</v>
      </c>
      <c r="B1777" s="1451" t="s">
        <v>6569</v>
      </c>
      <c r="C1777" s="1701" t="str">
        <f t="shared" si="310"/>
        <v>x</v>
      </c>
      <c r="D1777" s="1425">
        <f>ROUND(T1776*1.02,2)</f>
        <v>549.78</v>
      </c>
      <c r="E1777" s="997">
        <f>ROUND(pp3p1m!B99,0)*3</f>
        <v>0</v>
      </c>
      <c r="F1777" s="992" t="str">
        <f>VLOOKUP($B1777,DG!A:D,DG!$C$2,)</f>
        <v>Cáp 24KV ACXH 95mm2</v>
      </c>
      <c r="G1777" s="980" t="str">
        <f>VLOOKUP($B1777,DG!A:D,DG!$D$2,)</f>
        <v>mét</v>
      </c>
      <c r="H1777" s="1996">
        <f>K1777*3*1.02</f>
        <v>2970.3420000000006</v>
      </c>
      <c r="I1777" s="1693"/>
      <c r="J1777" s="1693"/>
      <c r="K1777" s="1693">
        <f>IFERROR(HLOOKUP(B1777,pp3p1m!$1:$3,3,0),0)</f>
        <v>970.7</v>
      </c>
      <c r="L1777" s="1693"/>
      <c r="M1777" s="1693"/>
      <c r="N1777" s="1693"/>
      <c r="O1777" s="1693"/>
      <c r="P1777" s="1996">
        <f t="shared" si="313"/>
        <v>2970.3420000000006</v>
      </c>
      <c r="Q1777" s="2679"/>
      <c r="R1777" s="989"/>
      <c r="S1777" s="989"/>
      <c r="T1777" s="1862">
        <f>IFERROR(HLOOKUP(B1777,pp3p1m!$1:$3,3,0),0)</f>
        <v>970.7</v>
      </c>
    </row>
    <row r="1778" spans="1:20" ht="22.2" customHeight="1">
      <c r="A1778" s="1448">
        <f>COUNTIF($C$12:C1778,"x")</f>
        <v>94</v>
      </c>
      <c r="B1778" s="1451" t="s">
        <v>6570</v>
      </c>
      <c r="C1778" s="1701" t="str">
        <f t="shared" ref="C1778:C1779" si="314">IF(OR(P1778&lt;&gt;0,H1778&lt;&gt;0),"x"," ")</f>
        <v>x</v>
      </c>
      <c r="D1778" s="1425">
        <f>ROUND(T1777*1.02,2)</f>
        <v>990.11</v>
      </c>
      <c r="E1778" s="997">
        <f>ROUND(pp3p1m!B100,0)*3</f>
        <v>0</v>
      </c>
      <c r="F1778" s="992" t="str">
        <f>VLOOKUP($B1778,DG!A:D,DG!$C$2,)</f>
        <v>Cáp 24KV ACXH 70mm2</v>
      </c>
      <c r="G1778" s="980" t="str">
        <f>VLOOKUP($B1778,DG!A:D,DG!$D$2,)</f>
        <v>mét</v>
      </c>
      <c r="H1778" s="1996">
        <f>K1778*3*1.02</f>
        <v>1649.34</v>
      </c>
      <c r="I1778" s="1693"/>
      <c r="J1778" s="1693"/>
      <c r="K1778" s="1693">
        <f>IFERROR(HLOOKUP(B1778,pp3p1m!$1:$3,3,0),0)</f>
        <v>539</v>
      </c>
      <c r="L1778" s="1693"/>
      <c r="M1778" s="1693"/>
      <c r="N1778" s="1693"/>
      <c r="O1778" s="1693"/>
      <c r="P1778" s="1996">
        <f t="shared" ref="P1778:P1779" si="315">H1778+Q1778-R1778</f>
        <v>1649.34</v>
      </c>
      <c r="Q1778" s="2679"/>
      <c r="R1778" s="989"/>
      <c r="S1778" s="989"/>
      <c r="T1778" s="1862">
        <f>IFERROR(HLOOKUP(B1778,pp3p1m!$1:$3,3,0),0)</f>
        <v>539</v>
      </c>
    </row>
    <row r="1779" spans="1:20" ht="22.2" customHeight="1">
      <c r="A1779" s="1448">
        <f>COUNTIF($C$12:C1779,"x")</f>
        <v>95</v>
      </c>
      <c r="B1779" s="1455" t="s">
        <v>4906</v>
      </c>
      <c r="C1779" s="970" t="str">
        <f t="shared" si="314"/>
        <v>x</v>
      </c>
      <c r="D1779" s="1415">
        <f t="shared" ref="D1779" si="316">ROUND(E1779*1.02,2)</f>
        <v>0</v>
      </c>
      <c r="E1779" s="997"/>
      <c r="F1779" s="992" t="str">
        <f>VLOOKUP($B1779,DG!A:D,DG!$C$2,)</f>
        <v>Cáp đồng bọc 24KV-CXV-25</v>
      </c>
      <c r="G1779" s="980" t="str">
        <f>VLOOKUP($B1779,DG!A:D,DG!$D$2,)</f>
        <v>mét</v>
      </c>
      <c r="H1779" s="1693">
        <f>T1779</f>
        <v>10</v>
      </c>
      <c r="I1779" s="1693"/>
      <c r="J1779" s="1693"/>
      <c r="K1779" s="1693">
        <f>IFERROR(HLOOKUP(B1779,pp3p1m!$1:$3,3,0),0)</f>
        <v>10</v>
      </c>
      <c r="L1779" s="1693"/>
      <c r="M1779" s="1693"/>
      <c r="N1779" s="1693"/>
      <c r="O1779" s="1693"/>
      <c r="P1779" s="1693">
        <f t="shared" si="315"/>
        <v>10</v>
      </c>
      <c r="Q1779" s="2679"/>
      <c r="R1779" s="2679"/>
      <c r="S1779" s="989"/>
      <c r="T1779" s="1862">
        <f>IFERROR(HLOOKUP(B1779,pp3p1m!$1:$3,3,0),0)</f>
        <v>10</v>
      </c>
    </row>
    <row r="1780" spans="1:20" ht="22.2" customHeight="1">
      <c r="A1780" s="1448">
        <f>COUNTIF($C$12:C1780,"x")</f>
        <v>96</v>
      </c>
      <c r="B1780" s="1455" t="s">
        <v>6528</v>
      </c>
      <c r="C1780" s="970" t="str">
        <f t="shared" si="310"/>
        <v>x</v>
      </c>
      <c r="D1780" s="1415">
        <f t="shared" ref="D1780:D1788" si="317">ROUND(E1780*1.02,2)</f>
        <v>0</v>
      </c>
      <c r="E1780" s="997"/>
      <c r="F1780" s="992" t="str">
        <f>VLOOKUP($B1780,DG!A:D,DG!$C$2,)</f>
        <v>Cáp đồng bọc 24KV-CXV-95</v>
      </c>
      <c r="G1780" s="980" t="str">
        <f>VLOOKUP($B1780,DG!A:D,DG!$D$2,)</f>
        <v>mét</v>
      </c>
      <c r="H1780" s="1693">
        <f>T1780</f>
        <v>15</v>
      </c>
      <c r="I1780" s="1693"/>
      <c r="J1780" s="1693"/>
      <c r="K1780" s="1693">
        <f>IFERROR(HLOOKUP(B1780,pp3p1m!$1:$3,3,0),0)</f>
        <v>15</v>
      </c>
      <c r="L1780" s="1693"/>
      <c r="M1780" s="1693"/>
      <c r="N1780" s="1693"/>
      <c r="O1780" s="1693"/>
      <c r="P1780" s="1693">
        <f t="shared" si="313"/>
        <v>15</v>
      </c>
      <c r="Q1780" s="2679"/>
      <c r="R1780" s="2679"/>
      <c r="S1780" s="989"/>
      <c r="T1780" s="1862">
        <f>IFERROR(HLOOKUP(B1780,pp3p1m!$1:$3,3,0),0)</f>
        <v>15</v>
      </c>
    </row>
    <row r="1781" spans="1:20" ht="22.2" hidden="1" customHeight="1">
      <c r="A1781" s="1448">
        <f>COUNTIF($C$12:C1781,"x")</f>
        <v>96</v>
      </c>
      <c r="B1781" s="1455" t="s">
        <v>1031</v>
      </c>
      <c r="C1781" s="970" t="str">
        <f t="shared" si="310"/>
        <v xml:space="preserve"> </v>
      </c>
      <c r="D1781" s="1415">
        <f t="shared" si="317"/>
        <v>0</v>
      </c>
      <c r="E1781" s="997"/>
      <c r="F1781" s="992" t="str">
        <f>VLOOKUP($B1781,DG!A:D,DG!$C$2,)</f>
        <v>Cáp 24KV A/XLPE/PVC 185mm2</v>
      </c>
      <c r="G1781" s="980" t="str">
        <f>VLOOKUP($B1781,DG!A:D,DG!$D$2,)</f>
        <v>mét</v>
      </c>
      <c r="H1781" s="1693">
        <f t="shared" si="312"/>
        <v>0</v>
      </c>
      <c r="I1781" s="1693"/>
      <c r="J1781" s="1693"/>
      <c r="K1781" s="1693">
        <f>IFERROR(HLOOKUP(B1781,pp3p1m!$1:$3,3,0),0)</f>
        <v>0</v>
      </c>
      <c r="L1781" s="1693"/>
      <c r="M1781" s="1693"/>
      <c r="N1781" s="1693"/>
      <c r="O1781" s="1693"/>
      <c r="P1781" s="1693">
        <f t="shared" si="313"/>
        <v>0</v>
      </c>
      <c r="Q1781" s="2679"/>
      <c r="R1781" s="2679"/>
      <c r="S1781" s="989"/>
      <c r="T1781" s="1862">
        <f>IFERROR(HLOOKUP(B1781,pp3p1m!$1:$3,3,0),0)</f>
        <v>0</v>
      </c>
    </row>
    <row r="1782" spans="1:20" ht="22.2" hidden="1" customHeight="1">
      <c r="A1782" s="1448">
        <f>COUNTIF($C$12:C1782,"x")</f>
        <v>96</v>
      </c>
      <c r="B1782" s="1455" t="s">
        <v>1032</v>
      </c>
      <c r="C1782" s="970" t="str">
        <f t="shared" si="310"/>
        <v xml:space="preserve"> </v>
      </c>
      <c r="D1782" s="1415">
        <f t="shared" si="317"/>
        <v>0</v>
      </c>
      <c r="E1782" s="997"/>
      <c r="F1782" s="992" t="str">
        <f>VLOOKUP($B1782,DG!A:D,DG!$C$2,)</f>
        <v>Cáp 24KV A/XLPE/PVC 150mm2</v>
      </c>
      <c r="G1782" s="980" t="str">
        <f>VLOOKUP($B1782,DG!A:D,DG!$D$2,)</f>
        <v>mét</v>
      </c>
      <c r="H1782" s="1693">
        <f t="shared" si="312"/>
        <v>0</v>
      </c>
      <c r="I1782" s="1693"/>
      <c r="J1782" s="1693"/>
      <c r="K1782" s="1693">
        <f>IFERROR(HLOOKUP(B1782,pp3p1m!$1:$3,3,0),0)</f>
        <v>0</v>
      </c>
      <c r="L1782" s="1693"/>
      <c r="M1782" s="1693"/>
      <c r="N1782" s="1693"/>
      <c r="O1782" s="1693"/>
      <c r="P1782" s="1693">
        <f t="shared" si="313"/>
        <v>0</v>
      </c>
      <c r="Q1782" s="2679"/>
      <c r="R1782" s="2679"/>
      <c r="S1782" s="989"/>
      <c r="T1782" s="1862">
        <f>IFERROR(HLOOKUP(B1782,pp3p1m!$1:$3,3,0),0)</f>
        <v>0</v>
      </c>
    </row>
    <row r="1783" spans="1:20" ht="22.2" hidden="1" customHeight="1">
      <c r="A1783" s="1448">
        <f>COUNTIF($C$12:C1783,"x")</f>
        <v>96</v>
      </c>
      <c r="B1783" s="1455" t="s">
        <v>657</v>
      </c>
      <c r="C1783" s="970" t="str">
        <f t="shared" si="310"/>
        <v xml:space="preserve"> </v>
      </c>
      <c r="D1783" s="1415">
        <f t="shared" si="317"/>
        <v>0</v>
      </c>
      <c r="E1783" s="997"/>
      <c r="F1783" s="992" t="str">
        <f>VLOOKUP($B1783,DG!A:D,DG!$C$2,)</f>
        <v>Cáp 24KV A/XLPE/PVC 120mm2</v>
      </c>
      <c r="G1783" s="980" t="str">
        <f>VLOOKUP($B1783,DG!A:D,DG!$D$2,)</f>
        <v>mét</v>
      </c>
      <c r="H1783" s="1693">
        <f t="shared" si="312"/>
        <v>0</v>
      </c>
      <c r="I1783" s="1693"/>
      <c r="J1783" s="1693"/>
      <c r="K1783" s="1693">
        <f>IFERROR(HLOOKUP(B1783,pp3p1m!$1:$3,3,0),0)</f>
        <v>0</v>
      </c>
      <c r="L1783" s="1693"/>
      <c r="M1783" s="1693"/>
      <c r="N1783" s="1693"/>
      <c r="O1783" s="1693"/>
      <c r="P1783" s="1693">
        <f t="shared" si="313"/>
        <v>0</v>
      </c>
      <c r="Q1783" s="2679"/>
      <c r="R1783" s="2679"/>
      <c r="S1783" s="989"/>
      <c r="T1783" s="1862">
        <f>IFERROR(HLOOKUP(B1783,pp3p1m!$1:$3,3,0),0)</f>
        <v>0</v>
      </c>
    </row>
    <row r="1784" spans="1:20" ht="22.2" hidden="1" customHeight="1">
      <c r="A1784" s="1448">
        <f>COUNTIF($C$12:C1784,"x")</f>
        <v>96</v>
      </c>
      <c r="B1784" s="1455" t="s">
        <v>57</v>
      </c>
      <c r="C1784" s="970" t="str">
        <f t="shared" si="310"/>
        <v xml:space="preserve"> </v>
      </c>
      <c r="D1784" s="1415">
        <f t="shared" si="317"/>
        <v>0</v>
      </c>
      <c r="E1784" s="997"/>
      <c r="F1784" s="992" t="str">
        <f>VLOOKUP($B1784,DG!A:D,DG!$C$2,)</f>
        <v>Cáp 24KV A/XLPE/PVC 95mm2</v>
      </c>
      <c r="G1784" s="980" t="str">
        <f>VLOOKUP($B1784,DG!A:D,DG!$D$2,)</f>
        <v>mét</v>
      </c>
      <c r="H1784" s="1693">
        <f t="shared" si="312"/>
        <v>0</v>
      </c>
      <c r="I1784" s="1693"/>
      <c r="J1784" s="1693"/>
      <c r="K1784" s="1693">
        <f>IFERROR(HLOOKUP(B1784,pp3p1m!$1:$3,3,0),0)</f>
        <v>0</v>
      </c>
      <c r="L1784" s="1693"/>
      <c r="M1784" s="1693"/>
      <c r="N1784" s="1693"/>
      <c r="O1784" s="1693"/>
      <c r="P1784" s="1693">
        <f t="shared" si="313"/>
        <v>0</v>
      </c>
      <c r="Q1784" s="2679"/>
      <c r="R1784" s="2679"/>
      <c r="S1784" s="989"/>
      <c r="T1784" s="1862">
        <f>IFERROR(HLOOKUP(B1784,pp3p1m!$1:$3,3,0),0)</f>
        <v>0</v>
      </c>
    </row>
    <row r="1785" spans="1:20" ht="22.2" hidden="1" customHeight="1">
      <c r="A1785" s="1448">
        <f>COUNTIF($C$12:C1785,"x")</f>
        <v>96</v>
      </c>
      <c r="B1785" s="1455" t="s">
        <v>56</v>
      </c>
      <c r="C1785" s="970" t="str">
        <f t="shared" si="310"/>
        <v xml:space="preserve"> </v>
      </c>
      <c r="D1785" s="1415">
        <f t="shared" si="317"/>
        <v>0</v>
      </c>
      <c r="E1785" s="997"/>
      <c r="F1785" s="992" t="str">
        <f>VLOOKUP($B1785,DG!A:D,DG!$C$2,)</f>
        <v>Cáp 24KV A/XLPE/PVC 70mm2</v>
      </c>
      <c r="G1785" s="980" t="str">
        <f>VLOOKUP($B1785,DG!A:D,DG!$D$2,)</f>
        <v>mét</v>
      </c>
      <c r="H1785" s="1693">
        <f t="shared" si="312"/>
        <v>0</v>
      </c>
      <c r="I1785" s="1693"/>
      <c r="J1785" s="1693"/>
      <c r="K1785" s="1693">
        <f>IFERROR(HLOOKUP(B1785,pp3p1m!$1:$3,3,0),0)</f>
        <v>0</v>
      </c>
      <c r="L1785" s="1693"/>
      <c r="M1785" s="1693"/>
      <c r="N1785" s="1693"/>
      <c r="O1785" s="1693"/>
      <c r="P1785" s="1693">
        <f t="shared" si="313"/>
        <v>0</v>
      </c>
      <c r="Q1785" s="2679"/>
      <c r="R1785" s="2679"/>
      <c r="S1785" s="989"/>
      <c r="T1785" s="1862">
        <f>IFERROR(HLOOKUP(B1785,pp3p1m!$1:$3,3,0),0)</f>
        <v>0</v>
      </c>
    </row>
    <row r="1786" spans="1:20" ht="22.2" hidden="1" customHeight="1">
      <c r="A1786" s="1448">
        <f>COUNTIF($C$12:C1786,"x")</f>
        <v>96</v>
      </c>
      <c r="B1786" s="1455" t="s">
        <v>55</v>
      </c>
      <c r="C1786" s="970" t="str">
        <f t="shared" si="310"/>
        <v xml:space="preserve"> </v>
      </c>
      <c r="D1786" s="1425">
        <f t="shared" si="317"/>
        <v>0</v>
      </c>
      <c r="E1786" s="997"/>
      <c r="F1786" s="992" t="str">
        <f>VLOOKUP($B1786,DG!A:D,DG!$C$2,)</f>
        <v>Cáp 24KV A/XLPE/PVC 50mm2</v>
      </c>
      <c r="G1786" s="980" t="str">
        <f>VLOOKUP($B1786,DG!A:D,DG!$D$2,)</f>
        <v>mét</v>
      </c>
      <c r="H1786" s="1693">
        <f t="shared" si="312"/>
        <v>0</v>
      </c>
      <c r="I1786" s="1693"/>
      <c r="J1786" s="1693"/>
      <c r="K1786" s="1693">
        <f>IFERROR(HLOOKUP(B1786,pp3p1m!$1:$3,3,0),0)</f>
        <v>0</v>
      </c>
      <c r="L1786" s="1693"/>
      <c r="M1786" s="1693"/>
      <c r="N1786" s="1693"/>
      <c r="O1786" s="1693"/>
      <c r="P1786" s="1693">
        <f t="shared" si="313"/>
        <v>0</v>
      </c>
      <c r="Q1786" s="2679"/>
      <c r="R1786" s="2679"/>
      <c r="S1786" s="989"/>
      <c r="T1786" s="1862">
        <f>IFERROR(HLOOKUP(B1786,pp3p1m!$1:$3,3,0),0)</f>
        <v>0</v>
      </c>
    </row>
    <row r="1787" spans="1:20" ht="22.2" hidden="1" customHeight="1">
      <c r="A1787" s="1448">
        <f>COUNTIF($C$12:C1787,"x")</f>
        <v>96</v>
      </c>
      <c r="B1787" s="1478" t="s">
        <v>55</v>
      </c>
      <c r="C1787" s="970" t="str">
        <f t="shared" si="310"/>
        <v xml:space="preserve"> </v>
      </c>
      <c r="D1787" s="1425">
        <f t="shared" si="317"/>
        <v>0</v>
      </c>
      <c r="E1787" s="1289"/>
      <c r="F1787" s="992" t="str">
        <f>VLOOKUP($B1787,DG!A:D,DG!$C$2,)</f>
        <v>Cáp 24KV A/XLPE/PVC 50mm2</v>
      </c>
      <c r="G1787" s="980" t="s">
        <v>2532</v>
      </c>
      <c r="H1787" s="1693">
        <f t="shared" si="312"/>
        <v>0</v>
      </c>
      <c r="I1787" s="1693"/>
      <c r="J1787" s="1693"/>
      <c r="K1787" s="1693">
        <f>IFERROR(HLOOKUP(B1787,pp3p1m!$1:$3,3,0),0)</f>
        <v>0</v>
      </c>
      <c r="L1787" s="1693"/>
      <c r="M1787" s="1693"/>
      <c r="N1787" s="1693"/>
      <c r="O1787" s="1695"/>
      <c r="P1787" s="1693">
        <f t="shared" si="313"/>
        <v>0</v>
      </c>
      <c r="Q1787" s="2679"/>
      <c r="R1787" s="2679"/>
      <c r="S1787" s="995"/>
      <c r="T1787" s="1862">
        <f>IFERROR(HLOOKUP(B1787,pp3p1m!$1:$3,3,0),0)</f>
        <v>0</v>
      </c>
    </row>
    <row r="1788" spans="1:20" ht="22.2" hidden="1" customHeight="1">
      <c r="A1788" s="1448">
        <f>COUNTIF($C$12:C1788,"x")</f>
        <v>96</v>
      </c>
      <c r="B1788" s="1455" t="s">
        <v>271</v>
      </c>
      <c r="C1788" s="970" t="str">
        <f t="shared" si="310"/>
        <v xml:space="preserve"> </v>
      </c>
      <c r="D1788" s="1421">
        <f t="shared" si="317"/>
        <v>0</v>
      </c>
      <c r="E1788" s="997"/>
      <c r="F1788" s="992" t="str">
        <f>VLOOKUP($B1788,DG!A:D,DG!$C$2,)</f>
        <v>Cáp 24KV C/XLPE/PVC 50mm2</v>
      </c>
      <c r="G1788" s="980" t="s">
        <v>2532</v>
      </c>
      <c r="H1788" s="1693">
        <f t="shared" si="312"/>
        <v>0</v>
      </c>
      <c r="I1788" s="1693"/>
      <c r="J1788" s="1693"/>
      <c r="K1788" s="1693">
        <f>IFERROR(HLOOKUP(B1788,pp3p1m!$1:$3,3,0),0)</f>
        <v>0</v>
      </c>
      <c r="L1788" s="1693"/>
      <c r="M1788" s="1693"/>
      <c r="N1788" s="1693"/>
      <c r="O1788" s="1693"/>
      <c r="P1788" s="1693">
        <f t="shared" si="313"/>
        <v>0</v>
      </c>
      <c r="Q1788" s="2679"/>
      <c r="R1788" s="2679"/>
      <c r="S1788" s="995"/>
      <c r="T1788" s="1862">
        <f>IFERROR(HLOOKUP(B1788,pp3p1m!$1:$3,3,0),0)</f>
        <v>0</v>
      </c>
    </row>
    <row r="1789" spans="1:20" ht="22.2" hidden="1" customHeight="1">
      <c r="A1789" s="1448">
        <f>COUNTIF($C$12:C1789,"x")</f>
        <v>96</v>
      </c>
      <c r="B1789" s="1455" t="s">
        <v>1033</v>
      </c>
      <c r="C1789" s="970" t="str">
        <f t="shared" si="310"/>
        <v xml:space="preserve"> </v>
      </c>
      <c r="D1789" s="1425">
        <f>ROUND(E1789*1.02*0.224,2)</f>
        <v>0</v>
      </c>
      <c r="E1789" s="1289"/>
      <c r="F1789" s="992" t="str">
        <f>VLOOKUP($B1789,DG!A:D,DG!$C$2,)</f>
        <v>Cáp đồng trần M25mm2</v>
      </c>
      <c r="G1789" s="980" t="str">
        <f>VLOOKUP($B1789,DG!A:D,DG!$D$2,)</f>
        <v>kg</v>
      </c>
      <c r="H1789" s="1693">
        <f t="shared" si="312"/>
        <v>0</v>
      </c>
      <c r="I1789" s="1693"/>
      <c r="J1789" s="1693"/>
      <c r="K1789" s="1693">
        <f>IFERROR(HLOOKUP(B1789,pp3p1m!$1:$3,3,0),0)</f>
        <v>0</v>
      </c>
      <c r="L1789" s="1693"/>
      <c r="M1789" s="1693"/>
      <c r="N1789" s="1693"/>
      <c r="O1789" s="1695"/>
      <c r="P1789" s="1693">
        <f t="shared" si="313"/>
        <v>0</v>
      </c>
      <c r="Q1789" s="2679"/>
      <c r="R1789" s="2679"/>
      <c r="S1789" s="995"/>
      <c r="T1789" s="1862">
        <f>IFERROR(HLOOKUP(B1789,pp3p1m!$1:$3,3,0),0)</f>
        <v>0</v>
      </c>
    </row>
    <row r="1790" spans="1:20" ht="22.2" hidden="1" customHeight="1">
      <c r="A1790" s="1448">
        <f>COUNTIF($C$12:C1790,"x")</f>
        <v>96</v>
      </c>
      <c r="B1790" s="1455" t="s">
        <v>612</v>
      </c>
      <c r="C1790" s="970" t="str">
        <f t="shared" si="310"/>
        <v xml:space="preserve"> </v>
      </c>
      <c r="D1790" s="1421">
        <f>ROUND(E1790*1.02*0.224,2)</f>
        <v>0</v>
      </c>
      <c r="E1790" s="1273"/>
      <c r="F1790" s="992" t="str">
        <f>VLOOKUP($B1790,DG!A:D,DG!$C$2,)</f>
        <v>Cáp đồng trần M38mm2</v>
      </c>
      <c r="G1790" s="980" t="str">
        <f>VLOOKUP($B1790,DG!A:D,DG!$D$2,)</f>
        <v>kg</v>
      </c>
      <c r="H1790" s="1693">
        <f t="shared" si="312"/>
        <v>0</v>
      </c>
      <c r="I1790" s="1693"/>
      <c r="J1790" s="1693"/>
      <c r="K1790" s="1693">
        <f>IFERROR(HLOOKUP(B1790,pp3p1m!$1:$3,3,0),0)</f>
        <v>0</v>
      </c>
      <c r="L1790" s="1693"/>
      <c r="M1790" s="1693"/>
      <c r="N1790" s="1693"/>
      <c r="O1790" s="1693"/>
      <c r="P1790" s="1693">
        <f t="shared" si="313"/>
        <v>0</v>
      </c>
      <c r="Q1790" s="2679"/>
      <c r="R1790" s="2679"/>
      <c r="S1790" s="995"/>
      <c r="T1790" s="1862">
        <f>IFERROR(HLOOKUP(B1790,pp3p1m!$1:$3,3,0),0)</f>
        <v>0</v>
      </c>
    </row>
    <row r="1791" spans="1:20" ht="22.2" customHeight="1">
      <c r="A1791" s="1448">
        <f>COUNTIF($C$12:C1791,"x")</f>
        <v>97</v>
      </c>
      <c r="B1791" s="1458" t="s">
        <v>2499</v>
      </c>
      <c r="C1791" s="1701" t="str">
        <f t="shared" si="310"/>
        <v>x</v>
      </c>
      <c r="D1791" s="1428">
        <f>K1791</f>
        <v>5</v>
      </c>
      <c r="E1791" s="980"/>
      <c r="F1791" s="998" t="s">
        <v>2533</v>
      </c>
      <c r="G1791" s="999" t="s">
        <v>2439</v>
      </c>
      <c r="H1791" s="1691">
        <f>K1791</f>
        <v>5</v>
      </c>
      <c r="I1791" s="1691"/>
      <c r="J1791" s="1691"/>
      <c r="K1791" s="1692">
        <f>IFERROR(HLOOKUP(B1791,pp3p1m!$1:$3,2,0),0)</f>
        <v>5</v>
      </c>
      <c r="L1791" s="1691"/>
      <c r="M1791" s="1691"/>
      <c r="N1791" s="1691"/>
      <c r="O1791" s="1691"/>
      <c r="P1791" s="1691">
        <f>T1791</f>
        <v>5</v>
      </c>
      <c r="Q1791" s="1691">
        <f>IF(P1791&gt;H1791,P1791-H1791,0)</f>
        <v>0</v>
      </c>
      <c r="R1791" s="1691">
        <f>IF(H1791&gt;P1791,H1791-P1791,0)</f>
        <v>0</v>
      </c>
      <c r="S1791" s="989"/>
      <c r="T1791" s="1862">
        <f>IFERROR(HLOOKUP(B1791,pp3p1m!$1:$3,3,0),0)</f>
        <v>5</v>
      </c>
    </row>
    <row r="1792" spans="1:20" ht="22.2" customHeight="1">
      <c r="A1792" s="1448">
        <f>COUNTIF($C$12:C1792,"x")</f>
        <v>98</v>
      </c>
      <c r="B1792" s="1451" t="s">
        <v>1909</v>
      </c>
      <c r="C1792" s="1701" t="str">
        <f t="shared" si="310"/>
        <v>x</v>
      </c>
      <c r="D1792" s="1415">
        <v>1</v>
      </c>
      <c r="E1792" s="980"/>
      <c r="F1792" s="992" t="str">
        <f>VLOOKUP($B1792,DG!A:D,DG!$C$2,)</f>
        <v>Uclevis + sứ ống chỉ</v>
      </c>
      <c r="G1792" s="980" t="str">
        <f>VLOOKUP($B1792,DG!A:D,DG!$D$2,)</f>
        <v>bộ</v>
      </c>
      <c r="H1792" s="1693">
        <f>H$1791*$D1792</f>
        <v>5</v>
      </c>
      <c r="I1792" s="1693"/>
      <c r="J1792" s="1693"/>
      <c r="K1792" s="1693">
        <f>D1792</f>
        <v>1</v>
      </c>
      <c r="L1792" s="1693"/>
      <c r="M1792" s="1693"/>
      <c r="N1792" s="1693"/>
      <c r="O1792" s="1695"/>
      <c r="P1792" s="1693">
        <f>P$1791*$D1792</f>
        <v>5</v>
      </c>
      <c r="Q1792" s="1693">
        <f t="shared" ref="Q1792:R1793" si="318">Q$1791*$D1792</f>
        <v>0</v>
      </c>
      <c r="R1792" s="1693">
        <f t="shared" si="318"/>
        <v>0</v>
      </c>
      <c r="S1792" s="989"/>
      <c r="T1792" s="1862">
        <f>IFERROR(HLOOKUP(B1792,pp3p1m!$1:$3,3,0),0)</f>
        <v>0</v>
      </c>
    </row>
    <row r="1793" spans="1:20" ht="22.2" customHeight="1">
      <c r="A1793" s="1448">
        <f>COUNTIF($C$12:C1793,"x")</f>
        <v>99</v>
      </c>
      <c r="B1793" s="1451" t="s">
        <v>1610</v>
      </c>
      <c r="C1793" s="1701" t="str">
        <f t="shared" si="310"/>
        <v>x</v>
      </c>
      <c r="D1793" s="1415">
        <v>1</v>
      </c>
      <c r="E1793" s="980"/>
      <c r="F1793" s="992" t="str">
        <f>VLOOKUP($B1793,DG!A:D,DG!$C$2,)</f>
        <v>Boulon 16x300+ 2 long đền vuông D18-50x50x3/Zn</v>
      </c>
      <c r="G1793" s="980" t="str">
        <f>VLOOKUP($B1793,DG!A:D,DG!$D$2,)</f>
        <v>bộ</v>
      </c>
      <c r="H1793" s="1693">
        <f>H$1791*$D1793</f>
        <v>5</v>
      </c>
      <c r="I1793" s="1693"/>
      <c r="J1793" s="1693"/>
      <c r="K1793" s="1693">
        <f>D1793</f>
        <v>1</v>
      </c>
      <c r="L1793" s="1693"/>
      <c r="M1793" s="1693"/>
      <c r="N1793" s="1693"/>
      <c r="O1793" s="1695"/>
      <c r="P1793" s="1693">
        <f>P$1791*$D1793</f>
        <v>5</v>
      </c>
      <c r="Q1793" s="1693">
        <f t="shared" si="318"/>
        <v>0</v>
      </c>
      <c r="R1793" s="1693">
        <f t="shared" si="318"/>
        <v>0</v>
      </c>
      <c r="S1793" s="989"/>
      <c r="T1793" s="1862">
        <f>IFERROR(HLOOKUP(B1793,pp3p1m!$1:$3,3,0),0)</f>
        <v>0</v>
      </c>
    </row>
    <row r="1794" spans="1:20" ht="22.2" customHeight="1">
      <c r="A1794" s="1448">
        <f>COUNTIF($C$12:C1794,"x")</f>
        <v>100</v>
      </c>
      <c r="B1794" s="1472" t="s">
        <v>2534</v>
      </c>
      <c r="C1794" s="970" t="str">
        <f t="shared" si="310"/>
        <v>x</v>
      </c>
      <c r="D1794" s="1428"/>
      <c r="E1794" s="980"/>
      <c r="F1794" s="998" t="s">
        <v>2535</v>
      </c>
      <c r="G1794" s="999" t="s">
        <v>2439</v>
      </c>
      <c r="H1794" s="1691">
        <f>K1794</f>
        <v>1</v>
      </c>
      <c r="I1794" s="1691">
        <f t="shared" ref="I1794:O1794" si="319">SUM(J1794:P1794)</f>
        <v>62</v>
      </c>
      <c r="J1794" s="1691">
        <f t="shared" si="319"/>
        <v>31</v>
      </c>
      <c r="K1794" s="1692">
        <f>IFERROR(HLOOKUP(B1794,pp3p1m!$1:$3,2,0),0)</f>
        <v>1</v>
      </c>
      <c r="L1794" s="1691">
        <f t="shared" si="319"/>
        <v>15</v>
      </c>
      <c r="M1794" s="1691">
        <f t="shared" si="319"/>
        <v>8</v>
      </c>
      <c r="N1794" s="1691">
        <f t="shared" si="319"/>
        <v>4</v>
      </c>
      <c r="O1794" s="1691">
        <f t="shared" si="319"/>
        <v>2</v>
      </c>
      <c r="P1794" s="1691">
        <f>T1794</f>
        <v>1</v>
      </c>
      <c r="Q1794" s="983">
        <f>IF(P1794&gt;H1794,P1794-H1794,0)</f>
        <v>0</v>
      </c>
      <c r="R1794" s="983">
        <f>IF(H1794&gt;P1794,H1794-P1794,0)</f>
        <v>0</v>
      </c>
      <c r="S1794" s="989"/>
      <c r="T1794" s="1862">
        <f>IFERROR(HLOOKUP(B1794,pp3p1m!$1:$3,3,0),0)</f>
        <v>1</v>
      </c>
    </row>
    <row r="1795" spans="1:20" ht="22.2" customHeight="1">
      <c r="A1795" s="1448">
        <f>COUNTIF($C$12:C1795,"x")</f>
        <v>101</v>
      </c>
      <c r="B1795" s="1455" t="s">
        <v>1909</v>
      </c>
      <c r="C1795" s="970" t="str">
        <f t="shared" si="310"/>
        <v>x</v>
      </c>
      <c r="D1795" s="1415">
        <v>1</v>
      </c>
      <c r="E1795" s="980"/>
      <c r="F1795" s="992" t="str">
        <f>VLOOKUP($B1795,DG!A:D,DG!$C$2,)</f>
        <v>Uclevis + sứ ống chỉ</v>
      </c>
      <c r="G1795" s="980" t="str">
        <f>VLOOKUP($B1795,DG!A:D,DG!$D$2,)</f>
        <v>bộ</v>
      </c>
      <c r="H1795" s="1693">
        <f>H$1794*$D1795</f>
        <v>1</v>
      </c>
      <c r="I1795" s="1693">
        <f t="shared" ref="I1795:R1796" si="320">I$1794*$D1795</f>
        <v>62</v>
      </c>
      <c r="J1795" s="1693">
        <f t="shared" si="320"/>
        <v>31</v>
      </c>
      <c r="K1795" s="1693">
        <f t="shared" si="320"/>
        <v>1</v>
      </c>
      <c r="L1795" s="1693">
        <f t="shared" si="320"/>
        <v>15</v>
      </c>
      <c r="M1795" s="1693">
        <f t="shared" si="320"/>
        <v>8</v>
      </c>
      <c r="N1795" s="1693">
        <f t="shared" si="320"/>
        <v>4</v>
      </c>
      <c r="O1795" s="1693">
        <f t="shared" si="320"/>
        <v>2</v>
      </c>
      <c r="P1795" s="1693">
        <f t="shared" si="320"/>
        <v>1</v>
      </c>
      <c r="Q1795" s="1693">
        <f t="shared" si="320"/>
        <v>0</v>
      </c>
      <c r="R1795" s="1693">
        <f t="shared" si="320"/>
        <v>0</v>
      </c>
      <c r="S1795" s="989"/>
      <c r="T1795" s="1862">
        <f>IFERROR(HLOOKUP(B1795,pp3p1m!$1:$3,3,0),0)</f>
        <v>0</v>
      </c>
    </row>
    <row r="1796" spans="1:20" ht="22.2" customHeight="1">
      <c r="A1796" s="1448">
        <f>COUNTIF($C$12:C1796,"x")</f>
        <v>102</v>
      </c>
      <c r="B1796" s="1455" t="s">
        <v>4966</v>
      </c>
      <c r="C1796" s="970" t="str">
        <f t="shared" si="310"/>
        <v>x</v>
      </c>
      <c r="D1796" s="1415">
        <v>1</v>
      </c>
      <c r="E1796" s="980"/>
      <c r="F1796" s="992" t="str">
        <f>VLOOKUP($B1796,DG!A:D,DG!$C$2,)</f>
        <v>Boulon 16x550+ long đền vuông D18-50x50x3/Zn</v>
      </c>
      <c r="G1796" s="980" t="str">
        <f>VLOOKUP($B1796,DG!A:D,DG!$D$2,)</f>
        <v>bộ</v>
      </c>
      <c r="H1796" s="1693">
        <f>H$1794*$D1796</f>
        <v>1</v>
      </c>
      <c r="I1796" s="1693">
        <f t="shared" si="320"/>
        <v>62</v>
      </c>
      <c r="J1796" s="1693">
        <f t="shared" si="320"/>
        <v>31</v>
      </c>
      <c r="K1796" s="1693">
        <f t="shared" si="320"/>
        <v>1</v>
      </c>
      <c r="L1796" s="1693">
        <f t="shared" si="320"/>
        <v>15</v>
      </c>
      <c r="M1796" s="1693">
        <f t="shared" si="320"/>
        <v>8</v>
      </c>
      <c r="N1796" s="1693">
        <f t="shared" si="320"/>
        <v>4</v>
      </c>
      <c r="O1796" s="1693">
        <f t="shared" si="320"/>
        <v>2</v>
      </c>
      <c r="P1796" s="1693">
        <f t="shared" si="320"/>
        <v>1</v>
      </c>
      <c r="Q1796" s="1693">
        <f t="shared" si="320"/>
        <v>0</v>
      </c>
      <c r="R1796" s="1693">
        <f t="shared" si="320"/>
        <v>0</v>
      </c>
      <c r="S1796" s="989"/>
      <c r="T1796" s="1862">
        <f>IFERROR(HLOOKUP(B1796,pp3p1m!$1:$3,3,0),0)</f>
        <v>0</v>
      </c>
    </row>
    <row r="1797" spans="1:20" ht="22.2" hidden="1" customHeight="1">
      <c r="A1797" s="1448">
        <f>COUNTIF($C$12:C1797,"x")</f>
        <v>102</v>
      </c>
      <c r="B1797" s="1472" t="s">
        <v>2536</v>
      </c>
      <c r="C1797" s="970" t="str">
        <f t="shared" si="310"/>
        <v xml:space="preserve"> </v>
      </c>
      <c r="D1797" s="1428"/>
      <c r="E1797" s="980"/>
      <c r="F1797" s="998" t="s">
        <v>2537</v>
      </c>
      <c r="G1797" s="999" t="s">
        <v>2439</v>
      </c>
      <c r="H1797" s="1691">
        <f>K1797</f>
        <v>0</v>
      </c>
      <c r="I1797" s="1693"/>
      <c r="J1797" s="1693"/>
      <c r="K1797" s="1692">
        <f>IFERROR(HLOOKUP(B1797,pp3p1m!$1:$3,2,0),0)</f>
        <v>0</v>
      </c>
      <c r="L1797" s="1693"/>
      <c r="M1797" s="1693"/>
      <c r="N1797" s="1693"/>
      <c r="O1797" s="1693"/>
      <c r="P1797" s="2674">
        <f>T1797</f>
        <v>0</v>
      </c>
      <c r="Q1797" s="983">
        <f>IF(P1797&gt;H1797,P1797-H1797,0)</f>
        <v>0</v>
      </c>
      <c r="R1797" s="983">
        <f>IF(H1797&gt;P1797,H1797-P1797,0)</f>
        <v>0</v>
      </c>
      <c r="S1797" s="989"/>
      <c r="T1797" s="1862">
        <f>IFERROR(HLOOKUP(B1797,pp3p1m!$1:$3,3,0),0)</f>
        <v>0</v>
      </c>
    </row>
    <row r="1798" spans="1:20" ht="22.2" hidden="1" customHeight="1">
      <c r="A1798" s="1448">
        <f>COUNTIF($C$12:C1798,"x")</f>
        <v>102</v>
      </c>
      <c r="B1798" s="1455" t="s">
        <v>1909</v>
      </c>
      <c r="C1798" s="970" t="str">
        <f t="shared" si="310"/>
        <v xml:space="preserve"> </v>
      </c>
      <c r="D1798" s="1415">
        <f>D1797</f>
        <v>0</v>
      </c>
      <c r="E1798" s="980"/>
      <c r="F1798" s="992" t="str">
        <f>VLOOKUP($B1798,DG!A:D,DG!$C$2,)</f>
        <v>Uclevis + sứ ống chỉ</v>
      </c>
      <c r="G1798" s="980" t="str">
        <f>VLOOKUP($B1798,DG!A:D,DG!$D$2,)</f>
        <v>bộ</v>
      </c>
      <c r="H1798" s="1693">
        <f>$D1798</f>
        <v>0</v>
      </c>
      <c r="I1798" s="1693"/>
      <c r="J1798" s="1693"/>
      <c r="K1798" s="1693">
        <f>D1798</f>
        <v>0</v>
      </c>
      <c r="L1798" s="1693"/>
      <c r="M1798" s="1693"/>
      <c r="N1798" s="1693"/>
      <c r="O1798" s="1693"/>
      <c r="P1798" s="1693">
        <f t="shared" si="313"/>
        <v>0</v>
      </c>
      <c r="Q1798" s="989"/>
      <c r="R1798" s="989"/>
      <c r="S1798" s="989"/>
      <c r="T1798" s="1862">
        <f>IFERROR(HLOOKUP(B1798,pp3p1m!$1:$3,3,0),0)</f>
        <v>0</v>
      </c>
    </row>
    <row r="1799" spans="1:20" ht="22.2" hidden="1" customHeight="1">
      <c r="A1799" s="1448">
        <f>COUNTIF($C$12:C1799,"x")</f>
        <v>102</v>
      </c>
      <c r="B1799" s="1455" t="s">
        <v>802</v>
      </c>
      <c r="C1799" s="970" t="str">
        <f t="shared" si="310"/>
        <v xml:space="preserve"> </v>
      </c>
      <c r="D1799" s="1415">
        <f>D1797</f>
        <v>0</v>
      </c>
      <c r="E1799" s="980"/>
      <c r="F1799" s="992" t="str">
        <f>VLOOKUP($B1799,DG!A:D,DG!$C$2,)</f>
        <v>Boulon 16x100+ 2 long đền vuông D18-50x50x3/Zn</v>
      </c>
      <c r="G1799" s="980" t="str">
        <f>VLOOKUP($B1799,DG!A:D,DG!$D$2,)</f>
        <v>bộ</v>
      </c>
      <c r="H1799" s="1693">
        <f>$D1799</f>
        <v>0</v>
      </c>
      <c r="I1799" s="1693"/>
      <c r="J1799" s="1693"/>
      <c r="K1799" s="1693">
        <f>D1799</f>
        <v>0</v>
      </c>
      <c r="L1799" s="1693"/>
      <c r="M1799" s="1693"/>
      <c r="N1799" s="1693"/>
      <c r="O1799" s="1693"/>
      <c r="P1799" s="1693">
        <f t="shared" si="313"/>
        <v>0</v>
      </c>
      <c r="Q1799" s="989"/>
      <c r="R1799" s="989"/>
      <c r="S1799" s="989"/>
      <c r="T1799" s="1862">
        <f>IFERROR(HLOOKUP(B1799,pp3p1m!$1:$3,3,0),0)</f>
        <v>0</v>
      </c>
    </row>
    <row r="1800" spans="1:20" ht="22.2" hidden="1" customHeight="1">
      <c r="A1800" s="1448">
        <f>COUNTIF($C$12:C1800,"x")</f>
        <v>102</v>
      </c>
      <c r="B1800" s="1472" t="s">
        <v>1621</v>
      </c>
      <c r="C1800" s="970" t="str">
        <f t="shared" si="310"/>
        <v xml:space="preserve"> </v>
      </c>
      <c r="D1800" s="1428"/>
      <c r="E1800" s="980"/>
      <c r="F1800" s="998" t="s">
        <v>2501</v>
      </c>
      <c r="G1800" s="999" t="s">
        <v>2439</v>
      </c>
      <c r="H1800" s="1691">
        <f>K1800</f>
        <v>0</v>
      </c>
      <c r="I1800" s="1693"/>
      <c r="J1800" s="1693"/>
      <c r="K1800" s="1692">
        <f>IFERROR(HLOOKUP(B1800,pp3p1m!$1:$3,2,0),0)</f>
        <v>0</v>
      </c>
      <c r="L1800" s="1693"/>
      <c r="M1800" s="1693"/>
      <c r="N1800" s="1693"/>
      <c r="O1800" s="1693"/>
      <c r="P1800" s="2674">
        <f>T1800</f>
        <v>0</v>
      </c>
      <c r="Q1800" s="983">
        <f>IF(P1800&gt;H1800,P1800-H1800,0)</f>
        <v>0</v>
      </c>
      <c r="R1800" s="983">
        <f>IF(H1800&gt;P1800,H1800-P1800,0)</f>
        <v>0</v>
      </c>
      <c r="S1800" s="989"/>
      <c r="T1800" s="1862">
        <f>IFERROR(HLOOKUP(B1800,pp3p1m!$1:$3,3,0),0)</f>
        <v>0</v>
      </c>
    </row>
    <row r="1801" spans="1:20" ht="22.2" hidden="1" customHeight="1">
      <c r="A1801" s="1448">
        <f>COUNTIF($C$12:C1801,"x")</f>
        <v>102</v>
      </c>
      <c r="B1801" s="1455" t="s">
        <v>1909</v>
      </c>
      <c r="C1801" s="970" t="str">
        <f t="shared" ref="C1801:C1901" si="321">IF(OR(P1801&lt;&gt;0,H1801&lt;&gt;0),"x"," ")</f>
        <v xml:space="preserve"> </v>
      </c>
      <c r="D1801" s="1415">
        <f>D1800</f>
        <v>0</v>
      </c>
      <c r="E1801" s="980"/>
      <c r="F1801" s="992" t="str">
        <f>VLOOKUP($B1801,DG!A:D,DG!$C$2,)</f>
        <v>Uclevis + sứ ống chỉ</v>
      </c>
      <c r="G1801" s="980" t="str">
        <f>VLOOKUP($B1801,DG!A:D,DG!$D$2,)</f>
        <v>bộ</v>
      </c>
      <c r="H1801" s="1693">
        <f>$D1801</f>
        <v>0</v>
      </c>
      <c r="I1801" s="1693"/>
      <c r="J1801" s="1693"/>
      <c r="K1801" s="1693">
        <f>D1801</f>
        <v>0</v>
      </c>
      <c r="L1801" s="1693"/>
      <c r="M1801" s="1693"/>
      <c r="N1801" s="1693"/>
      <c r="O1801" s="1693"/>
      <c r="P1801" s="1693">
        <f t="shared" si="313"/>
        <v>0</v>
      </c>
      <c r="Q1801" s="989"/>
      <c r="R1801" s="989"/>
      <c r="S1801" s="989"/>
      <c r="T1801" s="1862">
        <f>IFERROR(HLOOKUP(B1801,pp3p1m!$1:$3,3,0),0)</f>
        <v>0</v>
      </c>
    </row>
    <row r="1802" spans="1:20" ht="22.2" hidden="1" customHeight="1">
      <c r="A1802" s="1448">
        <f>COUNTIF($C$12:C1802,"x")</f>
        <v>102</v>
      </c>
      <c r="B1802" s="1455" t="s">
        <v>1610</v>
      </c>
      <c r="C1802" s="970" t="str">
        <f t="shared" si="321"/>
        <v xml:space="preserve"> </v>
      </c>
      <c r="D1802" s="1415">
        <f>D1800</f>
        <v>0</v>
      </c>
      <c r="E1802" s="980"/>
      <c r="F1802" s="992" t="str">
        <f>VLOOKUP($B1802,DG!A:D,DG!$C$2,)</f>
        <v>Boulon 16x300+ 2 long đền vuông D18-50x50x3/Zn</v>
      </c>
      <c r="G1802" s="980" t="str">
        <f>VLOOKUP($B1802,DG!A:D,DG!$D$2,)</f>
        <v>bộ</v>
      </c>
      <c r="H1802" s="1693">
        <f>$D1802</f>
        <v>0</v>
      </c>
      <c r="I1802" s="1693"/>
      <c r="J1802" s="1693"/>
      <c r="K1802" s="1693">
        <f>D1802</f>
        <v>0</v>
      </c>
      <c r="L1802" s="1693"/>
      <c r="M1802" s="1693"/>
      <c r="N1802" s="1693"/>
      <c r="O1802" s="1693"/>
      <c r="P1802" s="1693">
        <f t="shared" si="313"/>
        <v>0</v>
      </c>
      <c r="Q1802" s="989"/>
      <c r="R1802" s="989"/>
      <c r="S1802" s="989"/>
      <c r="T1802" s="1862">
        <f>IFERROR(HLOOKUP(B1802,pp3p1m!$1:$3,3,0),0)</f>
        <v>0</v>
      </c>
    </row>
    <row r="1803" spans="1:20" ht="22.2" hidden="1" customHeight="1">
      <c r="A1803" s="1448">
        <f>COUNTIF($C$12:C1803,"x")</f>
        <v>102</v>
      </c>
      <c r="B1803" s="1455" t="s">
        <v>905</v>
      </c>
      <c r="C1803" s="970" t="str">
        <f t="shared" si="321"/>
        <v xml:space="preserve"> </v>
      </c>
      <c r="D1803" s="1415">
        <f>D1800*2</f>
        <v>0</v>
      </c>
      <c r="E1803" s="980"/>
      <c r="F1803" s="992" t="str">
        <f>VLOOKUP($B1803,DG!A:D,DG!$C$2,)</f>
        <v>Kẹp ép WR cỡ dây 50mm2</v>
      </c>
      <c r="G1803" s="980" t="str">
        <f>VLOOKUP($B1803,DG!A:D,DG!$D$2,)</f>
        <v>cái</v>
      </c>
      <c r="H1803" s="1693">
        <f>$D1803</f>
        <v>0</v>
      </c>
      <c r="I1803" s="1693"/>
      <c r="J1803" s="1693"/>
      <c r="K1803" s="1693">
        <f>D1803</f>
        <v>0</v>
      </c>
      <c r="L1803" s="1693"/>
      <c r="M1803" s="1693"/>
      <c r="N1803" s="1693"/>
      <c r="O1803" s="1693"/>
      <c r="P1803" s="1693">
        <f t="shared" si="313"/>
        <v>0</v>
      </c>
      <c r="Q1803" s="989"/>
      <c r="R1803" s="989"/>
      <c r="S1803" s="989"/>
      <c r="T1803" s="1862">
        <f>IFERROR(HLOOKUP(B1803,pp3p1m!$1:$3,3,0),0)</f>
        <v>0</v>
      </c>
    </row>
    <row r="1804" spans="1:20" ht="22.2" customHeight="1">
      <c r="A1804" s="1448">
        <f>COUNTIF($C$12:C1804,"x")</f>
        <v>103</v>
      </c>
      <c r="B1804" s="1458" t="s">
        <v>1622</v>
      </c>
      <c r="C1804" s="1701" t="str">
        <f t="shared" si="321"/>
        <v>x</v>
      </c>
      <c r="D1804" s="1428"/>
      <c r="E1804" s="980"/>
      <c r="F1804" s="998" t="str">
        <f>VLOOKUP($B1804,DG!A:D,DG!$C$2,)</f>
        <v>Bộ khóa néo dây trung hòa vào trụ đơn</v>
      </c>
      <c r="G1804" s="999" t="s">
        <v>2439</v>
      </c>
      <c r="H1804" s="1691">
        <f>K1804</f>
        <v>6</v>
      </c>
      <c r="I1804" s="1691"/>
      <c r="J1804" s="1691"/>
      <c r="K1804" s="1691">
        <f>IFERROR(HLOOKUP(B1804,pp3p1m!$1:$3,2,0),0)</f>
        <v>6</v>
      </c>
      <c r="L1804" s="1691"/>
      <c r="M1804" s="1691"/>
      <c r="N1804" s="1691"/>
      <c r="O1804" s="1691"/>
      <c r="P1804" s="1691">
        <f>T1804</f>
        <v>6</v>
      </c>
      <c r="Q1804" s="1691">
        <f>IF(P1804&gt;H1804,P1804-H1804,0)</f>
        <v>0</v>
      </c>
      <c r="R1804" s="1691">
        <f>IF(H1804&gt;P1804,H1804-P1804,0)</f>
        <v>0</v>
      </c>
      <c r="S1804" s="989"/>
      <c r="T1804" s="1862">
        <f>IFERROR(HLOOKUP(B1804,pp3p1m!$1:$3,3,0),0)</f>
        <v>6</v>
      </c>
    </row>
    <row r="1805" spans="1:20" ht="22.2" customHeight="1">
      <c r="A1805" s="1448">
        <f>COUNTIF($C$12:C1805,"x")</f>
        <v>104</v>
      </c>
      <c r="B1805" s="1456" t="s">
        <v>904</v>
      </c>
      <c r="C1805" s="1701" t="str">
        <f t="shared" si="321"/>
        <v>x</v>
      </c>
      <c r="D1805" s="1415">
        <v>1</v>
      </c>
      <c r="E1805" s="980"/>
      <c r="F1805" s="992" t="str">
        <f>VLOOKUP($B1805,DG!A:D,DG!$C$2,)</f>
        <v>Khóa néo dây cỡ dây 50</v>
      </c>
      <c r="G1805" s="980" t="str">
        <f>VLOOKUP($B1805,DG!A:D,DG!$D$2,)</f>
        <v>cái</v>
      </c>
      <c r="H1805" s="1693">
        <f>H$1804*$D1805</f>
        <v>6</v>
      </c>
      <c r="I1805" s="1693">
        <f t="shared" ref="I1805:R1806" si="322">I$1804*$D1805</f>
        <v>0</v>
      </c>
      <c r="J1805" s="1693">
        <f t="shared" si="322"/>
        <v>0</v>
      </c>
      <c r="K1805" s="1693">
        <f t="shared" si="322"/>
        <v>6</v>
      </c>
      <c r="L1805" s="1693">
        <f t="shared" si="322"/>
        <v>0</v>
      </c>
      <c r="M1805" s="1693">
        <f t="shared" si="322"/>
        <v>0</v>
      </c>
      <c r="N1805" s="1693">
        <f t="shared" si="322"/>
        <v>0</v>
      </c>
      <c r="O1805" s="1693">
        <f t="shared" si="322"/>
        <v>0</v>
      </c>
      <c r="P1805" s="1693">
        <f t="shared" si="322"/>
        <v>6</v>
      </c>
      <c r="Q1805" s="1693">
        <f t="shared" si="322"/>
        <v>0</v>
      </c>
      <c r="R1805" s="1693">
        <f t="shared" si="322"/>
        <v>0</v>
      </c>
      <c r="S1805" s="989"/>
      <c r="T1805" s="1862">
        <f>IFERROR(HLOOKUP(B1805,pp3p1m!$1:$3,3,0),0)</f>
        <v>0</v>
      </c>
    </row>
    <row r="1806" spans="1:20" ht="22.2" customHeight="1">
      <c r="A1806" s="1448">
        <f>COUNTIF($C$12:C1806,"x")</f>
        <v>105</v>
      </c>
      <c r="B1806" s="1451" t="s">
        <v>417</v>
      </c>
      <c r="C1806" s="1701" t="str">
        <f t="shared" si="321"/>
        <v>x</v>
      </c>
      <c r="D1806" s="1415">
        <v>1</v>
      </c>
      <c r="E1806" s="980"/>
      <c r="F1806" s="992" t="str">
        <f>VLOOKUP($B1806,DG!A:D,DG!$C$2,)</f>
        <v>Boulon mắt 16x300+ 2 long đền vuông D18-50x50x3/Zn</v>
      </c>
      <c r="G1806" s="980" t="str">
        <f>VLOOKUP($B1806,DG!A:D,DG!$D$2,)</f>
        <v>bộ</v>
      </c>
      <c r="H1806" s="1693">
        <f>H$1804*$D1806</f>
        <v>6</v>
      </c>
      <c r="I1806" s="1693"/>
      <c r="J1806" s="1693"/>
      <c r="K1806" s="1693"/>
      <c r="L1806" s="1693"/>
      <c r="M1806" s="1693"/>
      <c r="N1806" s="1693"/>
      <c r="O1806" s="1695"/>
      <c r="P1806" s="1693">
        <f t="shared" si="322"/>
        <v>6</v>
      </c>
      <c r="Q1806" s="1693">
        <f t="shared" si="322"/>
        <v>0</v>
      </c>
      <c r="R1806" s="1693">
        <f t="shared" si="322"/>
        <v>0</v>
      </c>
      <c r="S1806" s="989"/>
      <c r="T1806" s="1862">
        <f>IFERROR(HLOOKUP(B1806,pp3p1m!$1:$3,3,0),0)</f>
        <v>0</v>
      </c>
    </row>
    <row r="1807" spans="1:20" ht="22.2" hidden="1" customHeight="1">
      <c r="A1807" s="1448">
        <f>COUNTIF($C$12:C1807,"x")</f>
        <v>105</v>
      </c>
      <c r="B1807" s="1455" t="s">
        <v>905</v>
      </c>
      <c r="C1807" s="970" t="str">
        <f t="shared" si="321"/>
        <v xml:space="preserve"> </v>
      </c>
      <c r="D1807" s="1415"/>
      <c r="E1807" s="980"/>
      <c r="F1807" s="992" t="str">
        <f>VLOOKUP($B1807,DG!A:D,DG!$C$2,)</f>
        <v>Kẹp ép WR cỡ dây 50mm2</v>
      </c>
      <c r="G1807" s="980" t="str">
        <f>VLOOKUP($B1807,DG!A:D,DG!$D$2,)</f>
        <v>cái</v>
      </c>
      <c r="H1807" s="1693">
        <f>$D1807</f>
        <v>0</v>
      </c>
      <c r="I1807" s="1693"/>
      <c r="J1807" s="1693"/>
      <c r="K1807" s="1693">
        <f>D1807</f>
        <v>0</v>
      </c>
      <c r="L1807" s="1693"/>
      <c r="M1807" s="1693"/>
      <c r="N1807" s="1693"/>
      <c r="O1807" s="1693"/>
      <c r="P1807" s="1693">
        <f t="shared" si="313"/>
        <v>0</v>
      </c>
      <c r="Q1807" s="989"/>
      <c r="R1807" s="989"/>
      <c r="S1807" s="989"/>
      <c r="T1807" s="1862">
        <f>IFERROR(HLOOKUP(B1807,pp3p1m!$1:$3,3,0),0)</f>
        <v>0</v>
      </c>
    </row>
    <row r="1808" spans="1:20" ht="22.2" customHeight="1">
      <c r="A1808" s="1448">
        <f>COUNTIF($C$12:C1808,"x")</f>
        <v>106</v>
      </c>
      <c r="B1808" s="1472" t="s">
        <v>534</v>
      </c>
      <c r="C1808" s="970" t="str">
        <f t="shared" si="321"/>
        <v>x</v>
      </c>
      <c r="D1808" s="1428"/>
      <c r="E1808" s="980"/>
      <c r="F1808" s="998" t="str">
        <f>VLOOKUP($B1808,DG!A:D,DG!$C$2,)</f>
        <v>Bộ khóa néo dây trung hòa vào trụ ghép</v>
      </c>
      <c r="G1808" s="999" t="s">
        <v>2439</v>
      </c>
      <c r="H1808" s="1691">
        <f>K1808</f>
        <v>14</v>
      </c>
      <c r="I1808" s="1693"/>
      <c r="J1808" s="1693"/>
      <c r="K1808" s="1692">
        <f>IFERROR(HLOOKUP(B1808,pp3p1m!$1:$3,2,0),0)</f>
        <v>14</v>
      </c>
      <c r="L1808" s="1693"/>
      <c r="M1808" s="1693"/>
      <c r="N1808" s="1693"/>
      <c r="O1808" s="1693"/>
      <c r="P1808" s="1691">
        <f>T1808</f>
        <v>14</v>
      </c>
      <c r="Q1808" s="983">
        <f>IF(P1808&gt;H1808,P1808-H1808,0)</f>
        <v>0</v>
      </c>
      <c r="R1808" s="983">
        <f>IF(H1808&gt;P1808,H1808-P1808,0)</f>
        <v>0</v>
      </c>
      <c r="S1808" s="989"/>
      <c r="T1808" s="1862">
        <f>IFERROR(HLOOKUP(B1808,pp3p1m!$1:$3,3,0),0)</f>
        <v>14</v>
      </c>
    </row>
    <row r="1809" spans="1:20" ht="22.2" customHeight="1">
      <c r="A1809" s="1448">
        <f>COUNTIF($C$12:C1809,"x")</f>
        <v>107</v>
      </c>
      <c r="B1809" s="1473" t="s">
        <v>1145</v>
      </c>
      <c r="C1809" s="970" t="str">
        <f t="shared" si="321"/>
        <v>x</v>
      </c>
      <c r="D1809" s="1415">
        <v>2</v>
      </c>
      <c r="E1809" s="980"/>
      <c r="F1809" s="992" t="str">
        <f>VLOOKUP($B1809,DG!A:D,DG!$C$2,)</f>
        <v>Khóa néo dây cỡ dây 70</v>
      </c>
      <c r="G1809" s="980" t="str">
        <f>VLOOKUP($B1809,DG!A:D,DG!$D$2,)</f>
        <v>cái</v>
      </c>
      <c r="H1809" s="1693">
        <f>H$1808*$D1809</f>
        <v>28</v>
      </c>
      <c r="I1809" s="1693"/>
      <c r="J1809" s="1693"/>
      <c r="K1809" s="1693">
        <f>D1809</f>
        <v>2</v>
      </c>
      <c r="L1809" s="1693"/>
      <c r="M1809" s="1693"/>
      <c r="N1809" s="1693"/>
      <c r="O1809" s="1693"/>
      <c r="P1809" s="1693">
        <f t="shared" si="313"/>
        <v>28</v>
      </c>
      <c r="Q1809" s="989"/>
      <c r="R1809" s="989"/>
      <c r="S1809" s="989"/>
      <c r="T1809" s="1862">
        <f>IFERROR(HLOOKUP(B1809,pp3p1m!$1:$3,3,0),0)</f>
        <v>0</v>
      </c>
    </row>
    <row r="1810" spans="1:20" ht="22.2" customHeight="1">
      <c r="A1810" s="1448">
        <f>COUNTIF($C$12:C1810,"x")</f>
        <v>108</v>
      </c>
      <c r="B1810" s="1659" t="s">
        <v>5073</v>
      </c>
      <c r="C1810" s="970" t="str">
        <f t="shared" si="321"/>
        <v>x</v>
      </c>
      <c r="D1810" s="1415">
        <v>1</v>
      </c>
      <c r="E1810" s="980"/>
      <c r="F1810" s="992" t="str">
        <f>VLOOKUP($B1810,DG!A:D,DG!$C$2,)</f>
        <v>Boulon mắt 16x550+ 1 long đền vuông D18-50x50x3/Zn</v>
      </c>
      <c r="G1810" s="980" t="str">
        <f>VLOOKUP($B1810,DG!A:D,DG!$D$2,)</f>
        <v>bộ</v>
      </c>
      <c r="H1810" s="1693">
        <f>$D1810</f>
        <v>1</v>
      </c>
      <c r="I1810" s="1693"/>
      <c r="J1810" s="1693"/>
      <c r="K1810" s="1693">
        <f>D1810</f>
        <v>1</v>
      </c>
      <c r="L1810" s="1693"/>
      <c r="M1810" s="1693"/>
      <c r="N1810" s="1693"/>
      <c r="O1810" s="1693"/>
      <c r="P1810" s="1693">
        <f t="shared" si="313"/>
        <v>1</v>
      </c>
      <c r="Q1810" s="989"/>
      <c r="R1810" s="989"/>
      <c r="S1810" s="989"/>
      <c r="T1810" s="1862">
        <f>IFERROR(HLOOKUP(B1810,pp3p1m!$1:$3,3,0),0)</f>
        <v>0</v>
      </c>
    </row>
    <row r="1811" spans="1:20" ht="22.2" hidden="1" customHeight="1">
      <c r="A1811" s="1448">
        <f>COUNTIF($C$12:C1811,"x")</f>
        <v>108</v>
      </c>
      <c r="B1811" s="1455" t="s">
        <v>905</v>
      </c>
      <c r="C1811" s="970" t="str">
        <f t="shared" si="321"/>
        <v xml:space="preserve"> </v>
      </c>
      <c r="D1811" s="1415">
        <f>D1808*2</f>
        <v>0</v>
      </c>
      <c r="E1811" s="980"/>
      <c r="F1811" s="992" t="str">
        <f>VLOOKUP($B1811,DG!A:D,DG!$C$2,)</f>
        <v>Kẹp ép WR cỡ dây 50mm2</v>
      </c>
      <c r="G1811" s="980" t="str">
        <f>VLOOKUP($B1811,DG!A:D,DG!$D$2,)</f>
        <v>cái</v>
      </c>
      <c r="H1811" s="1693">
        <f>$D1811</f>
        <v>0</v>
      </c>
      <c r="I1811" s="1693"/>
      <c r="J1811" s="1693"/>
      <c r="K1811" s="1693">
        <f>D1811</f>
        <v>0</v>
      </c>
      <c r="L1811" s="1693"/>
      <c r="M1811" s="1693"/>
      <c r="N1811" s="1693"/>
      <c r="O1811" s="1693"/>
      <c r="P1811" s="1693">
        <f t="shared" si="313"/>
        <v>0</v>
      </c>
      <c r="Q1811" s="989"/>
      <c r="R1811" s="989"/>
      <c r="S1811" s="989"/>
      <c r="T1811" s="1862">
        <f>IFERROR(HLOOKUP(B1811,pp3p1m!$1:$3,3,0),0)</f>
        <v>0</v>
      </c>
    </row>
    <row r="1812" spans="1:20" ht="22.2" hidden="1" customHeight="1">
      <c r="A1812" s="1448">
        <f>COUNTIF($C$12:C1812,"x")</f>
        <v>108</v>
      </c>
      <c r="B1812" s="1472" t="s">
        <v>2160</v>
      </c>
      <c r="C1812" s="970" t="str">
        <f t="shared" si="321"/>
        <v xml:space="preserve"> </v>
      </c>
      <c r="D1812" s="1428"/>
      <c r="E1812" s="980"/>
      <c r="F1812" s="998" t="str">
        <f>VLOOKUP($B1812,DG!A:D,DG!$C$2,)</f>
        <v>Bộ khóa néo dây trung hòa vào xà</v>
      </c>
      <c r="G1812" s="999" t="s">
        <v>2439</v>
      </c>
      <c r="H1812" s="1691">
        <f>K1812</f>
        <v>0</v>
      </c>
      <c r="I1812" s="1693"/>
      <c r="J1812" s="1693"/>
      <c r="K1812" s="1692">
        <f>IFERROR(HLOOKUP(B1812,pp3p1m!$1:$3,2,0),0)</f>
        <v>0</v>
      </c>
      <c r="L1812" s="1693"/>
      <c r="M1812" s="1693"/>
      <c r="N1812" s="1693"/>
      <c r="O1812" s="1693"/>
      <c r="P1812" s="2674">
        <f>T1812</f>
        <v>0</v>
      </c>
      <c r="Q1812" s="983">
        <f>IF(P1812&gt;H1812,P1812-H1812,0)</f>
        <v>0</v>
      </c>
      <c r="R1812" s="983">
        <f>IF(H1812&gt;P1812,H1812-P1812,0)</f>
        <v>0</v>
      </c>
      <c r="S1812" s="989"/>
      <c r="T1812" s="1862">
        <f>IFERROR(HLOOKUP(B1812,pp3p1m!$1:$3,3,0),0)</f>
        <v>0</v>
      </c>
    </row>
    <row r="1813" spans="1:20" ht="22.2" hidden="1" customHeight="1">
      <c r="A1813" s="1448">
        <f>COUNTIF($C$12:C1813,"x")</f>
        <v>108</v>
      </c>
      <c r="B1813" s="1473" t="s">
        <v>904</v>
      </c>
      <c r="C1813" s="970" t="str">
        <f t="shared" si="321"/>
        <v xml:space="preserve"> </v>
      </c>
      <c r="D1813" s="1415">
        <f>D1812</f>
        <v>0</v>
      </c>
      <c r="E1813" s="980"/>
      <c r="F1813" s="992" t="str">
        <f>VLOOKUP($B1813,DG!A:D,DG!$C$2,)</f>
        <v>Khóa néo dây cỡ dây 50</v>
      </c>
      <c r="G1813" s="980" t="str">
        <f>VLOOKUP($B1813,DG!A:D,DG!$D$2,)</f>
        <v>cái</v>
      </c>
      <c r="H1813" s="1693">
        <f>$D1813</f>
        <v>0</v>
      </c>
      <c r="I1813" s="1693"/>
      <c r="J1813" s="1693"/>
      <c r="K1813" s="1693">
        <f>D1813</f>
        <v>0</v>
      </c>
      <c r="L1813" s="1693"/>
      <c r="M1813" s="1693"/>
      <c r="N1813" s="1693"/>
      <c r="O1813" s="1693"/>
      <c r="P1813" s="1693">
        <f t="shared" si="313"/>
        <v>0</v>
      </c>
      <c r="Q1813" s="989"/>
      <c r="R1813" s="989"/>
      <c r="S1813" s="989"/>
      <c r="T1813" s="1862">
        <f>IFERROR(HLOOKUP(B1813,pp3p1m!$1:$3,3,0),0)</f>
        <v>0</v>
      </c>
    </row>
    <row r="1814" spans="1:20" ht="22.2" hidden="1" customHeight="1">
      <c r="A1814" s="1448">
        <f>COUNTIF($C$12:C1814,"x")</f>
        <v>108</v>
      </c>
      <c r="B1814" s="1455" t="s">
        <v>1486</v>
      </c>
      <c r="C1814" s="970" t="str">
        <f t="shared" si="321"/>
        <v xml:space="preserve"> </v>
      </c>
      <c r="D1814" s="1415">
        <f>D1812*2</f>
        <v>0</v>
      </c>
      <c r="E1814" s="980"/>
      <c r="F1814" s="992" t="str">
        <f>VLOOKUP($B1814,DG!A:D,DG!$C$2,)</f>
        <v xml:space="preserve">Móc treo chữ U </v>
      </c>
      <c r="G1814" s="980" t="str">
        <f>VLOOKUP($B1814,DG!A:D,DG!$D$2,)</f>
        <v>cái</v>
      </c>
      <c r="H1814" s="1693">
        <f>$D1814</f>
        <v>0</v>
      </c>
      <c r="I1814" s="1693"/>
      <c r="J1814" s="1693"/>
      <c r="K1814" s="1693">
        <f>D1814</f>
        <v>0</v>
      </c>
      <c r="L1814" s="1693"/>
      <c r="M1814" s="1693"/>
      <c r="N1814" s="1693"/>
      <c r="O1814" s="1693"/>
      <c r="P1814" s="1693">
        <f t="shared" si="313"/>
        <v>0</v>
      </c>
      <c r="Q1814" s="989"/>
      <c r="R1814" s="989"/>
      <c r="S1814" s="989"/>
      <c r="T1814" s="1862">
        <f>IFERROR(HLOOKUP(B1814,pp3p1m!$1:$3,3,0),0)</f>
        <v>0</v>
      </c>
    </row>
    <row r="1815" spans="1:20" ht="22.2" hidden="1" customHeight="1">
      <c r="A1815" s="1448">
        <f>COUNTIF($C$12:C1815,"x")</f>
        <v>108</v>
      </c>
      <c r="B1815" s="1455" t="s">
        <v>1579</v>
      </c>
      <c r="C1815" s="970" t="str">
        <f t="shared" si="321"/>
        <v xml:space="preserve"> </v>
      </c>
      <c r="D1815" s="1415">
        <f>D1812*2</f>
        <v>0</v>
      </c>
      <c r="E1815" s="980"/>
      <c r="F1815" s="992" t="str">
        <f>VLOOKUP($B1815,DG!A:D,DG!$C$2,)</f>
        <v>Kẹp ép WR cỡ dây 50mm2</v>
      </c>
      <c r="G1815" s="980" t="str">
        <f>VLOOKUP($B1815,DG!A:D,DG!$D$2,)</f>
        <v>cái</v>
      </c>
      <c r="H1815" s="1693">
        <f>$D1815</f>
        <v>0</v>
      </c>
      <c r="I1815" s="1693"/>
      <c r="J1815" s="1693"/>
      <c r="K1815" s="1693">
        <f>D1815</f>
        <v>0</v>
      </c>
      <c r="L1815" s="1693"/>
      <c r="M1815" s="1693"/>
      <c r="N1815" s="1693"/>
      <c r="O1815" s="1693"/>
      <c r="P1815" s="1693">
        <f t="shared" si="313"/>
        <v>0</v>
      </c>
      <c r="Q1815" s="989"/>
      <c r="R1815" s="989"/>
      <c r="S1815" s="989"/>
      <c r="T1815" s="1862">
        <f>IFERROR(HLOOKUP(B1815,pp3p1m!$1:$3,3,0),0)</f>
        <v>0</v>
      </c>
    </row>
    <row r="1816" spans="1:20" ht="22.2" customHeight="1">
      <c r="A1816" s="1448">
        <f>COUNTIF($C$12:C1816,"x")</f>
        <v>109</v>
      </c>
      <c r="B1816" s="1458" t="s">
        <v>2504</v>
      </c>
      <c r="C1816" s="1701" t="str">
        <f t="shared" si="321"/>
        <v>x</v>
      </c>
      <c r="D1816" s="1428"/>
      <c r="E1816" s="980"/>
      <c r="F1816" s="998" t="str">
        <f>VLOOKUP($B1816,DG!A:D,DG!$C$2,)</f>
        <v>Bộ cách điện đứng+ty sứ : SĐU</v>
      </c>
      <c r="G1816" s="980" t="s">
        <v>2439</v>
      </c>
      <c r="H1816" s="1691">
        <f>K1816</f>
        <v>154</v>
      </c>
      <c r="I1816" s="1691"/>
      <c r="J1816" s="1691"/>
      <c r="K1816" s="1691">
        <f>IFERROR(HLOOKUP(B1816,pp3p1m!$1:$3,2,0),0)</f>
        <v>154</v>
      </c>
      <c r="L1816" s="1691"/>
      <c r="M1816" s="1691"/>
      <c r="N1816" s="1691"/>
      <c r="O1816" s="1691"/>
      <c r="P1816" s="1691">
        <f>T1816</f>
        <v>154</v>
      </c>
      <c r="Q1816" s="1691">
        <f>IF(P1816&gt;H1816,P1816-H1816,0)</f>
        <v>0</v>
      </c>
      <c r="R1816" s="1691">
        <f>IF(H1816&gt;P1816,H1816-P1816,0)</f>
        <v>0</v>
      </c>
      <c r="S1816" s="989"/>
      <c r="T1816" s="1862">
        <f>IFERROR(HLOOKUP(B1816,pp3p1m!$1:$3,3,0),0)</f>
        <v>154</v>
      </c>
    </row>
    <row r="1817" spans="1:20" ht="22.2" customHeight="1">
      <c r="A1817" s="1448">
        <f>COUNTIF($C$12:C1817,"x")</f>
        <v>110</v>
      </c>
      <c r="B1817" s="1451" t="s">
        <v>696</v>
      </c>
      <c r="C1817" s="1701" t="str">
        <f t="shared" si="321"/>
        <v>x</v>
      </c>
      <c r="D1817" s="1415">
        <v>1</v>
      </c>
      <c r="E1817" s="980"/>
      <c r="F1817" s="992" t="str">
        <f>VLOOKUP($B1817,DG!A:D,DG!$C$2,)</f>
        <v xml:space="preserve">Sứ đứng 24KV </v>
      </c>
      <c r="G1817" s="980" t="str">
        <f>VLOOKUP($B1817,DG!A:D,DG!$D$2,)</f>
        <v>cái</v>
      </c>
      <c r="H1817" s="1693">
        <f>H$1816*$D1817</f>
        <v>154</v>
      </c>
      <c r="I1817" s="1788"/>
      <c r="J1817" s="1788"/>
      <c r="K1817" s="1788"/>
      <c r="L1817" s="1788">
        <f t="shared" ref="L1817:O1818" si="323">L$1816*H1817</f>
        <v>0</v>
      </c>
      <c r="M1817" s="1788">
        <f t="shared" si="323"/>
        <v>0</v>
      </c>
      <c r="N1817" s="1788">
        <f t="shared" si="323"/>
        <v>0</v>
      </c>
      <c r="O1817" s="1788">
        <f t="shared" si="323"/>
        <v>0</v>
      </c>
      <c r="P1817" s="1693">
        <f>P$1816*$D1817</f>
        <v>154</v>
      </c>
      <c r="Q1817" s="1693">
        <f t="shared" ref="Q1817:R1818" si="324">Q$1816*$D1817</f>
        <v>0</v>
      </c>
      <c r="R1817" s="1693">
        <f t="shared" si="324"/>
        <v>0</v>
      </c>
      <c r="S1817" s="989"/>
      <c r="T1817" s="1862">
        <f>IFERROR(HLOOKUP(B1817,pp3p1m!$1:$3,3,0),0)</f>
        <v>0</v>
      </c>
    </row>
    <row r="1818" spans="1:20" ht="22.2" customHeight="1">
      <c r="A1818" s="1448">
        <f>COUNTIF($C$12:C1818,"x")</f>
        <v>111</v>
      </c>
      <c r="B1818" s="1451" t="s">
        <v>1265</v>
      </c>
      <c r="C1818" s="1701" t="str">
        <f t="shared" si="321"/>
        <v>x</v>
      </c>
      <c r="D1818" s="1415">
        <v>1</v>
      </c>
      <c r="E1818" s="980"/>
      <c r="F1818" s="992" t="str">
        <f>VLOOKUP($B1818,DG!A:D,DG!$C$2,)</f>
        <v>Chân sứ đứng D20</v>
      </c>
      <c r="G1818" s="980" t="str">
        <f>VLOOKUP($B1818,DG!A:D,DG!$D$2,)</f>
        <v>cái</v>
      </c>
      <c r="H1818" s="1693">
        <f>H$1816*D1818</f>
        <v>154</v>
      </c>
      <c r="I1818" s="1788"/>
      <c r="J1818" s="1788"/>
      <c r="K1818" s="1788"/>
      <c r="L1818" s="1788">
        <f t="shared" si="323"/>
        <v>0</v>
      </c>
      <c r="M1818" s="1788">
        <f t="shared" si="323"/>
        <v>0</v>
      </c>
      <c r="N1818" s="1788">
        <f t="shared" si="323"/>
        <v>0</v>
      </c>
      <c r="O1818" s="1788">
        <f t="shared" si="323"/>
        <v>0</v>
      </c>
      <c r="P1818" s="1693">
        <f>P$1816*$D1818</f>
        <v>154</v>
      </c>
      <c r="Q1818" s="1693">
        <f t="shared" si="324"/>
        <v>0</v>
      </c>
      <c r="R1818" s="1693">
        <f t="shared" si="324"/>
        <v>0</v>
      </c>
      <c r="S1818" s="989"/>
      <c r="T1818" s="1862">
        <f>IFERROR(HLOOKUP(B1818,pp3p1m!$1:$3,3,0),0)</f>
        <v>0</v>
      </c>
    </row>
    <row r="1819" spans="1:20" ht="22.2" hidden="1" customHeight="1">
      <c r="A1819" s="1448">
        <f>COUNTIF($C$12:C1819,"x")</f>
        <v>111</v>
      </c>
      <c r="B1819" s="1472" t="s">
        <v>2506</v>
      </c>
      <c r="C1819" s="970" t="str">
        <f t="shared" si="321"/>
        <v xml:space="preserve"> </v>
      </c>
      <c r="D1819" s="1428" t="e">
        <f>pp3p1m!#REF!</f>
        <v>#REF!</v>
      </c>
      <c r="E1819" s="980"/>
      <c r="F1819" s="998" t="s">
        <v>2507</v>
      </c>
      <c r="G1819" s="999" t="s">
        <v>2439</v>
      </c>
      <c r="H1819" s="1691">
        <f>K1819</f>
        <v>0</v>
      </c>
      <c r="I1819" s="1693"/>
      <c r="J1819" s="1693"/>
      <c r="K1819" s="1692">
        <f>IFERROR(HLOOKUP(B1819,pp3p1m!$1:$3,2,0),0)</f>
        <v>0</v>
      </c>
      <c r="L1819" s="1693"/>
      <c r="M1819" s="1693"/>
      <c r="N1819" s="1693"/>
      <c r="O1819" s="1693"/>
      <c r="P1819" s="2674">
        <f>T1819</f>
        <v>0</v>
      </c>
      <c r="Q1819" s="983">
        <f>IF(P1819&gt;H1819,P1819-H1819,0)</f>
        <v>0</v>
      </c>
      <c r="R1819" s="983">
        <f>IF(H1819&gt;P1819,H1819-P1819,0)</f>
        <v>0</v>
      </c>
      <c r="S1819" s="989"/>
      <c r="T1819" s="1862">
        <f>IFERROR(HLOOKUP(B1819,pp3p1m!$1:$3,3,0),0)</f>
        <v>0</v>
      </c>
    </row>
    <row r="1820" spans="1:20" ht="22.2" hidden="1" customHeight="1">
      <c r="A1820" s="1448">
        <f>COUNTIF($C$12:C1820,"x")</f>
        <v>111</v>
      </c>
      <c r="B1820" s="1455" t="s">
        <v>696</v>
      </c>
      <c r="C1820" s="970" t="str">
        <f t="shared" si="321"/>
        <v xml:space="preserve"> </v>
      </c>
      <c r="D1820" s="1415"/>
      <c r="E1820" s="980"/>
      <c r="F1820" s="992" t="str">
        <f>VLOOKUP($B1820,DG!A:D,DG!$C$2,)</f>
        <v xml:space="preserve">Sứ đứng 24KV </v>
      </c>
      <c r="G1820" s="980" t="str">
        <f>VLOOKUP($B1820,DG!A:D,DG!$D$2,)</f>
        <v>cái</v>
      </c>
      <c r="H1820" s="1693">
        <f>$D1820</f>
        <v>0</v>
      </c>
      <c r="I1820" s="1693"/>
      <c r="J1820" s="1693"/>
      <c r="K1820" s="1693">
        <f>D1820</f>
        <v>0</v>
      </c>
      <c r="L1820" s="1693"/>
      <c r="M1820" s="1693"/>
      <c r="N1820" s="1693"/>
      <c r="O1820" s="1693"/>
      <c r="P1820" s="1693">
        <f t="shared" si="313"/>
        <v>0</v>
      </c>
      <c r="Q1820" s="989"/>
      <c r="R1820" s="989"/>
      <c r="S1820" s="989"/>
      <c r="T1820" s="1862">
        <f>IFERROR(HLOOKUP(B1820,pp3p1m!$1:$3,3,0),0)</f>
        <v>0</v>
      </c>
    </row>
    <row r="1821" spans="1:20" ht="22.2" hidden="1" customHeight="1">
      <c r="A1821" s="1448">
        <f>COUNTIF($C$12:C1821,"x")</f>
        <v>111</v>
      </c>
      <c r="B1821" s="1455" t="s">
        <v>1266</v>
      </c>
      <c r="C1821" s="970" t="str">
        <f t="shared" si="321"/>
        <v xml:space="preserve"> </v>
      </c>
      <c r="D1821" s="1415"/>
      <c r="E1821" s="980"/>
      <c r="F1821" s="992" t="str">
        <f>VLOOKUP($B1821,DG!A:D,DG!$C$2,)</f>
        <v>Chân sứ đỉnh thẳng dài 870mm</v>
      </c>
      <c r="G1821" s="980" t="str">
        <f>VLOOKUP($B1821,DG!A:D,DG!$D$2,)</f>
        <v>cái</v>
      </c>
      <c r="H1821" s="1693">
        <f>$D1821</f>
        <v>0</v>
      </c>
      <c r="I1821" s="1693"/>
      <c r="J1821" s="1693"/>
      <c r="K1821" s="1693">
        <f>D1821</f>
        <v>0</v>
      </c>
      <c r="L1821" s="1693"/>
      <c r="M1821" s="1693"/>
      <c r="N1821" s="1693"/>
      <c r="O1821" s="1693"/>
      <c r="P1821" s="1693">
        <f t="shared" si="313"/>
        <v>0</v>
      </c>
      <c r="Q1821" s="989"/>
      <c r="R1821" s="989"/>
      <c r="S1821" s="989"/>
      <c r="T1821" s="1862">
        <f>IFERROR(HLOOKUP(B1821,pp3p1m!$1:$3,3,0),0)</f>
        <v>0</v>
      </c>
    </row>
    <row r="1822" spans="1:20" ht="22.2" hidden="1" customHeight="1">
      <c r="A1822" s="1448">
        <f>COUNTIF($C$12:C1822,"x")</f>
        <v>111</v>
      </c>
      <c r="B1822" s="1455" t="s">
        <v>1609</v>
      </c>
      <c r="C1822" s="970" t="str">
        <f t="shared" si="321"/>
        <v xml:space="preserve"> </v>
      </c>
      <c r="D1822" s="1415"/>
      <c r="E1822" s="980"/>
      <c r="F1822" s="992" t="str">
        <f>VLOOKUP($B1822,DG!A:D,DG!$C$2,)</f>
        <v>Boulon 16x250+ 2 long đền vuông D18-50x50x3/Zn</v>
      </c>
      <c r="G1822" s="980" t="str">
        <f>VLOOKUP($B1822,DG!A:D,DG!$D$2,)</f>
        <v>bộ</v>
      </c>
      <c r="H1822" s="1693">
        <f>$D1822</f>
        <v>0</v>
      </c>
      <c r="I1822" s="1693"/>
      <c r="J1822" s="1693"/>
      <c r="K1822" s="1693">
        <f>D1822</f>
        <v>0</v>
      </c>
      <c r="L1822" s="1693"/>
      <c r="M1822" s="1693"/>
      <c r="N1822" s="1693"/>
      <c r="O1822" s="1693"/>
      <c r="P1822" s="1693">
        <f t="shared" si="313"/>
        <v>0</v>
      </c>
      <c r="Q1822" s="989"/>
      <c r="R1822" s="989"/>
      <c r="S1822" s="989"/>
      <c r="T1822" s="1862">
        <f>IFERROR(HLOOKUP(B1822,pp3p1m!$1:$3,3,0),0)</f>
        <v>0</v>
      </c>
    </row>
    <row r="1823" spans="1:20" ht="22.2" hidden="1" customHeight="1">
      <c r="A1823" s="1448">
        <f>COUNTIF($C$12:C1823,"x")</f>
        <v>111</v>
      </c>
      <c r="B1823" s="1474" t="s">
        <v>2508</v>
      </c>
      <c r="C1823" s="970" t="str">
        <f t="shared" si="321"/>
        <v xml:space="preserve"> </v>
      </c>
      <c r="D1823" s="1429"/>
      <c r="E1823" s="984"/>
      <c r="F1823" s="998" t="s">
        <v>2509</v>
      </c>
      <c r="G1823" s="1216" t="s">
        <v>2439</v>
      </c>
      <c r="H1823" s="1691">
        <f>K1823</f>
        <v>0</v>
      </c>
      <c r="I1823" s="1694"/>
      <c r="J1823" s="1694"/>
      <c r="K1823" s="1692">
        <f>IFERROR(HLOOKUP(B1823,pp3p1m!$1:$3,2,0),0)</f>
        <v>0</v>
      </c>
      <c r="L1823" s="1694"/>
      <c r="M1823" s="1694"/>
      <c r="N1823" s="1694"/>
      <c r="O1823" s="1694"/>
      <c r="P1823" s="2674">
        <f>T1823</f>
        <v>0</v>
      </c>
      <c r="Q1823" s="983">
        <f>IF(P1823&gt;H1823,P1823-H1823,0)</f>
        <v>0</v>
      </c>
      <c r="R1823" s="983">
        <f>IF(H1823&gt;P1823,H1823-P1823,0)</f>
        <v>0</v>
      </c>
      <c r="S1823" s="989"/>
      <c r="T1823" s="1862">
        <f>IFERROR(HLOOKUP(B1823,pp3p1m!$1:$3,3,0),0)</f>
        <v>0</v>
      </c>
    </row>
    <row r="1824" spans="1:20" ht="22.2" hidden="1" customHeight="1">
      <c r="A1824" s="1448">
        <f>COUNTIF($C$12:C1824,"x")</f>
        <v>111</v>
      </c>
      <c r="B1824" s="1455" t="s">
        <v>696</v>
      </c>
      <c r="C1824" s="970" t="str">
        <f t="shared" si="321"/>
        <v xml:space="preserve"> </v>
      </c>
      <c r="D1824" s="1418">
        <f>D1823*2</f>
        <v>0</v>
      </c>
      <c r="E1824" s="984"/>
      <c r="F1824" s="992" t="str">
        <f>VLOOKUP($B1824,DG!A:D,DG!$C$2,)</f>
        <v xml:space="preserve">Sứ đứng 24KV </v>
      </c>
      <c r="G1824" s="980" t="str">
        <f>VLOOKUP($B1824,DG!A:D,DG!$D$2,)</f>
        <v>cái</v>
      </c>
      <c r="H1824" s="1693">
        <f>$D1824</f>
        <v>0</v>
      </c>
      <c r="I1824" s="1694"/>
      <c r="J1824" s="1694"/>
      <c r="K1824" s="1693">
        <f>D1824</f>
        <v>0</v>
      </c>
      <c r="L1824" s="1694"/>
      <c r="M1824" s="1694"/>
      <c r="N1824" s="1694"/>
      <c r="O1824" s="1694"/>
      <c r="P1824" s="1693">
        <f t="shared" si="313"/>
        <v>0</v>
      </c>
      <c r="Q1824" s="989"/>
      <c r="R1824" s="989"/>
      <c r="S1824" s="989"/>
      <c r="T1824" s="1862">
        <f>IFERROR(HLOOKUP(B1824,pp3p1m!$1:$3,3,0),0)</f>
        <v>0</v>
      </c>
    </row>
    <row r="1825" spans="1:20" ht="22.2" hidden="1" customHeight="1">
      <c r="A1825" s="1448">
        <f>COUNTIF($C$12:C1825,"x")</f>
        <v>111</v>
      </c>
      <c r="B1825" s="1455" t="s">
        <v>590</v>
      </c>
      <c r="C1825" s="970" t="str">
        <f t="shared" si="321"/>
        <v xml:space="preserve"> </v>
      </c>
      <c r="D1825" s="1418">
        <f>D1823*2</f>
        <v>0</v>
      </c>
      <c r="E1825" s="984"/>
      <c r="F1825" s="992" t="str">
        <f>VLOOKUP($B1825,DG!A:D,DG!$C$2,)</f>
        <v>Chân sứ đỉnh đỡ góc dài 870mm</v>
      </c>
      <c r="G1825" s="980" t="str">
        <f>VLOOKUP($B1825,DG!A:D,DG!$D$2,)</f>
        <v>cái</v>
      </c>
      <c r="H1825" s="1693">
        <f>$D1825</f>
        <v>0</v>
      </c>
      <c r="I1825" s="1694"/>
      <c r="J1825" s="1694"/>
      <c r="K1825" s="1693">
        <f>D1825</f>
        <v>0</v>
      </c>
      <c r="L1825" s="1694"/>
      <c r="M1825" s="1694"/>
      <c r="N1825" s="1694"/>
      <c r="O1825" s="1694"/>
      <c r="P1825" s="1693">
        <f t="shared" si="313"/>
        <v>0</v>
      </c>
      <c r="Q1825" s="989"/>
      <c r="R1825" s="989"/>
      <c r="S1825" s="989"/>
      <c r="T1825" s="1862">
        <f>IFERROR(HLOOKUP(B1825,pp3p1m!$1:$3,3,0),0)</f>
        <v>0</v>
      </c>
    </row>
    <row r="1826" spans="1:20" ht="22.2" hidden="1" customHeight="1">
      <c r="A1826" s="1448">
        <f>COUNTIF($C$12:C1826,"x")</f>
        <v>111</v>
      </c>
      <c r="B1826" s="1455" t="s">
        <v>1609</v>
      </c>
      <c r="C1826" s="970" t="str">
        <f t="shared" si="321"/>
        <v xml:space="preserve"> </v>
      </c>
      <c r="D1826" s="1418"/>
      <c r="E1826" s="984"/>
      <c r="F1826" s="992" t="str">
        <f>VLOOKUP($B1826,DG!A:D,DG!$C$2,)</f>
        <v>Boulon 16x250+ 2 long đền vuông D18-50x50x3/Zn</v>
      </c>
      <c r="G1826" s="980" t="str">
        <f>VLOOKUP($B1826,DG!A:D,DG!$D$2,)</f>
        <v>bộ</v>
      </c>
      <c r="H1826" s="1693">
        <f>$D1826</f>
        <v>0</v>
      </c>
      <c r="I1826" s="1694"/>
      <c r="J1826" s="1694"/>
      <c r="K1826" s="1693">
        <f>D1826</f>
        <v>0</v>
      </c>
      <c r="L1826" s="1694"/>
      <c r="M1826" s="1694"/>
      <c r="N1826" s="1694"/>
      <c r="O1826" s="1694"/>
      <c r="P1826" s="1693">
        <f t="shared" si="313"/>
        <v>0</v>
      </c>
      <c r="Q1826" s="989"/>
      <c r="R1826" s="989"/>
      <c r="S1826" s="989"/>
      <c r="T1826" s="1862">
        <f>IFERROR(HLOOKUP(B1826,pp3p1m!$1:$3,3,0),0)</f>
        <v>0</v>
      </c>
    </row>
    <row r="1827" spans="1:20" ht="22.2" hidden="1" customHeight="1">
      <c r="A1827" s="1448">
        <f>COUNTIF($C$12:C1827,"x")</f>
        <v>111</v>
      </c>
      <c r="B1827" s="1472" t="s">
        <v>2510</v>
      </c>
      <c r="C1827" s="970" t="str">
        <f t="shared" si="321"/>
        <v xml:space="preserve"> </v>
      </c>
      <c r="D1827" s="1428"/>
      <c r="E1827" s="980"/>
      <c r="F1827" s="998" t="s">
        <v>2528</v>
      </c>
      <c r="G1827" s="999" t="s">
        <v>2512</v>
      </c>
      <c r="H1827" s="1691">
        <f>K1827</f>
        <v>0</v>
      </c>
      <c r="I1827" s="1693"/>
      <c r="J1827" s="1693"/>
      <c r="K1827" s="1692">
        <f>IFERROR(HLOOKUP(B1827,pp3p1m!$1:$3,2,0),0)</f>
        <v>0</v>
      </c>
      <c r="L1827" s="1693"/>
      <c r="M1827" s="1693"/>
      <c r="N1827" s="1693"/>
      <c r="O1827" s="1693"/>
      <c r="P1827" s="2674">
        <f>T1827</f>
        <v>0</v>
      </c>
      <c r="Q1827" s="983">
        <f>IF(P1827&gt;H1827,P1827-H1827,0)</f>
        <v>0</v>
      </c>
      <c r="R1827" s="983">
        <f>IF(H1827&gt;P1827,H1827-P1827,0)</f>
        <v>0</v>
      </c>
      <c r="S1827" s="989"/>
      <c r="T1827" s="1862">
        <f>IFERROR(HLOOKUP(B1827,pp3p1m!$1:$3,3,0),0)</f>
        <v>0</v>
      </c>
    </row>
    <row r="1828" spans="1:20" ht="22.2" hidden="1" customHeight="1">
      <c r="A1828" s="1448">
        <f>COUNTIF($C$12:C1828,"x")</f>
        <v>111</v>
      </c>
      <c r="B1828" s="1455" t="s">
        <v>1267</v>
      </c>
      <c r="C1828" s="970" t="str">
        <f t="shared" si="321"/>
        <v xml:space="preserve"> </v>
      </c>
      <c r="D1828" s="1415">
        <f>D1827*2</f>
        <v>0</v>
      </c>
      <c r="E1828" s="980"/>
      <c r="F1828" s="992" t="str">
        <f>VLOOKUP($B1828,DG!A:D,DG!$C$2,)</f>
        <v>Sứ treo loại 70kN</v>
      </c>
      <c r="G1828" s="980" t="str">
        <f>VLOOKUP($B1828,DG!A:D,DG!$D$2,)</f>
        <v>bát</v>
      </c>
      <c r="H1828" s="1693">
        <f>$D1828</f>
        <v>0</v>
      </c>
      <c r="I1828" s="1693"/>
      <c r="J1828" s="1693"/>
      <c r="K1828" s="1693">
        <f>D1828</f>
        <v>0</v>
      </c>
      <c r="L1828" s="1693"/>
      <c r="M1828" s="1693"/>
      <c r="N1828" s="1693"/>
      <c r="O1828" s="1693"/>
      <c r="P1828" s="1693">
        <f t="shared" si="313"/>
        <v>0</v>
      </c>
      <c r="Q1828" s="989"/>
      <c r="R1828" s="989"/>
      <c r="S1828" s="989"/>
      <c r="T1828" s="1862">
        <f>IFERROR(HLOOKUP(B1828,pp3p1m!$1:$3,3,0),0)</f>
        <v>0</v>
      </c>
    </row>
    <row r="1829" spans="1:20" ht="22.2" hidden="1" customHeight="1">
      <c r="A1829" s="1448">
        <f>COUNTIF($C$12:C1829,"x")</f>
        <v>111</v>
      </c>
      <c r="B1829" s="1455" t="s">
        <v>1486</v>
      </c>
      <c r="C1829" s="970" t="str">
        <f t="shared" si="321"/>
        <v xml:space="preserve"> </v>
      </c>
      <c r="D1829" s="1415">
        <f>D1827*2</f>
        <v>0</v>
      </c>
      <c r="E1829" s="980"/>
      <c r="F1829" s="992" t="str">
        <f>VLOOKUP($B1829,DG!A:D,DG!$C$2,)</f>
        <v xml:space="preserve">Móc treo chữ U </v>
      </c>
      <c r="G1829" s="980" t="str">
        <f>VLOOKUP($B1829,DG!A:D,DG!$D$2,)</f>
        <v>cái</v>
      </c>
      <c r="H1829" s="1693">
        <f>$D1829</f>
        <v>0</v>
      </c>
      <c r="I1829" s="1693"/>
      <c r="J1829" s="1693"/>
      <c r="K1829" s="1693">
        <f>D1829</f>
        <v>0</v>
      </c>
      <c r="L1829" s="1693"/>
      <c r="M1829" s="1693"/>
      <c r="N1829" s="1693"/>
      <c r="O1829" s="1693"/>
      <c r="P1829" s="1693">
        <f t="shared" si="313"/>
        <v>0</v>
      </c>
      <c r="Q1829" s="989"/>
      <c r="R1829" s="989"/>
      <c r="S1829" s="989"/>
      <c r="T1829" s="1862">
        <f>IFERROR(HLOOKUP(B1829,pp3p1m!$1:$3,3,0),0)</f>
        <v>0</v>
      </c>
    </row>
    <row r="1830" spans="1:20" ht="22.2" hidden="1" customHeight="1">
      <c r="A1830" s="1448">
        <f>COUNTIF($C$12:C1830,"x")</f>
        <v>111</v>
      </c>
      <c r="B1830" s="1455" t="s">
        <v>1569</v>
      </c>
      <c r="C1830" s="970" t="str">
        <f t="shared" si="321"/>
        <v xml:space="preserve"> </v>
      </c>
      <c r="D1830" s="1415">
        <f>D1827</f>
        <v>0</v>
      </c>
      <c r="E1830" s="980"/>
      <c r="F1830" s="992" t="str">
        <f>VLOOKUP($B1830,DG!A:D,DG!$C$2,)</f>
        <v>Vòng treo đầu tròn</v>
      </c>
      <c r="G1830" s="980" t="str">
        <f>VLOOKUP($B1830,DG!A:D,DG!$D$2,)</f>
        <v>cái</v>
      </c>
      <c r="H1830" s="1693">
        <f>$D1830</f>
        <v>0</v>
      </c>
      <c r="I1830" s="1693"/>
      <c r="J1830" s="1693"/>
      <c r="K1830" s="1693">
        <f>D1830</f>
        <v>0</v>
      </c>
      <c r="L1830" s="1693"/>
      <c r="M1830" s="1693"/>
      <c r="N1830" s="1693"/>
      <c r="O1830" s="1693"/>
      <c r="P1830" s="1693">
        <f t="shared" si="313"/>
        <v>0</v>
      </c>
      <c r="Q1830" s="989"/>
      <c r="R1830" s="989"/>
      <c r="S1830" s="989"/>
      <c r="T1830" s="1862">
        <f>IFERROR(HLOOKUP(B1830,pp3p1m!$1:$3,3,0),0)</f>
        <v>0</v>
      </c>
    </row>
    <row r="1831" spans="1:20" ht="22.2" hidden="1" customHeight="1">
      <c r="A1831" s="1448">
        <f>COUNTIF($C$12:C1831,"x")</f>
        <v>111</v>
      </c>
      <c r="B1831" s="1455" t="s">
        <v>1484</v>
      </c>
      <c r="C1831" s="970" t="str">
        <f t="shared" si="321"/>
        <v xml:space="preserve"> </v>
      </c>
      <c r="D1831" s="1415">
        <f>D1827</f>
        <v>0</v>
      </c>
      <c r="E1831" s="980"/>
      <c r="F1831" s="992" t="str">
        <f>VLOOKUP($B1831,DG!A:D,DG!$C$2,)</f>
        <v>Mắt nối đơn</v>
      </c>
      <c r="G1831" s="980" t="str">
        <f>VLOOKUP($B1831,DG!A:D,DG!$D$2,)</f>
        <v>cái</v>
      </c>
      <c r="H1831" s="1693">
        <f>$D1831</f>
        <v>0</v>
      </c>
      <c r="I1831" s="1693"/>
      <c r="J1831" s="1693"/>
      <c r="K1831" s="1693">
        <f>D1831</f>
        <v>0</v>
      </c>
      <c r="L1831" s="1693"/>
      <c r="M1831" s="1693"/>
      <c r="N1831" s="1693"/>
      <c r="O1831" s="1693"/>
      <c r="P1831" s="1693">
        <f t="shared" si="313"/>
        <v>0</v>
      </c>
      <c r="Q1831" s="989"/>
      <c r="R1831" s="989"/>
      <c r="S1831" s="989"/>
      <c r="T1831" s="1862">
        <f>IFERROR(HLOOKUP(B1831,pp3p1m!$1:$3,3,0),0)</f>
        <v>0</v>
      </c>
    </row>
    <row r="1832" spans="1:20" ht="22.2" hidden="1" customHeight="1">
      <c r="A1832" s="1448">
        <f>COUNTIF($C$12:C1832,"x")</f>
        <v>111</v>
      </c>
      <c r="B1832" s="1455" t="s">
        <v>1268</v>
      </c>
      <c r="C1832" s="970" t="str">
        <f t="shared" si="321"/>
        <v xml:space="preserve"> </v>
      </c>
      <c r="D1832" s="1415">
        <f>D1827</f>
        <v>0</v>
      </c>
      <c r="E1832" s="980"/>
      <c r="F1832" s="992" t="str">
        <f>VLOOKUP($B1832,DG!A:D,DG!$C$2,)</f>
        <v>Boulon mắt 16x300+ 2 long đền vuông D18-50x50x3/Zn</v>
      </c>
      <c r="G1832" s="980" t="str">
        <f>VLOOKUP($B1832,DG!A:D,DG!$D$2,)</f>
        <v>bộ</v>
      </c>
      <c r="H1832" s="1693">
        <f>$D1832</f>
        <v>0</v>
      </c>
      <c r="I1832" s="1693"/>
      <c r="J1832" s="1693"/>
      <c r="K1832" s="1693">
        <f>D1832</f>
        <v>0</v>
      </c>
      <c r="L1832" s="1693"/>
      <c r="M1832" s="1693"/>
      <c r="N1832" s="1693"/>
      <c r="O1832" s="1693"/>
      <c r="P1832" s="1693">
        <f t="shared" si="313"/>
        <v>0</v>
      </c>
      <c r="Q1832" s="989"/>
      <c r="R1832" s="989"/>
      <c r="S1832" s="989"/>
      <c r="T1832" s="1862">
        <f>IFERROR(HLOOKUP(B1832,pp3p1m!$1:$3,3,0),0)</f>
        <v>0</v>
      </c>
    </row>
    <row r="1833" spans="1:20" ht="22.2" hidden="1" customHeight="1">
      <c r="A1833" s="1448">
        <f>COUNTIF($C$12:C1833,"x")</f>
        <v>111</v>
      </c>
      <c r="B1833" s="1472" t="s">
        <v>2513</v>
      </c>
      <c r="C1833" s="970" t="str">
        <f t="shared" si="321"/>
        <v xml:space="preserve"> </v>
      </c>
      <c r="D1833" s="1428"/>
      <c r="E1833" s="980"/>
      <c r="F1833" s="998" t="s">
        <v>2539</v>
      </c>
      <c r="G1833" s="999" t="s">
        <v>2512</v>
      </c>
      <c r="H1833" s="1691">
        <f>K1833</f>
        <v>0</v>
      </c>
      <c r="I1833" s="1693"/>
      <c r="J1833" s="1693"/>
      <c r="K1833" s="1692">
        <f>IFERROR(HLOOKUP(B1833,pp3p1m!$1:$3,2,0),0)</f>
        <v>0</v>
      </c>
      <c r="L1833" s="1693"/>
      <c r="M1833" s="1693"/>
      <c r="N1833" s="1693"/>
      <c r="O1833" s="1693"/>
      <c r="P1833" s="2674">
        <f>T1833</f>
        <v>0</v>
      </c>
      <c r="Q1833" s="983">
        <f>IF(P1833&gt;H1833,P1833-H1833,0)</f>
        <v>0</v>
      </c>
      <c r="R1833" s="983">
        <f>IF(H1833&gt;P1833,H1833-P1833,0)</f>
        <v>0</v>
      </c>
      <c r="S1833" s="989"/>
      <c r="T1833" s="1862">
        <f>IFERROR(HLOOKUP(B1833,pp3p1m!$1:$3,3,0),0)</f>
        <v>0</v>
      </c>
    </row>
    <row r="1834" spans="1:20" ht="22.2" hidden="1" customHeight="1">
      <c r="A1834" s="1448">
        <f>COUNTIF($C$12:C1834,"x")</f>
        <v>111</v>
      </c>
      <c r="B1834" s="1455" t="s">
        <v>112</v>
      </c>
      <c r="C1834" s="970" t="str">
        <f t="shared" si="321"/>
        <v xml:space="preserve"> </v>
      </c>
      <c r="D1834" s="1415"/>
      <c r="E1834" s="980"/>
      <c r="F1834" s="992" t="str">
        <f>VLOOKUP($B1834,DG!A:D,DG!$C$2,)</f>
        <v>Sứ treo loại 70kN</v>
      </c>
      <c r="G1834" s="980" t="str">
        <f>VLOOKUP($B1834,DG!A:D,DG!$D$2,)</f>
        <v>bát</v>
      </c>
      <c r="H1834" s="1693">
        <f>$D1834</f>
        <v>0</v>
      </c>
      <c r="I1834" s="1693"/>
      <c r="J1834" s="1693"/>
      <c r="K1834" s="1693">
        <f>D1834</f>
        <v>0</v>
      </c>
      <c r="L1834" s="1693"/>
      <c r="M1834" s="1693"/>
      <c r="N1834" s="1693"/>
      <c r="O1834" s="1693"/>
      <c r="P1834" s="1693">
        <f t="shared" si="313"/>
        <v>0</v>
      </c>
      <c r="Q1834" s="989"/>
      <c r="R1834" s="989"/>
      <c r="S1834" s="989"/>
      <c r="T1834" s="1862">
        <f>IFERROR(HLOOKUP(B1834,pp3p1m!$1:$3,3,0),0)</f>
        <v>0</v>
      </c>
    </row>
    <row r="1835" spans="1:20" ht="22.2" hidden="1" customHeight="1">
      <c r="A1835" s="1448">
        <f>COUNTIF($C$12:C1835,"x")</f>
        <v>111</v>
      </c>
      <c r="B1835" s="1455" t="s">
        <v>1486</v>
      </c>
      <c r="C1835" s="970" t="str">
        <f t="shared" si="321"/>
        <v xml:space="preserve"> </v>
      </c>
      <c r="D1835" s="1415">
        <f>D1833*2</f>
        <v>0</v>
      </c>
      <c r="E1835" s="980"/>
      <c r="F1835" s="992" t="str">
        <f>VLOOKUP($B1835,DG!A:D,DG!$C$2,)</f>
        <v xml:space="preserve">Móc treo chữ U </v>
      </c>
      <c r="G1835" s="980" t="str">
        <f>VLOOKUP($B1835,DG!A:D,DG!$D$2,)</f>
        <v>cái</v>
      </c>
      <c r="H1835" s="1693">
        <f>$D1835</f>
        <v>0</v>
      </c>
      <c r="I1835" s="1693"/>
      <c r="J1835" s="1693"/>
      <c r="K1835" s="1693">
        <f>D1835</f>
        <v>0</v>
      </c>
      <c r="L1835" s="1693"/>
      <c r="M1835" s="1693"/>
      <c r="N1835" s="1693"/>
      <c r="O1835" s="1693"/>
      <c r="P1835" s="1693">
        <f t="shared" si="313"/>
        <v>0</v>
      </c>
      <c r="Q1835" s="989"/>
      <c r="R1835" s="989"/>
      <c r="S1835" s="989"/>
      <c r="T1835" s="1862">
        <f>IFERROR(HLOOKUP(B1835,pp3p1m!$1:$3,3,0),0)</f>
        <v>0</v>
      </c>
    </row>
    <row r="1836" spans="1:20" ht="22.2" customHeight="1">
      <c r="A1836" s="1448">
        <f>COUNTIF($C$12:C1836,"x")</f>
        <v>112</v>
      </c>
      <c r="B1836" s="1458" t="s">
        <v>2515</v>
      </c>
      <c r="C1836" s="1701" t="str">
        <f t="shared" si="321"/>
        <v>x</v>
      </c>
      <c r="D1836" s="1428">
        <f>H1836</f>
        <v>63</v>
      </c>
      <c r="E1836" s="980"/>
      <c r="F1836" s="998" t="s">
        <v>2516</v>
      </c>
      <c r="G1836" s="980" t="s">
        <v>2512</v>
      </c>
      <c r="H1836" s="1691">
        <f>K1836</f>
        <v>63</v>
      </c>
      <c r="I1836" s="1691"/>
      <c r="J1836" s="1691"/>
      <c r="K1836" s="1691">
        <f>IFERROR(HLOOKUP(B1836,pp3p1m!$1:$3,2,0),0)</f>
        <v>63</v>
      </c>
      <c r="L1836" s="1691"/>
      <c r="M1836" s="1691"/>
      <c r="N1836" s="1691"/>
      <c r="O1836" s="1691"/>
      <c r="P1836" s="1691">
        <f>T1836</f>
        <v>63</v>
      </c>
      <c r="Q1836" s="1691">
        <f>IF(P1836&gt;H1836,P1836-H1836,0)</f>
        <v>0</v>
      </c>
      <c r="R1836" s="1691">
        <f>IF(H1836&gt;P1836,H1836-P1836,0)</f>
        <v>0</v>
      </c>
      <c r="S1836" s="989"/>
      <c r="T1836" s="1862">
        <f>IFERROR(HLOOKUP(B1836,pp3p1m!$1:$3,3,0),0)</f>
        <v>63</v>
      </c>
    </row>
    <row r="1837" spans="1:20" ht="22.2" customHeight="1">
      <c r="A1837" s="1448">
        <f>COUNTIF($C$12:C1837,"x")</f>
        <v>113</v>
      </c>
      <c r="B1837" s="1451" t="s">
        <v>1506</v>
      </c>
      <c r="C1837" s="1701" t="str">
        <f t="shared" si="321"/>
        <v>x</v>
      </c>
      <c r="D1837" s="1415">
        <v>1</v>
      </c>
      <c r="E1837" s="980"/>
      <c r="F1837" s="992" t="str">
        <f>VLOOKUP($B1837,DG!A:D,DG!$C$2,)</f>
        <v>Sứ treo polymer</v>
      </c>
      <c r="G1837" s="980" t="str">
        <f>VLOOKUP($B1837,DG!A:D,DG!$D$2,)</f>
        <v>chuỗi</v>
      </c>
      <c r="H1837" s="1693">
        <f>H$1836*$D1837</f>
        <v>63</v>
      </c>
      <c r="I1837" s="1693">
        <f t="shared" ref="I1837:R1841" si="325">I$1836*$D1837</f>
        <v>0</v>
      </c>
      <c r="J1837" s="1693">
        <f t="shared" si="325"/>
        <v>0</v>
      </c>
      <c r="K1837" s="1693">
        <f t="shared" si="325"/>
        <v>63</v>
      </c>
      <c r="L1837" s="1693">
        <f t="shared" si="325"/>
        <v>0</v>
      </c>
      <c r="M1837" s="1693">
        <f t="shared" si="325"/>
        <v>0</v>
      </c>
      <c r="N1837" s="1693">
        <f t="shared" si="325"/>
        <v>0</v>
      </c>
      <c r="O1837" s="1693">
        <f t="shared" si="325"/>
        <v>0</v>
      </c>
      <c r="P1837" s="1693">
        <f t="shared" si="325"/>
        <v>63</v>
      </c>
      <c r="Q1837" s="1693">
        <f t="shared" si="325"/>
        <v>0</v>
      </c>
      <c r="R1837" s="1693">
        <f t="shared" si="325"/>
        <v>0</v>
      </c>
      <c r="S1837" s="989"/>
      <c r="T1837" s="1862">
        <f>IFERROR(HLOOKUP(B1837,pp3p1m!$1:$3,3,0),0)</f>
        <v>0</v>
      </c>
    </row>
    <row r="1838" spans="1:20" ht="22.2" customHeight="1">
      <c r="A1838" s="1448">
        <f>COUNTIF($C$12:C1838,"x")</f>
        <v>114</v>
      </c>
      <c r="B1838" s="1451" t="s">
        <v>1486</v>
      </c>
      <c r="C1838" s="1701" t="str">
        <f t="shared" si="321"/>
        <v>x</v>
      </c>
      <c r="D1838" s="1415">
        <v>2</v>
      </c>
      <c r="E1838" s="980"/>
      <c r="F1838" s="992" t="str">
        <f>VLOOKUP($B1838,DG!A:D,DG!$C$2,)&amp;""</f>
        <v xml:space="preserve">Móc treo chữ U </v>
      </c>
      <c r="G1838" s="980" t="str">
        <f>VLOOKUP($B1838,DG!A:D,DG!$D$2,)</f>
        <v>cái</v>
      </c>
      <c r="H1838" s="1693">
        <f>H$1836*$D1838</f>
        <v>126</v>
      </c>
      <c r="I1838" s="1693">
        <f t="shared" si="325"/>
        <v>0</v>
      </c>
      <c r="J1838" s="1693">
        <f t="shared" si="325"/>
        <v>0</v>
      </c>
      <c r="K1838" s="1693">
        <f t="shared" si="325"/>
        <v>126</v>
      </c>
      <c r="L1838" s="1693">
        <f t="shared" si="325"/>
        <v>0</v>
      </c>
      <c r="M1838" s="1693">
        <f t="shared" si="325"/>
        <v>0</v>
      </c>
      <c r="N1838" s="1693">
        <f t="shared" si="325"/>
        <v>0</v>
      </c>
      <c r="O1838" s="1693">
        <f t="shared" si="325"/>
        <v>0</v>
      </c>
      <c r="P1838" s="1693">
        <f t="shared" si="325"/>
        <v>126</v>
      </c>
      <c r="Q1838" s="1693">
        <f t="shared" si="325"/>
        <v>0</v>
      </c>
      <c r="R1838" s="1693">
        <f t="shared" si="325"/>
        <v>0</v>
      </c>
      <c r="S1838" s="989"/>
      <c r="T1838" s="1862">
        <f>IFERROR(HLOOKUP(B1838,pp3p1m!$1:$3,3,0),0)</f>
        <v>0</v>
      </c>
    </row>
    <row r="1839" spans="1:20" ht="22.2" hidden="1" customHeight="1">
      <c r="A1839" s="1448">
        <f>COUNTIF($C$12:C1839,"x")</f>
        <v>114</v>
      </c>
      <c r="B1839" s="1451" t="s">
        <v>385</v>
      </c>
      <c r="C1839" s="1701" t="str">
        <f>IF(OR(P1839&lt;&gt;0,H1839&lt;&gt;0),"x"," ")</f>
        <v xml:space="preserve"> </v>
      </c>
      <c r="D1839" s="1415"/>
      <c r="E1839" s="980"/>
      <c r="F1839" s="992" t="str">
        <f>VLOOKUP($B1839,DG!A:D,DG!$C$2,)</f>
        <v>Khóa néo dây cỡ dây 185</v>
      </c>
      <c r="G1839" s="980" t="str">
        <f>VLOOKUP($B1839,DG!A:D,DG!$D$2,)</f>
        <v>cái</v>
      </c>
      <c r="H1839" s="1693">
        <f>H$1836*$D1839</f>
        <v>0</v>
      </c>
      <c r="I1839" s="1693"/>
      <c r="J1839" s="1693"/>
      <c r="K1839" s="1693">
        <f t="shared" si="325"/>
        <v>0</v>
      </c>
      <c r="L1839" s="1693"/>
      <c r="M1839" s="1693"/>
      <c r="N1839" s="1693"/>
      <c r="O1839" s="1695"/>
      <c r="P1839" s="1693">
        <f>H1839+Q1839-R1839</f>
        <v>0</v>
      </c>
      <c r="Q1839" s="989"/>
      <c r="R1839" s="989"/>
      <c r="S1839" s="989"/>
      <c r="T1839" s="1862">
        <f>IFERROR(HLOOKUP(B1839,pp3p1m!$1:$3,3,0),0)</f>
        <v>0</v>
      </c>
    </row>
    <row r="1840" spans="1:20" ht="22.2" hidden="1" customHeight="1">
      <c r="A1840" s="1448">
        <f>COUNTIF($C$12:C1840,"x")</f>
        <v>114</v>
      </c>
      <c r="B1840" s="1451" t="s">
        <v>4716</v>
      </c>
      <c r="C1840" s="1701" t="str">
        <f t="shared" si="321"/>
        <v xml:space="preserve"> </v>
      </c>
      <c r="D1840" s="1421">
        <f>K1840</f>
        <v>0</v>
      </c>
      <c r="E1840" s="980"/>
      <c r="F1840" s="992" t="str">
        <f>VLOOKUP($B1840,DG!A:D,DG!$C$2,)</f>
        <v>Khánh lắp chuỗi sứ polymer kép</v>
      </c>
      <c r="G1840" s="980" t="str">
        <f>VLOOKUP($B1840,DG!A:D,DG!$D$2,)</f>
        <v>cái</v>
      </c>
      <c r="H1840" s="1789">
        <f>K1840</f>
        <v>0</v>
      </c>
      <c r="I1840" s="1693"/>
      <c r="J1840" s="1693"/>
      <c r="K1840" s="1692">
        <f>IFERROR(HLOOKUP(B1840,pp3p1m!$1:$3,3,0),0)</f>
        <v>0</v>
      </c>
      <c r="L1840" s="1693"/>
      <c r="M1840" s="1693"/>
      <c r="N1840" s="1693"/>
      <c r="O1840" s="1695"/>
      <c r="P1840" s="1789"/>
      <c r="Q1840" s="989"/>
      <c r="R1840" s="989"/>
      <c r="S1840" s="989"/>
      <c r="T1840" s="1862">
        <f>IFERROR(HLOOKUP(B1840,pp3p1m!$1:$3,3,0),0)</f>
        <v>0</v>
      </c>
    </row>
    <row r="1841" spans="1:20" ht="22.2" customHeight="1">
      <c r="A1841" s="1448">
        <f>COUNTIF($C$12:C1841,"x")</f>
        <v>115</v>
      </c>
      <c r="B1841" s="1455" t="s">
        <v>5217</v>
      </c>
      <c r="C1841" s="970" t="str">
        <f t="shared" si="321"/>
        <v>x</v>
      </c>
      <c r="D1841" s="1415">
        <v>1</v>
      </c>
      <c r="E1841" s="980"/>
      <c r="F1841" s="992" t="str">
        <f>VLOOKUP($B1841,DG!A:D,DG!$C$2,)</f>
        <v>Giáp níu dừng dây bọc (70-95mm2)</v>
      </c>
      <c r="G1841" s="980" t="str">
        <f>VLOOKUP($B1841,DG!A:D,DG!$D$2,)</f>
        <v>cái</v>
      </c>
      <c r="H1841" s="1693">
        <f>H$1836*$D1841</f>
        <v>63</v>
      </c>
      <c r="I1841" s="1693"/>
      <c r="J1841" s="1693"/>
      <c r="K1841" s="1693"/>
      <c r="L1841" s="1693"/>
      <c r="M1841" s="1693"/>
      <c r="N1841" s="1693"/>
      <c r="O1841" s="1693"/>
      <c r="P1841" s="1693">
        <f t="shared" ref="P1841:P1859" si="326">H1841+Q1841-R1841</f>
        <v>63</v>
      </c>
      <c r="Q1841" s="1693">
        <f t="shared" si="325"/>
        <v>0</v>
      </c>
      <c r="R1841" s="989"/>
      <c r="S1841" s="989"/>
      <c r="T1841" s="1862">
        <f>IFERROR(HLOOKUP(B1841,pp3p1m!$1:$3,3,0),0)</f>
        <v>0</v>
      </c>
    </row>
    <row r="1842" spans="1:20" ht="22.2" hidden="1" customHeight="1">
      <c r="A1842" s="1448">
        <f>COUNTIF($C$12:C1842,"x")</f>
        <v>115</v>
      </c>
      <c r="B1842" s="1469" t="s">
        <v>1795</v>
      </c>
      <c r="C1842" s="970" t="str">
        <f t="shared" si="321"/>
        <v xml:space="preserve"> </v>
      </c>
      <c r="D1842" s="1415"/>
      <c r="E1842" s="980"/>
      <c r="F1842" s="992" t="str">
        <f>VLOOKUP($B1842,DG!A:D,DG!$C$2,)</f>
        <v>Kẹp 2 rãnh cỡ dây 240 mm2</v>
      </c>
      <c r="G1842" s="980" t="str">
        <f>VLOOKUP($B1842,DG!A:D,DG!$D$2,)</f>
        <v>cái</v>
      </c>
      <c r="H1842" s="1693">
        <f>H$1836*$D1842</f>
        <v>0</v>
      </c>
      <c r="I1842" s="1693"/>
      <c r="J1842" s="1693"/>
      <c r="K1842" s="1693">
        <f>D1842</f>
        <v>0</v>
      </c>
      <c r="L1842" s="1693"/>
      <c r="M1842" s="1693"/>
      <c r="N1842" s="1693"/>
      <c r="O1842" s="1693"/>
      <c r="P1842" s="1693">
        <f t="shared" si="326"/>
        <v>0</v>
      </c>
      <c r="Q1842" s="989"/>
      <c r="R1842" s="989"/>
      <c r="S1842" s="989"/>
      <c r="T1842" s="1862">
        <f>IFERROR(HLOOKUP(B1842,pp3p1m!$1:$3,3,0),0)</f>
        <v>0</v>
      </c>
    </row>
    <row r="1843" spans="1:20" ht="22.2" customHeight="1">
      <c r="A1843" s="1448">
        <f>COUNTIF($C$12:C1843,"x")</f>
        <v>116</v>
      </c>
      <c r="B1843" s="1458" t="s">
        <v>6534</v>
      </c>
      <c r="C1843" s="1701" t="str">
        <f t="shared" ref="C1843:C1845" si="327">IF(OR(P1843&lt;&gt;0,H1843&lt;&gt;0),"x"," ")</f>
        <v>x</v>
      </c>
      <c r="D1843" s="1428">
        <f>H1843</f>
        <v>6</v>
      </c>
      <c r="E1843" s="980"/>
      <c r="F1843" s="998" t="str">
        <f>VLOOKUP($B1843,DG!A:D,DG!$C$2,)</f>
        <v>Chuỗi sứ treo Polymer kép 25kV lắp vào xà</v>
      </c>
      <c r="G1843" s="980" t="s">
        <v>2512</v>
      </c>
      <c r="H1843" s="1691">
        <f>K1843</f>
        <v>6</v>
      </c>
      <c r="I1843" s="1691"/>
      <c r="J1843" s="1691"/>
      <c r="K1843" s="1691">
        <f>IFERROR(HLOOKUP(B1843,pp3p1m!$1:$3,2,0),0)</f>
        <v>6</v>
      </c>
      <c r="L1843" s="1691"/>
      <c r="M1843" s="1691"/>
      <c r="N1843" s="1691"/>
      <c r="O1843" s="1691"/>
      <c r="P1843" s="1691">
        <f>T1843</f>
        <v>6</v>
      </c>
      <c r="Q1843" s="1691">
        <f>IF(P1843&gt;H1843,P1843-H1843,0)</f>
        <v>0</v>
      </c>
      <c r="R1843" s="1691">
        <f>IF(H1843&gt;P1843,H1843-P1843,0)</f>
        <v>0</v>
      </c>
      <c r="S1843" s="989"/>
      <c r="T1843" s="1862">
        <f>IFERROR(HLOOKUP(B1843,pp3p1m!$1:$3,3,0),0)</f>
        <v>6</v>
      </c>
    </row>
    <row r="1844" spans="1:20" ht="22.2" customHeight="1">
      <c r="A1844" s="1448">
        <f>COUNTIF($C$12:C1844,"x")</f>
        <v>117</v>
      </c>
      <c r="B1844" s="1451" t="s">
        <v>1506</v>
      </c>
      <c r="C1844" s="1701" t="str">
        <f t="shared" si="327"/>
        <v>x</v>
      </c>
      <c r="D1844" s="1415">
        <v>2</v>
      </c>
      <c r="E1844" s="980"/>
      <c r="F1844" s="992" t="str">
        <f>VLOOKUP($B1844,DG!A:D,DG!$C$2,)</f>
        <v>Sứ treo polymer</v>
      </c>
      <c r="G1844" s="980" t="str">
        <f>VLOOKUP($B1844,DG!A:D,DG!$D$2,)</f>
        <v>chuỗi</v>
      </c>
      <c r="H1844" s="1693">
        <f>H$1843*$D1844</f>
        <v>12</v>
      </c>
      <c r="I1844" s="1693">
        <f t="shared" ref="I1844:R1848" si="328">I$1843*$D1844</f>
        <v>0</v>
      </c>
      <c r="J1844" s="1693">
        <f t="shared" si="328"/>
        <v>0</v>
      </c>
      <c r="K1844" s="1693">
        <f t="shared" si="328"/>
        <v>12</v>
      </c>
      <c r="L1844" s="1693">
        <f t="shared" si="328"/>
        <v>0</v>
      </c>
      <c r="M1844" s="1693">
        <f t="shared" si="328"/>
        <v>0</v>
      </c>
      <c r="N1844" s="1693">
        <f t="shared" si="328"/>
        <v>0</v>
      </c>
      <c r="O1844" s="1693">
        <f t="shared" si="328"/>
        <v>0</v>
      </c>
      <c r="P1844" s="1693">
        <f t="shared" si="328"/>
        <v>12</v>
      </c>
      <c r="Q1844" s="1693">
        <f>Q$1843*$D1844</f>
        <v>0</v>
      </c>
      <c r="R1844" s="1693">
        <f t="shared" si="328"/>
        <v>0</v>
      </c>
      <c r="S1844" s="989"/>
      <c r="T1844" s="1862">
        <f>IFERROR(HLOOKUP(B1844,pp3p1m!$1:$3,3,0),0)</f>
        <v>0</v>
      </c>
    </row>
    <row r="1845" spans="1:20" ht="22.2" customHeight="1">
      <c r="A1845" s="1448">
        <f>COUNTIF($C$12:C1845,"x")</f>
        <v>118</v>
      </c>
      <c r="B1845" s="1451" t="s">
        <v>1486</v>
      </c>
      <c r="C1845" s="1701" t="str">
        <f t="shared" si="327"/>
        <v>x</v>
      </c>
      <c r="D1845" s="1415">
        <v>4</v>
      </c>
      <c r="E1845" s="980"/>
      <c r="F1845" s="992" t="str">
        <f>VLOOKUP($B1845,DG!A:D,DG!$C$2,)&amp;""</f>
        <v xml:space="preserve">Móc treo chữ U </v>
      </c>
      <c r="G1845" s="980" t="str">
        <f>VLOOKUP($B1845,DG!A:D,DG!$D$2,)</f>
        <v>cái</v>
      </c>
      <c r="H1845" s="1693">
        <f t="shared" ref="H1845:R1849" si="329">H$1843*$D1845</f>
        <v>24</v>
      </c>
      <c r="I1845" s="1693">
        <f t="shared" si="329"/>
        <v>0</v>
      </c>
      <c r="J1845" s="1693">
        <f t="shared" si="329"/>
        <v>0</v>
      </c>
      <c r="K1845" s="1693">
        <f t="shared" si="329"/>
        <v>24</v>
      </c>
      <c r="L1845" s="1693">
        <f t="shared" si="329"/>
        <v>0</v>
      </c>
      <c r="M1845" s="1693">
        <f t="shared" si="329"/>
        <v>0</v>
      </c>
      <c r="N1845" s="1693">
        <f t="shared" si="329"/>
        <v>0</v>
      </c>
      <c r="O1845" s="1693">
        <f t="shared" si="329"/>
        <v>0</v>
      </c>
      <c r="P1845" s="1693">
        <f t="shared" si="329"/>
        <v>24</v>
      </c>
      <c r="Q1845" s="1693">
        <f t="shared" si="329"/>
        <v>0</v>
      </c>
      <c r="R1845" s="1693">
        <f t="shared" si="329"/>
        <v>0</v>
      </c>
      <c r="S1845" s="989"/>
      <c r="T1845" s="1862">
        <f>IFERROR(HLOOKUP(B1845,pp3p1m!$1:$3,3,0),0)</f>
        <v>0</v>
      </c>
    </row>
    <row r="1846" spans="1:20" ht="22.2" hidden="1" customHeight="1">
      <c r="A1846" s="1448">
        <f>COUNTIF($C$12:C1846,"x")</f>
        <v>118</v>
      </c>
      <c r="B1846" s="1451" t="s">
        <v>385</v>
      </c>
      <c r="C1846" s="1701" t="str">
        <f>IF(OR(P1846&lt;&gt;0,H1846&lt;&gt;0),"x"," ")</f>
        <v xml:space="preserve"> </v>
      </c>
      <c r="D1846" s="1415"/>
      <c r="E1846" s="980"/>
      <c r="F1846" s="992" t="str">
        <f>VLOOKUP($B1846,DG!A:D,DG!$C$2,)</f>
        <v>Khóa néo dây cỡ dây 185</v>
      </c>
      <c r="G1846" s="980" t="str">
        <f>VLOOKUP($B1846,DG!A:D,DG!$D$2,)</f>
        <v>cái</v>
      </c>
      <c r="H1846" s="1693">
        <f t="shared" si="329"/>
        <v>0</v>
      </c>
      <c r="I1846" s="1693">
        <f t="shared" si="328"/>
        <v>0</v>
      </c>
      <c r="J1846" s="1693">
        <f t="shared" si="328"/>
        <v>0</v>
      </c>
      <c r="K1846" s="1693">
        <f t="shared" si="328"/>
        <v>0</v>
      </c>
      <c r="L1846" s="1693">
        <f t="shared" si="328"/>
        <v>0</v>
      </c>
      <c r="M1846" s="1693">
        <f t="shared" si="328"/>
        <v>0</v>
      </c>
      <c r="N1846" s="1693">
        <f t="shared" si="328"/>
        <v>0</v>
      </c>
      <c r="O1846" s="1693">
        <f t="shared" si="328"/>
        <v>0</v>
      </c>
      <c r="P1846" s="1693">
        <f t="shared" si="328"/>
        <v>0</v>
      </c>
      <c r="Q1846" s="1693">
        <f t="shared" si="329"/>
        <v>0</v>
      </c>
      <c r="R1846" s="1693">
        <f t="shared" si="328"/>
        <v>0</v>
      </c>
      <c r="S1846" s="989"/>
      <c r="T1846" s="1862">
        <f>IFERROR(HLOOKUP(B1846,pp3p1m!$1:$3,3,0),0)</f>
        <v>0</v>
      </c>
    </row>
    <row r="1847" spans="1:20" ht="22.2" customHeight="1">
      <c r="A1847" s="1448">
        <f>COUNTIF($C$12:C1847,"x")</f>
        <v>119</v>
      </c>
      <c r="B1847" s="1451" t="s">
        <v>4716</v>
      </c>
      <c r="C1847" s="1701" t="str">
        <f t="shared" ref="C1847:C1849" si="330">IF(OR(P1847&lt;&gt;0,H1847&lt;&gt;0),"x"," ")</f>
        <v>x</v>
      </c>
      <c r="D1847" s="1421">
        <v>2</v>
      </c>
      <c r="E1847" s="980"/>
      <c r="F1847" s="992" t="str">
        <f>VLOOKUP($B1847,DG!A:D,DG!$C$2,)</f>
        <v>Khánh lắp chuỗi sứ polymer kép</v>
      </c>
      <c r="G1847" s="980" t="str">
        <f>VLOOKUP($B1847,DG!A:D,DG!$D$2,)</f>
        <v>cái</v>
      </c>
      <c r="H1847" s="1693">
        <f t="shared" si="329"/>
        <v>12</v>
      </c>
      <c r="I1847" s="1693">
        <f t="shared" si="329"/>
        <v>0</v>
      </c>
      <c r="J1847" s="1693">
        <f t="shared" si="329"/>
        <v>0</v>
      </c>
      <c r="K1847" s="1693">
        <f t="shared" si="329"/>
        <v>12</v>
      </c>
      <c r="L1847" s="1693">
        <f t="shared" si="329"/>
        <v>0</v>
      </c>
      <c r="M1847" s="1693">
        <f t="shared" si="329"/>
        <v>0</v>
      </c>
      <c r="N1847" s="1693">
        <f t="shared" si="329"/>
        <v>0</v>
      </c>
      <c r="O1847" s="1693">
        <f t="shared" si="329"/>
        <v>0</v>
      </c>
      <c r="P1847" s="1693">
        <f t="shared" si="329"/>
        <v>12</v>
      </c>
      <c r="Q1847" s="1693">
        <f t="shared" si="329"/>
        <v>0</v>
      </c>
      <c r="R1847" s="1693">
        <f t="shared" si="329"/>
        <v>0</v>
      </c>
      <c r="S1847" s="989"/>
      <c r="T1847" s="1862">
        <f>IFERROR(HLOOKUP(B1847,pp3p1m!$1:$3,3,0),0)</f>
        <v>0</v>
      </c>
    </row>
    <row r="1848" spans="1:20" ht="22.2" customHeight="1">
      <c r="A1848" s="1448">
        <f>COUNTIF($C$12:C1848,"x")</f>
        <v>120</v>
      </c>
      <c r="B1848" s="1455" t="s">
        <v>5217</v>
      </c>
      <c r="C1848" s="970" t="str">
        <f t="shared" si="330"/>
        <v>x</v>
      </c>
      <c r="D1848" s="1415">
        <v>1</v>
      </c>
      <c r="E1848" s="980"/>
      <c r="F1848" s="992" t="str">
        <f>VLOOKUP($B1848,DG!A:D,DG!$C$2,)</f>
        <v>Giáp níu dừng dây bọc (70-95mm2)</v>
      </c>
      <c r="G1848" s="980" t="str">
        <f>VLOOKUP($B1848,DG!A:D,DG!$D$2,)</f>
        <v>cái</v>
      </c>
      <c r="H1848" s="1693">
        <f t="shared" si="329"/>
        <v>6</v>
      </c>
      <c r="I1848" s="1693">
        <f t="shared" si="328"/>
        <v>0</v>
      </c>
      <c r="J1848" s="1693">
        <f t="shared" si="328"/>
        <v>0</v>
      </c>
      <c r="K1848" s="1693">
        <f t="shared" si="328"/>
        <v>6</v>
      </c>
      <c r="L1848" s="1693">
        <f t="shared" si="328"/>
        <v>0</v>
      </c>
      <c r="M1848" s="1693">
        <f t="shared" si="328"/>
        <v>0</v>
      </c>
      <c r="N1848" s="1693">
        <f t="shared" si="328"/>
        <v>0</v>
      </c>
      <c r="O1848" s="1693">
        <f t="shared" si="328"/>
        <v>0</v>
      </c>
      <c r="P1848" s="1693">
        <f t="shared" si="328"/>
        <v>6</v>
      </c>
      <c r="Q1848" s="1693">
        <f t="shared" si="329"/>
        <v>0</v>
      </c>
      <c r="R1848" s="1693">
        <f t="shared" si="328"/>
        <v>0</v>
      </c>
      <c r="S1848" s="989"/>
      <c r="T1848" s="1862">
        <f>IFERROR(HLOOKUP(B1848,pp3p1m!$1:$3,3,0),0)</f>
        <v>0</v>
      </c>
    </row>
    <row r="1849" spans="1:20" ht="22.2" hidden="1" customHeight="1">
      <c r="A1849" s="1448">
        <f>COUNTIF($C$12:C1849,"x")</f>
        <v>120</v>
      </c>
      <c r="B1849" s="1469" t="s">
        <v>1795</v>
      </c>
      <c r="C1849" s="970" t="str">
        <f t="shared" si="330"/>
        <v xml:space="preserve"> </v>
      </c>
      <c r="D1849" s="1415"/>
      <c r="E1849" s="980"/>
      <c r="F1849" s="992" t="str">
        <f>VLOOKUP($B1849,DG!A:D,DG!$C$2,)</f>
        <v>Kẹp 2 rãnh cỡ dây 240 mm2</v>
      </c>
      <c r="G1849" s="980" t="str">
        <f>VLOOKUP($B1849,DG!A:D,DG!$D$2,)</f>
        <v>cái</v>
      </c>
      <c r="H1849" s="1693">
        <f t="shared" si="329"/>
        <v>0</v>
      </c>
      <c r="I1849" s="1693">
        <f t="shared" si="329"/>
        <v>0</v>
      </c>
      <c r="J1849" s="1693">
        <f t="shared" si="329"/>
        <v>0</v>
      </c>
      <c r="K1849" s="1693">
        <f t="shared" si="329"/>
        <v>0</v>
      </c>
      <c r="L1849" s="1693">
        <f t="shared" si="329"/>
        <v>0</v>
      </c>
      <c r="M1849" s="1693">
        <f t="shared" si="329"/>
        <v>0</v>
      </c>
      <c r="N1849" s="1693">
        <f t="shared" si="329"/>
        <v>0</v>
      </c>
      <c r="O1849" s="1693">
        <f t="shared" si="329"/>
        <v>0</v>
      </c>
      <c r="P1849" s="1693">
        <f t="shared" si="329"/>
        <v>0</v>
      </c>
      <c r="Q1849" s="1693">
        <f t="shared" si="329"/>
        <v>0</v>
      </c>
      <c r="R1849" s="1693">
        <f t="shared" si="329"/>
        <v>0</v>
      </c>
      <c r="S1849" s="989"/>
      <c r="T1849" s="1862">
        <f>IFERROR(HLOOKUP(B1849,pp3p1m!$1:$3,3,0),0)</f>
        <v>0</v>
      </c>
    </row>
    <row r="1850" spans="1:20" ht="22.2" hidden="1" customHeight="1">
      <c r="A1850" s="1448">
        <f>COUNTIF($C$12:C1850,"x")</f>
        <v>120</v>
      </c>
      <c r="B1850" s="1472" t="s">
        <v>2541</v>
      </c>
      <c r="C1850" s="970" t="str">
        <f t="shared" si="321"/>
        <v xml:space="preserve"> </v>
      </c>
      <c r="D1850" s="1428"/>
      <c r="E1850" s="980"/>
      <c r="F1850" s="998" t="s">
        <v>2542</v>
      </c>
      <c r="G1850" s="980" t="s">
        <v>2512</v>
      </c>
      <c r="H1850" s="1691">
        <f>K1850</f>
        <v>0</v>
      </c>
      <c r="I1850" s="1693"/>
      <c r="J1850" s="1693"/>
      <c r="K1850" s="1692">
        <f>IFERROR(HLOOKUP(B1850,pp3p1m!$1:$3,2,0),0)</f>
        <v>0</v>
      </c>
      <c r="L1850" s="1693"/>
      <c r="M1850" s="1693"/>
      <c r="N1850" s="1693"/>
      <c r="O1850" s="1693"/>
      <c r="P1850" s="2674">
        <f>T1850</f>
        <v>0</v>
      </c>
      <c r="Q1850" s="983">
        <f>IF(P1850&gt;H1850,P1850-H1850,0)</f>
        <v>0</v>
      </c>
      <c r="R1850" s="983">
        <f>IF(H1850&gt;P1850,H1850-P1850,0)</f>
        <v>0</v>
      </c>
      <c r="S1850" s="989"/>
      <c r="T1850" s="1862">
        <f>IFERROR(HLOOKUP(B1850,pp3p1m!$1:$3,3,0),0)</f>
        <v>0</v>
      </c>
    </row>
    <row r="1851" spans="1:20" ht="22.2" hidden="1" customHeight="1">
      <c r="A1851" s="1448">
        <f>COUNTIF($C$12:C1851,"x")</f>
        <v>120</v>
      </c>
      <c r="B1851" s="1455" t="s">
        <v>1506</v>
      </c>
      <c r="C1851" s="970" t="str">
        <f t="shared" si="321"/>
        <v xml:space="preserve"> </v>
      </c>
      <c r="D1851" s="1415">
        <f>D1850</f>
        <v>0</v>
      </c>
      <c r="E1851" s="980"/>
      <c r="F1851" s="992" t="str">
        <f>VLOOKUP($B1851,DG!A:D,DG!$C$2,)&amp;" "</f>
        <v xml:space="preserve">Sứ treo polymer </v>
      </c>
      <c r="G1851" s="980" t="str">
        <f>VLOOKUP($B1851,DG!A:D,DG!$D$2,)</f>
        <v>chuỗi</v>
      </c>
      <c r="H1851" s="1693">
        <f t="shared" ref="H1851:H1856" si="331">$D1851</f>
        <v>0</v>
      </c>
      <c r="I1851" s="1693"/>
      <c r="J1851" s="1693"/>
      <c r="K1851" s="1693">
        <f t="shared" ref="K1851:K1856" si="332">D1851</f>
        <v>0</v>
      </c>
      <c r="L1851" s="1693"/>
      <c r="M1851" s="1693"/>
      <c r="N1851" s="1693"/>
      <c r="O1851" s="1693"/>
      <c r="P1851" s="1693">
        <f t="shared" si="326"/>
        <v>0</v>
      </c>
      <c r="Q1851" s="989"/>
      <c r="R1851" s="989"/>
      <c r="S1851" s="989"/>
      <c r="T1851" s="1862">
        <f>IFERROR(HLOOKUP(B1851,pp3p1m!$1:$3,3,0),0)</f>
        <v>0</v>
      </c>
    </row>
    <row r="1852" spans="1:20" ht="22.2" hidden="1" customHeight="1">
      <c r="A1852" s="1448">
        <f>COUNTIF($C$12:C1852,"x")</f>
        <v>120</v>
      </c>
      <c r="B1852" s="1455" t="s">
        <v>1486</v>
      </c>
      <c r="C1852" s="970" t="str">
        <f t="shared" si="321"/>
        <v xml:space="preserve"> </v>
      </c>
      <c r="D1852" s="1415">
        <f>D1850*2</f>
        <v>0</v>
      </c>
      <c r="E1852" s="980"/>
      <c r="F1852" s="992" t="str">
        <f>VLOOKUP($B1852,DG!A:D,DG!$C$2,)&amp;""</f>
        <v xml:space="preserve">Móc treo chữ U </v>
      </c>
      <c r="G1852" s="980" t="str">
        <f>VLOOKUP($B1852,DG!A:D,DG!$D$2,)</f>
        <v>cái</v>
      </c>
      <c r="H1852" s="1693">
        <f t="shared" si="331"/>
        <v>0</v>
      </c>
      <c r="I1852" s="1693"/>
      <c r="J1852" s="1693"/>
      <c r="K1852" s="1693">
        <f t="shared" si="332"/>
        <v>0</v>
      </c>
      <c r="L1852" s="1693"/>
      <c r="M1852" s="1693"/>
      <c r="N1852" s="1693"/>
      <c r="O1852" s="1693"/>
      <c r="P1852" s="1693">
        <f t="shared" si="326"/>
        <v>0</v>
      </c>
      <c r="Q1852" s="989"/>
      <c r="R1852" s="989"/>
      <c r="S1852" s="989"/>
      <c r="T1852" s="1862">
        <f>IFERROR(HLOOKUP(B1852,pp3p1m!$1:$3,3,0),0)</f>
        <v>0</v>
      </c>
    </row>
    <row r="1853" spans="1:20" ht="22.2" hidden="1" customHeight="1">
      <c r="A1853" s="1448">
        <f>COUNTIF($C$12:C1853,"x")</f>
        <v>120</v>
      </c>
      <c r="B1853" s="1455" t="s">
        <v>1742</v>
      </c>
      <c r="C1853" s="970" t="str">
        <f t="shared" si="321"/>
        <v xml:space="preserve"> </v>
      </c>
      <c r="D1853" s="1415">
        <f>D1850</f>
        <v>0</v>
      </c>
      <c r="E1853" s="980"/>
      <c r="F1853" s="992" t="str">
        <f>VLOOKUP($B1853,DG!A:D,DG!$C$2,)</f>
        <v>Khóa néo dây cỡ dây 185</v>
      </c>
      <c r="G1853" s="980" t="str">
        <f>VLOOKUP($B1853,DG!A:D,DG!$D$2,)</f>
        <v>cái</v>
      </c>
      <c r="H1853" s="1693">
        <f t="shared" si="331"/>
        <v>0</v>
      </c>
      <c r="I1853" s="1693"/>
      <c r="J1853" s="1693"/>
      <c r="K1853" s="1693">
        <f t="shared" si="332"/>
        <v>0</v>
      </c>
      <c r="L1853" s="1693"/>
      <c r="M1853" s="1693"/>
      <c r="N1853" s="1693"/>
      <c r="O1853" s="1693"/>
      <c r="P1853" s="1693">
        <f t="shared" si="326"/>
        <v>0</v>
      </c>
      <c r="Q1853" s="989"/>
      <c r="R1853" s="989"/>
      <c r="S1853" s="989"/>
      <c r="T1853" s="1862">
        <f>IFERROR(HLOOKUP(B1853,pp3p1m!$1:$3,3,0),0)</f>
        <v>0</v>
      </c>
    </row>
    <row r="1854" spans="1:20" ht="22.2" hidden="1" customHeight="1">
      <c r="A1854" s="1448">
        <f>COUNTIF($C$12:C1854,"x")</f>
        <v>120</v>
      </c>
      <c r="B1854" s="1455" t="s">
        <v>417</v>
      </c>
      <c r="C1854" s="970" t="str">
        <f t="shared" si="321"/>
        <v xml:space="preserve"> </v>
      </c>
      <c r="D1854" s="1415">
        <f>D1850</f>
        <v>0</v>
      </c>
      <c r="E1854" s="980"/>
      <c r="F1854" s="992" t="str">
        <f>VLOOKUP($B1854,DG!A:D,DG!$C$2,)</f>
        <v>Boulon mắt 16x300+ 2 long đền vuông D18-50x50x3/Zn</v>
      </c>
      <c r="G1854" s="980" t="str">
        <f>VLOOKUP($B1854,DG!A:D,DG!$D$2,)</f>
        <v>bộ</v>
      </c>
      <c r="H1854" s="1693">
        <f t="shared" si="331"/>
        <v>0</v>
      </c>
      <c r="I1854" s="1693"/>
      <c r="J1854" s="1693"/>
      <c r="K1854" s="1693">
        <f t="shared" si="332"/>
        <v>0</v>
      </c>
      <c r="L1854" s="1693"/>
      <c r="M1854" s="1693"/>
      <c r="N1854" s="1693"/>
      <c r="O1854" s="1693"/>
      <c r="P1854" s="1693">
        <f t="shared" si="326"/>
        <v>0</v>
      </c>
      <c r="Q1854" s="989"/>
      <c r="R1854" s="989"/>
      <c r="S1854" s="989"/>
      <c r="T1854" s="1862">
        <f>IFERROR(HLOOKUP(B1854,pp3p1m!$1:$3,3,0),0)</f>
        <v>0</v>
      </c>
    </row>
    <row r="1855" spans="1:20" ht="22.2" hidden="1" customHeight="1">
      <c r="A1855" s="1448">
        <f>COUNTIF($C$12:C1855,"x")</f>
        <v>120</v>
      </c>
      <c r="B1855" s="1466" t="s">
        <v>2420</v>
      </c>
      <c r="C1855" s="970" t="str">
        <f t="shared" si="321"/>
        <v xml:space="preserve"> </v>
      </c>
      <c r="D1855" s="1431"/>
      <c r="E1855" s="980"/>
      <c r="F1855" s="992" t="str">
        <f>VLOOKUP($B1855,DG!A:D,DG!$C$2,)&amp;""</f>
        <v>Cổ dê bắt xà + bulon</v>
      </c>
      <c r="G1855" s="980" t="s">
        <v>2439</v>
      </c>
      <c r="H1855" s="1693">
        <f t="shared" si="331"/>
        <v>0</v>
      </c>
      <c r="I1855" s="1693"/>
      <c r="J1855" s="1693"/>
      <c r="K1855" s="1693">
        <f t="shared" si="332"/>
        <v>0</v>
      </c>
      <c r="L1855" s="1693"/>
      <c r="M1855" s="1693"/>
      <c r="N1855" s="1693"/>
      <c r="O1855" s="1693"/>
      <c r="P1855" s="1693">
        <f t="shared" si="326"/>
        <v>0</v>
      </c>
      <c r="Q1855" s="989"/>
      <c r="R1855" s="989"/>
      <c r="S1855" s="989"/>
      <c r="T1855" s="1862">
        <f>IFERROR(HLOOKUP(B1855,pp3p1m!$1:$3,3,0),0)</f>
        <v>0</v>
      </c>
    </row>
    <row r="1856" spans="1:20" ht="22.2" hidden="1" customHeight="1">
      <c r="A1856" s="1448">
        <f>COUNTIF($C$12:C1856,"x")</f>
        <v>120</v>
      </c>
      <c r="B1856" s="1466" t="s">
        <v>1272</v>
      </c>
      <c r="C1856" s="970" t="str">
        <f t="shared" si="321"/>
        <v xml:space="preserve"> </v>
      </c>
      <c r="D1856" s="1431"/>
      <c r="E1856" s="980"/>
      <c r="F1856" s="992" t="str">
        <f>VLOOKUP($B1856,DG!A:D,DG!$C$2,)&amp;""</f>
        <v xml:space="preserve">Cổ dê giữ ống D140 vào trụ + Bulon </v>
      </c>
      <c r="G1856" s="980" t="s">
        <v>2439</v>
      </c>
      <c r="H1856" s="1693">
        <f t="shared" si="331"/>
        <v>0</v>
      </c>
      <c r="I1856" s="1693"/>
      <c r="J1856" s="1693"/>
      <c r="K1856" s="1693">
        <f t="shared" si="332"/>
        <v>0</v>
      </c>
      <c r="L1856" s="1693"/>
      <c r="M1856" s="1693"/>
      <c r="N1856" s="1693"/>
      <c r="O1856" s="1693"/>
      <c r="P1856" s="1693">
        <f t="shared" si="326"/>
        <v>0</v>
      </c>
      <c r="Q1856" s="989"/>
      <c r="R1856" s="989"/>
      <c r="S1856" s="989"/>
      <c r="T1856" s="1862">
        <f>IFERROR(HLOOKUP(B1856,pp3p1m!$1:$3,3,0),0)</f>
        <v>0</v>
      </c>
    </row>
    <row r="1857" spans="1:20" ht="22.2" hidden="1" customHeight="1">
      <c r="A1857" s="1448">
        <f>COUNTIF($C$12:C1857,"x")</f>
        <v>120</v>
      </c>
      <c r="B1857" s="1472" t="s">
        <v>2513</v>
      </c>
      <c r="C1857" s="970" t="str">
        <f t="shared" si="321"/>
        <v xml:space="preserve"> </v>
      </c>
      <c r="D1857" s="1428"/>
      <c r="E1857" s="980"/>
      <c r="F1857" s="998" t="s">
        <v>2543</v>
      </c>
      <c r="G1857" s="980" t="s">
        <v>2439</v>
      </c>
      <c r="H1857" s="1691">
        <f>K1857</f>
        <v>0</v>
      </c>
      <c r="I1857" s="1693"/>
      <c r="J1857" s="1693"/>
      <c r="K1857" s="1692">
        <f>IFERROR(HLOOKUP(B1857,pp3p1m!$1:$3,2,0),0)</f>
        <v>0</v>
      </c>
      <c r="L1857" s="1693"/>
      <c r="M1857" s="1693"/>
      <c r="N1857" s="1693"/>
      <c r="O1857" s="1693"/>
      <c r="P1857" s="2674">
        <f>T1857</f>
        <v>0</v>
      </c>
      <c r="Q1857" s="983">
        <f>IF(P1857&gt;H1857,P1857-H1857,0)</f>
        <v>0</v>
      </c>
      <c r="R1857" s="983">
        <f>IF(H1857&gt;P1857,H1857-P1857,0)</f>
        <v>0</v>
      </c>
      <c r="S1857" s="989"/>
      <c r="T1857" s="1862">
        <f>IFERROR(HLOOKUP(B1857,pp3p1m!$1:$3,3,0),0)</f>
        <v>0</v>
      </c>
    </row>
    <row r="1858" spans="1:20" ht="22.2" hidden="1" customHeight="1">
      <c r="A1858" s="1448">
        <f>COUNTIF($C$12:C1858,"x")</f>
        <v>120</v>
      </c>
      <c r="B1858" s="1455" t="s">
        <v>2106</v>
      </c>
      <c r="C1858" s="970" t="str">
        <f t="shared" si="321"/>
        <v xml:space="preserve"> </v>
      </c>
      <c r="D1858" s="1425">
        <f>2.826*(3.14159*0.225+0.06*4)*D1857</f>
        <v>0</v>
      </c>
      <c r="E1858" s="980"/>
      <c r="F1858" s="992" t="str">
        <f>VLOOKUP($B1858,DG!A:D,DG!$C$2,)&amp;""</f>
        <v>Sắt dẹt 50x5</v>
      </c>
      <c r="G1858" s="980" t="str">
        <f>VLOOKUP($B1858,DG!A:D,DG!$D$2,)</f>
        <v>kg</v>
      </c>
      <c r="H1858" s="1693"/>
      <c r="I1858" s="1693"/>
      <c r="J1858" s="1693"/>
      <c r="K1858" s="1693"/>
      <c r="L1858" s="1693"/>
      <c r="M1858" s="1693"/>
      <c r="N1858" s="1693"/>
      <c r="O1858" s="1693"/>
      <c r="P1858" s="1693">
        <f t="shared" si="326"/>
        <v>0</v>
      </c>
      <c r="Q1858" s="989"/>
      <c r="R1858" s="989"/>
      <c r="S1858" s="989"/>
      <c r="T1858" s="1862">
        <f>IFERROR(HLOOKUP(B1858,pp3p1m!$1:$3,3,0),0)</f>
        <v>0</v>
      </c>
    </row>
    <row r="1859" spans="1:20" ht="22.2" hidden="1" customHeight="1">
      <c r="A1859" s="1448">
        <f>COUNTIF($C$12:C1859,"x")</f>
        <v>120</v>
      </c>
      <c r="B1859" s="1455" t="s">
        <v>1797</v>
      </c>
      <c r="C1859" s="970" t="str">
        <f t="shared" si="321"/>
        <v xml:space="preserve"> </v>
      </c>
      <c r="D1859" s="1428">
        <f t="shared" ref="D1859:D1926" si="333">K1859</f>
        <v>0</v>
      </c>
      <c r="E1859" s="980"/>
      <c r="F1859" s="992" t="str">
        <f>VLOOKUP($B1859,DG!A:D,DG!$C$2,)&amp;""</f>
        <v>Boulon 10x40+ 2 long đền vuông D12-50x50x3/Zn</v>
      </c>
      <c r="G1859" s="980" t="str">
        <f>VLOOKUP($B1859,DG!A:D,DG!$D$2,)</f>
        <v>bộ</v>
      </c>
      <c r="H1859" s="1693"/>
      <c r="I1859" s="1693"/>
      <c r="J1859" s="1693"/>
      <c r="K1859" s="1693"/>
      <c r="L1859" s="1693"/>
      <c r="M1859" s="1693"/>
      <c r="N1859" s="1693"/>
      <c r="O1859" s="1693"/>
      <c r="P1859" s="1693">
        <f t="shared" si="326"/>
        <v>0</v>
      </c>
      <c r="Q1859" s="989"/>
      <c r="R1859" s="989"/>
      <c r="S1859" s="989"/>
      <c r="T1859" s="1862">
        <f>IFERROR(HLOOKUP(B1859,pp3p1m!$1:$3,3,0),0)</f>
        <v>0</v>
      </c>
    </row>
    <row r="1860" spans="1:20" ht="22.2" customHeight="1">
      <c r="A1860" s="1448">
        <f>COUNTIF($C$12:C1860,"x")</f>
        <v>121</v>
      </c>
      <c r="B1860" s="1479"/>
      <c r="C1860" s="970" t="str">
        <f>IF(SUM(I1860:O1860)&gt;0,"x","")</f>
        <v>x</v>
      </c>
      <c r="D1860" s="1428">
        <f t="shared" si="333"/>
        <v>4</v>
      </c>
      <c r="E1860" s="1290"/>
      <c r="F1860" s="998" t="s">
        <v>2544</v>
      </c>
      <c r="G1860" s="1290"/>
      <c r="H1860" s="1691"/>
      <c r="I1860" s="1691">
        <f>SUM(I1890:I1979)</f>
        <v>0</v>
      </c>
      <c r="J1860" s="1691">
        <f>SUM(J1890:J1979)</f>
        <v>0</v>
      </c>
      <c r="K1860" s="1691">
        <f>SUM(K1890:K1979)</f>
        <v>4</v>
      </c>
      <c r="L1860" s="1691">
        <f>IFERROR(HLOOKUP(chitiet!B1860,pp1p!$1:$3,3,0),0)</f>
        <v>0</v>
      </c>
      <c r="M1860" s="1691">
        <f>SUM(M1890:M1979)</f>
        <v>0</v>
      </c>
      <c r="N1860" s="1691">
        <f>SUM(N1890:N1979)</f>
        <v>0</v>
      </c>
      <c r="O1860" s="1691">
        <f>SUM(O1890:O1979)</f>
        <v>0</v>
      </c>
      <c r="P1860" s="1691">
        <f>T1860</f>
        <v>0</v>
      </c>
      <c r="Q1860" s="1691">
        <f>IF(P1860&gt;H1860,P1860-H1860,0)</f>
        <v>0</v>
      </c>
      <c r="R1860" s="1691">
        <f>IF(H1860&gt;P1860,H1860-P1860,0)</f>
        <v>0</v>
      </c>
      <c r="S1860" s="1291"/>
      <c r="T1860" s="1862">
        <f>IFERROR(HLOOKUP(B1860,pp3p1m!$1:$3,3,0),0)</f>
        <v>0</v>
      </c>
    </row>
    <row r="1861" spans="1:20" ht="22.2" customHeight="1">
      <c r="A1861" s="1448">
        <f>COUNTIF($C$12:C1861,"x")</f>
        <v>122</v>
      </c>
      <c r="B1861" s="1797" t="s">
        <v>6511</v>
      </c>
      <c r="C1861" s="970" t="str">
        <f t="shared" ref="C1861:C1889" si="334">IF(OR(P1861&lt;&gt;0,H1861&lt;&gt;0),"x","")</f>
        <v>x</v>
      </c>
      <c r="D1861" s="1428">
        <f t="shared" ref="D1861:D1889" si="335">K1861</f>
        <v>86</v>
      </c>
      <c r="E1861" s="980"/>
      <c r="F1861" s="992" t="str">
        <f>VLOOKUP($B1861,DG!A:D,DG!$C$2,)</f>
        <v>Dây buộc đầu sứ cỡ dây 95mm2</v>
      </c>
      <c r="G1861" s="980" t="str">
        <f>VLOOKUP($B1861,DG!A:D,DG!$D$2,)</f>
        <v>cái</v>
      </c>
      <c r="H1861" s="1693">
        <f>IF(D1861&gt;0,D1861,K1861)</f>
        <v>86</v>
      </c>
      <c r="I1861" s="1693"/>
      <c r="J1861" s="1693"/>
      <c r="K1861" s="1692">
        <f>IFERROR(HLOOKUP(B1861,pp3p1m!$1:$3,2,0),0)</f>
        <v>86</v>
      </c>
      <c r="L1861" s="1693"/>
      <c r="M1861" s="1693"/>
      <c r="N1861" s="1788"/>
      <c r="O1861" s="1693"/>
      <c r="P1861" s="1693">
        <f t="shared" ref="P1861:P1889" si="336">T1861</f>
        <v>86</v>
      </c>
      <c r="Q1861" s="1693">
        <f t="shared" ref="Q1861:Q1889" si="337">IF(P1861&gt;H1861,P1861-H1861,0)</f>
        <v>0</v>
      </c>
      <c r="R1861" s="1693">
        <f t="shared" ref="R1861:R1889" si="338">IF(H1861&gt;P1861,H1861-P1861,0)</f>
        <v>0</v>
      </c>
      <c r="S1861" s="989"/>
      <c r="T1861" s="1862">
        <f>IFERROR(HLOOKUP(B1861,pp3p1m!$1:$3,3,0),0)</f>
        <v>86</v>
      </c>
    </row>
    <row r="1862" spans="1:20" ht="22.2" customHeight="1">
      <c r="A1862" s="1448">
        <f>COUNTIF($C$12:C1862,"x")</f>
        <v>123</v>
      </c>
      <c r="B1862" s="1797" t="s">
        <v>6497</v>
      </c>
      <c r="C1862" s="970" t="str">
        <f t="shared" si="334"/>
        <v>x</v>
      </c>
      <c r="D1862" s="1428">
        <f t="shared" si="335"/>
        <v>60</v>
      </c>
      <c r="E1862" s="980"/>
      <c r="F1862" s="992" t="str">
        <f>VLOOKUP($B1862,DG!A:D,DG!$C$2,)</f>
        <v>Dây buộc cổ sứ cỡ dây 95mm2</v>
      </c>
      <c r="G1862" s="980" t="str">
        <f>VLOOKUP($B1862,DG!A:D,DG!$D$2,)</f>
        <v>cái</v>
      </c>
      <c r="H1862" s="1693">
        <f t="shared" ref="H1862:H1934" si="339">IF(D1862&gt;0,D1862,K1862)</f>
        <v>60</v>
      </c>
      <c r="I1862" s="1693"/>
      <c r="J1862" s="1693"/>
      <c r="K1862" s="1692">
        <f>IFERROR(HLOOKUP(B1862,pp3p1m!$1:$3,2,0),0)</f>
        <v>60</v>
      </c>
      <c r="L1862" s="1693"/>
      <c r="M1862" s="1693"/>
      <c r="N1862" s="1788"/>
      <c r="O1862" s="1693"/>
      <c r="P1862" s="1693">
        <f t="shared" si="336"/>
        <v>60</v>
      </c>
      <c r="Q1862" s="1693">
        <f t="shared" si="337"/>
        <v>0</v>
      </c>
      <c r="R1862" s="1693">
        <f t="shared" si="338"/>
        <v>0</v>
      </c>
      <c r="S1862" s="989"/>
      <c r="T1862" s="1862">
        <f>IFERROR(HLOOKUP(B1862,pp3p1m!$1:$3,3,0),0)</f>
        <v>60</v>
      </c>
    </row>
    <row r="1863" spans="1:20" ht="22.2" hidden="1" customHeight="1">
      <c r="A1863" s="1448">
        <f>COUNTIF($C$12:C1863,"x")</f>
        <v>123</v>
      </c>
      <c r="B1863" s="1797" t="s">
        <v>6514</v>
      </c>
      <c r="C1863" s="970" t="str">
        <f t="shared" si="334"/>
        <v/>
      </c>
      <c r="D1863" s="1428">
        <f t="shared" si="335"/>
        <v>0</v>
      </c>
      <c r="E1863" s="980"/>
      <c r="F1863" s="992" t="str">
        <f>VLOOKUP($B1863,DG!A:D,DG!$C$2,)</f>
        <v>Dây buộc đầu sứ cỡ dây 185mm2</v>
      </c>
      <c r="G1863" s="980" t="str">
        <f>VLOOKUP($B1863,DG!A:D,DG!$D$2,)</f>
        <v>cái</v>
      </c>
      <c r="H1863" s="1693">
        <f t="shared" si="339"/>
        <v>0</v>
      </c>
      <c r="I1863" s="1693"/>
      <c r="J1863" s="1693"/>
      <c r="K1863" s="1692">
        <f>IFERROR(HLOOKUP(B1863,pp3p1m!$1:$3,2,0),0)</f>
        <v>0</v>
      </c>
      <c r="L1863" s="1693"/>
      <c r="M1863" s="1693"/>
      <c r="N1863" s="1788"/>
      <c r="O1863" s="1693"/>
      <c r="P1863" s="1788">
        <f t="shared" si="336"/>
        <v>0</v>
      </c>
      <c r="Q1863" s="1693">
        <f t="shared" si="337"/>
        <v>0</v>
      </c>
      <c r="R1863" s="1693">
        <f t="shared" si="338"/>
        <v>0</v>
      </c>
      <c r="S1863" s="989"/>
      <c r="T1863" s="1862">
        <f>IFERROR(HLOOKUP(B1863,pp3p1m!$1:$3,3,0),0)</f>
        <v>0</v>
      </c>
    </row>
    <row r="1864" spans="1:20" ht="22.2" hidden="1" customHeight="1">
      <c r="A1864" s="1448">
        <f>COUNTIF($C$12:C1864,"x")</f>
        <v>123</v>
      </c>
      <c r="B1864" s="1797" t="s">
        <v>6500</v>
      </c>
      <c r="C1864" s="970" t="str">
        <f t="shared" si="334"/>
        <v/>
      </c>
      <c r="D1864" s="1428">
        <f t="shared" si="335"/>
        <v>0</v>
      </c>
      <c r="E1864" s="980"/>
      <c r="F1864" s="992" t="str">
        <f>VLOOKUP($B1864,DG!A:D,DG!$C$2,)</f>
        <v>Dây buộc cổ sứ cỡ dây 185mm2</v>
      </c>
      <c r="G1864" s="980" t="str">
        <f>VLOOKUP($B1864,DG!A:D,DG!$D$2,)</f>
        <v>cái</v>
      </c>
      <c r="H1864" s="1693">
        <f t="shared" si="339"/>
        <v>0</v>
      </c>
      <c r="I1864" s="1693"/>
      <c r="J1864" s="1693"/>
      <c r="K1864" s="1692">
        <f>IFERROR(HLOOKUP(B1864,pp3p1m!$1:$3,2,0),0)</f>
        <v>0</v>
      </c>
      <c r="L1864" s="1693"/>
      <c r="M1864" s="1693"/>
      <c r="N1864" s="1788"/>
      <c r="O1864" s="1693"/>
      <c r="P1864" s="1788">
        <f t="shared" si="336"/>
        <v>0</v>
      </c>
      <c r="Q1864" s="1693">
        <f t="shared" si="337"/>
        <v>0</v>
      </c>
      <c r="R1864" s="1693">
        <f t="shared" si="338"/>
        <v>0</v>
      </c>
      <c r="S1864" s="989"/>
      <c r="T1864" s="1862">
        <f>IFERROR(HLOOKUP(B1864,pp3p1m!$1:$3,3,0),0)</f>
        <v>0</v>
      </c>
    </row>
    <row r="1865" spans="1:20" ht="22.2" customHeight="1">
      <c r="A1865" s="1448">
        <f>COUNTIF($C$12:C1865,"x")</f>
        <v>124</v>
      </c>
      <c r="B1865" s="1797" t="s">
        <v>236</v>
      </c>
      <c r="C1865" s="970" t="str">
        <f t="shared" si="334"/>
        <v>x</v>
      </c>
      <c r="D1865" s="1428">
        <f t="shared" si="335"/>
        <v>9</v>
      </c>
      <c r="E1865" s="980"/>
      <c r="F1865" s="992" t="str">
        <f>VLOOKUP($B1865,DG!A:D,DG!$C$2,)</f>
        <v>Kẹp quai 4/0</v>
      </c>
      <c r="G1865" s="980" t="str">
        <f>VLOOKUP($B1865,DG!A:D,DG!$D$2,)</f>
        <v>cái</v>
      </c>
      <c r="H1865" s="1693">
        <f t="shared" si="339"/>
        <v>9</v>
      </c>
      <c r="I1865" s="1693"/>
      <c r="J1865" s="1693"/>
      <c r="K1865" s="1692">
        <f>IFERROR(HLOOKUP(B1865,pp3p1m!$1:$3,2,0),0)</f>
        <v>9</v>
      </c>
      <c r="L1865" s="1693"/>
      <c r="M1865" s="1693"/>
      <c r="N1865" s="1788"/>
      <c r="O1865" s="1693"/>
      <c r="P1865" s="1693">
        <f t="shared" si="336"/>
        <v>9</v>
      </c>
      <c r="Q1865" s="1693">
        <f t="shared" si="337"/>
        <v>0</v>
      </c>
      <c r="R1865" s="1693">
        <f t="shared" si="338"/>
        <v>0</v>
      </c>
      <c r="S1865" s="989"/>
      <c r="T1865" s="1862">
        <f>IFERROR(HLOOKUP(B1865,pp3p1m!$1:$3,3,0),0)</f>
        <v>9</v>
      </c>
    </row>
    <row r="1866" spans="1:20" ht="22.2" customHeight="1">
      <c r="A1866" s="1448">
        <f>COUNTIF($C$12:C1866,"x")</f>
        <v>125</v>
      </c>
      <c r="B1866" s="1797" t="s">
        <v>1049</v>
      </c>
      <c r="C1866" s="970" t="str">
        <f t="shared" si="334"/>
        <v>x</v>
      </c>
      <c r="D1866" s="1428">
        <f t="shared" si="335"/>
        <v>9</v>
      </c>
      <c r="E1866" s="980"/>
      <c r="F1866" s="992" t="str">
        <f>VLOOKUP($B1866,DG!A:D,DG!$C$2,)</f>
        <v>Kẹp hotline 4/0</v>
      </c>
      <c r="G1866" s="980" t="str">
        <f>VLOOKUP($B1866,DG!A:D,DG!$D$2,)</f>
        <v>cái</v>
      </c>
      <c r="H1866" s="1693">
        <f t="shared" si="339"/>
        <v>9</v>
      </c>
      <c r="I1866" s="1693"/>
      <c r="J1866" s="1693"/>
      <c r="K1866" s="1692">
        <f>IFERROR(HLOOKUP(B1866,pp3p1m!$1:$3,2,0),0)</f>
        <v>9</v>
      </c>
      <c r="L1866" s="1693"/>
      <c r="M1866" s="1693"/>
      <c r="N1866" s="1788"/>
      <c r="O1866" s="1693"/>
      <c r="P1866" s="1693">
        <f t="shared" si="336"/>
        <v>9</v>
      </c>
      <c r="Q1866" s="1693">
        <f t="shared" si="337"/>
        <v>0</v>
      </c>
      <c r="R1866" s="1693">
        <f t="shared" si="338"/>
        <v>0</v>
      </c>
      <c r="S1866" s="989"/>
      <c r="T1866" s="1862">
        <f>IFERROR(HLOOKUP(B1866,pp3p1m!$1:$3,3,0),0)</f>
        <v>9</v>
      </c>
    </row>
    <row r="1867" spans="1:20" ht="22.2" customHeight="1">
      <c r="A1867" s="1448">
        <f>COUNTIF($C$12:C1867,"x")</f>
        <v>126</v>
      </c>
      <c r="B1867" s="1797" t="s">
        <v>1580</v>
      </c>
      <c r="C1867" s="970" t="str">
        <f t="shared" si="334"/>
        <v>x</v>
      </c>
      <c r="D1867" s="1428">
        <f t="shared" si="335"/>
        <v>4</v>
      </c>
      <c r="E1867" s="980"/>
      <c r="F1867" s="992" t="str">
        <f>VLOOKUP($B1867,DG!A:D,DG!$C$2,)</f>
        <v>Kẹp ép WR cỡ dây 70mm2</v>
      </c>
      <c r="G1867" s="980" t="str">
        <f>VLOOKUP($B1867,DG!A:D,DG!$D$2,)</f>
        <v>cái</v>
      </c>
      <c r="H1867" s="1693">
        <f t="shared" si="339"/>
        <v>4</v>
      </c>
      <c r="I1867" s="1693"/>
      <c r="J1867" s="1693"/>
      <c r="K1867" s="1692">
        <f>IFERROR(HLOOKUP(B1867,pp3p1m!$1:$3,2,0),0)</f>
        <v>4</v>
      </c>
      <c r="L1867" s="1693"/>
      <c r="M1867" s="1693"/>
      <c r="N1867" s="1788"/>
      <c r="O1867" s="1693"/>
      <c r="P1867" s="1693">
        <f t="shared" si="336"/>
        <v>4</v>
      </c>
      <c r="Q1867" s="1693">
        <f t="shared" si="337"/>
        <v>0</v>
      </c>
      <c r="R1867" s="1693">
        <f t="shared" si="338"/>
        <v>0</v>
      </c>
      <c r="S1867" s="989"/>
      <c r="T1867" s="1862">
        <f>IFERROR(HLOOKUP(B1867,pp3p1m!$1:$3,3,0),0)</f>
        <v>4</v>
      </c>
    </row>
    <row r="1868" spans="1:20" ht="22.2" customHeight="1">
      <c r="A1868" s="1448">
        <f>COUNTIF($C$12:C1868,"x")</f>
        <v>127</v>
      </c>
      <c r="B1868" s="1797" t="s">
        <v>240</v>
      </c>
      <c r="C1868" s="970" t="str">
        <f t="shared" si="334"/>
        <v>x</v>
      </c>
      <c r="D1868" s="1428">
        <f t="shared" si="335"/>
        <v>42</v>
      </c>
      <c r="E1868" s="980"/>
      <c r="F1868" s="992" t="str">
        <f>VLOOKUP($B1868,DG!A:D,DG!$C$2,)</f>
        <v>Kẹp ép WR cỡ dây 95mm2</v>
      </c>
      <c r="G1868" s="980" t="str">
        <f>VLOOKUP($B1868,DG!A:D,DG!$D$2,)</f>
        <v>cái</v>
      </c>
      <c r="H1868" s="1693">
        <f t="shared" si="339"/>
        <v>42</v>
      </c>
      <c r="I1868" s="1693"/>
      <c r="J1868" s="1693"/>
      <c r="K1868" s="1692">
        <f>IFERROR(HLOOKUP(B1868,pp3p1m!$1:$3,2,0),0)</f>
        <v>42</v>
      </c>
      <c r="L1868" s="1693"/>
      <c r="M1868" s="1693"/>
      <c r="N1868" s="1788"/>
      <c r="O1868" s="1693"/>
      <c r="P1868" s="1693">
        <f t="shared" si="336"/>
        <v>42</v>
      </c>
      <c r="Q1868" s="1693">
        <f t="shared" si="337"/>
        <v>0</v>
      </c>
      <c r="R1868" s="1693">
        <f t="shared" si="338"/>
        <v>0</v>
      </c>
      <c r="S1868" s="989"/>
      <c r="T1868" s="1862">
        <f>IFERROR(HLOOKUP(B1868,pp3p1m!$1:$3,3,0),0)</f>
        <v>42</v>
      </c>
    </row>
    <row r="1869" spans="1:20" ht="22.2" customHeight="1">
      <c r="A1869" s="1448">
        <f>COUNTIF($C$12:C1869,"x")</f>
        <v>128</v>
      </c>
      <c r="B1869" s="1797" t="s">
        <v>6524</v>
      </c>
      <c r="C1869" s="970" t="str">
        <f t="shared" si="334"/>
        <v>x</v>
      </c>
      <c r="D1869" s="1428">
        <v>84</v>
      </c>
      <c r="E1869" s="980"/>
      <c r="F1869" s="992" t="str">
        <f>VLOOKUP($B1869,DG!A:D,DG!$C$2,)</f>
        <v>Ống nối dây AC-185</v>
      </c>
      <c r="G1869" s="980" t="str">
        <f>VLOOKUP($B1869,DG!A:D,DG!$D$2,)</f>
        <v>cái</v>
      </c>
      <c r="H1869" s="1693">
        <f t="shared" si="339"/>
        <v>84</v>
      </c>
      <c r="I1869" s="1693"/>
      <c r="J1869" s="1693"/>
      <c r="K1869" s="1692">
        <f>IFERROR(HLOOKUP(B1869,pp3p1m!$1:$3,2,0),0)</f>
        <v>3</v>
      </c>
      <c r="L1869" s="1693"/>
      <c r="M1869" s="1693"/>
      <c r="N1869" s="1788"/>
      <c r="O1869" s="1693"/>
      <c r="P1869" s="1693">
        <f>H1869</f>
        <v>84</v>
      </c>
      <c r="Q1869" s="1693">
        <f t="shared" si="337"/>
        <v>0</v>
      </c>
      <c r="R1869" s="1693">
        <f t="shared" si="338"/>
        <v>0</v>
      </c>
      <c r="S1869" s="989"/>
      <c r="T1869" s="1862">
        <f>IFERROR(HLOOKUP(B1869,pp3p1m!$1:$3,3,0),0)</f>
        <v>3</v>
      </c>
    </row>
    <row r="1870" spans="1:20" ht="22.2" customHeight="1">
      <c r="A1870" s="1448">
        <f>COUNTIF($C$12:C1870,"x")</f>
        <v>129</v>
      </c>
      <c r="B1870" s="1797" t="s">
        <v>4674</v>
      </c>
      <c r="C1870" s="970" t="str">
        <f t="shared" si="334"/>
        <v>x</v>
      </c>
      <c r="D1870" s="1428">
        <f>K1870*3</f>
        <v>27</v>
      </c>
      <c r="E1870" s="980"/>
      <c r="F1870" s="992" t="str">
        <f>VLOOKUP($B1870,DG!A:D,DG!$C$2,)</f>
        <v>Ong co nhiệt</v>
      </c>
      <c r="G1870" s="980" t="str">
        <f>VLOOKUP($B1870,DG!A:D,DG!$D$2,)</f>
        <v>m</v>
      </c>
      <c r="H1870" s="1693">
        <f t="shared" si="339"/>
        <v>27</v>
      </c>
      <c r="I1870" s="1693"/>
      <c r="J1870" s="1693"/>
      <c r="K1870" s="1692">
        <f>IFERROR(HLOOKUP(B1870,pp3p1m!$1:$3,2,0),0)</f>
        <v>9</v>
      </c>
      <c r="L1870" s="1693"/>
      <c r="M1870" s="1693"/>
      <c r="N1870" s="1788"/>
      <c r="O1870" s="1693"/>
      <c r="P1870" s="1693">
        <f>H1870</f>
        <v>27</v>
      </c>
      <c r="Q1870" s="1693">
        <f t="shared" si="337"/>
        <v>0</v>
      </c>
      <c r="R1870" s="1693">
        <f t="shared" si="338"/>
        <v>0</v>
      </c>
      <c r="S1870" s="989"/>
      <c r="T1870" s="1862">
        <f>IFERROR(HLOOKUP(B1870,pp3p1m!$1:$3,3,0),0)</f>
        <v>9</v>
      </c>
    </row>
    <row r="1871" spans="1:20" ht="22.2" customHeight="1">
      <c r="A1871" s="1448">
        <f>COUNTIF($C$12:C1871,"x")</f>
        <v>130</v>
      </c>
      <c r="B1871" s="1797" t="s">
        <v>5800</v>
      </c>
      <c r="C1871" s="970" t="str">
        <f t="shared" si="334"/>
        <v>x</v>
      </c>
      <c r="D1871" s="1428">
        <f t="shared" si="335"/>
        <v>4</v>
      </c>
      <c r="E1871" s="980"/>
      <c r="F1871" s="992" t="str">
        <f>VLOOKUP($B1871,DG!A:D,DG!$C$2,)</f>
        <v>Băng keo cách điện trung thế</v>
      </c>
      <c r="G1871" s="980" t="str">
        <f>VLOOKUP($B1871,DG!A:D,DG!$D$2,)</f>
        <v>cuộn</v>
      </c>
      <c r="H1871" s="1693">
        <f t="shared" si="339"/>
        <v>4</v>
      </c>
      <c r="I1871" s="1693"/>
      <c r="J1871" s="1693"/>
      <c r="K1871" s="1692">
        <f>IFERROR(HLOOKUP(B1871,pp3p1m!$1:$3,2,0),0)</f>
        <v>4</v>
      </c>
      <c r="L1871" s="1693"/>
      <c r="M1871" s="1693"/>
      <c r="N1871" s="1788"/>
      <c r="O1871" s="1693"/>
      <c r="P1871" s="1693">
        <f t="shared" ref="P1871:P1886" si="340">H1871</f>
        <v>4</v>
      </c>
      <c r="Q1871" s="1693">
        <f t="shared" si="337"/>
        <v>0</v>
      </c>
      <c r="R1871" s="1693">
        <f t="shared" si="338"/>
        <v>0</v>
      </c>
      <c r="S1871" s="989"/>
      <c r="T1871" s="1862">
        <f>IFERROR(HLOOKUP(B1871,pp3p1m!$1:$3,3,0),0)</f>
        <v>4</v>
      </c>
    </row>
    <row r="1872" spans="1:20" ht="22.2" customHeight="1">
      <c r="A1872" s="1448">
        <f>COUNTIF($C$12:C1872,"x")</f>
        <v>131</v>
      </c>
      <c r="B1872" s="1460" t="s">
        <v>550</v>
      </c>
      <c r="C1872" s="970" t="str">
        <f t="shared" si="334"/>
        <v>x</v>
      </c>
      <c r="D1872" s="1428">
        <v>3</v>
      </c>
      <c r="E1872" s="980"/>
      <c r="F1872" s="992" t="str">
        <f>VLOOKUP($B1872,DG!A:D,DG!$C$2,)</f>
        <v>Bass LI bắt FCO</v>
      </c>
      <c r="G1872" s="980" t="str">
        <f>VLOOKUP($B1872,DG!A:D,DG!$D$2,)</f>
        <v>Bộ</v>
      </c>
      <c r="H1872" s="1693">
        <f t="shared" si="339"/>
        <v>3</v>
      </c>
      <c r="I1872" s="1693"/>
      <c r="J1872" s="1693"/>
      <c r="K1872" s="1692">
        <f>IFERROR(HLOOKUP(B1872,pp3p1m!$1:$3,2,0),0)</f>
        <v>0</v>
      </c>
      <c r="L1872" s="1693"/>
      <c r="M1872" s="1693"/>
      <c r="N1872" s="1788"/>
      <c r="O1872" s="1693"/>
      <c r="P1872" s="1693">
        <f t="shared" si="340"/>
        <v>3</v>
      </c>
      <c r="Q1872" s="1693">
        <f t="shared" si="337"/>
        <v>0</v>
      </c>
      <c r="R1872" s="1693">
        <f t="shared" si="338"/>
        <v>0</v>
      </c>
      <c r="S1872" s="989"/>
      <c r="T1872" s="1862">
        <f>IFERROR(HLOOKUP(B1872,pp3p1m!$1:$3,3,0),0)</f>
        <v>0</v>
      </c>
    </row>
    <row r="1873" spans="1:20" ht="22.2" customHeight="1">
      <c r="A1873" s="1448">
        <f>COUNTIF($C$12:C1873,"x")</f>
        <v>132</v>
      </c>
      <c r="B1873" s="1460" t="s">
        <v>1840</v>
      </c>
      <c r="C1873" s="970" t="str">
        <f t="shared" si="334"/>
        <v>x</v>
      </c>
      <c r="D1873" s="1428">
        <v>3</v>
      </c>
      <c r="E1873" s="980"/>
      <c r="F1873" s="992" t="str">
        <f>VLOOKUP($B1873,DG!A:D,DG!$C$2,)</f>
        <v>Bass LL bắt FCO, LA</v>
      </c>
      <c r="G1873" s="980" t="str">
        <f>VLOOKUP($B1873,DG!A:D,DG!$D$2,)</f>
        <v>bộ</v>
      </c>
      <c r="H1873" s="1693">
        <f t="shared" si="339"/>
        <v>3</v>
      </c>
      <c r="I1873" s="1693"/>
      <c r="J1873" s="1693"/>
      <c r="K1873" s="1692">
        <f>IFERROR(HLOOKUP(B1873,pp3p1m!$1:$3,2,0),0)</f>
        <v>0</v>
      </c>
      <c r="L1873" s="1693"/>
      <c r="M1873" s="1693"/>
      <c r="N1873" s="1788"/>
      <c r="O1873" s="1693"/>
      <c r="P1873" s="1693">
        <f t="shared" si="340"/>
        <v>3</v>
      </c>
      <c r="Q1873" s="1693">
        <f t="shared" si="337"/>
        <v>0</v>
      </c>
      <c r="R1873" s="1693">
        <f t="shared" si="338"/>
        <v>0</v>
      </c>
      <c r="S1873" s="989"/>
      <c r="T1873" s="1862">
        <f>IFERROR(HLOOKUP(B1873,pp3p1m!$1:$3,3,0),0)</f>
        <v>0</v>
      </c>
    </row>
    <row r="1874" spans="1:20" ht="22.2" customHeight="1">
      <c r="A1874" s="1448">
        <f>COUNTIF($C$12:C1874,"x")</f>
        <v>133</v>
      </c>
      <c r="B1874" s="1460" t="s">
        <v>4462</v>
      </c>
      <c r="C1874" s="970" t="str">
        <f t="shared" si="334"/>
        <v>x</v>
      </c>
      <c r="D1874" s="1428">
        <f>D1865</f>
        <v>9</v>
      </c>
      <c r="E1874" s="980"/>
      <c r="F1874" s="992" t="str">
        <f>VLOOKUP($B1874,DG!A:D,DG!$C$2,)</f>
        <v>Nắp chụp kẹp quai + hotline</v>
      </c>
      <c r="G1874" s="980" t="str">
        <f>VLOOKUP($B1874,DG!A:D,DG!$D$2,)</f>
        <v>bộ</v>
      </c>
      <c r="H1874" s="1693">
        <f t="shared" si="339"/>
        <v>9</v>
      </c>
      <c r="I1874" s="1693"/>
      <c r="J1874" s="1693"/>
      <c r="K1874" s="1692">
        <f>IFERROR(HLOOKUP(B1874,pp3p1m!$1:$3,2,0),0)</f>
        <v>0</v>
      </c>
      <c r="L1874" s="1693"/>
      <c r="M1874" s="1693"/>
      <c r="N1874" s="1788"/>
      <c r="O1874" s="1693"/>
      <c r="P1874" s="1693">
        <f t="shared" si="340"/>
        <v>9</v>
      </c>
      <c r="Q1874" s="1693">
        <f t="shared" si="337"/>
        <v>0</v>
      </c>
      <c r="R1874" s="1693">
        <f t="shared" si="338"/>
        <v>0</v>
      </c>
      <c r="S1874" s="989"/>
      <c r="T1874" s="1862">
        <f>IFERROR(HLOOKUP(B1874,pp3p1m!$1:$3,3,0),0)</f>
        <v>0</v>
      </c>
    </row>
    <row r="1875" spans="1:20" ht="22.2" customHeight="1">
      <c r="A1875" s="1448">
        <f>COUNTIF($C$12:C1875,"x")</f>
        <v>134</v>
      </c>
      <c r="B1875" s="1460" t="s">
        <v>6583</v>
      </c>
      <c r="C1875" s="970" t="str">
        <f t="shared" si="334"/>
        <v>x</v>
      </c>
      <c r="D1875" s="1428">
        <v>6</v>
      </c>
      <c r="E1875" s="980"/>
      <c r="F1875" s="992" t="str">
        <f>VLOOKUP($B1875,DG!A:D,DG!$C$2,)</f>
        <v>Chụp đầu cực LBS, Recloser</v>
      </c>
      <c r="G1875" s="980" t="str">
        <f>VLOOKUP($B1875,DG!A:D,DG!$D$2,)</f>
        <v>cái</v>
      </c>
      <c r="H1875" s="1693">
        <f t="shared" si="339"/>
        <v>6</v>
      </c>
      <c r="I1875" s="1693"/>
      <c r="J1875" s="1693"/>
      <c r="K1875" s="1692">
        <f>IFERROR(HLOOKUP(B1875,pp3p1m!$1:$3,2,0),0)</f>
        <v>0</v>
      </c>
      <c r="L1875" s="1693"/>
      <c r="M1875" s="1693"/>
      <c r="N1875" s="1788"/>
      <c r="O1875" s="1693"/>
      <c r="P1875" s="1693">
        <f t="shared" si="340"/>
        <v>6</v>
      </c>
      <c r="Q1875" s="1693">
        <f t="shared" si="337"/>
        <v>0</v>
      </c>
      <c r="R1875" s="1693">
        <f t="shared" si="338"/>
        <v>0</v>
      </c>
      <c r="S1875" s="989"/>
      <c r="T1875" s="1862">
        <f>IFERROR(HLOOKUP(B1875,pp3p1m!$1:$3,3,0),0)</f>
        <v>0</v>
      </c>
    </row>
    <row r="1876" spans="1:20" ht="22.2" customHeight="1">
      <c r="A1876" s="1448">
        <f>COUNTIF($C$12:C1876,"x")</f>
        <v>135</v>
      </c>
      <c r="B1876" s="1460" t="s">
        <v>382</v>
      </c>
      <c r="C1876" s="970" t="str">
        <f t="shared" ref="C1876:C1888" si="341">IF(OR(P1876&lt;&gt;0,H1876&lt;&gt;0),"x","")</f>
        <v>x</v>
      </c>
      <c r="D1876" s="1428">
        <v>4</v>
      </c>
      <c r="E1876" s="980"/>
      <c r="F1876" s="992" t="str">
        <f>VLOOKUP($B1876,DG!A:D,DG!$C$2,)</f>
        <v>Chụp đầu cực FCO (bộ 2 cái)</v>
      </c>
      <c r="G1876" s="980" t="str">
        <f>VLOOKUP($B1876,DG!A:D,DG!$D$2,)</f>
        <v>bộ</v>
      </c>
      <c r="H1876" s="1693">
        <f t="shared" ref="H1876:H1888" si="342">IF(D1876&gt;0,D1876,K1876)</f>
        <v>4</v>
      </c>
      <c r="I1876" s="1693"/>
      <c r="J1876" s="1693"/>
      <c r="K1876" s="1692">
        <f>IFERROR(HLOOKUP(B1876,pp3p1m!$1:$3,2,0),0)</f>
        <v>0</v>
      </c>
      <c r="L1876" s="1693"/>
      <c r="M1876" s="1693"/>
      <c r="N1876" s="1788"/>
      <c r="O1876" s="1693"/>
      <c r="P1876" s="1693">
        <f t="shared" si="340"/>
        <v>4</v>
      </c>
      <c r="Q1876" s="1693">
        <f t="shared" ref="Q1876:Q1888" si="343">IF(P1876&gt;H1876,P1876-H1876,0)</f>
        <v>0</v>
      </c>
      <c r="R1876" s="1693">
        <f t="shared" ref="R1876:R1888" si="344">IF(H1876&gt;P1876,H1876-P1876,0)</f>
        <v>0</v>
      </c>
      <c r="S1876" s="989"/>
      <c r="T1876" s="1862">
        <f>IFERROR(HLOOKUP(B1876,pp3p1m!$1:$3,3,0),0)</f>
        <v>0</v>
      </c>
    </row>
    <row r="1877" spans="1:20" ht="22.2" customHeight="1">
      <c r="A1877" s="1448">
        <f>COUNTIF($C$12:C1877,"x")</f>
        <v>136</v>
      </c>
      <c r="B1877" s="1460" t="s">
        <v>383</v>
      </c>
      <c r="C1877" s="970" t="str">
        <f t="shared" si="341"/>
        <v>x</v>
      </c>
      <c r="D1877" s="1428">
        <v>6</v>
      </c>
      <c r="E1877" s="980"/>
      <c r="F1877" s="992" t="str">
        <f>VLOOKUP($B1877,DG!A:D,DG!$C$2,)</f>
        <v>Chụp đầu cực LA</v>
      </c>
      <c r="G1877" s="980" t="str">
        <f>VLOOKUP($B1877,DG!A:D,DG!$D$2,)</f>
        <v>cái</v>
      </c>
      <c r="H1877" s="1693">
        <f t="shared" si="342"/>
        <v>6</v>
      </c>
      <c r="I1877" s="1693"/>
      <c r="J1877" s="1693"/>
      <c r="K1877" s="1692">
        <f>IFERROR(HLOOKUP(B1877,pp3p1m!$1:$3,2,0),0)</f>
        <v>0</v>
      </c>
      <c r="L1877" s="1693"/>
      <c r="M1877" s="1693"/>
      <c r="N1877" s="1788"/>
      <c r="O1877" s="1693"/>
      <c r="P1877" s="1693">
        <f t="shared" si="340"/>
        <v>6</v>
      </c>
      <c r="Q1877" s="1693">
        <f t="shared" si="343"/>
        <v>0</v>
      </c>
      <c r="R1877" s="1693">
        <f t="shared" si="344"/>
        <v>0</v>
      </c>
      <c r="S1877" s="989"/>
      <c r="T1877" s="1862">
        <f>IFERROR(HLOOKUP(B1877,pp3p1m!$1:$3,3,0),0)</f>
        <v>0</v>
      </c>
    </row>
    <row r="1878" spans="1:20" ht="22.2" customHeight="1">
      <c r="A1878" s="1448">
        <f>COUNTIF($C$12:C1878,"x")</f>
        <v>137</v>
      </c>
      <c r="B1878" s="1460" t="s">
        <v>6585</v>
      </c>
      <c r="C1878" s="970" t="str">
        <f t="shared" si="341"/>
        <v>x</v>
      </c>
      <c r="D1878" s="1428">
        <v>7</v>
      </c>
      <c r="E1878" s="980"/>
      <c r="F1878" s="992" t="str">
        <f>VLOOKUP($B1878,DG!A:D,DG!$C$2,)</f>
        <v>Ống PVC D42x2,1mm</v>
      </c>
      <c r="G1878" s="980" t="str">
        <f>VLOOKUP($B1878,DG!A:D,DG!$D$2,)</f>
        <v>m</v>
      </c>
      <c r="H1878" s="1693">
        <f t="shared" si="342"/>
        <v>7</v>
      </c>
      <c r="I1878" s="1693"/>
      <c r="J1878" s="1693"/>
      <c r="K1878" s="1692">
        <f>IFERROR(HLOOKUP(B1878,pp3p1m!$1:$3,2,0),0)</f>
        <v>0</v>
      </c>
      <c r="L1878" s="1693"/>
      <c r="M1878" s="1693"/>
      <c r="N1878" s="1788"/>
      <c r="O1878" s="1693"/>
      <c r="P1878" s="1693">
        <f t="shared" si="340"/>
        <v>7</v>
      </c>
      <c r="Q1878" s="1693">
        <f t="shared" si="343"/>
        <v>0</v>
      </c>
      <c r="R1878" s="1693">
        <f t="shared" si="344"/>
        <v>0</v>
      </c>
      <c r="S1878" s="989"/>
      <c r="T1878" s="1862">
        <f>IFERROR(HLOOKUP(B1878,pp3p1m!$1:$3,3,0),0)</f>
        <v>0</v>
      </c>
    </row>
    <row r="1879" spans="1:20" ht="22.2" customHeight="1">
      <c r="A1879" s="1448">
        <f>COUNTIF($C$12:C1879,"x")</f>
        <v>138</v>
      </c>
      <c r="B1879" s="1460" t="s">
        <v>6586</v>
      </c>
      <c r="C1879" s="970" t="str">
        <f t="shared" si="341"/>
        <v>x</v>
      </c>
      <c r="D1879" s="1428">
        <v>7</v>
      </c>
      <c r="E1879" s="980"/>
      <c r="F1879" s="992" t="str">
        <f>VLOOKUP($B1879,DG!A:D,DG!$C$2,)</f>
        <v>Ống PVC D60x2,8mm</v>
      </c>
      <c r="G1879" s="980" t="str">
        <f>VLOOKUP($B1879,DG!A:D,DG!$D$2,)</f>
        <v>m</v>
      </c>
      <c r="H1879" s="1693">
        <f t="shared" si="342"/>
        <v>7</v>
      </c>
      <c r="I1879" s="1693"/>
      <c r="J1879" s="1693"/>
      <c r="K1879" s="1692">
        <f>IFERROR(HLOOKUP(B1879,pp3p1m!$1:$3,2,0),0)</f>
        <v>0</v>
      </c>
      <c r="L1879" s="1693"/>
      <c r="M1879" s="1693"/>
      <c r="N1879" s="1788"/>
      <c r="O1879" s="1693"/>
      <c r="P1879" s="1693">
        <f t="shared" si="340"/>
        <v>7</v>
      </c>
      <c r="Q1879" s="1693">
        <f t="shared" si="343"/>
        <v>0</v>
      </c>
      <c r="R1879" s="1693">
        <f t="shared" si="344"/>
        <v>0</v>
      </c>
      <c r="S1879" s="989"/>
      <c r="T1879" s="1862">
        <f>IFERROR(HLOOKUP(B1879,pp3p1m!$1:$3,3,0),0)</f>
        <v>0</v>
      </c>
    </row>
    <row r="1880" spans="1:20" ht="22.2" customHeight="1">
      <c r="A1880" s="1448">
        <f>COUNTIF($C$12:C1880,"x")</f>
        <v>139</v>
      </c>
      <c r="B1880" s="1460" t="s">
        <v>227</v>
      </c>
      <c r="C1880" s="970" t="str">
        <f t="shared" si="341"/>
        <v>x</v>
      </c>
      <c r="D1880" s="1428">
        <v>4</v>
      </c>
      <c r="E1880" s="980"/>
      <c r="F1880" s="992" t="str">
        <f>VLOOKUP($B1880,DG!A:D,DG!$C$2,)</f>
        <v>Côllier 25x2</v>
      </c>
      <c r="G1880" s="980" t="str">
        <f>VLOOKUP($B1880,DG!A:D,DG!$D$2,)</f>
        <v>bộ</v>
      </c>
      <c r="H1880" s="1693">
        <f t="shared" si="342"/>
        <v>4</v>
      </c>
      <c r="I1880" s="1693"/>
      <c r="J1880" s="1693"/>
      <c r="K1880" s="1692">
        <f>IFERROR(HLOOKUP(B1880,pp3p1m!$1:$3,2,0),0)</f>
        <v>0</v>
      </c>
      <c r="L1880" s="1693"/>
      <c r="M1880" s="1693"/>
      <c r="N1880" s="1788"/>
      <c r="O1880" s="1693"/>
      <c r="P1880" s="1693">
        <f t="shared" si="340"/>
        <v>4</v>
      </c>
      <c r="Q1880" s="1693">
        <f t="shared" si="343"/>
        <v>0</v>
      </c>
      <c r="R1880" s="1693">
        <f t="shared" si="344"/>
        <v>0</v>
      </c>
      <c r="S1880" s="989"/>
      <c r="T1880" s="1862">
        <f>IFERROR(HLOOKUP(B1880,pp3p1m!$1:$3,3,0),0)</f>
        <v>0</v>
      </c>
    </row>
    <row r="1881" spans="1:20" ht="22.2" customHeight="1">
      <c r="A1881" s="1448">
        <f>COUNTIF($C$12:C1881,"x")</f>
        <v>140</v>
      </c>
      <c r="B1881" s="1460" t="s">
        <v>6248</v>
      </c>
      <c r="C1881" s="970" t="str">
        <f t="shared" si="341"/>
        <v>x</v>
      </c>
      <c r="D1881" s="1428">
        <v>2</v>
      </c>
      <c r="E1881" s="980"/>
      <c r="F1881" s="992" t="str">
        <f>VLOOKUP($B1881,DG!A:D,DG!$C$2,)</f>
        <v>Co 90 độ PVC 42</v>
      </c>
      <c r="G1881" s="980" t="str">
        <f>VLOOKUP($B1881,DG!A:D,DG!$D$2,)</f>
        <v>cái</v>
      </c>
      <c r="H1881" s="1693">
        <f t="shared" si="342"/>
        <v>2</v>
      </c>
      <c r="I1881" s="1693"/>
      <c r="J1881" s="1693"/>
      <c r="K1881" s="1692">
        <f>IFERROR(HLOOKUP(B1881,pp3p1m!$1:$3,2,0),0)</f>
        <v>0</v>
      </c>
      <c r="L1881" s="1693"/>
      <c r="M1881" s="1693"/>
      <c r="N1881" s="1788"/>
      <c r="O1881" s="1693"/>
      <c r="P1881" s="1693">
        <f t="shared" si="340"/>
        <v>2</v>
      </c>
      <c r="Q1881" s="1693">
        <f t="shared" si="343"/>
        <v>0</v>
      </c>
      <c r="R1881" s="1693">
        <f t="shared" si="344"/>
        <v>0</v>
      </c>
      <c r="S1881" s="989"/>
      <c r="T1881" s="1862">
        <f>IFERROR(HLOOKUP(B1881,pp3p1m!$1:$3,3,0),0)</f>
        <v>0</v>
      </c>
    </row>
    <row r="1882" spans="1:20" ht="22.2" customHeight="1">
      <c r="A1882" s="1448">
        <f>COUNTIF($C$12:C1882,"x")</f>
        <v>141</v>
      </c>
      <c r="B1882" s="1460" t="s">
        <v>1465</v>
      </c>
      <c r="C1882" s="970" t="str">
        <f t="shared" si="341"/>
        <v>x</v>
      </c>
      <c r="D1882" s="1428">
        <v>2</v>
      </c>
      <c r="E1882" s="980"/>
      <c r="F1882" s="992" t="str">
        <f>VLOOKUP($B1882,DG!A:D,DG!$C$2,)</f>
        <v>Co 90 độ PVC 60</v>
      </c>
      <c r="G1882" s="980" t="str">
        <f>VLOOKUP($B1882,DG!A:D,DG!$D$2,)</f>
        <v>cái</v>
      </c>
      <c r="H1882" s="1693">
        <f t="shared" si="342"/>
        <v>2</v>
      </c>
      <c r="I1882" s="1693"/>
      <c r="J1882" s="1693"/>
      <c r="K1882" s="1692">
        <f>IFERROR(HLOOKUP(B1882,pp3p1m!$1:$3,2,0),0)</f>
        <v>0</v>
      </c>
      <c r="L1882" s="1693"/>
      <c r="M1882" s="1693"/>
      <c r="N1882" s="1788"/>
      <c r="O1882" s="1693"/>
      <c r="P1882" s="1693">
        <f t="shared" si="340"/>
        <v>2</v>
      </c>
      <c r="Q1882" s="1693">
        <f t="shared" si="343"/>
        <v>0</v>
      </c>
      <c r="R1882" s="1693">
        <f t="shared" si="344"/>
        <v>0</v>
      </c>
      <c r="S1882" s="989"/>
      <c r="T1882" s="1862">
        <f>IFERROR(HLOOKUP(B1882,pp3p1m!$1:$3,3,0),0)</f>
        <v>0</v>
      </c>
    </row>
    <row r="1883" spans="1:20" ht="22.2" customHeight="1">
      <c r="A1883" s="1448">
        <f>COUNTIF($C$12:C1883,"x")</f>
        <v>142</v>
      </c>
      <c r="B1883" s="1460" t="s">
        <v>4843</v>
      </c>
      <c r="C1883" s="970" t="str">
        <f t="shared" si="341"/>
        <v>x</v>
      </c>
      <c r="D1883" s="1428">
        <v>1</v>
      </c>
      <c r="E1883" s="980"/>
      <c r="F1883" s="992" t="str">
        <f>VLOOKUP($B1883,DG!A:D,DG!$C$2,)</f>
        <v>Cổ dê bắt tủ trạm trụ ghép D320/60x6</v>
      </c>
      <c r="G1883" s="980" t="str">
        <f>VLOOKUP($B1883,DG!A:D,DG!$D$2,)</f>
        <v>bộ</v>
      </c>
      <c r="H1883" s="1693">
        <f t="shared" si="342"/>
        <v>1</v>
      </c>
      <c r="I1883" s="1693"/>
      <c r="J1883" s="1693"/>
      <c r="K1883" s="1692">
        <f>IFERROR(HLOOKUP(B1883,pp3p1m!$1:$3,2,0),0)</f>
        <v>0</v>
      </c>
      <c r="L1883" s="1693"/>
      <c r="M1883" s="1693"/>
      <c r="N1883" s="1788"/>
      <c r="O1883" s="1693"/>
      <c r="P1883" s="1693">
        <f t="shared" si="340"/>
        <v>1</v>
      </c>
      <c r="Q1883" s="1693">
        <f t="shared" si="343"/>
        <v>0</v>
      </c>
      <c r="R1883" s="1693">
        <f t="shared" si="344"/>
        <v>0</v>
      </c>
      <c r="S1883" s="989"/>
      <c r="T1883" s="1862">
        <f>IFERROR(HLOOKUP(B1883,pp3p1m!$1:$3,3,0),0)</f>
        <v>0</v>
      </c>
    </row>
    <row r="1884" spans="1:20" ht="22.2" customHeight="1">
      <c r="A1884" s="1448">
        <f>COUNTIF($C$12:C1884,"x")</f>
        <v>143</v>
      </c>
      <c r="B1884" s="1460" t="s">
        <v>1185</v>
      </c>
      <c r="C1884" s="970" t="str">
        <f t="shared" si="341"/>
        <v>x</v>
      </c>
      <c r="D1884" s="1428">
        <v>5</v>
      </c>
      <c r="E1884" s="980"/>
      <c r="F1884" s="992" t="str">
        <f>VLOOKUP($B1884,DG!A:D,DG!$C$2,)</f>
        <v>Boulon 16x350+ 2 long đền vuông D18-50x50x3/Zn</v>
      </c>
      <c r="G1884" s="980" t="str">
        <f>VLOOKUP($B1884,DG!A:D,DG!$D$2,)</f>
        <v>bộ</v>
      </c>
      <c r="H1884" s="1693">
        <f t="shared" si="342"/>
        <v>5</v>
      </c>
      <c r="I1884" s="1693"/>
      <c r="J1884" s="1693"/>
      <c r="K1884" s="1692">
        <f>IFERROR(HLOOKUP(B1884,pp3p1m!$1:$3,2,0),0)</f>
        <v>0</v>
      </c>
      <c r="L1884" s="1693"/>
      <c r="M1884" s="1693"/>
      <c r="N1884" s="1788"/>
      <c r="O1884" s="1693"/>
      <c r="P1884" s="1693">
        <f t="shared" si="340"/>
        <v>5</v>
      </c>
      <c r="Q1884" s="1693">
        <f t="shared" si="343"/>
        <v>0</v>
      </c>
      <c r="R1884" s="1693">
        <f t="shared" si="344"/>
        <v>0</v>
      </c>
      <c r="S1884" s="989"/>
      <c r="T1884" s="1862">
        <f>IFERROR(HLOOKUP(B1884,pp3p1m!$1:$3,3,0),0)</f>
        <v>0</v>
      </c>
    </row>
    <row r="1885" spans="1:20" ht="22.2" customHeight="1">
      <c r="A1885" s="1448">
        <f>COUNTIF($C$12:C1885,"x")</f>
        <v>144</v>
      </c>
      <c r="B1885" s="1460" t="s">
        <v>6587</v>
      </c>
      <c r="C1885" s="970" t="str">
        <f t="shared" si="341"/>
        <v>x</v>
      </c>
      <c r="D1885" s="1428">
        <v>6</v>
      </c>
      <c r="E1885" s="980"/>
      <c r="F1885" s="992" t="str">
        <f>VLOOKUP($B1885,DG!A:D,DG!$C$2,)</f>
        <v>Boulon 16x80+ 2 long đền vuông D18-50x50x3/Zn</v>
      </c>
      <c r="G1885" s="980" t="str">
        <f>VLOOKUP($B1885,DG!A:D,DG!$D$2,)</f>
        <v>bộ</v>
      </c>
      <c r="H1885" s="1693">
        <f t="shared" si="342"/>
        <v>6</v>
      </c>
      <c r="I1885" s="1693"/>
      <c r="J1885" s="1693"/>
      <c r="K1885" s="1692">
        <f>IFERROR(HLOOKUP(B1885,pp3p1m!$1:$3,2,0),0)</f>
        <v>0</v>
      </c>
      <c r="L1885" s="1693"/>
      <c r="M1885" s="1693"/>
      <c r="N1885" s="1788"/>
      <c r="O1885" s="1693"/>
      <c r="P1885" s="1693">
        <f t="shared" si="340"/>
        <v>6</v>
      </c>
      <c r="Q1885" s="1693">
        <f t="shared" si="343"/>
        <v>0</v>
      </c>
      <c r="R1885" s="1693">
        <f t="shared" si="344"/>
        <v>0</v>
      </c>
      <c r="S1885" s="989"/>
      <c r="T1885" s="1862">
        <f>IFERROR(HLOOKUP(B1885,pp3p1m!$1:$3,3,0),0)</f>
        <v>0</v>
      </c>
    </row>
    <row r="1886" spans="1:20" ht="22.2" customHeight="1">
      <c r="A1886" s="1448">
        <f>COUNTIF($C$12:C1886,"x")</f>
        <v>145</v>
      </c>
      <c r="B1886" s="1460" t="s">
        <v>6590</v>
      </c>
      <c r="C1886" s="970" t="str">
        <f t="shared" si="341"/>
        <v>x</v>
      </c>
      <c r="D1886" s="1428">
        <v>6</v>
      </c>
      <c r="E1886" s="980"/>
      <c r="F1886" s="992" t="str">
        <f>VLOOKUP($B1886,DG!A:D,DG!$C$2,)</f>
        <v>Boulon 16x50+ 2 long đền vuông D18-50x50x3/Zn</v>
      </c>
      <c r="G1886" s="980" t="str">
        <f>VLOOKUP($B1886,DG!A:D,DG!$D$2,)</f>
        <v>bộ</v>
      </c>
      <c r="H1886" s="1693">
        <f t="shared" si="342"/>
        <v>6</v>
      </c>
      <c r="I1886" s="1693"/>
      <c r="J1886" s="1693"/>
      <c r="K1886" s="1692">
        <f>IFERROR(HLOOKUP(B1886,pp3p1m!$1:$3,2,0),0)</f>
        <v>0</v>
      </c>
      <c r="L1886" s="1693"/>
      <c r="M1886" s="1693"/>
      <c r="N1886" s="1788"/>
      <c r="O1886" s="1693"/>
      <c r="P1886" s="1693">
        <f t="shared" si="340"/>
        <v>6</v>
      </c>
      <c r="Q1886" s="1693">
        <f t="shared" si="343"/>
        <v>0</v>
      </c>
      <c r="R1886" s="1693">
        <f t="shared" si="344"/>
        <v>0</v>
      </c>
      <c r="S1886" s="989"/>
      <c r="T1886" s="1862">
        <f>IFERROR(HLOOKUP(B1886,pp3p1m!$1:$3,3,0),0)</f>
        <v>0</v>
      </c>
    </row>
    <row r="1887" spans="1:20" ht="22.2" hidden="1" customHeight="1">
      <c r="A1887" s="1448">
        <f>COUNTIF($C$12:C1887,"x")</f>
        <v>145</v>
      </c>
      <c r="B1887" s="1460"/>
      <c r="C1887" s="970" t="str">
        <f t="shared" si="341"/>
        <v/>
      </c>
      <c r="D1887" s="1428">
        <f t="shared" ref="D1887:D1888" si="345">K1887</f>
        <v>0</v>
      </c>
      <c r="E1887" s="980"/>
      <c r="F1887" s="992" t="e">
        <f>VLOOKUP($B1887,DG!A:D,DG!$C$2,)</f>
        <v>#N/A</v>
      </c>
      <c r="G1887" s="980" t="e">
        <f>VLOOKUP($B1887,DG!A:D,DG!$D$2,)</f>
        <v>#N/A</v>
      </c>
      <c r="H1887" s="1693">
        <f t="shared" si="342"/>
        <v>0</v>
      </c>
      <c r="I1887" s="1693"/>
      <c r="J1887" s="1693"/>
      <c r="K1887" s="1692">
        <f>IFERROR(HLOOKUP(B1887,pp3p1m!$1:$3,2,0),0)</f>
        <v>0</v>
      </c>
      <c r="L1887" s="1693"/>
      <c r="M1887" s="1693"/>
      <c r="N1887" s="1788"/>
      <c r="O1887" s="1693"/>
      <c r="P1887" s="1788">
        <f t="shared" ref="P1887:P1888" si="346">T1887</f>
        <v>0</v>
      </c>
      <c r="Q1887" s="1693">
        <f t="shared" si="343"/>
        <v>0</v>
      </c>
      <c r="R1887" s="1693">
        <f t="shared" si="344"/>
        <v>0</v>
      </c>
      <c r="S1887" s="989"/>
      <c r="T1887" s="1862">
        <f>IFERROR(HLOOKUP(B1887,pp3p1m!$1:$3,3,0),0)</f>
        <v>0</v>
      </c>
    </row>
    <row r="1888" spans="1:20" ht="22.2" hidden="1" customHeight="1">
      <c r="A1888" s="1448">
        <f>COUNTIF($C$12:C1888,"x")</f>
        <v>145</v>
      </c>
      <c r="B1888" s="1460"/>
      <c r="C1888" s="970" t="str">
        <f t="shared" si="341"/>
        <v/>
      </c>
      <c r="D1888" s="1428">
        <f t="shared" si="345"/>
        <v>0</v>
      </c>
      <c r="E1888" s="980"/>
      <c r="F1888" s="992" t="e">
        <f>VLOOKUP($B1888,DG!A:D,DG!$C$2,)</f>
        <v>#N/A</v>
      </c>
      <c r="G1888" s="980" t="e">
        <f>VLOOKUP($B1888,DG!A:D,DG!$D$2,)</f>
        <v>#N/A</v>
      </c>
      <c r="H1888" s="1693">
        <f t="shared" si="342"/>
        <v>0</v>
      </c>
      <c r="I1888" s="1693"/>
      <c r="J1888" s="1693"/>
      <c r="K1888" s="1692">
        <f>IFERROR(HLOOKUP(B1888,pp3p1m!$1:$3,2,0),0)</f>
        <v>0</v>
      </c>
      <c r="L1888" s="1693"/>
      <c r="M1888" s="1693"/>
      <c r="N1888" s="1788"/>
      <c r="O1888" s="1693"/>
      <c r="P1888" s="1788">
        <f t="shared" si="346"/>
        <v>0</v>
      </c>
      <c r="Q1888" s="1693">
        <f t="shared" si="343"/>
        <v>0</v>
      </c>
      <c r="R1888" s="1693">
        <f t="shared" si="344"/>
        <v>0</v>
      </c>
      <c r="S1888" s="989"/>
      <c r="T1888" s="1862">
        <f>IFERROR(HLOOKUP(B1888,pp3p1m!$1:$3,3,0),0)</f>
        <v>0</v>
      </c>
    </row>
    <row r="1889" spans="1:20" ht="22.2" hidden="1" customHeight="1">
      <c r="A1889" s="1448">
        <f>COUNTIF($C$12:C1889,"x")</f>
        <v>145</v>
      </c>
      <c r="B1889" s="1460"/>
      <c r="C1889" s="970" t="str">
        <f t="shared" si="334"/>
        <v/>
      </c>
      <c r="D1889" s="1428">
        <f t="shared" si="335"/>
        <v>0</v>
      </c>
      <c r="E1889" s="980"/>
      <c r="F1889" s="992" t="e">
        <f>VLOOKUP($B1889,DG!A:D,DG!$C$2,)</f>
        <v>#N/A</v>
      </c>
      <c r="G1889" s="980" t="e">
        <f>VLOOKUP($B1889,DG!A:D,DG!$D$2,)</f>
        <v>#N/A</v>
      </c>
      <c r="H1889" s="1693">
        <f t="shared" si="339"/>
        <v>0</v>
      </c>
      <c r="I1889" s="1693"/>
      <c r="J1889" s="1693"/>
      <c r="K1889" s="1692">
        <f>IFERROR(HLOOKUP(B1889,pp3p1m!$1:$3,2,0),0)</f>
        <v>0</v>
      </c>
      <c r="L1889" s="1693"/>
      <c r="M1889" s="1693"/>
      <c r="N1889" s="1788"/>
      <c r="O1889" s="1693"/>
      <c r="P1889" s="1788">
        <f t="shared" si="336"/>
        <v>0</v>
      </c>
      <c r="Q1889" s="1693">
        <f t="shared" si="337"/>
        <v>0</v>
      </c>
      <c r="R1889" s="1693">
        <f t="shared" si="338"/>
        <v>0</v>
      </c>
      <c r="S1889" s="989"/>
      <c r="T1889" s="1862">
        <f>IFERROR(HLOOKUP(B1889,pp3p1m!$1:$3,3,0),0)</f>
        <v>0</v>
      </c>
    </row>
    <row r="1890" spans="1:20" ht="22.2" hidden="1" customHeight="1">
      <c r="A1890" s="1448">
        <f>COUNTIF($C$12:C1890,"x")</f>
        <v>145</v>
      </c>
      <c r="B1890" s="1460" t="s">
        <v>1144</v>
      </c>
      <c r="C1890" s="970" t="str">
        <f>IF(OR(P1890&lt;&gt;0,H1890&lt;&gt;0),"x","")</f>
        <v/>
      </c>
      <c r="D1890" s="1428">
        <f t="shared" si="333"/>
        <v>0</v>
      </c>
      <c r="E1890" s="980"/>
      <c r="F1890" s="992" t="str">
        <f>VLOOKUP($B1890,DG!A:D,DG!$C$2,)</f>
        <v>Khóa đỡ dây cỡ dây 240</v>
      </c>
      <c r="G1890" s="980" t="str">
        <f>VLOOKUP($B1890,DG!A:D,DG!$D$2,)</f>
        <v>cái</v>
      </c>
      <c r="H1890" s="1693">
        <f t="shared" si="339"/>
        <v>0</v>
      </c>
      <c r="I1890" s="1693"/>
      <c r="J1890" s="1693"/>
      <c r="K1890" s="1692">
        <f>IFERROR(HLOOKUP(B1890,pp3p1m!$1:$3,2,0),0)</f>
        <v>0</v>
      </c>
      <c r="L1890" s="1693"/>
      <c r="M1890" s="1693"/>
      <c r="N1890" s="1788"/>
      <c r="O1890" s="1693"/>
      <c r="P1890" s="1788">
        <f>T1890</f>
        <v>0</v>
      </c>
      <c r="Q1890" s="1693">
        <f>IF(P1890&gt;H1890,P1890-H1890,0)</f>
        <v>0</v>
      </c>
      <c r="R1890" s="1693">
        <f>IF(H1890&gt;P1890,H1890-P1890,0)</f>
        <v>0</v>
      </c>
      <c r="S1890" s="989"/>
      <c r="T1890" s="1862">
        <f>IFERROR(HLOOKUP(B1890,pp3p1m!$1:$3,3,0),0)</f>
        <v>0</v>
      </c>
    </row>
    <row r="1891" spans="1:20" ht="22.2" hidden="1" customHeight="1">
      <c r="A1891" s="1448">
        <f>COUNTIF($C$12:C1891,"x")</f>
        <v>145</v>
      </c>
      <c r="B1891" s="1460" t="s">
        <v>1143</v>
      </c>
      <c r="C1891" s="970" t="str">
        <f t="shared" si="321"/>
        <v xml:space="preserve"> </v>
      </c>
      <c r="D1891" s="1428">
        <f t="shared" si="333"/>
        <v>0</v>
      </c>
      <c r="E1891" s="980"/>
      <c r="F1891" s="992" t="str">
        <f>VLOOKUP($B1891,DG!A:D,DG!$C$2,)</f>
        <v>Khóa đỡ dây cỡ dây 185</v>
      </c>
      <c r="G1891" s="980" t="str">
        <f>VLOOKUP($B1891,DG!A:D,DG!$D$2,)</f>
        <v>cái</v>
      </c>
      <c r="H1891" s="1693">
        <f t="shared" si="339"/>
        <v>0</v>
      </c>
      <c r="I1891" s="1693"/>
      <c r="J1891" s="1693"/>
      <c r="K1891" s="1692">
        <f>IFERROR(HLOOKUP(B1891,pp3p1m!$1:$3,2,0),0)</f>
        <v>0</v>
      </c>
      <c r="L1891" s="1693"/>
      <c r="M1891" s="1693"/>
      <c r="N1891" s="1693"/>
      <c r="O1891" s="1693"/>
      <c r="P1891" s="1788">
        <f t="shared" ref="P1891:P1948" si="347">T1891</f>
        <v>0</v>
      </c>
      <c r="Q1891" s="1693">
        <f t="shared" ref="Q1891:Q1948" si="348">IF(P1891&gt;H1891,P1891-H1891,0)</f>
        <v>0</v>
      </c>
      <c r="R1891" s="1693">
        <f t="shared" ref="R1891:R1948" si="349">IF(H1891&gt;P1891,H1891-P1891,0)</f>
        <v>0</v>
      </c>
      <c r="S1891" s="989"/>
      <c r="T1891" s="1862">
        <f>IFERROR(HLOOKUP(B1891,pp3p1m!$1:$3,3,0),0)</f>
        <v>0</v>
      </c>
    </row>
    <row r="1892" spans="1:20" ht="22.2" hidden="1" customHeight="1">
      <c r="A1892" s="1448">
        <f>COUNTIF($C$12:C1892,"x")</f>
        <v>145</v>
      </c>
      <c r="B1892" s="1460" t="s">
        <v>1142</v>
      </c>
      <c r="C1892" s="970" t="str">
        <f t="shared" si="321"/>
        <v xml:space="preserve"> </v>
      </c>
      <c r="D1892" s="1428">
        <f t="shared" si="333"/>
        <v>0</v>
      </c>
      <c r="E1892" s="980"/>
      <c r="F1892" s="992" t="str">
        <f>VLOOKUP($B1892,DG!A:D,DG!$C$2,)</f>
        <v>Khóa đỡ dây cỡ dây 150</v>
      </c>
      <c r="G1892" s="980" t="str">
        <f>VLOOKUP($B1892,DG!A:D,DG!$D$2,)</f>
        <v>cái</v>
      </c>
      <c r="H1892" s="1693">
        <f t="shared" si="339"/>
        <v>0</v>
      </c>
      <c r="I1892" s="1693"/>
      <c r="J1892" s="1693"/>
      <c r="K1892" s="1692">
        <f>IFERROR(HLOOKUP(B1892,pp3p1m!$1:$3,2,0),0)</f>
        <v>0</v>
      </c>
      <c r="L1892" s="1693"/>
      <c r="M1892" s="1693"/>
      <c r="N1892" s="1693"/>
      <c r="O1892" s="1693"/>
      <c r="P1892" s="1788">
        <f t="shared" si="347"/>
        <v>0</v>
      </c>
      <c r="Q1892" s="1693">
        <f t="shared" si="348"/>
        <v>0</v>
      </c>
      <c r="R1892" s="1693">
        <f t="shared" si="349"/>
        <v>0</v>
      </c>
      <c r="S1892" s="989"/>
      <c r="T1892" s="1862">
        <f>IFERROR(HLOOKUP(B1892,pp3p1m!$1:$3,3,0),0)</f>
        <v>0</v>
      </c>
    </row>
    <row r="1893" spans="1:20" ht="22.2" hidden="1" customHeight="1">
      <c r="A1893" s="1448">
        <f>COUNTIF($C$12:C1893,"x")</f>
        <v>145</v>
      </c>
      <c r="B1893" s="1460" t="s">
        <v>1141</v>
      </c>
      <c r="C1893" s="970" t="str">
        <f t="shared" si="321"/>
        <v xml:space="preserve"> </v>
      </c>
      <c r="D1893" s="1428">
        <f t="shared" si="333"/>
        <v>0</v>
      </c>
      <c r="E1893" s="980"/>
      <c r="F1893" s="992" t="str">
        <f>VLOOKUP($B1893,DG!A:D,DG!$C$2,)</f>
        <v>Khóa đỡ dây cỡ dây 120</v>
      </c>
      <c r="G1893" s="980" t="str">
        <f>VLOOKUP($B1893,DG!A:D,DG!$D$2,)</f>
        <v>cái</v>
      </c>
      <c r="H1893" s="1693">
        <f t="shared" si="339"/>
        <v>0</v>
      </c>
      <c r="I1893" s="1693"/>
      <c r="J1893" s="1693"/>
      <c r="K1893" s="1692">
        <f>IFERROR(HLOOKUP(B1893,pp3p1m!$1:$3,2,0),0)</f>
        <v>0</v>
      </c>
      <c r="L1893" s="1693"/>
      <c r="M1893" s="1693"/>
      <c r="N1893" s="1693"/>
      <c r="O1893" s="1693"/>
      <c r="P1893" s="1788">
        <f t="shared" si="347"/>
        <v>0</v>
      </c>
      <c r="Q1893" s="1693">
        <f t="shared" si="348"/>
        <v>0</v>
      </c>
      <c r="R1893" s="1693">
        <f t="shared" si="349"/>
        <v>0</v>
      </c>
      <c r="S1893" s="989"/>
      <c r="T1893" s="1862">
        <f>IFERROR(HLOOKUP(B1893,pp3p1m!$1:$3,3,0),0)</f>
        <v>0</v>
      </c>
    </row>
    <row r="1894" spans="1:20" ht="22.2" hidden="1" customHeight="1">
      <c r="A1894" s="1448">
        <f>COUNTIF($C$12:C1894,"x")</f>
        <v>145</v>
      </c>
      <c r="B1894" s="1460" t="s">
        <v>101</v>
      </c>
      <c r="C1894" s="970" t="str">
        <f t="shared" si="321"/>
        <v xml:space="preserve"> </v>
      </c>
      <c r="D1894" s="1428">
        <f t="shared" si="333"/>
        <v>0</v>
      </c>
      <c r="E1894" s="980"/>
      <c r="F1894" s="992" t="str">
        <f>VLOOKUP($B1894,DG!A:D,DG!$C$2,)</f>
        <v>Khóa đỡ dây cỡ dây 95</v>
      </c>
      <c r="G1894" s="980" t="str">
        <f>VLOOKUP($B1894,DG!A:D,DG!$D$2,)</f>
        <v>cái</v>
      </c>
      <c r="H1894" s="1693">
        <f t="shared" si="339"/>
        <v>0</v>
      </c>
      <c r="I1894" s="1693"/>
      <c r="J1894" s="1693"/>
      <c r="K1894" s="1692">
        <f>IFERROR(HLOOKUP(B1894,pp3p1m!$1:$3,2,0),0)</f>
        <v>0</v>
      </c>
      <c r="L1894" s="1693"/>
      <c r="M1894" s="1693"/>
      <c r="N1894" s="1693"/>
      <c r="O1894" s="1693"/>
      <c r="P1894" s="1788">
        <f t="shared" si="347"/>
        <v>0</v>
      </c>
      <c r="Q1894" s="1693">
        <f t="shared" si="348"/>
        <v>0</v>
      </c>
      <c r="R1894" s="1693">
        <f t="shared" si="349"/>
        <v>0</v>
      </c>
      <c r="S1894" s="989"/>
      <c r="T1894" s="1862">
        <f>IFERROR(HLOOKUP(B1894,pp3p1m!$1:$3,3,0),0)</f>
        <v>0</v>
      </c>
    </row>
    <row r="1895" spans="1:20" ht="22.2" hidden="1" customHeight="1">
      <c r="A1895" s="1448">
        <f>COUNTIF($C$12:C1895,"x")</f>
        <v>145</v>
      </c>
      <c r="B1895" s="1460" t="s">
        <v>1481</v>
      </c>
      <c r="C1895" s="970" t="str">
        <f t="shared" si="321"/>
        <v xml:space="preserve"> </v>
      </c>
      <c r="D1895" s="1428">
        <f t="shared" si="333"/>
        <v>0</v>
      </c>
      <c r="E1895" s="980"/>
      <c r="F1895" s="992" t="str">
        <f>VLOOKUP($B1895,DG!A:D,DG!$C$2,)</f>
        <v>Khóa đỡ dây cỡ dây 70</v>
      </c>
      <c r="G1895" s="980" t="str">
        <f>VLOOKUP($B1895,DG!A:D,DG!$D$2,)</f>
        <v>cái</v>
      </c>
      <c r="H1895" s="1693">
        <f t="shared" si="339"/>
        <v>0</v>
      </c>
      <c r="I1895" s="1693"/>
      <c r="J1895" s="1693"/>
      <c r="K1895" s="1692">
        <f>IFERROR(HLOOKUP(B1895,pp3p1m!$1:$3,2,0),0)</f>
        <v>0</v>
      </c>
      <c r="L1895" s="1693"/>
      <c r="M1895" s="1693"/>
      <c r="N1895" s="1693"/>
      <c r="O1895" s="1693"/>
      <c r="P1895" s="1788">
        <f t="shared" si="347"/>
        <v>0</v>
      </c>
      <c r="Q1895" s="1693">
        <f t="shared" si="348"/>
        <v>0</v>
      </c>
      <c r="R1895" s="1693">
        <f t="shared" si="349"/>
        <v>0</v>
      </c>
      <c r="S1895" s="989"/>
      <c r="T1895" s="1862">
        <f>IFERROR(HLOOKUP(B1895,pp3p1m!$1:$3,3,0),0)</f>
        <v>0</v>
      </c>
    </row>
    <row r="1896" spans="1:20" ht="22.2" hidden="1" customHeight="1">
      <c r="A1896" s="1448">
        <f>COUNTIF($C$12:C1896,"x")</f>
        <v>145</v>
      </c>
      <c r="B1896" s="1460" t="s">
        <v>1175</v>
      </c>
      <c r="C1896" s="970" t="str">
        <f t="shared" si="321"/>
        <v xml:space="preserve"> </v>
      </c>
      <c r="D1896" s="1428">
        <f t="shared" si="333"/>
        <v>0</v>
      </c>
      <c r="E1896" s="980"/>
      <c r="F1896" s="992" t="str">
        <f>VLOOKUP($B1896,DG!A:D,DG!$C$2,)</f>
        <v>Khóa đỡ dây cỡ dây 50</v>
      </c>
      <c r="G1896" s="980" t="str">
        <f>VLOOKUP($B1896,DG!A:D,DG!$D$2,)</f>
        <v>cái</v>
      </c>
      <c r="H1896" s="1693">
        <f t="shared" si="339"/>
        <v>0</v>
      </c>
      <c r="I1896" s="1693"/>
      <c r="J1896" s="1693"/>
      <c r="K1896" s="1692">
        <f>IFERROR(HLOOKUP(B1896,pp3p1m!$1:$3,2,0),0)</f>
        <v>0</v>
      </c>
      <c r="L1896" s="1693"/>
      <c r="M1896" s="1693"/>
      <c r="N1896" s="1693"/>
      <c r="O1896" s="1693"/>
      <c r="P1896" s="1788">
        <f t="shared" si="347"/>
        <v>0</v>
      </c>
      <c r="Q1896" s="1693">
        <f t="shared" si="348"/>
        <v>0</v>
      </c>
      <c r="R1896" s="1693">
        <f t="shared" si="349"/>
        <v>0</v>
      </c>
      <c r="S1896" s="989"/>
      <c r="T1896" s="1862">
        <f>IFERROR(HLOOKUP(B1896,pp3p1m!$1:$3,3,0),0)</f>
        <v>0</v>
      </c>
    </row>
    <row r="1897" spans="1:20" ht="22.2" hidden="1" customHeight="1">
      <c r="A1897" s="1448">
        <f>COUNTIF($C$12:C1897,"x")</f>
        <v>145</v>
      </c>
      <c r="B1897" s="1460" t="s">
        <v>1741</v>
      </c>
      <c r="C1897" s="970" t="str">
        <f t="shared" si="321"/>
        <v xml:space="preserve"> </v>
      </c>
      <c r="D1897" s="1428">
        <f t="shared" si="333"/>
        <v>0</v>
      </c>
      <c r="E1897" s="980"/>
      <c r="F1897" s="992" t="str">
        <f>VLOOKUP($B1897,DG!A:D,DG!$C$2,)</f>
        <v>Khóa néo dây cỡ dây 240</v>
      </c>
      <c r="G1897" s="980" t="str">
        <f>VLOOKUP($B1897,DG!A:D,DG!$D$2,)</f>
        <v>cái</v>
      </c>
      <c r="H1897" s="1693">
        <f t="shared" si="339"/>
        <v>0</v>
      </c>
      <c r="I1897" s="1693"/>
      <c r="J1897" s="1693"/>
      <c r="K1897" s="1692">
        <f>IFERROR(HLOOKUP(B1897,pp3p1m!$1:$3,2,0),0)</f>
        <v>0</v>
      </c>
      <c r="L1897" s="1693"/>
      <c r="M1897" s="1693"/>
      <c r="N1897" s="1693"/>
      <c r="O1897" s="1693"/>
      <c r="P1897" s="1788">
        <f t="shared" si="347"/>
        <v>0</v>
      </c>
      <c r="Q1897" s="1693">
        <f t="shared" si="348"/>
        <v>0</v>
      </c>
      <c r="R1897" s="1693">
        <f t="shared" si="349"/>
        <v>0</v>
      </c>
      <c r="S1897" s="989"/>
      <c r="T1897" s="1862">
        <f>IFERROR(HLOOKUP(B1897,pp3p1m!$1:$3,3,0),0)</f>
        <v>0</v>
      </c>
    </row>
    <row r="1898" spans="1:20" ht="22.2" hidden="1" customHeight="1">
      <c r="A1898" s="1448">
        <f>COUNTIF($C$12:C1898,"x")</f>
        <v>145</v>
      </c>
      <c r="B1898" s="1460" t="s">
        <v>904</v>
      </c>
      <c r="C1898" s="970" t="str">
        <f t="shared" si="321"/>
        <v xml:space="preserve"> </v>
      </c>
      <c r="D1898" s="1428">
        <f t="shared" si="333"/>
        <v>0</v>
      </c>
      <c r="E1898" s="980"/>
      <c r="F1898" s="992" t="str">
        <f>VLOOKUP($B1898,DG!A:D,DG!$C$2,)</f>
        <v>Khóa néo dây cỡ dây 50</v>
      </c>
      <c r="G1898" s="980" t="str">
        <f>VLOOKUP($B1898,DG!A:D,DG!$D$2,)</f>
        <v>cái</v>
      </c>
      <c r="H1898" s="1693">
        <f t="shared" si="339"/>
        <v>0</v>
      </c>
      <c r="I1898" s="1693"/>
      <c r="J1898" s="1693"/>
      <c r="K1898" s="1692">
        <f>IFERROR(HLOOKUP(B1898,pp3p1m!$1:$3,2,0),0)</f>
        <v>0</v>
      </c>
      <c r="L1898" s="1693"/>
      <c r="M1898" s="1693"/>
      <c r="N1898" s="1693"/>
      <c r="O1898" s="1693"/>
      <c r="P1898" s="1788">
        <f t="shared" si="347"/>
        <v>0</v>
      </c>
      <c r="Q1898" s="1693">
        <f t="shared" si="348"/>
        <v>0</v>
      </c>
      <c r="R1898" s="1693">
        <f t="shared" si="349"/>
        <v>0</v>
      </c>
      <c r="S1898" s="989"/>
      <c r="T1898" s="1862">
        <f>IFERROR(HLOOKUP(B1898,pp3p1m!$1:$3,3,0),0)</f>
        <v>0</v>
      </c>
    </row>
    <row r="1899" spans="1:20" ht="22.2" hidden="1" customHeight="1">
      <c r="A1899" s="1448">
        <f>COUNTIF($C$12:C1899,"x")</f>
        <v>145</v>
      </c>
      <c r="B1899" s="1460" t="s">
        <v>2109</v>
      </c>
      <c r="C1899" s="970" t="str">
        <f t="shared" si="321"/>
        <v xml:space="preserve"> </v>
      </c>
      <c r="D1899" s="1428">
        <f t="shared" si="333"/>
        <v>0</v>
      </c>
      <c r="E1899" s="980"/>
      <c r="F1899" s="992" t="str">
        <f>VLOOKUP($B1899,DG!A:D,DG!$C$2,)</f>
        <v>Khóa néo dây cỡ dây 150</v>
      </c>
      <c r="G1899" s="980" t="str">
        <f>VLOOKUP($B1899,DG!A:D,DG!$D$2,)</f>
        <v>cái</v>
      </c>
      <c r="H1899" s="1693">
        <f t="shared" si="339"/>
        <v>0</v>
      </c>
      <c r="I1899" s="1693"/>
      <c r="J1899" s="1693"/>
      <c r="K1899" s="1692">
        <f>IFERROR(HLOOKUP(B1899,pp3p1m!$1:$3,2,0),0)</f>
        <v>0</v>
      </c>
      <c r="L1899" s="1693"/>
      <c r="M1899" s="1693"/>
      <c r="N1899" s="1693"/>
      <c r="O1899" s="1693"/>
      <c r="P1899" s="1788">
        <f t="shared" si="347"/>
        <v>0</v>
      </c>
      <c r="Q1899" s="1693">
        <f t="shared" si="348"/>
        <v>0</v>
      </c>
      <c r="R1899" s="1693">
        <f t="shared" si="349"/>
        <v>0</v>
      </c>
      <c r="S1899" s="989"/>
      <c r="T1899" s="1862">
        <f>IFERROR(HLOOKUP(B1899,pp3p1m!$1:$3,3,0),0)</f>
        <v>0</v>
      </c>
    </row>
    <row r="1900" spans="1:20" ht="22.2" hidden="1" customHeight="1">
      <c r="A1900" s="1448">
        <f>COUNTIF($C$12:C1900,"x")</f>
        <v>145</v>
      </c>
      <c r="B1900" s="1460" t="s">
        <v>431</v>
      </c>
      <c r="C1900" s="970" t="str">
        <f t="shared" si="321"/>
        <v xml:space="preserve"> </v>
      </c>
      <c r="D1900" s="1428">
        <f t="shared" si="333"/>
        <v>0</v>
      </c>
      <c r="E1900" s="980"/>
      <c r="F1900" s="992" t="str">
        <f>VLOOKUP($B1900,DG!A:D,DG!$C$2,)</f>
        <v>Khóa néo dây cỡ dây 120</v>
      </c>
      <c r="G1900" s="980" t="str">
        <f>VLOOKUP($B1900,DG!A:D,DG!$D$2,)</f>
        <v>cái</v>
      </c>
      <c r="H1900" s="1693">
        <f t="shared" si="339"/>
        <v>0</v>
      </c>
      <c r="I1900" s="1693"/>
      <c r="J1900" s="1693"/>
      <c r="K1900" s="1692">
        <f>IFERROR(HLOOKUP(B1900,pp3p1m!$1:$3,2,0),0)</f>
        <v>0</v>
      </c>
      <c r="L1900" s="1693"/>
      <c r="M1900" s="1693"/>
      <c r="N1900" s="1693"/>
      <c r="O1900" s="1693"/>
      <c r="P1900" s="1788">
        <f t="shared" si="347"/>
        <v>0</v>
      </c>
      <c r="Q1900" s="1693">
        <f t="shared" si="348"/>
        <v>0</v>
      </c>
      <c r="R1900" s="1693">
        <f t="shared" si="349"/>
        <v>0</v>
      </c>
      <c r="S1900" s="989"/>
      <c r="T1900" s="1862">
        <f>IFERROR(HLOOKUP(B1900,pp3p1m!$1:$3,3,0),0)</f>
        <v>0</v>
      </c>
    </row>
    <row r="1901" spans="1:20" ht="22.2" hidden="1" customHeight="1">
      <c r="A1901" s="1448">
        <f>COUNTIF($C$12:C1901,"x")</f>
        <v>145</v>
      </c>
      <c r="B1901" s="1460" t="s">
        <v>1257</v>
      </c>
      <c r="C1901" s="970" t="str">
        <f t="shared" si="321"/>
        <v xml:space="preserve"> </v>
      </c>
      <c r="D1901" s="1428">
        <f t="shared" si="333"/>
        <v>0</v>
      </c>
      <c r="E1901" s="980"/>
      <c r="F1901" s="992" t="str">
        <f>VLOOKUP($B1901,DG!A:D,DG!$C$2,)</f>
        <v>Khóa néo dây cỡ dây 95</v>
      </c>
      <c r="G1901" s="980" t="str">
        <f>VLOOKUP($B1901,DG!A:D,DG!$D$2,)</f>
        <v>cái</v>
      </c>
      <c r="H1901" s="1693">
        <f t="shared" si="339"/>
        <v>0</v>
      </c>
      <c r="I1901" s="1693"/>
      <c r="J1901" s="1693"/>
      <c r="K1901" s="1692">
        <f>IFERROR(HLOOKUP(B1901,pp3p1m!$1:$3,2,0),0)</f>
        <v>0</v>
      </c>
      <c r="L1901" s="1693"/>
      <c r="M1901" s="1693"/>
      <c r="N1901" s="1693"/>
      <c r="O1901" s="1693"/>
      <c r="P1901" s="1788">
        <f t="shared" si="347"/>
        <v>0</v>
      </c>
      <c r="Q1901" s="1693">
        <f t="shared" si="348"/>
        <v>0</v>
      </c>
      <c r="R1901" s="1693">
        <f t="shared" si="349"/>
        <v>0</v>
      </c>
      <c r="S1901" s="989"/>
      <c r="T1901" s="1862">
        <f>IFERROR(HLOOKUP(B1901,pp3p1m!$1:$3,3,0),0)</f>
        <v>0</v>
      </c>
    </row>
    <row r="1902" spans="1:20" ht="22.2" hidden="1" customHeight="1">
      <c r="A1902" s="1448">
        <f>COUNTIF($C$12:C1902,"x")</f>
        <v>145</v>
      </c>
      <c r="B1902" s="1460" t="s">
        <v>2231</v>
      </c>
      <c r="C1902" s="970" t="str">
        <f t="shared" ref="C1902:C1967" si="350">IF(OR(P1902&lt;&gt;0,H1902&lt;&gt;0),"x"," ")</f>
        <v xml:space="preserve"> </v>
      </c>
      <c r="D1902" s="1428">
        <f t="shared" si="333"/>
        <v>0</v>
      </c>
      <c r="E1902" s="980"/>
      <c r="F1902" s="992" t="str">
        <f>VLOOKUP($B1902,DG!A:D,DG!$C$2,)</f>
        <v>Khóa néo dây cỡ dây 70</v>
      </c>
      <c r="G1902" s="980" t="str">
        <f>VLOOKUP($B1902,DG!A:D,DG!$D$2,)</f>
        <v>cái</v>
      </c>
      <c r="H1902" s="1693">
        <f t="shared" si="339"/>
        <v>0</v>
      </c>
      <c r="I1902" s="1693"/>
      <c r="J1902" s="1693"/>
      <c r="K1902" s="1692">
        <f>IFERROR(HLOOKUP(B1902,pp3p1m!$1:$3,2,0),0)</f>
        <v>0</v>
      </c>
      <c r="L1902" s="1693"/>
      <c r="M1902" s="1693"/>
      <c r="N1902" s="1693"/>
      <c r="O1902" s="1693"/>
      <c r="P1902" s="1788">
        <f t="shared" si="347"/>
        <v>0</v>
      </c>
      <c r="Q1902" s="1693">
        <f t="shared" si="348"/>
        <v>0</v>
      </c>
      <c r="R1902" s="1693">
        <f t="shared" si="349"/>
        <v>0</v>
      </c>
      <c r="S1902" s="989"/>
      <c r="T1902" s="1862">
        <f>IFERROR(HLOOKUP(B1902,pp3p1m!$1:$3,3,0),0)</f>
        <v>0</v>
      </c>
    </row>
    <row r="1903" spans="1:20" ht="22.2" hidden="1" customHeight="1">
      <c r="A1903" s="1448">
        <f>COUNTIF($C$12:C1903,"x")</f>
        <v>145</v>
      </c>
      <c r="B1903" s="1480" t="s">
        <v>1482</v>
      </c>
      <c r="C1903" s="970" t="str">
        <f t="shared" si="350"/>
        <v xml:space="preserve"> </v>
      </c>
      <c r="D1903" s="1428">
        <f t="shared" si="333"/>
        <v>0</v>
      </c>
      <c r="E1903" s="980"/>
      <c r="F1903" s="992" t="str">
        <f>VLOOKUP($B1903,DG!A:D,DG!$C$2,)</f>
        <v>Khóa néo dây cỡ dây 50</v>
      </c>
      <c r="G1903" s="980" t="str">
        <f>VLOOKUP($B1903,DG!A:D,DG!$D$2,)</f>
        <v>cái</v>
      </c>
      <c r="H1903" s="1693">
        <f t="shared" si="339"/>
        <v>0</v>
      </c>
      <c r="I1903" s="1693"/>
      <c r="J1903" s="1693"/>
      <c r="K1903" s="1692">
        <f>IFERROR(HLOOKUP(B1903,pp3p1m!$1:$3,2,0),0)</f>
        <v>0</v>
      </c>
      <c r="L1903" s="1693"/>
      <c r="M1903" s="1693"/>
      <c r="N1903" s="1693"/>
      <c r="O1903" s="1693"/>
      <c r="P1903" s="1788">
        <f t="shared" si="347"/>
        <v>0</v>
      </c>
      <c r="Q1903" s="1693">
        <f t="shared" si="348"/>
        <v>0</v>
      </c>
      <c r="R1903" s="1693">
        <f t="shared" si="349"/>
        <v>0</v>
      </c>
      <c r="S1903" s="989"/>
      <c r="T1903" s="1862">
        <f>IFERROR(HLOOKUP(B1903,pp3p1m!$1:$3,3,0),0)</f>
        <v>0</v>
      </c>
    </row>
    <row r="1904" spans="1:20" ht="22.2" hidden="1" customHeight="1">
      <c r="A1904" s="1448">
        <f>COUNTIF($C$12:C1904,"x")</f>
        <v>145</v>
      </c>
      <c r="B1904" s="1460" t="s">
        <v>816</v>
      </c>
      <c r="C1904" s="970" t="str">
        <f t="shared" si="350"/>
        <v xml:space="preserve"> </v>
      </c>
      <c r="D1904" s="1428">
        <f t="shared" si="333"/>
        <v>0</v>
      </c>
      <c r="E1904" s="980"/>
      <c r="F1904" s="992" t="str">
        <f>VLOOKUP($B1904,DG!A:D,DG!$C$2,)</f>
        <v>Ốc siết cáp cỡ 25mm2</v>
      </c>
      <c r="G1904" s="980" t="str">
        <f>VLOOKUP($B1904,DG!A:D,DG!$D$2,)</f>
        <v>cái</v>
      </c>
      <c r="H1904" s="1693">
        <f t="shared" si="339"/>
        <v>0</v>
      </c>
      <c r="I1904" s="1693"/>
      <c r="J1904" s="1693"/>
      <c r="K1904" s="1692">
        <f>IFERROR(HLOOKUP(B1904,pp3p1m!$1:$3,2,0),0)</f>
        <v>0</v>
      </c>
      <c r="L1904" s="1693"/>
      <c r="M1904" s="1693"/>
      <c r="N1904" s="1693"/>
      <c r="O1904" s="1693"/>
      <c r="P1904" s="1788">
        <f t="shared" si="347"/>
        <v>0</v>
      </c>
      <c r="Q1904" s="1693">
        <f t="shared" si="348"/>
        <v>0</v>
      </c>
      <c r="R1904" s="1693">
        <f t="shared" si="349"/>
        <v>0</v>
      </c>
      <c r="S1904" s="989"/>
      <c r="T1904" s="1862">
        <f>IFERROR(HLOOKUP(B1904,pp3p1m!$1:$3,3,0),0)</f>
        <v>0</v>
      </c>
    </row>
    <row r="1905" spans="1:20" ht="22.2" hidden="1" customHeight="1">
      <c r="A1905" s="1448">
        <f>COUNTIF($C$12:C1905,"x")</f>
        <v>145</v>
      </c>
      <c r="B1905" s="1460" t="s">
        <v>1358</v>
      </c>
      <c r="C1905" s="970" t="str">
        <f t="shared" si="350"/>
        <v xml:space="preserve"> </v>
      </c>
      <c r="D1905" s="1428">
        <f t="shared" si="333"/>
        <v>0</v>
      </c>
      <c r="E1905" s="980"/>
      <c r="F1905" s="992" t="str">
        <f>VLOOKUP($B1905,DG!A:D,DG!$C$2,)</f>
        <v xml:space="preserve">Ốc siết cáp cỡ 50mm2 </v>
      </c>
      <c r="G1905" s="980" t="str">
        <f>VLOOKUP($B1905,DG!A:D,DG!$D$2,)</f>
        <v>cái</v>
      </c>
      <c r="H1905" s="1693">
        <f t="shared" si="339"/>
        <v>0</v>
      </c>
      <c r="I1905" s="1693"/>
      <c r="J1905" s="1693"/>
      <c r="K1905" s="1692">
        <f>IFERROR(HLOOKUP(B1905,pp3p1m!$1:$3,2,0),0)</f>
        <v>0</v>
      </c>
      <c r="L1905" s="1693"/>
      <c r="M1905" s="1693"/>
      <c r="N1905" s="1693"/>
      <c r="O1905" s="1693"/>
      <c r="P1905" s="1788">
        <f t="shared" si="347"/>
        <v>0</v>
      </c>
      <c r="Q1905" s="1693">
        <f t="shared" si="348"/>
        <v>0</v>
      </c>
      <c r="R1905" s="1693">
        <f t="shared" si="349"/>
        <v>0</v>
      </c>
      <c r="S1905" s="989"/>
      <c r="T1905" s="1862">
        <f>IFERROR(HLOOKUP(B1905,pp3p1m!$1:$3,3,0),0)</f>
        <v>0</v>
      </c>
    </row>
    <row r="1906" spans="1:20" ht="22.2" hidden="1" customHeight="1">
      <c r="A1906" s="1448">
        <f>COUNTIF($C$12:C1906,"x")</f>
        <v>145</v>
      </c>
      <c r="B1906" s="1460" t="s">
        <v>1963</v>
      </c>
      <c r="C1906" s="970" t="str">
        <f t="shared" si="350"/>
        <v xml:space="preserve"> </v>
      </c>
      <c r="D1906" s="1428">
        <f t="shared" si="333"/>
        <v>0</v>
      </c>
      <c r="E1906" s="980"/>
      <c r="F1906" s="992" t="str">
        <f>VLOOKUP($B1906,DG!A:D,DG!$C$2,)</f>
        <v>Kẹp ép WR cỡ dây 35mm2</v>
      </c>
      <c r="G1906" s="980" t="str">
        <f>VLOOKUP($B1906,DG!A:D,DG!$D$2,)</f>
        <v>cái</v>
      </c>
      <c r="H1906" s="1693">
        <f t="shared" si="339"/>
        <v>0</v>
      </c>
      <c r="I1906" s="1693"/>
      <c r="J1906" s="1693"/>
      <c r="K1906" s="1692">
        <f>IFERROR(HLOOKUP(B1906,pp3p1m!$1:$3,2,0),0)</f>
        <v>0</v>
      </c>
      <c r="L1906" s="1693"/>
      <c r="M1906" s="1693"/>
      <c r="N1906" s="1693"/>
      <c r="O1906" s="1693"/>
      <c r="P1906" s="1788">
        <f t="shared" si="347"/>
        <v>0</v>
      </c>
      <c r="Q1906" s="1693">
        <f t="shared" si="348"/>
        <v>0</v>
      </c>
      <c r="R1906" s="1693">
        <f t="shared" si="349"/>
        <v>0</v>
      </c>
      <c r="S1906" s="989"/>
      <c r="T1906" s="1862">
        <f>IFERROR(HLOOKUP(B1906,pp3p1m!$1:$3,3,0),0)</f>
        <v>0</v>
      </c>
    </row>
    <row r="1907" spans="1:20" ht="22.2" hidden="1" customHeight="1">
      <c r="A1907" s="1448">
        <f>COUNTIF($C$12:C1907,"x")</f>
        <v>145</v>
      </c>
      <c r="B1907" s="1459" t="s">
        <v>905</v>
      </c>
      <c r="C1907" s="1701" t="str">
        <f t="shared" si="350"/>
        <v xml:space="preserve"> </v>
      </c>
      <c r="D1907" s="1428">
        <f t="shared" si="333"/>
        <v>0</v>
      </c>
      <c r="E1907" s="980"/>
      <c r="F1907" s="992" t="str">
        <f>VLOOKUP($B1907,DG!A:D,DG!$C$2,)</f>
        <v>Kẹp ép WR cỡ dây 50mm2</v>
      </c>
      <c r="G1907" s="980" t="str">
        <f>VLOOKUP($B1907,DG!A:D,DG!$D$2,)</f>
        <v>cái</v>
      </c>
      <c r="H1907" s="1693">
        <f t="shared" si="339"/>
        <v>0</v>
      </c>
      <c r="I1907" s="1693"/>
      <c r="J1907" s="1693"/>
      <c r="K1907" s="1692">
        <f>IFERROR(HLOOKUP(B1907,pp3p1m!$1:$3,2,0),0)</f>
        <v>0</v>
      </c>
      <c r="L1907" s="1693"/>
      <c r="M1907" s="1693"/>
      <c r="N1907" s="1693"/>
      <c r="O1907" s="1693"/>
      <c r="P1907" s="1693">
        <f t="shared" si="347"/>
        <v>0</v>
      </c>
      <c r="Q1907" s="1693">
        <f t="shared" si="348"/>
        <v>0</v>
      </c>
      <c r="R1907" s="1693">
        <f t="shared" si="349"/>
        <v>0</v>
      </c>
      <c r="S1907" s="989"/>
      <c r="T1907" s="1862">
        <f>IFERROR(HLOOKUP(B1907,pp3p1m!$1:$3,3,0),0)</f>
        <v>0</v>
      </c>
    </row>
    <row r="1908" spans="1:20" ht="22.2" hidden="1" customHeight="1">
      <c r="A1908" s="1448">
        <f>COUNTIF($C$12:C1908,"x")</f>
        <v>145</v>
      </c>
      <c r="B1908" s="1460" t="s">
        <v>13</v>
      </c>
      <c r="C1908" s="970" t="str">
        <f t="shared" si="350"/>
        <v xml:space="preserve"> </v>
      </c>
      <c r="D1908" s="1428">
        <f t="shared" si="333"/>
        <v>0</v>
      </c>
      <c r="E1908" s="980"/>
      <c r="F1908" s="992" t="str">
        <f>VLOOKUP($B1908,DG!A:D,DG!$C$2,)</f>
        <v>Kẹp ép WR cỡ dây 120mm2</v>
      </c>
      <c r="G1908" s="980" t="str">
        <f>VLOOKUP($B1908,DG!A:D,DG!$D$2,)</f>
        <v>cái</v>
      </c>
      <c r="H1908" s="1693">
        <f t="shared" si="339"/>
        <v>0</v>
      </c>
      <c r="I1908" s="1693">
        <f>H1908</f>
        <v>0</v>
      </c>
      <c r="J1908" s="1693"/>
      <c r="K1908" s="1692">
        <f>IFERROR(HLOOKUP(B1908,pp3p1m!$1:$3,2,0),0)</f>
        <v>0</v>
      </c>
      <c r="L1908" s="1693"/>
      <c r="M1908" s="1693"/>
      <c r="N1908" s="1693"/>
      <c r="O1908" s="1693"/>
      <c r="P1908" s="1693">
        <f t="shared" si="347"/>
        <v>0</v>
      </c>
      <c r="Q1908" s="1693">
        <f t="shared" si="348"/>
        <v>0</v>
      </c>
      <c r="R1908" s="1693">
        <f t="shared" si="349"/>
        <v>0</v>
      </c>
      <c r="S1908" s="989"/>
      <c r="T1908" s="1862">
        <f>IFERROR(HLOOKUP(B1908,pp3p1m!$1:$3,3,0),0)</f>
        <v>0</v>
      </c>
    </row>
    <row r="1909" spans="1:20" ht="22.2" hidden="1" customHeight="1">
      <c r="A1909" s="1448">
        <f>COUNTIF($C$12:C1909,"x")</f>
        <v>145</v>
      </c>
      <c r="B1909" s="1460" t="s">
        <v>142</v>
      </c>
      <c r="C1909" s="970" t="str">
        <f t="shared" si="350"/>
        <v xml:space="preserve"> </v>
      </c>
      <c r="D1909" s="1428">
        <f t="shared" si="333"/>
        <v>0</v>
      </c>
      <c r="E1909" s="980"/>
      <c r="F1909" s="992" t="str">
        <f>VLOOKUP($B1909,DG!A:D,DG!$C$2,)</f>
        <v>Kẹp ép WR cỡ dây 150mm2</v>
      </c>
      <c r="G1909" s="980" t="str">
        <f>VLOOKUP($B1909,DG!A:D,DG!$D$2,)</f>
        <v>cái</v>
      </c>
      <c r="H1909" s="1693">
        <f t="shared" si="339"/>
        <v>0</v>
      </c>
      <c r="I1909" s="1693"/>
      <c r="J1909" s="1693"/>
      <c r="K1909" s="1692">
        <f>IFERROR(HLOOKUP(B1909,pp3p1m!$1:$3,2,0),0)</f>
        <v>0</v>
      </c>
      <c r="L1909" s="1693"/>
      <c r="M1909" s="1693"/>
      <c r="N1909" s="1693"/>
      <c r="O1909" s="1693"/>
      <c r="P1909" s="1693">
        <f t="shared" si="347"/>
        <v>0</v>
      </c>
      <c r="Q1909" s="1693">
        <f t="shared" si="348"/>
        <v>0</v>
      </c>
      <c r="R1909" s="1693">
        <f t="shared" si="349"/>
        <v>0</v>
      </c>
      <c r="S1909" s="989"/>
      <c r="T1909" s="1862">
        <f>IFERROR(HLOOKUP(B1909,pp3p1m!$1:$3,3,0),0)</f>
        <v>0</v>
      </c>
    </row>
    <row r="1910" spans="1:20" ht="22.2" hidden="1" customHeight="1">
      <c r="A1910" s="1448">
        <f>COUNTIF($C$12:C1910,"x")</f>
        <v>145</v>
      </c>
      <c r="B1910" s="1460" t="s">
        <v>14</v>
      </c>
      <c r="C1910" s="970" t="str">
        <f t="shared" si="350"/>
        <v xml:space="preserve"> </v>
      </c>
      <c r="D1910" s="1428">
        <f t="shared" si="333"/>
        <v>0</v>
      </c>
      <c r="E1910" s="980"/>
      <c r="F1910" s="992" t="str">
        <f>VLOOKUP($B1910,DG!A:D,DG!$C$2,)</f>
        <v>Kẹp ép WR cỡ dây 185mm2</v>
      </c>
      <c r="G1910" s="980" t="str">
        <f>VLOOKUP($B1910,DG!A:D,DG!$D$2,)</f>
        <v>cái</v>
      </c>
      <c r="H1910" s="1693">
        <f t="shared" si="339"/>
        <v>0</v>
      </c>
      <c r="I1910" s="1693"/>
      <c r="J1910" s="1693"/>
      <c r="K1910" s="1692">
        <f>IFERROR(HLOOKUP(B1910,pp3p1m!$1:$3,2,0),0)</f>
        <v>0</v>
      </c>
      <c r="L1910" s="1693"/>
      <c r="M1910" s="1693"/>
      <c r="N1910" s="1693"/>
      <c r="O1910" s="1693"/>
      <c r="P1910" s="1693">
        <f t="shared" si="347"/>
        <v>0</v>
      </c>
      <c r="Q1910" s="1693">
        <f t="shared" si="348"/>
        <v>0</v>
      </c>
      <c r="R1910" s="1693">
        <f t="shared" si="349"/>
        <v>0</v>
      </c>
      <c r="S1910" s="989"/>
      <c r="T1910" s="1862">
        <f>IFERROR(HLOOKUP(B1910,pp3p1m!$1:$3,3,0),0)</f>
        <v>0</v>
      </c>
    </row>
    <row r="1911" spans="1:20" ht="22.2" hidden="1" customHeight="1">
      <c r="A1911" s="1448">
        <f>COUNTIF($C$12:C1911,"x")</f>
        <v>145</v>
      </c>
      <c r="B1911" s="1460" t="s">
        <v>15</v>
      </c>
      <c r="C1911" s="970" t="str">
        <f t="shared" si="350"/>
        <v xml:space="preserve"> </v>
      </c>
      <c r="D1911" s="1428">
        <f t="shared" si="333"/>
        <v>0</v>
      </c>
      <c r="E1911" s="980"/>
      <c r="F1911" s="992" t="str">
        <f>VLOOKUP($B1911,DG!A:D,DG!$C$2,)</f>
        <v>Kẹp ép WR cỡ dây 240mm2</v>
      </c>
      <c r="G1911" s="980" t="str">
        <f>VLOOKUP($B1911,DG!A:D,DG!$D$2,)</f>
        <v>cái</v>
      </c>
      <c r="H1911" s="1693">
        <f t="shared" si="339"/>
        <v>0</v>
      </c>
      <c r="I1911" s="1693"/>
      <c r="J1911" s="1693"/>
      <c r="K1911" s="1692">
        <f>IFERROR(HLOOKUP(B1911,pp3p1m!$1:$3,2,0),0)</f>
        <v>0</v>
      </c>
      <c r="L1911" s="1693"/>
      <c r="M1911" s="1693"/>
      <c r="N1911" s="1693"/>
      <c r="O1911" s="1693"/>
      <c r="P1911" s="1693">
        <f t="shared" si="347"/>
        <v>0</v>
      </c>
      <c r="Q1911" s="1693">
        <f t="shared" si="348"/>
        <v>0</v>
      </c>
      <c r="R1911" s="1693">
        <f t="shared" si="349"/>
        <v>0</v>
      </c>
      <c r="S1911" s="989"/>
      <c r="T1911" s="1862">
        <f>IFERROR(HLOOKUP(B1911,pp3p1m!$1:$3,3,0),0)</f>
        <v>0</v>
      </c>
    </row>
    <row r="1912" spans="1:20" ht="22.2" hidden="1" customHeight="1">
      <c r="A1912" s="1448">
        <f>COUNTIF($C$12:C1912,"x")</f>
        <v>145</v>
      </c>
      <c r="B1912" s="1460" t="s">
        <v>1582</v>
      </c>
      <c r="C1912" s="970" t="str">
        <f t="shared" si="350"/>
        <v xml:space="preserve"> </v>
      </c>
      <c r="D1912" s="1428">
        <f t="shared" si="333"/>
        <v>0</v>
      </c>
      <c r="E1912" s="980"/>
      <c r="F1912" s="992" t="str">
        <f>VLOOKUP($B1912,DG!A:D,DG!$C$2,)</f>
        <v>Kẹp 2 rãnh cỡ dây 50mm2</v>
      </c>
      <c r="G1912" s="980" t="str">
        <f>VLOOKUP($B1912,DG!A:D,DG!$D$2,)</f>
        <v>cái</v>
      </c>
      <c r="H1912" s="1693">
        <f t="shared" si="339"/>
        <v>0</v>
      </c>
      <c r="I1912" s="1693"/>
      <c r="J1912" s="1693"/>
      <c r="K1912" s="1692">
        <f>IFERROR(HLOOKUP(B1912,pp3p1m!$1:$3,2,0),0)</f>
        <v>0</v>
      </c>
      <c r="L1912" s="1693"/>
      <c r="M1912" s="1693"/>
      <c r="N1912" s="1693"/>
      <c r="O1912" s="1693"/>
      <c r="P1912" s="1693">
        <f t="shared" si="347"/>
        <v>0</v>
      </c>
      <c r="Q1912" s="1693">
        <f t="shared" si="348"/>
        <v>0</v>
      </c>
      <c r="R1912" s="1693">
        <f t="shared" si="349"/>
        <v>0</v>
      </c>
      <c r="S1912" s="989"/>
      <c r="T1912" s="1862">
        <f>IFERROR(HLOOKUP(B1912,pp3p1m!$1:$3,3,0),0)</f>
        <v>0</v>
      </c>
    </row>
    <row r="1913" spans="1:20" ht="22.2" hidden="1" customHeight="1">
      <c r="A1913" s="1448">
        <f>COUNTIF($C$12:C1913,"x")</f>
        <v>145</v>
      </c>
      <c r="B1913" s="1460" t="s">
        <v>1581</v>
      </c>
      <c r="C1913" s="970" t="str">
        <f t="shared" si="350"/>
        <v xml:space="preserve"> </v>
      </c>
      <c r="D1913" s="1428">
        <f t="shared" si="333"/>
        <v>0</v>
      </c>
      <c r="E1913" s="980"/>
      <c r="F1913" s="992" t="str">
        <f>VLOOKUP($B1913,DG!A:D,DG!$C$2,)</f>
        <v>Kẹp 2 rãnh cỡ dây 70mm2</v>
      </c>
      <c r="G1913" s="980" t="str">
        <f>VLOOKUP($B1913,DG!A:D,DG!$D$2,)</f>
        <v>cái</v>
      </c>
      <c r="H1913" s="1693">
        <f t="shared" si="339"/>
        <v>0</v>
      </c>
      <c r="I1913" s="1693"/>
      <c r="J1913" s="1693"/>
      <c r="K1913" s="1692">
        <f>IFERROR(HLOOKUP(B1913,pp3p1m!$1:$3,2,0),0)</f>
        <v>0</v>
      </c>
      <c r="L1913" s="1693"/>
      <c r="M1913" s="1693"/>
      <c r="N1913" s="1693"/>
      <c r="O1913" s="1693"/>
      <c r="P1913" s="1693">
        <f t="shared" si="347"/>
        <v>0</v>
      </c>
      <c r="Q1913" s="1693">
        <f t="shared" si="348"/>
        <v>0</v>
      </c>
      <c r="R1913" s="1693">
        <f t="shared" si="349"/>
        <v>0</v>
      </c>
      <c r="S1913" s="989"/>
      <c r="T1913" s="1862">
        <f>IFERROR(HLOOKUP(B1913,pp3p1m!$1:$3,3,0),0)</f>
        <v>0</v>
      </c>
    </row>
    <row r="1914" spans="1:20" ht="22.2" hidden="1" customHeight="1">
      <c r="A1914" s="1448">
        <f>COUNTIF($C$12:C1914,"x")</f>
        <v>145</v>
      </c>
      <c r="B1914" s="1460" t="s">
        <v>1022</v>
      </c>
      <c r="C1914" s="970" t="str">
        <f t="shared" si="350"/>
        <v xml:space="preserve"> </v>
      </c>
      <c r="D1914" s="1428">
        <f t="shared" si="333"/>
        <v>0</v>
      </c>
      <c r="E1914" s="980"/>
      <c r="F1914" s="992" t="str">
        <f>VLOOKUP($B1914,DG!A:D,DG!$C$2,)</f>
        <v>Kẹp 2 rãnh cỡ dây 95mm2</v>
      </c>
      <c r="G1914" s="980" t="str">
        <f>VLOOKUP($B1914,DG!A:D,DG!$D$2,)</f>
        <v>cái</v>
      </c>
      <c r="H1914" s="1693">
        <f t="shared" si="339"/>
        <v>0</v>
      </c>
      <c r="I1914" s="1693"/>
      <c r="J1914" s="1693"/>
      <c r="K1914" s="1692">
        <f>IFERROR(HLOOKUP(B1914,pp3p1m!$1:$3,2,0),0)</f>
        <v>0</v>
      </c>
      <c r="L1914" s="1693"/>
      <c r="M1914" s="1693"/>
      <c r="N1914" s="1693"/>
      <c r="O1914" s="1693"/>
      <c r="P1914" s="1693">
        <f t="shared" si="347"/>
        <v>0</v>
      </c>
      <c r="Q1914" s="1693">
        <f t="shared" si="348"/>
        <v>0</v>
      </c>
      <c r="R1914" s="1693">
        <f t="shared" si="349"/>
        <v>0</v>
      </c>
      <c r="S1914" s="989"/>
      <c r="T1914" s="1862">
        <f>IFERROR(HLOOKUP(B1914,pp3p1m!$1:$3,3,0),0)</f>
        <v>0</v>
      </c>
    </row>
    <row r="1915" spans="1:20" ht="22.2" hidden="1" customHeight="1">
      <c r="A1915" s="1448">
        <f>COUNTIF($C$12:C1915,"x")</f>
        <v>145</v>
      </c>
      <c r="B1915" s="1460" t="s">
        <v>1250</v>
      </c>
      <c r="C1915" s="970" t="str">
        <f t="shared" si="350"/>
        <v xml:space="preserve"> </v>
      </c>
      <c r="D1915" s="1428">
        <f t="shared" si="333"/>
        <v>0</v>
      </c>
      <c r="E1915" s="980"/>
      <c r="F1915" s="992" t="str">
        <f>VLOOKUP($B1915,DG!A:D,DG!$C$2,)</f>
        <v>Kẹp 2 rãnh cỡ dây 150mm2</v>
      </c>
      <c r="G1915" s="980" t="str">
        <f>VLOOKUP($B1915,DG!A:D,DG!$D$2,)</f>
        <v>cái</v>
      </c>
      <c r="H1915" s="1693">
        <f t="shared" si="339"/>
        <v>0</v>
      </c>
      <c r="I1915" s="1693"/>
      <c r="J1915" s="1693"/>
      <c r="K1915" s="1692">
        <f>IFERROR(HLOOKUP(B1915,pp3p1m!$1:$3,2,0),0)</f>
        <v>0</v>
      </c>
      <c r="L1915" s="1693"/>
      <c r="M1915" s="1693"/>
      <c r="N1915" s="1693"/>
      <c r="O1915" s="1693"/>
      <c r="P1915" s="1693">
        <f t="shared" si="347"/>
        <v>0</v>
      </c>
      <c r="Q1915" s="1693">
        <f t="shared" si="348"/>
        <v>0</v>
      </c>
      <c r="R1915" s="1693">
        <f t="shared" si="349"/>
        <v>0</v>
      </c>
      <c r="S1915" s="989"/>
      <c r="T1915" s="1862">
        <f>IFERROR(HLOOKUP(B1915,pp3p1m!$1:$3,3,0),0)</f>
        <v>0</v>
      </c>
    </row>
    <row r="1916" spans="1:20" ht="22.2" hidden="1" customHeight="1">
      <c r="A1916" s="1448">
        <f>COUNTIF($C$12:C1916,"x")</f>
        <v>145</v>
      </c>
      <c r="B1916" s="1460" t="s">
        <v>778</v>
      </c>
      <c r="C1916" s="970" t="str">
        <f t="shared" si="350"/>
        <v xml:space="preserve"> </v>
      </c>
      <c r="D1916" s="1428">
        <f t="shared" si="333"/>
        <v>0</v>
      </c>
      <c r="E1916" s="980"/>
      <c r="F1916" s="992" t="str">
        <f>VLOOKUP($B1916,DG!A:D,DG!$C$2,)</f>
        <v>Kẹp 2 rãnh cỡ dây 185mm2</v>
      </c>
      <c r="G1916" s="980" t="str">
        <f>VLOOKUP($B1916,DG!A:D,DG!$D$2,)</f>
        <v>cái</v>
      </c>
      <c r="H1916" s="1693">
        <f t="shared" si="339"/>
        <v>0</v>
      </c>
      <c r="I1916" s="1693"/>
      <c r="J1916" s="1693"/>
      <c r="K1916" s="1692">
        <f>IFERROR(HLOOKUP(B1916,pp3p1m!$1:$3,2,0),0)</f>
        <v>0</v>
      </c>
      <c r="L1916" s="1693"/>
      <c r="M1916" s="1693"/>
      <c r="N1916" s="1693"/>
      <c r="O1916" s="1693"/>
      <c r="P1916" s="1693">
        <f t="shared" si="347"/>
        <v>0</v>
      </c>
      <c r="Q1916" s="1693">
        <f t="shared" si="348"/>
        <v>0</v>
      </c>
      <c r="R1916" s="1693">
        <f t="shared" si="349"/>
        <v>0</v>
      </c>
      <c r="S1916" s="989"/>
      <c r="T1916" s="1862">
        <f>IFERROR(HLOOKUP(B1916,pp3p1m!$1:$3,3,0),0)</f>
        <v>0</v>
      </c>
    </row>
    <row r="1917" spans="1:20" ht="22.2" hidden="1" customHeight="1">
      <c r="A1917" s="1448">
        <f>COUNTIF($C$12:C1917,"x")</f>
        <v>145</v>
      </c>
      <c r="B1917" s="1460" t="s">
        <v>1582</v>
      </c>
      <c r="C1917" s="970" t="str">
        <f t="shared" si="350"/>
        <v xml:space="preserve"> </v>
      </c>
      <c r="D1917" s="1428">
        <f t="shared" si="333"/>
        <v>0</v>
      </c>
      <c r="E1917" s="980"/>
      <c r="F1917" s="992" t="str">
        <f>VLOOKUP($B1917,DG!A:D,DG!$C$2,)</f>
        <v>Kẹp 2 rãnh cỡ dây 50mm2</v>
      </c>
      <c r="G1917" s="980" t="str">
        <f>VLOOKUP($B1917,DG!A:D,DG!$D$2,)</f>
        <v>cái</v>
      </c>
      <c r="H1917" s="1693">
        <f t="shared" si="339"/>
        <v>0</v>
      </c>
      <c r="I1917" s="1693"/>
      <c r="J1917" s="1693"/>
      <c r="K1917" s="1692">
        <f>IFERROR(HLOOKUP(B1917,pp3p1m!$1:$3,2,0),0)</f>
        <v>0</v>
      </c>
      <c r="L1917" s="1693"/>
      <c r="M1917" s="1693"/>
      <c r="N1917" s="1693"/>
      <c r="O1917" s="1693"/>
      <c r="P1917" s="1693">
        <f t="shared" si="347"/>
        <v>0</v>
      </c>
      <c r="Q1917" s="1693">
        <f t="shared" si="348"/>
        <v>0</v>
      </c>
      <c r="R1917" s="1693">
        <f t="shared" si="349"/>
        <v>0</v>
      </c>
      <c r="S1917" s="989"/>
      <c r="T1917" s="1862">
        <f>IFERROR(HLOOKUP(B1917,pp3p1m!$1:$3,3,0),0)</f>
        <v>0</v>
      </c>
    </row>
    <row r="1918" spans="1:20" ht="22.2" hidden="1" customHeight="1">
      <c r="A1918" s="1448">
        <f>COUNTIF($C$12:C1918,"x")</f>
        <v>145</v>
      </c>
      <c r="B1918" s="1460" t="s">
        <v>906</v>
      </c>
      <c r="C1918" s="970" t="str">
        <f t="shared" si="350"/>
        <v xml:space="preserve"> </v>
      </c>
      <c r="D1918" s="1428">
        <f t="shared" si="333"/>
        <v>0</v>
      </c>
      <c r="E1918" s="980" t="str">
        <f>VLOOKUP($B1918,DG!A:D,DG!$B$2,)</f>
        <v>03.4002</v>
      </c>
      <c r="F1918" s="992" t="str">
        <f>VLOOKUP($B1918,DG!A:D,DG!$C$2,)</f>
        <v>Đầu cosse ép Cu-Al 50mm2</v>
      </c>
      <c r="G1918" s="980" t="str">
        <f>VLOOKUP($B1918,DG!A:D,DG!$D$2,)</f>
        <v>cái</v>
      </c>
      <c r="H1918" s="1693">
        <f t="shared" si="339"/>
        <v>0</v>
      </c>
      <c r="I1918" s="1693"/>
      <c r="J1918" s="1693"/>
      <c r="K1918" s="1692">
        <f>IFERROR(HLOOKUP(B1918,pp3p1m!$1:$3,2,0),0)</f>
        <v>0</v>
      </c>
      <c r="L1918" s="1693"/>
      <c r="M1918" s="1693"/>
      <c r="N1918" s="1693"/>
      <c r="O1918" s="1693"/>
      <c r="P1918" s="1693">
        <f t="shared" si="347"/>
        <v>0</v>
      </c>
      <c r="Q1918" s="1693">
        <f t="shared" si="348"/>
        <v>0</v>
      </c>
      <c r="R1918" s="1693">
        <f t="shared" si="349"/>
        <v>0</v>
      </c>
      <c r="S1918" s="989"/>
      <c r="T1918" s="1862">
        <f>IFERROR(HLOOKUP(B1918,pp3p1m!$1:$3,3,0),0)</f>
        <v>0</v>
      </c>
    </row>
    <row r="1919" spans="1:20" ht="22.2" hidden="1" customHeight="1">
      <c r="A1919" s="1448">
        <f>COUNTIF($C$12:C1919,"x")</f>
        <v>145</v>
      </c>
      <c r="B1919" s="1460" t="s">
        <v>1075</v>
      </c>
      <c r="C1919" s="970" t="str">
        <f t="shared" si="350"/>
        <v xml:space="preserve"> </v>
      </c>
      <c r="D1919" s="1428">
        <f t="shared" si="333"/>
        <v>0</v>
      </c>
      <c r="E1919" s="980" t="str">
        <f>VLOOKUP($B1919,DG!A:D,DG!$B$2,)</f>
        <v>03.4004</v>
      </c>
      <c r="F1919" s="992" t="str">
        <f>VLOOKUP($B1919,DG!A:D,DG!$C$2,)</f>
        <v>Đầu cosse ép Cu 95mm2</v>
      </c>
      <c r="G1919" s="980" t="str">
        <f>VLOOKUP($B1919,DG!A:D,DG!$D$2,)</f>
        <v>cái</v>
      </c>
      <c r="H1919" s="1693">
        <f t="shared" si="339"/>
        <v>0</v>
      </c>
      <c r="I1919" s="1693"/>
      <c r="J1919" s="1693"/>
      <c r="K1919" s="1692">
        <f>IFERROR(HLOOKUP(B1919,pp3p1m!$1:$3,2,0),0)</f>
        <v>0</v>
      </c>
      <c r="L1919" s="1693"/>
      <c r="M1919" s="1693"/>
      <c r="N1919" s="1693"/>
      <c r="O1919" s="1693"/>
      <c r="P1919" s="1693">
        <f t="shared" si="347"/>
        <v>0</v>
      </c>
      <c r="Q1919" s="1693">
        <f t="shared" si="348"/>
        <v>0</v>
      </c>
      <c r="R1919" s="1693">
        <f t="shared" si="349"/>
        <v>0</v>
      </c>
      <c r="S1919" s="989"/>
      <c r="T1919" s="1862">
        <f>IFERROR(HLOOKUP(B1919,pp3p1m!$1:$3,3,0),0)</f>
        <v>0</v>
      </c>
    </row>
    <row r="1920" spans="1:20" ht="22.2" hidden="1" customHeight="1">
      <c r="A1920" s="1448">
        <f>COUNTIF($C$12:C1920,"x")</f>
        <v>145</v>
      </c>
      <c r="B1920" s="1460" t="s">
        <v>50</v>
      </c>
      <c r="C1920" s="970" t="str">
        <f t="shared" si="350"/>
        <v xml:space="preserve"> </v>
      </c>
      <c r="D1920" s="1428">
        <f t="shared" si="333"/>
        <v>0</v>
      </c>
      <c r="E1920" s="980" t="str">
        <f>VLOOKUP($B1920,DG!A:D,DG!$B$2,)</f>
        <v>03.4005</v>
      </c>
      <c r="F1920" s="992" t="str">
        <f>VLOOKUP($B1920,DG!A:D,DG!$C$2,)</f>
        <v>Đầu cosse ép Cu 120mm2</v>
      </c>
      <c r="G1920" s="980" t="str">
        <f>VLOOKUP($B1920,DG!A:D,DG!$D$2,)</f>
        <v>cái</v>
      </c>
      <c r="H1920" s="1693">
        <f t="shared" si="339"/>
        <v>0</v>
      </c>
      <c r="I1920" s="1693"/>
      <c r="J1920" s="1693"/>
      <c r="K1920" s="1692">
        <f>IFERROR(HLOOKUP(B1920,pp3p1m!$1:$3,2,0),0)</f>
        <v>0</v>
      </c>
      <c r="L1920" s="1693"/>
      <c r="M1920" s="1693"/>
      <c r="N1920" s="1693"/>
      <c r="O1920" s="1693"/>
      <c r="P1920" s="1693">
        <f t="shared" si="347"/>
        <v>0</v>
      </c>
      <c r="Q1920" s="1693">
        <f t="shared" si="348"/>
        <v>0</v>
      </c>
      <c r="R1920" s="1693">
        <f t="shared" si="349"/>
        <v>0</v>
      </c>
      <c r="S1920" s="989"/>
      <c r="T1920" s="1862">
        <f>IFERROR(HLOOKUP(B1920,pp3p1m!$1:$3,3,0),0)</f>
        <v>0</v>
      </c>
    </row>
    <row r="1921" spans="1:20" ht="22.2" hidden="1" customHeight="1">
      <c r="A1921" s="1448">
        <f>COUNTIF($C$12:C1921,"x")</f>
        <v>145</v>
      </c>
      <c r="B1921" s="1460" t="s">
        <v>0</v>
      </c>
      <c r="C1921" s="970" t="str">
        <f t="shared" si="350"/>
        <v xml:space="preserve"> </v>
      </c>
      <c r="D1921" s="1428">
        <f t="shared" si="333"/>
        <v>0</v>
      </c>
      <c r="E1921" s="980" t="str">
        <f>VLOOKUP($B1921,DG!A:D,DG!$B$2,)</f>
        <v>03.4006</v>
      </c>
      <c r="F1921" s="992" t="str">
        <f>VLOOKUP($B1921,DG!A:D,DG!$C$2,)</f>
        <v>Đầu cosse ép Cu 150mm2</v>
      </c>
      <c r="G1921" s="980" t="str">
        <f>VLOOKUP($B1921,DG!A:D,DG!$D$2,)</f>
        <v>cái</v>
      </c>
      <c r="H1921" s="1693">
        <f t="shared" si="339"/>
        <v>0</v>
      </c>
      <c r="I1921" s="1693"/>
      <c r="J1921" s="1693"/>
      <c r="K1921" s="1692">
        <f>IFERROR(HLOOKUP(B1921,pp3p1m!$1:$3,2,0),0)</f>
        <v>0</v>
      </c>
      <c r="L1921" s="1693"/>
      <c r="M1921" s="1693"/>
      <c r="N1921" s="1693"/>
      <c r="O1921" s="1693"/>
      <c r="P1921" s="1693">
        <f t="shared" si="347"/>
        <v>0</v>
      </c>
      <c r="Q1921" s="1693">
        <f t="shared" si="348"/>
        <v>0</v>
      </c>
      <c r="R1921" s="1693">
        <f t="shared" si="349"/>
        <v>0</v>
      </c>
      <c r="S1921" s="989"/>
      <c r="T1921" s="1862">
        <f>IFERROR(HLOOKUP(B1921,pp3p1m!$1:$3,3,0),0)</f>
        <v>0</v>
      </c>
    </row>
    <row r="1922" spans="1:20" ht="22.2" hidden="1" customHeight="1">
      <c r="A1922" s="1448">
        <f>COUNTIF($C$12:C1922,"x")</f>
        <v>145</v>
      </c>
      <c r="B1922" s="1460" t="s">
        <v>1020</v>
      </c>
      <c r="C1922" s="970" t="str">
        <f>IF(OR(P1922&lt;&gt;0,H1922&lt;&gt;0),"x"," ")</f>
        <v xml:space="preserve"> </v>
      </c>
      <c r="D1922" s="1428">
        <f t="shared" si="333"/>
        <v>0</v>
      </c>
      <c r="E1922" s="980" t="str">
        <f>VLOOKUP($B1922,DG!A:D,DG!$B$2,)</f>
        <v>03.4007</v>
      </c>
      <c r="F1922" s="992" t="str">
        <f>VLOOKUP($B1922,DG!A:D,DG!$C$2,)</f>
        <v>Đầu cosse ép Cu-Al 185mm2</v>
      </c>
      <c r="G1922" s="980" t="str">
        <f>VLOOKUP($B1922,DG!A:D,DG!$D$2,)</f>
        <v>cái</v>
      </c>
      <c r="H1922" s="1693">
        <f t="shared" si="339"/>
        <v>0</v>
      </c>
      <c r="I1922" s="1693"/>
      <c r="J1922" s="1693"/>
      <c r="K1922" s="1692">
        <f>IFERROR(HLOOKUP(B1922,pp3p1m!$1:$3,2,0),0)</f>
        <v>0</v>
      </c>
      <c r="L1922" s="1693"/>
      <c r="M1922" s="1693"/>
      <c r="N1922" s="1693"/>
      <c r="O1922" s="1693"/>
      <c r="P1922" s="1693">
        <f t="shared" si="347"/>
        <v>0</v>
      </c>
      <c r="Q1922" s="1693">
        <f t="shared" si="348"/>
        <v>0</v>
      </c>
      <c r="R1922" s="1693">
        <f t="shared" si="349"/>
        <v>0</v>
      </c>
      <c r="S1922" s="989"/>
      <c r="T1922" s="1862">
        <f>IFERROR(HLOOKUP(B1922,pp3p1m!$1:$3,3,0),0)</f>
        <v>0</v>
      </c>
    </row>
    <row r="1923" spans="1:20" ht="22.2" hidden="1" customHeight="1">
      <c r="A1923" s="1448">
        <f>COUNTIF($C$12:C1923,"x")</f>
        <v>145</v>
      </c>
      <c r="B1923" s="1460" t="s">
        <v>1831</v>
      </c>
      <c r="C1923" s="970" t="str">
        <f>IF(OR(P1923&lt;&gt;0,H1923&lt;&gt;0),"x"," ")</f>
        <v xml:space="preserve"> </v>
      </c>
      <c r="D1923" s="1428">
        <f t="shared" si="333"/>
        <v>0</v>
      </c>
      <c r="E1923" s="980" t="str">
        <f>VLOOKUP($B1923,DG!A:D,DG!$B$2,)</f>
        <v>03.4008</v>
      </c>
      <c r="F1923" s="992" t="str">
        <f>VLOOKUP($B1923,DG!A:D,DG!$C$2,)</f>
        <v>Đầu cosse ép Cu-Al 240mm2</v>
      </c>
      <c r="G1923" s="980" t="str">
        <f>VLOOKUP($B1923,DG!A:D,DG!$D$2,)</f>
        <v>cái</v>
      </c>
      <c r="H1923" s="1693">
        <f t="shared" si="339"/>
        <v>0</v>
      </c>
      <c r="I1923" s="1693"/>
      <c r="J1923" s="1693"/>
      <c r="K1923" s="1692">
        <f>IFERROR(HLOOKUP(B1923,pp3p1m!$1:$3,2,0),0)</f>
        <v>0</v>
      </c>
      <c r="L1923" s="1693"/>
      <c r="M1923" s="1693"/>
      <c r="N1923" s="1693"/>
      <c r="O1923" s="1693"/>
      <c r="P1923" s="1693">
        <f t="shared" si="347"/>
        <v>0</v>
      </c>
      <c r="Q1923" s="1693">
        <f t="shared" si="348"/>
        <v>0</v>
      </c>
      <c r="R1923" s="1693">
        <f t="shared" si="349"/>
        <v>0</v>
      </c>
      <c r="S1923" s="989"/>
      <c r="T1923" s="1862">
        <f>IFERROR(HLOOKUP(B1923,pp3p1m!$1:$3,3,0),0)</f>
        <v>0</v>
      </c>
    </row>
    <row r="1924" spans="1:20" ht="22.2" hidden="1" customHeight="1">
      <c r="A1924" s="1448">
        <f>COUNTIF($C$12:C1924,"x")</f>
        <v>145</v>
      </c>
      <c r="B1924" s="1460" t="s">
        <v>5144</v>
      </c>
      <c r="C1924" s="970" t="str">
        <f t="shared" si="350"/>
        <v xml:space="preserve"> </v>
      </c>
      <c r="D1924" s="1428">
        <f t="shared" si="333"/>
        <v>0</v>
      </c>
      <c r="E1924" s="980" t="e">
        <f>VLOOKUP($B1924,DG!A:D,DG!$B$2,)</f>
        <v>#N/A</v>
      </c>
      <c r="F1924" s="992" t="e">
        <f>VLOOKUP($B1924,DG!A:D,DG!$C$2,)</f>
        <v>#N/A</v>
      </c>
      <c r="G1924" s="980" t="e">
        <f>VLOOKUP($B1924,DG!A:D,DG!$D$2,)</f>
        <v>#N/A</v>
      </c>
      <c r="H1924" s="1693">
        <f t="shared" si="339"/>
        <v>0</v>
      </c>
      <c r="I1924" s="1693"/>
      <c r="J1924" s="1693"/>
      <c r="K1924" s="1692">
        <f>IFERROR(HLOOKUP(B1924,pp3p1m!$1:$3,2,0),0)</f>
        <v>0</v>
      </c>
      <c r="L1924" s="1693"/>
      <c r="M1924" s="1693"/>
      <c r="N1924" s="1693"/>
      <c r="O1924" s="1693"/>
      <c r="P1924" s="1693">
        <f t="shared" si="347"/>
        <v>0</v>
      </c>
      <c r="Q1924" s="1693">
        <f t="shared" si="348"/>
        <v>0</v>
      </c>
      <c r="R1924" s="1693">
        <f t="shared" si="349"/>
        <v>0</v>
      </c>
      <c r="S1924" s="989"/>
      <c r="T1924" s="1862">
        <f>IFERROR(HLOOKUP(B1924,pp3p1m!$1:$3,3,0),0)</f>
        <v>0</v>
      </c>
    </row>
    <row r="1925" spans="1:20" ht="22.2" hidden="1" customHeight="1">
      <c r="A1925" s="1448">
        <f>COUNTIF($C$12:C1925,"x")</f>
        <v>145</v>
      </c>
      <c r="B1925" s="1460" t="s">
        <v>5145</v>
      </c>
      <c r="C1925" s="970" t="str">
        <f t="shared" si="350"/>
        <v xml:space="preserve"> </v>
      </c>
      <c r="D1925" s="1428">
        <f t="shared" si="333"/>
        <v>0</v>
      </c>
      <c r="E1925" s="980">
        <f>VLOOKUP($B1925,DG!A:D,DG!$B$2,)</f>
        <v>0</v>
      </c>
      <c r="F1925" s="992" t="str">
        <f>VLOOKUP($B1925,DG!A:D,DG!$C$2,)</f>
        <v>Dây buộc cổ sứ</v>
      </c>
      <c r="G1925" s="980" t="str">
        <f>VLOOKUP($B1925,DG!A:D,DG!$D$2,)</f>
        <v>cái</v>
      </c>
      <c r="H1925" s="1693">
        <f t="shared" si="339"/>
        <v>0</v>
      </c>
      <c r="I1925" s="1693"/>
      <c r="J1925" s="1693"/>
      <c r="K1925" s="1692">
        <f>IFERROR(HLOOKUP(B1925,pp3p1m!$1:$3,2,0),0)</f>
        <v>0</v>
      </c>
      <c r="L1925" s="1693"/>
      <c r="M1925" s="1693"/>
      <c r="N1925" s="1693"/>
      <c r="O1925" s="1693"/>
      <c r="P1925" s="1693">
        <f t="shared" si="347"/>
        <v>0</v>
      </c>
      <c r="Q1925" s="1693">
        <f t="shared" si="348"/>
        <v>0</v>
      </c>
      <c r="R1925" s="1693">
        <f t="shared" si="349"/>
        <v>0</v>
      </c>
      <c r="S1925" s="989"/>
      <c r="T1925" s="1862">
        <f>IFERROR(HLOOKUP(B1925,pp3p1m!$1:$3,3,0),0)</f>
        <v>0</v>
      </c>
    </row>
    <row r="1926" spans="1:20" ht="22.2" hidden="1" customHeight="1">
      <c r="A1926" s="1448">
        <f>COUNTIF($C$12:C1926,"x")</f>
        <v>145</v>
      </c>
      <c r="B1926" s="1460" t="s">
        <v>437</v>
      </c>
      <c r="C1926" s="970" t="str">
        <f t="shared" si="350"/>
        <v xml:space="preserve"> </v>
      </c>
      <c r="D1926" s="1428">
        <f t="shared" si="333"/>
        <v>0</v>
      </c>
      <c r="E1926" s="980">
        <f>VLOOKUP($B1926,DG!A:D,DG!$B$2,)</f>
        <v>0</v>
      </c>
      <c r="F1926" s="992" t="str">
        <f>VLOOKUP($B1926,DG!A:D,DG!$C$2,)</f>
        <v>Boulon 12x30+ 2 long đền vuông D14-50x50x3/Zn</v>
      </c>
      <c r="G1926" s="980" t="str">
        <f>VLOOKUP($B1926,DG!A:D,DG!$D$2,)</f>
        <v>bộ</v>
      </c>
      <c r="H1926" s="1693">
        <f t="shared" si="339"/>
        <v>0</v>
      </c>
      <c r="I1926" s="1693"/>
      <c r="J1926" s="1693"/>
      <c r="K1926" s="1692">
        <f>IFERROR(HLOOKUP(B1926,pp3p1m!$1:$3,2,0),0)</f>
        <v>0</v>
      </c>
      <c r="L1926" s="1693"/>
      <c r="M1926" s="1693"/>
      <c r="N1926" s="1693"/>
      <c r="O1926" s="1693"/>
      <c r="P1926" s="1693">
        <f t="shared" si="347"/>
        <v>0</v>
      </c>
      <c r="Q1926" s="1693">
        <f t="shared" si="348"/>
        <v>0</v>
      </c>
      <c r="R1926" s="1693">
        <f t="shared" si="349"/>
        <v>0</v>
      </c>
      <c r="S1926" s="989"/>
      <c r="T1926" s="1862">
        <f>IFERROR(HLOOKUP(B1926,pp3p1m!$1:$3,3,0),0)</f>
        <v>0</v>
      </c>
    </row>
    <row r="1927" spans="1:20" ht="22.2" hidden="1" customHeight="1">
      <c r="A1927" s="1448">
        <f>COUNTIF($C$12:C1927,"x")</f>
        <v>145</v>
      </c>
      <c r="B1927" s="1455" t="s">
        <v>4461</v>
      </c>
      <c r="C1927" s="1701" t="str">
        <f t="shared" si="350"/>
        <v xml:space="preserve"> </v>
      </c>
      <c r="D1927" s="1428">
        <f>K1927</f>
        <v>0</v>
      </c>
      <c r="E1927" s="980" t="e">
        <f>VLOOKUP($B1927,DG!A:D,DG!$B$2,)</f>
        <v>#N/A</v>
      </c>
      <c r="F1927" s="992" t="e">
        <f>VLOOKUP($B1927,DG!A:D,DG!$C$2,)</f>
        <v>#N/A</v>
      </c>
      <c r="G1927" s="980" t="e">
        <f>VLOOKUP($B1927,DG!A:D,DG!$D$2,)</f>
        <v>#N/A</v>
      </c>
      <c r="H1927" s="1693">
        <f t="shared" si="339"/>
        <v>0</v>
      </c>
      <c r="I1927" s="1693"/>
      <c r="J1927" s="1693"/>
      <c r="K1927" s="1692">
        <f>IFERROR(HLOOKUP(B1927,pp3p1m!$1:$3,2,0),0)</f>
        <v>0</v>
      </c>
      <c r="L1927" s="1693"/>
      <c r="M1927" s="1693"/>
      <c r="N1927" s="1693"/>
      <c r="O1927" s="1693"/>
      <c r="P1927" s="1693">
        <f t="shared" si="347"/>
        <v>0</v>
      </c>
      <c r="Q1927" s="1693">
        <f t="shared" si="348"/>
        <v>0</v>
      </c>
      <c r="R1927" s="1693">
        <f t="shared" si="349"/>
        <v>0</v>
      </c>
      <c r="S1927" s="989"/>
      <c r="T1927" s="1862">
        <f>IFERROR(HLOOKUP(B1927,pp3p1m!$1:$3,3,0),0)</f>
        <v>0</v>
      </c>
    </row>
    <row r="1928" spans="1:20" ht="22.2" hidden="1" customHeight="1">
      <c r="A1928" s="1448">
        <f>COUNTIF($C$12:C1928,"x")</f>
        <v>145</v>
      </c>
      <c r="B1928" s="1455" t="s">
        <v>1477</v>
      </c>
      <c r="C1928" s="1701" t="str">
        <f t="shared" si="350"/>
        <v xml:space="preserve"> </v>
      </c>
      <c r="D1928" s="1428">
        <f>K1928</f>
        <v>0</v>
      </c>
      <c r="E1928" s="980" t="str">
        <f>VLOOKUP($B1928,DG!A:D,DG!$B$2,)</f>
        <v>04.3007</v>
      </c>
      <c r="F1928" s="992" t="str">
        <f>VLOOKUP($B1928,DG!A:D,DG!$C$2,)</f>
        <v>Kẹp hotline 2/0</v>
      </c>
      <c r="G1928" s="980" t="str">
        <f>VLOOKUP($B1928,DG!A:D,DG!$D$2,)</f>
        <v>cái</v>
      </c>
      <c r="H1928" s="1693">
        <f t="shared" si="339"/>
        <v>0</v>
      </c>
      <c r="I1928" s="1693"/>
      <c r="J1928" s="1693"/>
      <c r="K1928" s="1692">
        <f>IFERROR(HLOOKUP(B1928,pp3p1m!$1:$3,2,0),0)</f>
        <v>0</v>
      </c>
      <c r="L1928" s="1693"/>
      <c r="M1928" s="1693"/>
      <c r="N1928" s="1693"/>
      <c r="O1928" s="1693"/>
      <c r="P1928" s="1693">
        <f t="shared" si="347"/>
        <v>0</v>
      </c>
      <c r="Q1928" s="1693">
        <f t="shared" si="348"/>
        <v>0</v>
      </c>
      <c r="R1928" s="1693">
        <f t="shared" si="349"/>
        <v>0</v>
      </c>
      <c r="S1928" s="989"/>
      <c r="T1928" s="1862">
        <f>IFERROR(HLOOKUP(B1928,pp3p1m!$1:$3,3,0),0)</f>
        <v>0</v>
      </c>
    </row>
    <row r="1929" spans="1:20" ht="22.2" hidden="1" customHeight="1">
      <c r="A1929" s="1448">
        <f>COUNTIF($C$12:C1929,"x")</f>
        <v>145</v>
      </c>
      <c r="B1929" s="1455" t="s">
        <v>778</v>
      </c>
      <c r="C1929" s="1701" t="str">
        <f t="shared" si="350"/>
        <v xml:space="preserve"> </v>
      </c>
      <c r="D1929" s="1428">
        <f>K1929</f>
        <v>0</v>
      </c>
      <c r="E1929" s="980"/>
      <c r="F1929" s="992" t="str">
        <f>VLOOKUP($B1929,DG!A:D,DG!$C$2,)</f>
        <v>Kẹp 2 rãnh cỡ dây 185mm2</v>
      </c>
      <c r="G1929" s="980" t="str">
        <f>VLOOKUP($B1929,DG!A:D,DG!$D$2,)</f>
        <v>cái</v>
      </c>
      <c r="H1929" s="1693">
        <f t="shared" si="339"/>
        <v>0</v>
      </c>
      <c r="I1929" s="1693"/>
      <c r="J1929" s="1693"/>
      <c r="K1929" s="1692">
        <f>IFERROR(HLOOKUP(B1929,pp3p1m!$1:$3,2,0),0)</f>
        <v>0</v>
      </c>
      <c r="L1929" s="1693"/>
      <c r="M1929" s="1693"/>
      <c r="N1929" s="1693"/>
      <c r="O1929" s="1693"/>
      <c r="P1929" s="1693">
        <f t="shared" si="347"/>
        <v>0</v>
      </c>
      <c r="Q1929" s="1693">
        <f t="shared" si="348"/>
        <v>0</v>
      </c>
      <c r="R1929" s="1693">
        <f t="shared" si="349"/>
        <v>0</v>
      </c>
      <c r="S1929" s="989"/>
      <c r="T1929" s="1862">
        <f>IFERROR(HLOOKUP(B1929,pp3p1m!$1:$3,3,0),0)</f>
        <v>0</v>
      </c>
    </row>
    <row r="1930" spans="1:20" ht="22.2" hidden="1" customHeight="1">
      <c r="A1930" s="1448">
        <f>COUNTIF($C$12:C1930,"x")</f>
        <v>145</v>
      </c>
      <c r="B1930" s="1455" t="s">
        <v>697</v>
      </c>
      <c r="C1930" s="1701" t="str">
        <f t="shared" si="350"/>
        <v xml:space="preserve"> </v>
      </c>
      <c r="D1930" s="1421"/>
      <c r="E1930" s="1292"/>
      <c r="F1930" s="1278" t="str">
        <f>VLOOKUP($B1930,DG!A:D,DG!$C$2,)</f>
        <v>Cáp 24KV C/XLPE/PVC 25mm2</v>
      </c>
      <c r="G1930" s="980" t="str">
        <f>VLOOKUP($B1930,DG!A:D,DG!$D$2,)</f>
        <v>mét</v>
      </c>
      <c r="H1930" s="1693">
        <f t="shared" si="339"/>
        <v>0</v>
      </c>
      <c r="I1930" s="1693"/>
      <c r="J1930" s="1693"/>
      <c r="K1930" s="1692">
        <f>IFERROR(HLOOKUP(B1930,pp3p1m!$1:$3,2,0),0)</f>
        <v>0</v>
      </c>
      <c r="L1930" s="1693"/>
      <c r="M1930" s="1693"/>
      <c r="N1930" s="1693"/>
      <c r="O1930" s="1693"/>
      <c r="P1930" s="1693">
        <f>H1930</f>
        <v>0</v>
      </c>
      <c r="Q1930" s="1693">
        <f t="shared" si="348"/>
        <v>0</v>
      </c>
      <c r="R1930" s="1693">
        <f t="shared" si="349"/>
        <v>0</v>
      </c>
      <c r="S1930" s="989"/>
      <c r="T1930" s="1862">
        <f>IFERROR(HLOOKUP(B1930,pp3p1m!$1:$3,3,0),0)</f>
        <v>0</v>
      </c>
    </row>
    <row r="1931" spans="1:20" ht="22.2" hidden="1" customHeight="1">
      <c r="A1931" s="1448">
        <f>COUNTIF($C$12:C1931,"x")</f>
        <v>145</v>
      </c>
      <c r="B1931" s="1455" t="s">
        <v>697</v>
      </c>
      <c r="C1931" s="1701" t="str">
        <f t="shared" si="350"/>
        <v xml:space="preserve"> </v>
      </c>
      <c r="D1931" s="1415"/>
      <c r="E1931" s="1292"/>
      <c r="F1931" s="992" t="str">
        <f>VLOOKUP($B1931,DG!A:D,DG!$C$2,)&amp;" : đấu nối FCO"</f>
        <v>Cáp 24KV C/XLPE/PVC 25mm2 : đấu nối FCO</v>
      </c>
      <c r="G1931" s="980" t="str">
        <f>VLOOKUP($B1931,DG!A:D,DG!$D$2,)</f>
        <v>mét</v>
      </c>
      <c r="H1931" s="1693">
        <f t="shared" si="339"/>
        <v>0</v>
      </c>
      <c r="I1931" s="1693">
        <f>H1931</f>
        <v>0</v>
      </c>
      <c r="J1931" s="1693"/>
      <c r="K1931" s="1692">
        <f>IFERROR(HLOOKUP(B1931,pp3p1m!$1:$3,2,0),0)</f>
        <v>0</v>
      </c>
      <c r="L1931" s="1693"/>
      <c r="M1931" s="1693"/>
      <c r="N1931" s="1693"/>
      <c r="O1931" s="1693"/>
      <c r="P1931" s="1693">
        <f t="shared" si="347"/>
        <v>0</v>
      </c>
      <c r="Q1931" s="1693">
        <f t="shared" si="348"/>
        <v>0</v>
      </c>
      <c r="R1931" s="1693">
        <f t="shared" si="349"/>
        <v>0</v>
      </c>
      <c r="S1931" s="989"/>
      <c r="T1931" s="1862">
        <f>IFERROR(HLOOKUP(B1931,pp3p1m!$1:$3,3,0),0)</f>
        <v>0</v>
      </c>
    </row>
    <row r="1932" spans="1:20" ht="22.2" hidden="1" customHeight="1">
      <c r="A1932" s="1448">
        <f>COUNTIF($C$12:C1932,"x")</f>
        <v>145</v>
      </c>
      <c r="B1932" s="1455" t="s">
        <v>906</v>
      </c>
      <c r="C1932" s="1701" t="str">
        <f>IF(OR(P1932&lt;&gt;0,H1932&lt;&gt;0),"x"," ")</f>
        <v xml:space="preserve"> </v>
      </c>
      <c r="D1932" s="1415"/>
      <c r="E1932" s="1292"/>
      <c r="F1932" s="992" t="str">
        <f>VLOOKUP($B1932,DG!A:D,DG!$C$2,)</f>
        <v>Đầu cosse ép Cu-Al 50mm2</v>
      </c>
      <c r="G1932" s="980" t="str">
        <f>VLOOKUP($B1932,DG!A:D,DG!$D$2,)</f>
        <v>cái</v>
      </c>
      <c r="H1932" s="1693">
        <f t="shared" si="339"/>
        <v>0</v>
      </c>
      <c r="I1932" s="1693"/>
      <c r="J1932" s="1693"/>
      <c r="K1932" s="1692">
        <f>IFERROR(HLOOKUP(B1932,pp3p1m!$1:$3,2,0),0)</f>
        <v>0</v>
      </c>
      <c r="L1932" s="1693"/>
      <c r="M1932" s="1693"/>
      <c r="N1932" s="1693"/>
      <c r="O1932" s="1693"/>
      <c r="P1932" s="1693">
        <f>H1932</f>
        <v>0</v>
      </c>
      <c r="Q1932" s="1693">
        <f t="shared" si="348"/>
        <v>0</v>
      </c>
      <c r="R1932" s="1693">
        <f t="shared" si="349"/>
        <v>0</v>
      </c>
      <c r="S1932" s="989"/>
      <c r="T1932" s="1862">
        <f>IFERROR(HLOOKUP(B1932,pp3p1m!$1:$3,3,0),0)</f>
        <v>0</v>
      </c>
    </row>
    <row r="1933" spans="1:20" ht="22.2" hidden="1" customHeight="1">
      <c r="A1933" s="1448">
        <f>COUNTIF($C$12:C1933,"x")</f>
        <v>145</v>
      </c>
      <c r="B1933" s="1455" t="s">
        <v>381</v>
      </c>
      <c r="C1933" s="1701" t="str">
        <f>IF(OR(P1933&lt;&gt;0,H1933&lt;&gt;0),"x"," ")</f>
        <v xml:space="preserve"> </v>
      </c>
      <c r="D1933" s="1415"/>
      <c r="E1933" s="1292"/>
      <c r="F1933" s="992" t="str">
        <f>VLOOKUP($B1933,DG!A:D,DG!$C$2,)</f>
        <v>Chụp đầu cực FCO (bộ 2 cái)</v>
      </c>
      <c r="G1933" s="980" t="str">
        <f>VLOOKUP($B1933,DG!A:D,DG!$D$2,)</f>
        <v>bộ</v>
      </c>
      <c r="H1933" s="1693">
        <f t="shared" si="339"/>
        <v>0</v>
      </c>
      <c r="I1933" s="1693"/>
      <c r="J1933" s="1693"/>
      <c r="K1933" s="1692">
        <f>IFERROR(HLOOKUP(B1933,pp3p1m!$1:$3,2,0),0)</f>
        <v>0</v>
      </c>
      <c r="L1933" s="1693"/>
      <c r="M1933" s="1693"/>
      <c r="N1933" s="1693"/>
      <c r="O1933" s="1693"/>
      <c r="P1933" s="1693">
        <f t="shared" si="347"/>
        <v>0</v>
      </c>
      <c r="Q1933" s="1693">
        <f t="shared" si="348"/>
        <v>0</v>
      </c>
      <c r="R1933" s="1693">
        <f t="shared" si="349"/>
        <v>0</v>
      </c>
      <c r="S1933" s="989"/>
      <c r="T1933" s="1862">
        <f>IFERROR(HLOOKUP(B1933,pp3p1m!$1:$3,3,0),0)</f>
        <v>0</v>
      </c>
    </row>
    <row r="1934" spans="1:20" ht="22.2" hidden="1" customHeight="1">
      <c r="A1934" s="1448">
        <f>COUNTIF($C$12:C1934,"x")</f>
        <v>145</v>
      </c>
      <c r="B1934" s="1455" t="s">
        <v>4462</v>
      </c>
      <c r="C1934" s="1701" t="str">
        <f t="shared" si="350"/>
        <v xml:space="preserve"> </v>
      </c>
      <c r="D1934" s="1415"/>
      <c r="E1934" s="1292"/>
      <c r="F1934" s="992" t="str">
        <f>VLOOKUP($B1934,DG!A:D,DG!$C$2,)</f>
        <v>Nắp chụp kẹp quai + hotline</v>
      </c>
      <c r="G1934" s="980" t="str">
        <f>VLOOKUP($B1934,DG!A:D,DG!$D$2,)</f>
        <v>bộ</v>
      </c>
      <c r="H1934" s="1693">
        <f t="shared" si="339"/>
        <v>0</v>
      </c>
      <c r="I1934" s="1693"/>
      <c r="J1934" s="1693"/>
      <c r="K1934" s="1692">
        <f>IFERROR(HLOOKUP(B1934,pp3p1m!$1:$3,2,0),0)</f>
        <v>0</v>
      </c>
      <c r="L1934" s="1693"/>
      <c r="M1934" s="1693"/>
      <c r="N1934" s="1693"/>
      <c r="O1934" s="1693"/>
      <c r="P1934" s="1693">
        <f t="shared" si="347"/>
        <v>0</v>
      </c>
      <c r="Q1934" s="1693">
        <f t="shared" si="348"/>
        <v>0</v>
      </c>
      <c r="R1934" s="1693">
        <f t="shared" si="349"/>
        <v>0</v>
      </c>
      <c r="S1934" s="989"/>
      <c r="T1934" s="1862">
        <f>IFERROR(HLOOKUP(B1934,pp3p1m!$1:$3,3,0),0)</f>
        <v>0</v>
      </c>
    </row>
    <row r="1935" spans="1:20" ht="22.2" hidden="1" customHeight="1">
      <c r="A1935" s="1448">
        <f>COUNTIF($C$12:C1935,"x")</f>
        <v>145</v>
      </c>
      <c r="B1935" s="1455" t="s">
        <v>1487</v>
      </c>
      <c r="C1935" s="970" t="str">
        <f t="shared" si="350"/>
        <v xml:space="preserve"> </v>
      </c>
      <c r="D1935" s="1415">
        <f>ROUND((E1776)*1.02/2000,0)*12</f>
        <v>0</v>
      </c>
      <c r="E1935" s="980"/>
      <c r="F1935" s="992" t="str">
        <f>VLOOKUP($B1935,DG!A:D,DG!$C$2,)</f>
        <v>Ống nối dây cỡ 50mm2</v>
      </c>
      <c r="G1935" s="980" t="str">
        <f>VLOOKUP($B1935,DG!A:D,DG!$D$2,)</f>
        <v>cái</v>
      </c>
      <c r="H1935" s="1693">
        <f t="shared" ref="H1935:H1996" si="351">IF(D1935&gt;0,D1935,K1935)</f>
        <v>0</v>
      </c>
      <c r="I1935" s="1693"/>
      <c r="J1935" s="1693"/>
      <c r="K1935" s="1692">
        <f>IFERROR(HLOOKUP(B1935,pp3p1m!$1:$3,2,0),0)</f>
        <v>0</v>
      </c>
      <c r="L1935" s="1693"/>
      <c r="M1935" s="1693"/>
      <c r="N1935" s="1693"/>
      <c r="O1935" s="1693"/>
      <c r="P1935" s="1693">
        <f t="shared" si="347"/>
        <v>0</v>
      </c>
      <c r="Q1935" s="1693">
        <f t="shared" si="348"/>
        <v>0</v>
      </c>
      <c r="R1935" s="1693">
        <f t="shared" si="349"/>
        <v>0</v>
      </c>
      <c r="S1935" s="989"/>
      <c r="T1935" s="1862">
        <f>IFERROR(HLOOKUP(B1935,pp3p1m!$1:$3,3,0),0)</f>
        <v>0</v>
      </c>
    </row>
    <row r="1936" spans="1:20" ht="22.2" hidden="1" customHeight="1">
      <c r="A1936" s="1448">
        <f>COUNTIF($C$12:C1936,"x")</f>
        <v>145</v>
      </c>
      <c r="B1936" s="1455" t="s">
        <v>432</v>
      </c>
      <c r="C1936" s="970" t="str">
        <f t="shared" si="350"/>
        <v xml:space="preserve"> </v>
      </c>
      <c r="D1936" s="1415">
        <f>ROUND((E1774+E1784)*1.03/1200,0)</f>
        <v>0</v>
      </c>
      <c r="E1936" s="980"/>
      <c r="F1936" s="992" t="str">
        <f>VLOOKUP($B1936,DG!A:D,DG!$C$2,)</f>
        <v>Ống nối dây cỡ 95mm2</v>
      </c>
      <c r="G1936" s="980" t="str">
        <f>VLOOKUP($B1936,DG!A:D,DG!$D$2,)</f>
        <v>cái</v>
      </c>
      <c r="H1936" s="1693">
        <f t="shared" si="351"/>
        <v>0</v>
      </c>
      <c r="I1936" s="1693"/>
      <c r="J1936" s="1693"/>
      <c r="K1936" s="1692">
        <f>IFERROR(HLOOKUP(B1936,pp3p1m!$1:$3,2,0),0)</f>
        <v>0</v>
      </c>
      <c r="L1936" s="1693"/>
      <c r="M1936" s="1693"/>
      <c r="N1936" s="1693"/>
      <c r="O1936" s="1693"/>
      <c r="P1936" s="1693">
        <f t="shared" si="347"/>
        <v>0</v>
      </c>
      <c r="Q1936" s="1693">
        <f t="shared" si="348"/>
        <v>0</v>
      </c>
      <c r="R1936" s="1693">
        <f t="shared" si="349"/>
        <v>0</v>
      </c>
      <c r="S1936" s="989"/>
      <c r="T1936" s="1862">
        <f>IFERROR(HLOOKUP(B1936,pp3p1m!$1:$3,3,0),0)</f>
        <v>0</v>
      </c>
    </row>
    <row r="1937" spans="1:20" ht="22.2" hidden="1" customHeight="1">
      <c r="A1937" s="1448">
        <f>COUNTIF($C$12:C1937,"x")</f>
        <v>145</v>
      </c>
      <c r="B1937" s="1455" t="s">
        <v>573</v>
      </c>
      <c r="C1937" s="970" t="str">
        <f t="shared" si="350"/>
        <v xml:space="preserve"> </v>
      </c>
      <c r="D1937" s="1415">
        <f>ROUND((E1773+E1783)*1.03/1200,0)</f>
        <v>0</v>
      </c>
      <c r="E1937" s="980"/>
      <c r="F1937" s="992" t="str">
        <f>VLOOKUP($B1937,DG!A:D,DG!$C$2,)</f>
        <v>Ống nối dây cỡ 120mm2</v>
      </c>
      <c r="G1937" s="980" t="str">
        <f>VLOOKUP($B1937,DG!A:D,DG!$D$2,)</f>
        <v>cái</v>
      </c>
      <c r="H1937" s="1693">
        <f t="shared" si="351"/>
        <v>0</v>
      </c>
      <c r="I1937" s="1693"/>
      <c r="J1937" s="1693"/>
      <c r="K1937" s="1692">
        <f>IFERROR(HLOOKUP(B1937,pp3p1m!$1:$3,2,0),0)</f>
        <v>0</v>
      </c>
      <c r="L1937" s="1693"/>
      <c r="M1937" s="1693"/>
      <c r="N1937" s="1693"/>
      <c r="O1937" s="1693"/>
      <c r="P1937" s="1693">
        <f t="shared" si="347"/>
        <v>0</v>
      </c>
      <c r="Q1937" s="1693">
        <f t="shared" si="348"/>
        <v>0</v>
      </c>
      <c r="R1937" s="1693">
        <f t="shared" si="349"/>
        <v>0</v>
      </c>
      <c r="S1937" s="989"/>
      <c r="T1937" s="1862">
        <f>IFERROR(HLOOKUP(B1937,pp3p1m!$1:$3,3,0),0)</f>
        <v>0</v>
      </c>
    </row>
    <row r="1938" spans="1:20" ht="22.2" hidden="1" customHeight="1">
      <c r="A1938" s="1448">
        <f>COUNTIF($C$12:C1938,"x")</f>
        <v>145</v>
      </c>
      <c r="B1938" s="1455" t="s">
        <v>937</v>
      </c>
      <c r="C1938" s="970" t="str">
        <f t="shared" si="350"/>
        <v xml:space="preserve"> </v>
      </c>
      <c r="D1938" s="1415">
        <f>ROUND((E1772+E1782)*1.03/1200,0)</f>
        <v>0</v>
      </c>
      <c r="E1938" s="980"/>
      <c r="F1938" s="992" t="str">
        <f>VLOOKUP($B1938,DG!A:D,DG!$C$2,)</f>
        <v>Ống nối dây cỡ 150mm2</v>
      </c>
      <c r="G1938" s="980" t="str">
        <f>VLOOKUP($B1938,DG!A:D,DG!$D$2,)</f>
        <v>cái</v>
      </c>
      <c r="H1938" s="1693">
        <f t="shared" si="351"/>
        <v>0</v>
      </c>
      <c r="I1938" s="1693"/>
      <c r="J1938" s="1693"/>
      <c r="K1938" s="1692">
        <f>IFERROR(HLOOKUP(B1938,pp3p1m!$1:$3,2,0),0)</f>
        <v>0</v>
      </c>
      <c r="L1938" s="1693"/>
      <c r="M1938" s="1693"/>
      <c r="N1938" s="1693"/>
      <c r="O1938" s="1693"/>
      <c r="P1938" s="1693">
        <f t="shared" si="347"/>
        <v>0</v>
      </c>
      <c r="Q1938" s="1693">
        <f t="shared" si="348"/>
        <v>0</v>
      </c>
      <c r="R1938" s="1693">
        <f t="shared" si="349"/>
        <v>0</v>
      </c>
      <c r="S1938" s="989"/>
      <c r="T1938" s="1862">
        <f>IFERROR(HLOOKUP(B1938,pp3p1m!$1:$3,3,0),0)</f>
        <v>0</v>
      </c>
    </row>
    <row r="1939" spans="1:20" ht="22.2" hidden="1" customHeight="1">
      <c r="A1939" s="1448">
        <f>COUNTIF($C$12:C1939,"x")</f>
        <v>145</v>
      </c>
      <c r="B1939" s="1455" t="s">
        <v>571</v>
      </c>
      <c r="C1939" s="970" t="str">
        <f t="shared" si="350"/>
        <v xml:space="preserve"> </v>
      </c>
      <c r="D1939" s="1415">
        <f>ROUND((E1770+E1780)*1.03/1200,0)</f>
        <v>0</v>
      </c>
      <c r="E1939" s="980"/>
      <c r="F1939" s="992" t="str">
        <f>VLOOKUP($B1939,DG!A:D,DG!$C$2,)</f>
        <v>Ống nối dây cỡ 240mm2</v>
      </c>
      <c r="G1939" s="980" t="str">
        <f>VLOOKUP($B1939,DG!A:D,DG!$D$2,)</f>
        <v>cái</v>
      </c>
      <c r="H1939" s="1693">
        <f t="shared" si="351"/>
        <v>0</v>
      </c>
      <c r="I1939" s="1693"/>
      <c r="J1939" s="1693"/>
      <c r="K1939" s="1692">
        <f>IFERROR(HLOOKUP(B1939,pp3p1m!$1:$3,2,0),0)</f>
        <v>0</v>
      </c>
      <c r="L1939" s="1693"/>
      <c r="M1939" s="1693"/>
      <c r="N1939" s="1693"/>
      <c r="O1939" s="1693"/>
      <c r="P1939" s="1693">
        <f t="shared" si="347"/>
        <v>0</v>
      </c>
      <c r="Q1939" s="1693">
        <f t="shared" si="348"/>
        <v>0</v>
      </c>
      <c r="R1939" s="1693">
        <f t="shared" si="349"/>
        <v>0</v>
      </c>
      <c r="S1939" s="989"/>
      <c r="T1939" s="1862">
        <f>IFERROR(HLOOKUP(B1939,pp3p1m!$1:$3,3,0),0)</f>
        <v>0</v>
      </c>
    </row>
    <row r="1940" spans="1:20" ht="22.2" hidden="1" customHeight="1">
      <c r="A1940" s="1448">
        <f>COUNTIF($C$12:C1940,"x")</f>
        <v>145</v>
      </c>
      <c r="B1940" s="1455" t="s">
        <v>1876</v>
      </c>
      <c r="C1940" s="970" t="str">
        <f t="shared" si="350"/>
        <v xml:space="preserve"> </v>
      </c>
      <c r="D1940" s="1432"/>
      <c r="E1940" s="980"/>
      <c r="F1940" s="992" t="str">
        <f>VLOOKUP($B1940,DG!A:D,DG!$C$2,)</f>
        <v>Cổ dê trụ đôi bắt sứ treo</v>
      </c>
      <c r="G1940" s="980" t="str">
        <f>VLOOKUP($B1940,DG!A:D,DG!$D$2,)</f>
        <v>bộ</v>
      </c>
      <c r="H1940" s="1693">
        <f t="shared" si="351"/>
        <v>0</v>
      </c>
      <c r="I1940" s="1693"/>
      <c r="J1940" s="1693"/>
      <c r="K1940" s="1692">
        <f>IFERROR(HLOOKUP(B1940,pp3p1m!$1:$3,2,0),0)</f>
        <v>0</v>
      </c>
      <c r="L1940" s="1693"/>
      <c r="M1940" s="1693"/>
      <c r="N1940" s="1693"/>
      <c r="O1940" s="1693"/>
      <c r="P1940" s="1693">
        <f t="shared" si="347"/>
        <v>0</v>
      </c>
      <c r="Q1940" s="1693">
        <f t="shared" si="348"/>
        <v>0</v>
      </c>
      <c r="R1940" s="1693">
        <f t="shared" si="349"/>
        <v>0</v>
      </c>
      <c r="S1940" s="989"/>
      <c r="T1940" s="1862">
        <f>IFERROR(HLOOKUP(B1940,pp3p1m!$1:$3,3,0),0)</f>
        <v>0</v>
      </c>
    </row>
    <row r="1941" spans="1:20" ht="22.2" hidden="1" customHeight="1">
      <c r="A1941" s="1448">
        <f>COUNTIF($C$12:C1941,"x")</f>
        <v>145</v>
      </c>
      <c r="B1941" s="1455" t="s">
        <v>1382</v>
      </c>
      <c r="C1941" s="970" t="str">
        <f t="shared" si="350"/>
        <v xml:space="preserve"> </v>
      </c>
      <c r="D1941" s="1432"/>
      <c r="E1941" s="980"/>
      <c r="F1941" s="992" t="str">
        <f>VLOOKUP($B1941,DG!A:D,DG!$C$2,)&amp;": bắt xà trụ ghép"</f>
        <v>Boulon 16x600VRS+ 4 long đền vuông D18-50x50x3/Zn: bắt xà trụ ghép</v>
      </c>
      <c r="G1941" s="980" t="str">
        <f>VLOOKUP($B1941,DG!A:D,DG!$D$2,)</f>
        <v>bộ</v>
      </c>
      <c r="H1941" s="1693">
        <f t="shared" si="351"/>
        <v>0</v>
      </c>
      <c r="I1941" s="1693"/>
      <c r="J1941" s="1693"/>
      <c r="K1941" s="1692">
        <f>IFERROR(HLOOKUP(B1941,pp3p1m!$1:$3,2,0),0)</f>
        <v>0</v>
      </c>
      <c r="L1941" s="1693"/>
      <c r="M1941" s="1693"/>
      <c r="N1941" s="1693"/>
      <c r="O1941" s="1693"/>
      <c r="P1941" s="1693">
        <f t="shared" si="347"/>
        <v>0</v>
      </c>
      <c r="Q1941" s="1693">
        <f t="shared" si="348"/>
        <v>0</v>
      </c>
      <c r="R1941" s="1693">
        <f t="shared" si="349"/>
        <v>0</v>
      </c>
      <c r="S1941" s="989"/>
      <c r="T1941" s="1862">
        <f>IFERROR(HLOOKUP(B1941,pp3p1m!$1:$3,3,0),0)</f>
        <v>0</v>
      </c>
    </row>
    <row r="1942" spans="1:20" ht="22.2" hidden="1" customHeight="1">
      <c r="A1942" s="1448">
        <f>COUNTIF($C$12:C1942,"x")</f>
        <v>145</v>
      </c>
      <c r="B1942" s="1455" t="s">
        <v>4823</v>
      </c>
      <c r="C1942" s="970" t="str">
        <f t="shared" si="350"/>
        <v xml:space="preserve"> </v>
      </c>
      <c r="D1942" s="1428"/>
      <c r="E1942" s="980"/>
      <c r="F1942" s="2015" t="str">
        <f>VLOOKUP($B1942,DG!A:D,DG!$C$2,)&amp;": bắt trụ đôi"</f>
        <v>Boulon 16x450VRS+ 4 long đền vuông D18-50x50x3/Zn: bắt trụ đôi</v>
      </c>
      <c r="G1942" s="980" t="str">
        <f>VLOOKUP($B1942,DG!A:D,DG!$D$2,)</f>
        <v>bộ</v>
      </c>
      <c r="H1942" s="1693">
        <f t="shared" si="351"/>
        <v>0</v>
      </c>
      <c r="I1942" s="1693"/>
      <c r="J1942" s="1693"/>
      <c r="K1942" s="1692">
        <f>IFERROR(HLOOKUP(B1942,pp3p1m!$1:$3,2,0),0)</f>
        <v>0</v>
      </c>
      <c r="L1942" s="1693"/>
      <c r="M1942" s="1693"/>
      <c r="N1942" s="1693"/>
      <c r="O1942" s="1693"/>
      <c r="P1942" s="1693">
        <f t="shared" si="347"/>
        <v>0</v>
      </c>
      <c r="Q1942" s="1693">
        <f t="shared" si="348"/>
        <v>0</v>
      </c>
      <c r="R1942" s="1693">
        <f t="shared" si="349"/>
        <v>0</v>
      </c>
      <c r="S1942" s="989"/>
      <c r="T1942" s="1862">
        <f>IFERROR(HLOOKUP(B1942,pp3p1m!$1:$3,3,0),0)</f>
        <v>0</v>
      </c>
    </row>
    <row r="1943" spans="1:20" ht="22.2" hidden="1" customHeight="1">
      <c r="A1943" s="1448">
        <f>COUNTIF($C$12:C1943,"x")</f>
        <v>145</v>
      </c>
      <c r="B1943" s="1455" t="s">
        <v>532</v>
      </c>
      <c r="C1943" s="970" t="str">
        <f t="shared" si="350"/>
        <v xml:space="preserve"> </v>
      </c>
      <c r="D1943" s="1428"/>
      <c r="E1943" s="980"/>
      <c r="F1943" s="2015" t="str">
        <f>VLOOKUP($B1943,DG!A:D,DG!$C$2,)&amp;": bắt trụ đôi"</f>
        <v>Boulon 16x550VRS+ 4 long đền vuông D18-50x50x3/Zn: bắt trụ đôi</v>
      </c>
      <c r="G1943" s="980" t="str">
        <f>VLOOKUP($B1943,DG!A:D,DG!$D$2,)</f>
        <v>bộ</v>
      </c>
      <c r="H1943" s="1693">
        <f t="shared" si="351"/>
        <v>0</v>
      </c>
      <c r="I1943" s="1693"/>
      <c r="J1943" s="1693"/>
      <c r="K1943" s="1692">
        <f>IFERROR(HLOOKUP(B1943,pp3p1m!$1:$3,2,0),0)</f>
        <v>0</v>
      </c>
      <c r="L1943" s="1693"/>
      <c r="M1943" s="1693"/>
      <c r="N1943" s="1693"/>
      <c r="O1943" s="1693"/>
      <c r="P1943" s="1693">
        <f t="shared" si="347"/>
        <v>0</v>
      </c>
      <c r="Q1943" s="1693">
        <f t="shared" si="348"/>
        <v>0</v>
      </c>
      <c r="R1943" s="1693">
        <f t="shared" si="349"/>
        <v>0</v>
      </c>
      <c r="S1943" s="989"/>
      <c r="T1943" s="1862">
        <f>IFERROR(HLOOKUP(B1943,pp3p1m!$1:$3,3,0),0)</f>
        <v>0</v>
      </c>
    </row>
    <row r="1944" spans="1:20" ht="22.2" hidden="1" customHeight="1">
      <c r="A1944" s="1448">
        <f>COUNTIF($C$12:C1944,"x")</f>
        <v>145</v>
      </c>
      <c r="B1944" s="1455" t="s">
        <v>1382</v>
      </c>
      <c r="C1944" s="970" t="str">
        <f t="shared" si="350"/>
        <v xml:space="preserve"> </v>
      </c>
      <c r="D1944" s="1428"/>
      <c r="E1944" s="980"/>
      <c r="F1944" s="2015" t="str">
        <f>VLOOKUP($B1944,DG!A:D,DG!$C$2,)&amp;": bắt trụ đôi"</f>
        <v>Boulon 16x600VRS+ 4 long đền vuông D18-50x50x3/Zn: bắt trụ đôi</v>
      </c>
      <c r="G1944" s="980" t="str">
        <f>VLOOKUP($B1944,DG!A:D,DG!$D$2,)</f>
        <v>bộ</v>
      </c>
      <c r="H1944" s="1693">
        <f t="shared" si="351"/>
        <v>0</v>
      </c>
      <c r="I1944" s="1693"/>
      <c r="J1944" s="1693"/>
      <c r="K1944" s="1692">
        <f>IFERROR(HLOOKUP(B1944,pp3p1m!$1:$3,2,0),0)</f>
        <v>0</v>
      </c>
      <c r="L1944" s="1693"/>
      <c r="M1944" s="1693"/>
      <c r="N1944" s="1693"/>
      <c r="O1944" s="1693"/>
      <c r="P1944" s="1693">
        <f t="shared" si="347"/>
        <v>0</v>
      </c>
      <c r="Q1944" s="1693">
        <f t="shared" si="348"/>
        <v>0</v>
      </c>
      <c r="R1944" s="1693">
        <f t="shared" si="349"/>
        <v>0</v>
      </c>
      <c r="S1944" s="989"/>
      <c r="T1944" s="1862">
        <f>IFERROR(HLOOKUP(B1944,pp3p1m!$1:$3,3,0),0)</f>
        <v>0</v>
      </c>
    </row>
    <row r="1945" spans="1:20" ht="22.2" hidden="1" customHeight="1">
      <c r="A1945" s="1448">
        <f>COUNTIF($C$12:C1945,"x")</f>
        <v>145</v>
      </c>
      <c r="B1945" s="1455" t="s">
        <v>1061</v>
      </c>
      <c r="C1945" s="970" t="str">
        <f t="shared" si="350"/>
        <v xml:space="preserve"> </v>
      </c>
      <c r="D1945" s="1428"/>
      <c r="E1945" s="980"/>
      <c r="F1945" s="2015" t="str">
        <f>VLOOKUP($B1945,DG!A:D,DG!$C$2,)&amp;": baét söù treo Polymer truï TBA 11"</f>
        <v>Boulon mắt 16x250+ 2 long đền vuông D18-50x50x3/Zn: baét söù treo Polymer truï TBA 11</v>
      </c>
      <c r="G1945" s="980" t="str">
        <f>VLOOKUP($B1945,DG!A:D,DG!$D$2,)</f>
        <v>bộ</v>
      </c>
      <c r="H1945" s="1693">
        <f t="shared" si="351"/>
        <v>0</v>
      </c>
      <c r="I1945" s="1693"/>
      <c r="J1945" s="1693"/>
      <c r="K1945" s="1692">
        <f>IFERROR(HLOOKUP(B1945,pp3p1m!$1:$3,2,0),0)</f>
        <v>0</v>
      </c>
      <c r="L1945" s="1693"/>
      <c r="M1945" s="1693"/>
      <c r="N1945" s="1693"/>
      <c r="O1945" s="1693"/>
      <c r="P1945" s="1693">
        <f t="shared" si="347"/>
        <v>0</v>
      </c>
      <c r="Q1945" s="1693">
        <f t="shared" si="348"/>
        <v>0</v>
      </c>
      <c r="R1945" s="1693">
        <f t="shared" si="349"/>
        <v>0</v>
      </c>
      <c r="S1945" s="989"/>
      <c r="T1945" s="1862">
        <f>IFERROR(HLOOKUP(B1945,pp3p1m!$1:$3,3,0),0)</f>
        <v>0</v>
      </c>
    </row>
    <row r="1946" spans="1:20" ht="22.2" hidden="1" customHeight="1">
      <c r="A1946" s="1448">
        <f>COUNTIF($C$12:C1946,"x")</f>
        <v>145</v>
      </c>
      <c r="B1946" s="1455" t="s">
        <v>1159</v>
      </c>
      <c r="C1946" s="970" t="str">
        <f t="shared" ref="C1946" si="352">IF(OR(P1946&lt;&gt;0,H1946&lt;&gt;0),"x"," ")</f>
        <v xml:space="preserve"> </v>
      </c>
      <c r="D1946" s="1425"/>
      <c r="E1946" s="980"/>
      <c r="F1946" s="992" t="str">
        <f>VLOOKUP($B1946,DG!A:D,DG!$C$2,)&amp;" + bulon"</f>
        <v>Kẹp treo cáp ABC4x95mm2 + bulon</v>
      </c>
      <c r="G1946" s="980" t="str">
        <f>VLOOKUP($B1946,DG!A:D,DG!$D$2,)</f>
        <v>cái</v>
      </c>
      <c r="H1946" s="1693">
        <f t="shared" si="351"/>
        <v>0</v>
      </c>
      <c r="I1946" s="1693"/>
      <c r="J1946" s="1693"/>
      <c r="K1946" s="1692">
        <f>IFERROR(HLOOKUP(B1946,pp3p1m!$1:$3,2,0),0)</f>
        <v>0</v>
      </c>
      <c r="L1946" s="1693"/>
      <c r="M1946" s="1693"/>
      <c r="N1946" s="1693"/>
      <c r="O1946" s="1693"/>
      <c r="P1946" s="1693">
        <f t="shared" si="347"/>
        <v>0</v>
      </c>
      <c r="Q1946" s="1693">
        <f t="shared" si="348"/>
        <v>0</v>
      </c>
      <c r="R1946" s="1693">
        <f t="shared" si="349"/>
        <v>0</v>
      </c>
      <c r="S1946" s="995"/>
      <c r="T1946" s="1862">
        <f>IFERROR(HLOOKUP(B1946,pp3p1m!$1:$3,3,0),0)</f>
        <v>0</v>
      </c>
    </row>
    <row r="1947" spans="1:20" ht="22.2" hidden="1" customHeight="1">
      <c r="A1947" s="1448">
        <f>COUNTIF($C$12:C1947,"x")</f>
        <v>145</v>
      </c>
      <c r="B1947" s="1455" t="s">
        <v>2259</v>
      </c>
      <c r="C1947" s="970" t="str">
        <f t="shared" si="350"/>
        <v xml:space="preserve"> </v>
      </c>
      <c r="D1947" s="1425"/>
      <c r="E1947" s="980"/>
      <c r="F1947" s="992" t="str">
        <f>VLOOKUP($B1947,DG!A:D,DG!$C$2,)&amp;" + bulon"</f>
        <v>Rack 2 sứ + sứ ống chỉ + bulon</v>
      </c>
      <c r="G1947" s="980" t="str">
        <f>VLOOKUP($B1947,DG!A:D,DG!$D$2,)</f>
        <v>bộ</v>
      </c>
      <c r="H1947" s="1693">
        <f t="shared" si="351"/>
        <v>0</v>
      </c>
      <c r="I1947" s="1693"/>
      <c r="J1947" s="1693"/>
      <c r="K1947" s="1692">
        <f>IFERROR(HLOOKUP(B1947,pp3p1m!$1:$3,2,0),0)</f>
        <v>0</v>
      </c>
      <c r="L1947" s="1693"/>
      <c r="M1947" s="1693"/>
      <c r="N1947" s="1693"/>
      <c r="O1947" s="1693"/>
      <c r="P1947" s="1693">
        <f t="shared" si="347"/>
        <v>0</v>
      </c>
      <c r="Q1947" s="1693">
        <f t="shared" si="348"/>
        <v>0</v>
      </c>
      <c r="R1947" s="1693">
        <f t="shared" si="349"/>
        <v>0</v>
      </c>
      <c r="S1947" s="995"/>
      <c r="T1947" s="1862">
        <f>IFERROR(HLOOKUP(B1947,pp3p1m!$1:$3,3,0),0)</f>
        <v>0</v>
      </c>
    </row>
    <row r="1948" spans="1:20" ht="22.2" hidden="1" customHeight="1">
      <c r="A1948" s="1448">
        <f>COUNTIF($C$12:C1948,"x")</f>
        <v>145</v>
      </c>
      <c r="B1948" s="1455" t="s">
        <v>667</v>
      </c>
      <c r="C1948" s="970" t="str">
        <f t="shared" si="350"/>
        <v xml:space="preserve"> </v>
      </c>
      <c r="D1948" s="1425"/>
      <c r="E1948" s="980"/>
      <c r="F1948" s="992" t="str">
        <f>VLOOKUP($B1948,DG!A:D,DG!$C$2,)&amp;" + bulon"</f>
        <v>Rack 3 sứ + sứ ống chỉ + bulon</v>
      </c>
      <c r="G1948" s="980" t="str">
        <f>VLOOKUP($B1948,DG!A:D,DG!$D$2,)</f>
        <v>bộ</v>
      </c>
      <c r="H1948" s="1693">
        <f t="shared" si="351"/>
        <v>0</v>
      </c>
      <c r="I1948" s="1693"/>
      <c r="J1948" s="1693"/>
      <c r="K1948" s="1692">
        <f>IFERROR(HLOOKUP(B1948,pp3p1m!$1:$3,2,0),0)</f>
        <v>0</v>
      </c>
      <c r="L1948" s="1693"/>
      <c r="M1948" s="1693"/>
      <c r="N1948" s="1693"/>
      <c r="O1948" s="1693"/>
      <c r="P1948" s="1693">
        <f t="shared" si="347"/>
        <v>0</v>
      </c>
      <c r="Q1948" s="1693">
        <f t="shared" si="348"/>
        <v>0</v>
      </c>
      <c r="R1948" s="1693">
        <f t="shared" si="349"/>
        <v>0</v>
      </c>
      <c r="S1948" s="995"/>
      <c r="T1948" s="1862">
        <f>IFERROR(HLOOKUP(B1948,pp3p1m!$1:$3,3,0),0)</f>
        <v>0</v>
      </c>
    </row>
    <row r="1949" spans="1:20" ht="22.2" hidden="1" customHeight="1">
      <c r="A1949" s="1448">
        <f>COUNTIF($C$12:C1949,"x")</f>
        <v>145</v>
      </c>
      <c r="B1949" s="1455" t="s">
        <v>51</v>
      </c>
      <c r="C1949" s="970" t="str">
        <f t="shared" si="350"/>
        <v xml:space="preserve"> </v>
      </c>
      <c r="D1949" s="1425"/>
      <c r="E1949" s="980"/>
      <c r="F1949" s="992" t="str">
        <f>VLOOKUP($B1949,DG!A:D,DG!$C$2,)&amp;" + bulon"</f>
        <v>Rack 4 + bulon</v>
      </c>
      <c r="G1949" s="980" t="str">
        <f>VLOOKUP($B1949,DG!A:D,DG!$D$2,)</f>
        <v>cái</v>
      </c>
      <c r="H1949" s="1693">
        <f t="shared" si="351"/>
        <v>0</v>
      </c>
      <c r="I1949" s="1693"/>
      <c r="J1949" s="1693"/>
      <c r="K1949" s="1692">
        <f>IFERROR(HLOOKUP(B1949,pp3p1m!$1:$3,2,0),0)</f>
        <v>0</v>
      </c>
      <c r="L1949" s="1693"/>
      <c r="M1949" s="1693"/>
      <c r="N1949" s="1693"/>
      <c r="O1949" s="1693"/>
      <c r="P1949" s="1693">
        <f t="shared" ref="P1949:P1991" si="353">T1949</f>
        <v>0</v>
      </c>
      <c r="Q1949" s="1693">
        <f t="shared" ref="Q1949:Q2009" si="354">IF(P1949&gt;H1949,P1949-H1949,0)</f>
        <v>0</v>
      </c>
      <c r="R1949" s="1693">
        <f t="shared" ref="R1949:R2009" si="355">IF(H1949&gt;P1949,H1949-P1949,0)</f>
        <v>0</v>
      </c>
      <c r="S1949" s="995"/>
      <c r="T1949" s="1862">
        <f>IFERROR(HLOOKUP(B1949,pp3p1m!$1:$3,3,0),0)</f>
        <v>0</v>
      </c>
    </row>
    <row r="1950" spans="1:20" ht="22.2" hidden="1" customHeight="1">
      <c r="A1950" s="1448">
        <f>COUNTIF($C$12:C1950,"x")</f>
        <v>145</v>
      </c>
      <c r="B1950" s="1455" t="s">
        <v>1185</v>
      </c>
      <c r="C1950" s="970" t="str">
        <f t="shared" si="350"/>
        <v xml:space="preserve"> </v>
      </c>
      <c r="D1950" s="1425"/>
      <c r="E1950" s="980"/>
      <c r="F1950" s="992" t="str">
        <f>VLOOKUP($B1950,DG!A:D,DG!$C$2,)</f>
        <v>Boulon 16x350+ 2 long đền vuông D18-50x50x3/Zn</v>
      </c>
      <c r="G1950" s="980" t="str">
        <f>VLOOKUP($B1950,DG!A:D,DG!$D$2,)</f>
        <v>bộ</v>
      </c>
      <c r="H1950" s="1693">
        <f t="shared" si="351"/>
        <v>0</v>
      </c>
      <c r="I1950" s="1693"/>
      <c r="J1950" s="1693"/>
      <c r="K1950" s="1692">
        <f>IFERROR(HLOOKUP(B1950,pp3p1m!$1:$3,2,0),0)</f>
        <v>0</v>
      </c>
      <c r="L1950" s="1693"/>
      <c r="M1950" s="1693"/>
      <c r="N1950" s="1693"/>
      <c r="O1950" s="1693"/>
      <c r="P1950" s="1693">
        <f t="shared" si="353"/>
        <v>0</v>
      </c>
      <c r="Q1950" s="1693">
        <f t="shared" si="354"/>
        <v>0</v>
      </c>
      <c r="R1950" s="1693">
        <f t="shared" si="355"/>
        <v>0</v>
      </c>
      <c r="S1950" s="995"/>
      <c r="T1950" s="1862">
        <f>IFERROR(HLOOKUP(B1950,pp3p1m!$1:$3,3,0),0)</f>
        <v>0</v>
      </c>
    </row>
    <row r="1951" spans="1:20" ht="22.2" hidden="1" customHeight="1">
      <c r="A1951" s="1448">
        <f>COUNTIF($C$12:C1951,"x")</f>
        <v>145</v>
      </c>
      <c r="B1951" s="1455" t="s">
        <v>550</v>
      </c>
      <c r="C1951" s="1701" t="str">
        <f t="shared" si="350"/>
        <v xml:space="preserve"> </v>
      </c>
      <c r="D1951" s="1425"/>
      <c r="E1951" s="980"/>
      <c r="F1951" s="992" t="str">
        <f>VLOOKUP($B1951,DG!A:D,DG!$C$2,)</f>
        <v>Bass LI bắt FCO</v>
      </c>
      <c r="G1951" s="980" t="str">
        <f>VLOOKUP($B1951,DG!A:D,DG!$D$2,)</f>
        <v>Bộ</v>
      </c>
      <c r="H1951" s="1693">
        <f t="shared" si="351"/>
        <v>0</v>
      </c>
      <c r="I1951" s="1693"/>
      <c r="J1951" s="1693"/>
      <c r="K1951" s="1692">
        <f>IFERROR(HLOOKUP(B1951,pp3p1m!$1:$3,2,0),0)</f>
        <v>0</v>
      </c>
      <c r="L1951" s="1693"/>
      <c r="M1951" s="1693"/>
      <c r="N1951" s="1693"/>
      <c r="O1951" s="1693"/>
      <c r="P1951" s="1693">
        <f t="shared" si="353"/>
        <v>0</v>
      </c>
      <c r="Q1951" s="1693">
        <f t="shared" si="354"/>
        <v>0</v>
      </c>
      <c r="R1951" s="1693">
        <f t="shared" si="355"/>
        <v>0</v>
      </c>
      <c r="S1951" s="989"/>
      <c r="T1951" s="1862">
        <f>IFERROR(HLOOKUP(B1951,pp3p1m!$1:$3,3,0),0)</f>
        <v>0</v>
      </c>
    </row>
    <row r="1952" spans="1:20" ht="22.2" hidden="1" customHeight="1">
      <c r="A1952" s="1448">
        <f>COUNTIF($C$12:C1952,"x")</f>
        <v>145</v>
      </c>
      <c r="B1952" s="1455" t="s">
        <v>6105</v>
      </c>
      <c r="C1952" s="970" t="str">
        <f t="shared" si="350"/>
        <v xml:space="preserve"> </v>
      </c>
      <c r="D1952" s="1425"/>
      <c r="E1952" s="980"/>
      <c r="F1952" s="992" t="str">
        <f>VLOOKUP($B1952,DG!A:D,DG!$C$2,)</f>
        <v>Bass LI bắt LA</v>
      </c>
      <c r="G1952" s="980" t="str">
        <f>VLOOKUP($B1952,DG!A:D,DG!$D$2,)</f>
        <v>Bộ</v>
      </c>
      <c r="H1952" s="1693">
        <f t="shared" si="351"/>
        <v>0</v>
      </c>
      <c r="I1952" s="1693"/>
      <c r="J1952" s="1693"/>
      <c r="K1952" s="1692">
        <f>IFERROR(HLOOKUP(B1952,pp3p1m!$1:$3,2,0),0)</f>
        <v>0</v>
      </c>
      <c r="L1952" s="1693"/>
      <c r="M1952" s="1693"/>
      <c r="N1952" s="1693"/>
      <c r="O1952" s="1693"/>
      <c r="P1952" s="1693">
        <f t="shared" si="353"/>
        <v>0</v>
      </c>
      <c r="Q1952" s="1693">
        <f t="shared" si="354"/>
        <v>0</v>
      </c>
      <c r="R1952" s="1693">
        <f t="shared" si="355"/>
        <v>0</v>
      </c>
      <c r="S1952" s="995"/>
      <c r="T1952" s="1862">
        <f>IFERROR(HLOOKUP(B1952,pp3p1m!$1:$3,3,0),0)</f>
        <v>0</v>
      </c>
    </row>
    <row r="1953" spans="1:20" ht="22.2" hidden="1" customHeight="1">
      <c r="A1953" s="1448">
        <f>COUNTIF($C$12:C1953,"x")</f>
        <v>145</v>
      </c>
      <c r="B1953" s="1451" t="s">
        <v>4464</v>
      </c>
      <c r="C1953" s="1701" t="str">
        <f t="shared" si="350"/>
        <v xml:space="preserve"> </v>
      </c>
      <c r="D1953" s="1425"/>
      <c r="E1953" s="980"/>
      <c r="F1953" s="992" t="str">
        <f>VLOOKUP($B1953,DG!A:D,DG!$C$2,)</f>
        <v>Cáp nhôm A-70: buộc cổ sứ</v>
      </c>
      <c r="G1953" s="980" t="str">
        <f>VLOOKUP($B1953,DG!A:D,DG!$D$2,)</f>
        <v>kg</v>
      </c>
      <c r="H1953" s="1693">
        <f t="shared" si="351"/>
        <v>0</v>
      </c>
      <c r="I1953" s="1693"/>
      <c r="J1953" s="1693"/>
      <c r="K1953" s="1692">
        <f>IFERROR(HLOOKUP(B1953,pp3p1m!$1:$3,2,0),0)</f>
        <v>0</v>
      </c>
      <c r="L1953" s="1693"/>
      <c r="M1953" s="1693"/>
      <c r="N1953" s="1693"/>
      <c r="O1953" s="1693"/>
      <c r="P1953" s="1693">
        <f t="shared" si="353"/>
        <v>0</v>
      </c>
      <c r="Q1953" s="1693">
        <f t="shared" si="354"/>
        <v>0</v>
      </c>
      <c r="R1953" s="1693">
        <f t="shared" si="355"/>
        <v>0</v>
      </c>
      <c r="S1953" s="995"/>
      <c r="T1953" s="1862">
        <f>IFERROR(HLOOKUP(B1953,pp3p1m!$1:$3,3,0),0)</f>
        <v>0</v>
      </c>
    </row>
    <row r="1954" spans="1:20" ht="22.2" hidden="1" customHeight="1">
      <c r="A1954" s="1448">
        <f>COUNTIF($C$12:C1954,"x")</f>
        <v>145</v>
      </c>
      <c r="B1954" s="1455" t="s">
        <v>4342</v>
      </c>
      <c r="C1954" s="1701" t="str">
        <f>IF(OR(P1954&lt;&gt;0,H1954&lt;&gt;0),"x"," ")</f>
        <v xml:space="preserve"> </v>
      </c>
      <c r="D1954" s="1415"/>
      <c r="E1954" s="980"/>
      <c r="F1954" s="992" t="str">
        <f>VLOOKUP($B1954,DG!A:D,DG!$C$2,)</f>
        <v>Chụp cách điện đầu cực FCO (trên + dưới)</v>
      </c>
      <c r="G1954" s="980" t="str">
        <f>VLOOKUP($B1954,DG!A:D,DG!$D$2,)</f>
        <v>bộ</v>
      </c>
      <c r="H1954" s="1693">
        <f t="shared" si="351"/>
        <v>0</v>
      </c>
      <c r="I1954" s="1693"/>
      <c r="J1954" s="1693"/>
      <c r="K1954" s="1692">
        <f>IFERROR(HLOOKUP(B1954,pp3p1m!$1:$3,2,0),0)</f>
        <v>0</v>
      </c>
      <c r="L1954" s="1693"/>
      <c r="M1954" s="1693"/>
      <c r="N1954" s="1693"/>
      <c r="O1954" s="1693"/>
      <c r="P1954" s="1693">
        <f t="shared" si="353"/>
        <v>0</v>
      </c>
      <c r="Q1954" s="1693">
        <f t="shared" si="354"/>
        <v>0</v>
      </c>
      <c r="R1954" s="1693">
        <f t="shared" si="355"/>
        <v>0</v>
      </c>
      <c r="S1954" s="995"/>
      <c r="T1954" s="1862">
        <f>IFERROR(HLOOKUP(B1954,pp3p1m!$1:$3,3,0),0)</f>
        <v>0</v>
      </c>
    </row>
    <row r="1955" spans="1:20" ht="22.2" hidden="1" customHeight="1">
      <c r="A1955" s="1448">
        <f>COUNTIF($C$12:C1955,"x")</f>
        <v>145</v>
      </c>
      <c r="B1955" s="1455" t="s">
        <v>6107</v>
      </c>
      <c r="C1955" s="1701" t="str">
        <f>IF(OR(P1955&lt;&gt;0,H1955&lt;&gt;0),"x"," ")</f>
        <v xml:space="preserve"> </v>
      </c>
      <c r="D1955" s="1415"/>
      <c r="E1955" s="980"/>
      <c r="F1955" s="992" t="str">
        <f>VLOOKUP($B1955,DG!A:D,DG!$C$2,)</f>
        <v>Chụp cách điện đầu cực LA</v>
      </c>
      <c r="G1955" s="980" t="str">
        <f>VLOOKUP($B1955,DG!A:D,DG!$D$2,)</f>
        <v>cái</v>
      </c>
      <c r="H1955" s="1693">
        <f t="shared" si="351"/>
        <v>0</v>
      </c>
      <c r="I1955" s="1693"/>
      <c r="J1955" s="1693"/>
      <c r="K1955" s="1692">
        <f>IFERROR(HLOOKUP(B1955,pp3p1m!$1:$3,2,0),0)</f>
        <v>0</v>
      </c>
      <c r="L1955" s="1693"/>
      <c r="M1955" s="1693"/>
      <c r="N1955" s="1693"/>
      <c r="O1955" s="1693"/>
      <c r="P1955" s="1693">
        <f t="shared" si="353"/>
        <v>0</v>
      </c>
      <c r="Q1955" s="1693">
        <f t="shared" si="354"/>
        <v>0</v>
      </c>
      <c r="R1955" s="1693">
        <f t="shared" si="355"/>
        <v>0</v>
      </c>
      <c r="S1955" s="995"/>
      <c r="T1955" s="1862">
        <f>IFERROR(HLOOKUP(B1955,pp3p1m!$1:$3,3,0),0)</f>
        <v>0</v>
      </c>
    </row>
    <row r="1956" spans="1:20" ht="22.2" customHeight="1">
      <c r="A1956" s="1448">
        <f>COUNTIF($C$12:C1956,"x")</f>
        <v>146</v>
      </c>
      <c r="B1956" s="1455" t="s">
        <v>6</v>
      </c>
      <c r="C1956" s="1701" t="str">
        <f t="shared" ref="C1956" si="356">IF(OR(P1956&lt;&gt;0,H1956&lt;&gt;0),"x"," ")</f>
        <v>x</v>
      </c>
      <c r="D1956" s="1415">
        <v>2</v>
      </c>
      <c r="E1956" s="980"/>
      <c r="F1956" s="992" t="str">
        <f>VLOOKUP($B1956,DG!A:D,DG!$C$2,)</f>
        <v>Keo silicon bít miệng ống</v>
      </c>
      <c r="G1956" s="980" t="str">
        <f>VLOOKUP($B1956,DG!A:D,DG!$D$2,)</f>
        <v>ống</v>
      </c>
      <c r="H1956" s="1693">
        <f t="shared" ref="H1956" si="357">IF(D1956&gt;0,D1956,K1956)</f>
        <v>2</v>
      </c>
      <c r="I1956" s="1693"/>
      <c r="J1956" s="1693"/>
      <c r="K1956" s="1692">
        <f>IFERROR(HLOOKUP(B1956,pp3p1m!$1:$3,2,0),0)</f>
        <v>0</v>
      </c>
      <c r="L1956" s="1693"/>
      <c r="M1956" s="1693"/>
      <c r="N1956" s="1693"/>
      <c r="O1956" s="1693"/>
      <c r="P1956" s="1693">
        <f>H1956</f>
        <v>2</v>
      </c>
      <c r="Q1956" s="1693">
        <f t="shared" ref="Q1956" si="358">IF(P1956&gt;H1956,P1956-H1956,0)</f>
        <v>0</v>
      </c>
      <c r="R1956" s="1693">
        <f t="shared" ref="R1956" si="359">IF(H1956&gt;P1956,H1956-P1956,0)</f>
        <v>0</v>
      </c>
      <c r="S1956" s="995"/>
      <c r="T1956" s="1862">
        <f>IFERROR(HLOOKUP(B1956,pp3p1m!$1:$3,3,0),0)</f>
        <v>0</v>
      </c>
    </row>
    <row r="1957" spans="1:20" ht="22.2" customHeight="1">
      <c r="A1957" s="1448">
        <f>COUNTIF($C$12:C1957,"x")</f>
        <v>147</v>
      </c>
      <c r="B1957" s="1455" t="s">
        <v>6582</v>
      </c>
      <c r="C1957" s="1701" t="str">
        <f t="shared" si="350"/>
        <v>x</v>
      </c>
      <c r="D1957" s="1415"/>
      <c r="E1957" s="980"/>
      <c r="F1957" s="992" t="str">
        <f>VLOOKUP($B1957,DG!A:D,DG!$C$2,)</f>
        <v>Băng keo cách điện trung thế</v>
      </c>
      <c r="G1957" s="980" t="str">
        <f>VLOOKUP($B1957,DG!A:D,DG!$D$2,)</f>
        <v>cuộn</v>
      </c>
      <c r="H1957" s="1693">
        <f t="shared" si="351"/>
        <v>4</v>
      </c>
      <c r="I1957" s="1693"/>
      <c r="J1957" s="1693"/>
      <c r="K1957" s="1692">
        <f>IFERROR(HLOOKUP(B1957,pp3p1m!$1:$3,2,0),0)</f>
        <v>4</v>
      </c>
      <c r="L1957" s="1693"/>
      <c r="M1957" s="1693"/>
      <c r="N1957" s="1693"/>
      <c r="O1957" s="1693"/>
      <c r="P1957" s="1693">
        <f t="shared" si="353"/>
        <v>4</v>
      </c>
      <c r="Q1957" s="1693">
        <f t="shared" si="354"/>
        <v>0</v>
      </c>
      <c r="R1957" s="1693">
        <f t="shared" si="355"/>
        <v>0</v>
      </c>
      <c r="S1957" s="995"/>
      <c r="T1957" s="1862">
        <f>IFERROR(HLOOKUP(B1957,pp3p1m!$1:$3,3,0),0)</f>
        <v>4</v>
      </c>
    </row>
    <row r="1958" spans="1:20" ht="22.2" hidden="1" customHeight="1">
      <c r="A1958" s="1448">
        <f>COUNTIF($C$12:C1958,"x")</f>
        <v>147</v>
      </c>
      <c r="B1958" s="1451" t="s">
        <v>1570</v>
      </c>
      <c r="C1958" s="970" t="str">
        <f t="shared" si="350"/>
        <v xml:space="preserve"> </v>
      </c>
      <c r="D1958" s="1415"/>
      <c r="E1958" s="980"/>
      <c r="F1958" s="992" t="str">
        <f>VLOOKUP($B1958,DG!A:D,DG!$C$2,)</f>
        <v>Biển số - Bảng nguy hiểm</v>
      </c>
      <c r="G1958" s="980" t="str">
        <f>VLOOKUP($B1958,DG!A:D,DG!$D$2,)</f>
        <v>cái</v>
      </c>
      <c r="H1958" s="1693">
        <f t="shared" si="351"/>
        <v>0</v>
      </c>
      <c r="I1958" s="1693"/>
      <c r="J1958" s="1693"/>
      <c r="K1958" s="1692">
        <f>IFERROR(HLOOKUP(B1958,pp3p1m!$1:$3,2,0),0)</f>
        <v>0</v>
      </c>
      <c r="L1958" s="1693"/>
      <c r="M1958" s="1693"/>
      <c r="N1958" s="1693"/>
      <c r="O1958" s="1693"/>
      <c r="P1958" s="1693">
        <f t="shared" si="353"/>
        <v>0</v>
      </c>
      <c r="Q1958" s="1693">
        <f t="shared" si="354"/>
        <v>0</v>
      </c>
      <c r="R1958" s="1693">
        <f t="shared" si="355"/>
        <v>0</v>
      </c>
      <c r="S1958" s="989"/>
      <c r="T1958" s="1862">
        <f>IFERROR(HLOOKUP(B1958,pp3p1m!$1:$3,3,0),0)</f>
        <v>0</v>
      </c>
    </row>
    <row r="1959" spans="1:20" ht="22.2" customHeight="1">
      <c r="A1959" s="1448">
        <f>COUNTIF($C$12:C1959,"x")</f>
        <v>148</v>
      </c>
      <c r="B1959" s="1451" t="s">
        <v>1269</v>
      </c>
      <c r="C1959" s="1701" t="str">
        <f t="shared" si="350"/>
        <v>x</v>
      </c>
      <c r="D1959" s="1413">
        <f>(E1776)/1000</f>
        <v>0.54977999999999994</v>
      </c>
      <c r="E1959" s="980" t="str">
        <f>VLOOKUP($B1959,DG!A:D,DG!$B$2,)</f>
        <v>06.6114</v>
      </c>
      <c r="F1959" s="985" t="str">
        <f>VLOOKUP($B1959,DG!A:D,DG!$C$2,)</f>
        <v>Kéo dây nhôm lõi thép cỡ dây 50mm2</v>
      </c>
      <c r="G1959" s="980" t="str">
        <f>VLOOKUP($B1959,DG!A:D,DG!$D$2,)</f>
        <v>km</v>
      </c>
      <c r="H1959" s="1699">
        <f t="shared" si="351"/>
        <v>0.54977999999999994</v>
      </c>
      <c r="I1959" s="1699"/>
      <c r="J1959" s="1699"/>
      <c r="K1959" s="3026">
        <f>IFERROR(HLOOKUP(B1959,pp3p1m!$1:$3,2,0),0)</f>
        <v>0</v>
      </c>
      <c r="L1959" s="1699"/>
      <c r="M1959" s="1699"/>
      <c r="N1959" s="1699"/>
      <c r="O1959" s="1699"/>
      <c r="P1959" s="1699">
        <f>H1959</f>
        <v>0.54977999999999994</v>
      </c>
      <c r="Q1959" s="1693">
        <f t="shared" si="354"/>
        <v>0</v>
      </c>
      <c r="R1959" s="1693">
        <f t="shared" si="355"/>
        <v>0</v>
      </c>
      <c r="S1959" s="989"/>
      <c r="T1959" s="1862">
        <f>IFERROR(HLOOKUP(B1959,pp3p1m!$1:$3,3,0),0)</f>
        <v>0</v>
      </c>
    </row>
    <row r="1960" spans="1:20" ht="22.2" customHeight="1">
      <c r="A1960" s="1448">
        <f>COUNTIF($C$12:C1960,"x")</f>
        <v>149</v>
      </c>
      <c r="B1960" s="1455" t="s">
        <v>1414</v>
      </c>
      <c r="C1960" s="970" t="str">
        <f t="shared" si="350"/>
        <v>x</v>
      </c>
      <c r="D1960" s="1413">
        <f>(E1775)/1000</f>
        <v>0.99011400000000005</v>
      </c>
      <c r="E1960" s="980" t="str">
        <f>VLOOKUP($B1960,DG!A:D,DG!$B$2,)</f>
        <v>06.6105</v>
      </c>
      <c r="F1960" s="985" t="str">
        <f>VLOOKUP($B1960,DG!A:D,DG!$C$2,)</f>
        <v>Kéo dây nhôm lõi thép cỡ dây 70mm2</v>
      </c>
      <c r="G1960" s="980" t="str">
        <f>VLOOKUP($B1960,DG!A:D,DG!$D$2,)</f>
        <v>km</v>
      </c>
      <c r="H1960" s="1699">
        <f t="shared" si="351"/>
        <v>0.99011400000000005</v>
      </c>
      <c r="I1960" s="1699"/>
      <c r="J1960" s="1699"/>
      <c r="K1960" s="3026">
        <f>IFERROR(HLOOKUP(B1960,pp3p1m!$1:$3,2,0),0)</f>
        <v>0</v>
      </c>
      <c r="L1960" s="1699"/>
      <c r="M1960" s="1699"/>
      <c r="N1960" s="1699"/>
      <c r="O1960" s="1699"/>
      <c r="P1960" s="1699">
        <f>H1960</f>
        <v>0.99011400000000005</v>
      </c>
      <c r="Q1960" s="1693">
        <f t="shared" si="354"/>
        <v>0</v>
      </c>
      <c r="R1960" s="1693">
        <f t="shared" si="355"/>
        <v>0</v>
      </c>
      <c r="S1960" s="989"/>
      <c r="T1960" s="1862">
        <f>IFERROR(HLOOKUP(B1960,pp3p1m!$1:$3,3,0),0)</f>
        <v>0</v>
      </c>
    </row>
    <row r="1961" spans="1:20" ht="22.2" hidden="1" customHeight="1">
      <c r="A1961" s="1448">
        <f>COUNTIF($C$12:C1961,"x")</f>
        <v>149</v>
      </c>
      <c r="B1961" s="1455" t="s">
        <v>1524</v>
      </c>
      <c r="C1961" s="970" t="str">
        <f t="shared" si="350"/>
        <v xml:space="preserve"> </v>
      </c>
      <c r="D1961" s="1413">
        <f>(E1774)/1000</f>
        <v>0</v>
      </c>
      <c r="E1961" s="980" t="str">
        <f>VLOOKUP($B1961,DG!A:D,DG!$B$2,)</f>
        <v>06.6106</v>
      </c>
      <c r="F1961" s="985" t="str">
        <f>VLOOKUP($B1961,DG!A:D,DG!$C$2,)</f>
        <v>Kéo dây nhôm lõi thép cỡ dây 95mm2</v>
      </c>
      <c r="G1961" s="980" t="str">
        <f>VLOOKUP($B1961,DG!A:D,DG!$D$2,)</f>
        <v>km</v>
      </c>
      <c r="H1961" s="1693">
        <f t="shared" si="351"/>
        <v>0</v>
      </c>
      <c r="I1961" s="1693"/>
      <c r="J1961" s="1693"/>
      <c r="K1961" s="1692">
        <f>IFERROR(HLOOKUP(B1961,pp3p1m!$1:$3,2,0),0)</f>
        <v>0</v>
      </c>
      <c r="L1961" s="1693"/>
      <c r="M1961" s="1693"/>
      <c r="N1961" s="1693"/>
      <c r="O1961" s="1693"/>
      <c r="P1961" s="1693">
        <f t="shared" si="353"/>
        <v>0</v>
      </c>
      <c r="Q1961" s="1693">
        <f t="shared" si="354"/>
        <v>0</v>
      </c>
      <c r="R1961" s="1693">
        <f t="shared" si="355"/>
        <v>0</v>
      </c>
      <c r="S1961" s="989"/>
      <c r="T1961" s="1862">
        <f>IFERROR(HLOOKUP(B1961,pp3p1m!$1:$3,3,0),0)</f>
        <v>0</v>
      </c>
    </row>
    <row r="1962" spans="1:20" ht="22.2" hidden="1" customHeight="1">
      <c r="A1962" s="1448">
        <f>COUNTIF($C$12:C1962,"x")</f>
        <v>149</v>
      </c>
      <c r="B1962" s="1455" t="s">
        <v>139</v>
      </c>
      <c r="C1962" s="970" t="str">
        <f t="shared" si="350"/>
        <v xml:space="preserve"> </v>
      </c>
      <c r="D1962" s="1413">
        <f>(E1773)/1000</f>
        <v>0</v>
      </c>
      <c r="E1962" s="980" t="str">
        <f>VLOOKUP($B1962,DG!A:D,DG!$B$2,)</f>
        <v>06.6107</v>
      </c>
      <c r="F1962" s="985" t="str">
        <f>VLOOKUP($B1962,DG!A:D,DG!$C$2,)</f>
        <v>Kéo dây nhôm lõi thép cỡ dây 120mm2</v>
      </c>
      <c r="G1962" s="980" t="str">
        <f>VLOOKUP($B1962,DG!A:D,DG!$D$2,)</f>
        <v>km</v>
      </c>
      <c r="H1962" s="1693">
        <f t="shared" si="351"/>
        <v>0</v>
      </c>
      <c r="I1962" s="1693"/>
      <c r="J1962" s="1693"/>
      <c r="K1962" s="1692">
        <f>IFERROR(HLOOKUP(B1962,pp3p1m!$1:$3,2,0),0)</f>
        <v>0</v>
      </c>
      <c r="L1962" s="1693"/>
      <c r="M1962" s="1693"/>
      <c r="N1962" s="1693"/>
      <c r="O1962" s="1693"/>
      <c r="P1962" s="1693">
        <f t="shared" si="353"/>
        <v>0</v>
      </c>
      <c r="Q1962" s="1693">
        <f t="shared" si="354"/>
        <v>0</v>
      </c>
      <c r="R1962" s="1693">
        <f t="shared" si="355"/>
        <v>0</v>
      </c>
      <c r="S1962" s="989"/>
      <c r="T1962" s="1862">
        <f>IFERROR(HLOOKUP(B1962,pp3p1m!$1:$3,3,0),0)</f>
        <v>0</v>
      </c>
    </row>
    <row r="1963" spans="1:20" ht="22.2" hidden="1" customHeight="1">
      <c r="A1963" s="1448">
        <f>COUNTIF($C$12:C1963,"x")</f>
        <v>149</v>
      </c>
      <c r="B1963" s="1455" t="s">
        <v>791</v>
      </c>
      <c r="C1963" s="970" t="str">
        <f t="shared" si="350"/>
        <v xml:space="preserve"> </v>
      </c>
      <c r="D1963" s="1413">
        <f>(E1772)/1000</f>
        <v>0</v>
      </c>
      <c r="E1963" s="980" t="str">
        <f>VLOOKUP($B1963,DG!A:D,DG!$B$2,)</f>
        <v>06.6108</v>
      </c>
      <c r="F1963" s="985" t="str">
        <f>VLOOKUP($B1963,DG!A:D,DG!$C$2,)</f>
        <v>Kéo dây nhôm lõi thép cỡ dây 150mm2</v>
      </c>
      <c r="G1963" s="980" t="str">
        <f>VLOOKUP($B1963,DG!A:D,DG!$D$2,)</f>
        <v>km</v>
      </c>
      <c r="H1963" s="1693">
        <f t="shared" si="351"/>
        <v>0</v>
      </c>
      <c r="I1963" s="1693"/>
      <c r="J1963" s="1693"/>
      <c r="K1963" s="1692">
        <f>IFERROR(HLOOKUP(B1963,pp3p1m!$1:$3,2,0),0)</f>
        <v>0</v>
      </c>
      <c r="L1963" s="1693"/>
      <c r="M1963" s="1693"/>
      <c r="N1963" s="1693"/>
      <c r="O1963" s="1693"/>
      <c r="P1963" s="1693">
        <f t="shared" si="353"/>
        <v>0</v>
      </c>
      <c r="Q1963" s="1693">
        <f t="shared" si="354"/>
        <v>0</v>
      </c>
      <c r="R1963" s="1693">
        <f t="shared" si="355"/>
        <v>0</v>
      </c>
      <c r="S1963" s="989"/>
      <c r="T1963" s="1862">
        <f>IFERROR(HLOOKUP(B1963,pp3p1m!$1:$3,3,0),0)</f>
        <v>0</v>
      </c>
    </row>
    <row r="1964" spans="1:20" ht="22.2" hidden="1" customHeight="1">
      <c r="A1964" s="1448">
        <f>COUNTIF($C$12:C1964,"x")</f>
        <v>149</v>
      </c>
      <c r="B1964" s="1455" t="s">
        <v>140</v>
      </c>
      <c r="C1964" s="970" t="str">
        <f t="shared" si="350"/>
        <v xml:space="preserve"> </v>
      </c>
      <c r="D1964" s="1413">
        <f>(E1771)/1000</f>
        <v>0</v>
      </c>
      <c r="E1964" s="980" t="str">
        <f>VLOOKUP($B1964,DG!A:D,DG!$B$2,)</f>
        <v>06.6109</v>
      </c>
      <c r="F1964" s="985" t="str">
        <f>VLOOKUP($B1964,DG!A:D,DG!$C$2,)</f>
        <v>Kéo dây nhôm lõi thép cỡ dây 185mm2</v>
      </c>
      <c r="G1964" s="980" t="str">
        <f>VLOOKUP($B1964,DG!A:D,DG!$D$2,)</f>
        <v>km</v>
      </c>
      <c r="H1964" s="1693">
        <f t="shared" si="351"/>
        <v>0</v>
      </c>
      <c r="I1964" s="1693"/>
      <c r="J1964" s="1693"/>
      <c r="K1964" s="1692">
        <f>IFERROR(HLOOKUP(B1964,pp3p1m!$1:$3,2,0),0)</f>
        <v>0</v>
      </c>
      <c r="L1964" s="1693"/>
      <c r="M1964" s="1693"/>
      <c r="N1964" s="1693"/>
      <c r="O1964" s="1693"/>
      <c r="P1964" s="1693">
        <f t="shared" si="353"/>
        <v>0</v>
      </c>
      <c r="Q1964" s="1693">
        <f t="shared" si="354"/>
        <v>0</v>
      </c>
      <c r="R1964" s="1693">
        <f t="shared" si="355"/>
        <v>0</v>
      </c>
      <c r="S1964" s="989"/>
      <c r="T1964" s="1862">
        <f>IFERROR(HLOOKUP(B1964,pp3p1m!$1:$3,3,0),0)</f>
        <v>0</v>
      </c>
    </row>
    <row r="1965" spans="1:20" ht="22.2" hidden="1" customHeight="1">
      <c r="A1965" s="1448">
        <f>COUNTIF($C$12:C1965,"x")</f>
        <v>149</v>
      </c>
      <c r="B1965" s="1455" t="s">
        <v>711</v>
      </c>
      <c r="C1965" s="970" t="str">
        <f t="shared" si="350"/>
        <v xml:space="preserve"> </v>
      </c>
      <c r="D1965" s="1413">
        <f>(E1770)/1000</f>
        <v>0</v>
      </c>
      <c r="E1965" s="980" t="str">
        <f>VLOOKUP($B1965,DG!A:D,DG!$B$2,)</f>
        <v>06.6110</v>
      </c>
      <c r="F1965" s="985" t="str">
        <f>VLOOKUP($B1965,DG!A:D,DG!$C$2,)</f>
        <v>Kéo dây nhôm lõi thép cỡ dây 240mm2</v>
      </c>
      <c r="G1965" s="980" t="str">
        <f>VLOOKUP($B1965,DG!A:D,DG!$D$2,)</f>
        <v>km</v>
      </c>
      <c r="H1965" s="1693">
        <f t="shared" si="351"/>
        <v>0</v>
      </c>
      <c r="I1965" s="1693"/>
      <c r="J1965" s="1693"/>
      <c r="K1965" s="1692">
        <f>IFERROR(HLOOKUP(B1965,pp3p1m!$1:$3,2,0),0)</f>
        <v>0</v>
      </c>
      <c r="L1965" s="1693"/>
      <c r="M1965" s="1693"/>
      <c r="N1965" s="1693"/>
      <c r="O1965" s="1693"/>
      <c r="P1965" s="1693">
        <f t="shared" si="353"/>
        <v>0</v>
      </c>
      <c r="Q1965" s="1693">
        <f t="shared" si="354"/>
        <v>0</v>
      </c>
      <c r="R1965" s="1693">
        <f t="shared" si="355"/>
        <v>0</v>
      </c>
      <c r="S1965" s="989"/>
      <c r="T1965" s="1862">
        <f>IFERROR(HLOOKUP(B1965,pp3p1m!$1:$3,3,0),0)</f>
        <v>0</v>
      </c>
    </row>
    <row r="1966" spans="1:20" ht="22.2" hidden="1" customHeight="1">
      <c r="A1966" s="1448">
        <f>COUNTIF($C$12:C1966,"x")</f>
        <v>149</v>
      </c>
      <c r="B1966" s="1451" t="s">
        <v>366</v>
      </c>
      <c r="C1966" s="1701" t="str">
        <f t="shared" si="350"/>
        <v xml:space="preserve"> </v>
      </c>
      <c r="D1966" s="1413">
        <f>E1777/1000</f>
        <v>0</v>
      </c>
      <c r="E1966" s="980" t="str">
        <f>VLOOKUP($B1966,DG!A:D,DG!$B$2,)</f>
        <v>06.6114</v>
      </c>
      <c r="F1966" s="985" t="str">
        <f>VLOOKUP($B1966,DG!A:D,DG!$C$2,)</f>
        <v>Kéo dây nhôm bọc cỡ dây 50mm2</v>
      </c>
      <c r="G1966" s="980" t="str">
        <f>VLOOKUP($B1966,DG!A:D,DG!$D$2,)</f>
        <v>km</v>
      </c>
      <c r="H1966" s="1693">
        <f t="shared" si="351"/>
        <v>0</v>
      </c>
      <c r="I1966" s="1693"/>
      <c r="J1966" s="1693"/>
      <c r="K1966" s="1692">
        <f>IFERROR(HLOOKUP(B1966,pp3p1m!$1:$3,2,0),0)</f>
        <v>0</v>
      </c>
      <c r="L1966" s="1693"/>
      <c r="M1966" s="1693"/>
      <c r="N1966" s="1693"/>
      <c r="O1966" s="1693"/>
      <c r="P1966" s="1693">
        <f t="shared" si="353"/>
        <v>0</v>
      </c>
      <c r="Q1966" s="1693">
        <f t="shared" si="354"/>
        <v>0</v>
      </c>
      <c r="R1966" s="1693">
        <f t="shared" si="355"/>
        <v>0</v>
      </c>
      <c r="S1966" s="989"/>
      <c r="T1966" s="1862">
        <f>IFERROR(HLOOKUP(B1966,pp3p1m!$1:$3,3,0),0)</f>
        <v>0</v>
      </c>
    </row>
    <row r="1967" spans="1:20" ht="22.2" hidden="1" customHeight="1">
      <c r="A1967" s="1448">
        <f>COUNTIF($C$12:C1967,"x")</f>
        <v>149</v>
      </c>
      <c r="B1967" s="1455" t="s">
        <v>679</v>
      </c>
      <c r="C1967" s="970" t="str">
        <f t="shared" si="350"/>
        <v xml:space="preserve"> </v>
      </c>
      <c r="D1967" s="1413">
        <f>E1789/1000</f>
        <v>0</v>
      </c>
      <c r="E1967" s="980" t="str">
        <f>VLOOKUP($B1967,DG!A:D,DG!$B$2,)</f>
        <v>06.6142</v>
      </c>
      <c r="F1967" s="985" t="str">
        <f>VLOOKUP($B1967,DG!A:D,DG!$C$2,)</f>
        <v>Kéo dây đồng trần 25mm2</v>
      </c>
      <c r="G1967" s="980" t="str">
        <f>VLOOKUP($B1967,DG!A:D,DG!$D$2,)</f>
        <v>km</v>
      </c>
      <c r="H1967" s="1693">
        <f t="shared" si="351"/>
        <v>0</v>
      </c>
      <c r="I1967" s="1693"/>
      <c r="J1967" s="1693"/>
      <c r="K1967" s="1692">
        <f>IFERROR(HLOOKUP(B1967,pp3p1m!$1:$3,2,0),0)</f>
        <v>0</v>
      </c>
      <c r="L1967" s="1693"/>
      <c r="M1967" s="1693"/>
      <c r="N1967" s="1693"/>
      <c r="O1967" s="1693"/>
      <c r="P1967" s="1693">
        <f t="shared" si="353"/>
        <v>0</v>
      </c>
      <c r="Q1967" s="1693">
        <f t="shared" si="354"/>
        <v>0</v>
      </c>
      <c r="R1967" s="1693">
        <f t="shared" si="355"/>
        <v>0</v>
      </c>
      <c r="S1967" s="1000"/>
      <c r="T1967" s="1862">
        <f>IFERROR(HLOOKUP(B1967,pp3p1m!$1:$3,3,0),0)</f>
        <v>0</v>
      </c>
    </row>
    <row r="1968" spans="1:20" ht="22.2" hidden="1" customHeight="1">
      <c r="A1968" s="1448">
        <f>COUNTIF($C$12:C1968,"x")</f>
        <v>149</v>
      </c>
      <c r="B1968" s="1455" t="s">
        <v>97</v>
      </c>
      <c r="C1968" s="970" t="str">
        <f t="shared" ref="C1968:C2033" si="360">IF(OR(P1968&lt;&gt;0,H1968&lt;&gt;0),"x"," ")</f>
        <v xml:space="preserve"> </v>
      </c>
      <c r="D1968" s="1413">
        <f>E1787/1000</f>
        <v>0</v>
      </c>
      <c r="E1968" s="980" t="str">
        <f>VLOOKUP($B1968,DG!A:D,DG!$B$2,)</f>
        <v>06.6142</v>
      </c>
      <c r="F1968" s="985" t="str">
        <f>VLOOKUP($B1968,DG!A:D,DG!$C$2,)</f>
        <v>Kéo dây đồng bọc 25mm2</v>
      </c>
      <c r="G1968" s="980" t="str">
        <f>VLOOKUP($B1968,DG!A:D,DG!$D$2,)</f>
        <v>km</v>
      </c>
      <c r="H1968" s="1693">
        <f t="shared" si="351"/>
        <v>0</v>
      </c>
      <c r="I1968" s="1693"/>
      <c r="J1968" s="1693"/>
      <c r="K1968" s="1692">
        <f>IFERROR(HLOOKUP(B1968,pp3p1m!$1:$3,2,0),0)</f>
        <v>0</v>
      </c>
      <c r="L1968" s="1693"/>
      <c r="M1968" s="1693"/>
      <c r="N1968" s="1693"/>
      <c r="O1968" s="1693"/>
      <c r="P1968" s="1693">
        <f t="shared" si="353"/>
        <v>0</v>
      </c>
      <c r="Q1968" s="1693">
        <f t="shared" si="354"/>
        <v>0</v>
      </c>
      <c r="R1968" s="1693">
        <f t="shared" si="355"/>
        <v>0</v>
      </c>
      <c r="S1968" s="1000"/>
      <c r="T1968" s="1862">
        <f>IFERROR(HLOOKUP(B1968,pp3p1m!$1:$3,3,0),0)</f>
        <v>0</v>
      </c>
    </row>
    <row r="1969" spans="1:20" ht="22.2" hidden="1" customHeight="1">
      <c r="A1969" s="1448">
        <f>COUNTIF($C$12:C1969,"x")</f>
        <v>149</v>
      </c>
      <c r="B1969" s="1455" t="s">
        <v>252</v>
      </c>
      <c r="C1969" s="970" t="str">
        <f t="shared" si="360"/>
        <v xml:space="preserve"> </v>
      </c>
      <c r="D1969" s="1413">
        <f>E1788/1000</f>
        <v>0</v>
      </c>
      <c r="E1969" s="980" t="str">
        <f>VLOOKUP($B1969,DG!A:D,DG!$B$2,)</f>
        <v>06.6144</v>
      </c>
      <c r="F1969" s="985" t="str">
        <f>VLOOKUP($B1969,DG!A:D,DG!$C$2,)</f>
        <v>Kéo dây đồng bọc 50mm3</v>
      </c>
      <c r="G1969" s="980" t="str">
        <f>VLOOKUP($B1969,DG!A:D,DG!$D$2,)</f>
        <v>km</v>
      </c>
      <c r="H1969" s="1693">
        <f t="shared" si="351"/>
        <v>0</v>
      </c>
      <c r="I1969" s="1693"/>
      <c r="J1969" s="1693"/>
      <c r="K1969" s="1692">
        <f>IFERROR(HLOOKUP(B1969,pp3p1m!$1:$3,2,0),0)</f>
        <v>0</v>
      </c>
      <c r="L1969" s="1693"/>
      <c r="M1969" s="1693"/>
      <c r="N1969" s="1693"/>
      <c r="O1969" s="1693"/>
      <c r="P1969" s="1693">
        <f t="shared" si="353"/>
        <v>0</v>
      </c>
      <c r="Q1969" s="1693">
        <f t="shared" si="354"/>
        <v>0</v>
      </c>
      <c r="R1969" s="1693">
        <f t="shared" si="355"/>
        <v>0</v>
      </c>
      <c r="S1969" s="1000"/>
      <c r="T1969" s="1862">
        <f>IFERROR(HLOOKUP(B1969,pp3p1m!$1:$3,3,0),0)</f>
        <v>0</v>
      </c>
    </row>
    <row r="1970" spans="1:20" ht="22.2" hidden="1" customHeight="1">
      <c r="A1970" s="1448">
        <f>COUNTIF($C$12:C1970,"x")</f>
        <v>149</v>
      </c>
      <c r="B1970" s="1460" t="s">
        <v>451</v>
      </c>
      <c r="C1970" s="970" t="str">
        <f t="shared" si="360"/>
        <v xml:space="preserve"> </v>
      </c>
      <c r="D1970" s="1413">
        <f>E1786/1000</f>
        <v>0</v>
      </c>
      <c r="E1970" s="980" t="str">
        <f>VLOOKUP($B1970,DG!A:D,DG!$B$2,)</f>
        <v>06.6124</v>
      </c>
      <c r="F1970" s="985" t="str">
        <f>VLOOKUP($B1970,DG!A:D,DG!$C$2,)</f>
        <v>Kéo dây nhôm bọc 50mm2</v>
      </c>
      <c r="G1970" s="980" t="str">
        <f>VLOOKUP($B1970,DG!A:D,DG!$D$2,)</f>
        <v>km</v>
      </c>
      <c r="H1970" s="1693">
        <f t="shared" si="351"/>
        <v>0</v>
      </c>
      <c r="I1970" s="1693"/>
      <c r="J1970" s="1693"/>
      <c r="K1970" s="1692">
        <f>IFERROR(HLOOKUP(B1970,pp3p1m!$1:$3,2,0),0)</f>
        <v>0</v>
      </c>
      <c r="L1970" s="1693"/>
      <c r="M1970" s="1693"/>
      <c r="N1970" s="1693"/>
      <c r="O1970" s="1693"/>
      <c r="P1970" s="1693">
        <f t="shared" si="353"/>
        <v>0</v>
      </c>
      <c r="Q1970" s="1693">
        <f t="shared" si="354"/>
        <v>0</v>
      </c>
      <c r="R1970" s="1693">
        <f t="shared" si="355"/>
        <v>0</v>
      </c>
      <c r="S1970" s="1000"/>
      <c r="T1970" s="1862">
        <f>IFERROR(HLOOKUP(B1970,pp3p1m!$1:$3,3,0),0)</f>
        <v>0</v>
      </c>
    </row>
    <row r="1971" spans="1:20" ht="22.2" hidden="1" customHeight="1">
      <c r="A1971" s="1448">
        <f>COUNTIF($C$12:C1971,"x")</f>
        <v>149</v>
      </c>
      <c r="B1971" s="1460" t="s">
        <v>79</v>
      </c>
      <c r="C1971" s="970" t="str">
        <f t="shared" si="360"/>
        <v xml:space="preserve"> </v>
      </c>
      <c r="D1971" s="1413">
        <f>E1785/1000</f>
        <v>0</v>
      </c>
      <c r="E1971" s="980" t="str">
        <f>VLOOKUP($B1971,DG!A:D,DG!$B$2,)</f>
        <v>06.6105</v>
      </c>
      <c r="F1971" s="985" t="str">
        <f>VLOOKUP($B1971,DG!A:D,DG!$C$2,)</f>
        <v>Kéo dây nhôm bọc 70mm2</v>
      </c>
      <c r="G1971" s="980" t="str">
        <f>VLOOKUP($B1971,DG!A:D,DG!$D$2,)</f>
        <v>km</v>
      </c>
      <c r="H1971" s="1693">
        <f t="shared" si="351"/>
        <v>0</v>
      </c>
      <c r="I1971" s="1693"/>
      <c r="J1971" s="1693"/>
      <c r="K1971" s="1692">
        <f>IFERROR(HLOOKUP(B1971,pp3p1m!$1:$3,2,0),0)</f>
        <v>0</v>
      </c>
      <c r="L1971" s="1693"/>
      <c r="M1971" s="1693"/>
      <c r="N1971" s="1693"/>
      <c r="O1971" s="1693"/>
      <c r="P1971" s="1693">
        <f t="shared" si="353"/>
        <v>0</v>
      </c>
      <c r="Q1971" s="1693">
        <f t="shared" si="354"/>
        <v>0</v>
      </c>
      <c r="R1971" s="1693">
        <f t="shared" si="355"/>
        <v>0</v>
      </c>
      <c r="S1971" s="989"/>
      <c r="T1971" s="1862">
        <f>IFERROR(HLOOKUP(B1971,pp3p1m!$1:$3,3,0),0)</f>
        <v>0</v>
      </c>
    </row>
    <row r="1972" spans="1:20" ht="22.2" hidden="1" customHeight="1">
      <c r="A1972" s="1448">
        <f>COUNTIF($C$12:C1972,"x")</f>
        <v>149</v>
      </c>
      <c r="B1972" s="1460" t="s">
        <v>1509</v>
      </c>
      <c r="C1972" s="970" t="str">
        <f t="shared" si="360"/>
        <v xml:space="preserve"> </v>
      </c>
      <c r="D1972" s="1413">
        <f>E1784/1000</f>
        <v>0</v>
      </c>
      <c r="E1972" s="980" t="str">
        <f>VLOOKUP($B1972,DG!A:D,DG!$B$2,)</f>
        <v>06.6106</v>
      </c>
      <c r="F1972" s="985" t="str">
        <f>VLOOKUP($B1972,DG!A:D,DG!$C$2,)</f>
        <v>Kéo dây nhôm bọc 95mm2</v>
      </c>
      <c r="G1972" s="980" t="str">
        <f>VLOOKUP($B1972,DG!A:D,DG!$D$2,)</f>
        <v>km</v>
      </c>
      <c r="H1972" s="1693">
        <f t="shared" si="351"/>
        <v>0</v>
      </c>
      <c r="I1972" s="1693"/>
      <c r="J1972" s="1693"/>
      <c r="K1972" s="1692">
        <f>IFERROR(HLOOKUP(B1972,pp3p1m!$1:$3,2,0),0)</f>
        <v>0</v>
      </c>
      <c r="L1972" s="1693"/>
      <c r="M1972" s="1693"/>
      <c r="N1972" s="1693"/>
      <c r="O1972" s="1693"/>
      <c r="P1972" s="1693">
        <f t="shared" si="353"/>
        <v>0</v>
      </c>
      <c r="Q1972" s="1693">
        <f t="shared" si="354"/>
        <v>0</v>
      </c>
      <c r="R1972" s="1693">
        <f t="shared" si="355"/>
        <v>0</v>
      </c>
      <c r="S1972" s="989"/>
      <c r="T1972" s="1862">
        <f>IFERROR(HLOOKUP(B1972,pp3p1m!$1:$3,3,0),0)</f>
        <v>0</v>
      </c>
    </row>
    <row r="1973" spans="1:20" ht="22.2" hidden="1" customHeight="1">
      <c r="A1973" s="1448">
        <f>COUNTIF($C$12:C1973,"x")</f>
        <v>149</v>
      </c>
      <c r="B1973" s="1460" t="s">
        <v>1174</v>
      </c>
      <c r="C1973" s="970" t="str">
        <f t="shared" si="360"/>
        <v xml:space="preserve"> </v>
      </c>
      <c r="D1973" s="1413">
        <f>E1783/1000</f>
        <v>0</v>
      </c>
      <c r="E1973" s="980" t="str">
        <f>VLOOKUP($B1973,DG!A:D,DG!$B$2,)</f>
        <v>06.6107</v>
      </c>
      <c r="F1973" s="985" t="str">
        <f>VLOOKUP($B1973,DG!A:D,DG!$C$2,)</f>
        <v>Kéo dây nhôm bọc 120mm2</v>
      </c>
      <c r="G1973" s="980" t="str">
        <f>VLOOKUP($B1973,DG!A:D,DG!$D$2,)</f>
        <v>km</v>
      </c>
      <c r="H1973" s="1693">
        <f t="shared" si="351"/>
        <v>0</v>
      </c>
      <c r="I1973" s="1693"/>
      <c r="J1973" s="1693"/>
      <c r="K1973" s="1692">
        <f>IFERROR(HLOOKUP(B1973,pp3p1m!$1:$3,2,0),0)</f>
        <v>0</v>
      </c>
      <c r="L1973" s="1693"/>
      <c r="M1973" s="1693"/>
      <c r="N1973" s="1693"/>
      <c r="O1973" s="1693"/>
      <c r="P1973" s="1693">
        <f t="shared" si="353"/>
        <v>0</v>
      </c>
      <c r="Q1973" s="1693">
        <f t="shared" si="354"/>
        <v>0</v>
      </c>
      <c r="R1973" s="1693">
        <f t="shared" si="355"/>
        <v>0</v>
      </c>
      <c r="S1973" s="989"/>
      <c r="T1973" s="1862">
        <f>IFERROR(HLOOKUP(B1973,pp3p1m!$1:$3,3,0),0)</f>
        <v>0</v>
      </c>
    </row>
    <row r="1974" spans="1:20" ht="22.2" hidden="1" customHeight="1">
      <c r="A1974" s="1448">
        <f>COUNTIF($C$12:C1974,"x")</f>
        <v>149</v>
      </c>
      <c r="B1974" s="1460" t="s">
        <v>924</v>
      </c>
      <c r="C1974" s="970" t="str">
        <f t="shared" si="360"/>
        <v xml:space="preserve"> </v>
      </c>
      <c r="D1974" s="1413">
        <f>E1782/1000</f>
        <v>0</v>
      </c>
      <c r="E1974" s="980" t="str">
        <f>VLOOKUP($B1974,DG!A:D,DG!$B$2,)</f>
        <v>06.6108</v>
      </c>
      <c r="F1974" s="985" t="str">
        <f>VLOOKUP($B1974,DG!A:D,DG!$C$2,)</f>
        <v>Kéo dây nhôm bọc 150mm2</v>
      </c>
      <c r="G1974" s="980" t="str">
        <f>VLOOKUP($B1974,DG!A:D,DG!$D$2,)</f>
        <v>km</v>
      </c>
      <c r="H1974" s="1693">
        <f t="shared" si="351"/>
        <v>0</v>
      </c>
      <c r="I1974" s="1693"/>
      <c r="J1974" s="1693"/>
      <c r="K1974" s="1692">
        <f>IFERROR(HLOOKUP(B1974,pp3p1m!$1:$3,2,0),0)</f>
        <v>0</v>
      </c>
      <c r="L1974" s="1693"/>
      <c r="M1974" s="1693"/>
      <c r="N1974" s="1693"/>
      <c r="O1974" s="1693"/>
      <c r="P1974" s="1693">
        <f t="shared" si="353"/>
        <v>0</v>
      </c>
      <c r="Q1974" s="1693">
        <f t="shared" si="354"/>
        <v>0</v>
      </c>
      <c r="R1974" s="1693">
        <f t="shared" si="355"/>
        <v>0</v>
      </c>
      <c r="S1974" s="989"/>
      <c r="T1974" s="1862">
        <f>IFERROR(HLOOKUP(B1974,pp3p1m!$1:$3,3,0),0)</f>
        <v>0</v>
      </c>
    </row>
    <row r="1975" spans="1:20" ht="22.2" hidden="1" customHeight="1">
      <c r="A1975" s="1448">
        <f>COUNTIF($C$12:C1975,"x")</f>
        <v>149</v>
      </c>
      <c r="B1975" s="1460" t="s">
        <v>925</v>
      </c>
      <c r="C1975" s="970" t="str">
        <f t="shared" si="360"/>
        <v xml:space="preserve"> </v>
      </c>
      <c r="D1975" s="1413">
        <f>E1781/1000</f>
        <v>0</v>
      </c>
      <c r="E1975" s="980" t="str">
        <f>VLOOKUP($B1975,DG!A:D,DG!$B$2,)</f>
        <v>06.6109</v>
      </c>
      <c r="F1975" s="985" t="str">
        <f>VLOOKUP($B1975,DG!A:D,DG!$C$2,)</f>
        <v>Kéo dây nhôm bọc 185mm2</v>
      </c>
      <c r="G1975" s="980" t="str">
        <f>VLOOKUP($B1975,DG!A:D,DG!$D$2,)</f>
        <v>km</v>
      </c>
      <c r="H1975" s="1693">
        <f t="shared" si="351"/>
        <v>0</v>
      </c>
      <c r="I1975" s="1693"/>
      <c r="J1975" s="1693"/>
      <c r="K1975" s="1692">
        <f>IFERROR(HLOOKUP(B1975,pp3p1m!$1:$3,2,0),0)</f>
        <v>0</v>
      </c>
      <c r="L1975" s="1693"/>
      <c r="M1975" s="1693"/>
      <c r="N1975" s="1693"/>
      <c r="O1975" s="1693"/>
      <c r="P1975" s="1693">
        <f t="shared" si="353"/>
        <v>0</v>
      </c>
      <c r="Q1975" s="1693">
        <f t="shared" si="354"/>
        <v>0</v>
      </c>
      <c r="R1975" s="1693">
        <f t="shared" si="355"/>
        <v>0</v>
      </c>
      <c r="S1975" s="989"/>
      <c r="T1975" s="1862">
        <f>IFERROR(HLOOKUP(B1975,pp3p1m!$1:$3,3,0),0)</f>
        <v>0</v>
      </c>
    </row>
    <row r="1976" spans="1:20" ht="22.2" hidden="1" customHeight="1">
      <c r="A1976" s="1448">
        <f>COUNTIF($C$12:C1976,"x")</f>
        <v>149</v>
      </c>
      <c r="B1976" s="1460" t="s">
        <v>1441</v>
      </c>
      <c r="C1976" s="970" t="str">
        <f t="shared" si="360"/>
        <v xml:space="preserve"> </v>
      </c>
      <c r="D1976" s="1413">
        <f>E1780/1000</f>
        <v>0</v>
      </c>
      <c r="E1976" s="980" t="str">
        <f>VLOOKUP($B1976,DG!A:D,DG!$B$2,)</f>
        <v>06.6110</v>
      </c>
      <c r="F1976" s="985" t="str">
        <f>VLOOKUP($B1976,DG!A:D,DG!$C$2,)</f>
        <v>Kéo dây nhôm bọc 240mm2</v>
      </c>
      <c r="G1976" s="980" t="str">
        <f>VLOOKUP($B1976,DG!A:D,DG!$D$2,)</f>
        <v>km</v>
      </c>
      <c r="H1976" s="1693">
        <f t="shared" si="351"/>
        <v>0</v>
      </c>
      <c r="I1976" s="1693"/>
      <c r="J1976" s="1693"/>
      <c r="K1976" s="1692">
        <f>IFERROR(HLOOKUP(B1976,pp3p1m!$1:$3,2,0),0)</f>
        <v>0</v>
      </c>
      <c r="L1976" s="1693"/>
      <c r="M1976" s="1693"/>
      <c r="N1976" s="1693"/>
      <c r="O1976" s="1693"/>
      <c r="P1976" s="1693">
        <f t="shared" si="353"/>
        <v>0</v>
      </c>
      <c r="Q1976" s="1693">
        <f t="shared" si="354"/>
        <v>0</v>
      </c>
      <c r="R1976" s="1693">
        <f t="shared" si="355"/>
        <v>0</v>
      </c>
      <c r="S1976" s="989"/>
      <c r="T1976" s="1862">
        <f>IFERROR(HLOOKUP(B1976,pp3p1m!$1:$3,3,0),0)</f>
        <v>0</v>
      </c>
    </row>
    <row r="1977" spans="1:20" ht="22.2" hidden="1" customHeight="1">
      <c r="A1977" s="1448">
        <f>COUNTIF($C$12:C1977,"x")</f>
        <v>149</v>
      </c>
      <c r="B1977" s="1455" t="s">
        <v>1507</v>
      </c>
      <c r="C1977" s="970" t="str">
        <f t="shared" si="360"/>
        <v xml:space="preserve"> </v>
      </c>
      <c r="D1977" s="1415"/>
      <c r="E1977" s="980" t="str">
        <f>VLOOKUP($B1977,DG!A:D,DG!$B$2,)</f>
        <v>06.2201</v>
      </c>
      <c r="F1977" s="985" t="s">
        <v>2545</v>
      </c>
      <c r="G1977" s="980" t="str">
        <f>VLOOKUP($B1977,DG!A:D,DG!$D$2,)</f>
        <v>chuỗi</v>
      </c>
      <c r="H1977" s="1693">
        <f t="shared" si="351"/>
        <v>0</v>
      </c>
      <c r="I1977" s="1693"/>
      <c r="J1977" s="1693"/>
      <c r="K1977" s="1692">
        <f>IFERROR(HLOOKUP(B1977,pp3p1m!$1:$3,2,0),0)</f>
        <v>0</v>
      </c>
      <c r="L1977" s="1693"/>
      <c r="M1977" s="1693"/>
      <c r="N1977" s="1693"/>
      <c r="O1977" s="1693"/>
      <c r="P1977" s="1693">
        <f t="shared" si="353"/>
        <v>0</v>
      </c>
      <c r="Q1977" s="1693">
        <f t="shared" si="354"/>
        <v>0</v>
      </c>
      <c r="R1977" s="1693">
        <f t="shared" si="355"/>
        <v>0</v>
      </c>
      <c r="S1977" s="994"/>
      <c r="T1977" s="1862">
        <f>IFERROR(HLOOKUP(B1977,pp3p1m!$1:$3,3,0),0)</f>
        <v>0</v>
      </c>
    </row>
    <row r="1978" spans="1:20" ht="22.2" hidden="1" customHeight="1">
      <c r="A1978" s="1448">
        <f>COUNTIF($C$12:C1978,"x")</f>
        <v>149</v>
      </c>
      <c r="B1978" s="1455" t="s">
        <v>347</v>
      </c>
      <c r="C1978" s="970" t="str">
        <f t="shared" si="360"/>
        <v xml:space="preserve"> </v>
      </c>
      <c r="D1978" s="1415"/>
      <c r="E1978" s="980" t="str">
        <f>VLOOKUP($B1978,DG!A:D,DG!$B$2,)</f>
        <v>06.1115</v>
      </c>
      <c r="F1978" s="985" t="s">
        <v>2546</v>
      </c>
      <c r="G1978" s="980" t="str">
        <f>VLOOKUP($B1978,DG!A:D,DG!$D$2,)</f>
        <v>bộ</v>
      </c>
      <c r="H1978" s="1693">
        <f t="shared" si="351"/>
        <v>0</v>
      </c>
      <c r="I1978" s="1693"/>
      <c r="J1978" s="1693"/>
      <c r="K1978" s="1692">
        <f>IFERROR(HLOOKUP(B1978,pp3p1m!$1:$3,2,0),0)</f>
        <v>0</v>
      </c>
      <c r="L1978" s="1693"/>
      <c r="M1978" s="1693"/>
      <c r="N1978" s="1693"/>
      <c r="O1978" s="1693"/>
      <c r="P1978" s="1693">
        <f t="shared" si="353"/>
        <v>0</v>
      </c>
      <c r="Q1978" s="1693">
        <f t="shared" si="354"/>
        <v>0</v>
      </c>
      <c r="R1978" s="1693">
        <f t="shared" si="355"/>
        <v>0</v>
      </c>
      <c r="S1978" s="989"/>
      <c r="T1978" s="1862">
        <f>IFERROR(HLOOKUP(B1978,pp3p1m!$1:$3,3,0),0)</f>
        <v>0</v>
      </c>
    </row>
    <row r="1979" spans="1:20" ht="22.2" customHeight="1">
      <c r="A1979" s="1448">
        <f>COUNTIF($C$12:C1979,"x")</f>
        <v>150</v>
      </c>
      <c r="B1979" s="1451" t="s">
        <v>347</v>
      </c>
      <c r="C1979" s="1701" t="str">
        <f t="shared" si="360"/>
        <v>x</v>
      </c>
      <c r="D1979" s="1415">
        <f>H1816</f>
        <v>154</v>
      </c>
      <c r="E1979" s="980" t="str">
        <f>VLOOKUP($B1979,DG!A:D,DG!$B$2,)</f>
        <v>06.1115</v>
      </c>
      <c r="F1979" s="985" t="str">
        <f>VLOOKUP($B1979,DG!A:D,DG!$C$2,)</f>
        <v>Lắp sứ đứng 24KV</v>
      </c>
      <c r="G1979" s="980" t="str">
        <f>VLOOKUP($B1979,DG!A:D,DG!$D$2,)</f>
        <v>bộ</v>
      </c>
      <c r="H1979" s="1693">
        <f t="shared" si="351"/>
        <v>154</v>
      </c>
      <c r="I1979" s="1693"/>
      <c r="J1979" s="1693"/>
      <c r="K1979" s="1692">
        <f>IFERROR(HLOOKUP(B1979,pp3p1m!$1:$3,2,0),0)</f>
        <v>0</v>
      </c>
      <c r="L1979" s="1693"/>
      <c r="M1979" s="1693"/>
      <c r="N1979" s="1693"/>
      <c r="O1979" s="1693"/>
      <c r="P1979" s="1693">
        <f>H1979</f>
        <v>154</v>
      </c>
      <c r="Q1979" s="1693">
        <f t="shared" si="354"/>
        <v>0</v>
      </c>
      <c r="R1979" s="1693">
        <f t="shared" si="355"/>
        <v>0</v>
      </c>
      <c r="S1979" s="989"/>
      <c r="T1979" s="1862">
        <f>IFERROR(HLOOKUP(B1979,pp3p1m!$1:$3,3,0),0)</f>
        <v>0</v>
      </c>
    </row>
    <row r="1980" spans="1:20" ht="22.2" hidden="1" customHeight="1">
      <c r="A1980" s="1448">
        <f>COUNTIF($C$12:C1980,"x")</f>
        <v>150</v>
      </c>
      <c r="B1980" s="1455" t="s">
        <v>1227</v>
      </c>
      <c r="C1980" s="970" t="str">
        <f t="shared" si="360"/>
        <v xml:space="preserve"> </v>
      </c>
      <c r="D1980" s="1415">
        <f>D1817*0</f>
        <v>0</v>
      </c>
      <c r="E1980" s="980" t="str">
        <f>VLOOKUP($B1980,DG!A:D,DG!$B$2,)</f>
        <v>06.1115</v>
      </c>
      <c r="F1980" s="985" t="str">
        <f>VLOOKUP($B1980,DG!A:D,DG!$C$2,)</f>
        <v>Tháo sứ đứng 24KV</v>
      </c>
      <c r="G1980" s="980" t="str">
        <f>VLOOKUP($B1980,DG!A:D,DG!$D$2,)</f>
        <v>bộ</v>
      </c>
      <c r="H1980" s="1693">
        <f t="shared" si="351"/>
        <v>0</v>
      </c>
      <c r="I1980" s="1693"/>
      <c r="J1980" s="1693"/>
      <c r="K1980" s="1692">
        <f>IFERROR(HLOOKUP(B1980,pp3p1m!$1:$3,2,0),0)</f>
        <v>0</v>
      </c>
      <c r="L1980" s="1693"/>
      <c r="M1980" s="1693"/>
      <c r="N1980" s="1693"/>
      <c r="O1980" s="1693"/>
      <c r="P1980" s="1693">
        <f t="shared" si="353"/>
        <v>0</v>
      </c>
      <c r="Q1980" s="1693">
        <f t="shared" si="354"/>
        <v>0</v>
      </c>
      <c r="R1980" s="1693">
        <f t="shared" si="355"/>
        <v>0</v>
      </c>
      <c r="S1980" s="989"/>
      <c r="T1980" s="1862">
        <f>IFERROR(HLOOKUP(B1980,pp3p1m!$1:$3,3,0),0)</f>
        <v>0</v>
      </c>
    </row>
    <row r="1981" spans="1:20" ht="22.2" hidden="1" customHeight="1">
      <c r="A1981" s="1448">
        <f>COUNTIF($C$12:C1981,"x")</f>
        <v>150</v>
      </c>
      <c r="B1981" s="1455" t="s">
        <v>348</v>
      </c>
      <c r="C1981" s="970" t="str">
        <f t="shared" si="360"/>
        <v xml:space="preserve"> </v>
      </c>
      <c r="D1981" s="1415"/>
      <c r="E1981" s="980" t="str">
        <f>VLOOKUP($B1981,DG!A:D,DG!$B$2,)</f>
        <v>06.3231</v>
      </c>
      <c r="F1981" s="985" t="str">
        <f>VLOOKUP($B1981,DG!A:D,DG!$C$2,)</f>
        <v>Lắp chân sứ đỉnh</v>
      </c>
      <c r="G1981" s="980" t="str">
        <f>VLOOKUP($B1981,DG!A:D,DG!$D$2,)</f>
        <v>cái</v>
      </c>
      <c r="H1981" s="1693">
        <f t="shared" si="351"/>
        <v>0</v>
      </c>
      <c r="I1981" s="1693"/>
      <c r="J1981" s="1693"/>
      <c r="K1981" s="1692">
        <f>IFERROR(HLOOKUP(B1981,pp3p1m!$1:$3,2,0),0)</f>
        <v>0</v>
      </c>
      <c r="L1981" s="1693"/>
      <c r="M1981" s="1693"/>
      <c r="N1981" s="1693"/>
      <c r="O1981" s="1693"/>
      <c r="P1981" s="1693">
        <f t="shared" si="353"/>
        <v>0</v>
      </c>
      <c r="Q1981" s="1693">
        <f t="shared" si="354"/>
        <v>0</v>
      </c>
      <c r="R1981" s="1693">
        <f t="shared" si="355"/>
        <v>0</v>
      </c>
      <c r="S1981" s="989"/>
      <c r="T1981" s="1862">
        <f>IFERROR(HLOOKUP(B1981,pp3p1m!$1:$3,3,0),0)</f>
        <v>0</v>
      </c>
    </row>
    <row r="1982" spans="1:20" ht="22.2" hidden="1" customHeight="1">
      <c r="A1982" s="1448">
        <f>COUNTIF($C$12:C1982,"x")</f>
        <v>150</v>
      </c>
      <c r="B1982" s="1455" t="s">
        <v>349</v>
      </c>
      <c r="C1982" s="970" t="str">
        <f t="shared" si="360"/>
        <v xml:space="preserve"> </v>
      </c>
      <c r="D1982" s="1415">
        <f>-SUM(D1890:D1890)</f>
        <v>0</v>
      </c>
      <c r="E1982" s="980" t="str">
        <f>VLOOKUP($B1982,DG!A:D,DG!$B$2,)</f>
        <v>06.1410</v>
      </c>
      <c r="F1982" s="985" t="str">
        <f>VLOOKUP($B1982,DG!A:D,DG!$C$2,)</f>
        <v>Lắp chuỗi sứ đỡ 2 bát/chuỗi</v>
      </c>
      <c r="G1982" s="980" t="str">
        <f>VLOOKUP($B1982,DG!A:D,DG!$D$2,)</f>
        <v>chuỗi</v>
      </c>
      <c r="H1982" s="1693">
        <f t="shared" si="351"/>
        <v>0</v>
      </c>
      <c r="I1982" s="1693"/>
      <c r="J1982" s="1693"/>
      <c r="K1982" s="1692">
        <f>IFERROR(HLOOKUP(B1982,pp3p1m!$1:$3,2,0),0)</f>
        <v>0</v>
      </c>
      <c r="L1982" s="1693"/>
      <c r="M1982" s="1693"/>
      <c r="N1982" s="1693"/>
      <c r="O1982" s="1693"/>
      <c r="P1982" s="1693">
        <f t="shared" si="353"/>
        <v>0</v>
      </c>
      <c r="Q1982" s="1693">
        <f t="shared" si="354"/>
        <v>0</v>
      </c>
      <c r="R1982" s="1693">
        <f t="shared" si="355"/>
        <v>0</v>
      </c>
      <c r="S1982" s="989"/>
      <c r="T1982" s="1862">
        <f>IFERROR(HLOOKUP(B1982,pp3p1m!$1:$3,3,0),0)</f>
        <v>0</v>
      </c>
    </row>
    <row r="1983" spans="1:20" ht="22.2" hidden="1" customHeight="1">
      <c r="A1983" s="1448">
        <f>COUNTIF($C$12:C1983,"x")</f>
        <v>150</v>
      </c>
      <c r="B1983" s="1455" t="s">
        <v>350</v>
      </c>
      <c r="C1983" s="970" t="str">
        <f t="shared" si="360"/>
        <v xml:space="preserve"> </v>
      </c>
      <c r="D1983" s="1415"/>
      <c r="E1983" s="980" t="str">
        <f>VLOOKUP($B1983,DG!A:D,DG!$B$2,)</f>
        <v>06.1511</v>
      </c>
      <c r="F1983" s="985" t="s">
        <v>2547</v>
      </c>
      <c r="G1983" s="980" t="str">
        <f>VLOOKUP($B1983,DG!A:D,DG!$D$2,)</f>
        <v>chuỗi</v>
      </c>
      <c r="H1983" s="1693">
        <f t="shared" si="351"/>
        <v>0</v>
      </c>
      <c r="I1983" s="1693"/>
      <c r="J1983" s="1693"/>
      <c r="K1983" s="1692">
        <f>IFERROR(HLOOKUP(B1983,pp3p1m!$1:$3,2,0),0)</f>
        <v>0</v>
      </c>
      <c r="L1983" s="1693"/>
      <c r="M1983" s="1693"/>
      <c r="N1983" s="1693"/>
      <c r="O1983" s="1693"/>
      <c r="P1983" s="1693">
        <f t="shared" si="353"/>
        <v>0</v>
      </c>
      <c r="Q1983" s="1693">
        <f t="shared" si="354"/>
        <v>0</v>
      </c>
      <c r="R1983" s="1693">
        <f t="shared" si="355"/>
        <v>0</v>
      </c>
      <c r="S1983" s="989"/>
      <c r="T1983" s="1862">
        <f>IFERROR(HLOOKUP(B1983,pp3p1m!$1:$3,3,0),0)</f>
        <v>0</v>
      </c>
    </row>
    <row r="1984" spans="1:20" ht="22.2" hidden="1" customHeight="1">
      <c r="A1984" s="1448">
        <f>COUNTIF($C$12:C1984,"x")</f>
        <v>150</v>
      </c>
      <c r="B1984" s="1455" t="s">
        <v>350</v>
      </c>
      <c r="C1984" s="970" t="str">
        <f t="shared" si="360"/>
        <v xml:space="preserve"> </v>
      </c>
      <c r="D1984" s="1415"/>
      <c r="E1984" s="980" t="str">
        <f>VLOOKUP($B1984,DG!A:D,DG!$B$2,)</f>
        <v>06.1511</v>
      </c>
      <c r="F1984" s="985" t="str">
        <f>VLOOKUP($B1984,DG!A:D,DG!$C$2,)</f>
        <v>Lắp chuỗi sứ néo 2 bát/chuỗi</v>
      </c>
      <c r="G1984" s="980" t="str">
        <f>VLOOKUP($B1984,DG!A:D,DG!$D$2,)</f>
        <v>chuỗi</v>
      </c>
      <c r="H1984" s="1693">
        <f t="shared" si="351"/>
        <v>0</v>
      </c>
      <c r="I1984" s="1693"/>
      <c r="J1984" s="1693"/>
      <c r="K1984" s="1692">
        <f>IFERROR(HLOOKUP(B1984,pp3p1m!$1:$3,2,0),0)</f>
        <v>0</v>
      </c>
      <c r="L1984" s="1693"/>
      <c r="M1984" s="1693"/>
      <c r="N1984" s="1693"/>
      <c r="O1984" s="1693"/>
      <c r="P1984" s="1693">
        <f t="shared" si="353"/>
        <v>0</v>
      </c>
      <c r="Q1984" s="1693">
        <f t="shared" si="354"/>
        <v>0</v>
      </c>
      <c r="R1984" s="1693">
        <f t="shared" si="355"/>
        <v>0</v>
      </c>
      <c r="S1984" s="994"/>
      <c r="T1984" s="1862">
        <f>IFERROR(HLOOKUP(B1984,pp3p1m!$1:$3,3,0),0)</f>
        <v>0</v>
      </c>
    </row>
    <row r="1985" spans="1:20" ht="22.2" customHeight="1">
      <c r="A1985" s="1448">
        <f>COUNTIF($C$12:C1985,"x")</f>
        <v>151</v>
      </c>
      <c r="B1985" s="1451" t="s">
        <v>1507</v>
      </c>
      <c r="C1985" s="1701" t="str">
        <f t="shared" si="360"/>
        <v>x</v>
      </c>
      <c r="D1985" s="1415">
        <f>+D1836+D1977-D2291*3+D1850</f>
        <v>63</v>
      </c>
      <c r="E1985" s="980" t="str">
        <f>VLOOKUP($B1985,DG!A:D,DG!$B$2,)</f>
        <v>06.2201</v>
      </c>
      <c r="F1985" s="985" t="str">
        <f>VLOOKUP($B1985,DG!A:D,DG!$C$2,)</f>
        <v>Lắp chuỗi sứ néo Polymer</v>
      </c>
      <c r="G1985" s="980" t="str">
        <f>VLOOKUP($B1985,DG!A:D,DG!$D$2,)</f>
        <v>chuỗi</v>
      </c>
      <c r="H1985" s="1693">
        <f t="shared" si="351"/>
        <v>63</v>
      </c>
      <c r="I1985" s="1693"/>
      <c r="J1985" s="1693"/>
      <c r="K1985" s="1692">
        <f>IFERROR(HLOOKUP(B1985,pp3p1m!$1:$3,2,0),0)</f>
        <v>0</v>
      </c>
      <c r="L1985" s="1693"/>
      <c r="M1985" s="1693"/>
      <c r="N1985" s="1693"/>
      <c r="O1985" s="1693"/>
      <c r="P1985" s="1693">
        <f>H1985</f>
        <v>63</v>
      </c>
      <c r="Q1985" s="1693">
        <f t="shared" si="354"/>
        <v>0</v>
      </c>
      <c r="R1985" s="1693">
        <f t="shared" si="355"/>
        <v>0</v>
      </c>
      <c r="S1985" s="994"/>
      <c r="T1985" s="1862">
        <f>IFERROR(HLOOKUP(B1985,pp3p1m!$1:$3,3,0),0)</f>
        <v>0</v>
      </c>
    </row>
    <row r="1986" spans="1:20" ht="22.2" hidden="1" customHeight="1">
      <c r="A1986" s="1448">
        <f>COUNTIF($C$12:C1986,"x")</f>
        <v>151</v>
      </c>
      <c r="B1986" s="1455" t="s">
        <v>6430</v>
      </c>
      <c r="C1986" s="970" t="str">
        <f t="shared" si="360"/>
        <v xml:space="preserve"> </v>
      </c>
      <c r="D1986" s="1415"/>
      <c r="E1986" s="980" t="e">
        <f>VLOOKUP($B1986,DG!A:D,DG!$B$2,)</f>
        <v>#N/A</v>
      </c>
      <c r="F1986" s="992" t="e">
        <f>"Tháo "&amp;VLOOKUP($B1986,DG!A:D,DG!$C$2,)&amp;" hiện hữu sử dụng lại"</f>
        <v>#N/A</v>
      </c>
      <c r="G1986" s="980" t="e">
        <f>VLOOKUP($B1986,DG!A:D,DG!$D$2,)</f>
        <v>#N/A</v>
      </c>
      <c r="H1986" s="1693">
        <f t="shared" si="351"/>
        <v>0</v>
      </c>
      <c r="I1986" s="1693"/>
      <c r="J1986" s="1693"/>
      <c r="K1986" s="1692">
        <f>IFERROR(HLOOKUP(B1986,pp3p1m!$1:$3,2,0),0)</f>
        <v>0</v>
      </c>
      <c r="L1986" s="1693"/>
      <c r="M1986" s="1693"/>
      <c r="N1986" s="1693"/>
      <c r="O1986" s="1693"/>
      <c r="P1986" s="1693">
        <f t="shared" si="353"/>
        <v>0</v>
      </c>
      <c r="Q1986" s="1693">
        <f t="shared" si="354"/>
        <v>0</v>
      </c>
      <c r="R1986" s="1693">
        <f t="shared" si="355"/>
        <v>0</v>
      </c>
      <c r="S1986" s="994"/>
      <c r="T1986" s="1862">
        <f>IFERROR(HLOOKUP(B1986,pp3p1m!$1:$3,3,0),0)</f>
        <v>0</v>
      </c>
    </row>
    <row r="1987" spans="1:20" ht="22.2" hidden="1" customHeight="1">
      <c r="A1987" s="1448">
        <f>COUNTIF($C$12:C1987,"x")</f>
        <v>151</v>
      </c>
      <c r="B1987" s="1455"/>
      <c r="C1987" s="970" t="str">
        <f t="shared" si="360"/>
        <v xml:space="preserve"> </v>
      </c>
      <c r="D1987" s="1415"/>
      <c r="E1987" s="980" t="e">
        <f>VLOOKUP($B1987,DG!A:D,DG!$B$2,)</f>
        <v>#N/A</v>
      </c>
      <c r="F1987" s="992" t="e">
        <f>"Thaùo "&amp;VLOOKUP($B1987,DG!A:D,DG!$C$2,)</f>
        <v>#N/A</v>
      </c>
      <c r="G1987" s="980" t="e">
        <f>VLOOKUP($B1987,DG!A:D,DG!$D$2,)</f>
        <v>#N/A</v>
      </c>
      <c r="H1987" s="1693">
        <f t="shared" si="351"/>
        <v>0</v>
      </c>
      <c r="I1987" s="1693"/>
      <c r="J1987" s="1693"/>
      <c r="K1987" s="1692">
        <f>IFERROR(HLOOKUP(B1987,pp3p1m!$1:$3,2,0),0)</f>
        <v>0</v>
      </c>
      <c r="L1987" s="1693"/>
      <c r="M1987" s="1693"/>
      <c r="N1987" s="1693"/>
      <c r="O1987" s="1693"/>
      <c r="P1987" s="1693">
        <f t="shared" si="353"/>
        <v>0</v>
      </c>
      <c r="Q1987" s="1693">
        <f t="shared" si="354"/>
        <v>0</v>
      </c>
      <c r="R1987" s="1693">
        <f t="shared" si="355"/>
        <v>0</v>
      </c>
      <c r="S1987" s="994"/>
      <c r="T1987" s="1862">
        <f>IFERROR(HLOOKUP(B1987,pp3p1m!$1:$3,3,0),0)</f>
        <v>0</v>
      </c>
    </row>
    <row r="1988" spans="1:20" ht="22.2" hidden="1" customHeight="1">
      <c r="A1988" s="1448">
        <f>COUNTIF($C$12:C1988,"x")</f>
        <v>151</v>
      </c>
      <c r="B1988" s="1455"/>
      <c r="C1988" s="970" t="str">
        <f t="shared" si="360"/>
        <v xml:space="preserve"> </v>
      </c>
      <c r="D1988" s="1415"/>
      <c r="E1988" s="980" t="e">
        <f>VLOOKUP($B1988,DG!A:D,DG!$B$2,)</f>
        <v>#N/A</v>
      </c>
      <c r="F1988" s="992" t="e">
        <f>"Lắp "&amp;VLOOKUP($B1988,DG!A:D,DG!$C$2,)</f>
        <v>#N/A</v>
      </c>
      <c r="G1988" s="980" t="e">
        <f>VLOOKUP($B1988,DG!A:D,DG!$D$2,)</f>
        <v>#N/A</v>
      </c>
      <c r="H1988" s="1693">
        <f t="shared" si="351"/>
        <v>0</v>
      </c>
      <c r="I1988" s="1693"/>
      <c r="J1988" s="1693"/>
      <c r="K1988" s="1692">
        <f>IFERROR(HLOOKUP(B1988,pp3p1m!$1:$3,2,0),0)</f>
        <v>0</v>
      </c>
      <c r="L1988" s="1693"/>
      <c r="M1988" s="1693"/>
      <c r="N1988" s="1693"/>
      <c r="O1988" s="1693"/>
      <c r="P1988" s="1693">
        <f t="shared" si="353"/>
        <v>0</v>
      </c>
      <c r="Q1988" s="1693">
        <f t="shared" si="354"/>
        <v>0</v>
      </c>
      <c r="R1988" s="1693">
        <f t="shared" si="355"/>
        <v>0</v>
      </c>
      <c r="S1988" s="994"/>
      <c r="T1988" s="1862">
        <f>IFERROR(HLOOKUP(B1988,pp3p1m!$1:$3,3,0),0)</f>
        <v>0</v>
      </c>
    </row>
    <row r="1989" spans="1:20" ht="22.2" hidden="1" customHeight="1">
      <c r="A1989" s="1448">
        <f>COUNTIF($C$12:C1989,"x")</f>
        <v>151</v>
      </c>
      <c r="B1989" s="1455" t="s">
        <v>1429</v>
      </c>
      <c r="C1989" s="970" t="str">
        <f>IF(OR(P1989&lt;&gt;0,H1989&lt;&gt;0),"x"," ")</f>
        <v xml:space="preserve"> </v>
      </c>
      <c r="D1989" s="1415"/>
      <c r="E1989" s="980">
        <f>VLOOKUP($B1989,DG!A:D,DG!$B$2,)</f>
        <v>0</v>
      </c>
      <c r="F1989" s="992" t="str">
        <f>"Lắp "&amp;VLOOKUP($B1989,DG!A:D,DG!$C$2,)</f>
        <v>Lắp Kẹp ngừng cáp ABC4x95mm2</v>
      </c>
      <c r="G1989" s="980" t="str">
        <f>VLOOKUP($B1989,DG!A:D,DG!$D$2,)</f>
        <v>cái</v>
      </c>
      <c r="H1989" s="1693">
        <f t="shared" si="351"/>
        <v>0</v>
      </c>
      <c r="I1989" s="1693"/>
      <c r="J1989" s="1693"/>
      <c r="K1989" s="1692">
        <f>IFERROR(HLOOKUP(B1989,pp3p1m!$1:$3,2,0),0)</f>
        <v>0</v>
      </c>
      <c r="L1989" s="1693"/>
      <c r="M1989" s="1693"/>
      <c r="N1989" s="1693"/>
      <c r="O1989" s="1693"/>
      <c r="P1989" s="1788">
        <f t="shared" si="353"/>
        <v>0</v>
      </c>
      <c r="Q1989" s="1693">
        <f t="shared" si="354"/>
        <v>0</v>
      </c>
      <c r="R1989" s="1693">
        <f t="shared" si="355"/>
        <v>0</v>
      </c>
      <c r="S1989" s="994"/>
      <c r="T1989" s="1862">
        <f>IFERROR(HLOOKUP(B1989,pp3p1m!$1:$3,3,0),0)</f>
        <v>0</v>
      </c>
    </row>
    <row r="1990" spans="1:20" ht="22.2" hidden="1" customHeight="1">
      <c r="A1990" s="1448">
        <f>COUNTIF($C$12:C1990,"x")</f>
        <v>151</v>
      </c>
      <c r="B1990" s="1455" t="s">
        <v>852</v>
      </c>
      <c r="C1990" s="970" t="str">
        <f>IF(OR(P1990&lt;&gt;0,H1990&lt;&gt;0),"x"," ")</f>
        <v xml:space="preserve"> </v>
      </c>
      <c r="D1990" s="1415"/>
      <c r="E1990" s="980">
        <f>VLOOKUP($B1990,DG!A:D,DG!$B$2,)</f>
        <v>0</v>
      </c>
      <c r="F1990" s="992" t="str">
        <f>"Lắp "&amp;VLOOKUP($B1990,DG!A:D,DG!$C$2,)</f>
        <v>Lắp Boulon móc 16x300+ long đền vuông D18-50x50x3/Zn</v>
      </c>
      <c r="G1990" s="980" t="str">
        <f>VLOOKUP($B1990,DG!A:D,DG!$D$2,)</f>
        <v>bộ</v>
      </c>
      <c r="H1990" s="1693">
        <f t="shared" si="351"/>
        <v>0</v>
      </c>
      <c r="I1990" s="1693"/>
      <c r="J1990" s="1693"/>
      <c r="K1990" s="1692">
        <f>IFERROR(HLOOKUP(B1990,pp3p1m!$1:$3,2,0),0)</f>
        <v>0</v>
      </c>
      <c r="L1990" s="1693"/>
      <c r="M1990" s="1693"/>
      <c r="N1990" s="1693"/>
      <c r="O1990" s="1693"/>
      <c r="P1990" s="1788">
        <f t="shared" si="353"/>
        <v>0</v>
      </c>
      <c r="Q1990" s="1693">
        <f t="shared" si="354"/>
        <v>0</v>
      </c>
      <c r="R1990" s="1693">
        <f t="shared" si="355"/>
        <v>0</v>
      </c>
      <c r="S1990" s="994"/>
      <c r="T1990" s="1862">
        <f>IFERROR(HLOOKUP(B1990,pp3p1m!$1:$3,3,0),0)</f>
        <v>0</v>
      </c>
    </row>
    <row r="1991" spans="1:20" ht="22.2" hidden="1" customHeight="1">
      <c r="A1991" s="1448">
        <f>COUNTIF($C$12:C1991,"x")</f>
        <v>151</v>
      </c>
      <c r="B1991" s="1455"/>
      <c r="C1991" s="970" t="str">
        <f t="shared" si="360"/>
        <v xml:space="preserve"> </v>
      </c>
      <c r="D1991" s="1415"/>
      <c r="E1991" s="980" t="e">
        <f>VLOOKUP($B1991,DG!A:D,DG!$B$2,)</f>
        <v>#N/A</v>
      </c>
      <c r="F1991" s="992" t="e">
        <f>"Lắp "&amp;VLOOKUP($B1991,DG!A:D,DG!$C$2,)</f>
        <v>#N/A</v>
      </c>
      <c r="G1991" s="980" t="e">
        <f>VLOOKUP($B1991,DG!A:D,DG!$D$2,)</f>
        <v>#N/A</v>
      </c>
      <c r="H1991" s="1693">
        <f t="shared" si="351"/>
        <v>0</v>
      </c>
      <c r="I1991" s="1693"/>
      <c r="J1991" s="1693"/>
      <c r="K1991" s="1692">
        <f>IFERROR(HLOOKUP(B1991,pp3p1m!$1:$3,2,0),0)</f>
        <v>0</v>
      </c>
      <c r="L1991" s="1693"/>
      <c r="M1991" s="1693"/>
      <c r="N1991" s="1693"/>
      <c r="O1991" s="1693"/>
      <c r="P1991" s="1788">
        <f t="shared" si="353"/>
        <v>0</v>
      </c>
      <c r="Q1991" s="1693">
        <f t="shared" si="354"/>
        <v>0</v>
      </c>
      <c r="R1991" s="1693">
        <f t="shared" si="355"/>
        <v>0</v>
      </c>
      <c r="S1991" s="994"/>
      <c r="T1991" s="1862">
        <f>IFERROR(HLOOKUP(B1991,pp3p1m!$1:$3,3,0),0)</f>
        <v>0</v>
      </c>
    </row>
    <row r="1992" spans="1:20" ht="22.2" hidden="1" customHeight="1">
      <c r="A1992" s="1448">
        <f>COUNTIF($C$12:C1992,"x")</f>
        <v>151</v>
      </c>
      <c r="B1992" s="1455" t="s">
        <v>147</v>
      </c>
      <c r="C1992" s="970" t="str">
        <f t="shared" si="360"/>
        <v xml:space="preserve"> </v>
      </c>
      <c r="D1992" s="1415"/>
      <c r="E1992" s="980" t="str">
        <f>VLOOKUP($B1992,DG!A:D,DG!$B$2,)</f>
        <v>05.6001</v>
      </c>
      <c r="F1992" s="985" t="s">
        <v>2548</v>
      </c>
      <c r="G1992" s="980" t="str">
        <f>VLOOKUP($B1992,DG!A:D,DG!$D$2,)</f>
        <v>Kg</v>
      </c>
      <c r="H1992" s="1693">
        <f t="shared" si="351"/>
        <v>0</v>
      </c>
      <c r="I1992" s="1693"/>
      <c r="J1992" s="1693"/>
      <c r="K1992" s="1692">
        <f>IFERROR(HLOOKUP(B1992,pp3p1m!$1:$3,2,0),0)</f>
        <v>0</v>
      </c>
      <c r="L1992" s="1693"/>
      <c r="M1992" s="1693"/>
      <c r="N1992" s="1693"/>
      <c r="O1992" s="1693"/>
      <c r="P1992" s="1788">
        <f>H1992</f>
        <v>0</v>
      </c>
      <c r="Q1992" s="1693">
        <f t="shared" si="354"/>
        <v>0</v>
      </c>
      <c r="R1992" s="1693">
        <f t="shared" si="355"/>
        <v>0</v>
      </c>
      <c r="S1992" s="989"/>
      <c r="T1992" s="1862">
        <f>IFERROR(HLOOKUP(B1992,pp3p1m!$1:$3,3,0),0)</f>
        <v>0</v>
      </c>
    </row>
    <row r="1993" spans="1:20" ht="22.2" hidden="1" customHeight="1">
      <c r="A1993" s="1448">
        <f>COUNTIF($C$12:C1993,"x")</f>
        <v>151</v>
      </c>
      <c r="B1993" s="1455" t="s">
        <v>1645</v>
      </c>
      <c r="C1993" s="970" t="str">
        <f t="shared" si="360"/>
        <v xml:space="preserve"> </v>
      </c>
      <c r="D1993" s="1415"/>
      <c r="E1993" s="980" t="str">
        <f>VLOOKUP($B1993,DG!A:D,DG!$B$2,)</f>
        <v>05.6100</v>
      </c>
      <c r="F1993" s="985" t="str">
        <f>"Lắp "&amp;VLOOKUP($B1993,DG!A:D,DG!$C$2,)</f>
        <v>Lắp Giá U 80x600 lắp FCO</v>
      </c>
      <c r="G1993" s="980" t="str">
        <f>VLOOKUP($B1993,DG!A:D,DG!$D$2,)</f>
        <v>bộ</v>
      </c>
      <c r="H1993" s="1693">
        <f t="shared" si="351"/>
        <v>0</v>
      </c>
      <c r="I1993" s="1693"/>
      <c r="J1993" s="1693"/>
      <c r="K1993" s="1692">
        <f>IFERROR(HLOOKUP(B1993,pp3p1m!$1:$3,2,0),0)</f>
        <v>0</v>
      </c>
      <c r="L1993" s="1693"/>
      <c r="M1993" s="1693"/>
      <c r="N1993" s="1693"/>
      <c r="O1993" s="1693"/>
      <c r="P1993" s="1788">
        <f t="shared" ref="P1993:P2009" si="361">H1993</f>
        <v>0</v>
      </c>
      <c r="Q1993" s="1693">
        <f t="shared" si="354"/>
        <v>0</v>
      </c>
      <c r="R1993" s="1693">
        <f t="shared" si="355"/>
        <v>0</v>
      </c>
      <c r="S1993" s="989"/>
      <c r="T1993" s="1862">
        <f>IFERROR(HLOOKUP(B1993,pp3p1m!$1:$3,3,0),0)</f>
        <v>0</v>
      </c>
    </row>
    <row r="1994" spans="1:20" ht="22.2" hidden="1" customHeight="1">
      <c r="A1994" s="1448">
        <f>COUNTIF($C$12:C1994,"x")</f>
        <v>151</v>
      </c>
      <c r="B1994" s="1455" t="s">
        <v>348</v>
      </c>
      <c r="C1994" s="970" t="str">
        <f t="shared" si="360"/>
        <v xml:space="preserve"> </v>
      </c>
      <c r="D1994" s="1415"/>
      <c r="E1994" s="980" t="str">
        <f>VLOOKUP($B1994,DG!A:D,DG!$B$2,)</f>
        <v>06.3231</v>
      </c>
      <c r="F1994" s="985" t="s">
        <v>2549</v>
      </c>
      <c r="G1994" s="980" t="str">
        <f>VLOOKUP($B1994,DG!A:D,DG!$D$2,)</f>
        <v>cái</v>
      </c>
      <c r="H1994" s="1693">
        <f t="shared" si="351"/>
        <v>0</v>
      </c>
      <c r="I1994" s="1693"/>
      <c r="J1994" s="1693"/>
      <c r="K1994" s="1692">
        <f>IFERROR(HLOOKUP(B1994,pp3p1m!$1:$3,2,0),0)</f>
        <v>0</v>
      </c>
      <c r="L1994" s="1693"/>
      <c r="M1994" s="1693"/>
      <c r="N1994" s="1693"/>
      <c r="O1994" s="1693"/>
      <c r="P1994" s="1788">
        <f t="shared" si="361"/>
        <v>0</v>
      </c>
      <c r="Q1994" s="1693">
        <f t="shared" si="354"/>
        <v>0</v>
      </c>
      <c r="R1994" s="1693">
        <f t="shared" si="355"/>
        <v>0</v>
      </c>
      <c r="S1994" s="989"/>
      <c r="T1994" s="1862">
        <f>IFERROR(HLOOKUP(B1994,pp3p1m!$1:$3,3,0),0)</f>
        <v>0</v>
      </c>
    </row>
    <row r="1995" spans="1:20" ht="22.2" hidden="1" customHeight="1">
      <c r="A1995" s="1448">
        <f>COUNTIF($C$12:C1995,"x")</f>
        <v>151</v>
      </c>
      <c r="B1995" s="1455" t="s">
        <v>1906</v>
      </c>
      <c r="C1995" s="970" t="str">
        <f t="shared" si="360"/>
        <v xml:space="preserve"> </v>
      </c>
      <c r="D1995" s="1415"/>
      <c r="E1995" s="980" t="str">
        <f>VLOOKUP($B1995,DG!A:D,DG!$B$2,)</f>
        <v>05.6011</v>
      </c>
      <c r="F1995" s="985" t="s">
        <v>2550</v>
      </c>
      <c r="G1995" s="980" t="str">
        <f>VLOOKUP($B1995,DG!A:D,DG!$D$2,)</f>
        <v>bộ</v>
      </c>
      <c r="H1995" s="1693">
        <f t="shared" si="351"/>
        <v>0</v>
      </c>
      <c r="I1995" s="1693"/>
      <c r="J1995" s="1693"/>
      <c r="K1995" s="1692">
        <f>IFERROR(HLOOKUP(B1995,pp3p1m!$1:$3,2,0),0)</f>
        <v>0</v>
      </c>
      <c r="L1995" s="1693"/>
      <c r="M1995" s="1693"/>
      <c r="N1995" s="1693"/>
      <c r="O1995" s="1693"/>
      <c r="P1995" s="1788">
        <f t="shared" si="361"/>
        <v>0</v>
      </c>
      <c r="Q1995" s="1693">
        <f t="shared" si="354"/>
        <v>0</v>
      </c>
      <c r="R1995" s="1693">
        <f t="shared" si="355"/>
        <v>0</v>
      </c>
      <c r="S1995" s="989"/>
      <c r="T1995" s="1862">
        <f>IFERROR(HLOOKUP(B1995,pp3p1m!$1:$3,3,0),0)</f>
        <v>0</v>
      </c>
    </row>
    <row r="1996" spans="1:20" ht="22.2" hidden="1" customHeight="1">
      <c r="A1996" s="1448">
        <f>COUNTIF($C$12:C1996,"x")</f>
        <v>151</v>
      </c>
      <c r="B1996" s="1455" t="s">
        <v>351</v>
      </c>
      <c r="C1996" s="970" t="str">
        <f t="shared" si="360"/>
        <v xml:space="preserve"> </v>
      </c>
      <c r="D1996" s="1415"/>
      <c r="E1996" s="980" t="str">
        <f>VLOOKUP($B1996,DG!A:D,DG!$B$2,)</f>
        <v>06.1211</v>
      </c>
      <c r="F1996" s="985" t="s">
        <v>2551</v>
      </c>
      <c r="G1996" s="980" t="str">
        <f>VLOOKUP($B1996,DG!A:D,DG!$D$2,)</f>
        <v>bộ</v>
      </c>
      <c r="H1996" s="1693">
        <f t="shared" si="351"/>
        <v>0</v>
      </c>
      <c r="I1996" s="1693"/>
      <c r="J1996" s="1693"/>
      <c r="K1996" s="1692">
        <f>IFERROR(HLOOKUP(B1996,pp3p1m!$1:$3,2,0),0)</f>
        <v>0</v>
      </c>
      <c r="L1996" s="1693"/>
      <c r="M1996" s="1693"/>
      <c r="N1996" s="1693"/>
      <c r="O1996" s="1693"/>
      <c r="P1996" s="1788">
        <f t="shared" si="361"/>
        <v>0</v>
      </c>
      <c r="Q1996" s="1693">
        <f t="shared" si="354"/>
        <v>0</v>
      </c>
      <c r="R1996" s="1693">
        <f t="shared" si="355"/>
        <v>0</v>
      </c>
      <c r="S1996" s="989"/>
      <c r="T1996" s="1862">
        <f>IFERROR(HLOOKUP(B1996,pp3p1m!$1:$3,3,0),0)</f>
        <v>0</v>
      </c>
    </row>
    <row r="1997" spans="1:20" ht="22.2" hidden="1" customHeight="1">
      <c r="A1997" s="1448">
        <f>COUNTIF($C$12:C1997,"x")</f>
        <v>151</v>
      </c>
      <c r="B1997" s="1451" t="s">
        <v>351</v>
      </c>
      <c r="C1997" s="970" t="str">
        <f t="shared" si="360"/>
        <v xml:space="preserve"> </v>
      </c>
      <c r="D1997" s="2053"/>
      <c r="E1997" s="980" t="str">
        <f>VLOOKUP($B1997,DG!A:D,DG!$B$2,)</f>
        <v>06.1211</v>
      </c>
      <c r="F1997" s="985" t="str">
        <f>VLOOKUP($B1997,DG!A:D,DG!$C$2,)</f>
        <v>Lắp rack sứ + sứ ống chỉ</v>
      </c>
      <c r="G1997" s="980" t="str">
        <f>VLOOKUP($B1997,DG!A:D,DG!$D$2,)</f>
        <v>bộ</v>
      </c>
      <c r="H1997" s="1693">
        <f t="shared" ref="H1997:H2009" si="362">IF(D1997&gt;0,D1997,K1997)</f>
        <v>0</v>
      </c>
      <c r="I1997" s="1693"/>
      <c r="J1997" s="1693"/>
      <c r="K1997" s="1692">
        <f>IFERROR(HLOOKUP(B1997,pp3p1m!$1:$3,2,0),0)</f>
        <v>0</v>
      </c>
      <c r="L1997" s="1693"/>
      <c r="M1997" s="1693"/>
      <c r="N1997" s="1693"/>
      <c r="O1997" s="1693"/>
      <c r="P1997" s="1788">
        <f t="shared" si="361"/>
        <v>0</v>
      </c>
      <c r="Q1997" s="1693">
        <f t="shared" si="354"/>
        <v>0</v>
      </c>
      <c r="R1997" s="1693">
        <f t="shared" si="355"/>
        <v>0</v>
      </c>
      <c r="S1997" s="989"/>
      <c r="T1997" s="1862">
        <f>IFERROR(HLOOKUP(B1997,pp3p1m!$1:$3,3,0),0)</f>
        <v>0</v>
      </c>
    </row>
    <row r="1998" spans="1:20" ht="22.2" hidden="1" customHeight="1">
      <c r="A1998" s="1448">
        <f>COUNTIF($C$12:C1998,"x")</f>
        <v>151</v>
      </c>
      <c r="B1998" s="1455" t="s">
        <v>324</v>
      </c>
      <c r="C1998" s="970" t="str">
        <f t="shared" si="360"/>
        <v xml:space="preserve"> </v>
      </c>
      <c r="D1998" s="1415">
        <f>D1947</f>
        <v>0</v>
      </c>
      <c r="E1998" s="980" t="str">
        <f>VLOOKUP($B1998,DG!A:D,DG!$B$2,)</f>
        <v>06.1213</v>
      </c>
      <c r="F1998" s="985" t="str">
        <f>VLOOKUP($B1998,DG!A:D,DG!$C$2,)</f>
        <v>Lắp rack 2 sứ + sứ ống chỉ</v>
      </c>
      <c r="G1998" s="980" t="str">
        <f>VLOOKUP($B1998,DG!A:D,DG!$D$2,)</f>
        <v>bộ</v>
      </c>
      <c r="H1998" s="1693">
        <f t="shared" si="362"/>
        <v>0</v>
      </c>
      <c r="I1998" s="1693"/>
      <c r="J1998" s="1693"/>
      <c r="K1998" s="1692">
        <f>IFERROR(HLOOKUP(B1998,pp3p1m!$1:$3,2,0),0)</f>
        <v>0</v>
      </c>
      <c r="L1998" s="1693"/>
      <c r="M1998" s="1693"/>
      <c r="N1998" s="1693"/>
      <c r="O1998" s="1693"/>
      <c r="P1998" s="1788">
        <f t="shared" si="361"/>
        <v>0</v>
      </c>
      <c r="Q1998" s="1693">
        <f t="shared" si="354"/>
        <v>0</v>
      </c>
      <c r="R1998" s="1693">
        <f t="shared" si="355"/>
        <v>0</v>
      </c>
      <c r="S1998" s="989"/>
      <c r="T1998" s="1862">
        <f>IFERROR(HLOOKUP(B1998,pp3p1m!$1:$3,3,0),0)</f>
        <v>0</v>
      </c>
    </row>
    <row r="1999" spans="1:20" ht="22.2" hidden="1" customHeight="1">
      <c r="A1999" s="1448">
        <f>COUNTIF($C$12:C1999,"x")</f>
        <v>151</v>
      </c>
      <c r="B1999" s="1455" t="s">
        <v>41</v>
      </c>
      <c r="C1999" s="970" t="str">
        <f t="shared" si="360"/>
        <v xml:space="preserve"> </v>
      </c>
      <c r="D1999" s="1415"/>
      <c r="E1999" s="980" t="str">
        <f>VLOOKUP($B1999,DG!A:D,DG!$B$2,)</f>
        <v>06.1214</v>
      </c>
      <c r="F1999" s="985" t="s">
        <v>2552</v>
      </c>
      <c r="G1999" s="980" t="str">
        <f>VLOOKUP($B1999,DG!A:D,DG!$D$2,)</f>
        <v>bộ</v>
      </c>
      <c r="H1999" s="1693">
        <f t="shared" si="362"/>
        <v>0</v>
      </c>
      <c r="I1999" s="1693"/>
      <c r="J1999" s="1693"/>
      <c r="K1999" s="1692">
        <f>IFERROR(HLOOKUP(B1999,pp3p1m!$1:$3,2,0),0)</f>
        <v>0</v>
      </c>
      <c r="L1999" s="1693"/>
      <c r="M1999" s="1693"/>
      <c r="N1999" s="1693"/>
      <c r="O1999" s="1693"/>
      <c r="P1999" s="1788">
        <f t="shared" si="361"/>
        <v>0</v>
      </c>
      <c r="Q1999" s="1693">
        <f t="shared" si="354"/>
        <v>0</v>
      </c>
      <c r="R1999" s="1693">
        <f t="shared" si="355"/>
        <v>0</v>
      </c>
      <c r="S1999" s="989"/>
      <c r="T1999" s="1862">
        <f>IFERROR(HLOOKUP(B1999,pp3p1m!$1:$3,3,0),0)</f>
        <v>0</v>
      </c>
    </row>
    <row r="2000" spans="1:20" ht="22.2" hidden="1" customHeight="1">
      <c r="A2000" s="1448">
        <f>COUNTIF($C$12:C2000,"x")</f>
        <v>151</v>
      </c>
      <c r="B2000" s="1455" t="s">
        <v>42</v>
      </c>
      <c r="C2000" s="970" t="str">
        <f t="shared" si="360"/>
        <v xml:space="preserve"> </v>
      </c>
      <c r="D2000" s="1415"/>
      <c r="E2000" s="980" t="str">
        <f>VLOOKUP($B2000,DG!A:D,DG!$B$2,)</f>
        <v>06.1214</v>
      </c>
      <c r="F2000" s="985" t="str">
        <f>VLOOKUP($B2000,DG!A:D,DG!$C$2,)</f>
        <v>Lắp rack 3 sứ + sứ ống chỉ</v>
      </c>
      <c r="G2000" s="980" t="str">
        <f>VLOOKUP($B2000,DG!A:D,DG!$D$2,)</f>
        <v>bộ</v>
      </c>
      <c r="H2000" s="1693">
        <f t="shared" si="362"/>
        <v>0</v>
      </c>
      <c r="I2000" s="1693"/>
      <c r="J2000" s="1693"/>
      <c r="K2000" s="1692">
        <f>IFERROR(HLOOKUP(B2000,pp3p1m!$1:$3,2,0),0)</f>
        <v>0</v>
      </c>
      <c r="L2000" s="1693"/>
      <c r="M2000" s="1693"/>
      <c r="N2000" s="1693"/>
      <c r="O2000" s="1693"/>
      <c r="P2000" s="1788">
        <f t="shared" si="361"/>
        <v>0</v>
      </c>
      <c r="Q2000" s="1693">
        <f t="shared" si="354"/>
        <v>0</v>
      </c>
      <c r="R2000" s="1693">
        <f t="shared" si="355"/>
        <v>0</v>
      </c>
      <c r="S2000" s="989"/>
      <c r="T2000" s="1862">
        <f>IFERROR(HLOOKUP(B2000,pp3p1m!$1:$3,3,0),0)</f>
        <v>0</v>
      </c>
    </row>
    <row r="2001" spans="1:20" ht="22.2" hidden="1" customHeight="1">
      <c r="A2001" s="1448">
        <f>COUNTIF($C$12:C2001,"x")</f>
        <v>151</v>
      </c>
      <c r="B2001" s="1455" t="s">
        <v>509</v>
      </c>
      <c r="C2001" s="970" t="str">
        <f t="shared" si="360"/>
        <v xml:space="preserve"> </v>
      </c>
      <c r="D2001" s="1415"/>
      <c r="E2001" s="980" t="str">
        <f>VLOOKUP($B2001,DG!A:D,DG!$B$2,)</f>
        <v>06.1215</v>
      </c>
      <c r="F2001" s="985" t="s">
        <v>2553</v>
      </c>
      <c r="G2001" s="980" t="str">
        <f>VLOOKUP($B2001,DG!A:D,DG!$D$2,)</f>
        <v>bộ</v>
      </c>
      <c r="H2001" s="1693">
        <f t="shared" si="362"/>
        <v>0</v>
      </c>
      <c r="I2001" s="1693"/>
      <c r="J2001" s="1693"/>
      <c r="K2001" s="1692">
        <f>IFERROR(HLOOKUP(B2001,pp3p1m!$1:$3,2,0),0)</f>
        <v>0</v>
      </c>
      <c r="L2001" s="1693"/>
      <c r="M2001" s="1693"/>
      <c r="N2001" s="1693"/>
      <c r="O2001" s="1693"/>
      <c r="P2001" s="1788">
        <f t="shared" si="361"/>
        <v>0</v>
      </c>
      <c r="Q2001" s="1693">
        <f t="shared" si="354"/>
        <v>0</v>
      </c>
      <c r="R2001" s="1693">
        <f t="shared" si="355"/>
        <v>0</v>
      </c>
      <c r="S2001" s="989"/>
      <c r="T2001" s="1862">
        <f>IFERROR(HLOOKUP(B2001,pp3p1m!$1:$3,3,0),0)</f>
        <v>0</v>
      </c>
    </row>
    <row r="2002" spans="1:20" ht="22.2" hidden="1" customHeight="1">
      <c r="A2002" s="1448">
        <f>COUNTIF($C$12:C2002,"x")</f>
        <v>151</v>
      </c>
      <c r="B2002" s="1455" t="s">
        <v>1780</v>
      </c>
      <c r="C2002" s="970" t="str">
        <f t="shared" si="360"/>
        <v xml:space="preserve"> </v>
      </c>
      <c r="D2002" s="1415"/>
      <c r="E2002" s="980" t="str">
        <f>VLOOKUP($B2002,DG!A:D,DG!$B$2,)</f>
        <v>06.1215</v>
      </c>
      <c r="F2002" s="985" t="str">
        <f>VLOOKUP($B2002,DG!A:D,DG!$C$2,)</f>
        <v>Lắp rack 4 sứ + sứ ống chỉ</v>
      </c>
      <c r="G2002" s="980" t="str">
        <f>VLOOKUP($B2002,DG!A:D,DG!$D$2,)</f>
        <v>bộ</v>
      </c>
      <c r="H2002" s="1693">
        <f t="shared" si="362"/>
        <v>0</v>
      </c>
      <c r="I2002" s="1693"/>
      <c r="J2002" s="1693"/>
      <c r="K2002" s="1692">
        <f>IFERROR(HLOOKUP(B2002,pp3p1m!$1:$3,2,0),0)</f>
        <v>0</v>
      </c>
      <c r="L2002" s="1693"/>
      <c r="M2002" s="1693"/>
      <c r="N2002" s="1693"/>
      <c r="O2002" s="1693"/>
      <c r="P2002" s="1788">
        <f t="shared" si="361"/>
        <v>0</v>
      </c>
      <c r="Q2002" s="1693">
        <f t="shared" si="354"/>
        <v>0</v>
      </c>
      <c r="R2002" s="1693">
        <f t="shared" si="355"/>
        <v>0</v>
      </c>
      <c r="S2002" s="989"/>
      <c r="T2002" s="1862">
        <f>IFERROR(HLOOKUP(B2002,pp3p1m!$1:$3,3,0),0)</f>
        <v>0</v>
      </c>
    </row>
    <row r="2003" spans="1:20" ht="22.2" hidden="1" customHeight="1">
      <c r="A2003" s="1448">
        <f>COUNTIF($C$12:C2003,"x")</f>
        <v>151</v>
      </c>
      <c r="B2003" s="1455" t="s">
        <v>353</v>
      </c>
      <c r="C2003" s="970" t="str">
        <f t="shared" si="360"/>
        <v xml:space="preserve"> </v>
      </c>
      <c r="D2003" s="1433"/>
      <c r="E2003" s="996" t="str">
        <f>VLOOKUP($B2003,DG!A:D,DG!$B$2,)</f>
        <v>06.5072</v>
      </c>
      <c r="F2003" s="985" t="str">
        <f>VLOOKUP($B2003,DG!A:D,DG!$C$2,)</f>
        <v xml:space="preserve">Kéo dây qua vị trí bẻ góc dây </v>
      </c>
      <c r="G2003" s="996" t="str">
        <f>VLOOKUP($B2003,DG!A:D,DG!$D$2,)</f>
        <v>vị trí</v>
      </c>
      <c r="H2003" s="1693">
        <f t="shared" si="362"/>
        <v>0</v>
      </c>
      <c r="I2003" s="1693"/>
      <c r="J2003" s="1693"/>
      <c r="K2003" s="1692">
        <f>IFERROR(HLOOKUP(B2003,pp3p1m!$1:$3,2,0),0)</f>
        <v>0</v>
      </c>
      <c r="L2003" s="1693"/>
      <c r="M2003" s="1693"/>
      <c r="N2003" s="1693"/>
      <c r="O2003" s="1693"/>
      <c r="P2003" s="1788">
        <f t="shared" si="361"/>
        <v>0</v>
      </c>
      <c r="Q2003" s="1693">
        <f t="shared" si="354"/>
        <v>0</v>
      </c>
      <c r="R2003" s="1693">
        <f t="shared" si="355"/>
        <v>0</v>
      </c>
      <c r="S2003" s="994"/>
      <c r="T2003" s="1862">
        <f>IFERROR(HLOOKUP(B2003,pp3p1m!$1:$3,3,0),0)</f>
        <v>0</v>
      </c>
    </row>
    <row r="2004" spans="1:20" ht="22.2" hidden="1" customHeight="1">
      <c r="A2004" s="1448">
        <f>COUNTIF($C$12:C2004,"x")</f>
        <v>151</v>
      </c>
      <c r="B2004" s="1455" t="s">
        <v>354</v>
      </c>
      <c r="C2004" s="970" t="str">
        <f t="shared" si="360"/>
        <v xml:space="preserve"> </v>
      </c>
      <c r="D2004" s="1412"/>
      <c r="E2004" s="980" t="str">
        <f>VLOOKUP($B2004,DG!A:D,DG!$B$2,)</f>
        <v>06.5082</v>
      </c>
      <c r="F2004" s="985" t="str">
        <f>VLOOKUP($B2004,DG!A:D,DG!$C$2,)</f>
        <v>Kéo dây qua sông ( S&lt;=300)</v>
      </c>
      <c r="G2004" s="980" t="str">
        <f>VLOOKUP($B2004,DG!A:D,DG!$D$2,)</f>
        <v>vị trí</v>
      </c>
      <c r="H2004" s="1693">
        <f t="shared" si="362"/>
        <v>0</v>
      </c>
      <c r="I2004" s="1693"/>
      <c r="J2004" s="1693"/>
      <c r="K2004" s="1692">
        <f>IFERROR(HLOOKUP(B2004,pp3p1m!$1:$3,2,0),0)</f>
        <v>0</v>
      </c>
      <c r="L2004" s="1693"/>
      <c r="M2004" s="1693"/>
      <c r="N2004" s="1693"/>
      <c r="O2004" s="1693"/>
      <c r="P2004" s="1788">
        <f t="shared" si="361"/>
        <v>0</v>
      </c>
      <c r="Q2004" s="1693">
        <f t="shared" si="354"/>
        <v>0</v>
      </c>
      <c r="R2004" s="1693">
        <f t="shared" si="355"/>
        <v>0</v>
      </c>
      <c r="S2004" s="994"/>
      <c r="T2004" s="1862">
        <f>IFERROR(HLOOKUP(B2004,pp3p1m!$1:$3,3,0),0)</f>
        <v>0</v>
      </c>
    </row>
    <row r="2005" spans="1:20" ht="22.2" hidden="1" customHeight="1">
      <c r="A2005" s="1448">
        <f>COUNTIF($C$12:C2005,"x")</f>
        <v>151</v>
      </c>
      <c r="B2005" s="1455" t="s">
        <v>355</v>
      </c>
      <c r="C2005" s="970" t="str">
        <f t="shared" si="360"/>
        <v xml:space="preserve"> </v>
      </c>
      <c r="D2005" s="1414"/>
      <c r="E2005" s="980" t="str">
        <f>VLOOKUP($B2005,DG!A:D,DG!$B$2,)</f>
        <v>02.1122</v>
      </c>
      <c r="F2005" s="985" t="str">
        <f>VLOOKUP($B2005,DG!A:D,DG!$C$2,)</f>
        <v>Bốc dỡ dây</v>
      </c>
      <c r="G2005" s="980" t="str">
        <f>VLOOKUP($B2005,DG!A:D,DG!$D$2,)</f>
        <v>tấn</v>
      </c>
      <c r="H2005" s="1693">
        <f t="shared" si="362"/>
        <v>0</v>
      </c>
      <c r="I2005" s="1693"/>
      <c r="J2005" s="1693"/>
      <c r="K2005" s="1692">
        <f>IFERROR(HLOOKUP(B2005,pp3p1m!$1:$3,2,0),0)</f>
        <v>0</v>
      </c>
      <c r="L2005" s="1693"/>
      <c r="M2005" s="1693"/>
      <c r="N2005" s="1693"/>
      <c r="O2005" s="1693"/>
      <c r="P2005" s="1788">
        <f t="shared" si="361"/>
        <v>0</v>
      </c>
      <c r="Q2005" s="1693">
        <f t="shared" si="354"/>
        <v>0</v>
      </c>
      <c r="R2005" s="1693">
        <f t="shared" si="355"/>
        <v>0</v>
      </c>
      <c r="S2005" s="994"/>
      <c r="T2005" s="1862">
        <f>IFERROR(HLOOKUP(B2005,pp3p1m!$1:$3,3,0),0)</f>
        <v>0</v>
      </c>
    </row>
    <row r="2006" spans="1:20" ht="22.2" hidden="1" customHeight="1">
      <c r="A2006" s="1448">
        <f>COUNTIF($C$12:C2006,"x")</f>
        <v>151</v>
      </c>
      <c r="B2006" s="1455" t="s">
        <v>1902</v>
      </c>
      <c r="C2006" s="970" t="str">
        <f t="shared" si="360"/>
        <v xml:space="preserve"> </v>
      </c>
      <c r="D2006" s="1414"/>
      <c r="E2006" s="980" t="str">
        <f>VLOOKUP($B2006,DG!A:D,DG!$B$2,)</f>
        <v>02.1120</v>
      </c>
      <c r="F2006" s="985" t="str">
        <f>VLOOKUP($B2006,DG!A:D,DG!$C$2,)</f>
        <v>Bốc dỡ phụ kiện</v>
      </c>
      <c r="G2006" s="980" t="str">
        <f>VLOOKUP($B2006,DG!A:D,DG!$D$2,)</f>
        <v>tấn</v>
      </c>
      <c r="H2006" s="1693">
        <f t="shared" si="362"/>
        <v>0</v>
      </c>
      <c r="I2006" s="1693"/>
      <c r="J2006" s="1693"/>
      <c r="K2006" s="1692">
        <f>IFERROR(HLOOKUP(B2006,pp3p1m!$1:$3,2,0),0)</f>
        <v>0</v>
      </c>
      <c r="L2006" s="1693"/>
      <c r="M2006" s="1693"/>
      <c r="N2006" s="1693"/>
      <c r="O2006" s="1693"/>
      <c r="P2006" s="1788">
        <f t="shared" si="361"/>
        <v>0</v>
      </c>
      <c r="Q2006" s="1693">
        <f t="shared" si="354"/>
        <v>0</v>
      </c>
      <c r="R2006" s="1693">
        <f t="shared" si="355"/>
        <v>0</v>
      </c>
      <c r="S2006" s="994"/>
      <c r="T2006" s="1862">
        <f>IFERROR(HLOOKUP(B2006,pp3p1m!$1:$3,3,0),0)</f>
        <v>0</v>
      </c>
    </row>
    <row r="2007" spans="1:20" ht="22.2" hidden="1" customHeight="1">
      <c r="A2007" s="1448">
        <f>COUNTIF($C$12:C2007,"x")</f>
        <v>151</v>
      </c>
      <c r="B2007" s="1466" t="s">
        <v>356</v>
      </c>
      <c r="C2007" s="970" t="str">
        <f t="shared" si="360"/>
        <v xml:space="preserve"> </v>
      </c>
      <c r="D2007" s="1430"/>
      <c r="E2007" s="980" t="str">
        <f>VLOOKUP($B2007,DG!A:D,DG!$B$2,)</f>
        <v>02.1421</v>
      </c>
      <c r="F2007" s="985" t="str">
        <f>VLOOKUP($B2007,DG!A:D,DG!$C$2,)</f>
        <v>V/c phụ kiện vào vị trí (cự ly &lt;=100m)</v>
      </c>
      <c r="G2007" s="980" t="str">
        <f>VLOOKUP($B2007,DG!A:D,DG!$D$2,)</f>
        <v>tấn</v>
      </c>
      <c r="H2007" s="1693">
        <f t="shared" si="362"/>
        <v>0</v>
      </c>
      <c r="I2007" s="1693"/>
      <c r="J2007" s="1693"/>
      <c r="K2007" s="1692">
        <f>IFERROR(HLOOKUP(B2007,pp3p1m!$1:$3,2,0),0)</f>
        <v>0</v>
      </c>
      <c r="L2007" s="1693"/>
      <c r="M2007" s="1693"/>
      <c r="N2007" s="1693"/>
      <c r="O2007" s="1693"/>
      <c r="P2007" s="1788">
        <f t="shared" si="361"/>
        <v>0</v>
      </c>
      <c r="Q2007" s="1693">
        <f t="shared" si="354"/>
        <v>0</v>
      </c>
      <c r="R2007" s="1693">
        <f t="shared" si="355"/>
        <v>0</v>
      </c>
      <c r="S2007" s="994"/>
      <c r="T2007" s="1862">
        <f>IFERROR(HLOOKUP(B2007,pp3p1m!$1:$3,3,0),0)</f>
        <v>0</v>
      </c>
    </row>
    <row r="2008" spans="1:20" ht="22.2" hidden="1" customHeight="1">
      <c r="A2008" s="1448">
        <f>COUNTIF($C$12:C2008,"x")</f>
        <v>151</v>
      </c>
      <c r="B2008" s="1466" t="s">
        <v>357</v>
      </c>
      <c r="C2008" s="970" t="str">
        <f t="shared" si="360"/>
        <v xml:space="preserve"> </v>
      </c>
      <c r="D2008" s="1430"/>
      <c r="E2008" s="980" t="str">
        <f>VLOOKUP($B2008,DG!A:D,DG!$B$2,)</f>
        <v>02.1441</v>
      </c>
      <c r="F2008" s="985" t="str">
        <f>VLOOKUP($B2008,DG!A:D,DG!$C$2,)</f>
        <v>V/c dây vào vị trí (cự ly &lt;=100m)</v>
      </c>
      <c r="G2008" s="980" t="str">
        <f>VLOOKUP($B2008,DG!A:D,DG!$D$2,)</f>
        <v>tấn</v>
      </c>
      <c r="H2008" s="1693">
        <f t="shared" si="362"/>
        <v>0</v>
      </c>
      <c r="I2008" s="1693"/>
      <c r="J2008" s="1693"/>
      <c r="K2008" s="1692">
        <f>IFERROR(HLOOKUP(B2008,pp3p1m!$1:$3,2,0),0)</f>
        <v>0</v>
      </c>
      <c r="L2008" s="1693"/>
      <c r="M2008" s="1693"/>
      <c r="N2008" s="1693"/>
      <c r="O2008" s="1693"/>
      <c r="P2008" s="1788">
        <f t="shared" si="361"/>
        <v>0</v>
      </c>
      <c r="Q2008" s="1693">
        <f t="shared" si="354"/>
        <v>0</v>
      </c>
      <c r="R2008" s="1693">
        <f t="shared" si="355"/>
        <v>0</v>
      </c>
      <c r="S2008" s="994"/>
      <c r="T2008" s="1862">
        <f>IFERROR(HLOOKUP(B2008,pp3p1m!$1:$3,3,0),0)</f>
        <v>0</v>
      </c>
    </row>
    <row r="2009" spans="1:20" ht="22.2" hidden="1" customHeight="1">
      <c r="A2009" s="1448">
        <f>COUNTIF($C$12:C2009,"x")</f>
        <v>151</v>
      </c>
      <c r="B2009" s="1464" t="s">
        <v>606</v>
      </c>
      <c r="C2009" s="970" t="str">
        <f t="shared" si="360"/>
        <v xml:space="preserve"> </v>
      </c>
      <c r="D2009" s="1430"/>
      <c r="E2009" s="980" t="str">
        <f>VLOOKUP($B2009,DG!A:D,DG!$B$2,)</f>
        <v>02.1482</v>
      </c>
      <c r="F2009" s="985" t="str">
        <f>VLOOKUP($B2009,DG!A:D,DG!$C$2,)</f>
        <v>V/c dụng cụ thi công vào vị trí (cự ly &lt;=100m)</v>
      </c>
      <c r="G2009" s="980" t="str">
        <f>VLOOKUP($B2009,DG!A:D,DG!$D$2,)</f>
        <v>tấn</v>
      </c>
      <c r="H2009" s="1693">
        <f t="shared" si="362"/>
        <v>0</v>
      </c>
      <c r="I2009" s="1693"/>
      <c r="J2009" s="1693"/>
      <c r="K2009" s="1692">
        <f>IFERROR(HLOOKUP(B2009,pp3p1m!$1:$3,2,0),0)</f>
        <v>0</v>
      </c>
      <c r="L2009" s="1693"/>
      <c r="M2009" s="1693"/>
      <c r="N2009" s="1693"/>
      <c r="O2009" s="1693"/>
      <c r="P2009" s="1788">
        <f t="shared" si="361"/>
        <v>0</v>
      </c>
      <c r="Q2009" s="1693">
        <f t="shared" si="354"/>
        <v>0</v>
      </c>
      <c r="R2009" s="1693">
        <f t="shared" si="355"/>
        <v>0</v>
      </c>
      <c r="S2009" s="994"/>
      <c r="T2009" s="1862">
        <f>IFERROR(HLOOKUP(B2009,pp3p1m!$1:$3,3,0),0)</f>
        <v>0</v>
      </c>
    </row>
    <row r="2010" spans="1:20" ht="22.2" hidden="1" customHeight="1">
      <c r="A2010" s="1448">
        <f>COUNTIF($C$12:C2010,"x")</f>
        <v>151</v>
      </c>
      <c r="B2010" s="1452" t="s">
        <v>1978</v>
      </c>
      <c r="C2010" s="970" t="str">
        <f t="shared" si="360"/>
        <v xml:space="preserve"> </v>
      </c>
      <c r="D2010" s="1412"/>
      <c r="E2010" s="982" t="s">
        <v>2170</v>
      </c>
      <c r="F2010" s="1276" t="s">
        <v>4540</v>
      </c>
      <c r="G2010" s="982" t="s">
        <v>2301</v>
      </c>
      <c r="H2010" s="1691">
        <f>SUM(I2010:O2010)</f>
        <v>0</v>
      </c>
      <c r="I2010" s="1692"/>
      <c r="J2010" s="1692"/>
      <c r="K2010" s="1692"/>
      <c r="L2010" s="1692">
        <f>IF(SUM(L2011:L2013)&gt;0,1,0)</f>
        <v>0</v>
      </c>
      <c r="M2010" s="1692"/>
      <c r="N2010" s="1692"/>
      <c r="O2010" s="1692"/>
      <c r="P2010" s="2674">
        <f>T2010</f>
        <v>0</v>
      </c>
      <c r="Q2010" s="983">
        <f>IF(P2010&gt;H2010,P2010-H2010,0)</f>
        <v>0</v>
      </c>
      <c r="R2010" s="983">
        <f>IF(H2010&gt;P2010,H2010-P2010,0)</f>
        <v>0</v>
      </c>
      <c r="S2010" s="983"/>
      <c r="T2010" s="1862">
        <f>IFERROR(HLOOKUP(B2010,pp1p!$1:$3,3,0),0)</f>
        <v>0</v>
      </c>
    </row>
    <row r="2011" spans="1:20" ht="22.2" hidden="1" customHeight="1">
      <c r="A2011" s="1448">
        <f>COUNTIF($C$12:C2011,"x")</f>
        <v>151</v>
      </c>
      <c r="B2011" s="1455" t="s">
        <v>1239</v>
      </c>
      <c r="C2011" s="970" t="str">
        <f t="shared" si="360"/>
        <v xml:space="preserve"> </v>
      </c>
      <c r="D2011" s="1415">
        <f>ROUND(E2011*1.03*0.276,2)</f>
        <v>0</v>
      </c>
      <c r="E2011" s="997">
        <f>pp1p!C97</f>
        <v>0</v>
      </c>
      <c r="F2011" s="992" t="str">
        <f>VLOOKUP($B2011,DG!A:D,DG!$C$2,)</f>
        <v>Cáp nhôm lõi thép AC-70/11</v>
      </c>
      <c r="G2011" s="980" t="str">
        <f>VLOOKUP($B2011,DG!A:D,DG!$D$2,)</f>
        <v>kg</v>
      </c>
      <c r="H2011" s="1693">
        <f>L2011</f>
        <v>0</v>
      </c>
      <c r="I2011" s="1693"/>
      <c r="J2011" s="1693"/>
      <c r="K2011" s="1693">
        <f>D2011</f>
        <v>0</v>
      </c>
      <c r="L2011" s="1692">
        <f>IFERROR(HLOOKUP(chitiet!B2011,pp1p!$1:$3,3,0),0)</f>
        <v>0</v>
      </c>
      <c r="M2011" s="1693"/>
      <c r="N2011" s="1693"/>
      <c r="O2011" s="1693"/>
      <c r="P2011" s="1693">
        <f t="shared" ref="P2011:P2070" si="363">H2011+Q2011-R2011</f>
        <v>0</v>
      </c>
      <c r="Q2011" s="989"/>
      <c r="R2011" s="989"/>
      <c r="S2011" s="989"/>
      <c r="T2011" s="1862">
        <f>IFERROR(HLOOKUP(B2011,pp1p!$1:$3,3,0),0)</f>
        <v>0</v>
      </c>
    </row>
    <row r="2012" spans="1:20" ht="22.2" hidden="1" customHeight="1">
      <c r="A2012" s="1448">
        <f>COUNTIF($C$12:C2012,"x")</f>
        <v>151</v>
      </c>
      <c r="B2012" s="1455" t="s">
        <v>88</v>
      </c>
      <c r="C2012" s="970" t="str">
        <f t="shared" si="360"/>
        <v xml:space="preserve"> </v>
      </c>
      <c r="D2012" s="1421">
        <f>ROUND(E2012*1.02*0.195,2)</f>
        <v>0</v>
      </c>
      <c r="E2012" s="997">
        <f>pp1p!C98</f>
        <v>0</v>
      </c>
      <c r="F2012" s="992" t="str">
        <f>VLOOKUP($B2012,DG!A:D,DG!$C$2,)</f>
        <v>Cáp nhôm lõi thép AC-50/8</v>
      </c>
      <c r="G2012" s="980" t="str">
        <f>VLOOKUP($B2012,DG!A:D,DG!$D$2,)</f>
        <v>kg</v>
      </c>
      <c r="H2012" s="1789">
        <f>D2012</f>
        <v>0</v>
      </c>
      <c r="I2012" s="1788"/>
      <c r="J2012" s="1788"/>
      <c r="K2012" s="1788"/>
      <c r="L2012" s="1957">
        <f>IFERROR(HLOOKUP(chitiet!B2012,pp1p!$1:$3,3,0),0)</f>
        <v>0</v>
      </c>
      <c r="M2012" s="1788"/>
      <c r="N2012" s="1788"/>
      <c r="O2012" s="1788"/>
      <c r="P2012" s="1789">
        <f t="shared" si="363"/>
        <v>0</v>
      </c>
      <c r="Q2012" s="989"/>
      <c r="R2012" s="989"/>
      <c r="S2012" s="989"/>
      <c r="T2012" s="1862">
        <f>IFERROR(HLOOKUP(B2012,pp1p!$1:$3,3,0),0)</f>
        <v>0</v>
      </c>
    </row>
    <row r="2013" spans="1:20" ht="22.2" hidden="1" customHeight="1">
      <c r="A2013" s="1448">
        <f>COUNTIF($C$12:C2013,"x")</f>
        <v>151</v>
      </c>
      <c r="B2013" s="1455" t="s">
        <v>360</v>
      </c>
      <c r="C2013" s="970" t="str">
        <f t="shared" si="360"/>
        <v xml:space="preserve"> </v>
      </c>
      <c r="D2013" s="1415">
        <f>ROUND(E2013*1.03,2)</f>
        <v>0</v>
      </c>
      <c r="E2013" s="997">
        <f>pp1p!C101</f>
        <v>0</v>
      </c>
      <c r="F2013" s="992" t="str">
        <f>VLOOKUP($B2013,DG!A:D,DG!$C$2,)</f>
        <v>Cáp 24KV ACX 50mm2</v>
      </c>
      <c r="G2013" s="980" t="str">
        <f>VLOOKUP($B2013,DG!A:D,DG!$D$2,)</f>
        <v>mét</v>
      </c>
      <c r="H2013" s="1789">
        <f>D2013</f>
        <v>0</v>
      </c>
      <c r="I2013" s="1788"/>
      <c r="J2013" s="1788"/>
      <c r="K2013" s="1788"/>
      <c r="L2013" s="1957">
        <f>IFERROR(HLOOKUP(chitiet!B2013,pp1p!$1:$3,3,0),0)</f>
        <v>0</v>
      </c>
      <c r="M2013" s="1788"/>
      <c r="N2013" s="1788"/>
      <c r="O2013" s="1788"/>
      <c r="P2013" s="1789">
        <f t="shared" si="363"/>
        <v>0</v>
      </c>
      <c r="Q2013" s="989"/>
      <c r="R2013" s="989"/>
      <c r="S2013" s="989"/>
      <c r="T2013" s="1862">
        <f>IFERROR(HLOOKUP(B2013,pp1p!$1:$3,3,0),0)</f>
        <v>0</v>
      </c>
    </row>
    <row r="2014" spans="1:20" ht="22.2" hidden="1" customHeight="1">
      <c r="A2014" s="1448">
        <f>COUNTIF($C$12:C2014,"x")</f>
        <v>151</v>
      </c>
      <c r="B2014" s="1472" t="s">
        <v>2499</v>
      </c>
      <c r="C2014" s="970" t="str">
        <f t="shared" si="360"/>
        <v xml:space="preserve"> </v>
      </c>
      <c r="D2014" s="1428">
        <f>pp1p!BX94</f>
        <v>0</v>
      </c>
      <c r="E2014" s="980"/>
      <c r="F2014" s="998" t="s">
        <v>2500</v>
      </c>
      <c r="G2014" s="999" t="s">
        <v>2439</v>
      </c>
      <c r="H2014" s="1693">
        <f t="shared" ref="H2014:H2020" si="364">D2014</f>
        <v>0</v>
      </c>
      <c r="I2014" s="1693"/>
      <c r="J2014" s="1693"/>
      <c r="K2014" s="1693"/>
      <c r="L2014" s="1692">
        <f>IFERROR(HLOOKUP(chitiet!B2014,pp1p!$1:$3,2,0),0)</f>
        <v>0</v>
      </c>
      <c r="M2014" s="1693"/>
      <c r="N2014" s="1693"/>
      <c r="O2014" s="1693"/>
      <c r="P2014" s="1693">
        <f t="shared" si="363"/>
        <v>0</v>
      </c>
      <c r="Q2014" s="989"/>
      <c r="R2014" s="989"/>
      <c r="S2014" s="989"/>
      <c r="T2014" s="1862">
        <f>IFERROR(HLOOKUP(B2014,pp1p!$1:$3,3,0),0)</f>
        <v>0</v>
      </c>
    </row>
    <row r="2015" spans="1:20" ht="22.2" hidden="1" customHeight="1">
      <c r="A2015" s="1448">
        <f>COUNTIF($C$12:C2015,"x")</f>
        <v>151</v>
      </c>
      <c r="B2015" s="1455" t="s">
        <v>1909</v>
      </c>
      <c r="C2015" s="970" t="str">
        <f t="shared" si="360"/>
        <v xml:space="preserve"> </v>
      </c>
      <c r="D2015" s="1415">
        <f>D2014</f>
        <v>0</v>
      </c>
      <c r="E2015" s="980"/>
      <c r="F2015" s="992" t="str">
        <f>VLOOKUP($B2015,DG!A:D,DG!$C$2,)</f>
        <v>Uclevis + sứ ống chỉ</v>
      </c>
      <c r="G2015" s="980" t="str">
        <f>VLOOKUP($B2015,DG!A:D,DG!$D$2,)</f>
        <v>bộ</v>
      </c>
      <c r="H2015" s="1693">
        <f t="shared" si="364"/>
        <v>0</v>
      </c>
      <c r="I2015" s="1693"/>
      <c r="J2015" s="1693"/>
      <c r="K2015" s="1693"/>
      <c r="L2015" s="1693">
        <f t="shared" ref="L2015:L2058" si="365">H2015</f>
        <v>0</v>
      </c>
      <c r="M2015" s="1693"/>
      <c r="N2015" s="1693"/>
      <c r="O2015" s="1693"/>
      <c r="P2015" s="1693">
        <f t="shared" si="363"/>
        <v>0</v>
      </c>
      <c r="Q2015" s="989"/>
      <c r="R2015" s="989"/>
      <c r="S2015" s="989"/>
      <c r="T2015" s="1862">
        <f>IFERROR(HLOOKUP(B2015,pp1p!$1:$3,3,0),0)</f>
        <v>0</v>
      </c>
    </row>
    <row r="2016" spans="1:20" ht="22.2" hidden="1" customHeight="1">
      <c r="A2016" s="1448">
        <f>COUNTIF($C$12:C2016,"x")</f>
        <v>151</v>
      </c>
      <c r="B2016" s="1455" t="s">
        <v>1610</v>
      </c>
      <c r="C2016" s="970" t="str">
        <f t="shared" si="360"/>
        <v xml:space="preserve"> </v>
      </c>
      <c r="D2016" s="1415">
        <f>D2014</f>
        <v>0</v>
      </c>
      <c r="E2016" s="980"/>
      <c r="F2016" s="992" t="str">
        <f>VLOOKUP($B2016,DG!A:D,DG!$C$2,)</f>
        <v>Boulon 16x300+ 2 long đền vuông D18-50x50x3/Zn</v>
      </c>
      <c r="G2016" s="980" t="str">
        <f>VLOOKUP($B2016,DG!A:D,DG!$D$2,)</f>
        <v>bộ</v>
      </c>
      <c r="H2016" s="1693">
        <f t="shared" si="364"/>
        <v>0</v>
      </c>
      <c r="I2016" s="1693"/>
      <c r="J2016" s="1693"/>
      <c r="K2016" s="1693"/>
      <c r="L2016" s="1693">
        <f t="shared" si="365"/>
        <v>0</v>
      </c>
      <c r="M2016" s="1693"/>
      <c r="N2016" s="1693"/>
      <c r="O2016" s="1693"/>
      <c r="P2016" s="1693">
        <f t="shared" si="363"/>
        <v>0</v>
      </c>
      <c r="Q2016" s="989"/>
      <c r="R2016" s="989"/>
      <c r="S2016" s="989"/>
      <c r="T2016" s="1862">
        <f>IFERROR(HLOOKUP(B2016,pp1p!$1:$3,3,0),0)</f>
        <v>0</v>
      </c>
    </row>
    <row r="2017" spans="1:20" ht="22.2" hidden="1" customHeight="1">
      <c r="A2017" s="1448">
        <f>COUNTIF($C$12:C2017,"x")</f>
        <v>151</v>
      </c>
      <c r="B2017" s="1472" t="s">
        <v>1621</v>
      </c>
      <c r="C2017" s="970" t="str">
        <f t="shared" si="360"/>
        <v xml:space="preserve"> </v>
      </c>
      <c r="D2017" s="1428">
        <f>pp1p!BY94</f>
        <v>0</v>
      </c>
      <c r="E2017" s="980"/>
      <c r="F2017" s="998" t="s">
        <v>2501</v>
      </c>
      <c r="G2017" s="999" t="s">
        <v>2439</v>
      </c>
      <c r="H2017" s="1693">
        <f t="shared" si="364"/>
        <v>0</v>
      </c>
      <c r="I2017" s="1693"/>
      <c r="J2017" s="1693"/>
      <c r="K2017" s="1693"/>
      <c r="L2017" s="1692">
        <f>IFERROR(HLOOKUP(chitiet!B2017,pp1p!$1:$3,2,0),0)</f>
        <v>0</v>
      </c>
      <c r="M2017" s="1693"/>
      <c r="N2017" s="1693"/>
      <c r="O2017" s="1693"/>
      <c r="P2017" s="1693">
        <f t="shared" si="363"/>
        <v>0</v>
      </c>
      <c r="Q2017" s="989"/>
      <c r="R2017" s="989"/>
      <c r="S2017" s="989"/>
      <c r="T2017" s="1862">
        <f>IFERROR(HLOOKUP(B2017,pp1p!$1:$3,3,0),0)</f>
        <v>0</v>
      </c>
    </row>
    <row r="2018" spans="1:20" ht="22.2" hidden="1" customHeight="1">
      <c r="A2018" s="1448">
        <f>COUNTIF($C$12:C2018,"x")</f>
        <v>151</v>
      </c>
      <c r="B2018" s="1455" t="s">
        <v>1909</v>
      </c>
      <c r="C2018" s="970" t="str">
        <f t="shared" si="360"/>
        <v xml:space="preserve"> </v>
      </c>
      <c r="D2018" s="1415">
        <f>D2017</f>
        <v>0</v>
      </c>
      <c r="E2018" s="980"/>
      <c r="F2018" s="992" t="str">
        <f>VLOOKUP($B2018,DG!A:D,DG!$C$2,)</f>
        <v>Uclevis + sứ ống chỉ</v>
      </c>
      <c r="G2018" s="980" t="str">
        <f>VLOOKUP($B2018,DG!A:D,DG!$D$2,)</f>
        <v>bộ</v>
      </c>
      <c r="H2018" s="1693">
        <f t="shared" si="364"/>
        <v>0</v>
      </c>
      <c r="I2018" s="1693"/>
      <c r="J2018" s="1693"/>
      <c r="K2018" s="1693"/>
      <c r="L2018" s="1693">
        <f t="shared" si="365"/>
        <v>0</v>
      </c>
      <c r="M2018" s="1693"/>
      <c r="N2018" s="1693"/>
      <c r="O2018" s="1693"/>
      <c r="P2018" s="1693">
        <f t="shared" si="363"/>
        <v>0</v>
      </c>
      <c r="Q2018" s="989"/>
      <c r="R2018" s="989"/>
      <c r="S2018" s="989"/>
      <c r="T2018" s="1862">
        <f>IFERROR(HLOOKUP(B2018,pp1p!$1:$3,3,0),0)</f>
        <v>0</v>
      </c>
    </row>
    <row r="2019" spans="1:20" ht="22.2" hidden="1" customHeight="1">
      <c r="A2019" s="1448">
        <f>COUNTIF($C$12:C2019,"x")</f>
        <v>151</v>
      </c>
      <c r="B2019" s="1455" t="s">
        <v>1610</v>
      </c>
      <c r="C2019" s="970" t="str">
        <f t="shared" si="360"/>
        <v xml:space="preserve"> </v>
      </c>
      <c r="D2019" s="1415">
        <f>D2017</f>
        <v>0</v>
      </c>
      <c r="E2019" s="980"/>
      <c r="F2019" s="992" t="str">
        <f>VLOOKUP($B2019,DG!A:D,DG!$C$2,)</f>
        <v>Boulon 16x300+ 2 long đền vuông D18-50x50x3/Zn</v>
      </c>
      <c r="G2019" s="980" t="str">
        <f>VLOOKUP($B2019,DG!A:D,DG!$D$2,)</f>
        <v>bộ</v>
      </c>
      <c r="H2019" s="1693">
        <f t="shared" si="364"/>
        <v>0</v>
      </c>
      <c r="I2019" s="1693"/>
      <c r="J2019" s="1693"/>
      <c r="K2019" s="1693"/>
      <c r="L2019" s="1693">
        <f t="shared" si="365"/>
        <v>0</v>
      </c>
      <c r="M2019" s="1693"/>
      <c r="N2019" s="1693"/>
      <c r="O2019" s="1693"/>
      <c r="P2019" s="1693">
        <f t="shared" si="363"/>
        <v>0</v>
      </c>
      <c r="Q2019" s="989"/>
      <c r="R2019" s="989"/>
      <c r="S2019" s="989"/>
      <c r="T2019" s="1862">
        <f>IFERROR(HLOOKUP(B2019,pp1p!$1:$3,3,0),0)</f>
        <v>0</v>
      </c>
    </row>
    <row r="2020" spans="1:20" ht="22.2" hidden="1" customHeight="1">
      <c r="A2020" s="1448">
        <f>COUNTIF($C$12:C2020,"x")</f>
        <v>151</v>
      </c>
      <c r="B2020" s="1455" t="s">
        <v>1851</v>
      </c>
      <c r="C2020" s="970" t="str">
        <f t="shared" si="360"/>
        <v xml:space="preserve"> </v>
      </c>
      <c r="D2020" s="1415">
        <f>D2017*6</f>
        <v>0</v>
      </c>
      <c r="E2020" s="980"/>
      <c r="F2020" s="992" t="str">
        <f>VLOOKUP($B2020,DG!A:D,DG!$C$2,)</f>
        <v>Kẹp 2 rãnh cỡ dây 50mm2</v>
      </c>
      <c r="G2020" s="980" t="str">
        <f>VLOOKUP($B2020,DG!A:D,DG!$D$2,)</f>
        <v>cái</v>
      </c>
      <c r="H2020" s="1693">
        <f t="shared" si="364"/>
        <v>0</v>
      </c>
      <c r="I2020" s="1693"/>
      <c r="J2020" s="1693"/>
      <c r="K2020" s="1693"/>
      <c r="L2020" s="1693">
        <f t="shared" si="365"/>
        <v>0</v>
      </c>
      <c r="M2020" s="1693"/>
      <c r="N2020" s="1693"/>
      <c r="O2020" s="1693"/>
      <c r="P2020" s="1693">
        <f t="shared" si="363"/>
        <v>0</v>
      </c>
      <c r="Q2020" s="989"/>
      <c r="R2020" s="989"/>
      <c r="S2020" s="989"/>
      <c r="T2020" s="1862">
        <f>IFERROR(HLOOKUP(B2020,pp1p!$1:$3,3,0),0)</f>
        <v>0</v>
      </c>
    </row>
    <row r="2021" spans="1:20" ht="22.2" hidden="1" customHeight="1">
      <c r="A2021" s="1448">
        <f>COUNTIF($C$12:C2021,"x")</f>
        <v>151</v>
      </c>
      <c r="B2021" s="1472" t="s">
        <v>1622</v>
      </c>
      <c r="C2021" s="970" t="str">
        <f t="shared" si="360"/>
        <v xml:space="preserve"> </v>
      </c>
      <c r="D2021" s="1428">
        <f>pp1p!BZ94</f>
        <v>0</v>
      </c>
      <c r="E2021" s="980"/>
      <c r="F2021" s="998" t="s">
        <v>2502</v>
      </c>
      <c r="G2021" s="999" t="s">
        <v>2439</v>
      </c>
      <c r="H2021" s="1693">
        <f>$D2021</f>
        <v>0</v>
      </c>
      <c r="I2021" s="1693"/>
      <c r="J2021" s="1693"/>
      <c r="K2021" s="1693">
        <f>D2021*0</f>
        <v>0</v>
      </c>
      <c r="L2021" s="1692">
        <f>IFERROR(HLOOKUP(chitiet!B2021,pp1p!$1:$3,2,0),0)</f>
        <v>0</v>
      </c>
      <c r="M2021" s="1693"/>
      <c r="N2021" s="1693"/>
      <c r="O2021" s="1693"/>
      <c r="P2021" s="1693">
        <f t="shared" si="363"/>
        <v>0</v>
      </c>
      <c r="Q2021" s="989"/>
      <c r="R2021" s="989"/>
      <c r="S2021" s="989"/>
      <c r="T2021" s="1862">
        <f>IFERROR(HLOOKUP(B2021,pp1p!$1:$3,3,0),0)</f>
        <v>0</v>
      </c>
    </row>
    <row r="2022" spans="1:20" ht="22.2" hidden="1" customHeight="1">
      <c r="A2022" s="1448">
        <f>COUNTIF($C$12:C2022,"x")</f>
        <v>151</v>
      </c>
      <c r="B2022" s="1473" t="s">
        <v>904</v>
      </c>
      <c r="C2022" s="970" t="str">
        <f t="shared" si="360"/>
        <v xml:space="preserve"> </v>
      </c>
      <c r="D2022" s="1415">
        <f>D2021</f>
        <v>0</v>
      </c>
      <c r="E2022" s="980"/>
      <c r="F2022" s="992" t="str">
        <f>VLOOKUP($B2022,DG!A:D,DG!$C$2,)</f>
        <v>Khóa néo dây cỡ dây 50</v>
      </c>
      <c r="G2022" s="980" t="s">
        <v>2555</v>
      </c>
      <c r="H2022" s="1693">
        <f>$D2022</f>
        <v>0</v>
      </c>
      <c r="I2022" s="1693"/>
      <c r="J2022" s="1693"/>
      <c r="K2022" s="1693">
        <f>D2022*0</f>
        <v>0</v>
      </c>
      <c r="L2022" s="1693"/>
      <c r="M2022" s="1693"/>
      <c r="N2022" s="1693"/>
      <c r="O2022" s="1693"/>
      <c r="P2022" s="1693">
        <f t="shared" si="363"/>
        <v>0</v>
      </c>
      <c r="Q2022" s="989"/>
      <c r="R2022" s="989"/>
      <c r="S2022" s="989"/>
      <c r="T2022" s="1862">
        <f>IFERROR(HLOOKUP(B2022,pp1p!$1:$3,3,0),0)</f>
        <v>0</v>
      </c>
    </row>
    <row r="2023" spans="1:20" ht="22.2" hidden="1" customHeight="1">
      <c r="A2023" s="1448">
        <f>COUNTIF($C$12:C2023,"x")</f>
        <v>151</v>
      </c>
      <c r="B2023" s="1455" t="s">
        <v>1486</v>
      </c>
      <c r="C2023" s="970" t="str">
        <f t="shared" si="360"/>
        <v xml:space="preserve"> </v>
      </c>
      <c r="D2023" s="1415">
        <f>D2021*2</f>
        <v>0</v>
      </c>
      <c r="E2023" s="980"/>
      <c r="F2023" s="992" t="str">
        <f>VLOOKUP($B2023,DG!A:D,DG!$C$2,)</f>
        <v xml:space="preserve">Móc treo chữ U </v>
      </c>
      <c r="G2023" s="980" t="s">
        <v>2555</v>
      </c>
      <c r="H2023" s="1693">
        <f>$D2023</f>
        <v>0</v>
      </c>
      <c r="I2023" s="1693"/>
      <c r="J2023" s="1693"/>
      <c r="K2023" s="1693">
        <f>D2023*0</f>
        <v>0</v>
      </c>
      <c r="L2023" s="1693"/>
      <c r="M2023" s="1693"/>
      <c r="N2023" s="1693"/>
      <c r="O2023" s="1693"/>
      <c r="P2023" s="1693">
        <f t="shared" si="363"/>
        <v>0</v>
      </c>
      <c r="Q2023" s="989"/>
      <c r="R2023" s="989"/>
      <c r="S2023" s="989"/>
      <c r="T2023" s="1862">
        <f>IFERROR(HLOOKUP(B2023,pp1p!$1:$3,3,0),0)</f>
        <v>0</v>
      </c>
    </row>
    <row r="2024" spans="1:20" ht="22.2" hidden="1" customHeight="1">
      <c r="A2024" s="1448">
        <f>COUNTIF($C$12:C2024,"x")</f>
        <v>151</v>
      </c>
      <c r="B2024" s="1455" t="s">
        <v>417</v>
      </c>
      <c r="C2024" s="970" t="str">
        <f t="shared" si="360"/>
        <v xml:space="preserve"> </v>
      </c>
      <c r="D2024" s="1415">
        <f>D2022</f>
        <v>0</v>
      </c>
      <c r="E2024" s="980"/>
      <c r="F2024" s="992" t="str">
        <f>VLOOKUP($B2024,DG!A:D,DG!$C$2,)</f>
        <v>Boulon mắt 16x300+ 2 long đền vuông D18-50x50x3/Zn</v>
      </c>
      <c r="G2024" s="980" t="s">
        <v>2439</v>
      </c>
      <c r="H2024" s="1693">
        <f>$D2024</f>
        <v>0</v>
      </c>
      <c r="I2024" s="1693"/>
      <c r="J2024" s="1693"/>
      <c r="K2024" s="1693">
        <f>D2024*0</f>
        <v>0</v>
      </c>
      <c r="L2024" s="1693"/>
      <c r="M2024" s="1693"/>
      <c r="N2024" s="1693"/>
      <c r="O2024" s="1693"/>
      <c r="P2024" s="1693">
        <f t="shared" si="363"/>
        <v>0</v>
      </c>
      <c r="Q2024" s="989"/>
      <c r="R2024" s="989"/>
      <c r="S2024" s="989"/>
      <c r="T2024" s="1862">
        <f>IFERROR(HLOOKUP(B2024,pp1p!$1:$3,3,0),0)</f>
        <v>0</v>
      </c>
    </row>
    <row r="2025" spans="1:20" ht="22.2" hidden="1" customHeight="1">
      <c r="A2025" s="1448">
        <f>COUNTIF($C$12:C2025,"x")</f>
        <v>151</v>
      </c>
      <c r="B2025" s="1455" t="s">
        <v>1579</v>
      </c>
      <c r="C2025" s="970" t="str">
        <f t="shared" si="360"/>
        <v xml:space="preserve"> </v>
      </c>
      <c r="D2025" s="1415">
        <f>D2021</f>
        <v>0</v>
      </c>
      <c r="E2025" s="980"/>
      <c r="F2025" s="992" t="str">
        <f>VLOOKUP($B2025,DG!A:D,DG!$C$2,)</f>
        <v>Kẹp ép WR cỡ dây 50mm2</v>
      </c>
      <c r="G2025" s="980" t="s">
        <v>2555</v>
      </c>
      <c r="H2025" s="1693">
        <f>$D2025</f>
        <v>0</v>
      </c>
      <c r="I2025" s="1693"/>
      <c r="J2025" s="1693"/>
      <c r="K2025" s="1693">
        <f>D2025*0</f>
        <v>0</v>
      </c>
      <c r="L2025" s="1693"/>
      <c r="M2025" s="1693"/>
      <c r="N2025" s="1693"/>
      <c r="O2025" s="1693"/>
      <c r="P2025" s="1693">
        <f t="shared" si="363"/>
        <v>0</v>
      </c>
      <c r="Q2025" s="989"/>
      <c r="R2025" s="989"/>
      <c r="S2025" s="989"/>
      <c r="T2025" s="1862">
        <f>IFERROR(HLOOKUP(B2025,pp1p!$1:$3,3,0),0)</f>
        <v>0</v>
      </c>
    </row>
    <row r="2026" spans="1:20" ht="22.2" hidden="1" customHeight="1">
      <c r="A2026" s="1448">
        <f>COUNTIF($C$12:C2026,"x")</f>
        <v>151</v>
      </c>
      <c r="B2026" s="1472" t="s">
        <v>2504</v>
      </c>
      <c r="C2026" s="970" t="str">
        <f t="shared" si="360"/>
        <v xml:space="preserve"> </v>
      </c>
      <c r="D2026" s="1428">
        <f>pp1p!BS94</f>
        <v>0</v>
      </c>
      <c r="E2026" s="980"/>
      <c r="F2026" s="998" t="s">
        <v>2505</v>
      </c>
      <c r="G2026" s="999" t="s">
        <v>2439</v>
      </c>
      <c r="H2026" s="1693">
        <f t="shared" ref="H2026:H2042" si="366">D2026</f>
        <v>0</v>
      </c>
      <c r="I2026" s="1693"/>
      <c r="J2026" s="1693"/>
      <c r="K2026" s="1693"/>
      <c r="L2026" s="1692">
        <f>IFERROR(HLOOKUP(chitiet!B2026,pp1p!$1:$3,2,0),0)</f>
        <v>0</v>
      </c>
      <c r="M2026" s="1693"/>
      <c r="N2026" s="1693"/>
      <c r="O2026" s="1693"/>
      <c r="P2026" s="1693">
        <f t="shared" si="363"/>
        <v>0</v>
      </c>
      <c r="Q2026" s="989"/>
      <c r="R2026" s="989"/>
      <c r="S2026" s="989"/>
      <c r="T2026" s="1862">
        <f>IFERROR(HLOOKUP(B2026,pp1p!$1:$3,3,0),0)</f>
        <v>0</v>
      </c>
    </row>
    <row r="2027" spans="1:20" ht="22.2" hidden="1" customHeight="1">
      <c r="A2027" s="1448">
        <f>COUNTIF($C$12:C2027,"x")</f>
        <v>151</v>
      </c>
      <c r="B2027" s="1455" t="s">
        <v>696</v>
      </c>
      <c r="C2027" s="970" t="str">
        <f t="shared" si="360"/>
        <v xml:space="preserve"> </v>
      </c>
      <c r="D2027" s="1415">
        <f>D2026</f>
        <v>0</v>
      </c>
      <c r="E2027" s="980"/>
      <c r="F2027" s="992" t="str">
        <f>VLOOKUP($B2027,DG!A:D,DG!$C$2,)</f>
        <v xml:space="preserve">Sứ đứng 24KV </v>
      </c>
      <c r="G2027" s="980" t="str">
        <f>VLOOKUP($B2027,DG!A:D,DG!$D$2,)</f>
        <v>cái</v>
      </c>
      <c r="H2027" s="1693">
        <f t="shared" si="366"/>
        <v>0</v>
      </c>
      <c r="I2027" s="1693"/>
      <c r="J2027" s="1693"/>
      <c r="K2027" s="1693"/>
      <c r="L2027" s="1693">
        <f t="shared" si="365"/>
        <v>0</v>
      </c>
      <c r="M2027" s="1693"/>
      <c r="N2027" s="1693"/>
      <c r="O2027" s="1693"/>
      <c r="P2027" s="1693">
        <f t="shared" si="363"/>
        <v>0</v>
      </c>
      <c r="Q2027" s="989"/>
      <c r="R2027" s="989"/>
      <c r="S2027" s="989"/>
      <c r="T2027" s="1862">
        <f>IFERROR(HLOOKUP(B2027,pp1p!$1:$3,3,0),0)</f>
        <v>0</v>
      </c>
    </row>
    <row r="2028" spans="1:20" ht="22.2" hidden="1" customHeight="1">
      <c r="A2028" s="1448">
        <f>COUNTIF($C$12:C2028,"x")</f>
        <v>151</v>
      </c>
      <c r="B2028" s="1455" t="s">
        <v>1265</v>
      </c>
      <c r="C2028" s="970" t="str">
        <f t="shared" si="360"/>
        <v xml:space="preserve"> </v>
      </c>
      <c r="D2028" s="1415">
        <f>D2026</f>
        <v>0</v>
      </c>
      <c r="E2028" s="980"/>
      <c r="F2028" s="992" t="str">
        <f>VLOOKUP($B2028,DG!A:D,DG!$C$2,)</f>
        <v>Chân sứ đứng D20</v>
      </c>
      <c r="G2028" s="980" t="str">
        <f>VLOOKUP($B2028,DG!A:D,DG!$D$2,)</f>
        <v>cái</v>
      </c>
      <c r="H2028" s="1693">
        <f t="shared" si="366"/>
        <v>0</v>
      </c>
      <c r="I2028" s="1693"/>
      <c r="J2028" s="1693"/>
      <c r="K2028" s="1693"/>
      <c r="L2028" s="1693">
        <f t="shared" si="365"/>
        <v>0</v>
      </c>
      <c r="M2028" s="1693"/>
      <c r="N2028" s="1693"/>
      <c r="O2028" s="1693"/>
      <c r="P2028" s="1693">
        <f t="shared" si="363"/>
        <v>0</v>
      </c>
      <c r="Q2028" s="989"/>
      <c r="R2028" s="989"/>
      <c r="S2028" s="989"/>
      <c r="T2028" s="1862">
        <f>IFERROR(HLOOKUP(B2028,pp1p!$1:$3,3,0),0)</f>
        <v>0</v>
      </c>
    </row>
    <row r="2029" spans="1:20" ht="22.2" hidden="1" customHeight="1">
      <c r="A2029" s="1448">
        <f>COUNTIF($C$12:C2029,"x")</f>
        <v>151</v>
      </c>
      <c r="B2029" s="1472" t="s">
        <v>2506</v>
      </c>
      <c r="C2029" s="970" t="str">
        <f t="shared" si="360"/>
        <v xml:space="preserve"> </v>
      </c>
      <c r="D2029" s="1428">
        <f>pp1p!BO94</f>
        <v>0</v>
      </c>
      <c r="E2029" s="980"/>
      <c r="F2029" s="998" t="s">
        <v>2507</v>
      </c>
      <c r="G2029" s="999" t="s">
        <v>2439</v>
      </c>
      <c r="H2029" s="1693">
        <f t="shared" si="366"/>
        <v>0</v>
      </c>
      <c r="I2029" s="1693"/>
      <c r="J2029" s="1693"/>
      <c r="K2029" s="1693"/>
      <c r="L2029" s="1692">
        <f>IFERROR(HLOOKUP(chitiet!B2029,pp1p!$1:$3,2,0),0)</f>
        <v>0</v>
      </c>
      <c r="M2029" s="1693"/>
      <c r="N2029" s="1693"/>
      <c r="O2029" s="1693"/>
      <c r="P2029" s="1693">
        <f t="shared" si="363"/>
        <v>0</v>
      </c>
      <c r="Q2029" s="989"/>
      <c r="R2029" s="989"/>
      <c r="S2029" s="989"/>
      <c r="T2029" s="1862">
        <f>IFERROR(HLOOKUP(B2029,pp1p!$1:$3,3,0),0)</f>
        <v>0</v>
      </c>
    </row>
    <row r="2030" spans="1:20" ht="22.2" hidden="1" customHeight="1">
      <c r="A2030" s="1448">
        <f>COUNTIF($C$12:C2030,"x")</f>
        <v>151</v>
      </c>
      <c r="B2030" s="1455" t="s">
        <v>696</v>
      </c>
      <c r="C2030" s="970" t="str">
        <f t="shared" si="360"/>
        <v xml:space="preserve"> </v>
      </c>
      <c r="D2030" s="1415">
        <f>D2029</f>
        <v>0</v>
      </c>
      <c r="E2030" s="980"/>
      <c r="F2030" s="992" t="str">
        <f>VLOOKUP($B2030,DG!A:D,DG!$C$2,)</f>
        <v xml:space="preserve">Sứ đứng 24KV </v>
      </c>
      <c r="G2030" s="980" t="str">
        <f>VLOOKUP($B2030,DG!A:D,DG!$D$2,)</f>
        <v>cái</v>
      </c>
      <c r="H2030" s="1693">
        <f t="shared" si="366"/>
        <v>0</v>
      </c>
      <c r="I2030" s="1693"/>
      <c r="J2030" s="1693"/>
      <c r="K2030" s="1693"/>
      <c r="L2030" s="1693">
        <f t="shared" si="365"/>
        <v>0</v>
      </c>
      <c r="M2030" s="1693"/>
      <c r="N2030" s="1693"/>
      <c r="O2030" s="1693"/>
      <c r="P2030" s="1693">
        <f t="shared" si="363"/>
        <v>0</v>
      </c>
      <c r="Q2030" s="989"/>
      <c r="R2030" s="989"/>
      <c r="S2030" s="989"/>
      <c r="T2030" s="1862">
        <f>IFERROR(HLOOKUP(B2030,pp1p!$1:$3,3,0),0)</f>
        <v>0</v>
      </c>
    </row>
    <row r="2031" spans="1:20" ht="22.2" hidden="1" customHeight="1">
      <c r="A2031" s="1448">
        <f>COUNTIF($C$12:C2031,"x")</f>
        <v>151</v>
      </c>
      <c r="B2031" s="1455" t="s">
        <v>1266</v>
      </c>
      <c r="C2031" s="970" t="str">
        <f t="shared" si="360"/>
        <v xml:space="preserve"> </v>
      </c>
      <c r="D2031" s="1415">
        <f>D2029</f>
        <v>0</v>
      </c>
      <c r="E2031" s="980"/>
      <c r="F2031" s="992" t="str">
        <f>VLOOKUP($B2031,DG!A:D,DG!$C$2,)</f>
        <v>Chân sứ đỉnh thẳng dài 870mm</v>
      </c>
      <c r="G2031" s="980" t="str">
        <f>VLOOKUP($B2031,DG!A:D,DG!$D$2,)</f>
        <v>cái</v>
      </c>
      <c r="H2031" s="1693">
        <f t="shared" si="366"/>
        <v>0</v>
      </c>
      <c r="I2031" s="1693"/>
      <c r="J2031" s="1693"/>
      <c r="K2031" s="1693"/>
      <c r="L2031" s="1693">
        <f t="shared" si="365"/>
        <v>0</v>
      </c>
      <c r="M2031" s="1693"/>
      <c r="N2031" s="1693"/>
      <c r="O2031" s="1693"/>
      <c r="P2031" s="1693">
        <f t="shared" si="363"/>
        <v>0</v>
      </c>
      <c r="Q2031" s="989"/>
      <c r="R2031" s="989"/>
      <c r="S2031" s="989"/>
      <c r="T2031" s="1862">
        <f>IFERROR(HLOOKUP(B2031,pp1p!$1:$3,3,0),0)</f>
        <v>0</v>
      </c>
    </row>
    <row r="2032" spans="1:20" ht="22.2" hidden="1" customHeight="1">
      <c r="A2032" s="1448">
        <f>COUNTIF($C$12:C2032,"x")</f>
        <v>151</v>
      </c>
      <c r="B2032" s="1455" t="s">
        <v>1610</v>
      </c>
      <c r="C2032" s="970" t="str">
        <f t="shared" si="360"/>
        <v xml:space="preserve"> </v>
      </c>
      <c r="D2032" s="1415">
        <f>D2029*2</f>
        <v>0</v>
      </c>
      <c r="E2032" s="980"/>
      <c r="F2032" s="992" t="str">
        <f>VLOOKUP($B2032,DG!A:D,DG!$C$2,)</f>
        <v>Boulon 16x300+ 2 long đền vuông D18-50x50x3/Zn</v>
      </c>
      <c r="G2032" s="980" t="str">
        <f>VLOOKUP($B2032,DG!A:D,DG!$D$2,)</f>
        <v>bộ</v>
      </c>
      <c r="H2032" s="1693">
        <f t="shared" si="366"/>
        <v>0</v>
      </c>
      <c r="I2032" s="1693"/>
      <c r="J2032" s="1693"/>
      <c r="K2032" s="1693"/>
      <c r="L2032" s="1693">
        <f t="shared" si="365"/>
        <v>0</v>
      </c>
      <c r="M2032" s="1693"/>
      <c r="N2032" s="1693"/>
      <c r="O2032" s="1693"/>
      <c r="P2032" s="1693">
        <f t="shared" si="363"/>
        <v>0</v>
      </c>
      <c r="Q2032" s="989"/>
      <c r="R2032" s="989"/>
      <c r="S2032" s="989"/>
      <c r="T2032" s="1862">
        <f>IFERROR(HLOOKUP(B2032,pp1p!$1:$3,3,0),0)</f>
        <v>0</v>
      </c>
    </row>
    <row r="2033" spans="1:20" ht="22.2" hidden="1" customHeight="1">
      <c r="A2033" s="1448">
        <f>COUNTIF($C$12:C2033,"x")</f>
        <v>151</v>
      </c>
      <c r="B2033" s="1474" t="s">
        <v>2508</v>
      </c>
      <c r="C2033" s="970" t="str">
        <f t="shared" si="360"/>
        <v xml:space="preserve"> </v>
      </c>
      <c r="D2033" s="1429">
        <f>pp1p!BP94</f>
        <v>0</v>
      </c>
      <c r="E2033" s="984"/>
      <c r="F2033" s="998" t="s">
        <v>2509</v>
      </c>
      <c r="G2033" s="1216" t="s">
        <v>2439</v>
      </c>
      <c r="H2033" s="1694">
        <f t="shared" si="366"/>
        <v>0</v>
      </c>
      <c r="I2033" s="1694"/>
      <c r="J2033" s="1694"/>
      <c r="K2033" s="1693"/>
      <c r="L2033" s="1692">
        <f>IFERROR(HLOOKUP(chitiet!B2033,pp1p!$1:$3,2,0),0)</f>
        <v>0</v>
      </c>
      <c r="M2033" s="1694"/>
      <c r="N2033" s="1694"/>
      <c r="O2033" s="1694"/>
      <c r="P2033" s="1693">
        <f t="shared" si="363"/>
        <v>0</v>
      </c>
      <c r="Q2033" s="988"/>
      <c r="R2033" s="988"/>
      <c r="S2033" s="988"/>
      <c r="T2033" s="1862">
        <f>IFERROR(HLOOKUP(B2033,pp1p!$1:$3,3,0),0)</f>
        <v>0</v>
      </c>
    </row>
    <row r="2034" spans="1:20" ht="22.2" hidden="1" customHeight="1">
      <c r="A2034" s="1448">
        <f>COUNTIF($C$12:C2034,"x")</f>
        <v>151</v>
      </c>
      <c r="B2034" s="1455" t="s">
        <v>696</v>
      </c>
      <c r="C2034" s="970" t="str">
        <f t="shared" ref="C2034:C2099" si="367">IF(OR(P2034&lt;&gt;0,H2034&lt;&gt;0),"x"," ")</f>
        <v xml:space="preserve"> </v>
      </c>
      <c r="D2034" s="1418">
        <f>D2033*2</f>
        <v>0</v>
      </c>
      <c r="E2034" s="984"/>
      <c r="F2034" s="992" t="str">
        <f>VLOOKUP($B2034,DG!A:D,DG!$C$2,)</f>
        <v xml:space="preserve">Sứ đứng 24KV </v>
      </c>
      <c r="G2034" s="980" t="str">
        <f>VLOOKUP($B2034,DG!A:D,DG!$D$2,)</f>
        <v>cái</v>
      </c>
      <c r="H2034" s="1694">
        <f t="shared" si="366"/>
        <v>0</v>
      </c>
      <c r="I2034" s="1694"/>
      <c r="J2034" s="1694"/>
      <c r="K2034" s="1693"/>
      <c r="L2034" s="1693">
        <f t="shared" si="365"/>
        <v>0</v>
      </c>
      <c r="M2034" s="1694"/>
      <c r="N2034" s="1694"/>
      <c r="O2034" s="1694"/>
      <c r="P2034" s="1693">
        <f t="shared" si="363"/>
        <v>0</v>
      </c>
      <c r="Q2034" s="988"/>
      <c r="R2034" s="988"/>
      <c r="S2034" s="988"/>
      <c r="T2034" s="1862">
        <f>IFERROR(HLOOKUP(B2034,pp1p!$1:$3,3,0),0)</f>
        <v>0</v>
      </c>
    </row>
    <row r="2035" spans="1:20" ht="22.2" hidden="1" customHeight="1">
      <c r="A2035" s="1448">
        <f>COUNTIF($C$12:C2035,"x")</f>
        <v>151</v>
      </c>
      <c r="B2035" s="1455" t="s">
        <v>590</v>
      </c>
      <c r="C2035" s="970" t="str">
        <f t="shared" si="367"/>
        <v xml:space="preserve"> </v>
      </c>
      <c r="D2035" s="1418">
        <f>D2033*2</f>
        <v>0</v>
      </c>
      <c r="E2035" s="984"/>
      <c r="F2035" s="992" t="str">
        <f>VLOOKUP($B2035,DG!A:D,DG!$C$2,)</f>
        <v>Chân sứ đỉnh đỡ góc dài 870mm</v>
      </c>
      <c r="G2035" s="980" t="str">
        <f>VLOOKUP($B2035,DG!A:D,DG!$D$2,)</f>
        <v>cái</v>
      </c>
      <c r="H2035" s="1694">
        <f t="shared" si="366"/>
        <v>0</v>
      </c>
      <c r="I2035" s="1694"/>
      <c r="J2035" s="1694"/>
      <c r="K2035" s="1693"/>
      <c r="L2035" s="1693">
        <f t="shared" si="365"/>
        <v>0</v>
      </c>
      <c r="M2035" s="1694"/>
      <c r="N2035" s="1694"/>
      <c r="O2035" s="1694"/>
      <c r="P2035" s="1693">
        <f t="shared" si="363"/>
        <v>0</v>
      </c>
      <c r="Q2035" s="988"/>
      <c r="R2035" s="988"/>
      <c r="S2035" s="988"/>
      <c r="T2035" s="1862">
        <f>IFERROR(HLOOKUP(B2035,pp1p!$1:$3,3,0),0)</f>
        <v>0</v>
      </c>
    </row>
    <row r="2036" spans="1:20" ht="22.2" hidden="1" customHeight="1">
      <c r="A2036" s="1448">
        <f>COUNTIF($C$12:C2036,"x")</f>
        <v>151</v>
      </c>
      <c r="B2036" s="1455" t="s">
        <v>1610</v>
      </c>
      <c r="C2036" s="970" t="str">
        <f t="shared" si="367"/>
        <v xml:space="preserve"> </v>
      </c>
      <c r="D2036" s="1418">
        <f>D2033*2</f>
        <v>0</v>
      </c>
      <c r="E2036" s="984"/>
      <c r="F2036" s="992" t="str">
        <f>VLOOKUP($B2036,DG!A:D,DG!$C$2,)</f>
        <v>Boulon 16x300+ 2 long đền vuông D18-50x50x3/Zn</v>
      </c>
      <c r="G2036" s="980" t="str">
        <f>VLOOKUP($B2036,DG!A:D,DG!$D$2,)</f>
        <v>bộ</v>
      </c>
      <c r="H2036" s="1694">
        <f t="shared" si="366"/>
        <v>0</v>
      </c>
      <c r="I2036" s="1694"/>
      <c r="J2036" s="1694"/>
      <c r="K2036" s="1693"/>
      <c r="L2036" s="1693">
        <f t="shared" si="365"/>
        <v>0</v>
      </c>
      <c r="M2036" s="1694"/>
      <c r="N2036" s="1694"/>
      <c r="O2036" s="1694"/>
      <c r="P2036" s="1693">
        <f t="shared" si="363"/>
        <v>0</v>
      </c>
      <c r="Q2036" s="988"/>
      <c r="R2036" s="988"/>
      <c r="S2036" s="988"/>
      <c r="T2036" s="1862">
        <f>IFERROR(HLOOKUP(B2036,pp1p!$1:$3,3,0),0)</f>
        <v>0</v>
      </c>
    </row>
    <row r="2037" spans="1:20" ht="22.2" hidden="1" customHeight="1">
      <c r="A2037" s="1448">
        <f>COUNTIF($C$12:C2037,"x")</f>
        <v>151</v>
      </c>
      <c r="B2037" s="1472" t="s">
        <v>2510</v>
      </c>
      <c r="C2037" s="970" t="str">
        <f t="shared" si="367"/>
        <v xml:space="preserve"> </v>
      </c>
      <c r="D2037" s="1428">
        <f>pp1p!BV94</f>
        <v>0</v>
      </c>
      <c r="E2037" s="980"/>
      <c r="F2037" s="998" t="s">
        <v>2511</v>
      </c>
      <c r="G2037" s="999" t="s">
        <v>2512</v>
      </c>
      <c r="H2037" s="1693">
        <f t="shared" si="366"/>
        <v>0</v>
      </c>
      <c r="I2037" s="1693"/>
      <c r="J2037" s="1693"/>
      <c r="K2037" s="1693"/>
      <c r="L2037" s="1692">
        <f>IFERROR(HLOOKUP(chitiet!B2037,pp1p!$1:$3,2,0),0)</f>
        <v>0</v>
      </c>
      <c r="M2037" s="1693"/>
      <c r="N2037" s="1693"/>
      <c r="O2037" s="1693"/>
      <c r="P2037" s="1693">
        <f t="shared" si="363"/>
        <v>0</v>
      </c>
      <c r="Q2037" s="989"/>
      <c r="R2037" s="989"/>
      <c r="S2037" s="989"/>
      <c r="T2037" s="1862">
        <f>IFERROR(HLOOKUP(B2037,pp1p!$1:$3,3,0),0)</f>
        <v>0</v>
      </c>
    </row>
    <row r="2038" spans="1:20" ht="22.2" hidden="1" customHeight="1">
      <c r="A2038" s="1448">
        <f>COUNTIF($C$12:C2038,"x")</f>
        <v>151</v>
      </c>
      <c r="B2038" s="1455" t="s">
        <v>1267</v>
      </c>
      <c r="C2038" s="970" t="str">
        <f t="shared" si="367"/>
        <v xml:space="preserve"> </v>
      </c>
      <c r="D2038" s="1415">
        <f>D2037*2</f>
        <v>0</v>
      </c>
      <c r="E2038" s="980"/>
      <c r="F2038" s="992" t="str">
        <f>VLOOKUP($B2038,DG!A:D,DG!$C$2,)</f>
        <v>Sứ treo loại 70kN</v>
      </c>
      <c r="G2038" s="980" t="str">
        <f>VLOOKUP($B2038,DG!A:D,DG!$D$2,)</f>
        <v>bát</v>
      </c>
      <c r="H2038" s="1693">
        <f t="shared" si="366"/>
        <v>0</v>
      </c>
      <c r="I2038" s="1693"/>
      <c r="J2038" s="1693"/>
      <c r="K2038" s="1693"/>
      <c r="L2038" s="1693">
        <f t="shared" si="365"/>
        <v>0</v>
      </c>
      <c r="M2038" s="1693"/>
      <c r="N2038" s="1693"/>
      <c r="O2038" s="1693"/>
      <c r="P2038" s="1693">
        <f t="shared" si="363"/>
        <v>0</v>
      </c>
      <c r="Q2038" s="989"/>
      <c r="R2038" s="989"/>
      <c r="S2038" s="989"/>
      <c r="T2038" s="1862">
        <f>IFERROR(HLOOKUP(B2038,pp1p!$1:$3,3,0),0)</f>
        <v>0</v>
      </c>
    </row>
    <row r="2039" spans="1:20" ht="22.2" hidden="1" customHeight="1">
      <c r="A2039" s="1448">
        <f>COUNTIF($C$12:C2039,"x")</f>
        <v>151</v>
      </c>
      <c r="B2039" s="1455" t="s">
        <v>1486</v>
      </c>
      <c r="C2039" s="970" t="str">
        <f t="shared" si="367"/>
        <v xml:space="preserve"> </v>
      </c>
      <c r="D2039" s="1415">
        <f>D2037*2</f>
        <v>0</v>
      </c>
      <c r="E2039" s="980"/>
      <c r="F2039" s="992" t="str">
        <f>VLOOKUP($B2039,DG!A:D,DG!$C$2,)</f>
        <v xml:space="preserve">Móc treo chữ U </v>
      </c>
      <c r="G2039" s="980" t="str">
        <f>VLOOKUP($B2039,DG!A:D,DG!$D$2,)</f>
        <v>cái</v>
      </c>
      <c r="H2039" s="1693">
        <f t="shared" si="366"/>
        <v>0</v>
      </c>
      <c r="I2039" s="1693"/>
      <c r="J2039" s="1693"/>
      <c r="K2039" s="1693"/>
      <c r="L2039" s="1693">
        <f t="shared" si="365"/>
        <v>0</v>
      </c>
      <c r="M2039" s="1693"/>
      <c r="N2039" s="1693"/>
      <c r="O2039" s="1693"/>
      <c r="P2039" s="1693">
        <f t="shared" si="363"/>
        <v>0</v>
      </c>
      <c r="Q2039" s="989"/>
      <c r="R2039" s="989"/>
      <c r="S2039" s="989"/>
      <c r="T2039" s="1862">
        <f>IFERROR(HLOOKUP(B2039,pp1p!$1:$3,3,0),0)</f>
        <v>0</v>
      </c>
    </row>
    <row r="2040" spans="1:20" ht="22.2" hidden="1" customHeight="1">
      <c r="A2040" s="1448">
        <f>COUNTIF($C$12:C2040,"x")</f>
        <v>151</v>
      </c>
      <c r="B2040" s="1455" t="s">
        <v>1569</v>
      </c>
      <c r="C2040" s="970" t="str">
        <f t="shared" si="367"/>
        <v xml:space="preserve"> </v>
      </c>
      <c r="D2040" s="1415">
        <f>D2037</f>
        <v>0</v>
      </c>
      <c r="E2040" s="980"/>
      <c r="F2040" s="992" t="str">
        <f>VLOOKUP($B2040,DG!A:D,DG!$C$2,)</f>
        <v>Vòng treo đầu tròn</v>
      </c>
      <c r="G2040" s="980" t="str">
        <f>VLOOKUP($B2040,DG!A:D,DG!$D$2,)</f>
        <v>cái</v>
      </c>
      <c r="H2040" s="1693">
        <f t="shared" si="366"/>
        <v>0</v>
      </c>
      <c r="I2040" s="1693"/>
      <c r="J2040" s="1693"/>
      <c r="K2040" s="1693"/>
      <c r="L2040" s="1693">
        <f t="shared" si="365"/>
        <v>0</v>
      </c>
      <c r="M2040" s="1693"/>
      <c r="N2040" s="1693"/>
      <c r="O2040" s="1693"/>
      <c r="P2040" s="1693">
        <f t="shared" si="363"/>
        <v>0</v>
      </c>
      <c r="Q2040" s="989"/>
      <c r="R2040" s="989"/>
      <c r="S2040" s="989"/>
      <c r="T2040" s="1862">
        <f>IFERROR(HLOOKUP(B2040,pp1p!$1:$3,3,0),0)</f>
        <v>0</v>
      </c>
    </row>
    <row r="2041" spans="1:20" ht="22.2" hidden="1" customHeight="1">
      <c r="A2041" s="1448">
        <f>COUNTIF($C$12:C2041,"x")</f>
        <v>151</v>
      </c>
      <c r="B2041" s="1455" t="s">
        <v>1484</v>
      </c>
      <c r="C2041" s="970" t="str">
        <f t="shared" si="367"/>
        <v xml:space="preserve"> </v>
      </c>
      <c r="D2041" s="1415">
        <f>D2037</f>
        <v>0</v>
      </c>
      <c r="E2041" s="980"/>
      <c r="F2041" s="992" t="str">
        <f>VLOOKUP($B2041,DG!A:D,DG!$C$2,)</f>
        <v>Mắt nối đơn</v>
      </c>
      <c r="G2041" s="980" t="str">
        <f>VLOOKUP($B2041,DG!A:D,DG!$D$2,)</f>
        <v>cái</v>
      </c>
      <c r="H2041" s="1693">
        <f t="shared" si="366"/>
        <v>0</v>
      </c>
      <c r="I2041" s="1693"/>
      <c r="J2041" s="1693"/>
      <c r="K2041" s="1693"/>
      <c r="L2041" s="1693">
        <f t="shared" si="365"/>
        <v>0</v>
      </c>
      <c r="M2041" s="1693"/>
      <c r="N2041" s="1693"/>
      <c r="O2041" s="1693"/>
      <c r="P2041" s="1693">
        <f t="shared" si="363"/>
        <v>0</v>
      </c>
      <c r="Q2041" s="989"/>
      <c r="R2041" s="989"/>
      <c r="S2041" s="989"/>
      <c r="T2041" s="1862">
        <f>IFERROR(HLOOKUP(B2041,pp1p!$1:$3,3,0),0)</f>
        <v>0</v>
      </c>
    </row>
    <row r="2042" spans="1:20" ht="22.2" hidden="1" customHeight="1">
      <c r="A2042" s="1448">
        <f>COUNTIF($C$12:C2042,"x")</f>
        <v>151</v>
      </c>
      <c r="B2042" s="1455" t="s">
        <v>1268</v>
      </c>
      <c r="C2042" s="970" t="str">
        <f t="shared" si="367"/>
        <v xml:space="preserve"> </v>
      </c>
      <c r="D2042" s="1415">
        <f>D2037</f>
        <v>0</v>
      </c>
      <c r="E2042" s="980"/>
      <c r="F2042" s="992" t="str">
        <f>VLOOKUP($B2042,DG!A:D,DG!$C$2,)</f>
        <v>Boulon mắt 16x300+ 2 long đền vuông D18-50x50x3/Zn</v>
      </c>
      <c r="G2042" s="980" t="str">
        <f>VLOOKUP($B2042,DG!A:D,DG!$D$2,)</f>
        <v>bộ</v>
      </c>
      <c r="H2042" s="1693">
        <f t="shared" si="366"/>
        <v>0</v>
      </c>
      <c r="I2042" s="1693"/>
      <c r="J2042" s="1693"/>
      <c r="K2042" s="1693"/>
      <c r="L2042" s="1693">
        <f t="shared" si="365"/>
        <v>0</v>
      </c>
      <c r="M2042" s="1693"/>
      <c r="N2042" s="1693"/>
      <c r="O2042" s="1693"/>
      <c r="P2042" s="1693">
        <f t="shared" si="363"/>
        <v>0</v>
      </c>
      <c r="Q2042" s="989"/>
      <c r="R2042" s="989"/>
      <c r="S2042" s="989"/>
      <c r="T2042" s="1862">
        <f>IFERROR(HLOOKUP(B2042,pp1p!$1:$3,3,0),0)</f>
        <v>0</v>
      </c>
    </row>
    <row r="2043" spans="1:20" ht="22.2" hidden="1" customHeight="1">
      <c r="A2043" s="1448">
        <f>COUNTIF($C$12:C2043,"x")</f>
        <v>151</v>
      </c>
      <c r="B2043" s="1472" t="s">
        <v>2540</v>
      </c>
      <c r="C2043" s="970" t="str">
        <f t="shared" si="367"/>
        <v xml:space="preserve"> </v>
      </c>
      <c r="D2043" s="1428">
        <f>pp1p!BT94</f>
        <v>0</v>
      </c>
      <c r="E2043" s="980"/>
      <c r="F2043" s="998" t="s">
        <v>2516</v>
      </c>
      <c r="G2043" s="980" t="s">
        <v>2512</v>
      </c>
      <c r="H2043" s="1693">
        <f>$D2043</f>
        <v>0</v>
      </c>
      <c r="I2043" s="1693"/>
      <c r="J2043" s="1693"/>
      <c r="K2043" s="1693">
        <f>D2043*0</f>
        <v>0</v>
      </c>
      <c r="L2043" s="1692">
        <f>IFERROR(HLOOKUP(chitiet!B2043,pp1p!$1:$3,2,0),0)</f>
        <v>0</v>
      </c>
      <c r="M2043" s="1693"/>
      <c r="N2043" s="1693"/>
      <c r="O2043" s="1693"/>
      <c r="P2043" s="1693">
        <f t="shared" si="363"/>
        <v>0</v>
      </c>
      <c r="Q2043" s="989"/>
      <c r="R2043" s="989"/>
      <c r="S2043" s="989"/>
      <c r="T2043" s="1862">
        <f>IFERROR(HLOOKUP(B2043,pp1p!$1:$3,3,0),0)</f>
        <v>0</v>
      </c>
    </row>
    <row r="2044" spans="1:20" ht="22.2" hidden="1" customHeight="1">
      <c r="A2044" s="1448">
        <f>COUNTIF($C$12:C2044,"x")</f>
        <v>151</v>
      </c>
      <c r="B2044" s="1455" t="s">
        <v>1506</v>
      </c>
      <c r="C2044" s="970" t="str">
        <f t="shared" si="367"/>
        <v xml:space="preserve"> </v>
      </c>
      <c r="D2044" s="1415">
        <f>D2043</f>
        <v>0</v>
      </c>
      <c r="E2044" s="980"/>
      <c r="F2044" s="992" t="str">
        <f>VLOOKUP($B2044,DG!A:D,DG!$C$2,)</f>
        <v>Sứ treo polymer</v>
      </c>
      <c r="G2044" s="980" t="s">
        <v>2512</v>
      </c>
      <c r="H2044" s="1693">
        <f>$D2044</f>
        <v>0</v>
      </c>
      <c r="I2044" s="1693"/>
      <c r="J2044" s="1693"/>
      <c r="K2044" s="1693">
        <f>D2044*0</f>
        <v>0</v>
      </c>
      <c r="L2044" s="1693">
        <f t="shared" si="365"/>
        <v>0</v>
      </c>
      <c r="M2044" s="1693"/>
      <c r="N2044" s="1693"/>
      <c r="O2044" s="1693"/>
      <c r="P2044" s="1693">
        <f t="shared" si="363"/>
        <v>0</v>
      </c>
      <c r="Q2044" s="989"/>
      <c r="R2044" s="989"/>
      <c r="S2044" s="989"/>
      <c r="T2044" s="1862">
        <f>IFERROR(HLOOKUP(B2044,pp1p!$1:$3,3,0),0)</f>
        <v>0</v>
      </c>
    </row>
    <row r="2045" spans="1:20" ht="22.2" hidden="1" customHeight="1">
      <c r="A2045" s="1448">
        <f>COUNTIF($C$12:C2045,"x")</f>
        <v>151</v>
      </c>
      <c r="B2045" s="1455" t="s">
        <v>1486</v>
      </c>
      <c r="C2045" s="970" t="str">
        <f t="shared" si="367"/>
        <v xml:space="preserve"> </v>
      </c>
      <c r="D2045" s="1415">
        <f>D2043*2</f>
        <v>0</v>
      </c>
      <c r="E2045" s="980"/>
      <c r="F2045" s="992" t="str">
        <f>VLOOKUP($B2045,DG!A:D,DG!$C$2,)</f>
        <v xml:space="preserve">Móc treo chữ U </v>
      </c>
      <c r="G2045" s="980" t="s">
        <v>2555</v>
      </c>
      <c r="H2045" s="1693">
        <f>$D2045</f>
        <v>0</v>
      </c>
      <c r="I2045" s="1693"/>
      <c r="J2045" s="1693"/>
      <c r="K2045" s="1693">
        <f>D2045*0</f>
        <v>0</v>
      </c>
      <c r="L2045" s="1693">
        <f t="shared" si="365"/>
        <v>0</v>
      </c>
      <c r="M2045" s="1693"/>
      <c r="N2045" s="1693"/>
      <c r="O2045" s="1693"/>
      <c r="P2045" s="1693">
        <f t="shared" si="363"/>
        <v>0</v>
      </c>
      <c r="Q2045" s="989"/>
      <c r="R2045" s="989"/>
      <c r="S2045" s="989"/>
      <c r="T2045" s="1862">
        <f>IFERROR(HLOOKUP(B2045,pp1p!$1:$3,3,0),0)</f>
        <v>0</v>
      </c>
    </row>
    <row r="2046" spans="1:20" ht="22.2" hidden="1" customHeight="1">
      <c r="A2046" s="1448">
        <f>COUNTIF($C$12:C2046,"x")</f>
        <v>151</v>
      </c>
      <c r="B2046" s="1455" t="s">
        <v>385</v>
      </c>
      <c r="C2046" s="970" t="str">
        <f t="shared" si="367"/>
        <v xml:space="preserve"> </v>
      </c>
      <c r="D2046" s="1415">
        <f>D2043</f>
        <v>0</v>
      </c>
      <c r="E2046" s="980"/>
      <c r="F2046" s="992" t="str">
        <f>VLOOKUP($B2046,DG!A:D,DG!$C$2,)</f>
        <v>Khóa néo dây cỡ dây 185</v>
      </c>
      <c r="G2046" s="980" t="str">
        <f>VLOOKUP($B2046,DG!A:D,DG!$D$2,)</f>
        <v>cái</v>
      </c>
      <c r="H2046" s="1693">
        <f>D2046</f>
        <v>0</v>
      </c>
      <c r="I2046" s="1693"/>
      <c r="J2046" s="1693"/>
      <c r="K2046" s="1693"/>
      <c r="L2046" s="1693">
        <f t="shared" si="365"/>
        <v>0</v>
      </c>
      <c r="M2046" s="1693"/>
      <c r="N2046" s="1693"/>
      <c r="O2046" s="1693"/>
      <c r="P2046" s="1693">
        <f t="shared" si="363"/>
        <v>0</v>
      </c>
      <c r="Q2046" s="989"/>
      <c r="R2046" s="989"/>
      <c r="S2046" s="989"/>
      <c r="T2046" s="1862">
        <f>IFERROR(HLOOKUP(B2046,pp1p!$1:$3,3,0),0)</f>
        <v>0</v>
      </c>
    </row>
    <row r="2047" spans="1:20" ht="22.2" hidden="1" customHeight="1">
      <c r="A2047" s="1448">
        <f>COUNTIF($C$12:C2047,"x")</f>
        <v>151</v>
      </c>
      <c r="B2047" s="1472" t="s">
        <v>2541</v>
      </c>
      <c r="C2047" s="970" t="str">
        <f t="shared" si="367"/>
        <v xml:space="preserve"> </v>
      </c>
      <c r="D2047" s="1428">
        <f>pp1p!BU94</f>
        <v>0</v>
      </c>
      <c r="E2047" s="980"/>
      <c r="F2047" s="998" t="s">
        <v>2556</v>
      </c>
      <c r="G2047" s="980" t="s">
        <v>2512</v>
      </c>
      <c r="H2047" s="1693">
        <f>$D2047</f>
        <v>0</v>
      </c>
      <c r="I2047" s="1693"/>
      <c r="J2047" s="1693"/>
      <c r="K2047" s="1693"/>
      <c r="L2047" s="1692">
        <f>IFERROR(HLOOKUP(chitiet!B2047,pp1p!$1:$3,2,0),0)</f>
        <v>0</v>
      </c>
      <c r="M2047" s="1693"/>
      <c r="N2047" s="1693"/>
      <c r="O2047" s="1693"/>
      <c r="P2047" s="1693">
        <f t="shared" si="363"/>
        <v>0</v>
      </c>
      <c r="Q2047" s="989"/>
      <c r="R2047" s="989"/>
      <c r="S2047" s="989"/>
      <c r="T2047" s="1862">
        <f>IFERROR(HLOOKUP(B2047,pp1p!$1:$3,3,0),0)</f>
        <v>0</v>
      </c>
    </row>
    <row r="2048" spans="1:20" ht="22.2" hidden="1" customHeight="1">
      <c r="A2048" s="1448">
        <f>COUNTIF($C$12:C2048,"x")</f>
        <v>151</v>
      </c>
      <c r="B2048" s="1455" t="s">
        <v>1506</v>
      </c>
      <c r="C2048" s="970" t="str">
        <f t="shared" si="367"/>
        <v xml:space="preserve"> </v>
      </c>
      <c r="D2048" s="1415">
        <f>D2047</f>
        <v>0</v>
      </c>
      <c r="E2048" s="980"/>
      <c r="F2048" s="992" t="str">
        <f>VLOOKUP($B2048,DG!A:D,DG!$C$2,)</f>
        <v>Sứ treo polymer</v>
      </c>
      <c r="G2048" s="980" t="s">
        <v>2512</v>
      </c>
      <c r="H2048" s="1693">
        <f>$D2048</f>
        <v>0</v>
      </c>
      <c r="I2048" s="1693"/>
      <c r="J2048" s="1693"/>
      <c r="K2048" s="1693"/>
      <c r="L2048" s="1693">
        <f t="shared" si="365"/>
        <v>0</v>
      </c>
      <c r="M2048" s="1693"/>
      <c r="N2048" s="1693"/>
      <c r="O2048" s="1693"/>
      <c r="P2048" s="1693">
        <f t="shared" si="363"/>
        <v>0</v>
      </c>
      <c r="Q2048" s="989"/>
      <c r="R2048" s="989"/>
      <c r="S2048" s="989"/>
      <c r="T2048" s="1862">
        <f>IFERROR(HLOOKUP(B2048,pp1p!$1:$3,3,0),0)</f>
        <v>0</v>
      </c>
    </row>
    <row r="2049" spans="1:20" ht="22.2" hidden="1" customHeight="1">
      <c r="A2049" s="1448">
        <f>COUNTIF($C$12:C2049,"x")</f>
        <v>151</v>
      </c>
      <c r="B2049" s="1455" t="s">
        <v>1482</v>
      </c>
      <c r="C2049" s="970" t="str">
        <f t="shared" si="367"/>
        <v xml:space="preserve"> </v>
      </c>
      <c r="D2049" s="1415">
        <f>D2048</f>
        <v>0</v>
      </c>
      <c r="E2049" s="980"/>
      <c r="F2049" s="992" t="str">
        <f>VLOOKUP($B2049,DG!A:D,DG!$C$2,)</f>
        <v>Khóa néo dây cỡ dây 50</v>
      </c>
      <c r="G2049" s="980" t="s">
        <v>2512</v>
      </c>
      <c r="H2049" s="1693">
        <f>$D2049</f>
        <v>0</v>
      </c>
      <c r="I2049" s="1693"/>
      <c r="J2049" s="1693"/>
      <c r="K2049" s="1693"/>
      <c r="L2049" s="1693">
        <f t="shared" si="365"/>
        <v>0</v>
      </c>
      <c r="M2049" s="1693"/>
      <c r="N2049" s="1693"/>
      <c r="O2049" s="1693"/>
      <c r="P2049" s="1693">
        <f t="shared" si="363"/>
        <v>0</v>
      </c>
      <c r="Q2049" s="989"/>
      <c r="R2049" s="989"/>
      <c r="S2049" s="989"/>
      <c r="T2049" s="1862">
        <f>IFERROR(HLOOKUP(B2049,pp1p!$1:$3,3,0),0)</f>
        <v>0</v>
      </c>
    </row>
    <row r="2050" spans="1:20" ht="22.2" hidden="1" customHeight="1">
      <c r="A2050" s="1448">
        <f>COUNTIF($C$12:C2050,"x")</f>
        <v>151</v>
      </c>
      <c r="B2050" s="1455" t="s">
        <v>1486</v>
      </c>
      <c r="C2050" s="970" t="str">
        <f t="shared" si="367"/>
        <v xml:space="preserve"> </v>
      </c>
      <c r="D2050" s="1415">
        <f>D2049*2</f>
        <v>0</v>
      </c>
      <c r="E2050" s="980"/>
      <c r="F2050" s="992" t="str">
        <f>VLOOKUP($B2050,DG!A:D,DG!$C$2,)</f>
        <v xml:space="preserve">Móc treo chữ U </v>
      </c>
      <c r="G2050" s="980" t="s">
        <v>2555</v>
      </c>
      <c r="H2050" s="1693">
        <f>$D2050</f>
        <v>0</v>
      </c>
      <c r="I2050" s="1693"/>
      <c r="J2050" s="1693"/>
      <c r="K2050" s="1693"/>
      <c r="L2050" s="1693">
        <f t="shared" si="365"/>
        <v>0</v>
      </c>
      <c r="M2050" s="1693"/>
      <c r="N2050" s="1693"/>
      <c r="O2050" s="1693"/>
      <c r="P2050" s="1693">
        <f t="shared" si="363"/>
        <v>0</v>
      </c>
      <c r="Q2050" s="989"/>
      <c r="R2050" s="989"/>
      <c r="S2050" s="989"/>
      <c r="T2050" s="1862">
        <f>IFERROR(HLOOKUP(B2050,pp1p!$1:$3,3,0),0)</f>
        <v>0</v>
      </c>
    </row>
    <row r="2051" spans="1:20" ht="22.2" hidden="1" customHeight="1">
      <c r="A2051" s="1448">
        <f>COUNTIF($C$12:C2051,"x")</f>
        <v>151</v>
      </c>
      <c r="B2051" s="1455" t="s">
        <v>4495</v>
      </c>
      <c r="C2051" s="970" t="str">
        <f t="shared" si="367"/>
        <v xml:space="preserve"> </v>
      </c>
      <c r="D2051" s="1415">
        <f>D2047/2</f>
        <v>0</v>
      </c>
      <c r="E2051" s="980"/>
      <c r="F2051" s="992" t="str">
        <f>VLOOKUP($B2051,DG!A:D,DG!$C$2,)</f>
        <v>Khánh bắt sứ kép polymer</v>
      </c>
      <c r="G2051" s="980" t="s">
        <v>2555</v>
      </c>
      <c r="H2051" s="1693">
        <f>$D2051</f>
        <v>0</v>
      </c>
      <c r="I2051" s="1693"/>
      <c r="J2051" s="1693"/>
      <c r="K2051" s="1693"/>
      <c r="L2051" s="1693">
        <f>H2051</f>
        <v>0</v>
      </c>
      <c r="M2051" s="1693"/>
      <c r="N2051" s="1693"/>
      <c r="O2051" s="1693"/>
      <c r="P2051" s="1693">
        <f t="shared" si="363"/>
        <v>0</v>
      </c>
      <c r="Q2051" s="989"/>
      <c r="R2051" s="989"/>
      <c r="S2051" s="989"/>
      <c r="T2051" s="1862">
        <f>IFERROR(HLOOKUP(B2051,pp1p!$1:$3,3,0),0)</f>
        <v>0</v>
      </c>
    </row>
    <row r="2052" spans="1:20" ht="22.2" hidden="1" customHeight="1">
      <c r="A2052" s="1448">
        <f>COUNTIF($C$12:C2052,"x")</f>
        <v>151</v>
      </c>
      <c r="B2052" s="1455" t="s">
        <v>1268</v>
      </c>
      <c r="C2052" s="970" t="str">
        <f t="shared" si="367"/>
        <v xml:space="preserve"> </v>
      </c>
      <c r="D2052" s="1415">
        <f>D2049</f>
        <v>0</v>
      </c>
      <c r="E2052" s="980"/>
      <c r="F2052" s="992" t="str">
        <f>VLOOKUP($B2052,DG!A:D,DG!$C$2,)</f>
        <v>Boulon mắt 16x300+ 2 long đền vuông D18-50x50x3/Zn</v>
      </c>
      <c r="G2052" s="980" t="str">
        <f>VLOOKUP($B2052,DG!A:D,DG!$D$2,)</f>
        <v>bộ</v>
      </c>
      <c r="H2052" s="1693">
        <f t="shared" ref="H2052:H2057" si="368">D2052</f>
        <v>0</v>
      </c>
      <c r="I2052" s="1693"/>
      <c r="J2052" s="1693"/>
      <c r="K2052" s="1693"/>
      <c r="L2052" s="1693">
        <f t="shared" si="365"/>
        <v>0</v>
      </c>
      <c r="M2052" s="1693"/>
      <c r="N2052" s="1693"/>
      <c r="O2052" s="1693"/>
      <c r="P2052" s="1693">
        <f t="shared" si="363"/>
        <v>0</v>
      </c>
      <c r="Q2052" s="989"/>
      <c r="R2052" s="989"/>
      <c r="S2052" s="989"/>
      <c r="T2052" s="1862">
        <f>IFERROR(HLOOKUP(B2052,pp1p!$1:$3,3,0),0)</f>
        <v>0</v>
      </c>
    </row>
    <row r="2053" spans="1:20" ht="22.2" hidden="1" customHeight="1">
      <c r="A2053" s="1448">
        <f>COUNTIF($C$12:C2053,"x")</f>
        <v>151</v>
      </c>
      <c r="B2053" s="1472" t="s">
        <v>2513</v>
      </c>
      <c r="C2053" s="970" t="str">
        <f t="shared" si="367"/>
        <v xml:space="preserve"> </v>
      </c>
      <c r="D2053" s="1428">
        <f>pp1p!BW94</f>
        <v>0</v>
      </c>
      <c r="E2053" s="980"/>
      <c r="F2053" s="998" t="s">
        <v>2557</v>
      </c>
      <c r="G2053" s="999" t="s">
        <v>2512</v>
      </c>
      <c r="H2053" s="1693">
        <f t="shared" si="368"/>
        <v>0</v>
      </c>
      <c r="I2053" s="1693"/>
      <c r="J2053" s="1693"/>
      <c r="K2053" s="1693"/>
      <c r="L2053" s="1692">
        <f>IFERROR(HLOOKUP(chitiet!B2053,pp1p!$1:$3,2,0),0)</f>
        <v>0</v>
      </c>
      <c r="M2053" s="1693"/>
      <c r="N2053" s="1693"/>
      <c r="O2053" s="1693"/>
      <c r="P2053" s="1693">
        <f t="shared" si="363"/>
        <v>0</v>
      </c>
      <c r="Q2053" s="989"/>
      <c r="R2053" s="989"/>
      <c r="S2053" s="989"/>
      <c r="T2053" s="1862">
        <f>IFERROR(HLOOKUP(B2053,pp1p!$1:$3,3,0),0)</f>
        <v>0</v>
      </c>
    </row>
    <row r="2054" spans="1:20" ht="22.2" hidden="1" customHeight="1">
      <c r="A2054" s="1448">
        <f>COUNTIF($C$12:C2054,"x")</f>
        <v>151</v>
      </c>
      <c r="B2054" s="1455" t="s">
        <v>112</v>
      </c>
      <c r="C2054" s="970" t="str">
        <f t="shared" si="367"/>
        <v xml:space="preserve"> </v>
      </c>
      <c r="D2054" s="1415">
        <f>D2053*2</f>
        <v>0</v>
      </c>
      <c r="E2054" s="980"/>
      <c r="F2054" s="992" t="str">
        <f>VLOOKUP($B2054,DG!A:D,DG!$C$2,)</f>
        <v>Sứ treo loại 70kN</v>
      </c>
      <c r="G2054" s="980" t="str">
        <f>VLOOKUP($B2054,DG!A:D,DG!$D$2,)</f>
        <v>bát</v>
      </c>
      <c r="H2054" s="1693">
        <f t="shared" si="368"/>
        <v>0</v>
      </c>
      <c r="I2054" s="1693"/>
      <c r="J2054" s="1693"/>
      <c r="K2054" s="1693"/>
      <c r="L2054" s="1693">
        <f t="shared" si="365"/>
        <v>0</v>
      </c>
      <c r="M2054" s="1693"/>
      <c r="N2054" s="1693"/>
      <c r="O2054" s="1693"/>
      <c r="P2054" s="1693">
        <f t="shared" si="363"/>
        <v>0</v>
      </c>
      <c r="Q2054" s="989"/>
      <c r="R2054" s="989"/>
      <c r="S2054" s="989"/>
      <c r="T2054" s="1862">
        <f>IFERROR(HLOOKUP(B2054,pp1p!$1:$3,3,0),0)</f>
        <v>0</v>
      </c>
    </row>
    <row r="2055" spans="1:20" ht="22.2" hidden="1" customHeight="1">
      <c r="A2055" s="1448">
        <f>COUNTIF($C$12:C2055,"x")</f>
        <v>151</v>
      </c>
      <c r="B2055" s="1455" t="s">
        <v>1486</v>
      </c>
      <c r="C2055" s="970" t="str">
        <f t="shared" si="367"/>
        <v xml:space="preserve"> </v>
      </c>
      <c r="D2055" s="1415">
        <f>D2053*2</f>
        <v>0</v>
      </c>
      <c r="E2055" s="980"/>
      <c r="F2055" s="992" t="str">
        <f>VLOOKUP($B2055,DG!A:D,DG!$C$2,)</f>
        <v xml:space="preserve">Móc treo chữ U </v>
      </c>
      <c r="G2055" s="980" t="str">
        <f>VLOOKUP($B2055,DG!A:D,DG!$D$2,)</f>
        <v>cái</v>
      </c>
      <c r="H2055" s="1693">
        <f t="shared" si="368"/>
        <v>0</v>
      </c>
      <c r="I2055" s="1693"/>
      <c r="J2055" s="1693"/>
      <c r="K2055" s="1693"/>
      <c r="L2055" s="1693">
        <f t="shared" si="365"/>
        <v>0</v>
      </c>
      <c r="M2055" s="1693"/>
      <c r="N2055" s="1693"/>
      <c r="O2055" s="1693"/>
      <c r="P2055" s="1693">
        <f t="shared" si="363"/>
        <v>0</v>
      </c>
      <c r="Q2055" s="989"/>
      <c r="R2055" s="989"/>
      <c r="S2055" s="989"/>
      <c r="T2055" s="1862">
        <f>IFERROR(HLOOKUP(B2055,pp1p!$1:$3,3,0),0)</f>
        <v>0</v>
      </c>
    </row>
    <row r="2056" spans="1:20" ht="22.2" hidden="1" customHeight="1">
      <c r="A2056" s="1448">
        <f>COUNTIF($C$12:C2056,"x")</f>
        <v>151</v>
      </c>
      <c r="B2056" s="1455" t="s">
        <v>1569</v>
      </c>
      <c r="C2056" s="970" t="str">
        <f t="shared" si="367"/>
        <v xml:space="preserve"> </v>
      </c>
      <c r="D2056" s="1415">
        <f>D2053</f>
        <v>0</v>
      </c>
      <c r="E2056" s="980"/>
      <c r="F2056" s="992" t="str">
        <f>VLOOKUP($B2056,DG!A:D,DG!$C$2,)</f>
        <v>Vòng treo đầu tròn</v>
      </c>
      <c r="G2056" s="980" t="str">
        <f>VLOOKUP($B2056,DG!A:D,DG!$D$2,)</f>
        <v>cái</v>
      </c>
      <c r="H2056" s="1693">
        <f t="shared" si="368"/>
        <v>0</v>
      </c>
      <c r="I2056" s="1693"/>
      <c r="J2056" s="1693"/>
      <c r="K2056" s="1693"/>
      <c r="L2056" s="1693">
        <f t="shared" si="365"/>
        <v>0</v>
      </c>
      <c r="M2056" s="1693"/>
      <c r="N2056" s="1693"/>
      <c r="O2056" s="1693"/>
      <c r="P2056" s="1693">
        <f t="shared" si="363"/>
        <v>0</v>
      </c>
      <c r="Q2056" s="989"/>
      <c r="R2056" s="989"/>
      <c r="S2056" s="989"/>
      <c r="T2056" s="1862">
        <f>IFERROR(HLOOKUP(B2056,pp1p!$1:$3,3,0),0)</f>
        <v>0</v>
      </c>
    </row>
    <row r="2057" spans="1:20" ht="22.2" hidden="1" customHeight="1">
      <c r="A2057" s="1448">
        <f>COUNTIF($C$12:C2057,"x")</f>
        <v>151</v>
      </c>
      <c r="B2057" s="1455" t="s">
        <v>1484</v>
      </c>
      <c r="C2057" s="970" t="str">
        <f t="shared" si="367"/>
        <v xml:space="preserve"> </v>
      </c>
      <c r="D2057" s="1415">
        <f>D2053</f>
        <v>0</v>
      </c>
      <c r="E2057" s="980"/>
      <c r="F2057" s="992" t="str">
        <f>VLOOKUP($B2057,DG!A:D,DG!$C$2,)</f>
        <v>Mắt nối đơn</v>
      </c>
      <c r="G2057" s="980" t="str">
        <f>VLOOKUP($B2057,DG!A:D,DG!$D$2,)</f>
        <v>cái</v>
      </c>
      <c r="H2057" s="1693">
        <f t="shared" si="368"/>
        <v>0</v>
      </c>
      <c r="I2057" s="1693"/>
      <c r="J2057" s="1693"/>
      <c r="K2057" s="1693"/>
      <c r="L2057" s="1693">
        <f t="shared" si="365"/>
        <v>0</v>
      </c>
      <c r="M2057" s="1693"/>
      <c r="N2057" s="1693"/>
      <c r="O2057" s="1693"/>
      <c r="P2057" s="1693">
        <f t="shared" si="363"/>
        <v>0</v>
      </c>
      <c r="Q2057" s="989"/>
      <c r="R2057" s="989"/>
      <c r="S2057" s="989"/>
      <c r="T2057" s="1862">
        <f>IFERROR(HLOOKUP(B2057,pp1p!$1:$3,3,0),0)</f>
        <v>0</v>
      </c>
    </row>
    <row r="2058" spans="1:20" ht="22.2" hidden="1" customHeight="1">
      <c r="A2058" s="1448">
        <f>COUNTIF($C$12:C2058,"x")</f>
        <v>151</v>
      </c>
      <c r="B2058" s="1460"/>
      <c r="C2058" s="970" t="str">
        <f>IF(OR(D2058&gt;0),"x","")</f>
        <v/>
      </c>
      <c r="D2058" s="1530"/>
      <c r="E2058" s="980"/>
      <c r="F2058" s="1379" t="s">
        <v>2544</v>
      </c>
      <c r="G2058" s="980"/>
      <c r="H2058" s="1693"/>
      <c r="I2058" s="1693"/>
      <c r="J2058" s="1693"/>
      <c r="K2058" s="1693"/>
      <c r="L2058" s="1693">
        <f t="shared" si="365"/>
        <v>0</v>
      </c>
      <c r="M2058" s="1693"/>
      <c r="N2058" s="1693"/>
      <c r="O2058" s="1693"/>
      <c r="P2058" s="1693">
        <f t="shared" si="363"/>
        <v>0</v>
      </c>
      <c r="Q2058" s="989"/>
      <c r="R2058" s="989"/>
      <c r="S2058" s="989"/>
      <c r="T2058" s="1862">
        <f>IFERROR(HLOOKUP(B2058,pp1p!$1:$3,3,0),0)</f>
        <v>0</v>
      </c>
    </row>
    <row r="2059" spans="1:20" ht="22.2" hidden="1" customHeight="1">
      <c r="A2059" s="1448">
        <f>COUNTIF($C$12:C2059,"x")</f>
        <v>151</v>
      </c>
      <c r="B2059" s="1460" t="s">
        <v>1175</v>
      </c>
      <c r="C2059" s="970" t="str">
        <f t="shared" si="367"/>
        <v xml:space="preserve"> </v>
      </c>
      <c r="D2059" s="1428">
        <f>pp1p!CZ94</f>
        <v>0</v>
      </c>
      <c r="E2059" s="980"/>
      <c r="F2059" s="992" t="str">
        <f>VLOOKUP($B2059,DG!A:D,DG!$C$2,)</f>
        <v>Khóa đỡ dây cỡ dây 50</v>
      </c>
      <c r="G2059" s="980" t="str">
        <f>VLOOKUP($B2059,DG!A:D,DG!$D$2,)</f>
        <v>cái</v>
      </c>
      <c r="H2059" s="1693">
        <f>L2059</f>
        <v>0</v>
      </c>
      <c r="I2059" s="1693"/>
      <c r="J2059" s="1693"/>
      <c r="K2059" s="1693">
        <f>D2059</f>
        <v>0</v>
      </c>
      <c r="L2059" s="1692">
        <f>IFERROR(HLOOKUP(chitiet!B2059,pp1p!$1:$3,3,0),0)</f>
        <v>0</v>
      </c>
      <c r="M2059" s="1693"/>
      <c r="N2059" s="1693"/>
      <c r="O2059" s="1693"/>
      <c r="P2059" s="1693">
        <f t="shared" si="363"/>
        <v>0</v>
      </c>
      <c r="Q2059" s="989"/>
      <c r="R2059" s="989"/>
      <c r="S2059" s="989"/>
      <c r="T2059" s="1862">
        <f>IFERROR(HLOOKUP(B2059,pp1p!$1:$3,3,0),0)</f>
        <v>0</v>
      </c>
    </row>
    <row r="2060" spans="1:20" ht="22.2" hidden="1" customHeight="1">
      <c r="A2060" s="1448">
        <f>COUNTIF($C$12:C2060,"x")</f>
        <v>151</v>
      </c>
      <c r="B2060" s="1460" t="s">
        <v>1482</v>
      </c>
      <c r="C2060" s="970" t="str">
        <f t="shared" si="367"/>
        <v xml:space="preserve"> </v>
      </c>
      <c r="D2060" s="1415">
        <f>(D2037+D2053)-D2059-D2061</f>
        <v>0</v>
      </c>
      <c r="E2060" s="980"/>
      <c r="F2060" s="992" t="str">
        <f>VLOOKUP($B2060,DG!A:D,DG!$C$2,)</f>
        <v>Khóa néo dây cỡ dây 50</v>
      </c>
      <c r="G2060" s="980" t="str">
        <f>VLOOKUP($B2060,DG!A:D,DG!$D$2,)</f>
        <v>cái</v>
      </c>
      <c r="H2060" s="1693">
        <f t="shared" ref="H2060:H2097" si="369">D2060</f>
        <v>0</v>
      </c>
      <c r="I2060" s="1693"/>
      <c r="J2060" s="1693"/>
      <c r="K2060" s="1693"/>
      <c r="L2060" s="1692">
        <f>IFERROR(HLOOKUP(chitiet!B2060,pp1p!$1:$3,3,0),0)</f>
        <v>0</v>
      </c>
      <c r="M2060" s="1693"/>
      <c r="N2060" s="1693"/>
      <c r="O2060" s="1693"/>
      <c r="P2060" s="1693">
        <f t="shared" si="363"/>
        <v>0</v>
      </c>
      <c r="Q2060" s="989"/>
      <c r="R2060" s="989"/>
      <c r="S2060" s="989"/>
      <c r="T2060" s="1862">
        <f>IFERROR(HLOOKUP(B2060,pp1p!$1:$3,3,0),0)</f>
        <v>0</v>
      </c>
    </row>
    <row r="2061" spans="1:20" ht="22.2" hidden="1" customHeight="1">
      <c r="A2061" s="1448">
        <f>COUNTIF($C$12:C2061,"x")</f>
        <v>151</v>
      </c>
      <c r="B2061" s="1475" t="s">
        <v>1145</v>
      </c>
      <c r="C2061" s="970" t="str">
        <f t="shared" si="367"/>
        <v xml:space="preserve"> </v>
      </c>
      <c r="D2061" s="1412"/>
      <c r="E2061" s="980"/>
      <c r="F2061" s="992" t="str">
        <f>VLOOKUP($B2061,DG!A:D,DG!$C$2,)</f>
        <v>Khóa néo dây cỡ dây 70</v>
      </c>
      <c r="G2061" s="980" t="str">
        <f>VLOOKUP($B2061,DG!A:D,DG!$D$2,)</f>
        <v>cái</v>
      </c>
      <c r="H2061" s="1693">
        <f t="shared" si="369"/>
        <v>0</v>
      </c>
      <c r="I2061" s="1693"/>
      <c r="J2061" s="1693"/>
      <c r="K2061" s="1693">
        <f>D2061</f>
        <v>0</v>
      </c>
      <c r="L2061" s="1692">
        <f>IFERROR(HLOOKUP(chitiet!B2061,pp1p!$1:$3,3,0),0)</f>
        <v>0</v>
      </c>
      <c r="M2061" s="1693"/>
      <c r="N2061" s="1693"/>
      <c r="O2061" s="1693"/>
      <c r="P2061" s="1693">
        <f t="shared" si="363"/>
        <v>0</v>
      </c>
      <c r="Q2061" s="989"/>
      <c r="R2061" s="989"/>
      <c r="S2061" s="989"/>
      <c r="T2061" s="1862">
        <f>IFERROR(HLOOKUP(B2061,pp1p!$1:$3,3,0),0)</f>
        <v>0</v>
      </c>
    </row>
    <row r="2062" spans="1:20" ht="22.2" hidden="1" customHeight="1">
      <c r="A2062" s="1448">
        <f>COUNTIF($C$12:C2062,"x")</f>
        <v>151</v>
      </c>
      <c r="B2062" s="1460" t="s">
        <v>992</v>
      </c>
      <c r="C2062" s="970" t="str">
        <f t="shared" si="367"/>
        <v xml:space="preserve"> </v>
      </c>
      <c r="D2062" s="1428">
        <f>pp1p!CC94</f>
        <v>0</v>
      </c>
      <c r="E2062" s="980"/>
      <c r="F2062" s="992" t="str">
        <f>VLOOKUP($B2062,DG!A:D,DG!$C$2,)</f>
        <v>Kẹp ép WR cỡ dây 50mm2</v>
      </c>
      <c r="G2062" s="980" t="str">
        <f>VLOOKUP($B2062,DG!A:D,DG!$D$2,)</f>
        <v>cái</v>
      </c>
      <c r="H2062" s="1693">
        <f t="shared" si="369"/>
        <v>0</v>
      </c>
      <c r="I2062" s="1693"/>
      <c r="J2062" s="1693"/>
      <c r="K2062" s="1693"/>
      <c r="L2062" s="1692">
        <f>IFERROR(HLOOKUP(chitiet!B2062,pp1p!$1:$3,3,0),0)</f>
        <v>0</v>
      </c>
      <c r="M2062" s="1693"/>
      <c r="N2062" s="1693"/>
      <c r="O2062" s="1693"/>
      <c r="P2062" s="1693">
        <f t="shared" si="363"/>
        <v>0</v>
      </c>
      <c r="Q2062" s="989"/>
      <c r="R2062" s="989"/>
      <c r="S2062" s="989"/>
      <c r="T2062" s="1862">
        <f>IFERROR(HLOOKUP(B2062,pp1p!$1:$3,3,0),0)</f>
        <v>0</v>
      </c>
    </row>
    <row r="2063" spans="1:20" ht="22.2" hidden="1" customHeight="1">
      <c r="A2063" s="1448">
        <f>COUNTIF($C$12:C2063,"x")</f>
        <v>151</v>
      </c>
      <c r="B2063" s="1460" t="s">
        <v>35</v>
      </c>
      <c r="C2063" s="970" t="str">
        <f t="shared" si="367"/>
        <v xml:space="preserve"> </v>
      </c>
      <c r="D2063" s="1428">
        <f>pp1p!CD94</f>
        <v>0</v>
      </c>
      <c r="E2063" s="980"/>
      <c r="F2063" s="992" t="str">
        <f>VLOOKUP($B2063,DG!A:D,DG!$C$2,)</f>
        <v>Kẹp ép WR cỡ dây 70mm2</v>
      </c>
      <c r="G2063" s="980" t="str">
        <f>VLOOKUP($B2063,DG!A:D,DG!$D$2,)</f>
        <v>cái</v>
      </c>
      <c r="H2063" s="1693">
        <f t="shared" si="369"/>
        <v>0</v>
      </c>
      <c r="I2063" s="1693"/>
      <c r="J2063" s="1693"/>
      <c r="K2063" s="1693"/>
      <c r="L2063" s="1692">
        <f>IFERROR(HLOOKUP(chitiet!B2063,pp1p!$1:$3,3,0),0)</f>
        <v>0</v>
      </c>
      <c r="M2063" s="1693"/>
      <c r="N2063" s="1693"/>
      <c r="O2063" s="1693"/>
      <c r="P2063" s="1693">
        <f t="shared" si="363"/>
        <v>0</v>
      </c>
      <c r="Q2063" s="989"/>
      <c r="R2063" s="989"/>
      <c r="S2063" s="989"/>
      <c r="T2063" s="1862">
        <f>IFERROR(HLOOKUP(B2063,pp1p!$1:$3,3,0),0)</f>
        <v>0</v>
      </c>
    </row>
    <row r="2064" spans="1:20" ht="22.2" hidden="1" customHeight="1">
      <c r="A2064" s="1448">
        <f>COUNTIF($C$12:C2064,"x")</f>
        <v>151</v>
      </c>
      <c r="B2064" s="1460" t="s">
        <v>36</v>
      </c>
      <c r="C2064" s="970" t="str">
        <f t="shared" si="367"/>
        <v xml:space="preserve"> </v>
      </c>
      <c r="D2064" s="1428">
        <f>pp1p!CE94</f>
        <v>0</v>
      </c>
      <c r="E2064" s="980"/>
      <c r="F2064" s="992" t="str">
        <f>VLOOKUP($B2064,DG!A:D,DG!$C$2,)</f>
        <v>Kẹp ép WR cỡ dây 95mm2</v>
      </c>
      <c r="G2064" s="980" t="str">
        <f>VLOOKUP($B2064,DG!A:D,DG!$D$2,)</f>
        <v>cái</v>
      </c>
      <c r="H2064" s="1693">
        <f t="shared" si="369"/>
        <v>0</v>
      </c>
      <c r="I2064" s="1693"/>
      <c r="J2064" s="1693"/>
      <c r="K2064" s="1693"/>
      <c r="L2064" s="1692">
        <f>IFERROR(HLOOKUP(chitiet!B2064,pp1p!$1:$3,3,0),0)</f>
        <v>0</v>
      </c>
      <c r="M2064" s="1693"/>
      <c r="N2064" s="1693"/>
      <c r="O2064" s="1693"/>
      <c r="P2064" s="1693">
        <f t="shared" si="363"/>
        <v>0</v>
      </c>
      <c r="Q2064" s="989"/>
      <c r="R2064" s="989"/>
      <c r="S2064" s="989"/>
      <c r="T2064" s="1862">
        <f>IFERROR(HLOOKUP(B2064,pp1p!$1:$3,3,0),0)</f>
        <v>0</v>
      </c>
    </row>
    <row r="2065" spans="1:20" ht="22.2" hidden="1" customHeight="1">
      <c r="A2065" s="1448">
        <f>COUNTIF($C$12:C2065,"x")</f>
        <v>151</v>
      </c>
      <c r="B2065" s="1460" t="s">
        <v>13</v>
      </c>
      <c r="C2065" s="970" t="str">
        <f t="shared" si="367"/>
        <v xml:space="preserve"> </v>
      </c>
      <c r="D2065" s="1428">
        <f>pp1p!CF94</f>
        <v>0</v>
      </c>
      <c r="E2065" s="980"/>
      <c r="F2065" s="992" t="str">
        <f>VLOOKUP($B2065,DG!A:D,DG!$C$2,)</f>
        <v>Kẹp ép WR cỡ dây 120mm2</v>
      </c>
      <c r="G2065" s="980" t="str">
        <f>VLOOKUP($B2065,DG!A:D,DG!$D$2,)</f>
        <v>cái</v>
      </c>
      <c r="H2065" s="1693">
        <f t="shared" si="369"/>
        <v>0</v>
      </c>
      <c r="I2065" s="1693"/>
      <c r="J2065" s="1693"/>
      <c r="K2065" s="1693"/>
      <c r="L2065" s="1692">
        <f>IFERROR(HLOOKUP(chitiet!B2065,pp1p!$1:$3,3,0),0)</f>
        <v>0</v>
      </c>
      <c r="M2065" s="1693"/>
      <c r="N2065" s="1693"/>
      <c r="O2065" s="1693"/>
      <c r="P2065" s="1693">
        <f t="shared" si="363"/>
        <v>0</v>
      </c>
      <c r="Q2065" s="989"/>
      <c r="R2065" s="989"/>
      <c r="S2065" s="989"/>
      <c r="T2065" s="1862">
        <f>IFERROR(HLOOKUP(B2065,pp1p!$1:$3,3,0),0)</f>
        <v>0</v>
      </c>
    </row>
    <row r="2066" spans="1:20" ht="22.2" hidden="1" customHeight="1">
      <c r="A2066" s="1448">
        <f>COUNTIF($C$12:C2066,"x")</f>
        <v>151</v>
      </c>
      <c r="B2066" s="1460" t="s">
        <v>142</v>
      </c>
      <c r="C2066" s="970" t="str">
        <f t="shared" si="367"/>
        <v xml:space="preserve"> </v>
      </c>
      <c r="D2066" s="1428">
        <f>pp1p!CG94</f>
        <v>0</v>
      </c>
      <c r="E2066" s="980"/>
      <c r="F2066" s="992" t="str">
        <f>VLOOKUP($B2066,DG!A:D,DG!$C$2,)</f>
        <v>Kẹp ép WR cỡ dây 150mm2</v>
      </c>
      <c r="G2066" s="980" t="str">
        <f>VLOOKUP($B2066,DG!A:D,DG!$D$2,)</f>
        <v>cái</v>
      </c>
      <c r="H2066" s="1693">
        <f t="shared" si="369"/>
        <v>0</v>
      </c>
      <c r="I2066" s="1693"/>
      <c r="J2066" s="1693"/>
      <c r="K2066" s="1693"/>
      <c r="L2066" s="1692">
        <f>IFERROR(HLOOKUP(chitiet!B2066,pp1p!$1:$3,3,0),0)</f>
        <v>0</v>
      </c>
      <c r="M2066" s="1693"/>
      <c r="N2066" s="1693"/>
      <c r="O2066" s="1693"/>
      <c r="P2066" s="1693">
        <f t="shared" si="363"/>
        <v>0</v>
      </c>
      <c r="Q2066" s="989"/>
      <c r="R2066" s="989"/>
      <c r="S2066" s="989"/>
      <c r="T2066" s="1862">
        <f>IFERROR(HLOOKUP(B2066,pp1p!$1:$3,3,0),0)</f>
        <v>0</v>
      </c>
    </row>
    <row r="2067" spans="1:20" ht="22.2" hidden="1" customHeight="1">
      <c r="A2067" s="1448">
        <f>COUNTIF($C$12:C2067,"x")</f>
        <v>151</v>
      </c>
      <c r="B2067" s="1460" t="s">
        <v>14</v>
      </c>
      <c r="C2067" s="970" t="str">
        <f t="shared" si="367"/>
        <v xml:space="preserve"> </v>
      </c>
      <c r="D2067" s="1428">
        <f>pp1p!CH94</f>
        <v>0</v>
      </c>
      <c r="E2067" s="980"/>
      <c r="F2067" s="992" t="str">
        <f>VLOOKUP($B2067,DG!A:D,DG!$C$2,)</f>
        <v>Kẹp ép WR cỡ dây 185mm2</v>
      </c>
      <c r="G2067" s="980" t="str">
        <f>VLOOKUP($B2067,DG!A:D,DG!$D$2,)</f>
        <v>cái</v>
      </c>
      <c r="H2067" s="1693">
        <f t="shared" si="369"/>
        <v>0</v>
      </c>
      <c r="I2067" s="1693"/>
      <c r="J2067" s="1693"/>
      <c r="K2067" s="1693"/>
      <c r="L2067" s="1692">
        <f>IFERROR(HLOOKUP(chitiet!B2067,pp1p!$1:$3,3,0),0)</f>
        <v>0</v>
      </c>
      <c r="M2067" s="1693"/>
      <c r="N2067" s="1693"/>
      <c r="O2067" s="1693"/>
      <c r="P2067" s="1693">
        <f t="shared" si="363"/>
        <v>0</v>
      </c>
      <c r="Q2067" s="989"/>
      <c r="R2067" s="989"/>
      <c r="S2067" s="989"/>
      <c r="T2067" s="1862">
        <f>IFERROR(HLOOKUP(B2067,pp1p!$1:$3,3,0),0)</f>
        <v>0</v>
      </c>
    </row>
    <row r="2068" spans="1:20" ht="22.2" hidden="1" customHeight="1">
      <c r="A2068" s="1448">
        <f>COUNTIF($C$12:C2068,"x")</f>
        <v>151</v>
      </c>
      <c r="B2068" s="1460" t="s">
        <v>15</v>
      </c>
      <c r="C2068" s="970" t="str">
        <f t="shared" si="367"/>
        <v xml:space="preserve"> </v>
      </c>
      <c r="D2068" s="1428">
        <f>pp1p!CI94</f>
        <v>0</v>
      </c>
      <c r="E2068" s="980"/>
      <c r="F2068" s="992" t="str">
        <f>VLOOKUP($B2068,DG!A:D,DG!$C$2,)</f>
        <v>Kẹp ép WR cỡ dây 240mm2</v>
      </c>
      <c r="G2068" s="980" t="str">
        <f>VLOOKUP($B2068,DG!A:D,DG!$D$2,)</f>
        <v>cái</v>
      </c>
      <c r="H2068" s="1693">
        <f t="shared" si="369"/>
        <v>0</v>
      </c>
      <c r="I2068" s="1693"/>
      <c r="J2068" s="1693"/>
      <c r="K2068" s="1693"/>
      <c r="L2068" s="1692">
        <f>IFERROR(HLOOKUP(chitiet!B2068,pp1p!$1:$3,3,0),0)</f>
        <v>0</v>
      </c>
      <c r="M2068" s="1693"/>
      <c r="N2068" s="1693"/>
      <c r="O2068" s="1693"/>
      <c r="P2068" s="1693">
        <f t="shared" si="363"/>
        <v>0</v>
      </c>
      <c r="Q2068" s="989"/>
      <c r="R2068" s="989"/>
      <c r="S2068" s="989"/>
      <c r="T2068" s="1862">
        <f>IFERROR(HLOOKUP(B2068,pp1p!$1:$3,3,0),0)</f>
        <v>0</v>
      </c>
    </row>
    <row r="2069" spans="1:20" ht="22.2" hidden="1" customHeight="1">
      <c r="A2069" s="1448">
        <f>COUNTIF($C$12:C2069,"x")</f>
        <v>151</v>
      </c>
      <c r="B2069" s="1460" t="s">
        <v>1887</v>
      </c>
      <c r="C2069" s="970" t="str">
        <f t="shared" si="367"/>
        <v xml:space="preserve"> </v>
      </c>
      <c r="D2069" s="1428">
        <f>pp1p!CJ94</f>
        <v>0</v>
      </c>
      <c r="E2069" s="980" t="str">
        <f>VLOOKUP($B2069,DG!A:D,DG!$B$2,)</f>
        <v>03.4003</v>
      </c>
      <c r="F2069" s="992" t="str">
        <f>VLOOKUP($B2069,DG!A:D,DG!$C$2,)</f>
        <v>Đầu cosse ép Cu-Al 70mm2</v>
      </c>
      <c r="G2069" s="980" t="str">
        <f>VLOOKUP($B2069,DG!A:D,DG!$D$2,)</f>
        <v>cái</v>
      </c>
      <c r="H2069" s="1693">
        <f t="shared" si="369"/>
        <v>0</v>
      </c>
      <c r="I2069" s="1693"/>
      <c r="J2069" s="1693"/>
      <c r="K2069" s="1693"/>
      <c r="L2069" s="1692">
        <f>IFERROR(HLOOKUP(chitiet!B2069,pp1p!$1:$3,3,0),0)</f>
        <v>0</v>
      </c>
      <c r="M2069" s="1693"/>
      <c r="N2069" s="1693"/>
      <c r="O2069" s="1693"/>
      <c r="P2069" s="1693">
        <f t="shared" si="363"/>
        <v>0</v>
      </c>
      <c r="Q2069" s="989"/>
      <c r="R2069" s="989"/>
      <c r="S2069" s="989"/>
      <c r="T2069" s="1862">
        <f>IFERROR(HLOOKUP(B2069,pp1p!$1:$3,3,0),0)</f>
        <v>0</v>
      </c>
    </row>
    <row r="2070" spans="1:20" ht="22.2" hidden="1" customHeight="1">
      <c r="A2070" s="1448">
        <f>COUNTIF($C$12:C2070,"x")</f>
        <v>151</v>
      </c>
      <c r="B2070" s="1460" t="s">
        <v>1888</v>
      </c>
      <c r="C2070" s="970" t="str">
        <f t="shared" si="367"/>
        <v xml:space="preserve"> </v>
      </c>
      <c r="D2070" s="1428">
        <f>pp1p!CK94</f>
        <v>0</v>
      </c>
      <c r="E2070" s="980" t="str">
        <f>VLOOKUP($B2070,DG!A:D,DG!$B$2,)</f>
        <v>03.4004</v>
      </c>
      <c r="F2070" s="992" t="str">
        <f>VLOOKUP($B2070,DG!A:D,DG!$C$2,)</f>
        <v>Đầu cosse ép Cu-Al 95mm2</v>
      </c>
      <c r="G2070" s="980" t="str">
        <f>VLOOKUP($B2070,DG!A:D,DG!$D$2,)</f>
        <v>cái</v>
      </c>
      <c r="H2070" s="1693">
        <f t="shared" si="369"/>
        <v>0</v>
      </c>
      <c r="I2070" s="1693"/>
      <c r="J2070" s="1693"/>
      <c r="K2070" s="1693"/>
      <c r="L2070" s="1692">
        <f>IFERROR(HLOOKUP(chitiet!B2070,pp1p!$1:$3,3,0),0)</f>
        <v>0</v>
      </c>
      <c r="M2070" s="1693"/>
      <c r="N2070" s="1693"/>
      <c r="O2070" s="1693"/>
      <c r="P2070" s="1693">
        <f t="shared" si="363"/>
        <v>0</v>
      </c>
      <c r="Q2070" s="989"/>
      <c r="R2070" s="989"/>
      <c r="S2070" s="989"/>
      <c r="T2070" s="1862">
        <f>IFERROR(HLOOKUP(B2070,pp1p!$1:$3,3,0),0)</f>
        <v>0</v>
      </c>
    </row>
    <row r="2071" spans="1:20" ht="22.2" hidden="1" customHeight="1">
      <c r="A2071" s="1448">
        <f>COUNTIF($C$12:C2071,"x")</f>
        <v>151</v>
      </c>
      <c r="B2071" s="1460" t="s">
        <v>1889</v>
      </c>
      <c r="C2071" s="970" t="str">
        <f t="shared" si="367"/>
        <v xml:space="preserve"> </v>
      </c>
      <c r="D2071" s="1428">
        <f>pp1p!CL94</f>
        <v>0</v>
      </c>
      <c r="E2071" s="980" t="str">
        <f>VLOOKUP($B2071,DG!A:D,DG!$B$2,)</f>
        <v>03.4005</v>
      </c>
      <c r="F2071" s="992" t="str">
        <f>VLOOKUP($B2071,DG!A:D,DG!$C$2,)</f>
        <v>Đầu cosse ép Cu-Al 120mm2</v>
      </c>
      <c r="G2071" s="980" t="str">
        <f>VLOOKUP($B2071,DG!A:D,DG!$D$2,)</f>
        <v>cái</v>
      </c>
      <c r="H2071" s="1693">
        <f t="shared" si="369"/>
        <v>0</v>
      </c>
      <c r="I2071" s="1693"/>
      <c r="J2071" s="1693"/>
      <c r="K2071" s="1693"/>
      <c r="L2071" s="1692">
        <f>IFERROR(HLOOKUP(chitiet!B2071,pp1p!$1:$3,3,0),0)</f>
        <v>0</v>
      </c>
      <c r="M2071" s="1693"/>
      <c r="N2071" s="1693"/>
      <c r="O2071" s="1693"/>
      <c r="P2071" s="1693">
        <f t="shared" ref="P2071:P2134" si="370">H2071+Q2071-R2071</f>
        <v>0</v>
      </c>
      <c r="Q2071" s="989"/>
      <c r="R2071" s="989"/>
      <c r="S2071" s="989"/>
      <c r="T2071" s="1862">
        <f>IFERROR(HLOOKUP(B2071,pp1p!$1:$3,3,0),0)</f>
        <v>0</v>
      </c>
    </row>
    <row r="2072" spans="1:20" ht="22.2" hidden="1" customHeight="1">
      <c r="A2072" s="1448">
        <f>COUNTIF($C$12:C2072,"x")</f>
        <v>151</v>
      </c>
      <c r="B2072" s="1460" t="s">
        <v>1019</v>
      </c>
      <c r="C2072" s="970" t="str">
        <f t="shared" si="367"/>
        <v xml:space="preserve"> </v>
      </c>
      <c r="D2072" s="1428">
        <f>pp1p!CM94</f>
        <v>0</v>
      </c>
      <c r="E2072" s="980" t="str">
        <f>VLOOKUP($B2072,DG!A:D,DG!$B$2,)</f>
        <v>03.4006</v>
      </c>
      <c r="F2072" s="992" t="str">
        <f>VLOOKUP($B2072,DG!A:D,DG!$C$2,)</f>
        <v>Đầu cosse ép Cu-Al 150mm2</v>
      </c>
      <c r="G2072" s="980" t="str">
        <f>VLOOKUP($B2072,DG!A:D,DG!$D$2,)</f>
        <v>cái</v>
      </c>
      <c r="H2072" s="1693">
        <f t="shared" si="369"/>
        <v>0</v>
      </c>
      <c r="I2072" s="1693"/>
      <c r="J2072" s="1693"/>
      <c r="K2072" s="1693"/>
      <c r="L2072" s="1692">
        <f>IFERROR(HLOOKUP(chitiet!B2072,pp1p!$1:$3,3,0),0)</f>
        <v>0</v>
      </c>
      <c r="M2072" s="1693"/>
      <c r="N2072" s="1693"/>
      <c r="O2072" s="1693"/>
      <c r="P2072" s="1693">
        <f t="shared" si="370"/>
        <v>0</v>
      </c>
      <c r="Q2072" s="989"/>
      <c r="R2072" s="989"/>
      <c r="S2072" s="989"/>
      <c r="T2072" s="1862">
        <f>IFERROR(HLOOKUP(B2072,pp1p!$1:$3,3,0),0)</f>
        <v>0</v>
      </c>
    </row>
    <row r="2073" spans="1:20" ht="22.2" hidden="1" customHeight="1">
      <c r="A2073" s="1448">
        <f>COUNTIF($C$12:C2073,"x")</f>
        <v>151</v>
      </c>
      <c r="B2073" s="1460" t="s">
        <v>1020</v>
      </c>
      <c r="C2073" s="970" t="str">
        <f t="shared" si="367"/>
        <v xml:space="preserve"> </v>
      </c>
      <c r="D2073" s="1428">
        <f>pp1p!CN94</f>
        <v>0</v>
      </c>
      <c r="E2073" s="980" t="str">
        <f>VLOOKUP($B2073,DG!A:D,DG!$B$2,)</f>
        <v>03.4007</v>
      </c>
      <c r="F2073" s="992" t="str">
        <f>VLOOKUP($B2073,DG!A:D,DG!$C$2,)</f>
        <v>Đầu cosse ép Cu-Al 185mm2</v>
      </c>
      <c r="G2073" s="980" t="str">
        <f>VLOOKUP($B2073,DG!A:D,DG!$D$2,)</f>
        <v>cái</v>
      </c>
      <c r="H2073" s="1693">
        <f t="shared" si="369"/>
        <v>0</v>
      </c>
      <c r="I2073" s="1693"/>
      <c r="J2073" s="1693"/>
      <c r="K2073" s="1693"/>
      <c r="L2073" s="1692">
        <f>IFERROR(HLOOKUP(chitiet!B2073,pp1p!$1:$3,3,0),0)</f>
        <v>0</v>
      </c>
      <c r="M2073" s="1693"/>
      <c r="N2073" s="1693"/>
      <c r="O2073" s="1693"/>
      <c r="P2073" s="1693">
        <f t="shared" si="370"/>
        <v>0</v>
      </c>
      <c r="Q2073" s="989"/>
      <c r="R2073" s="989"/>
      <c r="S2073" s="989"/>
      <c r="T2073" s="1862">
        <f>IFERROR(HLOOKUP(B2073,pp1p!$1:$3,3,0),0)</f>
        <v>0</v>
      </c>
    </row>
    <row r="2074" spans="1:20" ht="22.2" hidden="1" customHeight="1">
      <c r="A2074" s="1448">
        <f>COUNTIF($C$12:C2074,"x")</f>
        <v>151</v>
      </c>
      <c r="B2074" s="1460" t="s">
        <v>1831</v>
      </c>
      <c r="C2074" s="970" t="str">
        <f t="shared" si="367"/>
        <v xml:space="preserve"> </v>
      </c>
      <c r="D2074" s="1428">
        <f>pp1p!CO94</f>
        <v>0</v>
      </c>
      <c r="E2074" s="980" t="str">
        <f>VLOOKUP($B2074,DG!A:D,DG!$B$2,)</f>
        <v>03.4008</v>
      </c>
      <c r="F2074" s="992" t="str">
        <f>VLOOKUP($B2074,DG!A:D,DG!$C$2,)</f>
        <v>Đầu cosse ép Cu-Al 240mm2</v>
      </c>
      <c r="G2074" s="980" t="str">
        <f>VLOOKUP($B2074,DG!A:D,DG!$D$2,)</f>
        <v>cái</v>
      </c>
      <c r="H2074" s="1693">
        <f t="shared" si="369"/>
        <v>0</v>
      </c>
      <c r="I2074" s="1693"/>
      <c r="J2074" s="1693"/>
      <c r="K2074" s="1693"/>
      <c r="L2074" s="1692">
        <f>IFERROR(HLOOKUP(chitiet!B2074,pp1p!$1:$3,3,0),0)</f>
        <v>0</v>
      </c>
      <c r="M2074" s="1693"/>
      <c r="N2074" s="1693"/>
      <c r="O2074" s="1693"/>
      <c r="P2074" s="1693">
        <f t="shared" si="370"/>
        <v>0</v>
      </c>
      <c r="Q2074" s="989"/>
      <c r="R2074" s="989"/>
      <c r="S2074" s="989"/>
      <c r="T2074" s="1862">
        <f>IFERROR(HLOOKUP(B2074,pp1p!$1:$3,3,0),0)</f>
        <v>0</v>
      </c>
    </row>
    <row r="2075" spans="1:20" ht="22.2" hidden="1" customHeight="1">
      <c r="A2075" s="1448">
        <f>COUNTIF($C$12:C2075,"x")</f>
        <v>151</v>
      </c>
      <c r="B2075" s="1460" t="s">
        <v>437</v>
      </c>
      <c r="C2075" s="970" t="str">
        <f t="shared" si="367"/>
        <v xml:space="preserve"> </v>
      </c>
      <c r="D2075" s="1428">
        <f>SUM(D2069:D2074)/2</f>
        <v>0</v>
      </c>
      <c r="E2075" s="980">
        <f>VLOOKUP($B2075,DG!A:D,DG!$B$2,)</f>
        <v>0</v>
      </c>
      <c r="F2075" s="992" t="str">
        <f>VLOOKUP($B2075,DG!A:D,DG!$C$2,)</f>
        <v>Boulon 12x30+ 2 long đền vuông D14-50x50x3/Zn</v>
      </c>
      <c r="G2075" s="980" t="str">
        <f>VLOOKUP($B2075,DG!A:D,DG!$D$2,)</f>
        <v>bộ</v>
      </c>
      <c r="H2075" s="1693">
        <f t="shared" si="369"/>
        <v>0</v>
      </c>
      <c r="I2075" s="1693"/>
      <c r="J2075" s="1693"/>
      <c r="K2075" s="1693"/>
      <c r="L2075" s="1692">
        <f>IFERROR(HLOOKUP(chitiet!B2075,pp1p!$1:$3,3,0),0)</f>
        <v>0</v>
      </c>
      <c r="M2075" s="1693"/>
      <c r="N2075" s="1693"/>
      <c r="O2075" s="1693"/>
      <c r="P2075" s="1693">
        <f t="shared" si="370"/>
        <v>0</v>
      </c>
      <c r="Q2075" s="989"/>
      <c r="R2075" s="989"/>
      <c r="S2075" s="989"/>
      <c r="T2075" s="1862">
        <f>IFERROR(HLOOKUP(B2075,pp1p!$1:$3,3,0),0)</f>
        <v>0</v>
      </c>
    </row>
    <row r="2076" spans="1:20" ht="22.2" hidden="1" customHeight="1">
      <c r="A2076" s="1448">
        <f>COUNTIF($C$12:C2076,"x")</f>
        <v>151</v>
      </c>
      <c r="B2076" s="1460" t="s">
        <v>1479</v>
      </c>
      <c r="C2076" s="970" t="str">
        <f t="shared" si="367"/>
        <v xml:space="preserve"> </v>
      </c>
      <c r="D2076" s="1428">
        <f>T2076</f>
        <v>0</v>
      </c>
      <c r="E2076" s="980" t="str">
        <f>VLOOKUP($B2076,DG!A:D,DG!$B$2,)</f>
        <v>04.3007</v>
      </c>
      <c r="F2076" s="992" t="str">
        <f>VLOOKUP($B2076,DG!A:D,DG!$C$2,)</f>
        <v>Kẹp quai 2/0</v>
      </c>
      <c r="G2076" s="980" t="str">
        <f>VLOOKUP($B2076,DG!A:D,DG!$D$2,)</f>
        <v>cái</v>
      </c>
      <c r="H2076" s="1693">
        <f t="shared" si="369"/>
        <v>0</v>
      </c>
      <c r="I2076" s="1693"/>
      <c r="J2076" s="1693"/>
      <c r="K2076" s="1693"/>
      <c r="L2076" s="1692">
        <f>IFERROR(HLOOKUP(chitiet!B2076,pp1p!$1:$3,3,0),0)</f>
        <v>0</v>
      </c>
      <c r="M2076" s="1693"/>
      <c r="N2076" s="1693"/>
      <c r="O2076" s="1693"/>
      <c r="P2076" s="1693">
        <f t="shared" si="370"/>
        <v>0</v>
      </c>
      <c r="Q2076" s="989"/>
      <c r="R2076" s="989"/>
      <c r="S2076" s="989"/>
      <c r="T2076" s="1862">
        <f>IFERROR(HLOOKUP(B2076,pp1p!$1:$3,3,0),0)</f>
        <v>0</v>
      </c>
    </row>
    <row r="2077" spans="1:20" ht="22.2" hidden="1" customHeight="1">
      <c r="A2077" s="1448">
        <f>COUNTIF($C$12:C2077,"x")</f>
        <v>151</v>
      </c>
      <c r="B2077" s="1460" t="s">
        <v>1477</v>
      </c>
      <c r="C2077" s="970" t="str">
        <f>IF(OR(P2077&lt;&gt;0,H2077&lt;&gt;0),"x"," ")</f>
        <v xml:space="preserve"> </v>
      </c>
      <c r="D2077" s="1428">
        <f>T2077</f>
        <v>0</v>
      </c>
      <c r="E2077" s="980" t="str">
        <f>VLOOKUP($B2077,DG!A:D,DG!$B$2,)</f>
        <v>04.3007</v>
      </c>
      <c r="F2077" s="992" t="str">
        <f>VLOOKUP($B2077,DG!A:D,DG!$C$2,)</f>
        <v>Kẹp hotline 2/0</v>
      </c>
      <c r="G2077" s="980" t="str">
        <f>VLOOKUP($B2077,DG!A:D,DG!$D$2,)</f>
        <v>cái</v>
      </c>
      <c r="H2077" s="1693">
        <f t="shared" si="369"/>
        <v>0</v>
      </c>
      <c r="I2077" s="1693"/>
      <c r="J2077" s="1693"/>
      <c r="K2077" s="1693"/>
      <c r="L2077" s="1692">
        <f>IFERROR(HLOOKUP(chitiet!B2077,pp1p!$1:$3,3,0),0)</f>
        <v>0</v>
      </c>
      <c r="M2077" s="1693"/>
      <c r="N2077" s="1693"/>
      <c r="O2077" s="1693"/>
      <c r="P2077" s="1693">
        <f>H2077+Q2077-R2077</f>
        <v>0</v>
      </c>
      <c r="Q2077" s="989"/>
      <c r="R2077" s="989"/>
      <c r="S2077" s="989"/>
      <c r="T2077" s="1862">
        <f>IFERROR(HLOOKUP(B2077,pp1p!$1:$3,3,0),0)</f>
        <v>0</v>
      </c>
    </row>
    <row r="2078" spans="1:20" ht="22.2" hidden="1" customHeight="1">
      <c r="A2078" s="1448">
        <f>COUNTIF($C$12:C2078,"x")</f>
        <v>151</v>
      </c>
      <c r="B2078" s="1460" t="s">
        <v>4539</v>
      </c>
      <c r="C2078" s="970" t="str">
        <f t="shared" si="367"/>
        <v xml:space="preserve"> </v>
      </c>
      <c r="D2078" s="1415">
        <f>D2076</f>
        <v>0</v>
      </c>
      <c r="E2078" s="980">
        <f>VLOOKUP($B2078,DG!A:D,DG!$B$2,)</f>
        <v>0</v>
      </c>
      <c r="F2078" s="992" t="str">
        <f>VLOOKUP($B2078,DG!A:D,DG!$C$2,)</f>
        <v>Chụp cách điện kẹp quai</v>
      </c>
      <c r="G2078" s="980" t="str">
        <f>VLOOKUP($B2078,DG!A:D,DG!$D$2,)</f>
        <v>cái</v>
      </c>
      <c r="H2078" s="1693">
        <f t="shared" si="369"/>
        <v>0</v>
      </c>
      <c r="I2078" s="1693"/>
      <c r="J2078" s="1693"/>
      <c r="K2078" s="1693"/>
      <c r="L2078" s="1692">
        <f>IFERROR(HLOOKUP(chitiet!B2078,pp1p!$1:$3,3,0),0)</f>
        <v>0</v>
      </c>
      <c r="M2078" s="1693"/>
      <c r="N2078" s="1693"/>
      <c r="O2078" s="1693"/>
      <c r="P2078" s="1693">
        <f t="shared" si="370"/>
        <v>0</v>
      </c>
      <c r="Q2078" s="989"/>
      <c r="R2078" s="989"/>
      <c r="S2078" s="989"/>
      <c r="T2078" s="1862">
        <f>IFERROR(HLOOKUP(B2078,pp1p!$1:$3,3,0),0)</f>
        <v>0</v>
      </c>
    </row>
    <row r="2079" spans="1:20" ht="22.2" hidden="1" customHeight="1">
      <c r="A2079" s="1448">
        <f>COUNTIF($C$12:C2079,"x")</f>
        <v>151</v>
      </c>
      <c r="B2079" s="1461" t="s">
        <v>697</v>
      </c>
      <c r="C2079" s="970" t="str">
        <f t="shared" si="367"/>
        <v xml:space="preserve"> </v>
      </c>
      <c r="D2079" s="1415">
        <f>pp1p!CR94*3</f>
        <v>0</v>
      </c>
      <c r="E2079" s="980"/>
      <c r="F2079" s="992" t="str">
        <f>VLOOKUP($B2079,DG!A:D,DG!$C$2,)</f>
        <v>Cáp 24KV C/XLPE/PVC 25mm2</v>
      </c>
      <c r="G2079" s="980" t="str">
        <f>VLOOKUP($B2079,DG!A:D,DG!$D$2,)</f>
        <v>mét</v>
      </c>
      <c r="H2079" s="1693">
        <f t="shared" si="369"/>
        <v>0</v>
      </c>
      <c r="I2079" s="1693"/>
      <c r="J2079" s="1693"/>
      <c r="K2079" s="1693"/>
      <c r="L2079" s="1692">
        <f>IFERROR(HLOOKUP(chitiet!B2079,pp1p!$1:$3,3,0),0)</f>
        <v>0</v>
      </c>
      <c r="M2079" s="1693"/>
      <c r="N2079" s="1693"/>
      <c r="O2079" s="1693"/>
      <c r="P2079" s="1693">
        <f t="shared" si="370"/>
        <v>0</v>
      </c>
      <c r="Q2079" s="995"/>
      <c r="R2079" s="995"/>
      <c r="S2079" s="995"/>
      <c r="T2079" s="1862">
        <f>IFERROR(HLOOKUP(B2079,pp1p!$1:$3,3,0),0)</f>
        <v>0</v>
      </c>
    </row>
    <row r="2080" spans="1:20" ht="22.2" hidden="1" customHeight="1">
      <c r="A2080" s="1448">
        <f>COUNTIF($C$12:C2080,"x")</f>
        <v>151</v>
      </c>
      <c r="B2080" s="1460" t="s">
        <v>1023</v>
      </c>
      <c r="C2080" s="970" t="str">
        <f t="shared" si="367"/>
        <v xml:space="preserve"> </v>
      </c>
      <c r="D2080" s="1428">
        <f>pp1p!AV94</f>
        <v>0</v>
      </c>
      <c r="E2080" s="980"/>
      <c r="F2080" s="992" t="str">
        <f>VLOOKUP($B2080,DG!A:D,DG!$C$2,)</f>
        <v>Cáp thép 3/8"</v>
      </c>
      <c r="G2080" s="980" t="str">
        <f>VLOOKUP($B2080,DG!A:D,DG!$D$2,)</f>
        <v>kg</v>
      </c>
      <c r="H2080" s="1693">
        <f t="shared" si="369"/>
        <v>0</v>
      </c>
      <c r="I2080" s="1693"/>
      <c r="J2080" s="1693"/>
      <c r="K2080" s="1693"/>
      <c r="L2080" s="1692">
        <f>IFERROR(HLOOKUP(chitiet!B2080,pp1p!$1:$3,3,0),0)</f>
        <v>0</v>
      </c>
      <c r="M2080" s="1693"/>
      <c r="N2080" s="1693"/>
      <c r="O2080" s="1693"/>
      <c r="P2080" s="1693">
        <f t="shared" si="370"/>
        <v>0</v>
      </c>
      <c r="Q2080" s="989"/>
      <c r="R2080" s="989"/>
      <c r="S2080" s="989"/>
      <c r="T2080" s="1862">
        <f>IFERROR(HLOOKUP(B2080,pp1p!$1:$3,3,0),0)</f>
        <v>0</v>
      </c>
    </row>
    <row r="2081" spans="1:20" ht="22.2" hidden="1" customHeight="1">
      <c r="A2081" s="1448">
        <f>COUNTIF($C$12:C2081,"x")</f>
        <v>151</v>
      </c>
      <c r="B2081" s="1460" t="s">
        <v>378</v>
      </c>
      <c r="C2081" s="970" t="str">
        <f t="shared" si="367"/>
        <v xml:space="preserve"> </v>
      </c>
      <c r="D2081" s="1428">
        <f>pp1p!CW94</f>
        <v>0</v>
      </c>
      <c r="E2081" s="980"/>
      <c r="F2081" s="992" t="str">
        <f>VLOOKUP($B2081,DG!A:D,DG!$C$2,)</f>
        <v>Biển báo độ cao</v>
      </c>
      <c r="G2081" s="980" t="str">
        <f>VLOOKUP($B2081,DG!A:D,DG!$D$2,)</f>
        <v>cái</v>
      </c>
      <c r="H2081" s="1693">
        <f t="shared" si="369"/>
        <v>0</v>
      </c>
      <c r="I2081" s="1693"/>
      <c r="J2081" s="1693"/>
      <c r="K2081" s="1693"/>
      <c r="L2081" s="1692">
        <f>IFERROR(HLOOKUP(chitiet!B2081,pp1p!$1:$3,3,0),0)</f>
        <v>0</v>
      </c>
      <c r="M2081" s="1693"/>
      <c r="N2081" s="1693"/>
      <c r="O2081" s="1693"/>
      <c r="P2081" s="1693">
        <f t="shared" si="370"/>
        <v>0</v>
      </c>
      <c r="Q2081" s="989"/>
      <c r="R2081" s="989"/>
      <c r="S2081" s="989"/>
      <c r="T2081" s="1862">
        <f>IFERROR(HLOOKUP(B2081,pp1p!$1:$3,3,0),0)</f>
        <v>0</v>
      </c>
    </row>
    <row r="2082" spans="1:20" ht="22.2" hidden="1" customHeight="1">
      <c r="A2082" s="1448">
        <f>COUNTIF($C$12:C2082,"x")</f>
        <v>151</v>
      </c>
      <c r="B2082" s="1460" t="s">
        <v>1487</v>
      </c>
      <c r="C2082" s="970" t="str">
        <f t="shared" si="367"/>
        <v xml:space="preserve"> </v>
      </c>
      <c r="D2082" s="1415">
        <f>ROUND((D2012/0.195/0.198)/1500,0)</f>
        <v>0</v>
      </c>
      <c r="E2082" s="980"/>
      <c r="F2082" s="992" t="str">
        <f>VLOOKUP($B2082,DG!A:D,DG!$C$2,)</f>
        <v>Ống nối dây cỡ 50mm2</v>
      </c>
      <c r="G2082" s="980" t="str">
        <f>VLOOKUP($B2082,DG!A:D,DG!$D$2,)</f>
        <v>cái</v>
      </c>
      <c r="H2082" s="1693">
        <f t="shared" si="369"/>
        <v>0</v>
      </c>
      <c r="I2082" s="1693"/>
      <c r="J2082" s="1693"/>
      <c r="K2082" s="1693"/>
      <c r="L2082" s="1692">
        <f>IFERROR(HLOOKUP(chitiet!B2082,pp1p!$1:$3,3,0),0)</f>
        <v>0</v>
      </c>
      <c r="M2082" s="1693"/>
      <c r="N2082" s="1693"/>
      <c r="O2082" s="1693"/>
      <c r="P2082" s="1693">
        <f t="shared" si="370"/>
        <v>0</v>
      </c>
      <c r="Q2082" s="989"/>
      <c r="R2082" s="989"/>
      <c r="S2082" s="989"/>
      <c r="T2082" s="1862">
        <f>IFERROR(HLOOKUP(B2082,pp1p!$1:$3,3,0),0)</f>
        <v>0</v>
      </c>
    </row>
    <row r="2083" spans="1:20" ht="22.2" hidden="1" customHeight="1">
      <c r="A2083" s="1448">
        <f>COUNTIF($C$12:C2083,"x")</f>
        <v>151</v>
      </c>
      <c r="B2083" s="1460" t="s">
        <v>1488</v>
      </c>
      <c r="C2083" s="970" t="str">
        <f t="shared" si="367"/>
        <v xml:space="preserve"> </v>
      </c>
      <c r="D2083" s="1415">
        <f>ROUND((D2011/0.276/(0.276+0.0045)+D2013)/1400,0)</f>
        <v>0</v>
      </c>
      <c r="E2083" s="980"/>
      <c r="F2083" s="992" t="str">
        <f>VLOOKUP($B2083,DG!A:D,DG!$C$2,)</f>
        <v>Ống nối dây cỡ 70mm2</v>
      </c>
      <c r="G2083" s="980" t="str">
        <f>VLOOKUP($B2083,DG!A:D,DG!$D$2,)</f>
        <v>cái</v>
      </c>
      <c r="H2083" s="1693">
        <f t="shared" si="369"/>
        <v>0</v>
      </c>
      <c r="I2083" s="1693"/>
      <c r="J2083" s="1693"/>
      <c r="K2083" s="1693"/>
      <c r="L2083" s="1692">
        <f>IFERROR(HLOOKUP(chitiet!B2083,pp1p!$1:$3,3,0),0)</f>
        <v>0</v>
      </c>
      <c r="M2083" s="1693"/>
      <c r="N2083" s="1693"/>
      <c r="O2083" s="1693"/>
      <c r="P2083" s="1693">
        <f t="shared" si="370"/>
        <v>0</v>
      </c>
      <c r="Q2083" s="989"/>
      <c r="R2083" s="989"/>
      <c r="S2083" s="989"/>
      <c r="T2083" s="1862">
        <f>IFERROR(HLOOKUP(B2083,pp1p!$1:$3,3,0),0)</f>
        <v>0</v>
      </c>
    </row>
    <row r="2084" spans="1:20" ht="22.2" hidden="1" customHeight="1">
      <c r="A2084" s="1448">
        <f>COUNTIF($C$12:C2084,"x")</f>
        <v>151</v>
      </c>
      <c r="B2084" s="1460" t="s">
        <v>229</v>
      </c>
      <c r="C2084" s="970" t="str">
        <f t="shared" si="367"/>
        <v xml:space="preserve"> </v>
      </c>
      <c r="D2084" s="1425">
        <f>SUM(D2089:D2090)*5/1.4</f>
        <v>0</v>
      </c>
      <c r="E2084" s="980"/>
      <c r="F2084" s="992" t="str">
        <f>VLOOKUP($B2084,DG!A:D,DG!$C$2,)</f>
        <v xml:space="preserve">Dây nhôm buộc </v>
      </c>
      <c r="G2084" s="980" t="str">
        <f>VLOOKUP($B2084,DG!A:D,DG!$D$2,)</f>
        <v>kg</v>
      </c>
      <c r="H2084" s="1699">
        <f t="shared" si="369"/>
        <v>0</v>
      </c>
      <c r="I2084" s="1693"/>
      <c r="J2084" s="1693"/>
      <c r="K2084" s="1693"/>
      <c r="L2084" s="1692">
        <f>IFERROR(HLOOKUP(chitiet!B2084,pp1p!$1:$3,3,0),0)</f>
        <v>0</v>
      </c>
      <c r="M2084" s="1693"/>
      <c r="N2084" s="1693"/>
      <c r="O2084" s="1693"/>
      <c r="P2084" s="1699">
        <f t="shared" si="370"/>
        <v>0</v>
      </c>
      <c r="Q2084" s="989"/>
      <c r="R2084" s="989"/>
      <c r="S2084" s="989"/>
      <c r="T2084" s="1862">
        <f>IFERROR(HLOOKUP(B2084,pp1p!$1:$3,3,0),0)</f>
        <v>0</v>
      </c>
    </row>
    <row r="2085" spans="1:20" ht="22.2" hidden="1" customHeight="1">
      <c r="A2085" s="1448">
        <f>COUNTIF($C$12:C2085,"x")</f>
        <v>151</v>
      </c>
      <c r="B2085" s="1460" t="s">
        <v>362</v>
      </c>
      <c r="C2085" s="970" t="str">
        <f>IF(OR(P2085&lt;&gt;0,H2085&lt;&gt;0),"x"," ")</f>
        <v xml:space="preserve"> </v>
      </c>
      <c r="D2085" s="1415">
        <v>1</v>
      </c>
      <c r="E2085" s="980"/>
      <c r="F2085" s="992" t="str">
        <f>VLOOKUP($B2085,DG!A:D,DG!$C$2,)</f>
        <v>Xà composite 110x800x5</v>
      </c>
      <c r="G2085" s="980" t="str">
        <f>VLOOKUP($B2085,DG!A:D,DG!$D$2,)</f>
        <v>cái</v>
      </c>
      <c r="H2085" s="1788"/>
      <c r="I2085" s="1693"/>
      <c r="J2085" s="1693"/>
      <c r="K2085" s="1693"/>
      <c r="L2085" s="1692">
        <f>IFERROR(HLOOKUP(chitiet!B2085,pp1p!$1:$3,3,0),0)</f>
        <v>0</v>
      </c>
      <c r="M2085" s="1693"/>
      <c r="N2085" s="1693"/>
      <c r="O2085" s="1693"/>
      <c r="P2085" s="1693">
        <f>H2085+Q2085-R2085</f>
        <v>0</v>
      </c>
      <c r="Q2085" s="989"/>
      <c r="R2085" s="989"/>
      <c r="S2085" s="989"/>
      <c r="T2085" s="1862">
        <f>IFERROR(HLOOKUP(B2085,pp1p!$1:$3,3,0),0)</f>
        <v>0</v>
      </c>
    </row>
    <row r="2086" spans="1:20" ht="22.2" hidden="1" customHeight="1">
      <c r="A2086" s="1448">
        <f>COUNTIF($C$12:C2086,"x")</f>
        <v>151</v>
      </c>
      <c r="B2086" s="1460" t="s">
        <v>4729</v>
      </c>
      <c r="C2086" s="970" t="str">
        <f t="shared" si="367"/>
        <v xml:space="preserve"> </v>
      </c>
      <c r="D2086" s="1415">
        <v>1</v>
      </c>
      <c r="E2086" s="980"/>
      <c r="F2086" s="992" t="str">
        <f>VLOOKUP($B2086,DG!A:D,DG!$C$2,)</f>
        <v>Thanh chống Composite 10x40x720</v>
      </c>
      <c r="G2086" s="980" t="str">
        <f>VLOOKUP($B2086,DG!A:D,DG!$D$2,)</f>
        <v>cái</v>
      </c>
      <c r="H2086" s="1693"/>
      <c r="I2086" s="1693"/>
      <c r="J2086" s="1693"/>
      <c r="K2086" s="1693"/>
      <c r="L2086" s="1692">
        <f>IFERROR(HLOOKUP(chitiet!B2086,pp1p!$1:$3,3,0),0)</f>
        <v>0</v>
      </c>
      <c r="M2086" s="1693"/>
      <c r="N2086" s="1693"/>
      <c r="O2086" s="1693"/>
      <c r="P2086" s="1693">
        <f t="shared" si="370"/>
        <v>0</v>
      </c>
      <c r="Q2086" s="989"/>
      <c r="R2086" s="989"/>
      <c r="S2086" s="989"/>
      <c r="T2086" s="1862">
        <f>IFERROR(HLOOKUP(B2086,pp1p!$1:$3,3,0),0)</f>
        <v>0</v>
      </c>
    </row>
    <row r="2087" spans="1:20" ht="22.2" hidden="1" customHeight="1">
      <c r="A2087" s="1448">
        <f>COUNTIF($C$12:C2087,"x")</f>
        <v>151</v>
      </c>
      <c r="B2087" s="1460" t="s">
        <v>1570</v>
      </c>
      <c r="C2087" s="970" t="str">
        <f t="shared" si="367"/>
        <v xml:space="preserve"> </v>
      </c>
      <c r="D2087" s="1415"/>
      <c r="E2087" s="980"/>
      <c r="F2087" s="992" t="str">
        <f>VLOOKUP($B2087,DG!A:D,DG!$C$2,)</f>
        <v>Biển số - Bảng nguy hiểm</v>
      </c>
      <c r="G2087" s="980" t="str">
        <f>VLOOKUP($B2087,DG!A:D,DG!$D$2,)</f>
        <v>cái</v>
      </c>
      <c r="H2087" s="1693">
        <f t="shared" si="369"/>
        <v>0</v>
      </c>
      <c r="I2087" s="1693"/>
      <c r="J2087" s="1693"/>
      <c r="K2087" s="1693"/>
      <c r="L2087" s="1692">
        <f>IFERROR(HLOOKUP(chitiet!B2087,pp1p!$1:$3,3,0),0)</f>
        <v>0</v>
      </c>
      <c r="M2087" s="1693"/>
      <c r="N2087" s="1693"/>
      <c r="O2087" s="1693"/>
      <c r="P2087" s="1693">
        <f t="shared" si="370"/>
        <v>0</v>
      </c>
      <c r="Q2087" s="989"/>
      <c r="R2087" s="989"/>
      <c r="S2087" s="989"/>
      <c r="T2087" s="1862">
        <f>IFERROR(HLOOKUP(B2087,pp1p!$1:$3,3,0),0)</f>
        <v>0</v>
      </c>
    </row>
    <row r="2088" spans="1:20" ht="22.2" hidden="1" customHeight="1">
      <c r="A2088" s="1448">
        <f>COUNTIF($C$12:C2088,"x")</f>
        <v>151</v>
      </c>
      <c r="B2088" s="1460" t="s">
        <v>382</v>
      </c>
      <c r="C2088" s="970" t="str">
        <f t="shared" si="367"/>
        <v xml:space="preserve"> </v>
      </c>
      <c r="D2088" s="1415">
        <f>D2367</f>
        <v>0</v>
      </c>
      <c r="E2088" s="980"/>
      <c r="F2088" s="992" t="str">
        <f>VLOOKUP($B2088,DG!A:D,DG!$C$2,)</f>
        <v>Chụp đầu cực FCO (bộ 2 cái)</v>
      </c>
      <c r="G2088" s="980" t="str">
        <f>VLOOKUP($B2088,DG!A:D,DG!$D$2,)</f>
        <v>bộ</v>
      </c>
      <c r="H2088" s="1693">
        <f t="shared" si="369"/>
        <v>0</v>
      </c>
      <c r="I2088" s="1693"/>
      <c r="J2088" s="1693"/>
      <c r="K2088" s="1693"/>
      <c r="L2088" s="1692">
        <f>IFERROR(HLOOKUP(chitiet!B2088,pp1p!$1:$3,3,0),0)</f>
        <v>0</v>
      </c>
      <c r="M2088" s="1693"/>
      <c r="N2088" s="1693"/>
      <c r="O2088" s="1693"/>
      <c r="P2088" s="1693">
        <f t="shared" si="370"/>
        <v>0</v>
      </c>
      <c r="Q2088" s="989"/>
      <c r="R2088" s="989"/>
      <c r="S2088" s="989"/>
      <c r="T2088" s="1862">
        <f>IFERROR(HLOOKUP(B2088,pp1p!$1:$3,3,0),0)</f>
        <v>0</v>
      </c>
    </row>
    <row r="2089" spans="1:20" ht="22.2" hidden="1" customHeight="1">
      <c r="A2089" s="1448">
        <f>COUNTIF($C$12:C2089,"x")</f>
        <v>151</v>
      </c>
      <c r="B2089" s="1460" t="s">
        <v>1269</v>
      </c>
      <c r="C2089" s="970" t="str">
        <f t="shared" si="367"/>
        <v xml:space="preserve"> </v>
      </c>
      <c r="D2089" s="1414">
        <f>(E2012)/1000</f>
        <v>0</v>
      </c>
      <c r="E2089" s="980" t="str">
        <f>VLOOKUP($B2089,DG!A:D,DG!$B$2,)</f>
        <v>06.6114</v>
      </c>
      <c r="F2089" s="985" t="str">
        <f>VLOOKUP($B2089,DG!A:D,DG!$C$2,)</f>
        <v>Kéo dây nhôm lõi thép cỡ dây 50mm2</v>
      </c>
      <c r="G2089" s="980" t="str">
        <f>VLOOKUP($B2089,DG!A:D,DG!$D$2,)</f>
        <v>km</v>
      </c>
      <c r="H2089" s="1699">
        <f t="shared" si="369"/>
        <v>0</v>
      </c>
      <c r="I2089" s="1693"/>
      <c r="J2089" s="1693"/>
      <c r="K2089" s="1693"/>
      <c r="L2089" s="1692">
        <f>IFERROR(HLOOKUP(chitiet!B2089,pp1p!$1:$3,3,0),0)</f>
        <v>0</v>
      </c>
      <c r="M2089" s="1693"/>
      <c r="N2089" s="1693"/>
      <c r="O2089" s="1693"/>
      <c r="P2089" s="1699">
        <f t="shared" si="370"/>
        <v>0</v>
      </c>
      <c r="Q2089" s="989"/>
      <c r="R2089" s="989"/>
      <c r="S2089" s="989"/>
      <c r="T2089" s="1862">
        <f>IFERROR(HLOOKUP(B2089,pp1p!$1:$3,3,0),0)</f>
        <v>0</v>
      </c>
    </row>
    <row r="2090" spans="1:20" ht="22.2" hidden="1" customHeight="1">
      <c r="A2090" s="1448">
        <f>COUNTIF($C$12:C2090,"x")</f>
        <v>151</v>
      </c>
      <c r="B2090" s="1460" t="s">
        <v>1414</v>
      </c>
      <c r="C2090" s="970" t="str">
        <f t="shared" si="367"/>
        <v xml:space="preserve"> </v>
      </c>
      <c r="D2090" s="1414">
        <f>(E2011)/1000</f>
        <v>0</v>
      </c>
      <c r="E2090" s="980" t="str">
        <f>VLOOKUP($B2090,DG!A:D,DG!$B$2,)</f>
        <v>06.6105</v>
      </c>
      <c r="F2090" s="985" t="str">
        <f>VLOOKUP($B2090,DG!A:D,DG!$C$2,)</f>
        <v>Kéo dây nhôm lõi thép cỡ dây 70mm2</v>
      </c>
      <c r="G2090" s="980" t="str">
        <f>VLOOKUP($B2090,DG!A:D,DG!$D$2,)</f>
        <v>km</v>
      </c>
      <c r="H2090" s="1693">
        <f t="shared" si="369"/>
        <v>0</v>
      </c>
      <c r="I2090" s="1693"/>
      <c r="J2090" s="1693"/>
      <c r="K2090" s="1693"/>
      <c r="L2090" s="1692">
        <f>IFERROR(HLOOKUP(chitiet!B2090,pp1p!$1:$3,3,0),0)</f>
        <v>0</v>
      </c>
      <c r="M2090" s="1693"/>
      <c r="N2090" s="1693"/>
      <c r="O2090" s="1693"/>
      <c r="P2090" s="1693">
        <f t="shared" si="370"/>
        <v>0</v>
      </c>
      <c r="Q2090" s="989"/>
      <c r="R2090" s="989"/>
      <c r="S2090" s="989"/>
      <c r="T2090" s="1862">
        <f>IFERROR(HLOOKUP(B2090,pp1p!$1:$3,3,0),0)</f>
        <v>0</v>
      </c>
    </row>
    <row r="2091" spans="1:20" ht="22.2" hidden="1" customHeight="1">
      <c r="A2091" s="1448">
        <f>COUNTIF($C$12:C2091,"x")</f>
        <v>151</v>
      </c>
      <c r="B2091" s="1460" t="s">
        <v>366</v>
      </c>
      <c r="C2091" s="970" t="str">
        <f t="shared" si="367"/>
        <v xml:space="preserve"> </v>
      </c>
      <c r="D2091" s="1414">
        <f>E2013/1000</f>
        <v>0</v>
      </c>
      <c r="E2091" s="980" t="str">
        <f>VLOOKUP($B2091,DG!A:D,DG!$B$2,)</f>
        <v>06.6114</v>
      </c>
      <c r="F2091" s="985" t="str">
        <f>VLOOKUP($B2091,DG!A:D,DG!$C$2,)</f>
        <v>Kéo dây nhôm bọc cỡ dây 50mm2</v>
      </c>
      <c r="G2091" s="980" t="str">
        <f>VLOOKUP($B2091,DG!A:D,DG!$D$2,)</f>
        <v>km</v>
      </c>
      <c r="H2091" s="1699">
        <f t="shared" si="369"/>
        <v>0</v>
      </c>
      <c r="I2091" s="1693"/>
      <c r="J2091" s="1693"/>
      <c r="K2091" s="1693"/>
      <c r="L2091" s="1692">
        <f>IFERROR(HLOOKUP(chitiet!B2091,pp1p!$1:$3,3,0),0)</f>
        <v>0</v>
      </c>
      <c r="M2091" s="1693"/>
      <c r="N2091" s="1693"/>
      <c r="O2091" s="1693"/>
      <c r="P2091" s="1699">
        <f t="shared" si="370"/>
        <v>0</v>
      </c>
      <c r="Q2091" s="989"/>
      <c r="R2091" s="989"/>
      <c r="S2091" s="989"/>
      <c r="T2091" s="1862">
        <f>IFERROR(HLOOKUP(B2091,pp1p!$1:$3,3,0),0)</f>
        <v>0</v>
      </c>
    </row>
    <row r="2092" spans="1:20" ht="22.2" hidden="1" customHeight="1">
      <c r="A2092" s="1448">
        <f>COUNTIF($C$12:C2092,"x")</f>
        <v>151</v>
      </c>
      <c r="B2092" s="1455" t="s">
        <v>347</v>
      </c>
      <c r="C2092" s="970" t="str">
        <f t="shared" si="367"/>
        <v xml:space="preserve"> </v>
      </c>
      <c r="D2092" s="1415">
        <f>D2027+D2030+D2034</f>
        <v>0</v>
      </c>
      <c r="E2092" s="980" t="str">
        <f>VLOOKUP($B2092,DG!A:D,DG!$B$2,)</f>
        <v>06.1115</v>
      </c>
      <c r="F2092" s="985" t="str">
        <f>VLOOKUP($B2092,DG!A:D,DG!$C$2,)</f>
        <v>Lắp sứ đứng 24KV</v>
      </c>
      <c r="G2092" s="980" t="str">
        <f>VLOOKUP($B2092,DG!A:D,DG!$D$2,)</f>
        <v>bộ</v>
      </c>
      <c r="H2092" s="1693">
        <f t="shared" si="369"/>
        <v>0</v>
      </c>
      <c r="I2092" s="1693"/>
      <c r="J2092" s="1693"/>
      <c r="K2092" s="1693"/>
      <c r="L2092" s="1692">
        <f>IFERROR(HLOOKUP(chitiet!B2092,pp1p!$1:$3,3,0),0)</f>
        <v>0</v>
      </c>
      <c r="M2092" s="1693"/>
      <c r="N2092" s="1693"/>
      <c r="O2092" s="1693"/>
      <c r="P2092" s="1693">
        <f t="shared" si="370"/>
        <v>0</v>
      </c>
      <c r="Q2092" s="989"/>
      <c r="R2092" s="989"/>
      <c r="S2092" s="989"/>
      <c r="T2092" s="1862">
        <f>IFERROR(HLOOKUP(B2092,pp1p!$1:$3,3,0),0)</f>
        <v>0</v>
      </c>
    </row>
    <row r="2093" spans="1:20" ht="22.2" hidden="1" customHeight="1">
      <c r="A2093" s="1448">
        <f>COUNTIF($C$12:C2093,"x")</f>
        <v>151</v>
      </c>
      <c r="B2093" s="1455" t="s">
        <v>348</v>
      </c>
      <c r="C2093" s="970" t="str">
        <f t="shared" si="367"/>
        <v xml:space="preserve"> </v>
      </c>
      <c r="D2093" s="1415">
        <f>D2031+D2035</f>
        <v>0</v>
      </c>
      <c r="E2093" s="980" t="str">
        <f>VLOOKUP($B2093,DG!A:D,DG!$B$2,)</f>
        <v>06.3231</v>
      </c>
      <c r="F2093" s="985" t="str">
        <f>VLOOKUP($B2093,DG!A:D,DG!$C$2,)</f>
        <v>Lắp chân sứ đỉnh</v>
      </c>
      <c r="G2093" s="980" t="str">
        <f>VLOOKUP($B2093,DG!A:D,DG!$D$2,)</f>
        <v>cái</v>
      </c>
      <c r="H2093" s="1693">
        <f t="shared" si="369"/>
        <v>0</v>
      </c>
      <c r="I2093" s="1693"/>
      <c r="J2093" s="1693"/>
      <c r="K2093" s="1693"/>
      <c r="L2093" s="1692">
        <f>IFERROR(HLOOKUP(chitiet!B2093,pp1p!$1:$3,3,0),0)</f>
        <v>0</v>
      </c>
      <c r="M2093" s="1693"/>
      <c r="N2093" s="1693"/>
      <c r="O2093" s="1693"/>
      <c r="P2093" s="1693">
        <f t="shared" si="370"/>
        <v>0</v>
      </c>
      <c r="Q2093" s="989"/>
      <c r="R2093" s="989"/>
      <c r="S2093" s="989"/>
      <c r="T2093" s="1862">
        <f>IFERROR(HLOOKUP(B2093,pp1p!$1:$3,3,0),0)</f>
        <v>0</v>
      </c>
    </row>
    <row r="2094" spans="1:20" ht="22.2" hidden="1" customHeight="1">
      <c r="A2094" s="1448">
        <f>COUNTIF($C$12:C2094,"x")</f>
        <v>151</v>
      </c>
      <c r="B2094" s="1455" t="s">
        <v>349</v>
      </c>
      <c r="C2094" s="970" t="str">
        <f t="shared" si="367"/>
        <v xml:space="preserve"> </v>
      </c>
      <c r="D2094" s="1415">
        <f>D2059</f>
        <v>0</v>
      </c>
      <c r="E2094" s="980" t="str">
        <f>VLOOKUP($B2094,DG!A:D,DG!$B$2,)</f>
        <v>06.1410</v>
      </c>
      <c r="F2094" s="985" t="str">
        <f>VLOOKUP($B2094,DG!A:D,DG!$C$2,)</f>
        <v>Lắp chuỗi sứ đỡ 2 bát/chuỗi</v>
      </c>
      <c r="G2094" s="980" t="str">
        <f>VLOOKUP($B2094,DG!A:D,DG!$D$2,)</f>
        <v>chuỗi</v>
      </c>
      <c r="H2094" s="1693">
        <f t="shared" si="369"/>
        <v>0</v>
      </c>
      <c r="I2094" s="1693"/>
      <c r="J2094" s="1693"/>
      <c r="K2094" s="1693"/>
      <c r="L2094" s="1692">
        <f>IFERROR(HLOOKUP(chitiet!B2094,pp1p!$1:$3,3,0),0)</f>
        <v>0</v>
      </c>
      <c r="M2094" s="1693"/>
      <c r="N2094" s="1693"/>
      <c r="O2094" s="1693"/>
      <c r="P2094" s="1693">
        <f t="shared" si="370"/>
        <v>0</v>
      </c>
      <c r="Q2094" s="989"/>
      <c r="R2094" s="989"/>
      <c r="S2094" s="989"/>
      <c r="T2094" s="1862">
        <f>IFERROR(HLOOKUP(B2094,pp1p!$1:$3,3,0),0)</f>
        <v>0</v>
      </c>
    </row>
    <row r="2095" spans="1:20" ht="22.2" hidden="1" customHeight="1">
      <c r="A2095" s="1448">
        <f>COUNTIF($C$12:C2095,"x")</f>
        <v>151</v>
      </c>
      <c r="B2095" s="1455" t="s">
        <v>350</v>
      </c>
      <c r="C2095" s="970" t="str">
        <f t="shared" si="367"/>
        <v xml:space="preserve"> </v>
      </c>
      <c r="D2095" s="1415">
        <f>SUM(D2060:D2061)</f>
        <v>0</v>
      </c>
      <c r="E2095" s="980" t="str">
        <f>VLOOKUP($B2095,DG!A:D,DG!$B$2,)</f>
        <v>06.1511</v>
      </c>
      <c r="F2095" s="985" t="str">
        <f>VLOOKUP($B2095,DG!A:D,DG!$C$2,)</f>
        <v>Lắp chuỗi sứ néo 2 bát/chuỗi</v>
      </c>
      <c r="G2095" s="980" t="str">
        <f>VLOOKUP($B2095,DG!A:D,DG!$D$2,)</f>
        <v>chuỗi</v>
      </c>
      <c r="H2095" s="1693">
        <f t="shared" si="369"/>
        <v>0</v>
      </c>
      <c r="I2095" s="1693"/>
      <c r="J2095" s="1693"/>
      <c r="K2095" s="1693"/>
      <c r="L2095" s="1692">
        <f>IFERROR(HLOOKUP(chitiet!B2095,pp1p!$1:$3,3,0),0)</f>
        <v>0</v>
      </c>
      <c r="M2095" s="1693"/>
      <c r="N2095" s="1693"/>
      <c r="O2095" s="1693"/>
      <c r="P2095" s="1693">
        <f t="shared" si="370"/>
        <v>0</v>
      </c>
      <c r="Q2095" s="994"/>
      <c r="R2095" s="994"/>
      <c r="S2095" s="994"/>
      <c r="T2095" s="1862">
        <f>IFERROR(HLOOKUP(B2095,pp1p!$1:$3,3,0),0)</f>
        <v>0</v>
      </c>
    </row>
    <row r="2096" spans="1:20" ht="22.2" hidden="1" customHeight="1">
      <c r="A2096" s="1448">
        <f>COUNTIF($C$12:C2096,"x")</f>
        <v>151</v>
      </c>
      <c r="B2096" s="1455" t="s">
        <v>1507</v>
      </c>
      <c r="C2096" s="970" t="str">
        <f t="shared" si="367"/>
        <v xml:space="preserve"> </v>
      </c>
      <c r="D2096" s="1415">
        <f>D2047+D2043</f>
        <v>0</v>
      </c>
      <c r="E2096" s="980" t="str">
        <f>VLOOKUP($B2096,DG!A:D,DG!$B$2,)</f>
        <v>06.2201</v>
      </c>
      <c r="F2096" s="985" t="str">
        <f>VLOOKUP($B2096,DG!A:D,DG!$C$2,)</f>
        <v>Lắp chuỗi sứ néo Polymer</v>
      </c>
      <c r="G2096" s="980" t="str">
        <f>VLOOKUP($B2096,DG!A:D,DG!$D$2,)</f>
        <v>chuỗi</v>
      </c>
      <c r="H2096" s="1693">
        <f t="shared" si="369"/>
        <v>0</v>
      </c>
      <c r="I2096" s="1693"/>
      <c r="J2096" s="1693"/>
      <c r="K2096" s="1693"/>
      <c r="L2096" s="1692">
        <f>IFERROR(HLOOKUP(chitiet!B2096,pp1p!$1:$3,3,0),0)</f>
        <v>0</v>
      </c>
      <c r="M2096" s="1693"/>
      <c r="N2096" s="1693"/>
      <c r="O2096" s="1693"/>
      <c r="P2096" s="1693">
        <f t="shared" si="370"/>
        <v>0</v>
      </c>
      <c r="Q2096" s="994"/>
      <c r="R2096" s="994"/>
      <c r="S2096" s="994"/>
      <c r="T2096" s="1862">
        <f>IFERROR(HLOOKUP(B2096,pp1p!$1:$3,3,0),0)</f>
        <v>0</v>
      </c>
    </row>
    <row r="2097" spans="1:20" ht="22.2" hidden="1" customHeight="1">
      <c r="A2097" s="1448">
        <f>COUNTIF($C$12:C2097,"x")</f>
        <v>151</v>
      </c>
      <c r="B2097" s="1455" t="s">
        <v>351</v>
      </c>
      <c r="C2097" s="970" t="str">
        <f t="shared" si="367"/>
        <v xml:space="preserve"> </v>
      </c>
      <c r="D2097" s="1415">
        <f>D2015+D2018</f>
        <v>0</v>
      </c>
      <c r="E2097" s="980" t="str">
        <f>VLOOKUP($B2097,DG!A:D,DG!$B$2,)</f>
        <v>06.1211</v>
      </c>
      <c r="F2097" s="985" t="str">
        <f>VLOOKUP($B2097,DG!A:D,DG!$C$2,)</f>
        <v>Lắp rack sứ + sứ ống chỉ</v>
      </c>
      <c r="G2097" s="980" t="str">
        <f>VLOOKUP($B2097,DG!A:D,DG!$D$2,)</f>
        <v>bộ</v>
      </c>
      <c r="H2097" s="1693">
        <f t="shared" si="369"/>
        <v>0</v>
      </c>
      <c r="I2097" s="1693"/>
      <c r="J2097" s="1693"/>
      <c r="K2097" s="1693"/>
      <c r="L2097" s="1692">
        <f>IFERROR(HLOOKUP(chitiet!B2097,pp1p!$1:$3,3,0),0)</f>
        <v>0</v>
      </c>
      <c r="M2097" s="1693"/>
      <c r="N2097" s="1693"/>
      <c r="O2097" s="1693"/>
      <c r="P2097" s="1693">
        <f t="shared" si="370"/>
        <v>0</v>
      </c>
      <c r="Q2097" s="989"/>
      <c r="R2097" s="989"/>
      <c r="S2097" s="989"/>
      <c r="T2097" s="1862">
        <f>IFERROR(HLOOKUP(B2097,pp1p!$1:$3,3,0),0)</f>
        <v>0</v>
      </c>
    </row>
    <row r="2098" spans="1:20" ht="22.2" hidden="1" customHeight="1">
      <c r="A2098" s="1448">
        <f>COUNTIF($C$12:C2098,"x")</f>
        <v>151</v>
      </c>
      <c r="B2098" s="1455" t="s">
        <v>353</v>
      </c>
      <c r="C2098" s="970" t="str">
        <f t="shared" si="367"/>
        <v xml:space="preserve"> </v>
      </c>
      <c r="D2098" s="1415">
        <f>P2098</f>
        <v>0</v>
      </c>
      <c r="E2098" s="980" t="str">
        <f>VLOOKUP($B2098,DG!A:D,DG!$B$2,)</f>
        <v>06.5072</v>
      </c>
      <c r="F2098" s="985" t="str">
        <f>VLOOKUP($B2098,DG!A:D,DG!$C$2,)</f>
        <v xml:space="preserve">Kéo dây qua vị trí bẻ góc dây </v>
      </c>
      <c r="G2098" s="980" t="str">
        <f>VLOOKUP($B2098,DG!A:D,DG!$D$2,)</f>
        <v>vị trí</v>
      </c>
      <c r="H2098" s="1693"/>
      <c r="I2098" s="1693"/>
      <c r="J2098" s="1693"/>
      <c r="K2098" s="1693"/>
      <c r="L2098" s="1692">
        <f>IFERROR(HLOOKUP(chitiet!B2098,pp1p!$1:$3,3,0),0)</f>
        <v>0</v>
      </c>
      <c r="M2098" s="1693"/>
      <c r="N2098" s="1693"/>
      <c r="O2098" s="1693"/>
      <c r="P2098" s="1693">
        <f t="shared" si="370"/>
        <v>0</v>
      </c>
      <c r="Q2098" s="994"/>
      <c r="R2098" s="994"/>
      <c r="S2098" s="994"/>
      <c r="T2098" s="1862">
        <f>IFERROR(HLOOKUP(B2098,pp1p!$1:$3,3,0),0)</f>
        <v>0</v>
      </c>
    </row>
    <row r="2099" spans="1:20" ht="22.2" hidden="1" customHeight="1">
      <c r="A2099" s="1448">
        <f>COUNTIF($C$12:C2099,"x")</f>
        <v>151</v>
      </c>
      <c r="B2099" s="1455" t="s">
        <v>354</v>
      </c>
      <c r="C2099" s="970" t="str">
        <f t="shared" si="367"/>
        <v xml:space="preserve"> </v>
      </c>
      <c r="D2099" s="1412">
        <f>pp1p!CW94*0</f>
        <v>0</v>
      </c>
      <c r="E2099" s="980" t="str">
        <f>VLOOKUP($B2099,DG!A:D,DG!$B$2,)</f>
        <v>06.5082</v>
      </c>
      <c r="F2099" s="985" t="s">
        <v>2558</v>
      </c>
      <c r="G2099" s="980" t="str">
        <f>VLOOKUP($B2099,DG!A:D,DG!$D$2,)</f>
        <v>vị trí</v>
      </c>
      <c r="H2099" s="1693">
        <f t="shared" ref="H2099:H2104" si="371">D2099</f>
        <v>0</v>
      </c>
      <c r="I2099" s="1693"/>
      <c r="J2099" s="1693"/>
      <c r="K2099" s="1693"/>
      <c r="L2099" s="1692">
        <f>IFERROR(HLOOKUP(chitiet!B2099,pp1p!$1:$3,3,0),0)</f>
        <v>0</v>
      </c>
      <c r="M2099" s="1693"/>
      <c r="N2099" s="1693"/>
      <c r="O2099" s="1693"/>
      <c r="P2099" s="1693">
        <f t="shared" si="370"/>
        <v>0</v>
      </c>
      <c r="Q2099" s="994"/>
      <c r="R2099" s="994"/>
      <c r="S2099" s="994"/>
      <c r="T2099" s="1862">
        <f>IFERROR(HLOOKUP(B2099,pp1p!$1:$3,3,0),0)</f>
        <v>0</v>
      </c>
    </row>
    <row r="2100" spans="1:20" ht="22.2" hidden="1" customHeight="1">
      <c r="A2100" s="1448">
        <f>COUNTIF($C$12:C2100,"x")</f>
        <v>151</v>
      </c>
      <c r="B2100" s="1455" t="s">
        <v>355</v>
      </c>
      <c r="C2100" s="970" t="str">
        <f t="shared" ref="C2100:C2166" si="372">IF(OR(P2100&lt;&gt;0,H2100&lt;&gt;0),"x"," ")</f>
        <v xml:space="preserve"> </v>
      </c>
      <c r="D2100" s="1414">
        <f>D2103</f>
        <v>0</v>
      </c>
      <c r="E2100" s="980" t="str">
        <f>VLOOKUP($B2100,DG!A:D,DG!$B$2,)</f>
        <v>02.1122</v>
      </c>
      <c r="F2100" s="985" t="str">
        <f>VLOOKUP($B2100,DG!A:D,DG!$C$2,)</f>
        <v>Bốc dỡ dây</v>
      </c>
      <c r="G2100" s="980" t="str">
        <f>VLOOKUP($B2100,DG!A:D,DG!$D$2,)</f>
        <v>tấn</v>
      </c>
      <c r="H2100" s="1693">
        <f t="shared" si="371"/>
        <v>0</v>
      </c>
      <c r="I2100" s="1693"/>
      <c r="J2100" s="1693"/>
      <c r="K2100" s="1693"/>
      <c r="L2100" s="1692">
        <f>IFERROR(HLOOKUP(chitiet!B2100,pp1p!$1:$3,3,0),0)</f>
        <v>0</v>
      </c>
      <c r="M2100" s="1693"/>
      <c r="N2100" s="1693"/>
      <c r="O2100" s="1693"/>
      <c r="P2100" s="1693">
        <f t="shared" si="370"/>
        <v>0</v>
      </c>
      <c r="Q2100" s="994"/>
      <c r="R2100" s="994"/>
      <c r="S2100" s="994"/>
      <c r="T2100" s="1862">
        <f>IFERROR(HLOOKUP(B2100,pp1p!$1:$3,3,0),0)</f>
        <v>0</v>
      </c>
    </row>
    <row r="2101" spans="1:20" ht="22.2" hidden="1" customHeight="1">
      <c r="A2101" s="1448">
        <f>COUNTIF($C$12:C2101,"x")</f>
        <v>151</v>
      </c>
      <c r="B2101" s="1455" t="s">
        <v>1902</v>
      </c>
      <c r="C2101" s="970" t="str">
        <f t="shared" si="372"/>
        <v xml:space="preserve"> </v>
      </c>
      <c r="D2101" s="1414">
        <f>D2102</f>
        <v>0</v>
      </c>
      <c r="E2101" s="980" t="str">
        <f>VLOOKUP($B2101,DG!A:D,DG!$B$2,)</f>
        <v>02.1120</v>
      </c>
      <c r="F2101" s="985" t="str">
        <f>VLOOKUP($B2101,DG!A:D,DG!$C$2,)</f>
        <v>Bốc dỡ phụ kiện</v>
      </c>
      <c r="G2101" s="980" t="str">
        <f>VLOOKUP($B2101,DG!A:D,DG!$D$2,)</f>
        <v>tấn</v>
      </c>
      <c r="H2101" s="1693">
        <f t="shared" si="371"/>
        <v>0</v>
      </c>
      <c r="I2101" s="1693"/>
      <c r="J2101" s="1693"/>
      <c r="K2101" s="1693"/>
      <c r="L2101" s="1692">
        <f>IFERROR(HLOOKUP(chitiet!B2101,pp1p!$1:$3,3,0),0)</f>
        <v>0</v>
      </c>
      <c r="M2101" s="1693"/>
      <c r="N2101" s="1693"/>
      <c r="O2101" s="1693"/>
      <c r="P2101" s="1693">
        <f t="shared" si="370"/>
        <v>0</v>
      </c>
      <c r="Q2101" s="994"/>
      <c r="R2101" s="994"/>
      <c r="S2101" s="994"/>
      <c r="T2101" s="1862">
        <f>IFERROR(HLOOKUP(B2101,pp1p!$1:$3,3,0),0)</f>
        <v>0</v>
      </c>
    </row>
    <row r="2102" spans="1:20" ht="22.2" hidden="1" customHeight="1">
      <c r="A2102" s="1448">
        <f>COUNTIF($C$12:C2102,"x")</f>
        <v>151</v>
      </c>
      <c r="B2102" s="1466" t="s">
        <v>356</v>
      </c>
      <c r="C2102" s="970" t="str">
        <f t="shared" si="372"/>
        <v xml:space="preserve"> </v>
      </c>
      <c r="D2102" s="1414">
        <f>ROUND((D2014*2++D2017*5+D2026*7+D2029*15+D2033*25+D2037*15+D2047*15+D2053*15)/1000,2)*0</f>
        <v>0</v>
      </c>
      <c r="E2102" s="980" t="str">
        <f>VLOOKUP($B2102,DG!A:C,2,)</f>
        <v>02.1421</v>
      </c>
      <c r="F2102" s="985" t="str">
        <f>VLOOKUP($B2102,DG!A:C,3,)</f>
        <v>V/c phụ kiện vào vị trí (cự ly &lt;=100m)</v>
      </c>
      <c r="G2102" s="980" t="str">
        <f>VLOOKUP($B2102,DG!A:D,4,0)</f>
        <v>tấn</v>
      </c>
      <c r="H2102" s="1693">
        <f t="shared" si="371"/>
        <v>0</v>
      </c>
      <c r="I2102" s="1693"/>
      <c r="J2102" s="1693"/>
      <c r="K2102" s="1693"/>
      <c r="L2102" s="1692">
        <f>IFERROR(HLOOKUP(chitiet!B2102,pp1p!$1:$3,3,0),0)</f>
        <v>0</v>
      </c>
      <c r="M2102" s="1693"/>
      <c r="N2102" s="1693"/>
      <c r="O2102" s="1693"/>
      <c r="P2102" s="1693">
        <f t="shared" si="370"/>
        <v>0</v>
      </c>
      <c r="Q2102" s="994"/>
      <c r="R2102" s="994"/>
      <c r="S2102" s="994"/>
      <c r="T2102" s="1862">
        <f>IFERROR(HLOOKUP(B2102,pp1p!$1:$3,3,0),0)</f>
        <v>0</v>
      </c>
    </row>
    <row r="2103" spans="1:20" ht="22.2" hidden="1" customHeight="1">
      <c r="A2103" s="1448">
        <f>COUNTIF($C$12:C2103,"x")</f>
        <v>151</v>
      </c>
      <c r="B2103" s="1466" t="s">
        <v>357</v>
      </c>
      <c r="C2103" s="970" t="str">
        <f t="shared" si="372"/>
        <v xml:space="preserve"> </v>
      </c>
      <c r="D2103" s="1414">
        <f>ROUND(SUM(D2011:D2012)*1.05/1000+D2013*0.189*1.1/1000+D2079*0.35/1000,2)*0</f>
        <v>0</v>
      </c>
      <c r="E2103" s="980" t="str">
        <f>VLOOKUP($B2103,DG!A:C,2,)</f>
        <v>02.1441</v>
      </c>
      <c r="F2103" s="985" t="str">
        <f>VLOOKUP($B2103,DG!A:C,3,)</f>
        <v>V/c dây vào vị trí (cự ly &lt;=100m)</v>
      </c>
      <c r="G2103" s="980" t="str">
        <f>VLOOKUP($B2103,DG!A:D,4,0)</f>
        <v>tấn</v>
      </c>
      <c r="H2103" s="1693">
        <f t="shared" si="371"/>
        <v>0</v>
      </c>
      <c r="I2103" s="1693"/>
      <c r="J2103" s="1693"/>
      <c r="K2103" s="1693"/>
      <c r="L2103" s="1692">
        <f>IFERROR(HLOOKUP(chitiet!B2103,pp1p!$1:$3,3,0),0)</f>
        <v>0</v>
      </c>
      <c r="M2103" s="1693"/>
      <c r="N2103" s="1693"/>
      <c r="O2103" s="1693"/>
      <c r="P2103" s="1693">
        <f t="shared" si="370"/>
        <v>0</v>
      </c>
      <c r="Q2103" s="994"/>
      <c r="R2103" s="994"/>
      <c r="S2103" s="994"/>
      <c r="T2103" s="1862">
        <f>IFERROR(HLOOKUP(B2103,pp1p!$1:$3,3,0),0)</f>
        <v>0</v>
      </c>
    </row>
    <row r="2104" spans="1:20" ht="22.2" hidden="1" customHeight="1">
      <c r="A2104" s="1448">
        <f>COUNTIF($C$12:C2104,"x")</f>
        <v>151</v>
      </c>
      <c r="B2104" s="1464" t="s">
        <v>606</v>
      </c>
      <c r="C2104" s="970" t="str">
        <f t="shared" si="372"/>
        <v xml:space="preserve"> </v>
      </c>
      <c r="D2104" s="1414">
        <f>IF(D2103&lt;&gt;0,5,0)</f>
        <v>0</v>
      </c>
      <c r="E2104" s="980" t="str">
        <f>VLOOKUP($B2104,DG!A:C,2,)</f>
        <v>02.1482</v>
      </c>
      <c r="F2104" s="985" t="str">
        <f>VLOOKUP($B2104,DG!A:C,3,)</f>
        <v>V/c dụng cụ thi công vào vị trí (cự ly &lt;=100m)</v>
      </c>
      <c r="G2104" s="980" t="str">
        <f>VLOOKUP($B2104,DG!A:D,4,0)</f>
        <v>tấn</v>
      </c>
      <c r="H2104" s="1693">
        <f t="shared" si="371"/>
        <v>0</v>
      </c>
      <c r="I2104" s="1693"/>
      <c r="J2104" s="1693"/>
      <c r="K2104" s="1693"/>
      <c r="L2104" s="1692">
        <f>IFERROR(HLOOKUP(chitiet!B2104,pp1p!$1:$3,3,0),0)</f>
        <v>0</v>
      </c>
      <c r="M2104" s="1693"/>
      <c r="N2104" s="1693"/>
      <c r="O2104" s="1693"/>
      <c r="P2104" s="1693">
        <f t="shared" si="370"/>
        <v>0</v>
      </c>
      <c r="Q2104" s="994"/>
      <c r="R2104" s="994"/>
      <c r="S2104" s="994"/>
      <c r="T2104" s="1862">
        <f>IFERROR(HLOOKUP(B2104,pp1p!$1:$3,3,0),0)</f>
        <v>0</v>
      </c>
    </row>
    <row r="2105" spans="1:20" ht="22.2" hidden="1" customHeight="1" collapsed="1">
      <c r="A2105" s="1448">
        <f>COUNTIF($C$12:C2105,"x")</f>
        <v>151</v>
      </c>
      <c r="B2105" s="1452" t="s">
        <v>284</v>
      </c>
      <c r="C2105" s="970" t="str">
        <f>IF(D2105&lt;&gt;0,"x"," ")</f>
        <v xml:space="preserve"> </v>
      </c>
      <c r="D2105" s="1412">
        <f>IF(SUM(D2106:D2128)=0,0,1)</f>
        <v>0</v>
      </c>
      <c r="E2105" s="982" t="s">
        <v>2170</v>
      </c>
      <c r="F2105" s="1276" t="s">
        <v>2559</v>
      </c>
      <c r="G2105" s="982" t="s">
        <v>2301</v>
      </c>
      <c r="H2105" s="1691">
        <f>SUM(I2105:O2105)</f>
        <v>0</v>
      </c>
      <c r="I2105" s="1692"/>
      <c r="J2105" s="1692"/>
      <c r="K2105" s="1692"/>
      <c r="L2105" s="1692">
        <f>IFERROR(HLOOKUP(chitiet!B2105,pp1p!$1:$3,3,0),0)</f>
        <v>0</v>
      </c>
      <c r="M2105" s="1692"/>
      <c r="N2105" s="1692"/>
      <c r="O2105" s="1692"/>
      <c r="P2105" s="2674">
        <f>T2105</f>
        <v>0</v>
      </c>
      <c r="Q2105" s="983">
        <f>IF(P2105&gt;H2105,P2105-H2105,0)</f>
        <v>0</v>
      </c>
      <c r="R2105" s="983">
        <f>IF(H2105&gt;P2105,H2105-P2105,0)</f>
        <v>0</v>
      </c>
      <c r="S2105" s="983"/>
      <c r="T2105" s="1862">
        <f t="shared" ref="T2105:T2148" si="373">IFERROR(HLOOKUP(B2105,BangKeTru,3,0),0)</f>
        <v>0</v>
      </c>
    </row>
    <row r="2106" spans="1:20" ht="22.2" hidden="1" customHeight="1">
      <c r="A2106" s="1448">
        <f>COUNTIF($C$12:C2106,"x")</f>
        <v>151</v>
      </c>
      <c r="B2106" s="1455" t="s">
        <v>1343</v>
      </c>
      <c r="C2106" s="970" t="str">
        <f t="shared" si="372"/>
        <v xml:space="preserve"> </v>
      </c>
      <c r="D2106" s="1415">
        <f>ROUND(E2106*1.02,0)</f>
        <v>0</v>
      </c>
      <c r="E2106" s="997">
        <f>ppht!C344</f>
        <v>0</v>
      </c>
      <c r="F2106" s="992" t="str">
        <f>VLOOKUP($B2106,DG!A:D,DG!$C$2,)</f>
        <v>Cáp nhôm bọc AV95</v>
      </c>
      <c r="G2106" s="980" t="str">
        <f>VLOOKUP($B2106,DG!A:D,DG!$D$2,)</f>
        <v>mét</v>
      </c>
      <c r="H2106" s="1693">
        <f>$D2106</f>
        <v>0</v>
      </c>
      <c r="I2106" s="1693"/>
      <c r="J2106" s="1693"/>
      <c r="K2106" s="1693"/>
      <c r="L2106" s="1693"/>
      <c r="M2106" s="1693"/>
      <c r="N2106" s="1693">
        <f t="shared" ref="N2106:N2134" si="374">D2106</f>
        <v>0</v>
      </c>
      <c r="O2106" s="1693"/>
      <c r="P2106" s="1693">
        <f t="shared" si="370"/>
        <v>0</v>
      </c>
      <c r="Q2106" s="989"/>
      <c r="R2106" s="989"/>
      <c r="S2106" s="989"/>
      <c r="T2106" s="1862">
        <f t="shared" si="373"/>
        <v>0</v>
      </c>
    </row>
    <row r="2107" spans="1:20" ht="22.2" hidden="1" customHeight="1">
      <c r="A2107" s="1448">
        <f>COUNTIF($C$12:C2107,"x")</f>
        <v>151</v>
      </c>
      <c r="B2107" s="1455" t="s">
        <v>1034</v>
      </c>
      <c r="C2107" s="970" t="str">
        <f t="shared" si="372"/>
        <v xml:space="preserve"> </v>
      </c>
      <c r="D2107" s="1415">
        <f>ROUND(E2107*1.02,0)</f>
        <v>0</v>
      </c>
      <c r="E2107" s="1293">
        <f>ppht!C343</f>
        <v>0</v>
      </c>
      <c r="F2107" s="1278" t="str">
        <f>VLOOKUP($B2107,DG!A:D,DG!$C$2,)</f>
        <v>Cáp nhôm bọc AV50</v>
      </c>
      <c r="G2107" s="1294" t="str">
        <f>VLOOKUP($B2107,DG!A:D,DG!$D$2,)</f>
        <v>mét</v>
      </c>
      <c r="H2107" s="1696">
        <f>$D2107</f>
        <v>0</v>
      </c>
      <c r="I2107" s="1696"/>
      <c r="J2107" s="1696"/>
      <c r="K2107" s="1696"/>
      <c r="L2107" s="1696"/>
      <c r="M2107" s="1696"/>
      <c r="N2107" s="1696">
        <f t="shared" si="374"/>
        <v>0</v>
      </c>
      <c r="O2107" s="1696"/>
      <c r="P2107" s="1693">
        <f t="shared" si="370"/>
        <v>0</v>
      </c>
      <c r="Q2107" s="1295"/>
      <c r="R2107" s="1295"/>
      <c r="S2107" s="1295"/>
      <c r="T2107" s="1862">
        <f t="shared" si="373"/>
        <v>0</v>
      </c>
    </row>
    <row r="2108" spans="1:20" ht="22.2" hidden="1" customHeight="1">
      <c r="A2108" s="1448">
        <f>COUNTIF($C$12:C2108,"x")</f>
        <v>151</v>
      </c>
      <c r="B2108" s="1455" t="s">
        <v>88</v>
      </c>
      <c r="C2108" s="970" t="str">
        <f t="shared" si="372"/>
        <v xml:space="preserve"> </v>
      </c>
      <c r="D2108" s="1415">
        <f>ROUND(E2108*1.02*0.195,0)</f>
        <v>0</v>
      </c>
      <c r="E2108" s="1293"/>
      <c r="F2108" s="1278" t="str">
        <f>VLOOKUP($B2108,DG!A:D,DG!$C$2,)</f>
        <v>Cáp nhôm lõi thép AC-50/8</v>
      </c>
      <c r="G2108" s="1294" t="str">
        <f>VLOOKUP($B2108,DG!A:D,DG!$D$2,)</f>
        <v>kg</v>
      </c>
      <c r="H2108" s="1696">
        <f t="shared" ref="H2108:H2127" si="375">D2108</f>
        <v>0</v>
      </c>
      <c r="I2108" s="1696"/>
      <c r="J2108" s="1696"/>
      <c r="K2108" s="1696"/>
      <c r="L2108" s="1696"/>
      <c r="M2108" s="1696"/>
      <c r="N2108" s="1696">
        <f t="shared" si="374"/>
        <v>0</v>
      </c>
      <c r="O2108" s="1696"/>
      <c r="P2108" s="1693">
        <f t="shared" si="370"/>
        <v>0</v>
      </c>
      <c r="Q2108" s="1295"/>
      <c r="R2108" s="1295"/>
      <c r="S2108" s="1295"/>
      <c r="T2108" s="1862">
        <f t="shared" si="373"/>
        <v>0</v>
      </c>
    </row>
    <row r="2109" spans="1:20" ht="22.2" hidden="1" customHeight="1">
      <c r="A2109" s="1448">
        <f>COUNTIF($C$12:C2109,"x")</f>
        <v>151</v>
      </c>
      <c r="B2109" s="1455" t="s">
        <v>2260</v>
      </c>
      <c r="C2109" s="970" t="str">
        <f t="shared" si="372"/>
        <v xml:space="preserve"> </v>
      </c>
      <c r="D2109" s="1415">
        <f t="shared" ref="D2109:D2115" si="376">ROUND(E2109*1.02,0)</f>
        <v>0</v>
      </c>
      <c r="E2109" s="997">
        <f>ppht!C350</f>
        <v>0</v>
      </c>
      <c r="F2109" s="992" t="str">
        <f>VLOOKUP($B2109,DG!A:D,DG!$C$2,)</f>
        <v>Cáp nhôm ABC 3x50mm2</v>
      </c>
      <c r="G2109" s="980" t="str">
        <f>VLOOKUP($B2109,DG!A:D,DG!$D$2,)</f>
        <v>mét</v>
      </c>
      <c r="H2109" s="1693">
        <f t="shared" si="375"/>
        <v>0</v>
      </c>
      <c r="I2109" s="1693"/>
      <c r="J2109" s="1693"/>
      <c r="K2109" s="1693"/>
      <c r="L2109" s="1693"/>
      <c r="M2109" s="1693"/>
      <c r="N2109" s="1693">
        <f t="shared" si="374"/>
        <v>0</v>
      </c>
      <c r="O2109" s="1693"/>
      <c r="P2109" s="1693">
        <f t="shared" si="370"/>
        <v>0</v>
      </c>
      <c r="Q2109" s="989"/>
      <c r="R2109" s="989"/>
      <c r="S2109" s="989"/>
      <c r="T2109" s="1862">
        <f t="shared" si="373"/>
        <v>0</v>
      </c>
    </row>
    <row r="2110" spans="1:20" ht="22.2" hidden="1" customHeight="1">
      <c r="A2110" s="1448">
        <f>COUNTIF($C$12:C2110,"x")</f>
        <v>151</v>
      </c>
      <c r="B2110" s="1455" t="s">
        <v>2261</v>
      </c>
      <c r="C2110" s="970" t="str">
        <f t="shared" si="372"/>
        <v xml:space="preserve"> </v>
      </c>
      <c r="D2110" s="1415">
        <f t="shared" si="376"/>
        <v>0</v>
      </c>
      <c r="E2110" s="997">
        <f>ppht!C349</f>
        <v>0</v>
      </c>
      <c r="F2110" s="992" t="str">
        <f>VLOOKUP($B2110,DG!A:D,DG!$C$2,)</f>
        <v>Cáp nhôm ABC 3x70mm2</v>
      </c>
      <c r="G2110" s="980" t="str">
        <f>VLOOKUP($B2110,DG!A:D,DG!$D$2,)</f>
        <v>mét</v>
      </c>
      <c r="H2110" s="1693">
        <f t="shared" si="375"/>
        <v>0</v>
      </c>
      <c r="I2110" s="1693"/>
      <c r="J2110" s="1693"/>
      <c r="K2110" s="1693"/>
      <c r="L2110" s="1693"/>
      <c r="M2110" s="1693"/>
      <c r="N2110" s="1693">
        <f t="shared" si="374"/>
        <v>0</v>
      </c>
      <c r="O2110" s="1693"/>
      <c r="P2110" s="1693">
        <f t="shared" si="370"/>
        <v>0</v>
      </c>
      <c r="Q2110" s="989"/>
      <c r="R2110" s="989"/>
      <c r="S2110" s="989"/>
      <c r="T2110" s="1862">
        <f t="shared" si="373"/>
        <v>0</v>
      </c>
    </row>
    <row r="2111" spans="1:20" ht="22.2" hidden="1" customHeight="1">
      <c r="A2111" s="1448">
        <f>COUNTIF($C$12:C2111,"x")</f>
        <v>151</v>
      </c>
      <c r="B2111" s="1455" t="s">
        <v>1149</v>
      </c>
      <c r="C2111" s="970" t="str">
        <f t="shared" si="372"/>
        <v xml:space="preserve"> </v>
      </c>
      <c r="D2111" s="1415">
        <f t="shared" si="376"/>
        <v>0</v>
      </c>
      <c r="E2111" s="997">
        <f>ppht!C348</f>
        <v>0</v>
      </c>
      <c r="F2111" s="992" t="str">
        <f>VLOOKUP($B2111,DG!A:D,DG!$C$2,)</f>
        <v>Cáp nhôm ABC 4x50mm2</v>
      </c>
      <c r="G2111" s="980" t="str">
        <f>VLOOKUP($B2111,DG!A:D,DG!$D$2,)</f>
        <v>mét</v>
      </c>
      <c r="H2111" s="1693">
        <f t="shared" si="375"/>
        <v>0</v>
      </c>
      <c r="I2111" s="1693"/>
      <c r="J2111" s="1693"/>
      <c r="K2111" s="1693"/>
      <c r="L2111" s="1693"/>
      <c r="M2111" s="1693"/>
      <c r="N2111" s="1693">
        <f t="shared" si="374"/>
        <v>0</v>
      </c>
      <c r="O2111" s="1693"/>
      <c r="P2111" s="1693">
        <f t="shared" si="370"/>
        <v>0</v>
      </c>
      <c r="Q2111" s="989"/>
      <c r="R2111" s="989"/>
      <c r="S2111" s="989"/>
      <c r="T2111" s="1862">
        <f t="shared" si="373"/>
        <v>0</v>
      </c>
    </row>
    <row r="2112" spans="1:20" ht="22.2" hidden="1" customHeight="1">
      <c r="A2112" s="1448">
        <f>COUNTIF($C$12:C2112,"x")</f>
        <v>151</v>
      </c>
      <c r="B2112" s="1455" t="s">
        <v>1150</v>
      </c>
      <c r="C2112" s="970" t="str">
        <f t="shared" si="372"/>
        <v xml:space="preserve"> </v>
      </c>
      <c r="D2112" s="1415">
        <f t="shared" si="376"/>
        <v>0</v>
      </c>
      <c r="E2112" s="1296">
        <f>ppht!C347</f>
        <v>0</v>
      </c>
      <c r="F2112" s="1297" t="str">
        <f>VLOOKUP($B2112,DG!A:D,DG!$C$2,)</f>
        <v>Cáp nhôm ABC 4x70mm2</v>
      </c>
      <c r="G2112" s="980" t="str">
        <f>VLOOKUP($B2112,DG!A:D,DG!$D$2,)</f>
        <v>mét</v>
      </c>
      <c r="H2112" s="1693">
        <f t="shared" si="375"/>
        <v>0</v>
      </c>
      <c r="I2112" s="1693"/>
      <c r="J2112" s="1693"/>
      <c r="K2112" s="1693"/>
      <c r="L2112" s="1693"/>
      <c r="M2112" s="1693"/>
      <c r="N2112" s="1693">
        <f t="shared" si="374"/>
        <v>0</v>
      </c>
      <c r="O2112" s="1693"/>
      <c r="P2112" s="1693">
        <f t="shared" si="370"/>
        <v>0</v>
      </c>
      <c r="Q2112" s="989"/>
      <c r="R2112" s="989"/>
      <c r="S2112" s="989"/>
      <c r="T2112" s="1862">
        <f t="shared" si="373"/>
        <v>0</v>
      </c>
    </row>
    <row r="2113" spans="1:20" ht="22.2" hidden="1" customHeight="1">
      <c r="A2113" s="1448">
        <f>COUNTIF($C$12:C2113,"x")</f>
        <v>151</v>
      </c>
      <c r="B2113" s="1455" t="s">
        <v>1151</v>
      </c>
      <c r="C2113" s="970" t="str">
        <f t="shared" si="372"/>
        <v xml:space="preserve"> </v>
      </c>
      <c r="D2113" s="1415">
        <f t="shared" si="376"/>
        <v>0</v>
      </c>
      <c r="E2113" s="997">
        <f>ppht!C346</f>
        <v>0</v>
      </c>
      <c r="F2113" s="992" t="str">
        <f>VLOOKUP($B2113,DG!A:D,DG!$C$2,)</f>
        <v>Cáp nhôm ABC 4x95mm2</v>
      </c>
      <c r="G2113" s="980" t="str">
        <f>VLOOKUP($B2113,DG!A:D,DG!$D$2,)</f>
        <v>mét</v>
      </c>
      <c r="H2113" s="1693">
        <f t="shared" si="375"/>
        <v>0</v>
      </c>
      <c r="I2113" s="1693"/>
      <c r="J2113" s="1693"/>
      <c r="K2113" s="1693"/>
      <c r="L2113" s="1693"/>
      <c r="M2113" s="1693"/>
      <c r="N2113" s="1693">
        <f t="shared" si="374"/>
        <v>0</v>
      </c>
      <c r="O2113" s="1693"/>
      <c r="P2113" s="1693">
        <f t="shared" si="370"/>
        <v>0</v>
      </c>
      <c r="Q2113" s="989"/>
      <c r="R2113" s="989"/>
      <c r="S2113" s="989"/>
      <c r="T2113" s="1862">
        <f t="shared" si="373"/>
        <v>0</v>
      </c>
    </row>
    <row r="2114" spans="1:20" ht="22.2" hidden="1" customHeight="1">
      <c r="A2114" s="1448">
        <f>COUNTIF($C$12:C2114,"x")</f>
        <v>151</v>
      </c>
      <c r="B2114" s="1455" t="s">
        <v>116</v>
      </c>
      <c r="C2114" s="970" t="str">
        <f t="shared" si="372"/>
        <v xml:space="preserve"> </v>
      </c>
      <c r="D2114" s="1415">
        <f t="shared" si="376"/>
        <v>0</v>
      </c>
      <c r="E2114" s="997">
        <f>ppht!C345</f>
        <v>0</v>
      </c>
      <c r="F2114" s="992" t="str">
        <f>VLOOKUP($B2114,DG!A:D,DG!$C$2,)</f>
        <v>Cáp nhôm ABC 4x150mm2</v>
      </c>
      <c r="G2114" s="980" t="str">
        <f>VLOOKUP($B2114,DG!A:D,DG!$D$2,)</f>
        <v>mét</v>
      </c>
      <c r="H2114" s="1693">
        <f t="shared" si="375"/>
        <v>0</v>
      </c>
      <c r="I2114" s="1693"/>
      <c r="J2114" s="1693"/>
      <c r="K2114" s="1693"/>
      <c r="L2114" s="1693"/>
      <c r="M2114" s="1693"/>
      <c r="N2114" s="1693">
        <f t="shared" si="374"/>
        <v>0</v>
      </c>
      <c r="O2114" s="1693"/>
      <c r="P2114" s="1693">
        <f t="shared" si="370"/>
        <v>0</v>
      </c>
      <c r="Q2114" s="989"/>
      <c r="R2114" s="989"/>
      <c r="S2114" s="989"/>
      <c r="T2114" s="1862">
        <f t="shared" si="373"/>
        <v>0</v>
      </c>
    </row>
    <row r="2115" spans="1:20" ht="22.2" hidden="1" customHeight="1">
      <c r="A2115" s="1448">
        <f>COUNTIF($C$12:C2115,"x")</f>
        <v>151</v>
      </c>
      <c r="B2115" s="1455" t="s">
        <v>1365</v>
      </c>
      <c r="C2115" s="970" t="str">
        <f t="shared" si="372"/>
        <v xml:space="preserve"> </v>
      </c>
      <c r="D2115" s="1415">
        <f t="shared" si="376"/>
        <v>0</v>
      </c>
      <c r="E2115" s="997"/>
      <c r="F2115" s="992" t="str">
        <f>VLOOKUP($B2115,DG!A:D,DG!$C$2,)&amp;": 9m/tủ phân phối"</f>
        <v>Cáp C/XLPE/DSTA/PVC -0.6/1kV-3x50+35mm2: 9m/tủ phân phối</v>
      </c>
      <c r="G2115" s="980" t="str">
        <f>VLOOKUP($B2115,DG!A:D,DG!$D$2,)</f>
        <v>mét</v>
      </c>
      <c r="H2115" s="1693">
        <f t="shared" si="375"/>
        <v>0</v>
      </c>
      <c r="I2115" s="1693"/>
      <c r="J2115" s="1693"/>
      <c r="K2115" s="1693"/>
      <c r="L2115" s="1693"/>
      <c r="M2115" s="1693"/>
      <c r="N2115" s="1693">
        <f t="shared" si="374"/>
        <v>0</v>
      </c>
      <c r="O2115" s="1693"/>
      <c r="P2115" s="1693">
        <f t="shared" si="370"/>
        <v>0</v>
      </c>
      <c r="Q2115" s="989"/>
      <c r="R2115" s="989"/>
      <c r="S2115" s="989"/>
      <c r="T2115" s="1862">
        <f t="shared" si="373"/>
        <v>0</v>
      </c>
    </row>
    <row r="2116" spans="1:20" ht="22.2" hidden="1" customHeight="1">
      <c r="A2116" s="1448">
        <f>COUNTIF($C$12:C2116,"x")</f>
        <v>151</v>
      </c>
      <c r="B2116" s="1455" t="s">
        <v>1526</v>
      </c>
      <c r="C2116" s="970" t="str">
        <f>IF(OR(P2116&lt;&gt;0,H2116&lt;&gt;0),"x"," ")</f>
        <v xml:space="preserve"> </v>
      </c>
      <c r="D2116" s="1415">
        <f>ppht!DK341</f>
        <v>0</v>
      </c>
      <c r="E2116" s="997"/>
      <c r="F2116" s="992" t="str">
        <f>VLOOKUP($B2116,DG!A:D,DG!$C$2,)</f>
        <v>Cáp đồng bọc CV25</v>
      </c>
      <c r="G2116" s="980" t="str">
        <f>VLOOKUP($B2116,DG!A:D,DG!$D$2,)</f>
        <v>mét</v>
      </c>
      <c r="H2116" s="1693">
        <f t="shared" si="375"/>
        <v>0</v>
      </c>
      <c r="I2116" s="1693"/>
      <c r="J2116" s="1693"/>
      <c r="K2116" s="1693"/>
      <c r="L2116" s="1693"/>
      <c r="M2116" s="1693"/>
      <c r="N2116" s="1693">
        <f t="shared" si="374"/>
        <v>0</v>
      </c>
      <c r="O2116" s="1693"/>
      <c r="P2116" s="1693">
        <f>H2116+Q2116-R2116</f>
        <v>0</v>
      </c>
      <c r="Q2116" s="989"/>
      <c r="R2116" s="989"/>
      <c r="S2116" s="989"/>
      <c r="T2116" s="1862">
        <f t="shared" si="373"/>
        <v>0</v>
      </c>
    </row>
    <row r="2117" spans="1:20" ht="22.2" hidden="1" customHeight="1">
      <c r="A2117" s="1448">
        <f>COUNTIF($C$12:C2117,"x")</f>
        <v>151</v>
      </c>
      <c r="B2117" s="1481" t="s">
        <v>432</v>
      </c>
      <c r="C2117" s="970" t="str">
        <f t="shared" si="372"/>
        <v xml:space="preserve"> </v>
      </c>
      <c r="D2117" s="1415"/>
      <c r="E2117" s="980"/>
      <c r="F2117" s="992" t="str">
        <f>VLOOKUP($B2117,DG!A:D,DG!$C$2,)</f>
        <v>Ống nối dây cỡ 95mm2</v>
      </c>
      <c r="G2117" s="980" t="str">
        <f>VLOOKUP($B2117,DG!A:D,DG!$D$2,)</f>
        <v>cái</v>
      </c>
      <c r="H2117" s="1693">
        <f t="shared" si="375"/>
        <v>0</v>
      </c>
      <c r="I2117" s="1693"/>
      <c r="J2117" s="1693"/>
      <c r="K2117" s="1693"/>
      <c r="L2117" s="1693"/>
      <c r="M2117" s="1693"/>
      <c r="N2117" s="1693">
        <f t="shared" si="374"/>
        <v>0</v>
      </c>
      <c r="O2117" s="1693"/>
      <c r="P2117" s="1693">
        <f t="shared" si="370"/>
        <v>0</v>
      </c>
      <c r="Q2117" s="989"/>
      <c r="R2117" s="989"/>
      <c r="S2117" s="989"/>
      <c r="T2117" s="1862">
        <f t="shared" si="373"/>
        <v>0</v>
      </c>
    </row>
    <row r="2118" spans="1:20" ht="22.2" hidden="1" customHeight="1">
      <c r="A2118" s="1448">
        <f>COUNTIF($C$12:C2118,"x")</f>
        <v>151</v>
      </c>
      <c r="B2118" s="1455" t="s">
        <v>1446</v>
      </c>
      <c r="C2118" s="970" t="str">
        <f t="shared" si="372"/>
        <v xml:space="preserve"> </v>
      </c>
      <c r="D2118" s="1415"/>
      <c r="E2118" s="980"/>
      <c r="F2118" s="992" t="str">
        <f>VLOOKUP($B2118,DG!A:D,DG!$C$2,)</f>
        <v>Đầu cosse ép Cu-Al 50mm2</v>
      </c>
      <c r="G2118" s="980" t="str">
        <f>VLOOKUP($B2118,DG!A:D,DG!$D$2,)</f>
        <v>cái</v>
      </c>
      <c r="H2118" s="1693">
        <f t="shared" si="375"/>
        <v>0</v>
      </c>
      <c r="I2118" s="1693"/>
      <c r="J2118" s="1693"/>
      <c r="K2118" s="1693"/>
      <c r="L2118" s="1693"/>
      <c r="M2118" s="1693"/>
      <c r="N2118" s="1693">
        <f t="shared" si="374"/>
        <v>0</v>
      </c>
      <c r="O2118" s="1693"/>
      <c r="P2118" s="1693">
        <f t="shared" si="370"/>
        <v>0</v>
      </c>
      <c r="Q2118" s="989"/>
      <c r="R2118" s="989"/>
      <c r="S2118" s="989"/>
      <c r="T2118" s="1862">
        <f t="shared" si="373"/>
        <v>0</v>
      </c>
    </row>
    <row r="2119" spans="1:20" ht="22.2" hidden="1" customHeight="1">
      <c r="A2119" s="1448">
        <f>COUNTIF($C$12:C2119,"x")</f>
        <v>151</v>
      </c>
      <c r="B2119" s="1455" t="s">
        <v>915</v>
      </c>
      <c r="C2119" s="970" t="str">
        <f t="shared" si="372"/>
        <v xml:space="preserve"> </v>
      </c>
      <c r="D2119" s="1415"/>
      <c r="E2119" s="980"/>
      <c r="F2119" s="992" t="str">
        <f>VLOOKUP($B2119,DG!A:D,DG!$C$2,)</f>
        <v>Đầu cosse ép Cu-Al 70mm2</v>
      </c>
      <c r="G2119" s="980" t="str">
        <f>VLOOKUP($B2119,DG!A:D,DG!$D$2,)</f>
        <v>cái</v>
      </c>
      <c r="H2119" s="1693">
        <f t="shared" si="375"/>
        <v>0</v>
      </c>
      <c r="I2119" s="1693"/>
      <c r="J2119" s="1693"/>
      <c r="K2119" s="1693"/>
      <c r="L2119" s="1693"/>
      <c r="M2119" s="1693"/>
      <c r="N2119" s="1693">
        <f t="shared" si="374"/>
        <v>0</v>
      </c>
      <c r="O2119" s="1693"/>
      <c r="P2119" s="1693">
        <f t="shared" si="370"/>
        <v>0</v>
      </c>
      <c r="Q2119" s="989"/>
      <c r="R2119" s="989"/>
      <c r="S2119" s="989"/>
      <c r="T2119" s="1862">
        <f t="shared" si="373"/>
        <v>0</v>
      </c>
    </row>
    <row r="2120" spans="1:20" ht="22.2" hidden="1" customHeight="1">
      <c r="A2120" s="1448">
        <f>COUNTIF($C$12:C2120,"x")</f>
        <v>151</v>
      </c>
      <c r="B2120" s="1455" t="s">
        <v>916</v>
      </c>
      <c r="C2120" s="970" t="str">
        <f t="shared" si="372"/>
        <v xml:space="preserve"> </v>
      </c>
      <c r="D2120" s="1415"/>
      <c r="E2120" s="980"/>
      <c r="F2120" s="992" t="str">
        <f>VLOOKUP($B2120,DG!A:D,DG!$C$2,)</f>
        <v>Boulon thau 12x50 + 2 long đền vuông D14-50x50x3/Zn</v>
      </c>
      <c r="G2120" s="980" t="str">
        <f>VLOOKUP($B2120,DG!A:D,DG!$D$2,)</f>
        <v>bộ</v>
      </c>
      <c r="H2120" s="1693">
        <f t="shared" si="375"/>
        <v>0</v>
      </c>
      <c r="I2120" s="1693"/>
      <c r="J2120" s="1693"/>
      <c r="K2120" s="1693"/>
      <c r="L2120" s="1693"/>
      <c r="M2120" s="1693"/>
      <c r="N2120" s="1693">
        <f t="shared" si="374"/>
        <v>0</v>
      </c>
      <c r="O2120" s="1693"/>
      <c r="P2120" s="1693">
        <f t="shared" si="370"/>
        <v>0</v>
      </c>
      <c r="Q2120" s="989"/>
      <c r="R2120" s="989"/>
      <c r="S2120" s="989"/>
      <c r="T2120" s="1862">
        <f t="shared" si="373"/>
        <v>0</v>
      </c>
    </row>
    <row r="2121" spans="1:20" ht="22.2" hidden="1" customHeight="1">
      <c r="A2121" s="1448">
        <f>COUNTIF($C$12:C2121,"x")</f>
        <v>151</v>
      </c>
      <c r="B2121" s="1455" t="s">
        <v>1508</v>
      </c>
      <c r="C2121" s="970" t="str">
        <f t="shared" si="372"/>
        <v xml:space="preserve"> </v>
      </c>
      <c r="D2121" s="1415"/>
      <c r="E2121" s="980"/>
      <c r="F2121" s="992" t="str">
        <f>VLOOKUP($B2121,DG!A:D,DG!$C$2,)</f>
        <v>Cọc tiếp đất Þ 16- 2,4m + kẹp cọc mạ đồng</v>
      </c>
      <c r="G2121" s="980" t="str">
        <f>VLOOKUP($B2121,DG!A:D,DG!$D$2,)</f>
        <v>bộ</v>
      </c>
      <c r="H2121" s="1693">
        <f t="shared" si="375"/>
        <v>0</v>
      </c>
      <c r="I2121" s="1693"/>
      <c r="J2121" s="1693"/>
      <c r="K2121" s="1693"/>
      <c r="L2121" s="1693"/>
      <c r="M2121" s="1693"/>
      <c r="N2121" s="1693">
        <f t="shared" si="374"/>
        <v>0</v>
      </c>
      <c r="O2121" s="1693"/>
      <c r="P2121" s="1693">
        <f t="shared" si="370"/>
        <v>0</v>
      </c>
      <c r="Q2121" s="989"/>
      <c r="R2121" s="989"/>
      <c r="S2121" s="989"/>
      <c r="T2121" s="1862">
        <f t="shared" si="373"/>
        <v>0</v>
      </c>
    </row>
    <row r="2122" spans="1:20" ht="22.2" hidden="1" customHeight="1">
      <c r="A2122" s="1448">
        <f>COUNTIF($C$12:C2122,"x")</f>
        <v>151</v>
      </c>
      <c r="B2122" s="1455" t="s">
        <v>1033</v>
      </c>
      <c r="C2122" s="970" t="str">
        <f t="shared" si="372"/>
        <v xml:space="preserve"> </v>
      </c>
      <c r="D2122" s="1415"/>
      <c r="E2122" s="980"/>
      <c r="F2122" s="992" t="str">
        <f>VLOOKUP($B2122,DG!A:D,DG!$C$2,)</f>
        <v>Cáp đồng trần M25mm2</v>
      </c>
      <c r="G2122" s="980" t="str">
        <f>VLOOKUP($B2122,DG!A:D,DG!$D$2,)</f>
        <v>kg</v>
      </c>
      <c r="H2122" s="1693">
        <f t="shared" si="375"/>
        <v>0</v>
      </c>
      <c r="I2122" s="1693"/>
      <c r="J2122" s="1693"/>
      <c r="K2122" s="1693"/>
      <c r="L2122" s="1693"/>
      <c r="M2122" s="1693"/>
      <c r="N2122" s="1693">
        <f t="shared" si="374"/>
        <v>0</v>
      </c>
      <c r="O2122" s="1693"/>
      <c r="P2122" s="1693">
        <f t="shared" si="370"/>
        <v>0</v>
      </c>
      <c r="Q2122" s="989"/>
      <c r="R2122" s="989"/>
      <c r="S2122" s="989"/>
      <c r="T2122" s="1862">
        <f t="shared" si="373"/>
        <v>0</v>
      </c>
    </row>
    <row r="2123" spans="1:20" ht="22.2" hidden="1" customHeight="1">
      <c r="A2123" s="1448">
        <f>COUNTIF($C$12:C2123,"x")</f>
        <v>151</v>
      </c>
      <c r="B2123" s="1455" t="s">
        <v>1439</v>
      </c>
      <c r="C2123" s="970" t="str">
        <f t="shared" si="372"/>
        <v xml:space="preserve"> </v>
      </c>
      <c r="D2123" s="1415">
        <f>ppht!CS341</f>
        <v>0</v>
      </c>
      <c r="E2123" s="980"/>
      <c r="F2123" s="992" t="str">
        <f>VLOOKUP($B2123,DG!A:D,DG!$C$2,)</f>
        <v>Ghíp nối IPC 50-25 1 bulong</v>
      </c>
      <c r="G2123" s="980" t="str">
        <f>VLOOKUP($B2123,DG!A:D,DG!$D$2,)</f>
        <v>cái</v>
      </c>
      <c r="H2123" s="1693">
        <f t="shared" si="375"/>
        <v>0</v>
      </c>
      <c r="I2123" s="1693"/>
      <c r="J2123" s="1693"/>
      <c r="K2123" s="1693"/>
      <c r="L2123" s="1693"/>
      <c r="M2123" s="1693"/>
      <c r="N2123" s="1693">
        <f t="shared" si="374"/>
        <v>0</v>
      </c>
      <c r="O2123" s="1693"/>
      <c r="P2123" s="1693">
        <f t="shared" si="370"/>
        <v>0</v>
      </c>
      <c r="Q2123" s="989"/>
      <c r="R2123" s="989"/>
      <c r="S2123" s="989"/>
      <c r="T2123" s="1862">
        <f t="shared" si="373"/>
        <v>0</v>
      </c>
    </row>
    <row r="2124" spans="1:20" ht="22.2" hidden="1" customHeight="1">
      <c r="A2124" s="1448">
        <f>COUNTIF($C$12:C2124,"x")</f>
        <v>151</v>
      </c>
      <c r="B2124" s="1455" t="s">
        <v>2023</v>
      </c>
      <c r="C2124" s="970" t="str">
        <f t="shared" si="372"/>
        <v xml:space="preserve"> </v>
      </c>
      <c r="D2124" s="1415">
        <f>ppht!CR341</f>
        <v>0</v>
      </c>
      <c r="E2124" s="980"/>
      <c r="F2124" s="992" t="str">
        <f>VLOOKUP($B2124,DG!A:D,DG!$C$2,)</f>
        <v>Ghíp nối IPC 50-50 1 bulong</v>
      </c>
      <c r="G2124" s="980" t="str">
        <f>VLOOKUP($B2124,DG!A:D,DG!$D$2,)</f>
        <v>cái</v>
      </c>
      <c r="H2124" s="1693">
        <f t="shared" si="375"/>
        <v>0</v>
      </c>
      <c r="I2124" s="1693"/>
      <c r="J2124" s="1693"/>
      <c r="K2124" s="1693"/>
      <c r="L2124" s="1693"/>
      <c r="M2124" s="1693"/>
      <c r="N2124" s="1693">
        <f t="shared" si="374"/>
        <v>0</v>
      </c>
      <c r="O2124" s="1693"/>
      <c r="P2124" s="1693">
        <f t="shared" si="370"/>
        <v>0</v>
      </c>
      <c r="Q2124" s="989"/>
      <c r="R2124" s="989"/>
      <c r="S2124" s="989"/>
      <c r="T2124" s="1862">
        <f t="shared" si="373"/>
        <v>0</v>
      </c>
    </row>
    <row r="2125" spans="1:20" ht="22.2" hidden="1" customHeight="1">
      <c r="A2125" s="1448">
        <f>COUNTIF($C$12:C2125,"x")</f>
        <v>151</v>
      </c>
      <c r="B2125" s="1455" t="s">
        <v>2201</v>
      </c>
      <c r="C2125" s="970" t="str">
        <f t="shared" si="372"/>
        <v xml:space="preserve"> </v>
      </c>
      <c r="D2125" s="1428">
        <f>+ppht!CU341</f>
        <v>0</v>
      </c>
      <c r="E2125" s="980"/>
      <c r="F2125" s="992" t="s">
        <v>2560</v>
      </c>
      <c r="G2125" s="980" t="str">
        <f>VLOOKUP($B2125,DG!A:D,DG!$D$2,)</f>
        <v>cái</v>
      </c>
      <c r="H2125" s="1693">
        <f t="shared" si="375"/>
        <v>0</v>
      </c>
      <c r="I2125" s="1693"/>
      <c r="J2125" s="1693"/>
      <c r="K2125" s="1693"/>
      <c r="L2125" s="1693"/>
      <c r="M2125" s="1693"/>
      <c r="N2125" s="1693">
        <f t="shared" si="374"/>
        <v>0</v>
      </c>
      <c r="O2125" s="1693"/>
      <c r="P2125" s="1693">
        <f t="shared" si="370"/>
        <v>0</v>
      </c>
      <c r="Q2125" s="989"/>
      <c r="R2125" s="989"/>
      <c r="S2125" s="989"/>
      <c r="T2125" s="1862">
        <f t="shared" si="373"/>
        <v>0</v>
      </c>
    </row>
    <row r="2126" spans="1:20" ht="22.2" hidden="1" customHeight="1">
      <c r="A2126" s="1448">
        <f>COUNTIF($C$12:C2126,"x")</f>
        <v>151</v>
      </c>
      <c r="B2126" s="1455" t="s">
        <v>1109</v>
      </c>
      <c r="C2126" s="970" t="str">
        <f t="shared" si="372"/>
        <v xml:space="preserve"> </v>
      </c>
      <c r="D2126" s="1428">
        <f>ppht!CQ337</f>
        <v>0</v>
      </c>
      <c r="E2126" s="980"/>
      <c r="F2126" s="992" t="str">
        <f>VLOOKUP($B2126,DG!A:D,DG!$C$2,)&amp;" 2 bulong"</f>
        <v>Ghíp nối IPC 70-70 2 bulong</v>
      </c>
      <c r="G2126" s="980" t="str">
        <f>VLOOKUP($B2126,DG!A:D,DG!$D$2,)</f>
        <v>cái</v>
      </c>
      <c r="H2126" s="1693">
        <f t="shared" si="375"/>
        <v>0</v>
      </c>
      <c r="I2126" s="1693"/>
      <c r="J2126" s="1693"/>
      <c r="K2126" s="1693"/>
      <c r="L2126" s="1693"/>
      <c r="M2126" s="1693"/>
      <c r="N2126" s="1693">
        <f t="shared" si="374"/>
        <v>0</v>
      </c>
      <c r="O2126" s="1693"/>
      <c r="P2126" s="1693">
        <f t="shared" si="370"/>
        <v>0</v>
      </c>
      <c r="Q2126" s="989"/>
      <c r="R2126" s="989"/>
      <c r="S2126" s="989"/>
      <c r="T2126" s="1862">
        <f t="shared" si="373"/>
        <v>0</v>
      </c>
    </row>
    <row r="2127" spans="1:20" ht="22.2" hidden="1" customHeight="1">
      <c r="A2127" s="1448">
        <f>COUNTIF($C$12:C2127,"x")</f>
        <v>151</v>
      </c>
      <c r="B2127" s="1455" t="s">
        <v>2032</v>
      </c>
      <c r="C2127" s="970" t="str">
        <f t="shared" si="372"/>
        <v xml:space="preserve"> </v>
      </c>
      <c r="D2127" s="1428">
        <f>ppht!CO337</f>
        <v>0</v>
      </c>
      <c r="E2127" s="980"/>
      <c r="F2127" s="992" t="str">
        <f>VLOOKUP($B2127,DG!A:D,DG!$C$2,)</f>
        <v>Ghíp nối IPC 95-70</v>
      </c>
      <c r="G2127" s="980" t="str">
        <f>VLOOKUP($B2127,DG!A:D,DG!$D$2,)</f>
        <v>cái</v>
      </c>
      <c r="H2127" s="1693">
        <f t="shared" si="375"/>
        <v>0</v>
      </c>
      <c r="I2127" s="1693"/>
      <c r="J2127" s="1693"/>
      <c r="K2127" s="1693"/>
      <c r="L2127" s="1693"/>
      <c r="M2127" s="1693"/>
      <c r="N2127" s="1693">
        <f t="shared" si="374"/>
        <v>0</v>
      </c>
      <c r="O2127" s="1693"/>
      <c r="P2127" s="1693">
        <f t="shared" si="370"/>
        <v>0</v>
      </c>
      <c r="Q2127" s="989"/>
      <c r="R2127" s="989"/>
      <c r="S2127" s="989"/>
      <c r="T2127" s="1862">
        <f t="shared" si="373"/>
        <v>0</v>
      </c>
    </row>
    <row r="2128" spans="1:20" ht="22.2" hidden="1" customHeight="1">
      <c r="A2128" s="1448">
        <f>COUNTIF($C$12:C2128,"x")</f>
        <v>151</v>
      </c>
      <c r="B2128" s="1455" t="s">
        <v>1345</v>
      </c>
      <c r="C2128" s="970" t="str">
        <f t="shared" si="372"/>
        <v xml:space="preserve"> </v>
      </c>
      <c r="D2128" s="1428">
        <f>ppht!CK337*0</f>
        <v>0</v>
      </c>
      <c r="E2128" s="980"/>
      <c r="F2128" s="992" t="str">
        <f>VLOOKUP($B2128,DG!A:D,DG!$C$2,)</f>
        <v>Ghíp nối IPC 150-70</v>
      </c>
      <c r="G2128" s="980" t="str">
        <f>VLOOKUP($B2128,DG!A:D,DG!$D$2,)</f>
        <v>cái</v>
      </c>
      <c r="H2128" s="1693">
        <f>D2128+T2128</f>
        <v>0</v>
      </c>
      <c r="I2128" s="1693"/>
      <c r="J2128" s="1693"/>
      <c r="K2128" s="1693"/>
      <c r="L2128" s="1693"/>
      <c r="M2128" s="1693"/>
      <c r="N2128" s="1693">
        <f t="shared" si="374"/>
        <v>0</v>
      </c>
      <c r="O2128" s="1693"/>
      <c r="P2128" s="1693">
        <f>H2128+Q2128-R2128</f>
        <v>0</v>
      </c>
      <c r="Q2128" s="989"/>
      <c r="R2128" s="989"/>
      <c r="S2128" s="989"/>
      <c r="T2128" s="1862">
        <f t="shared" si="373"/>
        <v>0</v>
      </c>
    </row>
    <row r="2129" spans="1:20" ht="22.2" hidden="1" customHeight="1">
      <c r="A2129" s="1448">
        <f>COUNTIF($C$12:C2129,"x")</f>
        <v>151</v>
      </c>
      <c r="B2129" s="1455" t="s">
        <v>1344</v>
      </c>
      <c r="C2129" s="970" t="str">
        <f t="shared" si="372"/>
        <v xml:space="preserve"> </v>
      </c>
      <c r="D2129" s="1428">
        <f>ppht!CL337</f>
        <v>0</v>
      </c>
      <c r="E2129" s="980"/>
      <c r="F2129" s="992" t="str">
        <f>VLOOKUP($B2129,DG!A:D,DG!$C$2,)</f>
        <v>Ghíp nối IPC 95-150</v>
      </c>
      <c r="G2129" s="980" t="str">
        <f>VLOOKUP($B2129,DG!A:D,DG!$D$2,)</f>
        <v>cái</v>
      </c>
      <c r="H2129" s="1693">
        <f>D2129</f>
        <v>0</v>
      </c>
      <c r="I2129" s="1693"/>
      <c r="J2129" s="1693"/>
      <c r="K2129" s="1693"/>
      <c r="L2129" s="1693"/>
      <c r="M2129" s="1693"/>
      <c r="N2129" s="1693">
        <f t="shared" si="374"/>
        <v>0</v>
      </c>
      <c r="O2129" s="1693"/>
      <c r="P2129" s="1693">
        <f>H2129+Q2129-R2129</f>
        <v>0</v>
      </c>
      <c r="Q2129" s="989"/>
      <c r="R2129" s="989"/>
      <c r="S2129" s="989"/>
      <c r="T2129" s="1862">
        <f t="shared" si="373"/>
        <v>0</v>
      </c>
    </row>
    <row r="2130" spans="1:20" ht="22.2" hidden="1" customHeight="1">
      <c r="A2130" s="1448">
        <f>COUNTIF($C$12:C2130,"x")</f>
        <v>151</v>
      </c>
      <c r="B2130" s="1455" t="s">
        <v>4321</v>
      </c>
      <c r="C2130" s="970" t="str">
        <f t="shared" si="372"/>
        <v xml:space="preserve"> </v>
      </c>
      <c r="D2130" s="1428">
        <f>ppht!CM337</f>
        <v>0</v>
      </c>
      <c r="E2130" s="980"/>
      <c r="F2130" s="992" t="str">
        <f>VLOOKUP($B2130,DG!A:D,DG!$C$2,)&amp;" (2 boulon)"</f>
        <v>Ghíp nối IPC 95-25 (2 bulong) (2 boulon)</v>
      </c>
      <c r="G2130" s="980" t="str">
        <f>VLOOKUP($B2130,DG!A:D,DG!$D$2,)</f>
        <v>cái</v>
      </c>
      <c r="H2130" s="1693">
        <f>D2130</f>
        <v>0</v>
      </c>
      <c r="I2130" s="1693"/>
      <c r="J2130" s="1693"/>
      <c r="K2130" s="1693"/>
      <c r="L2130" s="1693"/>
      <c r="M2130" s="1693"/>
      <c r="N2130" s="1693">
        <f t="shared" si="374"/>
        <v>0</v>
      </c>
      <c r="O2130" s="1693"/>
      <c r="P2130" s="1693">
        <f t="shared" si="370"/>
        <v>0</v>
      </c>
      <c r="Q2130" s="989"/>
      <c r="R2130" s="989"/>
      <c r="S2130" s="989"/>
      <c r="T2130" s="1862">
        <f t="shared" si="373"/>
        <v>0</v>
      </c>
    </row>
    <row r="2131" spans="1:20" ht="22.2" hidden="1" customHeight="1">
      <c r="A2131" s="1448">
        <f>COUNTIF($C$12:C2131,"x")</f>
        <v>151</v>
      </c>
      <c r="B2131" s="1455" t="s">
        <v>1108</v>
      </c>
      <c r="C2131" s="970" t="str">
        <f t="shared" si="372"/>
        <v xml:space="preserve"> </v>
      </c>
      <c r="D2131" s="1428">
        <f>ppht!CP337</f>
        <v>0</v>
      </c>
      <c r="E2131" s="980"/>
      <c r="F2131" s="992" t="str">
        <f>VLOOKUP($B2131,DG!A:D,DG!$C$2,)&amp;" (2 boulon)"</f>
        <v>Ghíp nối IPC 95-95 (2 boulon)</v>
      </c>
      <c r="G2131" s="980" t="str">
        <f>VLOOKUP($B2131,DG!A:D,DG!$D$2,)</f>
        <v>cái</v>
      </c>
      <c r="H2131" s="1693">
        <f>D2131</f>
        <v>0</v>
      </c>
      <c r="I2131" s="1693"/>
      <c r="J2131" s="1693"/>
      <c r="K2131" s="1693"/>
      <c r="L2131" s="1693"/>
      <c r="M2131" s="1693"/>
      <c r="N2131" s="1693">
        <f t="shared" si="374"/>
        <v>0</v>
      </c>
      <c r="O2131" s="1693"/>
      <c r="P2131" s="1693">
        <f t="shared" si="370"/>
        <v>0</v>
      </c>
      <c r="Q2131" s="989"/>
      <c r="R2131" s="989"/>
      <c r="S2131" s="989"/>
      <c r="T2131" s="1862">
        <f t="shared" si="373"/>
        <v>0</v>
      </c>
    </row>
    <row r="2132" spans="1:20" ht="22.2" hidden="1" customHeight="1">
      <c r="A2132" s="1448">
        <f>COUNTIF($C$12:C2132,"x")</f>
        <v>151</v>
      </c>
      <c r="B2132" s="1455" t="s">
        <v>1154</v>
      </c>
      <c r="C2132" s="970" t="str">
        <f t="shared" si="372"/>
        <v xml:space="preserve"> </v>
      </c>
      <c r="D2132" s="1428">
        <f>ppht!CN337</f>
        <v>0</v>
      </c>
      <c r="E2132" s="980"/>
      <c r="F2132" s="992" t="str">
        <f>VLOOKUP($B2132,DG!A:D,DG!$C$2,)</f>
        <v>Ghíp nối IPC 95-50 1 bulong</v>
      </c>
      <c r="G2132" s="980" t="str">
        <f>VLOOKUP($B2132,DG!A:D,DG!$D$2,)</f>
        <v>cái</v>
      </c>
      <c r="H2132" s="1693">
        <f>D2132</f>
        <v>0</v>
      </c>
      <c r="I2132" s="1693"/>
      <c r="J2132" s="1693"/>
      <c r="K2132" s="1693"/>
      <c r="L2132" s="1693"/>
      <c r="M2132" s="1693"/>
      <c r="N2132" s="1693">
        <f t="shared" si="374"/>
        <v>0</v>
      </c>
      <c r="O2132" s="1693"/>
      <c r="P2132" s="1693">
        <f t="shared" si="370"/>
        <v>0</v>
      </c>
      <c r="Q2132" s="989"/>
      <c r="R2132" s="989"/>
      <c r="S2132" s="989"/>
      <c r="T2132" s="1862">
        <f t="shared" si="373"/>
        <v>0</v>
      </c>
    </row>
    <row r="2133" spans="1:20" ht="22.2" hidden="1" customHeight="1">
      <c r="A2133" s="1448">
        <f>COUNTIF($C$12:C2133,"x")</f>
        <v>151</v>
      </c>
      <c r="B2133" s="1455" t="s">
        <v>36</v>
      </c>
      <c r="C2133" s="970" t="str">
        <f t="shared" si="372"/>
        <v xml:space="preserve"> </v>
      </c>
      <c r="D2133" s="1428"/>
      <c r="E2133" s="980"/>
      <c r="F2133" s="992" t="str">
        <f>VLOOKUP($B2133,DG!A:D,DG!$C$2,)</f>
        <v>Kẹp ép WR cỡ dây 95mm2</v>
      </c>
      <c r="G2133" s="980" t="str">
        <f>VLOOKUP($B2133,DG!A:D,DG!$D$2,)</f>
        <v>cái</v>
      </c>
      <c r="H2133" s="1693">
        <f>D2133+T2133</f>
        <v>0</v>
      </c>
      <c r="I2133" s="1693"/>
      <c r="J2133" s="1693"/>
      <c r="K2133" s="1693"/>
      <c r="L2133" s="1693"/>
      <c r="M2133" s="1693"/>
      <c r="N2133" s="1693">
        <f t="shared" si="374"/>
        <v>0</v>
      </c>
      <c r="O2133" s="1693"/>
      <c r="P2133" s="1693">
        <f t="shared" si="370"/>
        <v>0</v>
      </c>
      <c r="Q2133" s="989"/>
      <c r="R2133" s="989"/>
      <c r="S2133" s="989"/>
      <c r="T2133" s="1862">
        <f t="shared" si="373"/>
        <v>0</v>
      </c>
    </row>
    <row r="2134" spans="1:20" ht="22.2" hidden="1" customHeight="1">
      <c r="A2134" s="1448">
        <f>COUNTIF($C$12:C2134,"x")</f>
        <v>151</v>
      </c>
      <c r="B2134" s="1455" t="s">
        <v>2212</v>
      </c>
      <c r="C2134" s="970" t="str">
        <f t="shared" si="372"/>
        <v xml:space="preserve"> </v>
      </c>
      <c r="D2134" s="1428">
        <f>ppht!CH337</f>
        <v>0</v>
      </c>
      <c r="E2134" s="980"/>
      <c r="F2134" s="992" t="str">
        <f>VLOOKUP($B2134,DG!A:D,DG!$C$2,)</f>
        <v>Ghíp nối IPC 50-35</v>
      </c>
      <c r="G2134" s="980" t="str">
        <f>VLOOKUP($B2134,DG!A:D,DG!$D$2,)</f>
        <v>cái</v>
      </c>
      <c r="H2134" s="1693">
        <f t="shared" ref="H2134:H2165" si="377">D2134</f>
        <v>0</v>
      </c>
      <c r="I2134" s="1693"/>
      <c r="J2134" s="1693"/>
      <c r="K2134" s="1693"/>
      <c r="L2134" s="1693"/>
      <c r="M2134" s="1693"/>
      <c r="N2134" s="1693">
        <f t="shared" si="374"/>
        <v>0</v>
      </c>
      <c r="O2134" s="1693"/>
      <c r="P2134" s="1693">
        <f t="shared" si="370"/>
        <v>0</v>
      </c>
      <c r="Q2134" s="989"/>
      <c r="R2134" s="989"/>
      <c r="S2134" s="989"/>
      <c r="T2134" s="1862">
        <f t="shared" si="373"/>
        <v>0</v>
      </c>
    </row>
    <row r="2135" spans="1:20" ht="22.2" hidden="1" customHeight="1">
      <c r="A2135" s="1448">
        <f>COUNTIF($C$12:C2135,"x")</f>
        <v>151</v>
      </c>
      <c r="B2135" s="1455" t="s">
        <v>1303</v>
      </c>
      <c r="C2135" s="970" t="str">
        <f t="shared" si="372"/>
        <v xml:space="preserve"> </v>
      </c>
      <c r="D2135" s="1415"/>
      <c r="E2135" s="980"/>
      <c r="F2135" s="992" t="str">
        <f>VLOOKUP($B2135,DG!A:D,DG!$C$2,)</f>
        <v>Đầu cosse ép Cu 70mm2</v>
      </c>
      <c r="G2135" s="980" t="str">
        <f>VLOOKUP($B2135,DG!A:D,DG!$D$2,)</f>
        <v>cái</v>
      </c>
      <c r="H2135" s="1693">
        <f t="shared" si="377"/>
        <v>0</v>
      </c>
      <c r="I2135" s="1693"/>
      <c r="J2135" s="1693"/>
      <c r="K2135" s="1693"/>
      <c r="L2135" s="1693"/>
      <c r="M2135" s="1693"/>
      <c r="N2135" s="1693"/>
      <c r="O2135" s="1693"/>
      <c r="P2135" s="1693">
        <f t="shared" ref="P2135:P2201" si="378">H2135+Q2135-R2135</f>
        <v>0</v>
      </c>
      <c r="Q2135" s="994"/>
      <c r="R2135" s="994"/>
      <c r="S2135" s="994"/>
      <c r="T2135" s="1862">
        <f t="shared" si="373"/>
        <v>0</v>
      </c>
    </row>
    <row r="2136" spans="1:20" ht="22.2" hidden="1" customHeight="1">
      <c r="A2136" s="1448">
        <f>COUNTIF($C$12:C2136,"x")</f>
        <v>151</v>
      </c>
      <c r="B2136" s="1455" t="s">
        <v>4323</v>
      </c>
      <c r="C2136" s="970" t="str">
        <f t="shared" si="372"/>
        <v xml:space="preserve"> </v>
      </c>
      <c r="D2136" s="1415"/>
      <c r="E2136" s="980"/>
      <c r="F2136" s="992" t="str">
        <f>VLOOKUP($B2136,DG!A:D,DG!$C$2,)</f>
        <v>Kẹp ép WR 399</v>
      </c>
      <c r="G2136" s="980" t="str">
        <f>VLOOKUP($B2136,DG!A:D,DG!$D$2,)</f>
        <v>cái</v>
      </c>
      <c r="H2136" s="1693">
        <f t="shared" si="377"/>
        <v>0</v>
      </c>
      <c r="I2136" s="1693"/>
      <c r="J2136" s="1693"/>
      <c r="K2136" s="1693"/>
      <c r="L2136" s="1693"/>
      <c r="M2136" s="1693"/>
      <c r="N2136" s="1693"/>
      <c r="O2136" s="1693"/>
      <c r="P2136" s="1693">
        <f t="shared" si="378"/>
        <v>0</v>
      </c>
      <c r="Q2136" s="994"/>
      <c r="R2136" s="994"/>
      <c r="S2136" s="994"/>
      <c r="T2136" s="1862">
        <f t="shared" si="373"/>
        <v>0</v>
      </c>
    </row>
    <row r="2137" spans="1:20" ht="22.2" hidden="1" customHeight="1">
      <c r="A2137" s="1448">
        <f>COUNTIF($C$12:C2137,"x")</f>
        <v>151</v>
      </c>
      <c r="B2137" s="1482" t="s">
        <v>1157</v>
      </c>
      <c r="C2137" s="970" t="str">
        <f t="shared" si="372"/>
        <v xml:space="preserve"> </v>
      </c>
      <c r="D2137" s="1428">
        <f>ppht!DJ337+T2137</f>
        <v>0</v>
      </c>
      <c r="E2137" s="980"/>
      <c r="F2137" s="1297" t="str">
        <f>VLOOKUP($B2137,DG!A:D,DG!$C$2,)</f>
        <v>Hộp phân phối (hộp rỗng)</v>
      </c>
      <c r="G2137" s="980" t="str">
        <f>VLOOKUP($B2137,DG!A:D,DG!$D$2,)</f>
        <v>cái</v>
      </c>
      <c r="H2137" s="1693">
        <f t="shared" si="377"/>
        <v>0</v>
      </c>
      <c r="I2137" s="1693"/>
      <c r="J2137" s="1693"/>
      <c r="K2137" s="1693"/>
      <c r="L2137" s="1693"/>
      <c r="M2137" s="1693"/>
      <c r="N2137" s="1693">
        <f t="shared" ref="N2137:N2153" si="379">D2137</f>
        <v>0</v>
      </c>
      <c r="O2137" s="1693"/>
      <c r="P2137" s="1693">
        <f t="shared" si="378"/>
        <v>0</v>
      </c>
      <c r="Q2137" s="989"/>
      <c r="R2137" s="989"/>
      <c r="S2137" s="989"/>
      <c r="T2137" s="1862">
        <f t="shared" si="373"/>
        <v>0</v>
      </c>
    </row>
    <row r="2138" spans="1:20" ht="22.2" hidden="1" customHeight="1">
      <c r="A2138" s="1448">
        <f>COUNTIF($C$12:C2138,"x")</f>
        <v>151</v>
      </c>
      <c r="B2138" s="1455" t="s">
        <v>1406</v>
      </c>
      <c r="C2138" s="970" t="str">
        <f t="shared" si="372"/>
        <v xml:space="preserve"> </v>
      </c>
      <c r="D2138" s="1415"/>
      <c r="E2138" s="980"/>
      <c r="F2138" s="992" t="str">
        <f>VLOOKUP($B2138,DG!A:D,DG!$C$2,)</f>
        <v>Cáp đồng bọc CV25</v>
      </c>
      <c r="G2138" s="980" t="str">
        <f>VLOOKUP($B2138,DG!A:D,DG!$D$2,)</f>
        <v>mét</v>
      </c>
      <c r="H2138" s="1693">
        <f t="shared" si="377"/>
        <v>0</v>
      </c>
      <c r="I2138" s="1693"/>
      <c r="J2138" s="1693"/>
      <c r="K2138" s="1693"/>
      <c r="L2138" s="1693"/>
      <c r="M2138" s="1693"/>
      <c r="N2138" s="1693">
        <f t="shared" si="379"/>
        <v>0</v>
      </c>
      <c r="O2138" s="1693"/>
      <c r="P2138" s="1693">
        <f t="shared" si="378"/>
        <v>0</v>
      </c>
      <c r="Q2138" s="989"/>
      <c r="R2138" s="989"/>
      <c r="S2138" s="989"/>
      <c r="T2138" s="1862">
        <f t="shared" si="373"/>
        <v>0</v>
      </c>
    </row>
    <row r="2139" spans="1:20" ht="22.2" hidden="1" customHeight="1">
      <c r="A2139" s="1448">
        <f>COUNTIF($C$12:C2139,"x")</f>
        <v>151</v>
      </c>
      <c r="B2139" s="1455" t="s">
        <v>1156</v>
      </c>
      <c r="C2139" s="970" t="str">
        <f t="shared" si="372"/>
        <v xml:space="preserve"> </v>
      </c>
      <c r="D2139" s="1428">
        <f>ppht!DI337</f>
        <v>0</v>
      </c>
      <c r="E2139" s="980" t="str">
        <f>VLOOKUP($B2139,DG!A:D,DG!$B$2,)</f>
        <v>06.1201</v>
      </c>
      <c r="F2139" s="992" t="s">
        <v>2561</v>
      </c>
      <c r="G2139" s="980" t="str">
        <f>VLOOKUP($B2139,DG!A:D,DG!$D$2,)</f>
        <v>cái</v>
      </c>
      <c r="H2139" s="1693">
        <f t="shared" si="377"/>
        <v>0</v>
      </c>
      <c r="I2139" s="1693"/>
      <c r="J2139" s="1693"/>
      <c r="K2139" s="1693"/>
      <c r="L2139" s="1693"/>
      <c r="M2139" s="1693"/>
      <c r="N2139" s="1693">
        <f t="shared" si="379"/>
        <v>0</v>
      </c>
      <c r="O2139" s="1693"/>
      <c r="P2139" s="1693">
        <f t="shared" si="378"/>
        <v>0</v>
      </c>
      <c r="Q2139" s="989"/>
      <c r="R2139" s="989"/>
      <c r="S2139" s="989"/>
      <c r="T2139" s="1862">
        <f t="shared" si="373"/>
        <v>0</v>
      </c>
    </row>
    <row r="2140" spans="1:20" ht="22.2" hidden="1" customHeight="1">
      <c r="A2140" s="1448">
        <f>COUNTIF($C$12:C2140,"x")</f>
        <v>151</v>
      </c>
      <c r="B2140" s="1455" t="s">
        <v>1158</v>
      </c>
      <c r="C2140" s="970" t="str">
        <f t="shared" si="372"/>
        <v xml:space="preserve"> </v>
      </c>
      <c r="D2140" s="1428">
        <f>ppht!DA337</f>
        <v>0</v>
      </c>
      <c r="E2140" s="980"/>
      <c r="F2140" s="992" t="str">
        <f>VLOOKUP($B2140,DG!A:D,DG!$C$2,)</f>
        <v>Kẹp treo cáp ABC4x120mm2</v>
      </c>
      <c r="G2140" s="980" t="str">
        <f>VLOOKUP($B2140,DG!A:D,DG!$D$2,)</f>
        <v>cái</v>
      </c>
      <c r="H2140" s="1693">
        <f t="shared" si="377"/>
        <v>0</v>
      </c>
      <c r="I2140" s="1693"/>
      <c r="J2140" s="1693"/>
      <c r="K2140" s="1693"/>
      <c r="L2140" s="1693"/>
      <c r="M2140" s="1693"/>
      <c r="N2140" s="1693">
        <f t="shared" si="379"/>
        <v>0</v>
      </c>
      <c r="O2140" s="1693"/>
      <c r="P2140" s="1693">
        <f t="shared" si="378"/>
        <v>0</v>
      </c>
      <c r="Q2140" s="989"/>
      <c r="R2140" s="989"/>
      <c r="S2140" s="989"/>
      <c r="T2140" s="1862">
        <f t="shared" si="373"/>
        <v>0</v>
      </c>
    </row>
    <row r="2141" spans="1:20" ht="22.2" hidden="1" customHeight="1">
      <c r="A2141" s="1448">
        <f>COUNTIF($C$12:C2141,"x")</f>
        <v>151</v>
      </c>
      <c r="B2141" s="1482" t="s">
        <v>1159</v>
      </c>
      <c r="C2141" s="970" t="str">
        <f t="shared" si="372"/>
        <v xml:space="preserve"> </v>
      </c>
      <c r="D2141" s="1428">
        <f>ppht!DB337*0</f>
        <v>0</v>
      </c>
      <c r="E2141" s="980"/>
      <c r="F2141" s="992" t="str">
        <f>VLOOKUP($B2141,DG!A:D,DG!$C$2,)</f>
        <v>Kẹp treo cáp ABC4x95mm2</v>
      </c>
      <c r="G2141" s="980" t="str">
        <f>VLOOKUP($B2141,DG!A:D,DG!$D$2,)</f>
        <v>cái</v>
      </c>
      <c r="H2141" s="1693">
        <f t="shared" si="377"/>
        <v>0</v>
      </c>
      <c r="I2141" s="1693"/>
      <c r="J2141" s="1693"/>
      <c r="K2141" s="1693"/>
      <c r="L2141" s="1693"/>
      <c r="M2141" s="1693"/>
      <c r="N2141" s="1693">
        <f t="shared" si="379"/>
        <v>0</v>
      </c>
      <c r="O2141" s="1693"/>
      <c r="P2141" s="1693">
        <f t="shared" si="378"/>
        <v>0</v>
      </c>
      <c r="Q2141" s="989"/>
      <c r="R2141" s="989"/>
      <c r="S2141" s="989"/>
      <c r="T2141" s="1862">
        <f t="shared" si="373"/>
        <v>0</v>
      </c>
    </row>
    <row r="2142" spans="1:20" ht="22.2" hidden="1" customHeight="1">
      <c r="A2142" s="1448">
        <f>COUNTIF($C$12:C2142,"x")</f>
        <v>151</v>
      </c>
      <c r="B2142" s="1455" t="s">
        <v>1692</v>
      </c>
      <c r="C2142" s="970" t="str">
        <f t="shared" si="372"/>
        <v xml:space="preserve"> </v>
      </c>
      <c r="D2142" s="1428">
        <f>ppht!DC337</f>
        <v>0</v>
      </c>
      <c r="E2142" s="980" t="str">
        <f>VLOOKUP($B2142,DG!A:D,DG!$B$2,)</f>
        <v>06.1201</v>
      </c>
      <c r="F2142" s="992" t="str">
        <f>VLOOKUP($B2142,DG!A:D,DG!$C$2,)</f>
        <v>Kẹp treo cáp ABC4x70mm2</v>
      </c>
      <c r="G2142" s="980" t="str">
        <f>VLOOKUP($B2142,DG!A:D,DG!$D$2,)</f>
        <v>cái</v>
      </c>
      <c r="H2142" s="1693">
        <f t="shared" si="377"/>
        <v>0</v>
      </c>
      <c r="I2142" s="1693"/>
      <c r="J2142" s="1693"/>
      <c r="K2142" s="1693"/>
      <c r="L2142" s="1693"/>
      <c r="M2142" s="1693"/>
      <c r="N2142" s="1693">
        <f t="shared" si="379"/>
        <v>0</v>
      </c>
      <c r="O2142" s="1693"/>
      <c r="P2142" s="1693">
        <f t="shared" si="378"/>
        <v>0</v>
      </c>
      <c r="Q2142" s="989"/>
      <c r="R2142" s="989"/>
      <c r="S2142" s="989"/>
      <c r="T2142" s="1862">
        <f t="shared" si="373"/>
        <v>0</v>
      </c>
    </row>
    <row r="2143" spans="1:20" ht="22.2" hidden="1" customHeight="1">
      <c r="A2143" s="1448">
        <f>COUNTIF($C$12:C2143,"x")</f>
        <v>151</v>
      </c>
      <c r="B2143" s="1455" t="s">
        <v>1693</v>
      </c>
      <c r="C2143" s="970" t="str">
        <f t="shared" si="372"/>
        <v xml:space="preserve"> </v>
      </c>
      <c r="D2143" s="1428">
        <f>ppht!DD337</f>
        <v>0</v>
      </c>
      <c r="E2143" s="980"/>
      <c r="F2143" s="992" t="str">
        <f>VLOOKUP($B2143,DG!A:D,DG!$C$2,)</f>
        <v>Kẹp treo cáp ABC4x50mm2</v>
      </c>
      <c r="G2143" s="980" t="str">
        <f>VLOOKUP($B2143,DG!A:D,DG!$D$2,)</f>
        <v>cái</v>
      </c>
      <c r="H2143" s="1693">
        <f t="shared" si="377"/>
        <v>0</v>
      </c>
      <c r="I2143" s="1693"/>
      <c r="J2143" s="1693"/>
      <c r="K2143" s="1693"/>
      <c r="L2143" s="1693"/>
      <c r="M2143" s="1693"/>
      <c r="N2143" s="1693">
        <f t="shared" si="379"/>
        <v>0</v>
      </c>
      <c r="O2143" s="1693"/>
      <c r="P2143" s="1693">
        <f t="shared" si="378"/>
        <v>0</v>
      </c>
      <c r="Q2143" s="989"/>
      <c r="R2143" s="989"/>
      <c r="S2143" s="989"/>
      <c r="T2143" s="1862">
        <f t="shared" si="373"/>
        <v>0</v>
      </c>
    </row>
    <row r="2144" spans="1:20" ht="22.2" hidden="1" customHeight="1">
      <c r="A2144" s="1448">
        <f>COUNTIF($C$12:C2144,"x")</f>
        <v>151</v>
      </c>
      <c r="B2144" s="1482" t="s">
        <v>1734</v>
      </c>
      <c r="C2144" s="970" t="str">
        <f t="shared" si="372"/>
        <v xml:space="preserve"> </v>
      </c>
      <c r="D2144" s="1415">
        <f>ppht!DO337</f>
        <v>0</v>
      </c>
      <c r="E2144" s="980"/>
      <c r="F2144" s="992" t="str">
        <f>VLOOKUP($B2144,DG!A:D,DG!$C$2,)</f>
        <v>Móc treo chữ A</v>
      </c>
      <c r="G2144" s="980" t="str">
        <f>VLOOKUP($B2144,DG!A:D,DG!$D$2,)</f>
        <v>cái</v>
      </c>
      <c r="H2144" s="1693">
        <f t="shared" si="377"/>
        <v>0</v>
      </c>
      <c r="I2144" s="1693"/>
      <c r="J2144" s="1693"/>
      <c r="K2144" s="1693"/>
      <c r="L2144" s="1693"/>
      <c r="M2144" s="1693"/>
      <c r="N2144" s="1693">
        <f t="shared" si="379"/>
        <v>0</v>
      </c>
      <c r="O2144" s="1693"/>
      <c r="P2144" s="1693">
        <f t="shared" si="378"/>
        <v>0</v>
      </c>
      <c r="Q2144" s="989"/>
      <c r="R2144" s="989"/>
      <c r="S2144" s="989"/>
      <c r="T2144" s="1862">
        <f t="shared" si="373"/>
        <v>0</v>
      </c>
    </row>
    <row r="2145" spans="1:20" ht="22.2" hidden="1" customHeight="1">
      <c r="A2145" s="1448">
        <f>COUNTIF($C$12:C2145,"x")</f>
        <v>151</v>
      </c>
      <c r="B2145" s="1455" t="s">
        <v>2219</v>
      </c>
      <c r="C2145" s="970" t="str">
        <f t="shared" si="372"/>
        <v xml:space="preserve"> </v>
      </c>
      <c r="D2145" s="1415">
        <f>ppht!DE337</f>
        <v>0</v>
      </c>
      <c r="E2145" s="980"/>
      <c r="F2145" s="992" t="str">
        <f>VLOOKUP($B2145,DG!A:D,DG!$C$2,)</f>
        <v>Kẹp ngừng cáp ABC4x150mm2</v>
      </c>
      <c r="G2145" s="980" t="str">
        <f>VLOOKUP($B2145,DG!A:D,DG!$D$2,)</f>
        <v>cái</v>
      </c>
      <c r="H2145" s="1693">
        <f t="shared" si="377"/>
        <v>0</v>
      </c>
      <c r="I2145" s="1693"/>
      <c r="J2145" s="1693"/>
      <c r="K2145" s="1693"/>
      <c r="L2145" s="1693"/>
      <c r="M2145" s="1693"/>
      <c r="N2145" s="1693">
        <f t="shared" si="379"/>
        <v>0</v>
      </c>
      <c r="O2145" s="1693"/>
      <c r="P2145" s="1693">
        <f t="shared" si="378"/>
        <v>0</v>
      </c>
      <c r="Q2145" s="989"/>
      <c r="R2145" s="989"/>
      <c r="S2145" s="989"/>
      <c r="T2145" s="1862">
        <f t="shared" si="373"/>
        <v>0</v>
      </c>
    </row>
    <row r="2146" spans="1:20" ht="22.2" hidden="1" customHeight="1">
      <c r="A2146" s="1448">
        <f>COUNTIF($C$12:C2146,"x")</f>
        <v>151</v>
      </c>
      <c r="B2146" s="1482" t="s">
        <v>1429</v>
      </c>
      <c r="C2146" s="970" t="str">
        <f t="shared" si="372"/>
        <v xml:space="preserve"> </v>
      </c>
      <c r="D2146" s="1415">
        <f>ppht!DF337</f>
        <v>0</v>
      </c>
      <c r="E2146" s="980"/>
      <c r="F2146" s="992" t="str">
        <f>VLOOKUP($B2146,DG!A:D,DG!$C$2,)</f>
        <v>Kẹp ngừng cáp ABC4x95mm2</v>
      </c>
      <c r="G2146" s="980" t="str">
        <f>VLOOKUP($B2146,DG!A:D,DG!$D$2,)</f>
        <v>cái</v>
      </c>
      <c r="H2146" s="1693">
        <f t="shared" si="377"/>
        <v>0</v>
      </c>
      <c r="I2146" s="1693"/>
      <c r="J2146" s="1693"/>
      <c r="K2146" s="1693"/>
      <c r="L2146" s="1693"/>
      <c r="M2146" s="1693"/>
      <c r="N2146" s="1693">
        <f t="shared" si="379"/>
        <v>0</v>
      </c>
      <c r="O2146" s="1693"/>
      <c r="P2146" s="1693">
        <f t="shared" si="378"/>
        <v>0</v>
      </c>
      <c r="Q2146" s="989"/>
      <c r="R2146" s="989"/>
      <c r="S2146" s="989"/>
      <c r="T2146" s="1862">
        <f t="shared" si="373"/>
        <v>0</v>
      </c>
    </row>
    <row r="2147" spans="1:20" ht="22.2" hidden="1" customHeight="1">
      <c r="A2147" s="1448">
        <f>COUNTIF($C$12:C2147,"x")</f>
        <v>151</v>
      </c>
      <c r="B2147" s="1455" t="s">
        <v>2258</v>
      </c>
      <c r="C2147" s="970" t="str">
        <f t="shared" si="372"/>
        <v xml:space="preserve"> </v>
      </c>
      <c r="D2147" s="1415">
        <f>ppht!DG337</f>
        <v>0</v>
      </c>
      <c r="E2147" s="980" t="str">
        <f>VLOOKUP($B2147,DG!A:D,DG!$B$2,)</f>
        <v>06.1201</v>
      </c>
      <c r="F2147" s="992" t="str">
        <f>VLOOKUP($B2147,DG!A:D,DG!$C$2,)</f>
        <v>Kẹp ngừng cáp ABC4x70mm2</v>
      </c>
      <c r="G2147" s="980" t="str">
        <f>VLOOKUP($B2147,DG!A:D,DG!$D$2,)</f>
        <v>cái</v>
      </c>
      <c r="H2147" s="1693">
        <f t="shared" si="377"/>
        <v>0</v>
      </c>
      <c r="I2147" s="1693"/>
      <c r="J2147" s="1693"/>
      <c r="K2147" s="1693"/>
      <c r="L2147" s="1693"/>
      <c r="M2147" s="1693"/>
      <c r="N2147" s="1693">
        <f t="shared" si="379"/>
        <v>0</v>
      </c>
      <c r="O2147" s="1693"/>
      <c r="P2147" s="1693">
        <f t="shared" si="378"/>
        <v>0</v>
      </c>
      <c r="Q2147" s="989"/>
      <c r="R2147" s="989"/>
      <c r="S2147" s="989"/>
      <c r="T2147" s="1862">
        <f t="shared" si="373"/>
        <v>0</v>
      </c>
    </row>
    <row r="2148" spans="1:20" ht="22.2" hidden="1" customHeight="1">
      <c r="A2148" s="1448">
        <f>COUNTIF($C$12:C2148,"x")</f>
        <v>151</v>
      </c>
      <c r="B2148" s="1455" t="s">
        <v>313</v>
      </c>
      <c r="C2148" s="970" t="str">
        <f t="shared" si="372"/>
        <v xml:space="preserve"> </v>
      </c>
      <c r="D2148" s="1415">
        <f>ppht!DH337</f>
        <v>0</v>
      </c>
      <c r="E2148" s="980"/>
      <c r="F2148" s="992" t="str">
        <f>VLOOKUP($B2148,DG!A:D,DG!$C$2,)</f>
        <v>Kẹp ngừng cáp ABC4x50mm2</v>
      </c>
      <c r="G2148" s="980" t="str">
        <f>VLOOKUP($B2148,DG!A:D,DG!$D$2,)</f>
        <v>cái</v>
      </c>
      <c r="H2148" s="1693">
        <f t="shared" si="377"/>
        <v>0</v>
      </c>
      <c r="I2148" s="1693"/>
      <c r="J2148" s="1693"/>
      <c r="K2148" s="1693"/>
      <c r="L2148" s="1693"/>
      <c r="M2148" s="1693"/>
      <c r="N2148" s="1693">
        <f t="shared" si="379"/>
        <v>0</v>
      </c>
      <c r="O2148" s="1693"/>
      <c r="P2148" s="1693">
        <f t="shared" si="378"/>
        <v>0</v>
      </c>
      <c r="Q2148" s="989"/>
      <c r="R2148" s="989"/>
      <c r="S2148" s="989"/>
      <c r="T2148" s="1862">
        <f t="shared" si="373"/>
        <v>0</v>
      </c>
    </row>
    <row r="2149" spans="1:20" ht="22.2" hidden="1" customHeight="1">
      <c r="A2149" s="1448">
        <f>COUNTIF($C$12:C2149,"x")</f>
        <v>151</v>
      </c>
      <c r="B2149" s="1455" t="s">
        <v>2220</v>
      </c>
      <c r="C2149" s="970" t="str">
        <f t="shared" si="372"/>
        <v xml:space="preserve"> </v>
      </c>
      <c r="D2149" s="1415">
        <f>ppht!CV337</f>
        <v>0</v>
      </c>
      <c r="E2149" s="980"/>
      <c r="F2149" s="992" t="str">
        <f>VLOOKUP($B2149,DG!A:D,DG!$C$2,)</f>
        <v>Nắp bịt đầu cáp ABC150mm2</v>
      </c>
      <c r="G2149" s="980" t="str">
        <f>VLOOKUP($B2149,DG!A:D,DG!$D$2,)</f>
        <v>cái</v>
      </c>
      <c r="H2149" s="1693">
        <f t="shared" si="377"/>
        <v>0</v>
      </c>
      <c r="I2149" s="1693"/>
      <c r="J2149" s="1693"/>
      <c r="K2149" s="1693"/>
      <c r="L2149" s="1693"/>
      <c r="M2149" s="1693"/>
      <c r="N2149" s="1693">
        <f t="shared" si="379"/>
        <v>0</v>
      </c>
      <c r="O2149" s="1693"/>
      <c r="P2149" s="1693">
        <f t="shared" si="378"/>
        <v>0</v>
      </c>
      <c r="Q2149" s="989"/>
      <c r="R2149" s="989"/>
      <c r="S2149" s="989"/>
      <c r="T2149" s="1862">
        <f t="shared" ref="T2149:T2212" si="380">IFERROR(HLOOKUP(B2149,BangKeTru,3,0),0)</f>
        <v>0</v>
      </c>
    </row>
    <row r="2150" spans="1:20" ht="22.2" hidden="1" customHeight="1">
      <c r="A2150" s="1448">
        <f>COUNTIF($C$12:C2150,"x")</f>
        <v>151</v>
      </c>
      <c r="B2150" s="1455" t="s">
        <v>858</v>
      </c>
      <c r="C2150" s="970" t="str">
        <f t="shared" si="372"/>
        <v xml:space="preserve"> </v>
      </c>
      <c r="D2150" s="1415">
        <f>ppht!CW337</f>
        <v>0</v>
      </c>
      <c r="E2150" s="980"/>
      <c r="F2150" s="992" t="str">
        <f>VLOOKUP($B2150,DG!A:D,DG!$C$2,)</f>
        <v>Nắp bịt đầu cáp ABC95mm2</v>
      </c>
      <c r="G2150" s="980" t="str">
        <f>VLOOKUP($B2150,DG!A:D,DG!$D$2,)</f>
        <v>cái</v>
      </c>
      <c r="H2150" s="1693">
        <f t="shared" si="377"/>
        <v>0</v>
      </c>
      <c r="I2150" s="1693"/>
      <c r="J2150" s="1693"/>
      <c r="K2150" s="1693"/>
      <c r="L2150" s="1693"/>
      <c r="M2150" s="1693"/>
      <c r="N2150" s="1693">
        <f t="shared" si="379"/>
        <v>0</v>
      </c>
      <c r="O2150" s="1693"/>
      <c r="P2150" s="1693">
        <f t="shared" si="378"/>
        <v>0</v>
      </c>
      <c r="Q2150" s="989"/>
      <c r="R2150" s="989"/>
      <c r="S2150" s="989"/>
      <c r="T2150" s="1862">
        <f t="shared" si="380"/>
        <v>0</v>
      </c>
    </row>
    <row r="2151" spans="1:20" ht="22.2" hidden="1" customHeight="1">
      <c r="A2151" s="1448">
        <f>COUNTIF($C$12:C2151,"x")</f>
        <v>151</v>
      </c>
      <c r="B2151" s="1455" t="s">
        <v>859</v>
      </c>
      <c r="C2151" s="970" t="str">
        <f t="shared" si="372"/>
        <v xml:space="preserve"> </v>
      </c>
      <c r="D2151" s="1415">
        <f>ppht!CX337</f>
        <v>0</v>
      </c>
      <c r="E2151" s="980"/>
      <c r="F2151" s="992" t="str">
        <f>VLOOKUP($B2151,DG!A:D,DG!$C$2,)</f>
        <v>Nắp bịt đầu cáp ABC70mm2</v>
      </c>
      <c r="G2151" s="980" t="str">
        <f>VLOOKUP($B2151,DG!A:D,DG!$D$2,)</f>
        <v>cái</v>
      </c>
      <c r="H2151" s="1693">
        <f t="shared" si="377"/>
        <v>0</v>
      </c>
      <c r="I2151" s="1693"/>
      <c r="J2151" s="1693"/>
      <c r="K2151" s="1693"/>
      <c r="L2151" s="1693"/>
      <c r="M2151" s="1693"/>
      <c r="N2151" s="1693">
        <f t="shared" si="379"/>
        <v>0</v>
      </c>
      <c r="O2151" s="1693"/>
      <c r="P2151" s="1693">
        <f t="shared" si="378"/>
        <v>0</v>
      </c>
      <c r="Q2151" s="989"/>
      <c r="R2151" s="989"/>
      <c r="S2151" s="989"/>
      <c r="T2151" s="1862">
        <f t="shared" si="380"/>
        <v>0</v>
      </c>
    </row>
    <row r="2152" spans="1:20" ht="22.2" hidden="1" customHeight="1">
      <c r="A2152" s="1448">
        <f>COUNTIF($C$12:C2152,"x")</f>
        <v>151</v>
      </c>
      <c r="B2152" s="1455" t="s">
        <v>860</v>
      </c>
      <c r="C2152" s="970" t="str">
        <f t="shared" si="372"/>
        <v xml:space="preserve"> </v>
      </c>
      <c r="D2152" s="1415">
        <f>ppht!CZ341</f>
        <v>0</v>
      </c>
      <c r="E2152" s="980"/>
      <c r="F2152" s="992" t="str">
        <f>VLOOKUP($B2152,DG!A:D,DG!$C$2,)</f>
        <v>Nắp bịt đầu cáp ABC50mm2</v>
      </c>
      <c r="G2152" s="980" t="str">
        <f>VLOOKUP($B2152,DG!A:D,DG!$D$2,)</f>
        <v>cái</v>
      </c>
      <c r="H2152" s="1693">
        <f t="shared" si="377"/>
        <v>0</v>
      </c>
      <c r="I2152" s="1693"/>
      <c r="J2152" s="1693"/>
      <c r="K2152" s="1693"/>
      <c r="L2152" s="1693"/>
      <c r="M2152" s="1693"/>
      <c r="N2152" s="1693">
        <f t="shared" si="379"/>
        <v>0</v>
      </c>
      <c r="O2152" s="1693"/>
      <c r="P2152" s="1693">
        <f t="shared" si="378"/>
        <v>0</v>
      </c>
      <c r="Q2152" s="989"/>
      <c r="R2152" s="989"/>
      <c r="S2152" s="989"/>
      <c r="T2152" s="1862">
        <f t="shared" si="380"/>
        <v>0</v>
      </c>
    </row>
    <row r="2153" spans="1:20" ht="22.2" hidden="1" customHeight="1">
      <c r="A2153" s="1448">
        <f>COUNTIF($C$12:C2153,"x")</f>
        <v>151</v>
      </c>
      <c r="B2153" s="1455" t="s">
        <v>4291</v>
      </c>
      <c r="C2153" s="970" t="str">
        <f t="shared" si="372"/>
        <v xml:space="preserve"> </v>
      </c>
      <c r="D2153" s="1415">
        <f>+ppht!CY341</f>
        <v>0</v>
      </c>
      <c r="E2153" s="980"/>
      <c r="F2153" s="992" t="str">
        <f>VLOOKUP($B2153,DG!A:D,DG!$C$2,)</f>
        <v>Nắp bịt đầu cáp 35mm2</v>
      </c>
      <c r="G2153" s="980" t="str">
        <f>VLOOKUP($B2153,DG!A:D,DG!$D$2,)</f>
        <v>cái</v>
      </c>
      <c r="H2153" s="1693">
        <f t="shared" si="377"/>
        <v>0</v>
      </c>
      <c r="I2153" s="1693"/>
      <c r="J2153" s="1693"/>
      <c r="K2153" s="1693"/>
      <c r="L2153" s="1693"/>
      <c r="M2153" s="1693"/>
      <c r="N2153" s="1693">
        <f t="shared" si="379"/>
        <v>0</v>
      </c>
      <c r="O2153" s="1693"/>
      <c r="P2153" s="1693">
        <f t="shared" si="378"/>
        <v>0</v>
      </c>
      <c r="Q2153" s="989"/>
      <c r="R2153" s="989"/>
      <c r="S2153" s="989"/>
      <c r="T2153" s="1862">
        <f t="shared" si="380"/>
        <v>0</v>
      </c>
    </row>
    <row r="2154" spans="1:20" ht="22.2" hidden="1" customHeight="1">
      <c r="A2154" s="1448">
        <f>COUNTIF($C$12:C2154,"x")</f>
        <v>151</v>
      </c>
      <c r="B2154" s="1466" t="s">
        <v>905</v>
      </c>
      <c r="C2154" s="970" t="str">
        <f t="shared" si="372"/>
        <v xml:space="preserve"> </v>
      </c>
      <c r="D2154" s="1415"/>
      <c r="E2154" s="980"/>
      <c r="F2154" s="992" t="str">
        <f>VLOOKUP($B2154,DG!A:D,DG!$C$2,)</f>
        <v>Kẹp ép WR cỡ dây 50mm2</v>
      </c>
      <c r="G2154" s="980" t="str">
        <f>VLOOKUP($B2154,DG!A:D,DG!$D$2,)</f>
        <v>cái</v>
      </c>
      <c r="H2154" s="1693">
        <f t="shared" si="377"/>
        <v>0</v>
      </c>
      <c r="I2154" s="1693"/>
      <c r="J2154" s="1693"/>
      <c r="K2154" s="1693"/>
      <c r="L2154" s="1693"/>
      <c r="M2154" s="1693"/>
      <c r="N2154" s="1693"/>
      <c r="O2154" s="1693"/>
      <c r="P2154" s="1693">
        <f t="shared" si="378"/>
        <v>0</v>
      </c>
      <c r="Q2154" s="994"/>
      <c r="R2154" s="994"/>
      <c r="S2154" s="994"/>
      <c r="T2154" s="1862">
        <f t="shared" si="380"/>
        <v>0</v>
      </c>
    </row>
    <row r="2155" spans="1:20" ht="22.2" hidden="1" customHeight="1">
      <c r="A2155" s="1448">
        <f>COUNTIF($C$12:C2155,"x")</f>
        <v>151</v>
      </c>
      <c r="B2155" s="1483" t="s">
        <v>4290</v>
      </c>
      <c r="C2155" s="970" t="str">
        <f t="shared" si="372"/>
        <v xml:space="preserve"> </v>
      </c>
      <c r="D2155" s="1415"/>
      <c r="E2155" s="980"/>
      <c r="F2155" s="1297" t="str">
        <f>VLOOKUP($B2155,DG!A:D,DG!$C$2,)</f>
        <v>Bộ tiếp địa cố định cáp ABC</v>
      </c>
      <c r="G2155" s="980" t="str">
        <f>VLOOKUP($B2155,DG!A:D,DG!$D$2,)</f>
        <v>bộ</v>
      </c>
      <c r="H2155" s="1693">
        <f t="shared" si="377"/>
        <v>0</v>
      </c>
      <c r="I2155" s="1693"/>
      <c r="J2155" s="1693"/>
      <c r="K2155" s="1693"/>
      <c r="L2155" s="1693"/>
      <c r="M2155" s="1693"/>
      <c r="N2155" s="1693"/>
      <c r="O2155" s="1693"/>
      <c r="P2155" s="1693">
        <f t="shared" si="378"/>
        <v>0</v>
      </c>
      <c r="Q2155" s="989"/>
      <c r="R2155" s="989"/>
      <c r="S2155" s="989"/>
      <c r="T2155" s="1862">
        <f t="shared" si="380"/>
        <v>0</v>
      </c>
    </row>
    <row r="2156" spans="1:20" ht="22.2" hidden="1" customHeight="1">
      <c r="A2156" s="1448">
        <f>COUNTIF($C$12:C2156,"x")</f>
        <v>151</v>
      </c>
      <c r="B2156" s="1455" t="s">
        <v>1623</v>
      </c>
      <c r="C2156" s="970" t="str">
        <f>IF(OR(P2156&lt;&gt;0,H2156&lt;&gt;0),"x"," ")</f>
        <v xml:space="preserve"> </v>
      </c>
      <c r="D2156" s="1415"/>
      <c r="E2156" s="980"/>
      <c r="F2156" s="1297" t="str">
        <f>VLOOKUP($B2156,DG!A:D,DG!$C$2,)</f>
        <v>Cáp đồng bọc CV70</v>
      </c>
      <c r="G2156" s="980" t="str">
        <f>VLOOKUP($B2156,DG!A:D,DG!$D$2,)</f>
        <v>mét</v>
      </c>
      <c r="H2156" s="1693">
        <f t="shared" si="377"/>
        <v>0</v>
      </c>
      <c r="I2156" s="1693"/>
      <c r="J2156" s="1693"/>
      <c r="K2156" s="1693"/>
      <c r="L2156" s="1693"/>
      <c r="M2156" s="1693"/>
      <c r="N2156" s="1693"/>
      <c r="O2156" s="1693"/>
      <c r="P2156" s="1693">
        <f>H2156+Q2156-R2156</f>
        <v>0</v>
      </c>
      <c r="Q2156" s="989"/>
      <c r="R2156" s="989"/>
      <c r="S2156" s="989"/>
      <c r="T2156" s="1862">
        <f t="shared" si="380"/>
        <v>0</v>
      </c>
    </row>
    <row r="2157" spans="1:20" ht="22.2" hidden="1" customHeight="1">
      <c r="A2157" s="1448">
        <f>COUNTIF($C$12:C2157,"x")</f>
        <v>151</v>
      </c>
      <c r="B2157" s="1455" t="s">
        <v>4139</v>
      </c>
      <c r="C2157" s="970" t="str">
        <f>IF(OR(P2157&lt;&gt;0,H2157&lt;&gt;0),"x"," ")</f>
        <v xml:space="preserve"> </v>
      </c>
      <c r="D2157" s="1415"/>
      <c r="E2157" s="980"/>
      <c r="F2157" s="1297" t="str">
        <f>VLOOKUP($B2157,DG!A:D,DG!$C$2,)</f>
        <v>Hộp phân đoạn MCCB 3 cực 400V-125A - 30KA</v>
      </c>
      <c r="G2157" s="980" t="str">
        <f>VLOOKUP($B2157,DG!A:D,DG!$D$2,)</f>
        <v>hộp</v>
      </c>
      <c r="H2157" s="1693">
        <f t="shared" si="377"/>
        <v>0</v>
      </c>
      <c r="I2157" s="1693"/>
      <c r="J2157" s="1693"/>
      <c r="K2157" s="1693"/>
      <c r="L2157" s="1693"/>
      <c r="M2157" s="1693"/>
      <c r="N2157" s="1693"/>
      <c r="O2157" s="1693"/>
      <c r="P2157" s="1693">
        <f>H2157+Q2157-R2157</f>
        <v>0</v>
      </c>
      <c r="Q2157" s="989"/>
      <c r="R2157" s="989"/>
      <c r="S2157" s="989"/>
      <c r="T2157" s="1862">
        <f t="shared" si="380"/>
        <v>0</v>
      </c>
    </row>
    <row r="2158" spans="1:20" ht="22.2" hidden="1" customHeight="1">
      <c r="A2158" s="1448">
        <f>COUNTIF($C$12:C2158,"x")</f>
        <v>151</v>
      </c>
      <c r="B2158" s="1455" t="s">
        <v>1419</v>
      </c>
      <c r="C2158" s="970" t="str">
        <f>IF(OR(P2158&lt;&gt;0,H2158&lt;&gt;0),"x"," ")</f>
        <v xml:space="preserve"> </v>
      </c>
      <c r="D2158" s="1415"/>
      <c r="E2158" s="980"/>
      <c r="F2158" s="1297" t="str">
        <f>VLOOKUP($B2158,DG!A:D,DG!$C$2,)</f>
        <v>MCCB 3 cực 400V -125A - 30KA</v>
      </c>
      <c r="G2158" s="980" t="str">
        <f>VLOOKUP($B2158,DG!A:D,DG!$D$2,)</f>
        <v>cái</v>
      </c>
      <c r="H2158" s="1693">
        <f t="shared" si="377"/>
        <v>0</v>
      </c>
      <c r="I2158" s="1693"/>
      <c r="J2158" s="1693"/>
      <c r="K2158" s="1693"/>
      <c r="L2158" s="1693"/>
      <c r="M2158" s="1693"/>
      <c r="N2158" s="1693"/>
      <c r="O2158" s="1693"/>
      <c r="P2158" s="1693">
        <f>H2158+Q2158-R2158</f>
        <v>0</v>
      </c>
      <c r="Q2158" s="989"/>
      <c r="R2158" s="989"/>
      <c r="S2158" s="989"/>
      <c r="T2158" s="1862">
        <f t="shared" si="380"/>
        <v>0</v>
      </c>
    </row>
    <row r="2159" spans="1:20" ht="22.2" hidden="1" customHeight="1">
      <c r="A2159" s="1448">
        <f>COUNTIF($C$12:C2159,"x")</f>
        <v>151</v>
      </c>
      <c r="B2159" s="1455" t="s">
        <v>1467</v>
      </c>
      <c r="C2159" s="970" t="str">
        <f>IF(OR(P2159&lt;&gt;0,H2159&lt;&gt;0),"x"," ")</f>
        <v xml:space="preserve"> </v>
      </c>
      <c r="D2159" s="1428">
        <f>ppht!DM337</f>
        <v>0</v>
      </c>
      <c r="E2159" s="980"/>
      <c r="F2159" s="992" t="str">
        <f>VLOOKUP($B2159,DG!A:D,DG!$C$2,)</f>
        <v xml:space="preserve">Móc dừng </v>
      </c>
      <c r="G2159" s="980" t="str">
        <f>VLOOKUP($B2159,DG!A:D,DG!$D$2,)</f>
        <v>cái</v>
      </c>
      <c r="H2159" s="1693">
        <f t="shared" si="377"/>
        <v>0</v>
      </c>
      <c r="I2159" s="1693"/>
      <c r="J2159" s="1693"/>
      <c r="K2159" s="1693"/>
      <c r="L2159" s="1693"/>
      <c r="M2159" s="1693"/>
      <c r="N2159" s="1693">
        <f t="shared" ref="N2159:N2185" si="381">D2159</f>
        <v>0</v>
      </c>
      <c r="O2159" s="1693"/>
      <c r="P2159" s="1693">
        <f>H2159+Q2159-R2159</f>
        <v>0</v>
      </c>
      <c r="Q2159" s="989"/>
      <c r="R2159" s="989"/>
      <c r="S2159" s="989"/>
      <c r="T2159" s="1862">
        <f t="shared" si="380"/>
        <v>0</v>
      </c>
    </row>
    <row r="2160" spans="1:20" ht="22.2" hidden="1" customHeight="1">
      <c r="A2160" s="1448">
        <f>COUNTIF($C$12:C2160,"x")</f>
        <v>151</v>
      </c>
      <c r="B2160" s="1455" t="s">
        <v>2024</v>
      </c>
      <c r="C2160" s="970" t="str">
        <f>IF(OR(P2160&lt;&gt;0,H2160&lt;&gt;0),"x"," ")</f>
        <v xml:space="preserve"> </v>
      </c>
      <c r="D2160" s="1428"/>
      <c r="E2160" s="980"/>
      <c r="F2160" s="992" t="str">
        <f>VLOOKUP($B2160,DG!A:D,DG!$C$2,)</f>
        <v xml:space="preserve">Móc đơn treo cáp </v>
      </c>
      <c r="G2160" s="980" t="str">
        <f>VLOOKUP($B2160,DG!A:D,DG!$D$2,)</f>
        <v>cái</v>
      </c>
      <c r="H2160" s="1693">
        <f t="shared" si="377"/>
        <v>0</v>
      </c>
      <c r="I2160" s="1693"/>
      <c r="J2160" s="1693"/>
      <c r="K2160" s="1693"/>
      <c r="L2160" s="1693"/>
      <c r="M2160" s="1693"/>
      <c r="N2160" s="1693">
        <f t="shared" si="381"/>
        <v>0</v>
      </c>
      <c r="O2160" s="1693"/>
      <c r="P2160" s="1693">
        <f>H2160+Q2160-R2160</f>
        <v>0</v>
      </c>
      <c r="Q2160" s="989"/>
      <c r="R2160" s="989"/>
      <c r="S2160" s="989"/>
      <c r="T2160" s="1862">
        <f t="shared" si="380"/>
        <v>0</v>
      </c>
    </row>
    <row r="2161" spans="1:20" ht="22.2" hidden="1" customHeight="1">
      <c r="A2161" s="1448">
        <f>COUNTIF($C$12:C2161,"x")</f>
        <v>151</v>
      </c>
      <c r="B2161" s="1455" t="s">
        <v>1491</v>
      </c>
      <c r="C2161" s="970" t="str">
        <f t="shared" si="372"/>
        <v xml:space="preserve"> </v>
      </c>
      <c r="D2161" s="1428">
        <f>ppht!BY337</f>
        <v>0</v>
      </c>
      <c r="E2161" s="980"/>
      <c r="F2161" s="992" t="str">
        <f>VLOOKUP($B2161,DG!A:D,DG!$C$2,)</f>
        <v>Rack 2 sứ + sứ ống chỉ</v>
      </c>
      <c r="G2161" s="980" t="str">
        <f>VLOOKUP($B2161,DG!A:D,DG!$D$2,)</f>
        <v>bộ</v>
      </c>
      <c r="H2161" s="1693">
        <f t="shared" si="377"/>
        <v>0</v>
      </c>
      <c r="I2161" s="1693"/>
      <c r="J2161" s="1693"/>
      <c r="K2161" s="1693"/>
      <c r="L2161" s="1693"/>
      <c r="M2161" s="1693"/>
      <c r="N2161" s="1693">
        <f t="shared" si="381"/>
        <v>0</v>
      </c>
      <c r="O2161" s="1693"/>
      <c r="P2161" s="1693">
        <f t="shared" si="378"/>
        <v>0</v>
      </c>
      <c r="Q2161" s="989"/>
      <c r="R2161" s="989"/>
      <c r="S2161" s="989"/>
      <c r="T2161" s="1862">
        <f t="shared" si="380"/>
        <v>0</v>
      </c>
    </row>
    <row r="2162" spans="1:20" ht="22.2" hidden="1" customHeight="1">
      <c r="A2162" s="1448">
        <f>COUNTIF($C$12:C2162,"x")</f>
        <v>151</v>
      </c>
      <c r="B2162" s="1455" t="s">
        <v>278</v>
      </c>
      <c r="C2162" s="970" t="str">
        <f t="shared" si="372"/>
        <v xml:space="preserve"> </v>
      </c>
      <c r="D2162" s="1428">
        <f>ppht!BZ337</f>
        <v>0</v>
      </c>
      <c r="E2162" s="980"/>
      <c r="F2162" s="992" t="str">
        <f>VLOOKUP($B2162,DG!A:D,DG!$C$2,)</f>
        <v>Rack 3 sứ + sứ ống chỉ</v>
      </c>
      <c r="G2162" s="980" t="str">
        <f>VLOOKUP($B2162,DG!A:D,DG!$D$2,)</f>
        <v>bộ</v>
      </c>
      <c r="H2162" s="1693">
        <f t="shared" si="377"/>
        <v>0</v>
      </c>
      <c r="I2162" s="1693"/>
      <c r="J2162" s="1693"/>
      <c r="K2162" s="1693"/>
      <c r="L2162" s="1693"/>
      <c r="M2162" s="1693"/>
      <c r="N2162" s="1693">
        <f t="shared" si="381"/>
        <v>0</v>
      </c>
      <c r="O2162" s="1693"/>
      <c r="P2162" s="1693">
        <f t="shared" si="378"/>
        <v>0</v>
      </c>
      <c r="Q2162" s="989"/>
      <c r="R2162" s="989"/>
      <c r="S2162" s="989"/>
      <c r="T2162" s="1862">
        <f t="shared" si="380"/>
        <v>0</v>
      </c>
    </row>
    <row r="2163" spans="1:20" ht="22.2" hidden="1" customHeight="1">
      <c r="A2163" s="1448">
        <f>COUNTIF($C$12:C2163,"x")</f>
        <v>151</v>
      </c>
      <c r="B2163" s="1455" t="s">
        <v>1450</v>
      </c>
      <c r="C2163" s="970" t="str">
        <f t="shared" si="372"/>
        <v xml:space="preserve"> </v>
      </c>
      <c r="D2163" s="1428">
        <f>ppht!CA337</f>
        <v>0</v>
      </c>
      <c r="E2163" s="980"/>
      <c r="F2163" s="992" t="str">
        <f>VLOOKUP($B2163,DG!A:D,DG!$C$2,)</f>
        <v>Rack 4 sứ + sứ ống chỉ</v>
      </c>
      <c r="G2163" s="980" t="str">
        <f>VLOOKUP($B2163,DG!A:D,DG!$D$2,)</f>
        <v>bộ</v>
      </c>
      <c r="H2163" s="1693">
        <f t="shared" si="377"/>
        <v>0</v>
      </c>
      <c r="I2163" s="1693"/>
      <c r="J2163" s="1693"/>
      <c r="K2163" s="1693"/>
      <c r="L2163" s="1693"/>
      <c r="M2163" s="1693"/>
      <c r="N2163" s="1693">
        <f t="shared" si="381"/>
        <v>0</v>
      </c>
      <c r="O2163" s="1693"/>
      <c r="P2163" s="1693">
        <f t="shared" si="378"/>
        <v>0</v>
      </c>
      <c r="Q2163" s="989"/>
      <c r="R2163" s="989"/>
      <c r="S2163" s="989"/>
      <c r="T2163" s="1862">
        <f t="shared" si="380"/>
        <v>0</v>
      </c>
    </row>
    <row r="2164" spans="1:20" ht="22.2" hidden="1" customHeight="1">
      <c r="A2164" s="1448">
        <f>COUNTIF($C$12:C2164,"x")</f>
        <v>151</v>
      </c>
      <c r="B2164" s="1455" t="s">
        <v>917</v>
      </c>
      <c r="C2164" s="970" t="str">
        <f t="shared" si="372"/>
        <v xml:space="preserve"> </v>
      </c>
      <c r="D2164" s="1431"/>
      <c r="E2164" s="980" t="str">
        <f>VLOOKUP($B2164,DG!A:D,DG!$B$2,)</f>
        <v>05.1101</v>
      </c>
      <c r="F2164" s="1279" t="str">
        <f>VLOOKUP($B2164,DG!A:D,DG!$C$2,)</f>
        <v>Tủ phân phối hạ thế</v>
      </c>
      <c r="G2164" s="980" t="str">
        <f>VLOOKUP($B2164,DG!A:D,DG!$D$2,)</f>
        <v>cái</v>
      </c>
      <c r="H2164" s="1693">
        <f t="shared" si="377"/>
        <v>0</v>
      </c>
      <c r="I2164" s="1693"/>
      <c r="J2164" s="1693"/>
      <c r="K2164" s="1693"/>
      <c r="L2164" s="1693"/>
      <c r="M2164" s="1693"/>
      <c r="N2164" s="1693">
        <f t="shared" si="381"/>
        <v>0</v>
      </c>
      <c r="O2164" s="1693"/>
      <c r="P2164" s="1693">
        <f t="shared" si="378"/>
        <v>0</v>
      </c>
      <c r="Q2164" s="989"/>
      <c r="R2164" s="989"/>
      <c r="S2164" s="989"/>
      <c r="T2164" s="1862">
        <f t="shared" si="380"/>
        <v>0</v>
      </c>
    </row>
    <row r="2165" spans="1:20" ht="22.2" hidden="1" customHeight="1">
      <c r="A2165" s="1448">
        <f>COUNTIF($C$12:C2165,"x")</f>
        <v>151</v>
      </c>
      <c r="B2165" s="1455" t="s">
        <v>2009</v>
      </c>
      <c r="C2165" s="970" t="str">
        <f t="shared" si="372"/>
        <v xml:space="preserve"> </v>
      </c>
      <c r="D2165" s="1431"/>
      <c r="E2165" s="980" t="str">
        <f>VLOOKUP($B2165,DG!A:D,DG!$B$2,)</f>
        <v>07.2404</v>
      </c>
      <c r="F2165" s="1279" t="str">
        <f>VLOOKUP($B2165,DG!A:D,DG!$C$2,)&amp;": 6m/tuû"</f>
        <v>Ống PVC D60x2,8mm: 6m/tuû</v>
      </c>
      <c r="G2165" s="980" t="str">
        <f>VLOOKUP($B2165,DG!A:D,DG!$D$2,)</f>
        <v>m</v>
      </c>
      <c r="H2165" s="1693">
        <f t="shared" si="377"/>
        <v>0</v>
      </c>
      <c r="I2165" s="1693"/>
      <c r="J2165" s="1693"/>
      <c r="K2165" s="1693"/>
      <c r="L2165" s="1693"/>
      <c r="M2165" s="1693"/>
      <c r="N2165" s="1693">
        <f t="shared" si="381"/>
        <v>0</v>
      </c>
      <c r="O2165" s="1693"/>
      <c r="P2165" s="1693">
        <f t="shared" si="378"/>
        <v>0</v>
      </c>
      <c r="Q2165" s="989"/>
      <c r="R2165" s="989"/>
      <c r="S2165" s="989"/>
      <c r="T2165" s="1862">
        <f t="shared" si="380"/>
        <v>0</v>
      </c>
    </row>
    <row r="2166" spans="1:20" ht="22.2" hidden="1" customHeight="1">
      <c r="A2166" s="1448">
        <f>COUNTIF($C$12:C2166,"x")</f>
        <v>151</v>
      </c>
      <c r="B2166" s="1455" t="s">
        <v>1991</v>
      </c>
      <c r="C2166" s="970" t="str">
        <f t="shared" si="372"/>
        <v xml:space="preserve"> </v>
      </c>
      <c r="D2166" s="1431"/>
      <c r="E2166" s="980" t="str">
        <f>VLOOKUP($B2166,DG!A:D,DG!$B$2,)</f>
        <v>06.3231</v>
      </c>
      <c r="F2166" s="1279" t="str">
        <f>VLOOKUP($B2166,DG!A:D,DG!$C$2,)</f>
        <v>Cổ dê kẹp ống PVC Ø 60</v>
      </c>
      <c r="G2166" s="980" t="str">
        <f>VLOOKUP($B2166,DG!A:D,DG!$D$2,)</f>
        <v>bộ</v>
      </c>
      <c r="H2166" s="1693">
        <f t="shared" ref="H2166:H2187" si="382">D2166</f>
        <v>0</v>
      </c>
      <c r="I2166" s="1693"/>
      <c r="J2166" s="1693"/>
      <c r="K2166" s="1693"/>
      <c r="L2166" s="1693"/>
      <c r="M2166" s="1693"/>
      <c r="N2166" s="1693">
        <f t="shared" si="381"/>
        <v>0</v>
      </c>
      <c r="O2166" s="1693"/>
      <c r="P2166" s="1693">
        <f t="shared" si="378"/>
        <v>0</v>
      </c>
      <c r="Q2166" s="989"/>
      <c r="R2166" s="989"/>
      <c r="S2166" s="989"/>
      <c r="T2166" s="1862">
        <f t="shared" si="380"/>
        <v>0</v>
      </c>
    </row>
    <row r="2167" spans="1:20" ht="22.2" hidden="1" customHeight="1">
      <c r="A2167" s="1448">
        <f>COUNTIF($C$12:C2167,"x")</f>
        <v>151</v>
      </c>
      <c r="B2167" s="1455" t="s">
        <v>1105</v>
      </c>
      <c r="C2167" s="970" t="str">
        <f t="shared" ref="C2167:C2228" si="383">IF(OR(P2167&lt;&gt;0,H2167&lt;&gt;0),"x"," ")</f>
        <v xml:space="preserve"> </v>
      </c>
      <c r="D2167" s="1431"/>
      <c r="E2167" s="980"/>
      <c r="F2167" s="1279" t="str">
        <f>VLOOKUP($B2167,DG!A:D,DG!$C$2,)&amp;": 3 caùi / tuû"</f>
        <v>Co 90 độ PVC 60: 3 caùi / tuû</v>
      </c>
      <c r="G2167" s="980" t="str">
        <f>VLOOKUP($B2167,DG!A:D,DG!$D$2,)</f>
        <v>cái</v>
      </c>
      <c r="H2167" s="1693">
        <f t="shared" si="382"/>
        <v>0</v>
      </c>
      <c r="I2167" s="1693"/>
      <c r="J2167" s="1693"/>
      <c r="K2167" s="1693"/>
      <c r="L2167" s="1693"/>
      <c r="M2167" s="1693"/>
      <c r="N2167" s="1693">
        <f t="shared" si="381"/>
        <v>0</v>
      </c>
      <c r="O2167" s="1693"/>
      <c r="P2167" s="1693">
        <f t="shared" si="378"/>
        <v>0</v>
      </c>
      <c r="Q2167" s="989"/>
      <c r="R2167" s="989"/>
      <c r="S2167" s="989"/>
      <c r="T2167" s="1862">
        <f t="shared" si="380"/>
        <v>0</v>
      </c>
    </row>
    <row r="2168" spans="1:20" ht="22.2" hidden="1" customHeight="1">
      <c r="A2168" s="1448">
        <f>COUNTIF($C$12:C2168,"x")</f>
        <v>151</v>
      </c>
      <c r="B2168" s="1455" t="s">
        <v>1616</v>
      </c>
      <c r="C2168" s="970" t="str">
        <f t="shared" si="383"/>
        <v xml:space="preserve"> </v>
      </c>
      <c r="D2168" s="1431"/>
      <c r="E2168" s="980"/>
      <c r="F2168" s="1279" t="str">
        <f>VLOOKUP($B2168,DG!A:D,DG!$C$2,)&amp;": 6 caùi / tuû"</f>
        <v>Co 90 độ PVC 42: 6 caùi / tuû</v>
      </c>
      <c r="G2168" s="980" t="str">
        <f>VLOOKUP($B2168,DG!A:D,DG!$D$2,)</f>
        <v>cái</v>
      </c>
      <c r="H2168" s="1693">
        <f t="shared" si="382"/>
        <v>0</v>
      </c>
      <c r="I2168" s="1693"/>
      <c r="J2168" s="1693"/>
      <c r="K2168" s="1693"/>
      <c r="L2168" s="1693"/>
      <c r="M2168" s="1693"/>
      <c r="N2168" s="1693">
        <f t="shared" si="381"/>
        <v>0</v>
      </c>
      <c r="O2168" s="1693"/>
      <c r="P2168" s="1693">
        <f t="shared" si="378"/>
        <v>0</v>
      </c>
      <c r="Q2168" s="989"/>
      <c r="R2168" s="989"/>
      <c r="S2168" s="989"/>
      <c r="T2168" s="1862">
        <f t="shared" si="380"/>
        <v>0</v>
      </c>
    </row>
    <row r="2169" spans="1:20" ht="22.2" hidden="1" customHeight="1">
      <c r="A2169" s="1448">
        <f>COUNTIF($C$12:C2169,"x")</f>
        <v>151</v>
      </c>
      <c r="B2169" s="1455" t="s">
        <v>2221</v>
      </c>
      <c r="C2169" s="970" t="str">
        <f t="shared" si="383"/>
        <v xml:space="preserve"> </v>
      </c>
      <c r="D2169" s="1434"/>
      <c r="E2169" s="980">
        <f>VLOOKUP($B2169,DG!A:D,DG!$B$2,)</f>
        <v>0</v>
      </c>
      <c r="F2169" s="1280" t="str">
        <f>VLOOKUP($B2169,DG!A:D,DG!$C$2,)&amp;": 8m töø CB ñaáu noái leân löôùi"</f>
        <v>Cáp nhôm ABC 4x150mm2: 8m töø CB ñaáu noái leân löôùi</v>
      </c>
      <c r="G2169" s="980" t="str">
        <f>VLOOKUP($B2169,DG!A:D,DG!$D$2,)</f>
        <v>mét</v>
      </c>
      <c r="H2169" s="1693">
        <f t="shared" si="382"/>
        <v>0</v>
      </c>
      <c r="I2169" s="1693"/>
      <c r="J2169" s="1693"/>
      <c r="K2169" s="1693"/>
      <c r="L2169" s="1693"/>
      <c r="M2169" s="1693"/>
      <c r="N2169" s="1693">
        <f t="shared" si="381"/>
        <v>0</v>
      </c>
      <c r="O2169" s="1693"/>
      <c r="P2169" s="1693">
        <f t="shared" si="378"/>
        <v>0</v>
      </c>
      <c r="Q2169" s="989"/>
      <c r="R2169" s="989"/>
      <c r="S2169" s="989"/>
      <c r="T2169" s="1862">
        <f t="shared" si="380"/>
        <v>0</v>
      </c>
    </row>
    <row r="2170" spans="1:20" ht="22.2" hidden="1" customHeight="1">
      <c r="A2170" s="1448">
        <f>COUNTIF($C$12:C2170,"x")</f>
        <v>151</v>
      </c>
      <c r="B2170" s="1455" t="s">
        <v>584</v>
      </c>
      <c r="C2170" s="970" t="str">
        <f t="shared" si="383"/>
        <v xml:space="preserve"> </v>
      </c>
      <c r="D2170" s="1434"/>
      <c r="E2170" s="980">
        <f>VLOOKUP($B2170,DG!A:D,DG!$B$2,)</f>
        <v>0</v>
      </c>
      <c r="F2170" s="1280" t="str">
        <f>VLOOKUP($B2170,DG!A:D,DG!$C$2,)</f>
        <v xml:space="preserve">Ống PVC D114x4,9mm </v>
      </c>
      <c r="G2170" s="980" t="str">
        <f>VLOOKUP($B2170,DG!A:D,DG!$D$2,)</f>
        <v>m</v>
      </c>
      <c r="H2170" s="1693">
        <f t="shared" si="382"/>
        <v>0</v>
      </c>
      <c r="I2170" s="1693"/>
      <c r="J2170" s="1693"/>
      <c r="K2170" s="1693"/>
      <c r="L2170" s="1693"/>
      <c r="M2170" s="1693"/>
      <c r="N2170" s="1693">
        <f t="shared" si="381"/>
        <v>0</v>
      </c>
      <c r="O2170" s="1693"/>
      <c r="P2170" s="1693">
        <f t="shared" si="378"/>
        <v>0</v>
      </c>
      <c r="Q2170" s="989"/>
      <c r="R2170" s="989"/>
      <c r="S2170" s="989"/>
      <c r="T2170" s="1862">
        <f t="shared" si="380"/>
        <v>0</v>
      </c>
    </row>
    <row r="2171" spans="1:20" ht="22.2" hidden="1" customHeight="1">
      <c r="A2171" s="1448">
        <f>COUNTIF($C$12:C2171,"x")</f>
        <v>151</v>
      </c>
      <c r="B2171" s="1455" t="s">
        <v>1346</v>
      </c>
      <c r="C2171" s="970" t="str">
        <f t="shared" si="383"/>
        <v xml:space="preserve"> </v>
      </c>
      <c r="D2171" s="1434"/>
      <c r="E2171" s="980">
        <f>VLOOKUP($B2171,DG!A:D,DG!$B$2,)</f>
        <v>0</v>
      </c>
      <c r="F2171" s="1280" t="str">
        <f>VLOOKUP($B2171,DG!A:D,DG!$C$2,)</f>
        <v>Co  90 độ PVC 114</v>
      </c>
      <c r="G2171" s="980" t="str">
        <f>VLOOKUP($B2171,DG!A:D,DG!$D$2,)</f>
        <v>cái</v>
      </c>
      <c r="H2171" s="1693">
        <f t="shared" si="382"/>
        <v>0</v>
      </c>
      <c r="I2171" s="1693"/>
      <c r="J2171" s="1693"/>
      <c r="K2171" s="1693"/>
      <c r="L2171" s="1693"/>
      <c r="M2171" s="1693"/>
      <c r="N2171" s="1693">
        <f t="shared" si="381"/>
        <v>0</v>
      </c>
      <c r="O2171" s="1693"/>
      <c r="P2171" s="1693">
        <f t="shared" si="378"/>
        <v>0</v>
      </c>
      <c r="Q2171" s="989"/>
      <c r="R2171" s="989"/>
      <c r="S2171" s="989"/>
      <c r="T2171" s="1862">
        <f t="shared" si="380"/>
        <v>0</v>
      </c>
    </row>
    <row r="2172" spans="1:20" ht="22.2" hidden="1" customHeight="1">
      <c r="A2172" s="1448">
        <f>COUNTIF($C$12:C2172,"x")</f>
        <v>151</v>
      </c>
      <c r="B2172" s="1455" t="s">
        <v>731</v>
      </c>
      <c r="C2172" s="970" t="str">
        <f t="shared" si="383"/>
        <v xml:space="preserve"> </v>
      </c>
      <c r="D2172" s="1434"/>
      <c r="E2172" s="980" t="str">
        <f>VLOOKUP($B2172,DG!A:D,DG!$B$2,)</f>
        <v>06.3231</v>
      </c>
      <c r="F2172" s="1280" t="str">
        <f>VLOOKUP($B2172,DG!A:D,DG!$C$2,)</f>
        <v>Cổ dê kẹp ống PVC Ø 114</v>
      </c>
      <c r="G2172" s="980" t="str">
        <f>VLOOKUP($B2172,DG!A:D,DG!$D$2,)</f>
        <v>bộ</v>
      </c>
      <c r="H2172" s="1693">
        <f t="shared" si="382"/>
        <v>0</v>
      </c>
      <c r="I2172" s="1693"/>
      <c r="J2172" s="1693"/>
      <c r="K2172" s="1693"/>
      <c r="L2172" s="1693"/>
      <c r="M2172" s="1693"/>
      <c r="N2172" s="1693">
        <f t="shared" si="381"/>
        <v>0</v>
      </c>
      <c r="O2172" s="1693"/>
      <c r="P2172" s="1693">
        <f t="shared" si="378"/>
        <v>0</v>
      </c>
      <c r="Q2172" s="989"/>
      <c r="R2172" s="989"/>
      <c r="S2172" s="989"/>
      <c r="T2172" s="1862">
        <f t="shared" si="380"/>
        <v>0</v>
      </c>
    </row>
    <row r="2173" spans="1:20" ht="22.2" hidden="1" customHeight="1">
      <c r="A2173" s="1448">
        <f>COUNTIF($C$12:C2173,"x")</f>
        <v>151</v>
      </c>
      <c r="B2173" s="1455" t="s">
        <v>1786</v>
      </c>
      <c r="C2173" s="970" t="str">
        <f t="shared" si="383"/>
        <v xml:space="preserve"> </v>
      </c>
      <c r="D2173" s="1428"/>
      <c r="E2173" s="980"/>
      <c r="F2173" s="992" t="str">
        <f>VLOOKUP($B2173,DG!A:D,DG!$C$2,)</f>
        <v>Boulon 16x50+ 2 long đền vuông D18-50x50x3/Zn</v>
      </c>
      <c r="G2173" s="980" t="str">
        <f>VLOOKUP($B2173,DG!A:D,DG!$D$2,)</f>
        <v>bộ</v>
      </c>
      <c r="H2173" s="1693">
        <f t="shared" si="382"/>
        <v>0</v>
      </c>
      <c r="I2173" s="1693"/>
      <c r="J2173" s="1693"/>
      <c r="K2173" s="1693"/>
      <c r="L2173" s="1693"/>
      <c r="M2173" s="1693"/>
      <c r="N2173" s="1693">
        <f t="shared" si="381"/>
        <v>0</v>
      </c>
      <c r="O2173" s="1693"/>
      <c r="P2173" s="1693">
        <f t="shared" si="378"/>
        <v>0</v>
      </c>
      <c r="Q2173" s="989"/>
      <c r="R2173" s="989"/>
      <c r="S2173" s="989"/>
      <c r="T2173" s="1862">
        <f t="shared" si="380"/>
        <v>0</v>
      </c>
    </row>
    <row r="2174" spans="1:20" ht="22.2" hidden="1" customHeight="1">
      <c r="A2174" s="1448">
        <f>COUNTIF($C$12:C2174,"x")</f>
        <v>151</v>
      </c>
      <c r="B2174" s="1455" t="s">
        <v>1609</v>
      </c>
      <c r="C2174" s="970" t="str">
        <f t="shared" si="383"/>
        <v xml:space="preserve"> </v>
      </c>
      <c r="D2174" s="1428">
        <f>ppht!CB337</f>
        <v>0</v>
      </c>
      <c r="E2174" s="980"/>
      <c r="F2174" s="992" t="str">
        <f>VLOOKUP($B2174,DG!A:D,DG!$C$2,)</f>
        <v>Boulon 16x250+ 2 long đền vuông D18-50x50x3/Zn</v>
      </c>
      <c r="G2174" s="980" t="str">
        <f>VLOOKUP($B2174,DG!A:D,DG!$D$2,)</f>
        <v>bộ</v>
      </c>
      <c r="H2174" s="1693">
        <f t="shared" si="382"/>
        <v>0</v>
      </c>
      <c r="I2174" s="1693"/>
      <c r="J2174" s="1693"/>
      <c r="K2174" s="1693"/>
      <c r="L2174" s="1693"/>
      <c r="M2174" s="1693"/>
      <c r="N2174" s="1693">
        <f t="shared" si="381"/>
        <v>0</v>
      </c>
      <c r="O2174" s="1693"/>
      <c r="P2174" s="1693">
        <f t="shared" si="378"/>
        <v>0</v>
      </c>
      <c r="Q2174" s="989"/>
      <c r="R2174" s="989"/>
      <c r="S2174" s="989"/>
      <c r="T2174" s="1862">
        <f t="shared" si="380"/>
        <v>0</v>
      </c>
    </row>
    <row r="2175" spans="1:20" ht="22.2" hidden="1" customHeight="1">
      <c r="A2175" s="1448">
        <f>COUNTIF($C$12:C2175,"x")</f>
        <v>151</v>
      </c>
      <c r="B2175" s="1455" t="s">
        <v>1610</v>
      </c>
      <c r="C2175" s="970" t="str">
        <f t="shared" si="383"/>
        <v xml:space="preserve"> </v>
      </c>
      <c r="D2175" s="1428">
        <f>ppht!CC337</f>
        <v>0</v>
      </c>
      <c r="E2175" s="980"/>
      <c r="F2175" s="992" t="str">
        <f>VLOOKUP($B2175,DG!A:D,DG!$C$2,)</f>
        <v>Boulon 16x300+ 2 long đền vuông D18-50x50x3/Zn</v>
      </c>
      <c r="G2175" s="980" t="str">
        <f>VLOOKUP($B2175,DG!A:D,DG!$D$2,)</f>
        <v>bộ</v>
      </c>
      <c r="H2175" s="1693">
        <f t="shared" si="382"/>
        <v>0</v>
      </c>
      <c r="I2175" s="1693"/>
      <c r="J2175" s="1693"/>
      <c r="K2175" s="1693"/>
      <c r="L2175" s="1693"/>
      <c r="M2175" s="1693"/>
      <c r="N2175" s="1693">
        <f t="shared" si="381"/>
        <v>0</v>
      </c>
      <c r="O2175" s="1693"/>
      <c r="P2175" s="1693">
        <f t="shared" si="378"/>
        <v>0</v>
      </c>
      <c r="Q2175" s="989"/>
      <c r="R2175" s="989"/>
      <c r="S2175" s="989"/>
      <c r="T2175" s="1862">
        <f t="shared" si="380"/>
        <v>0</v>
      </c>
    </row>
    <row r="2176" spans="1:20" ht="22.2" hidden="1" customHeight="1">
      <c r="A2176" s="1448">
        <f>COUNTIF($C$12:C2176,"x")</f>
        <v>151</v>
      </c>
      <c r="B2176" s="1455" t="s">
        <v>1079</v>
      </c>
      <c r="C2176" s="970" t="str">
        <f t="shared" si="383"/>
        <v xml:space="preserve"> </v>
      </c>
      <c r="D2176" s="1428">
        <f>ppht!CD337</f>
        <v>0</v>
      </c>
      <c r="E2176" s="980"/>
      <c r="F2176" s="992" t="str">
        <f>VLOOKUP($B2176,DG!A:D,DG!$C$2,)</f>
        <v>Boulon 16x350+ 2 long đền vuông D18-50x50x3/Zn</v>
      </c>
      <c r="G2176" s="980" t="str">
        <f>VLOOKUP($B2176,DG!A:D,DG!$D$2,)</f>
        <v>bộ</v>
      </c>
      <c r="H2176" s="1693">
        <f t="shared" si="382"/>
        <v>0</v>
      </c>
      <c r="I2176" s="1693"/>
      <c r="J2176" s="1693"/>
      <c r="K2176" s="1693"/>
      <c r="L2176" s="1693"/>
      <c r="M2176" s="1693"/>
      <c r="N2176" s="1693">
        <f t="shared" si="381"/>
        <v>0</v>
      </c>
      <c r="O2176" s="1693"/>
      <c r="P2176" s="1693">
        <f t="shared" si="378"/>
        <v>0</v>
      </c>
      <c r="Q2176" s="989"/>
      <c r="R2176" s="989"/>
      <c r="S2176" s="989"/>
      <c r="T2176" s="1862">
        <f t="shared" si="380"/>
        <v>0</v>
      </c>
    </row>
    <row r="2177" spans="1:20" ht="22.2" hidden="1" customHeight="1">
      <c r="A2177" s="1448">
        <f>COUNTIF($C$12:C2177,"x")</f>
        <v>151</v>
      </c>
      <c r="B2177" s="1455" t="s">
        <v>828</v>
      </c>
      <c r="C2177" s="970" t="str">
        <f t="shared" si="383"/>
        <v xml:space="preserve"> </v>
      </c>
      <c r="D2177" s="1428">
        <f>ppht!CE337</f>
        <v>0</v>
      </c>
      <c r="E2177" s="980"/>
      <c r="F2177" s="992" t="str">
        <f>VLOOKUP($B2177,DG!A:D,DG!$C$2,)</f>
        <v>Boulon móc 16x250+ long đền vuông D18-50x50x3/Zn</v>
      </c>
      <c r="G2177" s="980" t="str">
        <f>VLOOKUP($B2177,DG!A:D,DG!$D$2,)</f>
        <v>bộ</v>
      </c>
      <c r="H2177" s="1693">
        <f t="shared" si="382"/>
        <v>0</v>
      </c>
      <c r="I2177" s="1693"/>
      <c r="J2177" s="1693"/>
      <c r="K2177" s="1693"/>
      <c r="L2177" s="1693"/>
      <c r="M2177" s="1693"/>
      <c r="N2177" s="1693">
        <f t="shared" si="381"/>
        <v>0</v>
      </c>
      <c r="O2177" s="1693"/>
      <c r="P2177" s="1693">
        <f t="shared" si="378"/>
        <v>0</v>
      </c>
      <c r="Q2177" s="989"/>
      <c r="R2177" s="989"/>
      <c r="S2177" s="989"/>
      <c r="T2177" s="1862">
        <f t="shared" si="380"/>
        <v>0</v>
      </c>
    </row>
    <row r="2178" spans="1:20" ht="22.2" hidden="1" customHeight="1">
      <c r="A2178" s="1448">
        <f>COUNTIF($C$12:C2178,"x")</f>
        <v>151</v>
      </c>
      <c r="B2178" s="1455" t="s">
        <v>829</v>
      </c>
      <c r="C2178" s="970" t="str">
        <f t="shared" si="383"/>
        <v xml:space="preserve"> </v>
      </c>
      <c r="D2178" s="1428">
        <f>ppht!CF337</f>
        <v>0</v>
      </c>
      <c r="E2178" s="980"/>
      <c r="F2178" s="992" t="str">
        <f>VLOOKUP($B2178,DG!A:D,DG!$C$2,)</f>
        <v>Boulon móc 16x300+ long đền vuông D18-50x50x3/Zn</v>
      </c>
      <c r="G2178" s="980" t="str">
        <f>VLOOKUP($B2178,DG!A:D,DG!$D$2,)</f>
        <v>bộ</v>
      </c>
      <c r="H2178" s="1693">
        <f t="shared" si="382"/>
        <v>0</v>
      </c>
      <c r="I2178" s="1693"/>
      <c r="J2178" s="1693"/>
      <c r="K2178" s="1693"/>
      <c r="L2178" s="1693"/>
      <c r="M2178" s="1693"/>
      <c r="N2178" s="1693">
        <f t="shared" si="381"/>
        <v>0</v>
      </c>
      <c r="O2178" s="1693"/>
      <c r="P2178" s="1693">
        <f t="shared" si="378"/>
        <v>0</v>
      </c>
      <c r="Q2178" s="989"/>
      <c r="R2178" s="989"/>
      <c r="S2178" s="989"/>
      <c r="T2178" s="1862">
        <f t="shared" si="380"/>
        <v>0</v>
      </c>
    </row>
    <row r="2179" spans="1:20" ht="22.2" hidden="1" customHeight="1">
      <c r="A2179" s="1448">
        <f>COUNTIF($C$12:C2179,"x")</f>
        <v>151</v>
      </c>
      <c r="B2179" s="1455" t="s">
        <v>1168</v>
      </c>
      <c r="C2179" s="970" t="str">
        <f t="shared" si="383"/>
        <v xml:space="preserve"> </v>
      </c>
      <c r="D2179" s="1428">
        <f>+ppht!AD341*2*0</f>
        <v>0</v>
      </c>
      <c r="E2179" s="980"/>
      <c r="F2179" s="992" t="str">
        <f>VLOOKUP($B2179,DG!A:D,DG!$C$2,)&amp;" bắt trụ đôi"</f>
        <v>Boulon 16x500VRS+ 4 long đền vuông D18-50x50x3/Zn bắt trụ đôi</v>
      </c>
      <c r="G2179" s="980" t="str">
        <f>VLOOKUP($B2179,DG!A:D,DG!$D$2,)</f>
        <v>bộ</v>
      </c>
      <c r="H2179" s="1693">
        <f t="shared" si="382"/>
        <v>0</v>
      </c>
      <c r="I2179" s="1693"/>
      <c r="J2179" s="1693"/>
      <c r="K2179" s="1693"/>
      <c r="L2179" s="1693"/>
      <c r="M2179" s="1693"/>
      <c r="N2179" s="1693">
        <f t="shared" si="381"/>
        <v>0</v>
      </c>
      <c r="O2179" s="1693"/>
      <c r="P2179" s="1693">
        <f t="shared" si="378"/>
        <v>0</v>
      </c>
      <c r="Q2179" s="989"/>
      <c r="R2179" s="989"/>
      <c r="S2179" s="989"/>
      <c r="T2179" s="1862">
        <f t="shared" si="380"/>
        <v>0</v>
      </c>
    </row>
    <row r="2180" spans="1:20" ht="22.2" hidden="1" customHeight="1">
      <c r="A2180" s="1448">
        <f>COUNTIF($C$12:C2180,"x")</f>
        <v>151</v>
      </c>
      <c r="B2180" s="1455" t="s">
        <v>2200</v>
      </c>
      <c r="C2180" s="970" t="str">
        <f t="shared" si="383"/>
        <v xml:space="preserve"> </v>
      </c>
      <c r="D2180" s="1428">
        <f>ppht!DL337</f>
        <v>0</v>
      </c>
      <c r="E2180" s="980"/>
      <c r="F2180" s="992" t="str">
        <f>VLOOKUP($B2180,DG!A:D,DG!$C$2,)&amp;" (Coå deâ 310)"</f>
        <v>Cổ dê trụ đôi 8,4m bắt móc dừng  (Coå deâ 310)</v>
      </c>
      <c r="G2180" s="980" t="str">
        <f>VLOOKUP($B2180,DG!A:D,DG!$D$2,)</f>
        <v>bộ</v>
      </c>
      <c r="H2180" s="1693">
        <f t="shared" si="382"/>
        <v>0</v>
      </c>
      <c r="I2180" s="1693"/>
      <c r="J2180" s="1693"/>
      <c r="K2180" s="1693"/>
      <c r="L2180" s="1693"/>
      <c r="M2180" s="1693"/>
      <c r="N2180" s="1693">
        <f t="shared" si="381"/>
        <v>0</v>
      </c>
      <c r="O2180" s="1693"/>
      <c r="P2180" s="1693">
        <f t="shared" si="378"/>
        <v>0</v>
      </c>
      <c r="Q2180" s="989"/>
      <c r="R2180" s="989"/>
      <c r="S2180" s="989"/>
      <c r="T2180" s="1862">
        <f t="shared" si="380"/>
        <v>0</v>
      </c>
    </row>
    <row r="2181" spans="1:20" ht="22.2" hidden="1" customHeight="1">
      <c r="A2181" s="1448">
        <f>COUNTIF($C$12:C2181,"x")</f>
        <v>151</v>
      </c>
      <c r="B2181" s="1455" t="s">
        <v>1023</v>
      </c>
      <c r="C2181" s="970" t="str">
        <f t="shared" si="383"/>
        <v xml:space="preserve"> </v>
      </c>
      <c r="D2181" s="1428">
        <f>ppht!BF337</f>
        <v>0</v>
      </c>
      <c r="E2181" s="980"/>
      <c r="F2181" s="992" t="str">
        <f>VLOOKUP($B2181,DG!A:D,DG!$C$2,)</f>
        <v>Cáp thép 3/8"</v>
      </c>
      <c r="G2181" s="980" t="str">
        <f>VLOOKUP($B2181,DG!A:D,DG!$D$2,)</f>
        <v>kg</v>
      </c>
      <c r="H2181" s="1693">
        <f t="shared" si="382"/>
        <v>0</v>
      </c>
      <c r="I2181" s="1693"/>
      <c r="J2181" s="1693"/>
      <c r="K2181" s="1693"/>
      <c r="L2181" s="1693"/>
      <c r="M2181" s="1693"/>
      <c r="N2181" s="1693">
        <f t="shared" si="381"/>
        <v>0</v>
      </c>
      <c r="O2181" s="1693"/>
      <c r="P2181" s="1693">
        <f t="shared" si="378"/>
        <v>0</v>
      </c>
      <c r="Q2181" s="989"/>
      <c r="R2181" s="989"/>
      <c r="S2181" s="989"/>
      <c r="T2181" s="1862">
        <f t="shared" si="380"/>
        <v>0</v>
      </c>
    </row>
    <row r="2182" spans="1:20" ht="22.2" hidden="1" customHeight="1">
      <c r="A2182" s="1448">
        <f>COUNTIF($C$12:C2182,"x")</f>
        <v>151</v>
      </c>
      <c r="B2182" s="1455" t="s">
        <v>1487</v>
      </c>
      <c r="C2182" s="970" t="str">
        <f t="shared" si="383"/>
        <v xml:space="preserve"> </v>
      </c>
      <c r="D2182" s="1415">
        <f>ROUND(D2107/2000+D2108/0.195/1500,0)</f>
        <v>0</v>
      </c>
      <c r="E2182" s="980"/>
      <c r="F2182" s="992" t="str">
        <f>VLOOKUP($B2182,DG!A:D,DG!$C$2,)</f>
        <v>Ống nối dây cỡ 50mm2</v>
      </c>
      <c r="G2182" s="980" t="str">
        <f>VLOOKUP($B2182,DG!A:D,DG!$D$2,)</f>
        <v>cái</v>
      </c>
      <c r="H2182" s="1693">
        <f t="shared" si="382"/>
        <v>0</v>
      </c>
      <c r="I2182" s="1693"/>
      <c r="J2182" s="1693"/>
      <c r="K2182" s="1693"/>
      <c r="L2182" s="1693"/>
      <c r="M2182" s="1693"/>
      <c r="N2182" s="1693">
        <f t="shared" si="381"/>
        <v>0</v>
      </c>
      <c r="O2182" s="1693"/>
      <c r="P2182" s="1693">
        <f t="shared" si="378"/>
        <v>0</v>
      </c>
      <c r="Q2182" s="989"/>
      <c r="R2182" s="989"/>
      <c r="S2182" s="989"/>
      <c r="T2182" s="1862">
        <f t="shared" si="380"/>
        <v>0</v>
      </c>
    </row>
    <row r="2183" spans="1:20" ht="22.2" hidden="1" customHeight="1">
      <c r="A2183" s="1448">
        <f>COUNTIF($C$12:C2183,"x")</f>
        <v>151</v>
      </c>
      <c r="B2183" s="1455" t="s">
        <v>1488</v>
      </c>
      <c r="C2183" s="970" t="str">
        <f t="shared" si="383"/>
        <v xml:space="preserve"> </v>
      </c>
      <c r="D2183" s="1415">
        <f>ROUND(D2106/2000,0)</f>
        <v>0</v>
      </c>
      <c r="E2183" s="980"/>
      <c r="F2183" s="992" t="str">
        <f>VLOOKUP($B2183,DG!A:D,DG!$C$2,)</f>
        <v>Ống nối dây cỡ 70mm2</v>
      </c>
      <c r="G2183" s="980" t="str">
        <f>VLOOKUP($B2183,DG!A:D,DG!$D$2,)</f>
        <v>cái</v>
      </c>
      <c r="H2183" s="1693">
        <f t="shared" si="382"/>
        <v>0</v>
      </c>
      <c r="I2183" s="1693"/>
      <c r="J2183" s="1693"/>
      <c r="K2183" s="1693"/>
      <c r="L2183" s="1693"/>
      <c r="M2183" s="1693"/>
      <c r="N2183" s="1693">
        <f t="shared" si="381"/>
        <v>0</v>
      </c>
      <c r="O2183" s="1693"/>
      <c r="P2183" s="1693">
        <f t="shared" si="378"/>
        <v>0</v>
      </c>
      <c r="Q2183" s="989"/>
      <c r="R2183" s="989"/>
      <c r="S2183" s="989"/>
      <c r="T2183" s="1862">
        <f t="shared" si="380"/>
        <v>0</v>
      </c>
    </row>
    <row r="2184" spans="1:20" ht="22.2" hidden="1" customHeight="1">
      <c r="A2184" s="1448">
        <f>COUNTIF($C$12:C2184,"x")</f>
        <v>151</v>
      </c>
      <c r="B2184" s="1455" t="s">
        <v>1570</v>
      </c>
      <c r="C2184" s="970" t="str">
        <f t="shared" si="383"/>
        <v xml:space="preserve"> </v>
      </c>
      <c r="D2184" s="1415"/>
      <c r="E2184" s="980"/>
      <c r="F2184" s="992" t="str">
        <f>VLOOKUP($B2184,DG!A:D,DG!$C$2,)</f>
        <v>Biển số - Bảng nguy hiểm</v>
      </c>
      <c r="G2184" s="980" t="str">
        <f>VLOOKUP($B2184,DG!A:D,DG!$D$2,)</f>
        <v>cái</v>
      </c>
      <c r="H2184" s="1693">
        <f t="shared" si="382"/>
        <v>0</v>
      </c>
      <c r="I2184" s="1693"/>
      <c r="J2184" s="1693"/>
      <c r="K2184" s="1693"/>
      <c r="L2184" s="1693"/>
      <c r="M2184" s="1693"/>
      <c r="N2184" s="1693">
        <f t="shared" si="381"/>
        <v>0</v>
      </c>
      <c r="O2184" s="1693"/>
      <c r="P2184" s="1693">
        <f t="shared" si="378"/>
        <v>0</v>
      </c>
      <c r="Q2184" s="989"/>
      <c r="R2184" s="989"/>
      <c r="S2184" s="989"/>
      <c r="T2184" s="1862">
        <f t="shared" si="380"/>
        <v>0</v>
      </c>
    </row>
    <row r="2185" spans="1:20" ht="22.2" hidden="1" customHeight="1">
      <c r="A2185" s="1448">
        <f>COUNTIF($C$12:C2185,"x")</f>
        <v>151</v>
      </c>
      <c r="B2185" s="1455" t="s">
        <v>229</v>
      </c>
      <c r="C2185" s="970" t="str">
        <f t="shared" si="383"/>
        <v xml:space="preserve"> </v>
      </c>
      <c r="D2185" s="1415">
        <f>SUM(D2188:D2190)*5/1.4</f>
        <v>0</v>
      </c>
      <c r="E2185" s="980"/>
      <c r="F2185" s="992" t="str">
        <f>VLOOKUP($B2185,DG!A:D,DG!$C$2,)</f>
        <v xml:space="preserve">Dây nhôm buộc </v>
      </c>
      <c r="G2185" s="980" t="str">
        <f>VLOOKUP($B2185,DG!A:D,DG!$D$2,)</f>
        <v>kg</v>
      </c>
      <c r="H2185" s="1693">
        <f t="shared" si="382"/>
        <v>0</v>
      </c>
      <c r="I2185" s="1693"/>
      <c r="J2185" s="1693"/>
      <c r="K2185" s="1693"/>
      <c r="L2185" s="1693"/>
      <c r="M2185" s="1693"/>
      <c r="N2185" s="1693">
        <f t="shared" si="381"/>
        <v>0</v>
      </c>
      <c r="O2185" s="1693"/>
      <c r="P2185" s="1693">
        <f t="shared" si="378"/>
        <v>0</v>
      </c>
      <c r="Q2185" s="989"/>
      <c r="R2185" s="989"/>
      <c r="S2185" s="989"/>
      <c r="T2185" s="1862">
        <f t="shared" si="380"/>
        <v>0</v>
      </c>
    </row>
    <row r="2186" spans="1:20" ht="22.2" hidden="1" customHeight="1">
      <c r="A2186" s="1448">
        <f>COUNTIF($C$12:C2186,"x")</f>
        <v>151</v>
      </c>
      <c r="B2186" s="1484" t="s">
        <v>672</v>
      </c>
      <c r="C2186" s="970" t="str">
        <f t="shared" si="383"/>
        <v xml:space="preserve"> </v>
      </c>
      <c r="D2186" s="1415"/>
      <c r="E2186" s="980"/>
      <c r="F2186" s="992" t="str">
        <f>VLOOKUP($B2186,DG!A:D,DG!$C$2,)</f>
        <v>Băng keo cách điện</v>
      </c>
      <c r="G2186" s="980" t="str">
        <f>VLOOKUP($B2186,DG!A:D,DG!$D$2,)</f>
        <v>cuộn</v>
      </c>
      <c r="H2186" s="1693">
        <f t="shared" si="382"/>
        <v>0</v>
      </c>
      <c r="I2186" s="1693"/>
      <c r="J2186" s="1693"/>
      <c r="K2186" s="1693"/>
      <c r="L2186" s="1693"/>
      <c r="M2186" s="1693"/>
      <c r="N2186" s="1693"/>
      <c r="O2186" s="1693"/>
      <c r="P2186" s="1693">
        <f t="shared" si="378"/>
        <v>0</v>
      </c>
      <c r="Q2186" s="994"/>
      <c r="R2186" s="994"/>
      <c r="S2186" s="994"/>
      <c r="T2186" s="1862">
        <f t="shared" si="380"/>
        <v>0</v>
      </c>
    </row>
    <row r="2187" spans="1:20" ht="22.2" hidden="1" customHeight="1">
      <c r="A2187" s="1448">
        <f>COUNTIF($C$12:C2187,"x")</f>
        <v>151</v>
      </c>
      <c r="B2187" s="1455" t="s">
        <v>838</v>
      </c>
      <c r="C2187" s="970" t="str">
        <f t="shared" si="383"/>
        <v xml:space="preserve"> </v>
      </c>
      <c r="D2187" s="1415"/>
      <c r="E2187" s="980"/>
      <c r="F2187" s="992" t="str">
        <f>VLOOKUP($B2187,DG!A:D,DG!$C$2,)</f>
        <v>Tủ điện kế 1 pha</v>
      </c>
      <c r="G2187" s="980" t="str">
        <f>VLOOKUP($B2187,DG!A:D,DG!$D$2,)</f>
        <v>cái</v>
      </c>
      <c r="H2187" s="1693">
        <f t="shared" si="382"/>
        <v>0</v>
      </c>
      <c r="I2187" s="1693"/>
      <c r="J2187" s="1693"/>
      <c r="K2187" s="1693"/>
      <c r="L2187" s="1693"/>
      <c r="M2187" s="1693"/>
      <c r="N2187" s="1693">
        <f>D2187</f>
        <v>0</v>
      </c>
      <c r="O2187" s="1693"/>
      <c r="P2187" s="1693">
        <f t="shared" si="378"/>
        <v>0</v>
      </c>
      <c r="Q2187" s="989"/>
      <c r="R2187" s="989"/>
      <c r="S2187" s="989"/>
      <c r="T2187" s="1862">
        <f t="shared" si="380"/>
        <v>0</v>
      </c>
    </row>
    <row r="2188" spans="1:20" ht="22.2" hidden="1" customHeight="1">
      <c r="A2188" s="1448">
        <f>COUNTIF($C$12:C2188,"x")</f>
        <v>151</v>
      </c>
      <c r="B2188" s="1455" t="s">
        <v>79</v>
      </c>
      <c r="C2188" s="970" t="str">
        <f t="shared" si="383"/>
        <v xml:space="preserve"> </v>
      </c>
      <c r="D2188" s="1414">
        <f>ROUND(E2106/1000,2)</f>
        <v>0</v>
      </c>
      <c r="E2188" s="980" t="str">
        <f>VLOOKUP($B2188,DG!A:D,DG!$B$2,)</f>
        <v>06.6105</v>
      </c>
      <c r="F2188" s="985" t="str">
        <f>VLOOKUP($B2188,DG!A:D,DG!$C$2,)</f>
        <v>Kéo dây nhôm bọc 70mm2</v>
      </c>
      <c r="G2188" s="980" t="str">
        <f>VLOOKUP($B2188,DG!A:D,DG!$D$2,)</f>
        <v>km</v>
      </c>
      <c r="H2188" s="1693"/>
      <c r="I2188" s="1693"/>
      <c r="J2188" s="1693"/>
      <c r="K2188" s="1693"/>
      <c r="L2188" s="1693"/>
      <c r="M2188" s="1693"/>
      <c r="N2188" s="1693"/>
      <c r="O2188" s="1693"/>
      <c r="P2188" s="1693">
        <f t="shared" si="378"/>
        <v>0</v>
      </c>
      <c r="Q2188" s="989"/>
      <c r="R2188" s="989"/>
      <c r="S2188" s="989"/>
      <c r="T2188" s="1862">
        <f t="shared" si="380"/>
        <v>0</v>
      </c>
    </row>
    <row r="2189" spans="1:20" ht="22.2" hidden="1" customHeight="1">
      <c r="A2189" s="1448">
        <f>COUNTIF($C$12:C2189,"x")</f>
        <v>151</v>
      </c>
      <c r="B2189" s="1455" t="s">
        <v>451</v>
      </c>
      <c r="C2189" s="970" t="str">
        <f t="shared" si="383"/>
        <v xml:space="preserve"> </v>
      </c>
      <c r="D2189" s="1414">
        <f>ROUND(E2107/1000,2)</f>
        <v>0</v>
      </c>
      <c r="E2189" s="980" t="str">
        <f>VLOOKUP($B2189,DG!A:D,DG!$B$2,)</f>
        <v>06.6124</v>
      </c>
      <c r="F2189" s="985" t="str">
        <f>VLOOKUP($B2189,DG!A:D,DG!$C$2,)</f>
        <v>Kéo dây nhôm bọc 50mm2</v>
      </c>
      <c r="G2189" s="980" t="str">
        <f>VLOOKUP($B2189,DG!A:D,DG!$D$2,)</f>
        <v>km</v>
      </c>
      <c r="H2189" s="1693"/>
      <c r="I2189" s="1693"/>
      <c r="J2189" s="1693"/>
      <c r="K2189" s="1693"/>
      <c r="L2189" s="1693"/>
      <c r="M2189" s="1693"/>
      <c r="N2189" s="1693"/>
      <c r="O2189" s="1693"/>
      <c r="P2189" s="1693">
        <f t="shared" si="378"/>
        <v>0</v>
      </c>
      <c r="Q2189" s="989"/>
      <c r="R2189" s="989"/>
      <c r="S2189" s="989"/>
      <c r="T2189" s="1862">
        <f t="shared" si="380"/>
        <v>0</v>
      </c>
    </row>
    <row r="2190" spans="1:20" ht="22.2" hidden="1" customHeight="1">
      <c r="A2190" s="1448">
        <f>COUNTIF($C$12:C2190,"x")</f>
        <v>151</v>
      </c>
      <c r="B2190" s="1455" t="s">
        <v>1269</v>
      </c>
      <c r="C2190" s="970" t="str">
        <f t="shared" si="383"/>
        <v xml:space="preserve"> </v>
      </c>
      <c r="D2190" s="1414">
        <f>ROUND(E2108/1000,2)</f>
        <v>0</v>
      </c>
      <c r="E2190" s="980" t="str">
        <f>VLOOKUP($B2190,DG!A:D,DG!$B$2,)</f>
        <v>06.6114</v>
      </c>
      <c r="F2190" s="985" t="str">
        <f>VLOOKUP($B2190,DG!A:D,DG!$C$2,)</f>
        <v>Kéo dây nhôm lõi thép cỡ dây 50mm2</v>
      </c>
      <c r="G2190" s="980" t="str">
        <f>VLOOKUP($B2190,DG!A:D,DG!$D$2,)</f>
        <v>km</v>
      </c>
      <c r="H2190" s="1693"/>
      <c r="I2190" s="1693"/>
      <c r="J2190" s="1693"/>
      <c r="K2190" s="1693"/>
      <c r="L2190" s="1693"/>
      <c r="M2190" s="1693"/>
      <c r="N2190" s="1693"/>
      <c r="O2190" s="1693"/>
      <c r="P2190" s="1693">
        <f t="shared" si="378"/>
        <v>0</v>
      </c>
      <c r="Q2190" s="989"/>
      <c r="R2190" s="989"/>
      <c r="S2190" s="989"/>
      <c r="T2190" s="1862">
        <f t="shared" si="380"/>
        <v>0</v>
      </c>
    </row>
    <row r="2191" spans="1:20" ht="22.2" hidden="1" customHeight="1">
      <c r="A2191" s="1448">
        <f>COUNTIF($C$12:C2191,"x")</f>
        <v>151</v>
      </c>
      <c r="B2191" s="1455" t="s">
        <v>1647</v>
      </c>
      <c r="C2191" s="970" t="str">
        <f t="shared" si="383"/>
        <v xml:space="preserve"> </v>
      </c>
      <c r="D2191" s="1417"/>
      <c r="E2191" s="984" t="str">
        <f>VLOOKUP($B2191,DG!A:D,DG!$B$2,)</f>
        <v>07.3404</v>
      </c>
      <c r="F2191" s="985" t="str">
        <f>VLOOKUP($B2191,DG!A:D,DG!$C$2,)</f>
        <v>Lắp cáp trong ống bảo vệ loại &lt;=4.5kg</v>
      </c>
      <c r="G2191" s="984" t="str">
        <f>VLOOKUP($B2191,DG!A:D,DG!$D$2,)</f>
        <v>mét</v>
      </c>
      <c r="H2191" s="1694"/>
      <c r="I2191" s="1694"/>
      <c r="J2191" s="1694"/>
      <c r="K2191" s="1694"/>
      <c r="L2191" s="1694"/>
      <c r="M2191" s="1694"/>
      <c r="N2191" s="1694"/>
      <c r="O2191" s="1694"/>
      <c r="P2191" s="1693">
        <f t="shared" si="378"/>
        <v>0</v>
      </c>
      <c r="Q2191" s="991"/>
      <c r="R2191" s="991"/>
      <c r="S2191" s="991"/>
      <c r="T2191" s="1862">
        <f t="shared" si="380"/>
        <v>0</v>
      </c>
    </row>
    <row r="2192" spans="1:20" ht="22.2" hidden="1" customHeight="1">
      <c r="A2192" s="1448">
        <f>COUNTIF($C$12:C2192,"x")</f>
        <v>151</v>
      </c>
      <c r="B2192" s="1455" t="s">
        <v>1648</v>
      </c>
      <c r="C2192" s="970" t="str">
        <f t="shared" si="383"/>
        <v xml:space="preserve"> </v>
      </c>
      <c r="D2192" s="1417"/>
      <c r="E2192" s="984" t="str">
        <f>VLOOKUP($B2192,DG!A:D,DG!$B$2,)</f>
        <v>07.3403</v>
      </c>
      <c r="F2192" s="985" t="str">
        <f>VLOOKUP($B2192,DG!A:D,DG!$C$2,)</f>
        <v>Lắp cáp trong ống bảo vệ loại &lt;=3kg</v>
      </c>
      <c r="G2192" s="984" t="str">
        <f>VLOOKUP($B2192,DG!A:D,DG!$D$2,)</f>
        <v>mét</v>
      </c>
      <c r="H2192" s="1694"/>
      <c r="I2192" s="1694"/>
      <c r="J2192" s="1694"/>
      <c r="K2192" s="1694"/>
      <c r="L2192" s="1694"/>
      <c r="M2192" s="1694"/>
      <c r="N2192" s="1694"/>
      <c r="O2192" s="1694"/>
      <c r="P2192" s="1693">
        <f t="shared" si="378"/>
        <v>0</v>
      </c>
      <c r="Q2192" s="991"/>
      <c r="R2192" s="991"/>
      <c r="S2192" s="991"/>
      <c r="T2192" s="1862">
        <f t="shared" si="380"/>
        <v>0</v>
      </c>
    </row>
    <row r="2193" spans="1:20" ht="22.2" hidden="1" customHeight="1">
      <c r="A2193" s="1448">
        <f>COUNTIF($C$12:C2193,"x")</f>
        <v>151</v>
      </c>
      <c r="B2193" s="1455" t="s">
        <v>2222</v>
      </c>
      <c r="C2193" s="970" t="str">
        <f t="shared" si="383"/>
        <v xml:space="preserve"> </v>
      </c>
      <c r="D2193" s="1413">
        <f>(E2114+D2169)/1000</f>
        <v>0</v>
      </c>
      <c r="E2193" s="980" t="str">
        <f>VLOOKUP($B2193,DG!A:D,DG!$B$2,)</f>
        <v>06.7007</v>
      </c>
      <c r="F2193" s="985" t="str">
        <f>VLOOKUP($B2193,DG!A:D,DG!$C$2,)</f>
        <v>Kéo dây ABC 4x150mm2</v>
      </c>
      <c r="G2193" s="980" t="str">
        <f>VLOOKUP($B2193,DG!A:D,DG!$D$2,)</f>
        <v>km</v>
      </c>
      <c r="H2193" s="1693"/>
      <c r="I2193" s="1693"/>
      <c r="J2193" s="1693"/>
      <c r="K2193" s="1693"/>
      <c r="L2193" s="1693"/>
      <c r="M2193" s="1693"/>
      <c r="N2193" s="1693"/>
      <c r="O2193" s="1693"/>
      <c r="P2193" s="1693">
        <f t="shared" si="378"/>
        <v>0</v>
      </c>
      <c r="Q2193" s="989"/>
      <c r="R2193" s="989"/>
      <c r="S2193" s="989"/>
      <c r="T2193" s="1862">
        <f t="shared" si="380"/>
        <v>0</v>
      </c>
    </row>
    <row r="2194" spans="1:20" ht="22.2" hidden="1" customHeight="1">
      <c r="A2194" s="1448">
        <f>COUNTIF($C$12:C2194,"x")</f>
        <v>151</v>
      </c>
      <c r="B2194" s="1455" t="s">
        <v>864</v>
      </c>
      <c r="C2194" s="970" t="str">
        <f t="shared" si="383"/>
        <v xml:space="preserve"> </v>
      </c>
      <c r="D2194" s="1413">
        <f>(E2110)/1000</f>
        <v>0</v>
      </c>
      <c r="E2194" s="980" t="str">
        <f>VLOOKUP($B2194,DG!A:D,DG!$B$2,)</f>
        <v>06.7006</v>
      </c>
      <c r="F2194" s="985" t="str">
        <f>VLOOKUP($B2194,DG!A:D,DG!$C$2,)</f>
        <v>Kéo dây ABC 3x95mm2</v>
      </c>
      <c r="G2194" s="980" t="str">
        <f>VLOOKUP($B2194,DG!A:D,DG!$D$2,)</f>
        <v>km</v>
      </c>
      <c r="H2194" s="1693">
        <f>D2194</f>
        <v>0</v>
      </c>
      <c r="I2194" s="1693"/>
      <c r="J2194" s="1693"/>
      <c r="K2194" s="1693"/>
      <c r="L2194" s="1693"/>
      <c r="M2194" s="1693"/>
      <c r="N2194" s="1693"/>
      <c r="O2194" s="1693"/>
      <c r="P2194" s="1693">
        <f t="shared" si="378"/>
        <v>0</v>
      </c>
      <c r="Q2194" s="989"/>
      <c r="R2194" s="989"/>
      <c r="S2194" s="989"/>
      <c r="T2194" s="1862">
        <f t="shared" si="380"/>
        <v>0</v>
      </c>
    </row>
    <row r="2195" spans="1:20" ht="22.2" hidden="1" customHeight="1">
      <c r="A2195" s="1448">
        <f>COUNTIF($C$12:C2195,"x")</f>
        <v>151</v>
      </c>
      <c r="B2195" s="1455" t="s">
        <v>865</v>
      </c>
      <c r="C2195" s="970" t="str">
        <f t="shared" si="383"/>
        <v xml:space="preserve"> </v>
      </c>
      <c r="D2195" s="1413">
        <f>(E2112+E2110)/1000</f>
        <v>0</v>
      </c>
      <c r="E2195" s="980" t="str">
        <f>VLOOKUP($B2195,DG!A:D,DG!$B$2,)</f>
        <v>06.6505</v>
      </c>
      <c r="F2195" s="985" t="str">
        <f>VLOOKUP($B2195,DG!A:D,DG!$C$2,)</f>
        <v>Kéo dây ABC 4x70mm2</v>
      </c>
      <c r="G2195" s="980" t="str">
        <f>VLOOKUP($B2195,DG!A:D,DG!$D$2,)</f>
        <v>km</v>
      </c>
      <c r="H2195" s="1693">
        <f>H2112/1000</f>
        <v>0</v>
      </c>
      <c r="I2195" s="1693"/>
      <c r="J2195" s="1693"/>
      <c r="K2195" s="1693"/>
      <c r="L2195" s="1693"/>
      <c r="M2195" s="1693"/>
      <c r="N2195" s="1693"/>
      <c r="O2195" s="1693"/>
      <c r="P2195" s="1693">
        <f t="shared" si="378"/>
        <v>0</v>
      </c>
      <c r="Q2195" s="989"/>
      <c r="R2195" s="989"/>
      <c r="S2195" s="989"/>
      <c r="T2195" s="1862">
        <f t="shared" si="380"/>
        <v>0</v>
      </c>
    </row>
    <row r="2196" spans="1:20" ht="22.2" hidden="1" customHeight="1">
      <c r="A2196" s="1448">
        <f>COUNTIF($C$12:C2196,"x")</f>
        <v>151</v>
      </c>
      <c r="B2196" s="1455" t="s">
        <v>866</v>
      </c>
      <c r="C2196" s="970" t="str">
        <f t="shared" si="383"/>
        <v xml:space="preserve"> </v>
      </c>
      <c r="D2196" s="1413">
        <f>E2111/1000</f>
        <v>0</v>
      </c>
      <c r="E2196" s="980" t="str">
        <f>VLOOKUP($B2196,DG!A:D,DG!$B$2,)</f>
        <v>06.6504</v>
      </c>
      <c r="F2196" s="985" t="str">
        <f>VLOOKUP($B2196,DG!A:D,DG!$C$2,)</f>
        <v>Kéo dây ABC 4x50mm2</v>
      </c>
      <c r="G2196" s="980" t="str">
        <f>VLOOKUP($B2196,DG!A:D,DG!$D$2,)</f>
        <v>km</v>
      </c>
      <c r="H2196" s="1693"/>
      <c r="I2196" s="1693"/>
      <c r="J2196" s="1693"/>
      <c r="K2196" s="1693"/>
      <c r="L2196" s="1693"/>
      <c r="M2196" s="1693"/>
      <c r="N2196" s="1693"/>
      <c r="O2196" s="1693"/>
      <c r="P2196" s="1693">
        <f t="shared" si="378"/>
        <v>0</v>
      </c>
      <c r="Q2196" s="989"/>
      <c r="R2196" s="989"/>
      <c r="S2196" s="989"/>
      <c r="T2196" s="1862">
        <f t="shared" si="380"/>
        <v>0</v>
      </c>
    </row>
    <row r="2197" spans="1:20" ht="22.2" hidden="1" customHeight="1">
      <c r="A2197" s="1448">
        <f>COUNTIF($C$12:C2197,"x")</f>
        <v>151</v>
      </c>
      <c r="B2197" s="1455" t="s">
        <v>866</v>
      </c>
      <c r="C2197" s="970" t="str">
        <f t="shared" si="383"/>
        <v xml:space="preserve"> </v>
      </c>
      <c r="D2197" s="1413">
        <f>E2109/1000</f>
        <v>0</v>
      </c>
      <c r="E2197" s="980" t="str">
        <f>VLOOKUP($B2197,DG!A:D,DG!$B$2,)</f>
        <v>06.6504</v>
      </c>
      <c r="F2197" s="985" t="s">
        <v>2563</v>
      </c>
      <c r="G2197" s="980" t="str">
        <f>VLOOKUP($B2197,DG!A:D,DG!$D$2,)</f>
        <v>km</v>
      </c>
      <c r="H2197" s="1693"/>
      <c r="I2197" s="1693"/>
      <c r="J2197" s="1693"/>
      <c r="K2197" s="1693"/>
      <c r="L2197" s="1693"/>
      <c r="M2197" s="1693"/>
      <c r="N2197" s="1693"/>
      <c r="O2197" s="1693"/>
      <c r="P2197" s="1693">
        <f t="shared" si="378"/>
        <v>0</v>
      </c>
      <c r="Q2197" s="989"/>
      <c r="R2197" s="989"/>
      <c r="S2197" s="989"/>
      <c r="T2197" s="1862">
        <f t="shared" si="380"/>
        <v>0</v>
      </c>
    </row>
    <row r="2198" spans="1:20" ht="22.2" hidden="1" customHeight="1">
      <c r="A2198" s="1448">
        <f>COUNTIF($C$12:C2198,"x")</f>
        <v>151</v>
      </c>
      <c r="B2198" s="1455" t="s">
        <v>1648</v>
      </c>
      <c r="C2198" s="970" t="str">
        <f t="shared" si="383"/>
        <v xml:space="preserve"> </v>
      </c>
      <c r="D2198" s="1413">
        <f>D2115/1000</f>
        <v>0</v>
      </c>
      <c r="E2198" s="980" t="str">
        <f>VLOOKUP($B2198,DG!A:D,DG!$B$2,)</f>
        <v>07.3403</v>
      </c>
      <c r="F2198" s="985" t="str">
        <f>VLOOKUP($B2198,DG!A:D,DG!$C$2,)</f>
        <v>Lắp cáp trong ống bảo vệ loại &lt;=3kg</v>
      </c>
      <c r="G2198" s="980" t="str">
        <f>VLOOKUP($B2198,DG!A:D,DG!$D$2,)</f>
        <v>mét</v>
      </c>
      <c r="H2198" s="1693"/>
      <c r="I2198" s="1693"/>
      <c r="J2198" s="1693"/>
      <c r="K2198" s="1693"/>
      <c r="L2198" s="1693"/>
      <c r="M2198" s="1693"/>
      <c r="N2198" s="1693"/>
      <c r="O2198" s="1693"/>
      <c r="P2198" s="1693">
        <f t="shared" si="378"/>
        <v>0</v>
      </c>
      <c r="Q2198" s="989"/>
      <c r="R2198" s="989"/>
      <c r="S2198" s="989"/>
      <c r="T2198" s="1862">
        <f t="shared" si="380"/>
        <v>0</v>
      </c>
    </row>
    <row r="2199" spans="1:20" ht="22.2" hidden="1" customHeight="1">
      <c r="A2199" s="1448">
        <f>COUNTIF($C$12:C2199,"x")</f>
        <v>151</v>
      </c>
      <c r="B2199" s="1455" t="s">
        <v>125</v>
      </c>
      <c r="C2199" s="970" t="str">
        <f t="shared" si="383"/>
        <v xml:space="preserve"> </v>
      </c>
      <c r="D2199" s="1415">
        <f>D2161</f>
        <v>0</v>
      </c>
      <c r="E2199" s="980" t="str">
        <f>VLOOKUP($B2199,DG!A:D,DG!$B$2,)</f>
        <v>06.1213</v>
      </c>
      <c r="F2199" s="985" t="str">
        <f>VLOOKUP($B2199,DG!A:D,DG!$C$2,)</f>
        <v>Lắp rack 2 sứ + sứ ống chỉ</v>
      </c>
      <c r="G2199" s="980" t="str">
        <f>VLOOKUP($B2199,DG!A:D,DG!$D$2,)</f>
        <v>bộ</v>
      </c>
      <c r="H2199" s="1693"/>
      <c r="I2199" s="1693"/>
      <c r="J2199" s="1693"/>
      <c r="K2199" s="1693"/>
      <c r="L2199" s="1693"/>
      <c r="M2199" s="1693"/>
      <c r="N2199" s="1693"/>
      <c r="O2199" s="1693"/>
      <c r="P2199" s="1693">
        <f t="shared" si="378"/>
        <v>0</v>
      </c>
      <c r="Q2199" s="989"/>
      <c r="R2199" s="989"/>
      <c r="S2199" s="989"/>
      <c r="T2199" s="1862">
        <f t="shared" si="380"/>
        <v>0</v>
      </c>
    </row>
    <row r="2200" spans="1:20" ht="22.2" hidden="1" customHeight="1">
      <c r="A2200" s="1448">
        <f>COUNTIF($C$12:C2200,"x")</f>
        <v>151</v>
      </c>
      <c r="B2200" s="1455" t="s">
        <v>452</v>
      </c>
      <c r="C2200" s="970" t="str">
        <f t="shared" si="383"/>
        <v xml:space="preserve"> </v>
      </c>
      <c r="D2200" s="1415">
        <f>D2162</f>
        <v>0</v>
      </c>
      <c r="E2200" s="980" t="str">
        <f>VLOOKUP($B2200,DG!A:D,DG!$B$2,)</f>
        <v>06.1214</v>
      </c>
      <c r="F2200" s="985" t="str">
        <f>VLOOKUP($B2200,DG!A:D,DG!$C$2,)</f>
        <v>Lắp rack 3 sứ + sứ ống chỉ</v>
      </c>
      <c r="G2200" s="980" t="str">
        <f>VLOOKUP($B2200,DG!A:D,DG!$D$2,)</f>
        <v>bộ</v>
      </c>
      <c r="H2200" s="1693"/>
      <c r="I2200" s="1693"/>
      <c r="J2200" s="1693"/>
      <c r="K2200" s="1693"/>
      <c r="L2200" s="1693"/>
      <c r="M2200" s="1693"/>
      <c r="N2200" s="1693"/>
      <c r="O2200" s="1693"/>
      <c r="P2200" s="1693">
        <f t="shared" si="378"/>
        <v>0</v>
      </c>
      <c r="Q2200" s="994"/>
      <c r="R2200" s="994"/>
      <c r="S2200" s="994"/>
      <c r="T2200" s="1862">
        <f t="shared" si="380"/>
        <v>0</v>
      </c>
    </row>
    <row r="2201" spans="1:20" ht="22.2" hidden="1" customHeight="1">
      <c r="A2201" s="1448">
        <f>COUNTIF($C$12:C2201,"x")</f>
        <v>151</v>
      </c>
      <c r="B2201" s="1455" t="s">
        <v>689</v>
      </c>
      <c r="C2201" s="970" t="str">
        <f t="shared" si="383"/>
        <v xml:space="preserve"> </v>
      </c>
      <c r="D2201" s="1415">
        <f>D2163</f>
        <v>0</v>
      </c>
      <c r="E2201" s="980" t="str">
        <f>VLOOKUP($B2201,DG!A:D,DG!$B$2,)</f>
        <v>06.1215</v>
      </c>
      <c r="F2201" s="985" t="str">
        <f>VLOOKUP($B2201,DG!A:D,DG!$C$2,)</f>
        <v>Lắp rack 4 sứ + sứ ống chỉ</v>
      </c>
      <c r="G2201" s="980" t="str">
        <f>VLOOKUP($B2201,DG!A:D,DG!$D$2,)</f>
        <v>bộ</v>
      </c>
      <c r="H2201" s="1693"/>
      <c r="I2201" s="1693"/>
      <c r="J2201" s="1693"/>
      <c r="K2201" s="1693"/>
      <c r="L2201" s="1693"/>
      <c r="M2201" s="1693"/>
      <c r="N2201" s="1693"/>
      <c r="O2201" s="1693"/>
      <c r="P2201" s="1693">
        <f t="shared" si="378"/>
        <v>0</v>
      </c>
      <c r="Q2201" s="989"/>
      <c r="R2201" s="989"/>
      <c r="S2201" s="989"/>
      <c r="T2201" s="1862">
        <f t="shared" si="380"/>
        <v>0</v>
      </c>
    </row>
    <row r="2202" spans="1:20" ht="22.2" hidden="1" customHeight="1">
      <c r="A2202" s="1448">
        <f>COUNTIF($C$12:C2202,"x")</f>
        <v>151</v>
      </c>
      <c r="B2202" s="1455" t="s">
        <v>352</v>
      </c>
      <c r="C2202" s="970" t="str">
        <f t="shared" si="383"/>
        <v xml:space="preserve"> </v>
      </c>
      <c r="D2202" s="1415">
        <f>ppht!S337*0</f>
        <v>0</v>
      </c>
      <c r="E2202" s="980" t="str">
        <f>VLOOKUP($B2202,DG!A:D,DG!$B$2,)</f>
        <v>06.2070</v>
      </c>
      <c r="F2202" s="992" t="str">
        <f>VLOOKUP($B2202,DG!A:D,DG!$C$2,)</f>
        <v>Sơn biển số- bảng nguy hiểm</v>
      </c>
      <c r="G2202" s="980" t="str">
        <f>VLOOKUP($B2202,DG!A:D,DG!$D$2,)</f>
        <v>cái</v>
      </c>
      <c r="H2202" s="1693"/>
      <c r="I2202" s="1693"/>
      <c r="J2202" s="1693"/>
      <c r="K2202" s="1693"/>
      <c r="L2202" s="1693"/>
      <c r="M2202" s="1693"/>
      <c r="N2202" s="1693"/>
      <c r="O2202" s="1693"/>
      <c r="P2202" s="1693">
        <f t="shared" ref="P2202:P2265" si="384">H2202+Q2202-R2202</f>
        <v>0</v>
      </c>
      <c r="Q2202" s="989"/>
      <c r="R2202" s="989"/>
      <c r="S2202" s="989"/>
      <c r="T2202" s="1862">
        <f t="shared" si="380"/>
        <v>0</v>
      </c>
    </row>
    <row r="2203" spans="1:20" ht="22.2" hidden="1" customHeight="1">
      <c r="A2203" s="1448">
        <f>COUNTIF($C$12:C2203,"x")</f>
        <v>151</v>
      </c>
      <c r="B2203" s="1455" t="s">
        <v>355</v>
      </c>
      <c r="C2203" s="970" t="str">
        <f t="shared" si="383"/>
        <v xml:space="preserve"> </v>
      </c>
      <c r="D2203" s="1414">
        <f>D2206</f>
        <v>0</v>
      </c>
      <c r="E2203" s="980" t="str">
        <f>VLOOKUP($B2203,DG!A:D,DG!$B$2,)</f>
        <v>02.1122</v>
      </c>
      <c r="F2203" s="985" t="str">
        <f>VLOOKUP($B2203,DG!A:D,DG!$C$2,)</f>
        <v>Bốc dỡ dây</v>
      </c>
      <c r="G2203" s="980" t="str">
        <f>VLOOKUP($B2203,DG!A:D,DG!$D$2,)</f>
        <v>tấn</v>
      </c>
      <c r="H2203" s="1693"/>
      <c r="I2203" s="1693"/>
      <c r="J2203" s="1693"/>
      <c r="K2203" s="1693"/>
      <c r="L2203" s="1693"/>
      <c r="M2203" s="1693"/>
      <c r="N2203" s="1693"/>
      <c r="O2203" s="1693"/>
      <c r="P2203" s="1693">
        <f t="shared" si="384"/>
        <v>0</v>
      </c>
      <c r="Q2203" s="994"/>
      <c r="R2203" s="994"/>
      <c r="S2203" s="994"/>
      <c r="T2203" s="1862">
        <f t="shared" si="380"/>
        <v>0</v>
      </c>
    </row>
    <row r="2204" spans="1:20" ht="22.2" hidden="1" customHeight="1">
      <c r="A2204" s="1448">
        <f>COUNTIF($C$12:C2204,"x")</f>
        <v>151</v>
      </c>
      <c r="B2204" s="1455" t="s">
        <v>1902</v>
      </c>
      <c r="C2204" s="970" t="str">
        <f t="shared" si="383"/>
        <v xml:space="preserve"> </v>
      </c>
      <c r="D2204" s="1414">
        <f>D2205</f>
        <v>0</v>
      </c>
      <c r="E2204" s="980" t="str">
        <f>VLOOKUP($B2204,DG!A:D,DG!$B$2,)</f>
        <v>02.1120</v>
      </c>
      <c r="F2204" s="985" t="str">
        <f>VLOOKUP($B2204,DG!A:D,DG!$C$2,)</f>
        <v>Bốc dỡ phụ kiện</v>
      </c>
      <c r="G2204" s="980" t="str">
        <f>VLOOKUP($B2204,DG!A:D,DG!$D$2,)</f>
        <v>tấn</v>
      </c>
      <c r="H2204" s="1693"/>
      <c r="I2204" s="1693"/>
      <c r="J2204" s="1693"/>
      <c r="K2204" s="1693"/>
      <c r="L2204" s="1693"/>
      <c r="M2204" s="1693"/>
      <c r="N2204" s="1693"/>
      <c r="O2204" s="1693"/>
      <c r="P2204" s="1693">
        <f t="shared" si="384"/>
        <v>0</v>
      </c>
      <c r="Q2204" s="994"/>
      <c r="R2204" s="994"/>
      <c r="S2204" s="994"/>
      <c r="T2204" s="1862">
        <f t="shared" si="380"/>
        <v>0</v>
      </c>
    </row>
    <row r="2205" spans="1:20" ht="22.2" hidden="1" customHeight="1">
      <c r="A2205" s="1448">
        <f>COUNTIF($C$12:C2205,"x")</f>
        <v>151</v>
      </c>
      <c r="B2205" s="1466"/>
      <c r="C2205" s="970" t="str">
        <f t="shared" si="383"/>
        <v xml:space="preserve"> </v>
      </c>
      <c r="D2205" s="1414"/>
      <c r="E2205" s="980"/>
      <c r="F2205" s="992"/>
      <c r="G2205" s="980"/>
      <c r="H2205" s="1693"/>
      <c r="I2205" s="1693"/>
      <c r="J2205" s="1693"/>
      <c r="K2205" s="1693"/>
      <c r="L2205" s="1693"/>
      <c r="M2205" s="1693"/>
      <c r="N2205" s="1693"/>
      <c r="O2205" s="1693"/>
      <c r="P2205" s="1693">
        <f t="shared" si="384"/>
        <v>0</v>
      </c>
      <c r="Q2205" s="994"/>
      <c r="R2205" s="994"/>
      <c r="S2205" s="994"/>
      <c r="T2205" s="1862">
        <f t="shared" si="380"/>
        <v>0</v>
      </c>
    </row>
    <row r="2206" spans="1:20" ht="22.2" hidden="1" customHeight="1">
      <c r="A2206" s="1448">
        <f>COUNTIF($C$12:C2206,"x")</f>
        <v>151</v>
      </c>
      <c r="B2206" s="1466"/>
      <c r="C2206" s="970" t="str">
        <f t="shared" si="383"/>
        <v xml:space="preserve"> </v>
      </c>
      <c r="D2206" s="1414"/>
      <c r="E2206" s="980"/>
      <c r="F2206" s="992"/>
      <c r="G2206" s="980"/>
      <c r="H2206" s="1693"/>
      <c r="I2206" s="1693"/>
      <c r="J2206" s="1693"/>
      <c r="K2206" s="1693"/>
      <c r="L2206" s="1693"/>
      <c r="M2206" s="1693"/>
      <c r="N2206" s="1693"/>
      <c r="O2206" s="1693"/>
      <c r="P2206" s="1693">
        <f t="shared" si="384"/>
        <v>0</v>
      </c>
      <c r="Q2206" s="994"/>
      <c r="R2206" s="994"/>
      <c r="S2206" s="994"/>
      <c r="T2206" s="1862">
        <f t="shared" si="380"/>
        <v>0</v>
      </c>
    </row>
    <row r="2207" spans="1:20" ht="22.2" hidden="1" customHeight="1">
      <c r="A2207" s="1448">
        <f>COUNTIF($C$12:C2207,"x")</f>
        <v>151</v>
      </c>
      <c r="B2207" s="1464"/>
      <c r="C2207" s="970" t="str">
        <f t="shared" si="383"/>
        <v xml:space="preserve"> </v>
      </c>
      <c r="D2207" s="1414"/>
      <c r="E2207" s="980"/>
      <c r="F2207" s="992"/>
      <c r="G2207" s="980"/>
      <c r="H2207" s="1693"/>
      <c r="I2207" s="1693"/>
      <c r="J2207" s="1693"/>
      <c r="K2207" s="1693"/>
      <c r="L2207" s="1693"/>
      <c r="M2207" s="1693"/>
      <c r="N2207" s="1693"/>
      <c r="O2207" s="1693"/>
      <c r="P2207" s="1693">
        <f t="shared" si="384"/>
        <v>0</v>
      </c>
      <c r="Q2207" s="994"/>
      <c r="R2207" s="994"/>
      <c r="S2207" s="994"/>
      <c r="T2207" s="1862">
        <f t="shared" si="380"/>
        <v>0</v>
      </c>
    </row>
    <row r="2208" spans="1:20" ht="22.2" hidden="1" customHeight="1">
      <c r="A2208" s="1448">
        <f>COUNTIF($C$12:C2208,"x")</f>
        <v>151</v>
      </c>
      <c r="B2208" s="1452" t="s">
        <v>31</v>
      </c>
      <c r="C2208" s="970" t="str">
        <f>IF(D2208&lt;&gt;0,"x"," ")</f>
        <v xml:space="preserve"> </v>
      </c>
      <c r="D2208" s="1412">
        <f>IF(SUM(D2209:D2231)=0,0,1)</f>
        <v>0</v>
      </c>
      <c r="E2208" s="982" t="s">
        <v>1658</v>
      </c>
      <c r="F2208" s="1276" t="s">
        <v>2564</v>
      </c>
      <c r="G2208" s="982" t="s">
        <v>2301</v>
      </c>
      <c r="H2208" s="1691">
        <f>SUM(I2208:O2208)</f>
        <v>0</v>
      </c>
      <c r="I2208" s="1692"/>
      <c r="J2208" s="1692"/>
      <c r="K2208" s="1692"/>
      <c r="L2208" s="1692">
        <f>IFERROR(HLOOKUP(chitiet!B2208,pp1p!$1:$3,3,0),0)</f>
        <v>0</v>
      </c>
      <c r="M2208" s="1692"/>
      <c r="N2208" s="1692"/>
      <c r="O2208" s="1692"/>
      <c r="P2208" s="2674">
        <f>T2208</f>
        <v>0</v>
      </c>
      <c r="Q2208" s="983">
        <f>IF(P2208&gt;H2208,P2208-H2208,0)</f>
        <v>0</v>
      </c>
      <c r="R2208" s="983">
        <f>IF(H2208&gt;P2208,H2208-P2208,0)</f>
        <v>0</v>
      </c>
      <c r="S2208" s="983"/>
      <c r="T2208" s="1862">
        <f t="shared" si="380"/>
        <v>0</v>
      </c>
    </row>
    <row r="2209" spans="1:20" ht="22.2" hidden="1" customHeight="1">
      <c r="A2209" s="1448">
        <f>COUNTIF($C$12:C2209,"x")</f>
        <v>151</v>
      </c>
      <c r="B2209" s="1455" t="s">
        <v>1343</v>
      </c>
      <c r="C2209" s="970" t="str">
        <f t="shared" si="383"/>
        <v xml:space="preserve"> </v>
      </c>
      <c r="D2209" s="1415">
        <f>ROUND(E2209*1.03,0)</f>
        <v>0</v>
      </c>
      <c r="E2209" s="997">
        <f>+'ppht NC'!E310</f>
        <v>0</v>
      </c>
      <c r="F2209" s="992" t="str">
        <f>VLOOKUP($B2209,DG!A:D,DG!$C$2,)</f>
        <v>Cáp nhôm bọc AV95</v>
      </c>
      <c r="G2209" s="980" t="str">
        <f>VLOOKUP($B2209,DG!A:D,DG!$D$2,)</f>
        <v>mét</v>
      </c>
      <c r="H2209" s="1693">
        <f>$D2209</f>
        <v>0</v>
      </c>
      <c r="I2209" s="1693"/>
      <c r="J2209" s="1693"/>
      <c r="K2209" s="1693"/>
      <c r="L2209" s="1693"/>
      <c r="M2209" s="1693">
        <f t="shared" ref="M2209:M2214" si="385">H2209</f>
        <v>0</v>
      </c>
      <c r="N2209" s="1693"/>
      <c r="O2209" s="1693"/>
      <c r="P2209" s="1693">
        <f t="shared" si="384"/>
        <v>0</v>
      </c>
      <c r="Q2209" s="989"/>
      <c r="R2209" s="989"/>
      <c r="S2209" s="989"/>
      <c r="T2209" s="1862">
        <f t="shared" si="380"/>
        <v>0</v>
      </c>
    </row>
    <row r="2210" spans="1:20" ht="22.2" hidden="1" customHeight="1">
      <c r="A2210" s="1448">
        <f>COUNTIF($C$12:C2210,"x")</f>
        <v>151</v>
      </c>
      <c r="B2210" s="1455" t="s">
        <v>1034</v>
      </c>
      <c r="C2210" s="970" t="str">
        <f t="shared" si="383"/>
        <v xml:space="preserve"> </v>
      </c>
      <c r="D2210" s="1415">
        <f>ROUND(E2210*1.03,0)</f>
        <v>0</v>
      </c>
      <c r="E2210" s="997">
        <f>+'ppht NC'!D310</f>
        <v>0</v>
      </c>
      <c r="F2210" s="992" t="str">
        <f>VLOOKUP($B2210,DG!A:D,DG!$C$2,)</f>
        <v>Cáp nhôm bọc AV50</v>
      </c>
      <c r="G2210" s="980" t="str">
        <f>VLOOKUP($B2210,DG!A:D,DG!$D$2,)</f>
        <v>mét</v>
      </c>
      <c r="H2210" s="1693">
        <f>$D2210</f>
        <v>0</v>
      </c>
      <c r="I2210" s="1693"/>
      <c r="J2210" s="1693"/>
      <c r="K2210" s="1693"/>
      <c r="L2210" s="1693"/>
      <c r="M2210" s="1693">
        <f t="shared" si="385"/>
        <v>0</v>
      </c>
      <c r="N2210" s="1693"/>
      <c r="O2210" s="1693"/>
      <c r="P2210" s="1693">
        <f t="shared" si="384"/>
        <v>0</v>
      </c>
      <c r="Q2210" s="989"/>
      <c r="R2210" s="989"/>
      <c r="S2210" s="989"/>
      <c r="T2210" s="1862">
        <f t="shared" si="380"/>
        <v>0</v>
      </c>
    </row>
    <row r="2211" spans="1:20" ht="22.2" hidden="1" customHeight="1">
      <c r="A2211" s="1448">
        <f>COUNTIF($C$12:C2211,"x")</f>
        <v>151</v>
      </c>
      <c r="B2211" s="1455" t="s">
        <v>88</v>
      </c>
      <c r="C2211" s="970" t="str">
        <f t="shared" si="383"/>
        <v xml:space="preserve"> </v>
      </c>
      <c r="D2211" s="1415">
        <f>ROUND(E2211*1.03,0)</f>
        <v>0</v>
      </c>
      <c r="E2211" s="997"/>
      <c r="F2211" s="992" t="str">
        <f>VLOOKUP($B2211,DG!A:D,DG!$C$2,)</f>
        <v>Cáp nhôm lõi thép AC-50/8</v>
      </c>
      <c r="G2211" s="980" t="str">
        <f>VLOOKUP($B2211,DG!A:D,DG!$D$2,)</f>
        <v>kg</v>
      </c>
      <c r="H2211" s="1693">
        <f>$D2211</f>
        <v>0</v>
      </c>
      <c r="I2211" s="1693"/>
      <c r="J2211" s="1693"/>
      <c r="K2211" s="1693"/>
      <c r="L2211" s="1693"/>
      <c r="M2211" s="1693">
        <f t="shared" si="385"/>
        <v>0</v>
      </c>
      <c r="N2211" s="1693"/>
      <c r="O2211" s="1693"/>
      <c r="P2211" s="1693">
        <f t="shared" si="384"/>
        <v>0</v>
      </c>
      <c r="Q2211" s="989"/>
      <c r="R2211" s="989"/>
      <c r="S2211" s="989"/>
      <c r="T2211" s="1862">
        <f t="shared" si="380"/>
        <v>0</v>
      </c>
    </row>
    <row r="2212" spans="1:20" ht="22.2" hidden="1" customHeight="1">
      <c r="A2212" s="1448">
        <f>COUNTIF($C$12:C2212,"x")</f>
        <v>151</v>
      </c>
      <c r="B2212" s="1455" t="s">
        <v>1682</v>
      </c>
      <c r="C2212" s="970" t="str">
        <f t="shared" si="383"/>
        <v xml:space="preserve"> </v>
      </c>
      <c r="D2212" s="1415">
        <f>ROUND(E2212*1.02,0)</f>
        <v>0</v>
      </c>
      <c r="E2212" s="997">
        <f>pp_NC!P200</f>
        <v>0</v>
      </c>
      <c r="F2212" s="992" t="str">
        <f>VLOOKUP($B2212,DG!A:D,DG!$C$2,)</f>
        <v>Cáp Duplex 2x11</v>
      </c>
      <c r="G2212" s="980" t="str">
        <f>VLOOKUP($B2212,DG!A:D,DG!$D$2,)</f>
        <v>m</v>
      </c>
      <c r="H2212" s="1693">
        <f>$D2212</f>
        <v>0</v>
      </c>
      <c r="I2212" s="1693"/>
      <c r="J2212" s="1693"/>
      <c r="K2212" s="1693"/>
      <c r="L2212" s="1693"/>
      <c r="M2212" s="1693">
        <f t="shared" si="385"/>
        <v>0</v>
      </c>
      <c r="N2212" s="1693"/>
      <c r="O2212" s="1693"/>
      <c r="P2212" s="1693">
        <f t="shared" si="384"/>
        <v>0</v>
      </c>
      <c r="Q2212" s="989"/>
      <c r="R2212" s="989"/>
      <c r="S2212" s="989"/>
      <c r="T2212" s="1862">
        <f t="shared" si="380"/>
        <v>0</v>
      </c>
    </row>
    <row r="2213" spans="1:20" ht="22.2" hidden="1" customHeight="1">
      <c r="A2213" s="1448">
        <f>COUNTIF($C$12:C2213,"x")</f>
        <v>151</v>
      </c>
      <c r="B2213" s="1455" t="s">
        <v>1582</v>
      </c>
      <c r="C2213" s="970" t="str">
        <f t="shared" si="383"/>
        <v xml:space="preserve"> </v>
      </c>
      <c r="D2213" s="1428">
        <f>ppht!DS339</f>
        <v>0</v>
      </c>
      <c r="E2213" s="980"/>
      <c r="F2213" s="992" t="str">
        <f>VLOOKUP($B2213,DG!A:D,DG!$C$2,)</f>
        <v>Kẹp 2 rãnh cỡ dây 50mm2</v>
      </c>
      <c r="G2213" s="980" t="str">
        <f>VLOOKUP($B2213,DG!A:D,DG!$D$2,)</f>
        <v>cái</v>
      </c>
      <c r="H2213" s="1693">
        <f t="shared" ref="H2213:H2227" si="386">D2213</f>
        <v>0</v>
      </c>
      <c r="I2213" s="1693"/>
      <c r="J2213" s="1693"/>
      <c r="K2213" s="1693"/>
      <c r="L2213" s="1693"/>
      <c r="M2213" s="1693">
        <f t="shared" si="385"/>
        <v>0</v>
      </c>
      <c r="N2213" s="1693"/>
      <c r="O2213" s="1693"/>
      <c r="P2213" s="1693">
        <f t="shared" si="384"/>
        <v>0</v>
      </c>
      <c r="Q2213" s="989"/>
      <c r="R2213" s="989"/>
      <c r="S2213" s="989"/>
      <c r="T2213" s="1862">
        <f t="shared" ref="T2213:T2276" si="387">IFERROR(HLOOKUP(B2213,BangKeTru,3,0),0)</f>
        <v>0</v>
      </c>
    </row>
    <row r="2214" spans="1:20" ht="22.2" hidden="1" customHeight="1">
      <c r="A2214" s="1448">
        <f>COUNTIF($C$12:C2214,"x")</f>
        <v>151</v>
      </c>
      <c r="B2214" s="1455" t="s">
        <v>1581</v>
      </c>
      <c r="C2214" s="970" t="str">
        <f t="shared" si="383"/>
        <v xml:space="preserve"> </v>
      </c>
      <c r="D2214" s="1428">
        <f>ppht!DT339</f>
        <v>0</v>
      </c>
      <c r="E2214" s="980"/>
      <c r="F2214" s="992" t="str">
        <f>VLOOKUP($B2214,DG!A:D,DG!$C$2,)</f>
        <v>Kẹp 2 rãnh cỡ dây 70mm2</v>
      </c>
      <c r="G2214" s="980" t="str">
        <f>VLOOKUP($B2214,DG!A:D,DG!$D$2,)</f>
        <v>cái</v>
      </c>
      <c r="H2214" s="1693">
        <f t="shared" si="386"/>
        <v>0</v>
      </c>
      <c r="I2214" s="1693"/>
      <c r="J2214" s="1693"/>
      <c r="K2214" s="1693"/>
      <c r="L2214" s="1693"/>
      <c r="M2214" s="1693">
        <f t="shared" si="385"/>
        <v>0</v>
      </c>
      <c r="N2214" s="1693"/>
      <c r="O2214" s="1693"/>
      <c r="P2214" s="1693">
        <f t="shared" si="384"/>
        <v>0</v>
      </c>
      <c r="Q2214" s="989"/>
      <c r="R2214" s="989"/>
      <c r="S2214" s="989"/>
      <c r="T2214" s="1862">
        <f t="shared" si="387"/>
        <v>0</v>
      </c>
    </row>
    <row r="2215" spans="1:20" ht="22.2" hidden="1" customHeight="1">
      <c r="A2215" s="1448">
        <f>COUNTIF($C$12:C2215,"x")</f>
        <v>151</v>
      </c>
      <c r="B2215" s="1455" t="s">
        <v>1568</v>
      </c>
      <c r="C2215" s="970" t="str">
        <f t="shared" si="383"/>
        <v xml:space="preserve"> </v>
      </c>
      <c r="D2215" s="1428">
        <f>+'ppht NC'!BW310</f>
        <v>0</v>
      </c>
      <c r="E2215" s="980"/>
      <c r="F2215" s="992" t="str">
        <f>VLOOKUP($B2215,DG!A:D,DG!$C$2,)</f>
        <v>Uclevis + sứ ống chỉ</v>
      </c>
      <c r="G2215" s="980" t="str">
        <f>VLOOKUP($B2215,DG!A:D,DG!$D$2,)</f>
        <v>bộ</v>
      </c>
      <c r="H2215" s="1693">
        <f t="shared" si="386"/>
        <v>0</v>
      </c>
      <c r="I2215" s="1693"/>
      <c r="J2215" s="1693"/>
      <c r="K2215" s="1693"/>
      <c r="L2215" s="1693"/>
      <c r="M2215" s="1693">
        <f t="shared" ref="M2215:M2223" si="388">H2215</f>
        <v>0</v>
      </c>
      <c r="N2215" s="1693"/>
      <c r="O2215" s="1693"/>
      <c r="P2215" s="1693">
        <f t="shared" si="384"/>
        <v>0</v>
      </c>
      <c r="Q2215" s="989"/>
      <c r="R2215" s="989"/>
      <c r="S2215" s="989"/>
      <c r="T2215" s="1862">
        <f t="shared" si="387"/>
        <v>0</v>
      </c>
    </row>
    <row r="2216" spans="1:20" ht="22.2" hidden="1" customHeight="1">
      <c r="A2216" s="1448">
        <f>COUNTIF($C$12:C2216,"x")</f>
        <v>151</v>
      </c>
      <c r="B2216" s="1455" t="s">
        <v>1491</v>
      </c>
      <c r="C2216" s="970" t="str">
        <f t="shared" si="383"/>
        <v xml:space="preserve"> </v>
      </c>
      <c r="D2216" s="1428">
        <f>ppht!BY339+pp_NC!EM182</f>
        <v>0</v>
      </c>
      <c r="E2216" s="980"/>
      <c r="F2216" s="992" t="str">
        <f>VLOOKUP($B2216,DG!A:D,DG!$C$2,)</f>
        <v>Rack 2 sứ + sứ ống chỉ</v>
      </c>
      <c r="G2216" s="980" t="str">
        <f>VLOOKUP($B2216,DG!A:D,DG!$D$2,)</f>
        <v>bộ</v>
      </c>
      <c r="H2216" s="1693">
        <f t="shared" si="386"/>
        <v>0</v>
      </c>
      <c r="I2216" s="1693"/>
      <c r="J2216" s="1693"/>
      <c r="K2216" s="1693"/>
      <c r="L2216" s="1693"/>
      <c r="M2216" s="1693">
        <f t="shared" si="388"/>
        <v>0</v>
      </c>
      <c r="N2216" s="1693"/>
      <c r="O2216" s="1693"/>
      <c r="P2216" s="1693">
        <f t="shared" si="384"/>
        <v>0</v>
      </c>
      <c r="Q2216" s="989"/>
      <c r="R2216" s="989"/>
      <c r="S2216" s="989"/>
      <c r="T2216" s="1862">
        <f t="shared" si="387"/>
        <v>0</v>
      </c>
    </row>
    <row r="2217" spans="1:20" ht="22.2" hidden="1" customHeight="1">
      <c r="A2217" s="1448">
        <f>COUNTIF($C$12:C2217,"x")</f>
        <v>151</v>
      </c>
      <c r="B2217" s="1455" t="s">
        <v>278</v>
      </c>
      <c r="C2217" s="970" t="str">
        <f t="shared" si="383"/>
        <v xml:space="preserve"> </v>
      </c>
      <c r="D2217" s="1428">
        <f>ppht!BZ339+pp_NC!EN182</f>
        <v>0</v>
      </c>
      <c r="E2217" s="980"/>
      <c r="F2217" s="992" t="str">
        <f>VLOOKUP($B2217,DG!A:D,DG!$C$2,)</f>
        <v>Rack 3 sứ + sứ ống chỉ</v>
      </c>
      <c r="G2217" s="980" t="str">
        <f>VLOOKUP($B2217,DG!A:D,DG!$D$2,)</f>
        <v>bộ</v>
      </c>
      <c r="H2217" s="1693">
        <f t="shared" si="386"/>
        <v>0</v>
      </c>
      <c r="I2217" s="1693"/>
      <c r="J2217" s="1693"/>
      <c r="K2217" s="1693"/>
      <c r="L2217" s="1693"/>
      <c r="M2217" s="1693">
        <f t="shared" si="388"/>
        <v>0</v>
      </c>
      <c r="N2217" s="1693"/>
      <c r="O2217" s="1693"/>
      <c r="P2217" s="1693">
        <f t="shared" si="384"/>
        <v>0</v>
      </c>
      <c r="Q2217" s="989"/>
      <c r="R2217" s="989"/>
      <c r="S2217" s="989"/>
      <c r="T2217" s="1862">
        <f t="shared" si="387"/>
        <v>0</v>
      </c>
    </row>
    <row r="2218" spans="1:20" ht="22.2" hidden="1" customHeight="1">
      <c r="A2218" s="1448">
        <f>COUNTIF($C$12:C2218,"x")</f>
        <v>151</v>
      </c>
      <c r="B2218" s="1455" t="s">
        <v>698</v>
      </c>
      <c r="C2218" s="970" t="str">
        <f t="shared" si="383"/>
        <v xml:space="preserve"> </v>
      </c>
      <c r="D2218" s="1428">
        <f>+'ppht NC'!BZ310</f>
        <v>0</v>
      </c>
      <c r="E2218" s="980"/>
      <c r="F2218" s="992" t="str">
        <f>VLOOKUP($B2218,DG!A:D,DG!$C$2,)</f>
        <v>Rack 4</v>
      </c>
      <c r="G2218" s="980" t="str">
        <f>VLOOKUP($B2218,DG!A:D,DG!$D$2,)</f>
        <v>cái</v>
      </c>
      <c r="H2218" s="1693">
        <f t="shared" si="386"/>
        <v>0</v>
      </c>
      <c r="I2218" s="1693"/>
      <c r="J2218" s="1693"/>
      <c r="K2218" s="1693"/>
      <c r="L2218" s="1693"/>
      <c r="M2218" s="1693">
        <f t="shared" si="388"/>
        <v>0</v>
      </c>
      <c r="N2218" s="1693"/>
      <c r="O2218" s="1693"/>
      <c r="P2218" s="1693">
        <f t="shared" si="384"/>
        <v>0</v>
      </c>
      <c r="Q2218" s="989"/>
      <c r="R2218" s="989"/>
      <c r="S2218" s="989"/>
      <c r="T2218" s="1862">
        <f t="shared" si="387"/>
        <v>0</v>
      </c>
    </row>
    <row r="2219" spans="1:20" ht="22.2" hidden="1" customHeight="1">
      <c r="A2219" s="1448">
        <f>COUNTIF($C$12:C2219,"x")</f>
        <v>151</v>
      </c>
      <c r="B2219" s="1455" t="s">
        <v>1448</v>
      </c>
      <c r="C2219" s="970" t="str">
        <f t="shared" si="383"/>
        <v xml:space="preserve"> </v>
      </c>
      <c r="D2219" s="1428">
        <f>+'ppht NC'!BV310</f>
        <v>0</v>
      </c>
      <c r="E2219" s="980"/>
      <c r="F2219" s="992" t="str">
        <f>VLOOKUP($B2219,DG!A:D,DG!$C$2,)</f>
        <v xml:space="preserve">Sứ ống chỉ </v>
      </c>
      <c r="G2219" s="980" t="str">
        <f>VLOOKUP($B2219,DG!A:D,DG!$D$2,)</f>
        <v>cái</v>
      </c>
      <c r="H2219" s="1693">
        <f t="shared" si="386"/>
        <v>0</v>
      </c>
      <c r="I2219" s="1693"/>
      <c r="J2219" s="1693"/>
      <c r="K2219" s="1693"/>
      <c r="L2219" s="1693"/>
      <c r="M2219" s="1693">
        <f>H2219</f>
        <v>0</v>
      </c>
      <c r="N2219" s="1693"/>
      <c r="O2219" s="1693"/>
      <c r="P2219" s="1693">
        <f t="shared" si="384"/>
        <v>0</v>
      </c>
      <c r="Q2219" s="989"/>
      <c r="R2219" s="989"/>
      <c r="S2219" s="989"/>
      <c r="T2219" s="1862">
        <f t="shared" si="387"/>
        <v>0</v>
      </c>
    </row>
    <row r="2220" spans="1:20" ht="22.2" hidden="1" customHeight="1">
      <c r="A2220" s="1448">
        <f>COUNTIF($C$12:C2220,"x")</f>
        <v>151</v>
      </c>
      <c r="B2220" s="1460" t="s">
        <v>1609</v>
      </c>
      <c r="C2220" s="970" t="str">
        <f t="shared" si="383"/>
        <v xml:space="preserve"> </v>
      </c>
      <c r="D2220" s="1428">
        <f>+'ppht NC'!CA310</f>
        <v>0</v>
      </c>
      <c r="E2220" s="980"/>
      <c r="F2220" s="992" t="str">
        <f>VLOOKUP($B2220,DG!A:D,DG!$C$2,)</f>
        <v>Boulon 16x250+ 2 long đền vuông D18-50x50x3/Zn</v>
      </c>
      <c r="G2220" s="980" t="str">
        <f>VLOOKUP($B2220,DG!A:D,DG!$D$2,)</f>
        <v>bộ</v>
      </c>
      <c r="H2220" s="1693">
        <f t="shared" si="386"/>
        <v>0</v>
      </c>
      <c r="I2220" s="1693"/>
      <c r="J2220" s="1693"/>
      <c r="K2220" s="1693"/>
      <c r="L2220" s="1693"/>
      <c r="M2220" s="1693">
        <f t="shared" si="388"/>
        <v>0</v>
      </c>
      <c r="N2220" s="1693"/>
      <c r="O2220" s="1693"/>
      <c r="P2220" s="1693">
        <f t="shared" si="384"/>
        <v>0</v>
      </c>
      <c r="Q2220" s="989"/>
      <c r="R2220" s="989"/>
      <c r="S2220" s="989"/>
      <c r="T2220" s="1862">
        <f t="shared" si="387"/>
        <v>0</v>
      </c>
    </row>
    <row r="2221" spans="1:20" ht="22.2" hidden="1" customHeight="1">
      <c r="A2221" s="1448">
        <f>COUNTIF($C$12:C2221,"x")</f>
        <v>151</v>
      </c>
      <c r="B2221" s="1460" t="s">
        <v>1610</v>
      </c>
      <c r="C2221" s="970" t="str">
        <f t="shared" si="383"/>
        <v xml:space="preserve"> </v>
      </c>
      <c r="D2221" s="1428">
        <f>+'ppht NC'!CB310</f>
        <v>0</v>
      </c>
      <c r="E2221" s="980"/>
      <c r="F2221" s="992" t="str">
        <f>VLOOKUP($B2221,DG!A:D,DG!$C$2,)</f>
        <v>Boulon 16x300+ 2 long đền vuông D18-50x50x3/Zn</v>
      </c>
      <c r="G2221" s="980" t="str">
        <f>VLOOKUP($B2221,DG!A:D,DG!$D$2,)</f>
        <v>bộ</v>
      </c>
      <c r="H2221" s="1693">
        <f t="shared" si="386"/>
        <v>0</v>
      </c>
      <c r="I2221" s="1693"/>
      <c r="J2221" s="1693"/>
      <c r="K2221" s="1693"/>
      <c r="L2221" s="1693"/>
      <c r="M2221" s="1693">
        <f t="shared" si="388"/>
        <v>0</v>
      </c>
      <c r="N2221" s="1693"/>
      <c r="O2221" s="1693"/>
      <c r="P2221" s="1693">
        <f t="shared" si="384"/>
        <v>0</v>
      </c>
      <c r="Q2221" s="989"/>
      <c r="R2221" s="989"/>
      <c r="S2221" s="989"/>
      <c r="T2221" s="1862">
        <f t="shared" si="387"/>
        <v>0</v>
      </c>
    </row>
    <row r="2222" spans="1:20" ht="22.2" hidden="1" customHeight="1">
      <c r="A2222" s="1448">
        <f>COUNTIF($C$12:C2222,"x")</f>
        <v>151</v>
      </c>
      <c r="B2222" s="1460" t="s">
        <v>1185</v>
      </c>
      <c r="C2222" s="970" t="str">
        <f t="shared" si="383"/>
        <v xml:space="preserve"> </v>
      </c>
      <c r="D2222" s="1428">
        <f>ppht!CD339</f>
        <v>0</v>
      </c>
      <c r="E2222" s="980"/>
      <c r="F2222" s="992" t="str">
        <f>VLOOKUP($B2222,DG!A:D,DG!$C$2,)</f>
        <v>Boulon 16x350+ 2 long đền vuông D18-50x50x3/Zn</v>
      </c>
      <c r="G2222" s="980" t="str">
        <f>VLOOKUP($B2222,DG!A:D,DG!$D$2,)</f>
        <v>bộ</v>
      </c>
      <c r="H2222" s="1693">
        <f t="shared" si="386"/>
        <v>0</v>
      </c>
      <c r="I2222" s="1693"/>
      <c r="J2222" s="1693"/>
      <c r="K2222" s="1693"/>
      <c r="L2222" s="1693"/>
      <c r="M2222" s="1693">
        <f t="shared" si="388"/>
        <v>0</v>
      </c>
      <c r="N2222" s="1693"/>
      <c r="O2222" s="1693"/>
      <c r="P2222" s="1693">
        <f t="shared" si="384"/>
        <v>0</v>
      </c>
      <c r="Q2222" s="989"/>
      <c r="R2222" s="989"/>
      <c r="S2222" s="989"/>
      <c r="T2222" s="1862">
        <f t="shared" si="387"/>
        <v>0</v>
      </c>
    </row>
    <row r="2223" spans="1:20" ht="22.2" hidden="1" customHeight="1">
      <c r="A2223" s="1448">
        <f>COUNTIF($C$12:C2223,"x")</f>
        <v>151</v>
      </c>
      <c r="B2223" s="1460" t="s">
        <v>1023</v>
      </c>
      <c r="C2223" s="970" t="str">
        <f t="shared" si="383"/>
        <v xml:space="preserve"> </v>
      </c>
      <c r="D2223" s="1428">
        <f>ppht!BF339</f>
        <v>0</v>
      </c>
      <c r="E2223" s="980"/>
      <c r="F2223" s="992" t="str">
        <f>VLOOKUP($B2223,DG!A:D,DG!$C$2,)</f>
        <v>Cáp thép 3/8"</v>
      </c>
      <c r="G2223" s="980" t="str">
        <f>VLOOKUP($B2223,DG!A:D,DG!$D$2,)</f>
        <v>kg</v>
      </c>
      <c r="H2223" s="1693">
        <f t="shared" si="386"/>
        <v>0</v>
      </c>
      <c r="I2223" s="1693"/>
      <c r="J2223" s="1693"/>
      <c r="K2223" s="1693"/>
      <c r="L2223" s="1693"/>
      <c r="M2223" s="1693">
        <f t="shared" si="388"/>
        <v>0</v>
      </c>
      <c r="N2223" s="1693"/>
      <c r="O2223" s="1693"/>
      <c r="P2223" s="1693">
        <f t="shared" si="384"/>
        <v>0</v>
      </c>
      <c r="Q2223" s="989"/>
      <c r="R2223" s="989"/>
      <c r="S2223" s="989"/>
      <c r="T2223" s="1862">
        <f t="shared" si="387"/>
        <v>0</v>
      </c>
    </row>
    <row r="2224" spans="1:20" ht="22.2" hidden="1" customHeight="1">
      <c r="A2224" s="1448">
        <f>COUNTIF($C$12:C2224,"x")</f>
        <v>151</v>
      </c>
      <c r="B2224" s="1460" t="s">
        <v>1487</v>
      </c>
      <c r="C2224" s="970" t="str">
        <f t="shared" si="383"/>
        <v xml:space="preserve"> </v>
      </c>
      <c r="D2224" s="1415"/>
      <c r="E2224" s="980"/>
      <c r="F2224" s="992" t="str">
        <f>VLOOKUP($B2224,DG!A:D,DG!$C$2,)</f>
        <v>Ống nối dây cỡ 50mm2</v>
      </c>
      <c r="G2224" s="980" t="str">
        <f>VLOOKUP($B2224,DG!A:D,DG!$D$2,)</f>
        <v>cái</v>
      </c>
      <c r="H2224" s="1693">
        <f t="shared" si="386"/>
        <v>0</v>
      </c>
      <c r="I2224" s="1693"/>
      <c r="J2224" s="1693"/>
      <c r="K2224" s="1693"/>
      <c r="L2224" s="1693"/>
      <c r="M2224" s="1693">
        <f>H2224</f>
        <v>0</v>
      </c>
      <c r="N2224" s="1693"/>
      <c r="O2224" s="1693"/>
      <c r="P2224" s="1693">
        <f t="shared" si="384"/>
        <v>0</v>
      </c>
      <c r="Q2224" s="989"/>
      <c r="R2224" s="989"/>
      <c r="S2224" s="989"/>
      <c r="T2224" s="1862">
        <f t="shared" si="387"/>
        <v>0</v>
      </c>
    </row>
    <row r="2225" spans="1:20" ht="22.2" hidden="1" customHeight="1">
      <c r="A2225" s="1448">
        <f>COUNTIF($C$12:C2225,"x")</f>
        <v>151</v>
      </c>
      <c r="B2225" s="1460" t="s">
        <v>1488</v>
      </c>
      <c r="C2225" s="970" t="str">
        <f t="shared" si="383"/>
        <v xml:space="preserve"> </v>
      </c>
      <c r="D2225" s="1415">
        <f>ROUND(D2209/2000,0)</f>
        <v>0</v>
      </c>
      <c r="E2225" s="980"/>
      <c r="F2225" s="992" t="str">
        <f>VLOOKUP($B2225,DG!A:D,DG!$C$2,)</f>
        <v>Ống nối dây cỡ 70mm2</v>
      </c>
      <c r="G2225" s="980" t="str">
        <f>VLOOKUP($B2225,DG!A:D,DG!$D$2,)</f>
        <v>cái</v>
      </c>
      <c r="H2225" s="1693">
        <f t="shared" si="386"/>
        <v>0</v>
      </c>
      <c r="I2225" s="1693"/>
      <c r="J2225" s="1693"/>
      <c r="K2225" s="1693"/>
      <c r="L2225" s="1693"/>
      <c r="M2225" s="1693">
        <f>H2225</f>
        <v>0</v>
      </c>
      <c r="N2225" s="1693"/>
      <c r="O2225" s="1693"/>
      <c r="P2225" s="1693">
        <f t="shared" si="384"/>
        <v>0</v>
      </c>
      <c r="Q2225" s="989"/>
      <c r="R2225" s="989"/>
      <c r="S2225" s="989"/>
      <c r="T2225" s="1862">
        <f t="shared" si="387"/>
        <v>0</v>
      </c>
    </row>
    <row r="2226" spans="1:20" ht="22.2" hidden="1" customHeight="1">
      <c r="A2226" s="1448">
        <f>COUNTIF($C$12:C2226,"x")</f>
        <v>151</v>
      </c>
      <c r="B2226" s="1460" t="s">
        <v>1570</v>
      </c>
      <c r="C2226" s="970" t="str">
        <f t="shared" si="383"/>
        <v xml:space="preserve"> </v>
      </c>
      <c r="D2226" s="1415"/>
      <c r="E2226" s="980"/>
      <c r="F2226" s="992" t="str">
        <f>VLOOKUP($B2226,DG!A:D,DG!$C$2,)</f>
        <v>Biển số - Bảng nguy hiểm</v>
      </c>
      <c r="G2226" s="980" t="str">
        <f>VLOOKUP($B2226,DG!A:D,DG!$D$2,)</f>
        <v>cái</v>
      </c>
      <c r="H2226" s="1693">
        <f t="shared" si="386"/>
        <v>0</v>
      </c>
      <c r="I2226" s="1693"/>
      <c r="J2226" s="1693"/>
      <c r="K2226" s="1693"/>
      <c r="L2226" s="1693"/>
      <c r="M2226" s="1693">
        <f>H2226</f>
        <v>0</v>
      </c>
      <c r="N2226" s="1693"/>
      <c r="O2226" s="1693"/>
      <c r="P2226" s="1693">
        <f t="shared" si="384"/>
        <v>0</v>
      </c>
      <c r="Q2226" s="989"/>
      <c r="R2226" s="989"/>
      <c r="S2226" s="989"/>
      <c r="T2226" s="1862">
        <f t="shared" si="387"/>
        <v>0</v>
      </c>
    </row>
    <row r="2227" spans="1:20" ht="22.2" hidden="1" customHeight="1">
      <c r="A2227" s="1448">
        <f>COUNTIF($C$12:C2227,"x")</f>
        <v>151</v>
      </c>
      <c r="B2227" s="1460" t="s">
        <v>229</v>
      </c>
      <c r="C2227" s="970" t="str">
        <f t="shared" si="383"/>
        <v xml:space="preserve"> </v>
      </c>
      <c r="D2227" s="1415">
        <f>SUM(D2229:D2229)*5/1.4</f>
        <v>0</v>
      </c>
      <c r="E2227" s="980"/>
      <c r="F2227" s="992" t="str">
        <f>VLOOKUP($B2227,DG!A:D,DG!$C$2,)</f>
        <v xml:space="preserve">Dây nhôm buộc </v>
      </c>
      <c r="G2227" s="980" t="str">
        <f>VLOOKUP($B2227,DG!A:D,DG!$D$2,)</f>
        <v>kg</v>
      </c>
      <c r="H2227" s="1693">
        <f t="shared" si="386"/>
        <v>0</v>
      </c>
      <c r="I2227" s="1693"/>
      <c r="J2227" s="1693"/>
      <c r="K2227" s="1693"/>
      <c r="L2227" s="1693"/>
      <c r="M2227" s="1693">
        <f>H2227</f>
        <v>0</v>
      </c>
      <c r="N2227" s="1693"/>
      <c r="O2227" s="1693"/>
      <c r="P2227" s="1693">
        <f t="shared" si="384"/>
        <v>0</v>
      </c>
      <c r="Q2227" s="989"/>
      <c r="R2227" s="989"/>
      <c r="S2227" s="989"/>
      <c r="T2227" s="1862">
        <f t="shared" si="387"/>
        <v>0</v>
      </c>
    </row>
    <row r="2228" spans="1:20" ht="22.2" hidden="1" customHeight="1">
      <c r="A2228" s="1448">
        <f>COUNTIF($C$12:C2228,"x")</f>
        <v>151</v>
      </c>
      <c r="B2228" s="1460" t="s">
        <v>451</v>
      </c>
      <c r="C2228" s="970" t="str">
        <f t="shared" si="383"/>
        <v xml:space="preserve"> </v>
      </c>
      <c r="D2228" s="1414">
        <f>ROUND(E2210/1000,2)</f>
        <v>0</v>
      </c>
      <c r="E2228" s="980" t="str">
        <f>VLOOKUP($B2228,DG!A:D,DG!$B$2,)</f>
        <v>06.6124</v>
      </c>
      <c r="F2228" s="985" t="str">
        <f>VLOOKUP($B2228,DG!A:D,DG!$C$2,)</f>
        <v>Kéo dây nhôm bọc 50mm2</v>
      </c>
      <c r="G2228" s="980" t="str">
        <f>VLOOKUP($B2228,DG!A:D,DG!$D$2,)</f>
        <v>km</v>
      </c>
      <c r="H2228" s="1693"/>
      <c r="I2228" s="1693"/>
      <c r="J2228" s="1693"/>
      <c r="K2228" s="1693"/>
      <c r="L2228" s="1693"/>
      <c r="M2228" s="1693"/>
      <c r="N2228" s="1693"/>
      <c r="O2228" s="1693"/>
      <c r="P2228" s="1693">
        <f t="shared" si="384"/>
        <v>0</v>
      </c>
      <c r="Q2228" s="989"/>
      <c r="R2228" s="989"/>
      <c r="S2228" s="989"/>
      <c r="T2228" s="1862">
        <f t="shared" si="387"/>
        <v>0</v>
      </c>
    </row>
    <row r="2229" spans="1:20" ht="22.2" hidden="1" customHeight="1">
      <c r="A2229" s="1448">
        <f>COUNTIF($C$12:C2229,"x")</f>
        <v>151</v>
      </c>
      <c r="B2229" s="1460" t="s">
        <v>79</v>
      </c>
      <c r="C2229" s="970" t="str">
        <f t="shared" ref="C2229:C2292" si="389">IF(OR(P2229&lt;&gt;0,H2229&lt;&gt;0),"x"," ")</f>
        <v xml:space="preserve"> </v>
      </c>
      <c r="D2229" s="1414">
        <f>ROUND(E2209/1000,2)</f>
        <v>0</v>
      </c>
      <c r="E2229" s="980" t="str">
        <f>VLOOKUP($B2229,DG!A:D,DG!$B$2,)</f>
        <v>06.6105</v>
      </c>
      <c r="F2229" s="985" t="str">
        <f>VLOOKUP($B2229,DG!A:D,DG!$C$2,)</f>
        <v>Kéo dây nhôm bọc 70mm2</v>
      </c>
      <c r="G2229" s="980" t="str">
        <f>VLOOKUP($B2229,DG!A:D,DG!$D$2,)</f>
        <v>km</v>
      </c>
      <c r="H2229" s="1693"/>
      <c r="I2229" s="1693"/>
      <c r="J2229" s="1693"/>
      <c r="K2229" s="1693"/>
      <c r="L2229" s="1693"/>
      <c r="M2229" s="1693"/>
      <c r="N2229" s="1693"/>
      <c r="O2229" s="1693"/>
      <c r="P2229" s="1693">
        <f t="shared" si="384"/>
        <v>0</v>
      </c>
      <c r="Q2229" s="989"/>
      <c r="R2229" s="989"/>
      <c r="S2229" s="989"/>
      <c r="T2229" s="1862">
        <f t="shared" si="387"/>
        <v>0</v>
      </c>
    </row>
    <row r="2230" spans="1:20" ht="22.2" hidden="1" customHeight="1">
      <c r="A2230" s="1448">
        <f>COUNTIF($C$12:C2230,"x")</f>
        <v>151</v>
      </c>
      <c r="B2230" s="1460" t="s">
        <v>1269</v>
      </c>
      <c r="C2230" s="970" t="str">
        <f t="shared" si="389"/>
        <v xml:space="preserve"> </v>
      </c>
      <c r="D2230" s="1414">
        <f>ROUND(E2211/1000,2)</f>
        <v>0</v>
      </c>
      <c r="E2230" s="980" t="str">
        <f>VLOOKUP($B2230,DG!A:D,DG!$B$2,)</f>
        <v>06.6114</v>
      </c>
      <c r="F2230" s="985" t="str">
        <f>VLOOKUP($B2230,DG!A:D,DG!$C$2,)</f>
        <v>Kéo dây nhôm lõi thép cỡ dây 50mm2</v>
      </c>
      <c r="G2230" s="980" t="str">
        <f>VLOOKUP($B2230,DG!A:D,DG!$D$2,)</f>
        <v>km</v>
      </c>
      <c r="H2230" s="1693"/>
      <c r="I2230" s="1693"/>
      <c r="J2230" s="1693"/>
      <c r="K2230" s="1693"/>
      <c r="L2230" s="1693"/>
      <c r="M2230" s="1693"/>
      <c r="N2230" s="1693"/>
      <c r="O2230" s="1693"/>
      <c r="P2230" s="1693">
        <f t="shared" si="384"/>
        <v>0</v>
      </c>
      <c r="Q2230" s="989"/>
      <c r="R2230" s="989"/>
      <c r="S2230" s="989"/>
      <c r="T2230" s="1862">
        <f t="shared" si="387"/>
        <v>0</v>
      </c>
    </row>
    <row r="2231" spans="1:20" ht="22.2" hidden="1" customHeight="1">
      <c r="A2231" s="1448">
        <f>COUNTIF($C$12:C2231,"x")</f>
        <v>151</v>
      </c>
      <c r="B2231" s="1455" t="s">
        <v>1895</v>
      </c>
      <c r="C2231" s="970" t="str">
        <f t="shared" si="389"/>
        <v xml:space="preserve"> </v>
      </c>
      <c r="D2231" s="1415">
        <f>D2215</f>
        <v>0</v>
      </c>
      <c r="E2231" s="980" t="str">
        <f>VLOOKUP($B2231,DG!A:D,DG!$B$2,)</f>
        <v>06.1211</v>
      </c>
      <c r="F2231" s="985" t="str">
        <f>VLOOKUP($B2231,DG!A:D,DG!$C$2,)</f>
        <v>Lắp rack sứ + sứ ống chỉ</v>
      </c>
      <c r="G2231" s="980" t="str">
        <f>VLOOKUP($B2231,DG!A:D,DG!$D$2,)</f>
        <v>bộ</v>
      </c>
      <c r="H2231" s="1693"/>
      <c r="I2231" s="1693"/>
      <c r="J2231" s="1693"/>
      <c r="K2231" s="1693"/>
      <c r="L2231" s="1693"/>
      <c r="M2231" s="1693"/>
      <c r="N2231" s="1693"/>
      <c r="O2231" s="1693"/>
      <c r="P2231" s="1693">
        <f t="shared" si="384"/>
        <v>0</v>
      </c>
      <c r="Q2231" s="989"/>
      <c r="R2231" s="989"/>
      <c r="S2231" s="989"/>
      <c r="T2231" s="1862">
        <f t="shared" si="387"/>
        <v>0</v>
      </c>
    </row>
    <row r="2232" spans="1:20" ht="22.2" hidden="1" customHeight="1">
      <c r="A2232" s="1448">
        <f>COUNTIF($C$12:C2232,"x")</f>
        <v>151</v>
      </c>
      <c r="B2232" s="1455" t="s">
        <v>125</v>
      </c>
      <c r="C2232" s="970" t="str">
        <f t="shared" si="389"/>
        <v xml:space="preserve"> </v>
      </c>
      <c r="D2232" s="1415">
        <f>D2216</f>
        <v>0</v>
      </c>
      <c r="E2232" s="980" t="str">
        <f>VLOOKUP($B2232,DG!A:D,DG!$B$2,)</f>
        <v>06.1213</v>
      </c>
      <c r="F2232" s="985" t="str">
        <f>VLOOKUP($B2232,DG!A:D,DG!$C$2,)</f>
        <v>Lắp rack 2 sứ + sứ ống chỉ</v>
      </c>
      <c r="G2232" s="980" t="str">
        <f>VLOOKUP($B2232,DG!A:D,DG!$D$2,)</f>
        <v>bộ</v>
      </c>
      <c r="H2232" s="1693"/>
      <c r="I2232" s="1693"/>
      <c r="J2232" s="1693"/>
      <c r="K2232" s="1693"/>
      <c r="L2232" s="1693"/>
      <c r="M2232" s="1693"/>
      <c r="N2232" s="1693"/>
      <c r="O2232" s="1693"/>
      <c r="P2232" s="1693">
        <f t="shared" si="384"/>
        <v>0</v>
      </c>
      <c r="Q2232" s="989"/>
      <c r="R2232" s="989"/>
      <c r="S2232" s="989"/>
      <c r="T2232" s="1862">
        <f t="shared" si="387"/>
        <v>0</v>
      </c>
    </row>
    <row r="2233" spans="1:20" ht="22.2" hidden="1" customHeight="1">
      <c r="A2233" s="1448">
        <f>COUNTIF($C$12:C2233,"x")</f>
        <v>151</v>
      </c>
      <c r="B2233" s="1455" t="s">
        <v>452</v>
      </c>
      <c r="C2233" s="970" t="str">
        <f t="shared" si="389"/>
        <v xml:space="preserve"> </v>
      </c>
      <c r="D2233" s="1415">
        <f>D2217</f>
        <v>0</v>
      </c>
      <c r="E2233" s="980" t="str">
        <f>VLOOKUP($B2233,DG!A:D,DG!$B$2,)</f>
        <v>06.1214</v>
      </c>
      <c r="F2233" s="985" t="str">
        <f>VLOOKUP($B2233,DG!A:D,DG!$C$2,)</f>
        <v>Lắp rack 3 sứ + sứ ống chỉ</v>
      </c>
      <c r="G2233" s="980" t="str">
        <f>VLOOKUP($B2233,DG!A:D,DG!$D$2,)</f>
        <v>bộ</v>
      </c>
      <c r="H2233" s="1693"/>
      <c r="I2233" s="1693"/>
      <c r="J2233" s="1693"/>
      <c r="K2233" s="1693"/>
      <c r="L2233" s="1693"/>
      <c r="M2233" s="1693"/>
      <c r="N2233" s="1693"/>
      <c r="O2233" s="1693"/>
      <c r="P2233" s="1693">
        <f t="shared" si="384"/>
        <v>0</v>
      </c>
      <c r="Q2233" s="994"/>
      <c r="R2233" s="994"/>
      <c r="S2233" s="994"/>
      <c r="T2233" s="1862">
        <f t="shared" si="387"/>
        <v>0</v>
      </c>
    </row>
    <row r="2234" spans="1:20" ht="22.2" hidden="1" customHeight="1">
      <c r="A2234" s="1448">
        <f>COUNTIF($C$12:C2234,"x")</f>
        <v>151</v>
      </c>
      <c r="B2234" s="1455" t="s">
        <v>689</v>
      </c>
      <c r="C2234" s="970" t="str">
        <f t="shared" si="389"/>
        <v xml:space="preserve"> </v>
      </c>
      <c r="D2234" s="1415">
        <f>D2218</f>
        <v>0</v>
      </c>
      <c r="E2234" s="980" t="str">
        <f>VLOOKUP($B2234,DG!A:D,DG!$B$2,)</f>
        <v>06.1215</v>
      </c>
      <c r="F2234" s="985" t="str">
        <f>VLOOKUP($B2234,DG!A:D,DG!$C$2,)</f>
        <v>Lắp rack 4 sứ + sứ ống chỉ</v>
      </c>
      <c r="G2234" s="980" t="str">
        <f>VLOOKUP($B2234,DG!A:D,DG!$D$2,)</f>
        <v>bộ</v>
      </c>
      <c r="H2234" s="1693"/>
      <c r="I2234" s="1693"/>
      <c r="J2234" s="1693"/>
      <c r="K2234" s="1693"/>
      <c r="L2234" s="1693"/>
      <c r="M2234" s="1693"/>
      <c r="N2234" s="1693"/>
      <c r="O2234" s="1693"/>
      <c r="P2234" s="1693">
        <f t="shared" si="384"/>
        <v>0</v>
      </c>
      <c r="Q2234" s="989"/>
      <c r="R2234" s="989"/>
      <c r="S2234" s="989"/>
      <c r="T2234" s="1862">
        <f t="shared" si="387"/>
        <v>0</v>
      </c>
    </row>
    <row r="2235" spans="1:20" ht="22.2" hidden="1" customHeight="1">
      <c r="A2235" s="1448">
        <f>COUNTIF($C$12:C2235,"x")</f>
        <v>151</v>
      </c>
      <c r="B2235" s="1455" t="s">
        <v>352</v>
      </c>
      <c r="C2235" s="970" t="str">
        <f t="shared" si="389"/>
        <v xml:space="preserve"> </v>
      </c>
      <c r="D2235" s="1415">
        <f>D2226</f>
        <v>0</v>
      </c>
      <c r="E2235" s="980" t="str">
        <f>VLOOKUP($B2235,DG!A:D,DG!$B$2,)</f>
        <v>06.2070</v>
      </c>
      <c r="F2235" s="992" t="str">
        <f>VLOOKUP($B2235,DG!A:D,DG!$C$2,)</f>
        <v>Sơn biển số- bảng nguy hiểm</v>
      </c>
      <c r="G2235" s="980" t="str">
        <f>VLOOKUP($B2235,DG!A:D,DG!$D$2,)</f>
        <v>cái</v>
      </c>
      <c r="H2235" s="1693"/>
      <c r="I2235" s="1693"/>
      <c r="J2235" s="1693"/>
      <c r="K2235" s="1693"/>
      <c r="L2235" s="1693"/>
      <c r="M2235" s="1693"/>
      <c r="N2235" s="1693"/>
      <c r="O2235" s="1693"/>
      <c r="P2235" s="1693">
        <f t="shared" si="384"/>
        <v>0</v>
      </c>
      <c r="Q2235" s="989"/>
      <c r="R2235" s="989"/>
      <c r="S2235" s="989"/>
      <c r="T2235" s="1862">
        <f t="shared" si="387"/>
        <v>0</v>
      </c>
    </row>
    <row r="2236" spans="1:20" ht="22.2" hidden="1" customHeight="1">
      <c r="A2236" s="1448">
        <f>COUNTIF($C$12:C2236,"x")</f>
        <v>151</v>
      </c>
      <c r="B2236" s="1455" t="s">
        <v>355</v>
      </c>
      <c r="C2236" s="970" t="str">
        <f t="shared" si="389"/>
        <v xml:space="preserve"> </v>
      </c>
      <c r="D2236" s="1414">
        <f>D2239</f>
        <v>0</v>
      </c>
      <c r="E2236" s="980" t="str">
        <f>VLOOKUP($B2236,DG!A:D,DG!$B$2,)</f>
        <v>02.1122</v>
      </c>
      <c r="F2236" s="985" t="str">
        <f>VLOOKUP($B2236,DG!A:D,DG!$C$2,)</f>
        <v>Bốc dỡ dây</v>
      </c>
      <c r="G2236" s="980" t="str">
        <f>VLOOKUP($B2236,DG!A:D,DG!$D$2,)</f>
        <v>tấn</v>
      </c>
      <c r="H2236" s="1693"/>
      <c r="I2236" s="1693"/>
      <c r="J2236" s="1693"/>
      <c r="K2236" s="1693"/>
      <c r="L2236" s="1693"/>
      <c r="M2236" s="1693"/>
      <c r="N2236" s="1693"/>
      <c r="O2236" s="1693"/>
      <c r="P2236" s="1693">
        <f t="shared" si="384"/>
        <v>0</v>
      </c>
      <c r="Q2236" s="994"/>
      <c r="R2236" s="994"/>
      <c r="S2236" s="994"/>
      <c r="T2236" s="1862">
        <f t="shared" si="387"/>
        <v>0</v>
      </c>
    </row>
    <row r="2237" spans="1:20" ht="22.2" hidden="1" customHeight="1">
      <c r="A2237" s="1448">
        <f>COUNTIF($C$12:C2237,"x")</f>
        <v>151</v>
      </c>
      <c r="B2237" s="1455" t="s">
        <v>1902</v>
      </c>
      <c r="C2237" s="970" t="str">
        <f t="shared" si="389"/>
        <v xml:space="preserve"> </v>
      </c>
      <c r="D2237" s="1414">
        <f>D2238</f>
        <v>0</v>
      </c>
      <c r="E2237" s="980" t="str">
        <f>VLOOKUP($B2237,DG!A:D,DG!$B$2,)</f>
        <v>02.1120</v>
      </c>
      <c r="F2237" s="985" t="str">
        <f>VLOOKUP($B2237,DG!A:D,DG!$C$2,)</f>
        <v>Bốc dỡ phụ kiện</v>
      </c>
      <c r="G2237" s="980" t="str">
        <f>VLOOKUP($B2237,DG!A:D,DG!$D$2,)</f>
        <v>tấn</v>
      </c>
      <c r="H2237" s="1693"/>
      <c r="I2237" s="1693"/>
      <c r="J2237" s="1693"/>
      <c r="K2237" s="1693"/>
      <c r="L2237" s="1693"/>
      <c r="M2237" s="1693"/>
      <c r="N2237" s="1693"/>
      <c r="O2237" s="1693"/>
      <c r="P2237" s="1693">
        <f t="shared" si="384"/>
        <v>0</v>
      </c>
      <c r="Q2237" s="994"/>
      <c r="R2237" s="994"/>
      <c r="S2237" s="994"/>
      <c r="T2237" s="1862">
        <f t="shared" si="387"/>
        <v>0</v>
      </c>
    </row>
    <row r="2238" spans="1:20" ht="22.2" hidden="1" customHeight="1">
      <c r="A2238" s="1448">
        <f>COUNTIF($C$12:C2238,"x")</f>
        <v>151</v>
      </c>
      <c r="B2238" s="1466" t="s">
        <v>356</v>
      </c>
      <c r="C2238" s="970" t="str">
        <f t="shared" si="389"/>
        <v xml:space="preserve"> </v>
      </c>
      <c r="D2238" s="1414">
        <f>(D2215*1+D2216*2+D2217*3+D2218*4)/1000</f>
        <v>0</v>
      </c>
      <c r="E2238" s="980" t="str">
        <f>VLOOKUP($B2238,DG!A:C,2,)</f>
        <v>02.1421</v>
      </c>
      <c r="F2238" s="985" t="str">
        <f>VLOOKUP($B2238,DG!A:C,3,)</f>
        <v>V/c phụ kiện vào vị trí (cự ly &lt;=100m)</v>
      </c>
      <c r="G2238" s="980" t="str">
        <f>VLOOKUP($B2238,DG!A:D,4,0)</f>
        <v>tấn</v>
      </c>
      <c r="H2238" s="1693"/>
      <c r="I2238" s="1693"/>
      <c r="J2238" s="1693"/>
      <c r="K2238" s="1693"/>
      <c r="L2238" s="1693"/>
      <c r="M2238" s="1693"/>
      <c r="N2238" s="1693"/>
      <c r="O2238" s="1693"/>
      <c r="P2238" s="1693">
        <f t="shared" si="384"/>
        <v>0</v>
      </c>
      <c r="Q2238" s="994"/>
      <c r="R2238" s="994"/>
      <c r="S2238" s="994"/>
      <c r="T2238" s="1862">
        <f t="shared" si="387"/>
        <v>0</v>
      </c>
    </row>
    <row r="2239" spans="1:20" ht="22.2" hidden="1" customHeight="1">
      <c r="A2239" s="1448">
        <f>COUNTIF($C$12:C2239,"x")</f>
        <v>151</v>
      </c>
      <c r="B2239" s="1466" t="s">
        <v>357</v>
      </c>
      <c r="C2239" s="970" t="str">
        <f t="shared" si="389"/>
        <v xml:space="preserve"> </v>
      </c>
      <c r="D2239" s="1414">
        <f>ROUND((D2209*0.308+D2210*0.229)*1.05/1000,2)</f>
        <v>0</v>
      </c>
      <c r="E2239" s="980" t="str">
        <f>VLOOKUP($B2239,DG!A:C,2,)</f>
        <v>02.1441</v>
      </c>
      <c r="F2239" s="985" t="str">
        <f>VLOOKUP($B2239,DG!A:C,3,)</f>
        <v>V/c dây vào vị trí (cự ly &lt;=100m)</v>
      </c>
      <c r="G2239" s="980" t="str">
        <f>VLOOKUP($B2239,DG!A:D,4,0)</f>
        <v>tấn</v>
      </c>
      <c r="H2239" s="1693"/>
      <c r="I2239" s="1693"/>
      <c r="J2239" s="1693"/>
      <c r="K2239" s="1693"/>
      <c r="L2239" s="1693"/>
      <c r="M2239" s="1693"/>
      <c r="N2239" s="1693"/>
      <c r="O2239" s="1693"/>
      <c r="P2239" s="1693">
        <f t="shared" si="384"/>
        <v>0</v>
      </c>
      <c r="Q2239" s="994"/>
      <c r="R2239" s="994"/>
      <c r="S2239" s="994"/>
      <c r="T2239" s="1862">
        <f t="shared" si="387"/>
        <v>0</v>
      </c>
    </row>
    <row r="2240" spans="1:20" ht="22.2" hidden="1" customHeight="1">
      <c r="A2240" s="1448">
        <f>COUNTIF($C$12:C2240,"x")</f>
        <v>151</v>
      </c>
      <c r="B2240" s="1464" t="s">
        <v>606</v>
      </c>
      <c r="C2240" s="970" t="str">
        <f t="shared" si="389"/>
        <v xml:space="preserve"> </v>
      </c>
      <c r="D2240" s="1414">
        <f>IF(D2239&lt;&gt;0,2,0)</f>
        <v>0</v>
      </c>
      <c r="E2240" s="980" t="str">
        <f>VLOOKUP($B2240,DG!A:C,2,)</f>
        <v>02.1482</v>
      </c>
      <c r="F2240" s="985" t="str">
        <f>VLOOKUP($B2240,DG!A:C,3,)</f>
        <v>V/c dụng cụ thi công vào vị trí (cự ly &lt;=100m)</v>
      </c>
      <c r="G2240" s="980" t="str">
        <f>VLOOKUP($B2240,DG!A:D,4,0)</f>
        <v>tấn</v>
      </c>
      <c r="H2240" s="1693"/>
      <c r="I2240" s="1693"/>
      <c r="J2240" s="1693"/>
      <c r="K2240" s="1693"/>
      <c r="L2240" s="1693"/>
      <c r="M2240" s="1693"/>
      <c r="N2240" s="1693"/>
      <c r="O2240" s="1693"/>
      <c r="P2240" s="1693">
        <f t="shared" si="384"/>
        <v>0</v>
      </c>
      <c r="Q2240" s="994"/>
      <c r="R2240" s="994"/>
      <c r="S2240" s="994"/>
      <c r="T2240" s="1862">
        <f t="shared" si="387"/>
        <v>0</v>
      </c>
    </row>
    <row r="2241" spans="1:20" ht="22.2" hidden="1" customHeight="1">
      <c r="A2241" s="1448">
        <f>COUNTIF($C$12:C2241,"x")</f>
        <v>151</v>
      </c>
      <c r="B2241" s="1452" t="s">
        <v>162</v>
      </c>
      <c r="C2241" s="970" t="str">
        <f t="shared" si="389"/>
        <v xml:space="preserve"> </v>
      </c>
      <c r="D2241" s="1412"/>
      <c r="E2241" s="982" t="s">
        <v>741</v>
      </c>
      <c r="F2241" s="1276" t="s">
        <v>2565</v>
      </c>
      <c r="G2241" s="982" t="s">
        <v>2301</v>
      </c>
      <c r="H2241" s="1691">
        <f>SUM(I2241:O2241)</f>
        <v>0</v>
      </c>
      <c r="I2241" s="1692"/>
      <c r="J2241" s="1692"/>
      <c r="K2241" s="1692"/>
      <c r="L2241" s="1692">
        <f>IFERROR(HLOOKUP(chitiet!B2241,pp1p!$1:$3,3,0),0)</f>
        <v>0</v>
      </c>
      <c r="M2241" s="1692"/>
      <c r="N2241" s="1692"/>
      <c r="O2241" s="1692"/>
      <c r="P2241" s="2674">
        <f>T2241</f>
        <v>0</v>
      </c>
      <c r="Q2241" s="983">
        <f>IF(P2241&gt;H2241,P2241-H2241,0)</f>
        <v>0</v>
      </c>
      <c r="R2241" s="983">
        <f>IF(H2241&gt;P2241,H2241-P2241,0)</f>
        <v>0</v>
      </c>
      <c r="S2241" s="983"/>
      <c r="T2241" s="1862">
        <f t="shared" si="387"/>
        <v>0</v>
      </c>
    </row>
    <row r="2242" spans="1:20" ht="22.2" hidden="1" customHeight="1">
      <c r="A2242" s="1448">
        <f>COUNTIF($C$12:C2242,"x")</f>
        <v>151</v>
      </c>
      <c r="B2242" s="1455" t="s">
        <v>928</v>
      </c>
      <c r="C2242" s="970" t="str">
        <f t="shared" si="389"/>
        <v xml:space="preserve"> </v>
      </c>
      <c r="D2242" s="1421">
        <f>ROUND(E2242*1.02,0)</f>
        <v>0</v>
      </c>
      <c r="E2242" s="997">
        <f>PPHTCS!C74</f>
        <v>0</v>
      </c>
      <c r="F2242" s="992" t="str">
        <f>VLOOKUP($B2242,DG!A:D,DG!$C$2,)</f>
        <v>Cáp Triplex 3x16</v>
      </c>
      <c r="G2242" s="980" t="str">
        <f>VLOOKUP($B2242,DG!A:D,DG!$D$2,)</f>
        <v>m</v>
      </c>
      <c r="H2242" s="1693">
        <f t="shared" ref="H2242:H2288" si="390">D2242</f>
        <v>0</v>
      </c>
      <c r="I2242" s="1693"/>
      <c r="J2242" s="1693"/>
      <c r="K2242" s="1693"/>
      <c r="L2242" s="1693"/>
      <c r="M2242" s="1693"/>
      <c r="N2242" s="1693"/>
      <c r="O2242" s="1693"/>
      <c r="P2242" s="1693">
        <f t="shared" si="384"/>
        <v>0</v>
      </c>
      <c r="Q2242" s="989"/>
      <c r="R2242" s="989"/>
      <c r="S2242" s="989"/>
      <c r="T2242" s="1862">
        <f t="shared" si="387"/>
        <v>0</v>
      </c>
    </row>
    <row r="2243" spans="1:20" ht="22.2" hidden="1" customHeight="1">
      <c r="A2243" s="1448">
        <f>COUNTIF($C$12:C2243,"x")</f>
        <v>151</v>
      </c>
      <c r="B2243" s="1455" t="s">
        <v>1683</v>
      </c>
      <c r="C2243" s="970" t="str">
        <f t="shared" si="389"/>
        <v xml:space="preserve"> </v>
      </c>
      <c r="D2243" s="1421">
        <f>ROUND(E2243*1.02,0)</f>
        <v>0</v>
      </c>
      <c r="E2243" s="997">
        <f>PPHTCS!C75</f>
        <v>0</v>
      </c>
      <c r="F2243" s="992" t="str">
        <f>VLOOKUP($B2243,DG!A:D,DG!$C$2,)</f>
        <v>Cáp Quadruplex 4x11</v>
      </c>
      <c r="G2243" s="980" t="str">
        <f>VLOOKUP($B2243,DG!A:D,DG!$D$2,)</f>
        <v>m</v>
      </c>
      <c r="H2243" s="1693">
        <f t="shared" si="390"/>
        <v>0</v>
      </c>
      <c r="I2243" s="1693"/>
      <c r="J2243" s="1693"/>
      <c r="K2243" s="1693"/>
      <c r="L2243" s="1693"/>
      <c r="M2243" s="1693"/>
      <c r="N2243" s="1693"/>
      <c r="O2243" s="1693"/>
      <c r="P2243" s="1693">
        <f t="shared" si="384"/>
        <v>0</v>
      </c>
      <c r="Q2243" s="989"/>
      <c r="R2243" s="989"/>
      <c r="S2243" s="989"/>
      <c r="T2243" s="1862">
        <f t="shared" si="387"/>
        <v>0</v>
      </c>
    </row>
    <row r="2244" spans="1:20" ht="22.2" hidden="1" customHeight="1">
      <c r="A2244" s="1448">
        <f>COUNTIF($C$12:C2244,"x")</f>
        <v>151</v>
      </c>
      <c r="B2244" s="1455" t="s">
        <v>4</v>
      </c>
      <c r="C2244" s="970" t="str">
        <f t="shared" si="389"/>
        <v xml:space="preserve"> </v>
      </c>
      <c r="D2244" s="1421">
        <f>ROUND(E2244*1.02,0)</f>
        <v>0</v>
      </c>
      <c r="E2244" s="997">
        <f>PPHTCS!C76</f>
        <v>0</v>
      </c>
      <c r="F2244" s="992" t="str">
        <f>VLOOKUP($B2244,DG!A:D,DG!$C$2,)</f>
        <v>Cáp Quadruplex 4x16</v>
      </c>
      <c r="G2244" s="980" t="str">
        <f>VLOOKUP($B2244,DG!A:D,DG!$D$2,)</f>
        <v>m</v>
      </c>
      <c r="H2244" s="1693">
        <f t="shared" si="390"/>
        <v>0</v>
      </c>
      <c r="I2244" s="1693"/>
      <c r="J2244" s="1693"/>
      <c r="K2244" s="1693"/>
      <c r="L2244" s="1693"/>
      <c r="M2244" s="1693"/>
      <c r="N2244" s="1693"/>
      <c r="O2244" s="1693"/>
      <c r="P2244" s="1693">
        <f t="shared" si="384"/>
        <v>0</v>
      </c>
      <c r="Q2244" s="989"/>
      <c r="R2244" s="989"/>
      <c r="S2244" s="989"/>
      <c r="T2244" s="1862">
        <f t="shared" si="387"/>
        <v>0</v>
      </c>
    </row>
    <row r="2245" spans="1:20" ht="22.2" hidden="1" customHeight="1">
      <c r="A2245" s="1448">
        <f>COUNTIF($C$12:C2245,"x")</f>
        <v>151</v>
      </c>
      <c r="B2245" s="1455" t="s">
        <v>2134</v>
      </c>
      <c r="C2245" s="970" t="str">
        <f t="shared" si="389"/>
        <v xml:space="preserve"> </v>
      </c>
      <c r="D2245" s="1421">
        <f>ROUND(E2245*1.02,0)</f>
        <v>0</v>
      </c>
      <c r="E2245" s="997">
        <f>PPHTCS!C77</f>
        <v>0</v>
      </c>
      <c r="F2245" s="992" t="str">
        <f>VLOOKUP($B2245,DG!A:D,DG!$C$2,)</f>
        <v>Cáp nhôm ABC 4x50mm2</v>
      </c>
      <c r="G2245" s="980" t="str">
        <f>VLOOKUP($B2245,DG!A:D,DG!$D$2,)</f>
        <v>mét</v>
      </c>
      <c r="H2245" s="1693">
        <f t="shared" si="390"/>
        <v>0</v>
      </c>
      <c r="I2245" s="1693"/>
      <c r="J2245" s="1693"/>
      <c r="K2245" s="1693"/>
      <c r="L2245" s="1693"/>
      <c r="M2245" s="1693"/>
      <c r="N2245" s="1693"/>
      <c r="O2245" s="1693"/>
      <c r="P2245" s="1693">
        <f t="shared" si="384"/>
        <v>0</v>
      </c>
      <c r="Q2245" s="989"/>
      <c r="R2245" s="989"/>
      <c r="S2245" s="989"/>
      <c r="T2245" s="1862">
        <f t="shared" si="387"/>
        <v>0</v>
      </c>
    </row>
    <row r="2246" spans="1:20" ht="22.2" hidden="1" customHeight="1">
      <c r="A2246" s="1448">
        <f>COUNTIF($C$12:C2246,"x")</f>
        <v>151</v>
      </c>
      <c r="B2246" s="1455" t="s">
        <v>579</v>
      </c>
      <c r="C2246" s="970" t="str">
        <f t="shared" si="389"/>
        <v xml:space="preserve"> </v>
      </c>
      <c r="D2246" s="1421">
        <f>ROUND(E2246*1.05,0)</f>
        <v>0</v>
      </c>
      <c r="E2246" s="997"/>
      <c r="F2246" s="992" t="str">
        <f>VLOOKUP($B2246,DG!A:D,DG!$C$2,)</f>
        <v>Cáp đồng bọc CV16</v>
      </c>
      <c r="G2246" s="980" t="str">
        <f>VLOOKUP($B2246,DG!A:D,DG!$D$2,)</f>
        <v>mét</v>
      </c>
      <c r="H2246" s="1693">
        <f t="shared" si="390"/>
        <v>0</v>
      </c>
      <c r="I2246" s="1693"/>
      <c r="J2246" s="1693"/>
      <c r="K2246" s="1693"/>
      <c r="L2246" s="1693"/>
      <c r="M2246" s="1693"/>
      <c r="N2246" s="1693"/>
      <c r="O2246" s="1693"/>
      <c r="P2246" s="1693">
        <f t="shared" si="384"/>
        <v>0</v>
      </c>
      <c r="Q2246" s="989"/>
      <c r="R2246" s="989"/>
      <c r="S2246" s="989"/>
      <c r="T2246" s="1862">
        <f t="shared" si="387"/>
        <v>0</v>
      </c>
    </row>
    <row r="2247" spans="1:20" ht="22.2" hidden="1" customHeight="1">
      <c r="A2247" s="1448">
        <f>COUNTIF($C$12:C2247,"x")</f>
        <v>151</v>
      </c>
      <c r="B2247" s="1455" t="s">
        <v>1368</v>
      </c>
      <c r="C2247" s="970" t="str">
        <f t="shared" si="389"/>
        <v xml:space="preserve"> </v>
      </c>
      <c r="D2247" s="1421">
        <f>ROUND((D2250+D2249*2)*8*1.02,0)</f>
        <v>0</v>
      </c>
      <c r="E2247" s="997"/>
      <c r="F2247" s="992" t="str">
        <f>VLOOKUP($B2247,DG!A:D,DG!$C$2,)&amp;": 8m/ñeøn"</f>
        <v>Cáp đồng mềm CV2,5: 8m/ñeøn</v>
      </c>
      <c r="G2247" s="980" t="str">
        <f>VLOOKUP($B2247,DG!A:D,DG!$D$2,)</f>
        <v>mét</v>
      </c>
      <c r="H2247" s="1693">
        <f t="shared" si="390"/>
        <v>0</v>
      </c>
      <c r="I2247" s="1693"/>
      <c r="J2247" s="1693"/>
      <c r="K2247" s="1693"/>
      <c r="L2247" s="1693"/>
      <c r="M2247" s="1693"/>
      <c r="N2247" s="1693"/>
      <c r="O2247" s="1693"/>
      <c r="P2247" s="1693">
        <f t="shared" si="384"/>
        <v>0</v>
      </c>
      <c r="Q2247" s="989"/>
      <c r="R2247" s="989"/>
      <c r="S2247" s="989"/>
      <c r="T2247" s="1862">
        <f t="shared" si="387"/>
        <v>0</v>
      </c>
    </row>
    <row r="2248" spans="1:20" ht="22.2" hidden="1" customHeight="1">
      <c r="A2248" s="1448">
        <f>COUNTIF($C$12:C2248,"x")</f>
        <v>151</v>
      </c>
      <c r="B2248" s="1455" t="s">
        <v>8</v>
      </c>
      <c r="C2248" s="970" t="str">
        <f t="shared" si="389"/>
        <v xml:space="preserve"> </v>
      </c>
      <c r="D2248" s="1421">
        <f>ROUND(D2251*5*1.02,0)</f>
        <v>0</v>
      </c>
      <c r="E2248" s="997"/>
      <c r="F2248" s="992" t="str">
        <f>VLOOKUP($B2248,DG!A:D,DG!$C$2,)&amp;": 5m/ñeøn"</f>
        <v>Cáp CVV 2x2,5mm2  : 5m/ñeøn</v>
      </c>
      <c r="G2248" s="980" t="str">
        <f>VLOOKUP($B2248,DG!A:D,DG!$D$2,)</f>
        <v>mét</v>
      </c>
      <c r="H2248" s="1693">
        <f t="shared" si="390"/>
        <v>0</v>
      </c>
      <c r="I2248" s="1693"/>
      <c r="J2248" s="1693"/>
      <c r="K2248" s="1693"/>
      <c r="L2248" s="1693"/>
      <c r="M2248" s="1693"/>
      <c r="N2248" s="1693"/>
      <c r="O2248" s="1693"/>
      <c r="P2248" s="1693">
        <f t="shared" si="384"/>
        <v>0</v>
      </c>
      <c r="Q2248" s="989"/>
      <c r="R2248" s="989"/>
      <c r="S2248" s="989"/>
      <c r="T2248" s="1862">
        <f t="shared" si="387"/>
        <v>0</v>
      </c>
    </row>
    <row r="2249" spans="1:20" ht="22.2" hidden="1" customHeight="1">
      <c r="A2249" s="1448">
        <f>COUNTIF($C$12:C2249,"x")</f>
        <v>151</v>
      </c>
      <c r="B2249" s="1455" t="s">
        <v>1245</v>
      </c>
      <c r="C2249" s="970" t="str">
        <f t="shared" si="389"/>
        <v xml:space="preserve"> </v>
      </c>
      <c r="D2249" s="1415">
        <f>PPHTCS!Z69</f>
        <v>0</v>
      </c>
      <c r="E2249" s="997"/>
      <c r="F2249" s="1278" t="str">
        <f>VLOOKUP($B2249,DG!A:D,DG!$C$2,)</f>
        <v>Cần đèn STK D60 đôi cao 2m vươn 1,5m nghiêng 15 độ</v>
      </c>
      <c r="G2249" s="1294" t="str">
        <f>VLOOKUP($B2249,DG!A:D,DG!$D$2,)</f>
        <v>cần</v>
      </c>
      <c r="H2249" s="1696">
        <f t="shared" si="390"/>
        <v>0</v>
      </c>
      <c r="I2249" s="1696"/>
      <c r="J2249" s="1696"/>
      <c r="K2249" s="1696"/>
      <c r="L2249" s="1696"/>
      <c r="M2249" s="1696"/>
      <c r="N2249" s="1696"/>
      <c r="O2249" s="1696"/>
      <c r="P2249" s="1693">
        <f t="shared" si="384"/>
        <v>0</v>
      </c>
      <c r="Q2249" s="1295"/>
      <c r="R2249" s="1295"/>
      <c r="S2249" s="1295"/>
      <c r="T2249" s="1862">
        <f t="shared" si="387"/>
        <v>0</v>
      </c>
    </row>
    <row r="2250" spans="1:20" ht="22.2" hidden="1" customHeight="1">
      <c r="A2250" s="1448">
        <f>COUNTIF($C$12:C2250,"x")</f>
        <v>151</v>
      </c>
      <c r="B2250" s="1455" t="s">
        <v>839</v>
      </c>
      <c r="C2250" s="970" t="str">
        <f t="shared" si="389"/>
        <v xml:space="preserve"> </v>
      </c>
      <c r="D2250" s="1415">
        <f>PPHTCS!AA69</f>
        <v>0</v>
      </c>
      <c r="E2250" s="980"/>
      <c r="F2250" s="992" t="str">
        <f>VLOOKUP($B2250,DG!A:D,DG!$C$2,)</f>
        <v>Cần đèn STK D60 đơn cao 1m vươn 1,8m nghiêng 15 độ + chụp đầu trụ</v>
      </c>
      <c r="G2250" s="980" t="str">
        <f>VLOOKUP($B2250,DG!A:D,DG!$D$2,)</f>
        <v>cần</v>
      </c>
      <c r="H2250" s="1696">
        <f t="shared" si="390"/>
        <v>0</v>
      </c>
      <c r="I2250" s="1696"/>
      <c r="J2250" s="1696"/>
      <c r="K2250" s="1696"/>
      <c r="L2250" s="1696"/>
      <c r="M2250" s="1696"/>
      <c r="N2250" s="1696"/>
      <c r="O2250" s="1696"/>
      <c r="P2250" s="1693">
        <f t="shared" si="384"/>
        <v>0</v>
      </c>
      <c r="Q2250" s="1295"/>
      <c r="R2250" s="1295"/>
      <c r="S2250" s="1295"/>
      <c r="T2250" s="1862">
        <f t="shared" si="387"/>
        <v>0</v>
      </c>
    </row>
    <row r="2251" spans="1:20" ht="22.2" hidden="1" customHeight="1">
      <c r="A2251" s="1448">
        <f>COUNTIF($C$12:C2251,"x")</f>
        <v>151</v>
      </c>
      <c r="B2251" s="1455" t="s">
        <v>2136</v>
      </c>
      <c r="C2251" s="970" t="str">
        <f t="shared" si="389"/>
        <v xml:space="preserve"> </v>
      </c>
      <c r="D2251" s="1415">
        <f>PPHTCS!AB69</f>
        <v>0</v>
      </c>
      <c r="E2251" s="980"/>
      <c r="F2251" s="992" t="str">
        <f>VLOOKUP($B2251,DG!A:D,DG!$C$2,)</f>
        <v>Cần đèn STK D60 đơn cao 1,7m vươn 2,8m (CĐT cung cấp)</v>
      </c>
      <c r="G2251" s="980" t="str">
        <f>VLOOKUP($B2251,DG!A:D,DG!$D$2,)</f>
        <v>cần</v>
      </c>
      <c r="H2251" s="1696">
        <f t="shared" si="390"/>
        <v>0</v>
      </c>
      <c r="I2251" s="1696"/>
      <c r="J2251" s="1696"/>
      <c r="K2251" s="1696"/>
      <c r="L2251" s="1696"/>
      <c r="M2251" s="1696"/>
      <c r="N2251" s="1696"/>
      <c r="O2251" s="1696"/>
      <c r="P2251" s="1693">
        <f t="shared" si="384"/>
        <v>0</v>
      </c>
      <c r="Q2251" s="1295"/>
      <c r="R2251" s="1295"/>
      <c r="S2251" s="1295"/>
      <c r="T2251" s="1862">
        <f t="shared" si="387"/>
        <v>0</v>
      </c>
    </row>
    <row r="2252" spans="1:20" ht="22.2" hidden="1" customHeight="1">
      <c r="A2252" s="1448">
        <f>COUNTIF($C$12:C2252,"x")</f>
        <v>151</v>
      </c>
      <c r="B2252" s="1455" t="s">
        <v>320</v>
      </c>
      <c r="C2252" s="970" t="str">
        <f t="shared" si="389"/>
        <v xml:space="preserve"> </v>
      </c>
      <c r="D2252" s="1415">
        <f>PPHTCS!AD69</f>
        <v>0</v>
      </c>
      <c r="E2252" s="980"/>
      <c r="F2252" s="992" t="str">
        <f>VLOOKUP($B2252,DG!A:D,DG!$C$2,)</f>
        <v>Choá đèn 73FS 10 + bóng OSAM-250W + tụ điện + ballast</v>
      </c>
      <c r="G2252" s="980" t="str">
        <f>VLOOKUP($B2252,DG!A:D,DG!$D$2,)</f>
        <v>bộ</v>
      </c>
      <c r="H2252" s="1696">
        <f t="shared" si="390"/>
        <v>0</v>
      </c>
      <c r="I2252" s="1696"/>
      <c r="J2252" s="1696"/>
      <c r="K2252" s="1696"/>
      <c r="L2252" s="1696"/>
      <c r="M2252" s="1696"/>
      <c r="N2252" s="1696"/>
      <c r="O2252" s="1696"/>
      <c r="P2252" s="1693">
        <f t="shared" si="384"/>
        <v>0</v>
      </c>
      <c r="Q2252" s="1295"/>
      <c r="R2252" s="1295"/>
      <c r="S2252" s="1295"/>
      <c r="T2252" s="1862">
        <f t="shared" si="387"/>
        <v>0</v>
      </c>
    </row>
    <row r="2253" spans="1:20" ht="22.2" hidden="1" customHeight="1">
      <c r="A2253" s="1448">
        <f>COUNTIF($C$12:C2253,"x")</f>
        <v>151</v>
      </c>
      <c r="B2253" s="1455" t="s">
        <v>2059</v>
      </c>
      <c r="C2253" s="970" t="str">
        <f t="shared" si="389"/>
        <v xml:space="preserve"> </v>
      </c>
      <c r="D2253" s="1435"/>
      <c r="E2253" s="1298" t="str">
        <f>VLOOKUP($B2253,DG!A:D,DG!$B$2,)</f>
        <v>CS4.09.021</v>
      </c>
      <c r="F2253" s="1280" t="str">
        <f>VLOOKUP($B2253,DG!A:D,DG!$C$2,)</f>
        <v>Tủ điều khiển chiếu sáng</v>
      </c>
      <c r="G2253" s="1298" t="str">
        <f>VLOOKUP($B2253,DG!A:D,DG!$D$2,)</f>
        <v>cái</v>
      </c>
      <c r="H2253" s="1696">
        <f t="shared" si="390"/>
        <v>0</v>
      </c>
      <c r="I2253" s="1696"/>
      <c r="J2253" s="1696"/>
      <c r="K2253" s="1696"/>
      <c r="L2253" s="1696"/>
      <c r="M2253" s="1696"/>
      <c r="N2253" s="1696"/>
      <c r="O2253" s="1696"/>
      <c r="P2253" s="1693">
        <f t="shared" si="384"/>
        <v>0</v>
      </c>
      <c r="Q2253" s="1295"/>
      <c r="R2253" s="1295"/>
      <c r="S2253" s="1295"/>
      <c r="T2253" s="1862">
        <f t="shared" si="387"/>
        <v>0</v>
      </c>
    </row>
    <row r="2254" spans="1:20" ht="22.2" hidden="1" customHeight="1">
      <c r="A2254" s="1448">
        <f>COUNTIF($C$12:C2254,"x")</f>
        <v>151</v>
      </c>
      <c r="B2254" s="1455" t="s">
        <v>2009</v>
      </c>
      <c r="C2254" s="970" t="str">
        <f t="shared" si="389"/>
        <v xml:space="preserve"> </v>
      </c>
      <c r="D2254" s="1435">
        <f>D2253*12</f>
        <v>0</v>
      </c>
      <c r="E2254" s="1298"/>
      <c r="F2254" s="1280" t="str">
        <f>VLOOKUP($B2254,DG!A:D,DG!$C$2,)</f>
        <v>Ống PVC D60x2,8mm</v>
      </c>
      <c r="G2254" s="1298" t="str">
        <f>VLOOKUP($B2254,DG!A:D,DG!$D$2,)</f>
        <v>m</v>
      </c>
      <c r="H2254" s="1696">
        <f t="shared" si="390"/>
        <v>0</v>
      </c>
      <c r="I2254" s="1696"/>
      <c r="J2254" s="1696"/>
      <c r="K2254" s="1696"/>
      <c r="L2254" s="1696"/>
      <c r="M2254" s="1696"/>
      <c r="N2254" s="1696"/>
      <c r="O2254" s="1696"/>
      <c r="P2254" s="1693">
        <f t="shared" si="384"/>
        <v>0</v>
      </c>
      <c r="Q2254" s="1295"/>
      <c r="R2254" s="1295"/>
      <c r="S2254" s="1295"/>
      <c r="T2254" s="1862">
        <f t="shared" si="387"/>
        <v>0</v>
      </c>
    </row>
    <row r="2255" spans="1:20" ht="22.2" hidden="1" customHeight="1">
      <c r="A2255" s="1448">
        <f>COUNTIF($C$12:C2255,"x")</f>
        <v>151</v>
      </c>
      <c r="B2255" s="1455" t="s">
        <v>1465</v>
      </c>
      <c r="C2255" s="970" t="str">
        <f t="shared" si="389"/>
        <v xml:space="preserve"> </v>
      </c>
      <c r="D2255" s="1435">
        <f>D2253*6</f>
        <v>0</v>
      </c>
      <c r="E2255" s="1298">
        <f>VLOOKUP($B2255,DG!A:D,DG!$B$2,)</f>
        <v>0</v>
      </c>
      <c r="F2255" s="1280" t="str">
        <f>VLOOKUP($B2255,DG!A:D,DG!$C$2,)</f>
        <v>Co 90 độ PVC 60</v>
      </c>
      <c r="G2255" s="1298" t="str">
        <f>VLOOKUP($B2255,DG!A:D,DG!$D$2,)</f>
        <v>cái</v>
      </c>
      <c r="H2255" s="1696">
        <f t="shared" si="390"/>
        <v>0</v>
      </c>
      <c r="I2255" s="1696"/>
      <c r="J2255" s="1696"/>
      <c r="K2255" s="1696"/>
      <c r="L2255" s="1696"/>
      <c r="M2255" s="1696"/>
      <c r="N2255" s="1696"/>
      <c r="O2255" s="1696"/>
      <c r="P2255" s="1693">
        <f t="shared" si="384"/>
        <v>0</v>
      </c>
      <c r="Q2255" s="1295"/>
      <c r="R2255" s="1295"/>
      <c r="S2255" s="1295"/>
      <c r="T2255" s="1862">
        <f t="shared" si="387"/>
        <v>0</v>
      </c>
    </row>
    <row r="2256" spans="1:20" ht="22.2" hidden="1" customHeight="1">
      <c r="A2256" s="1448">
        <f>COUNTIF($C$12:C2256,"x")</f>
        <v>151</v>
      </c>
      <c r="B2256" s="1455" t="s">
        <v>1365</v>
      </c>
      <c r="C2256" s="970" t="str">
        <f t="shared" si="389"/>
        <v xml:space="preserve"> </v>
      </c>
      <c r="D2256" s="1435">
        <f>D2253*18</f>
        <v>0</v>
      </c>
      <c r="E2256" s="1298">
        <f>VLOOKUP($B2256,DG!A:D,DG!$B$2,)</f>
        <v>0</v>
      </c>
      <c r="F2256" s="1280" t="str">
        <f>VLOOKUP($B2256,DG!A:D,DG!$C$2,)</f>
        <v>Cáp C/XLPE/DSTA/PVC -0.6/1kV-3x50+35mm2</v>
      </c>
      <c r="G2256" s="1298" t="str">
        <f>VLOOKUP($B2256,DG!A:D,DG!$D$2,)</f>
        <v>mét</v>
      </c>
      <c r="H2256" s="1696">
        <f t="shared" si="390"/>
        <v>0</v>
      </c>
      <c r="I2256" s="1696"/>
      <c r="J2256" s="1696"/>
      <c r="K2256" s="1696"/>
      <c r="L2256" s="1696"/>
      <c r="M2256" s="1696"/>
      <c r="N2256" s="1696"/>
      <c r="O2256" s="1696"/>
      <c r="P2256" s="1693">
        <f t="shared" si="384"/>
        <v>0</v>
      </c>
      <c r="Q2256" s="1295"/>
      <c r="R2256" s="1295"/>
      <c r="S2256" s="1295"/>
      <c r="T2256" s="1862">
        <f t="shared" si="387"/>
        <v>0</v>
      </c>
    </row>
    <row r="2257" spans="1:20" ht="22.2" hidden="1" customHeight="1">
      <c r="A2257" s="1448">
        <f>COUNTIF($C$12:C2257,"x")</f>
        <v>151</v>
      </c>
      <c r="B2257" s="1455" t="s">
        <v>1846</v>
      </c>
      <c r="C2257" s="970" t="str">
        <f t="shared" si="389"/>
        <v xml:space="preserve"> </v>
      </c>
      <c r="D2257" s="1435">
        <f>D2253*4</f>
        <v>0</v>
      </c>
      <c r="E2257" s="1298">
        <f>VLOOKUP($B2257,DG!A:D,DG!$B$2,)</f>
        <v>0</v>
      </c>
      <c r="F2257" s="1280" t="str">
        <f>VLOOKUP($B2257,DG!A:D,DG!$C$2,)</f>
        <v>Đầu cáp ngầm hạ thế 3x50</v>
      </c>
      <c r="G2257" s="1298" t="str">
        <f>VLOOKUP($B2257,DG!A:D,DG!$D$2,)</f>
        <v>cái</v>
      </c>
      <c r="H2257" s="1696">
        <f t="shared" si="390"/>
        <v>0</v>
      </c>
      <c r="I2257" s="1696"/>
      <c r="J2257" s="1696"/>
      <c r="K2257" s="1696"/>
      <c r="L2257" s="1696"/>
      <c r="M2257" s="1696"/>
      <c r="N2257" s="1696"/>
      <c r="O2257" s="1696"/>
      <c r="P2257" s="1693">
        <f t="shared" si="384"/>
        <v>0</v>
      </c>
      <c r="Q2257" s="1295"/>
      <c r="R2257" s="1295"/>
      <c r="S2257" s="1295"/>
      <c r="T2257" s="1862">
        <f t="shared" si="387"/>
        <v>0</v>
      </c>
    </row>
    <row r="2258" spans="1:20" ht="22.2" hidden="1" customHeight="1">
      <c r="A2258" s="1448">
        <f>COUNTIF($C$12:C2258,"x")</f>
        <v>151</v>
      </c>
      <c r="B2258" s="1455" t="s">
        <v>1347</v>
      </c>
      <c r="C2258" s="970" t="str">
        <f t="shared" si="389"/>
        <v xml:space="preserve"> </v>
      </c>
      <c r="D2258" s="1435">
        <f>D2253*4</f>
        <v>0</v>
      </c>
      <c r="E2258" s="1298"/>
      <c r="F2258" s="1280" t="str">
        <f>VLOOKUP($B2258,DG!A:D,DG!$C$2,)&amp;": ñaáu noái töø löôùi ABC vaøo tuû"</f>
        <v>Ghíp nối IPC 150-50: ñaáu noái töø löôùi ABC vaøo tuû</v>
      </c>
      <c r="G2258" s="1298" t="str">
        <f>VLOOKUP($B2258,DG!A:D,DG!$D$2,)</f>
        <v>cái</v>
      </c>
      <c r="H2258" s="1693">
        <f t="shared" si="390"/>
        <v>0</v>
      </c>
      <c r="I2258" s="1693"/>
      <c r="J2258" s="1693"/>
      <c r="K2258" s="1693"/>
      <c r="L2258" s="1693"/>
      <c r="M2258" s="1693"/>
      <c r="N2258" s="1693"/>
      <c r="O2258" s="1693"/>
      <c r="P2258" s="1693">
        <f t="shared" si="384"/>
        <v>0</v>
      </c>
      <c r="Q2258" s="989"/>
      <c r="R2258" s="989"/>
      <c r="S2258" s="989"/>
      <c r="T2258" s="1862">
        <f t="shared" si="387"/>
        <v>0</v>
      </c>
    </row>
    <row r="2259" spans="1:20" ht="22.2" hidden="1" customHeight="1">
      <c r="A2259" s="1448">
        <f>COUNTIF($C$12:C2259,"x")</f>
        <v>151</v>
      </c>
      <c r="B2259" s="1455" t="s">
        <v>2212</v>
      </c>
      <c r="C2259" s="970" t="str">
        <f t="shared" si="389"/>
        <v xml:space="preserve"> </v>
      </c>
      <c r="D2259" s="1435">
        <f>D2258</f>
        <v>0</v>
      </c>
      <c r="E2259" s="1298"/>
      <c r="F2259" s="1280" t="str">
        <f>VLOOKUP($B2259,DG!A:D,DG!$C$2,)&amp;": ñaáu noái töø tuû leân löôùi chieáu saùng"</f>
        <v>Ghíp nối IPC 50-35: ñaáu noái töø tuû leân löôùi chieáu saùng</v>
      </c>
      <c r="G2259" s="1298" t="str">
        <f>VLOOKUP($B2259,DG!A:D,DG!$D$2,)</f>
        <v>cái</v>
      </c>
      <c r="H2259" s="1693">
        <f t="shared" si="390"/>
        <v>0</v>
      </c>
      <c r="I2259" s="1693"/>
      <c r="J2259" s="1693"/>
      <c r="K2259" s="1693"/>
      <c r="L2259" s="1693"/>
      <c r="M2259" s="1693"/>
      <c r="N2259" s="1693"/>
      <c r="O2259" s="1693"/>
      <c r="P2259" s="1693">
        <f t="shared" si="384"/>
        <v>0</v>
      </c>
      <c r="Q2259" s="989"/>
      <c r="R2259" s="989"/>
      <c r="S2259" s="989"/>
      <c r="T2259" s="1862">
        <f t="shared" si="387"/>
        <v>0</v>
      </c>
    </row>
    <row r="2260" spans="1:20" ht="22.2" hidden="1" customHeight="1">
      <c r="A2260" s="1448">
        <f>COUNTIF($C$12:C2260,"x")</f>
        <v>151</v>
      </c>
      <c r="B2260" s="1455" t="s">
        <v>819</v>
      </c>
      <c r="C2260" s="970" t="str">
        <f t="shared" si="389"/>
        <v xml:space="preserve"> </v>
      </c>
      <c r="D2260" s="1415">
        <f>D2259*6</f>
        <v>0</v>
      </c>
      <c r="E2260" s="980" t="str">
        <f>VLOOKUP($B2260,DG!A:D,DG!$B$2,)</f>
        <v>03.4001</v>
      </c>
      <c r="F2260" s="992" t="str">
        <f>VLOOKUP($B2260,DG!A:D,DG!$C$2,)</f>
        <v>Đầu cosse ép Cu-Al 16mm2</v>
      </c>
      <c r="G2260" s="980" t="str">
        <f>VLOOKUP($B2260,DG!A:D,DG!$D$2,)</f>
        <v>cái</v>
      </c>
      <c r="H2260" s="1693">
        <f t="shared" si="390"/>
        <v>0</v>
      </c>
      <c r="I2260" s="1693"/>
      <c r="J2260" s="1693"/>
      <c r="K2260" s="1693"/>
      <c r="L2260" s="1693"/>
      <c r="M2260" s="1693"/>
      <c r="N2260" s="1693"/>
      <c r="O2260" s="1693"/>
      <c r="P2260" s="1693">
        <f t="shared" si="384"/>
        <v>0</v>
      </c>
      <c r="Q2260" s="989"/>
      <c r="R2260" s="989"/>
      <c r="S2260" s="989"/>
      <c r="T2260" s="1862">
        <f t="shared" si="387"/>
        <v>0</v>
      </c>
    </row>
    <row r="2261" spans="1:20" ht="22.2" hidden="1" customHeight="1">
      <c r="A2261" s="1448">
        <f>COUNTIF($C$12:C2261,"x")</f>
        <v>151</v>
      </c>
      <c r="B2261" s="1455" t="s">
        <v>1865</v>
      </c>
      <c r="C2261" s="970" t="str">
        <f t="shared" si="389"/>
        <v xml:space="preserve"> </v>
      </c>
      <c r="D2261" s="1415">
        <f>4*D2249+D2250*2+D2251*2</f>
        <v>0</v>
      </c>
      <c r="E2261" s="980"/>
      <c r="F2261" s="992" t="str">
        <f>VLOOKUP($B2261,DG!A:D,DG!$C$2,)</f>
        <v xml:space="preserve">Đầu cosse ép Cu 2,5mm2 + bao PVC </v>
      </c>
      <c r="G2261" s="980" t="str">
        <f>VLOOKUP($B2261,DG!A:D,DG!$D$2,)</f>
        <v>cái</v>
      </c>
      <c r="H2261" s="1693">
        <f t="shared" si="390"/>
        <v>0</v>
      </c>
      <c r="I2261" s="1693"/>
      <c r="J2261" s="1693"/>
      <c r="K2261" s="1693"/>
      <c r="L2261" s="1693"/>
      <c r="M2261" s="1693"/>
      <c r="N2261" s="1693"/>
      <c r="O2261" s="1693"/>
      <c r="P2261" s="1693">
        <f t="shared" si="384"/>
        <v>0</v>
      </c>
      <c r="Q2261" s="989"/>
      <c r="R2261" s="989"/>
      <c r="S2261" s="989"/>
      <c r="T2261" s="1862">
        <f t="shared" si="387"/>
        <v>0</v>
      </c>
    </row>
    <row r="2262" spans="1:20" ht="22.2" hidden="1" customHeight="1">
      <c r="A2262" s="1448">
        <f>COUNTIF($C$12:C2262,"x")</f>
        <v>151</v>
      </c>
      <c r="B2262" s="1455" t="s">
        <v>969</v>
      </c>
      <c r="C2262" s="970" t="str">
        <f t="shared" si="389"/>
        <v xml:space="preserve"> </v>
      </c>
      <c r="D2262" s="1415">
        <f>D2249*2+D2250</f>
        <v>0</v>
      </c>
      <c r="E2262" s="980">
        <f>VLOOKUP($B2262,DG!A:D,DG!$B$2,)</f>
        <v>0</v>
      </c>
      <c r="F2262" s="992" t="str">
        <f>VLOOKUP($B2262,DG!A:D,DG!$C$2,)</f>
        <v>Cầu chì nhựa trong nhà 5A+ chì 5A</v>
      </c>
      <c r="G2262" s="980" t="str">
        <f>VLOOKUP($B2262,DG!A:D,DG!$D$2,)</f>
        <v>cái</v>
      </c>
      <c r="H2262" s="1693">
        <f t="shared" si="390"/>
        <v>0</v>
      </c>
      <c r="I2262" s="1693"/>
      <c r="J2262" s="1693"/>
      <c r="K2262" s="1693"/>
      <c r="L2262" s="1693"/>
      <c r="M2262" s="1693"/>
      <c r="N2262" s="1693"/>
      <c r="O2262" s="1693"/>
      <c r="P2262" s="1693">
        <f t="shared" si="384"/>
        <v>0</v>
      </c>
      <c r="Q2262" s="989"/>
      <c r="R2262" s="989"/>
      <c r="S2262" s="989"/>
      <c r="T2262" s="1862">
        <f t="shared" si="387"/>
        <v>0</v>
      </c>
    </row>
    <row r="2263" spans="1:20" ht="22.2" hidden="1" customHeight="1">
      <c r="A2263" s="1448">
        <f>COUNTIF($C$12:C2263,"x")</f>
        <v>151</v>
      </c>
      <c r="B2263" s="1455" t="s">
        <v>622</v>
      </c>
      <c r="C2263" s="970" t="str">
        <f t="shared" si="389"/>
        <v xml:space="preserve"> </v>
      </c>
      <c r="D2263" s="1415">
        <f>D2265</f>
        <v>0</v>
      </c>
      <c r="E2263" s="980">
        <f>VLOOKUP($B2263,DG!A:D,DG!$B$2,)</f>
        <v>0</v>
      </c>
      <c r="F2263" s="992" t="str">
        <f>VLOOKUP($B2263,DG!A:D,DG!$C$2,)</f>
        <v>Tấm bakelit hay nhựa cách điện 600V (200x60x6)</v>
      </c>
      <c r="G2263" s="980" t="str">
        <f>VLOOKUP($B2263,DG!A:D,DG!$D$2,)</f>
        <v>cái</v>
      </c>
      <c r="H2263" s="1693">
        <f t="shared" si="390"/>
        <v>0</v>
      </c>
      <c r="I2263" s="1693"/>
      <c r="J2263" s="1693"/>
      <c r="K2263" s="1693"/>
      <c r="L2263" s="1693"/>
      <c r="M2263" s="1693"/>
      <c r="N2263" s="1693"/>
      <c r="O2263" s="1693"/>
      <c r="P2263" s="1693">
        <f t="shared" si="384"/>
        <v>0</v>
      </c>
      <c r="Q2263" s="989"/>
      <c r="R2263" s="989"/>
      <c r="S2263" s="989"/>
      <c r="T2263" s="1862">
        <f t="shared" si="387"/>
        <v>0</v>
      </c>
    </row>
    <row r="2264" spans="1:20" ht="22.2" hidden="1" customHeight="1">
      <c r="A2264" s="1448">
        <f>COUNTIF($C$12:C2264,"x")</f>
        <v>151</v>
      </c>
      <c r="B2264" s="1455" t="s">
        <v>916</v>
      </c>
      <c r="C2264" s="970" t="str">
        <f t="shared" si="389"/>
        <v xml:space="preserve"> </v>
      </c>
      <c r="D2264" s="1415">
        <f>D2263*4</f>
        <v>0</v>
      </c>
      <c r="E2264" s="980">
        <f>VLOOKUP($B2264,DG!A:D,DG!$B$2,)</f>
        <v>0</v>
      </c>
      <c r="F2264" s="992" t="str">
        <f>VLOOKUP($B2264,DG!A:D,DG!$C$2,)</f>
        <v>Boulon thau 12x50 + 2 long đền vuông D14-50x50x3/Zn</v>
      </c>
      <c r="G2264" s="980" t="str">
        <f>VLOOKUP($B2264,DG!A:D,DG!$D$2,)</f>
        <v>bộ</v>
      </c>
      <c r="H2264" s="1693">
        <f t="shared" si="390"/>
        <v>0</v>
      </c>
      <c r="I2264" s="1693"/>
      <c r="J2264" s="1693"/>
      <c r="K2264" s="1693"/>
      <c r="L2264" s="1693"/>
      <c r="M2264" s="1693"/>
      <c r="N2264" s="1693"/>
      <c r="O2264" s="1693"/>
      <c r="P2264" s="1693">
        <f t="shared" si="384"/>
        <v>0</v>
      </c>
      <c r="Q2264" s="989"/>
      <c r="R2264" s="989"/>
      <c r="S2264" s="989"/>
      <c r="T2264" s="1862">
        <f t="shared" si="387"/>
        <v>0</v>
      </c>
    </row>
    <row r="2265" spans="1:20" ht="22.2" hidden="1" customHeight="1">
      <c r="A2265" s="1448">
        <f>COUNTIF($C$12:C2265,"x")</f>
        <v>151</v>
      </c>
      <c r="B2265" s="1455" t="s">
        <v>1508</v>
      </c>
      <c r="C2265" s="970" t="str">
        <f t="shared" si="389"/>
        <v xml:space="preserve"> </v>
      </c>
      <c r="D2265" s="1415"/>
      <c r="E2265" s="980">
        <f>VLOOKUP($B2265,DG!A:D,DG!$B$2,)</f>
        <v>0</v>
      </c>
      <c r="F2265" s="992" t="str">
        <f>VLOOKUP($B2265,DG!A:D,DG!$C$2,)</f>
        <v>Cọc tiếp đất Þ 16- 2,4m + kẹp cọc mạ đồng</v>
      </c>
      <c r="G2265" s="980" t="str">
        <f>VLOOKUP($B2265,DG!A:D,DG!$D$2,)</f>
        <v>bộ</v>
      </c>
      <c r="H2265" s="1693">
        <f t="shared" si="390"/>
        <v>0</v>
      </c>
      <c r="I2265" s="1693"/>
      <c r="J2265" s="1693"/>
      <c r="K2265" s="1693"/>
      <c r="L2265" s="1693"/>
      <c r="M2265" s="1693"/>
      <c r="N2265" s="1693"/>
      <c r="O2265" s="1693"/>
      <c r="P2265" s="1693">
        <f t="shared" si="384"/>
        <v>0</v>
      </c>
      <c r="Q2265" s="989"/>
      <c r="R2265" s="989"/>
      <c r="S2265" s="989"/>
      <c r="T2265" s="1862">
        <f t="shared" si="387"/>
        <v>0</v>
      </c>
    </row>
    <row r="2266" spans="1:20" ht="22.2" hidden="1" customHeight="1">
      <c r="A2266" s="1448">
        <f>COUNTIF($C$12:C2266,"x")</f>
        <v>151</v>
      </c>
      <c r="B2266" s="1455" t="s">
        <v>2060</v>
      </c>
      <c r="C2266" s="970" t="str">
        <f t="shared" si="389"/>
        <v xml:space="preserve"> </v>
      </c>
      <c r="D2266" s="1415">
        <f>PPHTCS!BB69</f>
        <v>0</v>
      </c>
      <c r="E2266" s="980">
        <f>VLOOKUP($B2266,DG!A:D,DG!$B$2,)</f>
        <v>0</v>
      </c>
      <c r="F2266" s="992" t="str">
        <f>VLOOKUP($B2266,DG!A:D,DG!$C$2,)</f>
        <v>Kẹp treo cáp ABC4x35mm2</v>
      </c>
      <c r="G2266" s="980" t="str">
        <f>VLOOKUP($B2266,DG!A:D,DG!$D$2,)</f>
        <v>cái</v>
      </c>
      <c r="H2266" s="1693">
        <f t="shared" si="390"/>
        <v>0</v>
      </c>
      <c r="I2266" s="1693"/>
      <c r="J2266" s="1693"/>
      <c r="K2266" s="1693"/>
      <c r="L2266" s="1693"/>
      <c r="M2266" s="1693"/>
      <c r="N2266" s="1693"/>
      <c r="O2266" s="1693"/>
      <c r="P2266" s="1693">
        <f t="shared" ref="P2266:P2330" si="391">H2266+Q2266-R2266</f>
        <v>0</v>
      </c>
      <c r="Q2266" s="989"/>
      <c r="R2266" s="989"/>
      <c r="S2266" s="989"/>
      <c r="T2266" s="1862">
        <f t="shared" si="387"/>
        <v>0</v>
      </c>
    </row>
    <row r="2267" spans="1:20" ht="22.2" hidden="1" customHeight="1">
      <c r="A2267" s="1448">
        <f>COUNTIF($C$12:C2267,"x")</f>
        <v>151</v>
      </c>
      <c r="B2267" s="1455" t="s">
        <v>2061</v>
      </c>
      <c r="C2267" s="970" t="str">
        <f t="shared" si="389"/>
        <v xml:space="preserve"> </v>
      </c>
      <c r="D2267" s="1415">
        <f>PPHTCS!BE69</f>
        <v>0</v>
      </c>
      <c r="E2267" s="980">
        <f>VLOOKUP($B2267,DG!A:D,DG!$B$2,)</f>
        <v>0</v>
      </c>
      <c r="F2267" s="992" t="str">
        <f>VLOOKUP($B2267,DG!A:D,DG!$C$2,)</f>
        <v>Kẹp ngừng cáp ABC4x35mm2</v>
      </c>
      <c r="G2267" s="980" t="str">
        <f>VLOOKUP($B2267,DG!A:D,DG!$D$2,)</f>
        <v>cái</v>
      </c>
      <c r="H2267" s="1693">
        <f t="shared" si="390"/>
        <v>0</v>
      </c>
      <c r="I2267" s="1693"/>
      <c r="J2267" s="1693"/>
      <c r="K2267" s="1693"/>
      <c r="L2267" s="1693"/>
      <c r="M2267" s="1693"/>
      <c r="N2267" s="1693"/>
      <c r="O2267" s="1693"/>
      <c r="P2267" s="1693">
        <f t="shared" si="391"/>
        <v>0</v>
      </c>
      <c r="Q2267" s="989"/>
      <c r="R2267" s="989"/>
      <c r="S2267" s="989"/>
      <c r="T2267" s="1862">
        <f t="shared" si="387"/>
        <v>0</v>
      </c>
    </row>
    <row r="2268" spans="1:20" ht="22.2" hidden="1" customHeight="1">
      <c r="A2268" s="1448">
        <f>COUNTIF($C$12:C2268,"x")</f>
        <v>151</v>
      </c>
      <c r="B2268" s="1455" t="s">
        <v>1066</v>
      </c>
      <c r="C2268" s="970" t="str">
        <f t="shared" si="389"/>
        <v xml:space="preserve"> </v>
      </c>
      <c r="D2268" s="1435"/>
      <c r="E2268" s="1298"/>
      <c r="F2268" s="1280" t="str">
        <f>VLOOKUP($B2268,DG!A:D,DG!$C$2,)&amp;": ñaáu reõ nhaùnh truï 15"</f>
        <v>Ghíp nối IPC 35-35: ñaáu reõ nhaùnh truï 15</v>
      </c>
      <c r="G2268" s="1298" t="str">
        <f>VLOOKUP($B2268,DG!A:D,DG!$D$2,)</f>
        <v>cái</v>
      </c>
      <c r="H2268" s="1693">
        <f t="shared" si="390"/>
        <v>0</v>
      </c>
      <c r="I2268" s="1693"/>
      <c r="J2268" s="1693"/>
      <c r="K2268" s="1693"/>
      <c r="L2268" s="1693"/>
      <c r="M2268" s="1693"/>
      <c r="N2268" s="1693"/>
      <c r="O2268" s="1693"/>
      <c r="P2268" s="1693">
        <f t="shared" si="391"/>
        <v>0</v>
      </c>
      <c r="Q2268" s="989"/>
      <c r="R2268" s="989"/>
      <c r="S2268" s="989"/>
      <c r="T2268" s="1862">
        <f t="shared" si="387"/>
        <v>0</v>
      </c>
    </row>
    <row r="2269" spans="1:20" ht="22.2" hidden="1" customHeight="1">
      <c r="A2269" s="1448">
        <f>COUNTIF($C$12:C2269,"x")</f>
        <v>151</v>
      </c>
      <c r="B2269" s="1455" t="s">
        <v>1734</v>
      </c>
      <c r="C2269" s="970" t="str">
        <f t="shared" si="389"/>
        <v xml:space="preserve"> </v>
      </c>
      <c r="D2269" s="1415">
        <f>PPHTCS!BK69</f>
        <v>0</v>
      </c>
      <c r="E2269" s="980">
        <f>VLOOKUP($B2269,DG!A:D,DG!$B$2,)</f>
        <v>0</v>
      </c>
      <c r="F2269" s="992" t="str">
        <f>VLOOKUP($B2269,DG!A:D,DG!$C$2,)</f>
        <v>Móc treo chữ A</v>
      </c>
      <c r="G2269" s="980" t="str">
        <f>VLOOKUP($B2269,DG!A:D,DG!$D$2,)</f>
        <v>cái</v>
      </c>
      <c r="H2269" s="1693">
        <f t="shared" si="390"/>
        <v>0</v>
      </c>
      <c r="I2269" s="1693"/>
      <c r="J2269" s="1693"/>
      <c r="K2269" s="1693"/>
      <c r="L2269" s="1693"/>
      <c r="M2269" s="1693"/>
      <c r="N2269" s="1693"/>
      <c r="O2269" s="1693"/>
      <c r="P2269" s="1693">
        <f t="shared" si="391"/>
        <v>0</v>
      </c>
      <c r="Q2269" s="989"/>
      <c r="R2269" s="989"/>
      <c r="S2269" s="989"/>
      <c r="T2269" s="1862">
        <f t="shared" si="387"/>
        <v>0</v>
      </c>
    </row>
    <row r="2270" spans="1:20" ht="22.2" hidden="1" customHeight="1">
      <c r="A2270" s="1448">
        <f>COUNTIF($C$12:C2270,"x")</f>
        <v>151</v>
      </c>
      <c r="B2270" s="1455" t="s">
        <v>2024</v>
      </c>
      <c r="C2270" s="970" t="str">
        <f t="shared" si="389"/>
        <v xml:space="preserve"> </v>
      </c>
      <c r="D2270" s="1415">
        <f>PPHTCS!BJ69</f>
        <v>0</v>
      </c>
      <c r="E2270" s="980">
        <f>VLOOKUP($B2270,DG!A:D,DG!$B$2,)</f>
        <v>0</v>
      </c>
      <c r="F2270" s="992" t="str">
        <f>VLOOKUP($B2270,DG!A:D,DG!$C$2,)</f>
        <v xml:space="preserve">Móc đơn treo cáp </v>
      </c>
      <c r="G2270" s="980" t="str">
        <f>VLOOKUP($B2270,DG!A:D,DG!$D$2,)</f>
        <v>cái</v>
      </c>
      <c r="H2270" s="1693">
        <f t="shared" si="390"/>
        <v>0</v>
      </c>
      <c r="I2270" s="1693"/>
      <c r="J2270" s="1693"/>
      <c r="K2270" s="1693"/>
      <c r="L2270" s="1693"/>
      <c r="M2270" s="1693"/>
      <c r="N2270" s="1693"/>
      <c r="O2270" s="1693"/>
      <c r="P2270" s="1693">
        <f t="shared" si="391"/>
        <v>0</v>
      </c>
      <c r="Q2270" s="989"/>
      <c r="R2270" s="989"/>
      <c r="S2270" s="989"/>
      <c r="T2270" s="1862">
        <f t="shared" si="387"/>
        <v>0</v>
      </c>
    </row>
    <row r="2271" spans="1:20" ht="22.2" hidden="1" customHeight="1">
      <c r="A2271" s="1448">
        <f>COUNTIF($C$12:C2271,"x")</f>
        <v>151</v>
      </c>
      <c r="B2271" s="1455" t="s">
        <v>851</v>
      </c>
      <c r="C2271" s="970" t="str">
        <f t="shared" si="389"/>
        <v xml:space="preserve"> </v>
      </c>
      <c r="D2271" s="1415">
        <f>PPHTCS!AO69</f>
        <v>0</v>
      </c>
      <c r="E2271" s="980">
        <f>VLOOKUP($B2271,DG!A:D,DG!$B$2,)</f>
        <v>0</v>
      </c>
      <c r="F2271" s="992" t="str">
        <f>VLOOKUP($B2271,DG!A:D,DG!$C$2,)</f>
        <v>Boulon móc 16x250+ long đền vuông D18-50x50x3/Zn</v>
      </c>
      <c r="G2271" s="980" t="str">
        <f>VLOOKUP($B2271,DG!A:D,DG!$D$2,)</f>
        <v>bộ</v>
      </c>
      <c r="H2271" s="1693">
        <f t="shared" si="390"/>
        <v>0</v>
      </c>
      <c r="I2271" s="1693"/>
      <c r="J2271" s="1693"/>
      <c r="K2271" s="1693"/>
      <c r="L2271" s="1693"/>
      <c r="M2271" s="1693"/>
      <c r="N2271" s="1693"/>
      <c r="O2271" s="1693"/>
      <c r="P2271" s="1693">
        <f t="shared" si="391"/>
        <v>0</v>
      </c>
      <c r="Q2271" s="989"/>
      <c r="R2271" s="989"/>
      <c r="S2271" s="989"/>
      <c r="T2271" s="1862">
        <f t="shared" si="387"/>
        <v>0</v>
      </c>
    </row>
    <row r="2272" spans="1:20" ht="22.2" hidden="1" customHeight="1">
      <c r="A2272" s="1448">
        <f>COUNTIF($C$12:C2272,"x")</f>
        <v>151</v>
      </c>
      <c r="B2272" s="1455" t="s">
        <v>852</v>
      </c>
      <c r="C2272" s="970" t="str">
        <f t="shared" si="389"/>
        <v xml:space="preserve"> </v>
      </c>
      <c r="D2272" s="1415">
        <f>PPHTCS!AP69</f>
        <v>0</v>
      </c>
      <c r="E2272" s="980">
        <f>VLOOKUP($B2272,DG!A:D,DG!$B$2,)</f>
        <v>0</v>
      </c>
      <c r="F2272" s="992" t="str">
        <f>VLOOKUP($B2272,DG!A:D,DG!$C$2,)</f>
        <v>Boulon móc 16x300+ long đền vuông D18-50x50x3/Zn</v>
      </c>
      <c r="G2272" s="980" t="str">
        <f>VLOOKUP($B2272,DG!A:D,DG!$D$2,)</f>
        <v>bộ</v>
      </c>
      <c r="H2272" s="1693">
        <f t="shared" si="390"/>
        <v>0</v>
      </c>
      <c r="I2272" s="1693"/>
      <c r="J2272" s="1693"/>
      <c r="K2272" s="1693"/>
      <c r="L2272" s="1693"/>
      <c r="M2272" s="1693"/>
      <c r="N2272" s="1693"/>
      <c r="O2272" s="1693"/>
      <c r="P2272" s="1693">
        <f t="shared" si="391"/>
        <v>0</v>
      </c>
      <c r="Q2272" s="989"/>
      <c r="R2272" s="989"/>
      <c r="S2272" s="989"/>
      <c r="T2272" s="1862">
        <f t="shared" si="387"/>
        <v>0</v>
      </c>
    </row>
    <row r="2273" spans="1:20" ht="22.2" hidden="1" customHeight="1">
      <c r="A2273" s="1448">
        <f>COUNTIF($C$12:C2273,"x")</f>
        <v>151</v>
      </c>
      <c r="B2273" s="1455" t="s">
        <v>2200</v>
      </c>
      <c r="C2273" s="970" t="str">
        <f t="shared" si="389"/>
        <v xml:space="preserve"> </v>
      </c>
      <c r="D2273" s="1412">
        <f>PPHTCS!BH69</f>
        <v>0</v>
      </c>
      <c r="E2273" s="980"/>
      <c r="F2273" s="992" t="str">
        <f>VLOOKUP($B2273,DG!A:D,DG!$C$2,)</f>
        <v xml:space="preserve">Cổ dê trụ đôi 8,4m bắt móc dừng </v>
      </c>
      <c r="G2273" s="980" t="str">
        <f>VLOOKUP($B2273,DG!A:D,DG!$D$2,)</f>
        <v>bộ</v>
      </c>
      <c r="H2273" s="1693">
        <f t="shared" si="390"/>
        <v>0</v>
      </c>
      <c r="I2273" s="1693"/>
      <c r="J2273" s="1693"/>
      <c r="K2273" s="1693"/>
      <c r="L2273" s="1693"/>
      <c r="M2273" s="1693"/>
      <c r="N2273" s="1693"/>
      <c r="O2273" s="1693"/>
      <c r="P2273" s="1693">
        <f t="shared" si="391"/>
        <v>0</v>
      </c>
      <c r="Q2273" s="989"/>
      <c r="R2273" s="989"/>
      <c r="S2273" s="989"/>
      <c r="T2273" s="1862">
        <f t="shared" si="387"/>
        <v>0</v>
      </c>
    </row>
    <row r="2274" spans="1:20" ht="22.2" hidden="1" customHeight="1">
      <c r="A2274" s="1448">
        <f>COUNTIF($C$12:C2274,"x")</f>
        <v>151</v>
      </c>
      <c r="B2274" s="1455" t="s">
        <v>1467</v>
      </c>
      <c r="C2274" s="970" t="str">
        <f t="shared" si="389"/>
        <v xml:space="preserve"> </v>
      </c>
      <c r="D2274" s="1412">
        <f>PPHTCS!BI69</f>
        <v>0</v>
      </c>
      <c r="E2274" s="980">
        <f>VLOOKUP($B2274,DG!A:D,DG!$B$2,)</f>
        <v>0</v>
      </c>
      <c r="F2274" s="992" t="str">
        <f>VLOOKUP($B2274,DG!A:D,DG!$C$2,)</f>
        <v xml:space="preserve">Móc dừng </v>
      </c>
      <c r="G2274" s="980" t="str">
        <f>VLOOKUP($B2274,DG!A:D,DG!$D$2,)</f>
        <v>cái</v>
      </c>
      <c r="H2274" s="1693">
        <f t="shared" si="390"/>
        <v>0</v>
      </c>
      <c r="I2274" s="1693"/>
      <c r="J2274" s="1693"/>
      <c r="K2274" s="1693"/>
      <c r="L2274" s="1693"/>
      <c r="M2274" s="1693"/>
      <c r="N2274" s="1693"/>
      <c r="O2274" s="1693"/>
      <c r="P2274" s="1693">
        <f t="shared" si="391"/>
        <v>0</v>
      </c>
      <c r="Q2274" s="989"/>
      <c r="R2274" s="989"/>
      <c r="S2274" s="989"/>
      <c r="T2274" s="1862">
        <f t="shared" si="387"/>
        <v>0</v>
      </c>
    </row>
    <row r="2275" spans="1:20" ht="22.2" hidden="1" customHeight="1">
      <c r="A2275" s="1448">
        <f>COUNTIF($C$12:C2275,"x")</f>
        <v>151</v>
      </c>
      <c r="B2275" s="1455" t="s">
        <v>194</v>
      </c>
      <c r="C2275" s="970" t="str">
        <f t="shared" si="389"/>
        <v xml:space="preserve"> </v>
      </c>
      <c r="D2275" s="1418">
        <f>PPHTCS!BL69</f>
        <v>0</v>
      </c>
      <c r="E2275" s="980">
        <f>VLOOKUP($B2275,DG!A:D,DG!$B$2,)</f>
        <v>0</v>
      </c>
      <c r="F2275" s="992" t="str">
        <f>VLOOKUP($B2275,DG!A:D,DG!$C$2,)&amp;": ñaáu noái löôùi hieän höõu"</f>
        <v>Kẹp U bolt dây 50mm2: ñaáu noái löôùi hieän höõu</v>
      </c>
      <c r="G2275" s="980" t="str">
        <f>VLOOKUP($B2275,DG!A:D,DG!$D$2,)</f>
        <v>cái</v>
      </c>
      <c r="H2275" s="1693">
        <f t="shared" si="390"/>
        <v>0</v>
      </c>
      <c r="I2275" s="1693"/>
      <c r="J2275" s="1693"/>
      <c r="K2275" s="1693"/>
      <c r="L2275" s="1693"/>
      <c r="M2275" s="1693"/>
      <c r="N2275" s="1693"/>
      <c r="O2275" s="1693"/>
      <c r="P2275" s="1693">
        <f t="shared" si="391"/>
        <v>0</v>
      </c>
      <c r="Q2275" s="989"/>
      <c r="R2275" s="989"/>
      <c r="S2275" s="989"/>
      <c r="T2275" s="1862">
        <f t="shared" si="387"/>
        <v>0</v>
      </c>
    </row>
    <row r="2276" spans="1:20" ht="22.2" hidden="1" customHeight="1">
      <c r="A2276" s="1448">
        <f>COUNTIF($C$12:C2276,"x")</f>
        <v>151</v>
      </c>
      <c r="B2276" s="1455" t="s">
        <v>71</v>
      </c>
      <c r="C2276" s="970" t="str">
        <f t="shared" si="389"/>
        <v xml:space="preserve"> </v>
      </c>
      <c r="D2276" s="1415"/>
      <c r="E2276" s="980">
        <f>VLOOKUP($B2276,DG!A:D,DG!$B$2,)</f>
        <v>0</v>
      </c>
      <c r="F2276" s="992" t="str">
        <f>VLOOKUP($B2276,DG!A:D,DG!$C$2,)</f>
        <v>ÔÁng sắt tráng kẽm D60</v>
      </c>
      <c r="G2276" s="980" t="str">
        <f>VLOOKUP($B2276,DG!A:D,DG!$D$2,)</f>
        <v>mét</v>
      </c>
      <c r="H2276" s="1693">
        <f t="shared" si="390"/>
        <v>0</v>
      </c>
      <c r="I2276" s="1693"/>
      <c r="J2276" s="1693"/>
      <c r="K2276" s="1693"/>
      <c r="L2276" s="1693"/>
      <c r="M2276" s="1693"/>
      <c r="N2276" s="1693"/>
      <c r="O2276" s="1693"/>
      <c r="P2276" s="1693">
        <f t="shared" si="391"/>
        <v>0</v>
      </c>
      <c r="Q2276" s="989"/>
      <c r="R2276" s="989"/>
      <c r="S2276" s="989"/>
      <c r="T2276" s="1862">
        <f t="shared" si="387"/>
        <v>0</v>
      </c>
    </row>
    <row r="2277" spans="1:20" ht="22.2" hidden="1" customHeight="1">
      <c r="A2277" s="1448">
        <f>COUNTIF($C$12:C2277,"x")</f>
        <v>151</v>
      </c>
      <c r="B2277" s="1455" t="s">
        <v>2101</v>
      </c>
      <c r="C2277" s="970" t="str">
        <f t="shared" si="389"/>
        <v xml:space="preserve"> </v>
      </c>
      <c r="D2277" s="1415"/>
      <c r="E2277" s="980">
        <f>VLOOKUP($B2277,DG!A:D,DG!$B$2,)</f>
        <v>0</v>
      </c>
      <c r="F2277" s="992" t="str">
        <f>VLOOKUP($B2277,DG!A:D,DG!$C$2,)</f>
        <v>ÔÁng sắt tráng kẽm D42</v>
      </c>
      <c r="G2277" s="980" t="str">
        <f>VLOOKUP($B2277,DG!A:D,DG!$D$2,)</f>
        <v>mét</v>
      </c>
      <c r="H2277" s="1693">
        <f t="shared" si="390"/>
        <v>0</v>
      </c>
      <c r="I2277" s="1693"/>
      <c r="J2277" s="1693"/>
      <c r="K2277" s="1693"/>
      <c r="L2277" s="1693"/>
      <c r="M2277" s="1693"/>
      <c r="N2277" s="1693"/>
      <c r="O2277" s="1693"/>
      <c r="P2277" s="1693">
        <f t="shared" si="391"/>
        <v>0</v>
      </c>
      <c r="Q2277" s="989"/>
      <c r="R2277" s="989"/>
      <c r="S2277" s="989"/>
      <c r="T2277" s="1862">
        <f t="shared" ref="T2277:T2341" si="392">IFERROR(HLOOKUP(B2277,BangKeTru,3,0),0)</f>
        <v>0</v>
      </c>
    </row>
    <row r="2278" spans="1:20" ht="22.2" hidden="1" customHeight="1">
      <c r="A2278" s="1448">
        <f>COUNTIF($C$12:C2278,"x")</f>
        <v>151</v>
      </c>
      <c r="B2278" s="1455" t="s">
        <v>2009</v>
      </c>
      <c r="C2278" s="970" t="str">
        <f t="shared" si="389"/>
        <v xml:space="preserve"> </v>
      </c>
      <c r="D2278" s="1415"/>
      <c r="E2278" s="980" t="str">
        <f>VLOOKUP($B2278,DG!A:D,DG!$B$2,)</f>
        <v>07.2404</v>
      </c>
      <c r="F2278" s="992" t="str">
        <f>VLOOKUP($B2278,DG!A:D,DG!$C$2,)</f>
        <v>Ống PVC D60x2,8mm</v>
      </c>
      <c r="G2278" s="980" t="str">
        <f>VLOOKUP($B2278,DG!A:D,DG!$D$2,)</f>
        <v>m</v>
      </c>
      <c r="H2278" s="1693">
        <f t="shared" si="390"/>
        <v>0</v>
      </c>
      <c r="I2278" s="1693"/>
      <c r="J2278" s="1693"/>
      <c r="K2278" s="1693"/>
      <c r="L2278" s="1693"/>
      <c r="M2278" s="1693"/>
      <c r="N2278" s="1693"/>
      <c r="O2278" s="1693"/>
      <c r="P2278" s="1693">
        <f t="shared" si="391"/>
        <v>0</v>
      </c>
      <c r="Q2278" s="989"/>
      <c r="R2278" s="989"/>
      <c r="S2278" s="989"/>
      <c r="T2278" s="1862">
        <f t="shared" si="392"/>
        <v>0</v>
      </c>
    </row>
    <row r="2279" spans="1:20" ht="22.2" hidden="1" customHeight="1">
      <c r="A2279" s="1448">
        <f>COUNTIF($C$12:C2279,"x")</f>
        <v>151</v>
      </c>
      <c r="B2279" s="1455" t="s">
        <v>2141</v>
      </c>
      <c r="C2279" s="970" t="str">
        <f t="shared" si="389"/>
        <v xml:space="preserve"> </v>
      </c>
      <c r="D2279" s="1415">
        <f>D2278</f>
        <v>0</v>
      </c>
      <c r="E2279" s="980" t="str">
        <f>VLOOKUP($B2279,DG!A:D,DG!$B$2,)</f>
        <v>07.2403</v>
      </c>
      <c r="F2279" s="992" t="str">
        <f>VLOOKUP($B2279,DG!A:D,DG!$C$2,)</f>
        <v>Ống PVC D42x2,1mm</v>
      </c>
      <c r="G2279" s="980" t="str">
        <f>VLOOKUP($B2279,DG!A:D,DG!$D$2,)</f>
        <v>m</v>
      </c>
      <c r="H2279" s="1693">
        <f t="shared" si="390"/>
        <v>0</v>
      </c>
      <c r="I2279" s="1693"/>
      <c r="J2279" s="1693"/>
      <c r="K2279" s="1693"/>
      <c r="L2279" s="1693"/>
      <c r="M2279" s="1693"/>
      <c r="N2279" s="1693"/>
      <c r="O2279" s="1693"/>
      <c r="P2279" s="1693">
        <f t="shared" si="391"/>
        <v>0</v>
      </c>
      <c r="Q2279" s="989"/>
      <c r="R2279" s="989"/>
      <c r="S2279" s="989"/>
      <c r="T2279" s="1862">
        <f t="shared" si="392"/>
        <v>0</v>
      </c>
    </row>
    <row r="2280" spans="1:20" ht="22.2" hidden="1" customHeight="1">
      <c r="A2280" s="1448">
        <f>COUNTIF($C$12:C2280,"x")</f>
        <v>151</v>
      </c>
      <c r="B2280" s="1485" t="s">
        <v>1275</v>
      </c>
      <c r="C2280" s="970" t="str">
        <f t="shared" si="389"/>
        <v xml:space="preserve"> </v>
      </c>
      <c r="D2280" s="1415">
        <f>D2278+D2254</f>
        <v>0</v>
      </c>
      <c r="E2280" s="980" t="str">
        <f>VLOOKUP($B2280,DG!A:D,DG!$B$2,)</f>
        <v>07,2404</v>
      </c>
      <c r="F2280" s="985" t="str">
        <f>VLOOKUP($B2280,DG!A:D,DG!$C$2,)</f>
        <v>Lắp ống PVC D60 (Nhân công đã qui đổi về ĐG chiếu sáng)</v>
      </c>
      <c r="G2280" s="980" t="str">
        <f>VLOOKUP($B2280,DG!A:D,DG!$D$2,)</f>
        <v>mét</v>
      </c>
      <c r="H2280" s="1693">
        <f t="shared" si="390"/>
        <v>0</v>
      </c>
      <c r="I2280" s="1693"/>
      <c r="J2280" s="1693"/>
      <c r="K2280" s="1693"/>
      <c r="L2280" s="1693"/>
      <c r="M2280" s="1693"/>
      <c r="N2280" s="1693"/>
      <c r="O2280" s="1693"/>
      <c r="P2280" s="1693">
        <f t="shared" si="391"/>
        <v>0</v>
      </c>
      <c r="Q2280" s="989"/>
      <c r="R2280" s="989"/>
      <c r="S2280" s="989"/>
      <c r="T2280" s="1862">
        <f t="shared" si="392"/>
        <v>0</v>
      </c>
    </row>
    <row r="2281" spans="1:20" ht="22.2" hidden="1" customHeight="1">
      <c r="A2281" s="1448">
        <f>COUNTIF($C$12:C2281,"x")</f>
        <v>151</v>
      </c>
      <c r="B2281" s="1485" t="s">
        <v>1277</v>
      </c>
      <c r="C2281" s="970" t="str">
        <f t="shared" si="389"/>
        <v xml:space="preserve"> </v>
      </c>
      <c r="D2281" s="1415">
        <f>D2276+D2277</f>
        <v>0</v>
      </c>
      <c r="E2281" s="980" t="str">
        <f>VLOOKUP($B2281,DG!A:D,DG!$B$2,)</f>
        <v>07.2301</v>
      </c>
      <c r="F2281" s="985" t="str">
        <f>VLOOKUP($B2281,DG!A:D,DG!$C$2,)</f>
        <v>Lắp ống sắt d&lt;120mm (Nhân công đã qui đổi về ĐG chiếu sáng)</v>
      </c>
      <c r="G2281" s="980" t="str">
        <f>VLOOKUP($B2281,DG!A:D,DG!$D$2,)</f>
        <v>mét</v>
      </c>
      <c r="H2281" s="1693">
        <f t="shared" si="390"/>
        <v>0</v>
      </c>
      <c r="I2281" s="1693"/>
      <c r="J2281" s="1693"/>
      <c r="K2281" s="1693"/>
      <c r="L2281" s="1693"/>
      <c r="M2281" s="1693"/>
      <c r="N2281" s="1693"/>
      <c r="O2281" s="1693"/>
      <c r="P2281" s="1693">
        <f t="shared" si="391"/>
        <v>0</v>
      </c>
      <c r="Q2281" s="989"/>
      <c r="R2281" s="989"/>
      <c r="S2281" s="989"/>
      <c r="T2281" s="1862">
        <f t="shared" si="392"/>
        <v>0</v>
      </c>
    </row>
    <row r="2282" spans="1:20" ht="22.2" hidden="1" customHeight="1">
      <c r="A2282" s="1448">
        <f>COUNTIF($C$12:C2282,"x")</f>
        <v>151</v>
      </c>
      <c r="B2282" s="1485" t="s">
        <v>592</v>
      </c>
      <c r="C2282" s="970" t="str">
        <f t="shared" si="389"/>
        <v xml:space="preserve"> </v>
      </c>
      <c r="D2282" s="1413">
        <f>(D2244+D2243+D2242)</f>
        <v>0</v>
      </c>
      <c r="E2282" s="980" t="str">
        <f>VLOOKUP($B2282,DG!A:D,DG!$B$2,)</f>
        <v>CS4.02.011</v>
      </c>
      <c r="F2282" s="985" t="str">
        <f>VLOOKUP($B2282,DG!A:D,DG!$C$2,)</f>
        <v>Kéo rải cáp chiếu sáng D&lt;25</v>
      </c>
      <c r="G2282" s="980" t="str">
        <f>VLOOKUP($B2282,DG!A:D,DG!$D$2,)</f>
        <v>mét</v>
      </c>
      <c r="H2282" s="1693">
        <f t="shared" si="390"/>
        <v>0</v>
      </c>
      <c r="I2282" s="1693"/>
      <c r="J2282" s="1693"/>
      <c r="K2282" s="1693"/>
      <c r="L2282" s="1693"/>
      <c r="M2282" s="1693"/>
      <c r="N2282" s="1693"/>
      <c r="O2282" s="1693"/>
      <c r="P2282" s="1693">
        <f t="shared" si="391"/>
        <v>0</v>
      </c>
      <c r="Q2282" s="989"/>
      <c r="R2282" s="989"/>
      <c r="S2282" s="989"/>
      <c r="T2282" s="1862">
        <f t="shared" si="392"/>
        <v>0</v>
      </c>
    </row>
    <row r="2283" spans="1:20" ht="22.2" hidden="1" customHeight="1">
      <c r="A2283" s="1448">
        <f>COUNTIF($C$12:C2283,"x")</f>
        <v>151</v>
      </c>
      <c r="B2283" s="1485" t="s">
        <v>596</v>
      </c>
      <c r="C2283" s="970" t="str">
        <f t="shared" si="389"/>
        <v xml:space="preserve"> </v>
      </c>
      <c r="D2283" s="1418">
        <f>D2257</f>
        <v>0</v>
      </c>
      <c r="E2283" s="980" t="str">
        <f>VLOOKUP($B2283,DG!A:D,DG!$B$2,)</f>
        <v>CS4.03.010</v>
      </c>
      <c r="F2283" s="985" t="str">
        <f>VLOOKUP($B2283,DG!A:D,DG!$C$2,)</f>
        <v>Lắp đầu cáp ngầm chiếu sáng</v>
      </c>
      <c r="G2283" s="980" t="str">
        <f>VLOOKUP($B2283,DG!A:D,DG!$D$2,)</f>
        <v>bộ</v>
      </c>
      <c r="H2283" s="1693">
        <f t="shared" si="390"/>
        <v>0</v>
      </c>
      <c r="I2283" s="1693"/>
      <c r="J2283" s="1693"/>
      <c r="K2283" s="1693"/>
      <c r="L2283" s="1693"/>
      <c r="M2283" s="1693"/>
      <c r="N2283" s="1693"/>
      <c r="O2283" s="1693"/>
      <c r="P2283" s="1693">
        <f t="shared" si="391"/>
        <v>0</v>
      </c>
      <c r="Q2283" s="989"/>
      <c r="R2283" s="989"/>
      <c r="S2283" s="989"/>
      <c r="T2283" s="1862">
        <f t="shared" si="392"/>
        <v>0</v>
      </c>
    </row>
    <row r="2284" spans="1:20" ht="22.2" hidden="1" customHeight="1">
      <c r="A2284" s="1448">
        <f>COUNTIF($C$12:C2284,"x")</f>
        <v>151</v>
      </c>
      <c r="B2284" s="1485" t="s">
        <v>1845</v>
      </c>
      <c r="C2284" s="970" t="str">
        <f t="shared" si="389"/>
        <v xml:space="preserve"> </v>
      </c>
      <c r="D2284" s="1418">
        <f>D2250+D2249</f>
        <v>0</v>
      </c>
      <c r="E2284" s="980" t="str">
        <f>VLOOKUP($B2284,DG!A:D,DG!$B$2,)</f>
        <v>CS3.02.011</v>
      </c>
      <c r="F2284" s="985" t="str">
        <f>VLOOKUP($B2284,DG!A:D,DG!$C$2,)</f>
        <v>Lắp cần đèn +  chụp đầu cột hạ thế ≤ 10,5m</v>
      </c>
      <c r="G2284" s="980" t="str">
        <f>VLOOKUP($B2284,DG!A:D,DG!$D$2,)</f>
        <v>cái</v>
      </c>
      <c r="H2284" s="1693">
        <f t="shared" si="390"/>
        <v>0</v>
      </c>
      <c r="I2284" s="1693"/>
      <c r="J2284" s="1693"/>
      <c r="K2284" s="1693"/>
      <c r="L2284" s="1693"/>
      <c r="M2284" s="1693"/>
      <c r="N2284" s="1693"/>
      <c r="O2284" s="1693"/>
      <c r="P2284" s="1693">
        <f t="shared" si="391"/>
        <v>0</v>
      </c>
      <c r="Q2284" s="989"/>
      <c r="R2284" s="989"/>
      <c r="S2284" s="989"/>
      <c r="T2284" s="1862">
        <f t="shared" si="392"/>
        <v>0</v>
      </c>
    </row>
    <row r="2285" spans="1:20" ht="22.2" hidden="1" customHeight="1">
      <c r="A2285" s="1448">
        <f>COUNTIF($C$12:C2285,"x")</f>
        <v>151</v>
      </c>
      <c r="B2285" s="1485" t="s">
        <v>1172</v>
      </c>
      <c r="C2285" s="970" t="str">
        <f t="shared" si="389"/>
        <v xml:space="preserve"> </v>
      </c>
      <c r="D2285" s="1418">
        <f>D2252</f>
        <v>0</v>
      </c>
      <c r="E2285" s="980" t="str">
        <f>VLOOKUP($B2285,DG!A:D,DG!$B$2,)</f>
        <v>CS3.05.001</v>
      </c>
      <c r="F2285" s="985" t="str">
        <f>VLOOKUP($B2285,DG!A:D,DG!$C$2,)</f>
        <v>Lắp chóa đèn chiếu sáng ≤ 12m</v>
      </c>
      <c r="G2285" s="980" t="str">
        <f>VLOOKUP($B2285,DG!A:D,DG!$D$2,)</f>
        <v>bộ</v>
      </c>
      <c r="H2285" s="1693">
        <f t="shared" si="390"/>
        <v>0</v>
      </c>
      <c r="I2285" s="1693"/>
      <c r="J2285" s="1693"/>
      <c r="K2285" s="1693"/>
      <c r="L2285" s="1693"/>
      <c r="M2285" s="1693"/>
      <c r="N2285" s="1693"/>
      <c r="O2285" s="1693"/>
      <c r="P2285" s="1693">
        <f t="shared" si="391"/>
        <v>0</v>
      </c>
      <c r="Q2285" s="989"/>
      <c r="R2285" s="989"/>
      <c r="S2285" s="989"/>
      <c r="T2285" s="1862">
        <f t="shared" si="392"/>
        <v>0</v>
      </c>
    </row>
    <row r="2286" spans="1:20" ht="22.2" hidden="1" customHeight="1">
      <c r="A2286" s="1448">
        <f>COUNTIF($C$12:C2286,"x")</f>
        <v>151</v>
      </c>
      <c r="B2286" s="1485" t="s">
        <v>1684</v>
      </c>
      <c r="C2286" s="970" t="str">
        <f t="shared" si="389"/>
        <v xml:space="preserve"> </v>
      </c>
      <c r="D2286" s="1415">
        <f>D2248+D2247</f>
        <v>0</v>
      </c>
      <c r="E2286" s="980" t="str">
        <f>VLOOKUP($B2286,DG!A:D,DG!$B$2,)</f>
        <v>CS4.08.010</v>
      </c>
      <c r="F2286" s="992" t="str">
        <f>VLOOKUP($B2286,DG!A:D,DG!$C$2,)</f>
        <v>Luồn dây lên đèn</v>
      </c>
      <c r="G2286" s="980" t="str">
        <f>VLOOKUP($B2286,DG!A:D,DG!$D$2,)</f>
        <v>mét</v>
      </c>
      <c r="H2286" s="1693">
        <f t="shared" si="390"/>
        <v>0</v>
      </c>
      <c r="I2286" s="1693"/>
      <c r="J2286" s="1693"/>
      <c r="K2286" s="1693"/>
      <c r="L2286" s="1693"/>
      <c r="M2286" s="1693"/>
      <c r="N2286" s="1693"/>
      <c r="O2286" s="1693"/>
      <c r="P2286" s="1693">
        <f t="shared" si="391"/>
        <v>0</v>
      </c>
      <c r="Q2286" s="989"/>
      <c r="R2286" s="989"/>
      <c r="S2286" s="989"/>
      <c r="T2286" s="1862">
        <f t="shared" si="392"/>
        <v>0</v>
      </c>
    </row>
    <row r="2287" spans="1:20" ht="22.2" hidden="1" customHeight="1">
      <c r="A2287" s="1448">
        <f>COUNTIF($C$12:C2287,"x")</f>
        <v>151</v>
      </c>
      <c r="B2287" s="1485" t="s">
        <v>1123</v>
      </c>
      <c r="C2287" s="970" t="str">
        <f t="shared" si="389"/>
        <v xml:space="preserve"> </v>
      </c>
      <c r="D2287" s="1415">
        <f>D2262</f>
        <v>0</v>
      </c>
      <c r="E2287" s="980" t="str">
        <f>VLOOKUP($B2287,DG!A:D,DG!$B$2,)</f>
        <v>CS4.03.020</v>
      </c>
      <c r="F2287" s="985" t="str">
        <f>VLOOKUP($B2287,DG!A:D,DG!$C$2,)</f>
        <v>Lắp cầu chì đuôi cá</v>
      </c>
      <c r="G2287" s="980" t="str">
        <f>VLOOKUP($B2287,DG!A:D,DG!$D$2,)</f>
        <v>cái</v>
      </c>
      <c r="H2287" s="1693">
        <f t="shared" si="390"/>
        <v>0</v>
      </c>
      <c r="I2287" s="1693"/>
      <c r="J2287" s="1693"/>
      <c r="K2287" s="1693"/>
      <c r="L2287" s="1693"/>
      <c r="M2287" s="1693"/>
      <c r="N2287" s="1693"/>
      <c r="O2287" s="1693"/>
      <c r="P2287" s="1693">
        <f t="shared" si="391"/>
        <v>0</v>
      </c>
      <c r="Q2287" s="989"/>
      <c r="R2287" s="989"/>
      <c r="S2287" s="989"/>
      <c r="T2287" s="1862">
        <f t="shared" si="392"/>
        <v>0</v>
      </c>
    </row>
    <row r="2288" spans="1:20" ht="22.2" hidden="1" customHeight="1">
      <c r="A2288" s="1448">
        <f>COUNTIF($C$12:C2288,"x")</f>
        <v>151</v>
      </c>
      <c r="B2288" s="1485" t="s">
        <v>971</v>
      </c>
      <c r="C2288" s="970" t="str">
        <f t="shared" si="389"/>
        <v xml:space="preserve"> </v>
      </c>
      <c r="D2288" s="1415">
        <f>D2263</f>
        <v>0</v>
      </c>
      <c r="E2288" s="980">
        <f>VLOOKUP($B2288,DG!A:D,DG!$B$2,)</f>
        <v>0</v>
      </c>
      <c r="F2288" s="985" t="str">
        <f>VLOOKUP($B2288,DG!A:D,DG!$C$2,)</f>
        <v>Lắp tấm bakelit</v>
      </c>
      <c r="G2288" s="980">
        <f>VLOOKUP($B2288,DG!A:D,DG!$D$2,)</f>
        <v>0</v>
      </c>
      <c r="H2288" s="1693">
        <f t="shared" si="390"/>
        <v>0</v>
      </c>
      <c r="I2288" s="1693"/>
      <c r="J2288" s="1693"/>
      <c r="K2288" s="1693"/>
      <c r="L2288" s="1693"/>
      <c r="M2288" s="1693"/>
      <c r="N2288" s="1693"/>
      <c r="O2288" s="1693"/>
      <c r="P2288" s="1693">
        <f t="shared" si="391"/>
        <v>0</v>
      </c>
      <c r="Q2288" s="989"/>
      <c r="R2288" s="989"/>
      <c r="S2288" s="989"/>
      <c r="T2288" s="1862">
        <f t="shared" si="392"/>
        <v>0</v>
      </c>
    </row>
    <row r="2289" spans="1:20" ht="22.2" hidden="1" customHeight="1">
      <c r="A2289" s="1448">
        <f>COUNTIF($C$12:C2289,"x")</f>
        <v>151</v>
      </c>
      <c r="B2289" s="1452" t="s">
        <v>1498</v>
      </c>
      <c r="C2289" s="970" t="str">
        <f>IF(D2289&lt;&gt;0,"x"," ")</f>
        <v xml:space="preserve"> </v>
      </c>
      <c r="D2289" s="1436"/>
      <c r="E2289" s="982" t="s">
        <v>1897</v>
      </c>
      <c r="F2289" s="1276" t="s">
        <v>2566</v>
      </c>
      <c r="G2289" s="982"/>
      <c r="H2289" s="1691">
        <f>SUM(I2289:O2289)</f>
        <v>0</v>
      </c>
      <c r="I2289" s="1692"/>
      <c r="J2289" s="1692"/>
      <c r="K2289" s="1692"/>
      <c r="L2289" s="1692">
        <f>IFERROR(HLOOKUP(chitiet!B2289,pp1p!$1:$3,3,0),0)</f>
        <v>0</v>
      </c>
      <c r="M2289" s="1692"/>
      <c r="N2289" s="1692"/>
      <c r="O2289" s="1692"/>
      <c r="P2289" s="2674">
        <f>T2289</f>
        <v>0</v>
      </c>
      <c r="Q2289" s="983">
        <f>IF(P2289&gt;H2289,P2289-H2289,0)</f>
        <v>0</v>
      </c>
      <c r="R2289" s="983">
        <f>IF(H2289&gt;P2289,H2289-P2289,0)</f>
        <v>0</v>
      </c>
      <c r="S2289" s="1001"/>
      <c r="T2289" s="1862">
        <f t="shared" si="392"/>
        <v>0</v>
      </c>
    </row>
    <row r="2290" spans="1:20" ht="22.2" hidden="1" customHeight="1">
      <c r="A2290" s="1448">
        <f>COUNTIF($C$12:C2290,"x")</f>
        <v>151</v>
      </c>
      <c r="B2290" s="1452">
        <v>0</v>
      </c>
      <c r="C2290" s="970" t="str">
        <f t="shared" si="389"/>
        <v xml:space="preserve"> </v>
      </c>
      <c r="D2290" s="1428"/>
      <c r="E2290" s="980" t="e">
        <f>VLOOKUP($B2290,DG!A:D,DG!$B$2,)</f>
        <v>#N/A</v>
      </c>
      <c r="F2290" s="985" t="e">
        <f>VLOOKUP($B2290,DG!A:D,DG!$C$2,)</f>
        <v>#N/A</v>
      </c>
      <c r="G2290" s="980" t="e">
        <f>VLOOKUP($B2290,DG!A:D,DG!$D$2,)</f>
        <v>#N/A</v>
      </c>
      <c r="H2290" s="1693">
        <f t="shared" ref="H2290:H2296" si="393">D2290</f>
        <v>0</v>
      </c>
      <c r="I2290" s="1693"/>
      <c r="J2290" s="1693">
        <f t="shared" ref="J2290:J2296" si="394">D2290</f>
        <v>0</v>
      </c>
      <c r="K2290" s="1693"/>
      <c r="L2290" s="1693"/>
      <c r="M2290" s="1693"/>
      <c r="N2290" s="1693"/>
      <c r="O2290" s="1693"/>
      <c r="P2290" s="1693">
        <f t="shared" si="391"/>
        <v>0</v>
      </c>
      <c r="Q2290" s="989"/>
      <c r="R2290" s="989"/>
      <c r="S2290" s="989"/>
      <c r="T2290" s="1862">
        <f t="shared" si="392"/>
        <v>0</v>
      </c>
    </row>
    <row r="2291" spans="1:20" ht="22.2" hidden="1" customHeight="1">
      <c r="A2291" s="1448">
        <f>COUNTIF($C$12:C2291,"x")</f>
        <v>151</v>
      </c>
      <c r="B2291" s="1452">
        <v>0</v>
      </c>
      <c r="C2291" s="970" t="str">
        <f t="shared" si="389"/>
        <v xml:space="preserve"> </v>
      </c>
      <c r="D2291" s="1428"/>
      <c r="E2291" s="980" t="e">
        <f>VLOOKUP($B2291,DG!A:D,DG!$B$2,)</f>
        <v>#N/A</v>
      </c>
      <c r="F2291" s="985" t="e">
        <f>VLOOKUP($B2291,DG!A:D,DG!$C$2,)</f>
        <v>#N/A</v>
      </c>
      <c r="G2291" s="980" t="e">
        <f>VLOOKUP($B2291,DG!A:D,DG!$D$2,)</f>
        <v>#N/A</v>
      </c>
      <c r="H2291" s="1693">
        <f t="shared" si="393"/>
        <v>0</v>
      </c>
      <c r="I2291" s="1693"/>
      <c r="J2291" s="1693">
        <f t="shared" si="394"/>
        <v>0</v>
      </c>
      <c r="K2291" s="1693"/>
      <c r="L2291" s="1693"/>
      <c r="M2291" s="1693"/>
      <c r="N2291" s="1693"/>
      <c r="O2291" s="1693"/>
      <c r="P2291" s="1693">
        <f t="shared" si="391"/>
        <v>0</v>
      </c>
      <c r="Q2291" s="989"/>
      <c r="R2291" s="989"/>
      <c r="S2291" s="989"/>
      <c r="T2291" s="1862">
        <f t="shared" si="392"/>
        <v>0</v>
      </c>
    </row>
    <row r="2292" spans="1:20" ht="22.2" hidden="1" customHeight="1">
      <c r="A2292" s="1448">
        <f>COUNTIF($C$12:C2292,"x")</f>
        <v>151</v>
      </c>
      <c r="B2292" s="1452">
        <v>0</v>
      </c>
      <c r="C2292" s="970" t="str">
        <f t="shared" si="389"/>
        <v xml:space="preserve"> </v>
      </c>
      <c r="D2292" s="1428"/>
      <c r="E2292" s="980" t="e">
        <f>VLOOKUP($B2292,DG!A:D,DG!$B$2,)</f>
        <v>#N/A</v>
      </c>
      <c r="F2292" s="992" t="e">
        <f>VLOOKUP($B2292,DG!A:D,DG!$C$2,)</f>
        <v>#N/A</v>
      </c>
      <c r="G2292" s="980" t="e">
        <f>VLOOKUP($B2292,DG!A:D,DG!$D$2,)</f>
        <v>#N/A</v>
      </c>
      <c r="H2292" s="1693">
        <f t="shared" si="393"/>
        <v>0</v>
      </c>
      <c r="I2292" s="1693"/>
      <c r="J2292" s="1693">
        <f t="shared" si="394"/>
        <v>0</v>
      </c>
      <c r="K2292" s="1693"/>
      <c r="L2292" s="1693"/>
      <c r="M2292" s="1693"/>
      <c r="N2292" s="1693"/>
      <c r="O2292" s="1693"/>
      <c r="P2292" s="1693">
        <f t="shared" si="391"/>
        <v>0</v>
      </c>
      <c r="Q2292" s="989"/>
      <c r="R2292" s="989"/>
      <c r="S2292" s="989"/>
      <c r="T2292" s="1862">
        <f t="shared" si="392"/>
        <v>0</v>
      </c>
    </row>
    <row r="2293" spans="1:20" ht="22.2" hidden="1" customHeight="1">
      <c r="A2293" s="1448">
        <f>COUNTIF($C$12:C2293,"x")</f>
        <v>151</v>
      </c>
      <c r="B2293" s="1452">
        <v>0</v>
      </c>
      <c r="C2293" s="970" t="str">
        <f t="shared" ref="C2293:C2359" si="395">IF(OR(P2293&lt;&gt;0,H2293&lt;&gt;0),"x"," ")</f>
        <v xml:space="preserve"> </v>
      </c>
      <c r="D2293" s="1428"/>
      <c r="E2293" s="980" t="e">
        <f>VLOOKUP($B2293,DG!A:D,DG!$B$2,)</f>
        <v>#N/A</v>
      </c>
      <c r="F2293" s="985" t="e">
        <f>VLOOKUP($B2293,DG!A:D,DG!$C$2,)</f>
        <v>#N/A</v>
      </c>
      <c r="G2293" s="980" t="e">
        <f>VLOOKUP($B2293,DG!A:D,DG!$D$2,)</f>
        <v>#N/A</v>
      </c>
      <c r="H2293" s="1693">
        <f t="shared" si="393"/>
        <v>0</v>
      </c>
      <c r="I2293" s="1693"/>
      <c r="J2293" s="1693">
        <f t="shared" si="394"/>
        <v>0</v>
      </c>
      <c r="K2293" s="1693"/>
      <c r="L2293" s="1693"/>
      <c r="M2293" s="1693"/>
      <c r="N2293" s="1693"/>
      <c r="O2293" s="1693"/>
      <c r="P2293" s="1693">
        <f t="shared" si="391"/>
        <v>0</v>
      </c>
      <c r="Q2293" s="989"/>
      <c r="R2293" s="989"/>
      <c r="S2293" s="989"/>
      <c r="T2293" s="1862">
        <f t="shared" si="392"/>
        <v>0</v>
      </c>
    </row>
    <row r="2294" spans="1:20" ht="22.2" hidden="1" customHeight="1">
      <c r="A2294" s="1448">
        <f>COUNTIF($C$12:C2294,"x")</f>
        <v>151</v>
      </c>
      <c r="B2294" s="1452">
        <v>0</v>
      </c>
      <c r="C2294" s="970" t="str">
        <f t="shared" si="395"/>
        <v xml:space="preserve"> </v>
      </c>
      <c r="D2294" s="1428"/>
      <c r="E2294" s="980" t="e">
        <f>VLOOKUP($B2294,DG!A:D,DG!$B$2,)</f>
        <v>#N/A</v>
      </c>
      <c r="F2294" s="985" t="e">
        <f>VLOOKUP($B2294,DG!A:D,DG!$C$2,)</f>
        <v>#N/A</v>
      </c>
      <c r="G2294" s="980" t="e">
        <f>VLOOKUP($B2294,DG!A:D,DG!$D$2,)</f>
        <v>#N/A</v>
      </c>
      <c r="H2294" s="1693">
        <f t="shared" si="393"/>
        <v>0</v>
      </c>
      <c r="I2294" s="1693"/>
      <c r="J2294" s="1693">
        <f t="shared" si="394"/>
        <v>0</v>
      </c>
      <c r="K2294" s="1693"/>
      <c r="L2294" s="1693"/>
      <c r="M2294" s="1693"/>
      <c r="N2294" s="1693"/>
      <c r="O2294" s="1693"/>
      <c r="P2294" s="1693">
        <f t="shared" si="391"/>
        <v>0</v>
      </c>
      <c r="Q2294" s="989"/>
      <c r="R2294" s="989"/>
      <c r="S2294" s="989"/>
      <c r="T2294" s="1862">
        <f t="shared" si="392"/>
        <v>0</v>
      </c>
    </row>
    <row r="2295" spans="1:20" ht="22.2" hidden="1" customHeight="1">
      <c r="A2295" s="1448">
        <f>COUNTIF($C$12:C2295,"x")</f>
        <v>151</v>
      </c>
      <c r="B2295" s="1452">
        <v>0</v>
      </c>
      <c r="C2295" s="970" t="str">
        <f t="shared" si="395"/>
        <v xml:space="preserve"> </v>
      </c>
      <c r="D2295" s="1428"/>
      <c r="E2295" s="980" t="e">
        <f>VLOOKUP($B2295,DG!A:D,DG!$B$2,)</f>
        <v>#N/A</v>
      </c>
      <c r="F2295" s="985" t="e">
        <f>VLOOKUP($B2295,DG!A:D,DG!$C$2,)</f>
        <v>#N/A</v>
      </c>
      <c r="G2295" s="980" t="e">
        <f>VLOOKUP($B2295,DG!A:D,DG!$D$2,)</f>
        <v>#N/A</v>
      </c>
      <c r="H2295" s="1693">
        <f t="shared" si="393"/>
        <v>0</v>
      </c>
      <c r="I2295" s="1693"/>
      <c r="J2295" s="1693">
        <f t="shared" si="394"/>
        <v>0</v>
      </c>
      <c r="K2295" s="1693"/>
      <c r="L2295" s="1693"/>
      <c r="M2295" s="1693"/>
      <c r="N2295" s="1693"/>
      <c r="O2295" s="1693"/>
      <c r="P2295" s="1693">
        <f t="shared" si="391"/>
        <v>0</v>
      </c>
      <c r="Q2295" s="989"/>
      <c r="R2295" s="989"/>
      <c r="S2295" s="989"/>
      <c r="T2295" s="1862">
        <f t="shared" si="392"/>
        <v>0</v>
      </c>
    </row>
    <row r="2296" spans="1:20" ht="22.2" hidden="1" customHeight="1">
      <c r="A2296" s="1448">
        <f>COUNTIF($C$12:C2296,"x")</f>
        <v>151</v>
      </c>
      <c r="B2296" s="1452">
        <v>0</v>
      </c>
      <c r="C2296" s="970" t="str">
        <f t="shared" si="395"/>
        <v xml:space="preserve"> </v>
      </c>
      <c r="D2296" s="1428"/>
      <c r="E2296" s="980" t="e">
        <f>VLOOKUP($B2296,DG!A:D,DG!$B$2,)</f>
        <v>#N/A</v>
      </c>
      <c r="F2296" s="985" t="e">
        <f>VLOOKUP($B2296,DG!A:D,DG!$C$2,)</f>
        <v>#N/A</v>
      </c>
      <c r="G2296" s="980" t="e">
        <f>VLOOKUP($B2296,DG!A:D,DG!$D$2,)</f>
        <v>#N/A</v>
      </c>
      <c r="H2296" s="1693">
        <f t="shared" si="393"/>
        <v>0</v>
      </c>
      <c r="I2296" s="1693"/>
      <c r="J2296" s="1693">
        <f t="shared" si="394"/>
        <v>0</v>
      </c>
      <c r="K2296" s="1693"/>
      <c r="L2296" s="1693"/>
      <c r="M2296" s="1693"/>
      <c r="N2296" s="1693"/>
      <c r="O2296" s="1693"/>
      <c r="P2296" s="1693">
        <f t="shared" si="391"/>
        <v>0</v>
      </c>
      <c r="Q2296" s="989"/>
      <c r="R2296" s="989"/>
      <c r="S2296" s="989"/>
      <c r="T2296" s="1862">
        <f t="shared" si="392"/>
        <v>0</v>
      </c>
    </row>
    <row r="2297" spans="1:20" ht="22.2" hidden="1" customHeight="1">
      <c r="A2297" s="1448">
        <f>COUNTIF($C$12:C2297,"x")</f>
        <v>151</v>
      </c>
      <c r="B2297" s="1452" t="s">
        <v>589</v>
      </c>
      <c r="C2297" s="970"/>
      <c r="D2297" s="1412">
        <f>IF(SUM(D2298:D2307)=0,0,1)</f>
        <v>0</v>
      </c>
      <c r="E2297" s="982" t="s">
        <v>1900</v>
      </c>
      <c r="F2297" s="1276" t="s">
        <v>2567</v>
      </c>
      <c r="G2297" s="982"/>
      <c r="H2297" s="1691">
        <f>SUM(I2297:O2297)</f>
        <v>0</v>
      </c>
      <c r="I2297" s="1692"/>
      <c r="J2297" s="1692"/>
      <c r="K2297" s="1692"/>
      <c r="L2297" s="1692">
        <f>IFERROR(HLOOKUP(chitiet!B2297,pp1p!$1:$3,3,0),0)</f>
        <v>0</v>
      </c>
      <c r="M2297" s="1692"/>
      <c r="N2297" s="1692"/>
      <c r="O2297" s="1692"/>
      <c r="P2297" s="2674">
        <f>T2297</f>
        <v>0</v>
      </c>
      <c r="Q2297" s="983">
        <f>IF(P2297&gt;H2297,P2297-H2297,0)</f>
        <v>0</v>
      </c>
      <c r="R2297" s="983">
        <f>IF(H2297&gt;P2297,H2297-P2297,0)</f>
        <v>0</v>
      </c>
      <c r="S2297" s="1001"/>
      <c r="T2297" s="1862">
        <f t="shared" si="392"/>
        <v>0</v>
      </c>
    </row>
    <row r="2298" spans="1:20" ht="22.2" hidden="1" customHeight="1">
      <c r="A2298" s="1448">
        <f>COUNTIF($C$12:C2298,"x")</f>
        <v>151</v>
      </c>
      <c r="B2298" s="1460" t="s">
        <v>788</v>
      </c>
      <c r="C2298" s="970" t="str">
        <f t="shared" si="395"/>
        <v xml:space="preserve"> </v>
      </c>
      <c r="D2298" s="1428">
        <f>+pp_NC!ED184</f>
        <v>0</v>
      </c>
      <c r="E2298" s="980" t="str">
        <f>VLOOKUP($B2298,DG!A:D,DG!$B$2,)</f>
        <v>02.3104</v>
      </c>
      <c r="F2298" s="992" t="str">
        <f>VLOOKUP($B2298,DG!A:D,DG!$C$2,)</f>
        <v>LTD 1P 24KV - 800A</v>
      </c>
      <c r="G2298" s="980" t="str">
        <f>VLOOKUP($B2298,DG!A:D,DG!$D$2,)</f>
        <v>cái</v>
      </c>
      <c r="H2298" s="1693">
        <f t="shared" ref="H2298:H2307" si="396">D2298</f>
        <v>0</v>
      </c>
      <c r="I2298" s="1693"/>
      <c r="J2298" s="1693">
        <f t="shared" ref="J2298:J2307" si="397">D2298</f>
        <v>0</v>
      </c>
      <c r="K2298" s="1693"/>
      <c r="L2298" s="1693"/>
      <c r="M2298" s="1693"/>
      <c r="N2298" s="1693"/>
      <c r="O2298" s="1693"/>
      <c r="P2298" s="1693">
        <f t="shared" si="391"/>
        <v>0</v>
      </c>
      <c r="Q2298" s="989"/>
      <c r="R2298" s="989"/>
      <c r="S2298" s="989"/>
      <c r="T2298" s="1862">
        <f t="shared" si="392"/>
        <v>0</v>
      </c>
    </row>
    <row r="2299" spans="1:20" ht="22.2" hidden="1" customHeight="1">
      <c r="A2299" s="1448">
        <f>COUNTIF($C$12:C2299,"x")</f>
        <v>151</v>
      </c>
      <c r="B2299" s="1460" t="s">
        <v>4597</v>
      </c>
      <c r="C2299" s="970" t="str">
        <f t="shared" si="395"/>
        <v xml:space="preserve"> </v>
      </c>
      <c r="D2299" s="1428">
        <f>pp_NC!EF184</f>
        <v>0</v>
      </c>
      <c r="E2299" s="980" t="str">
        <f>VLOOKUP($B2299,DG!A:D,DG!$B$2,)</f>
        <v>02.3505</v>
      </c>
      <c r="F2299" s="992" t="str">
        <f>VLOOKUP($B2299,DG!A:D,DG!$C$2,)</f>
        <v>LBFCO-24KV-200A</v>
      </c>
      <c r="G2299" s="980" t="str">
        <f>VLOOKUP($B2299,DG!A:D,DG!$D$2,)</f>
        <v>cái</v>
      </c>
      <c r="H2299" s="1693">
        <f t="shared" si="396"/>
        <v>0</v>
      </c>
      <c r="I2299" s="1693"/>
      <c r="J2299" s="1693">
        <f t="shared" si="397"/>
        <v>0</v>
      </c>
      <c r="K2299" s="1693"/>
      <c r="L2299" s="1693"/>
      <c r="M2299" s="1693"/>
      <c r="N2299" s="1693"/>
      <c r="O2299" s="1693"/>
      <c r="P2299" s="1693">
        <f t="shared" si="391"/>
        <v>0</v>
      </c>
      <c r="Q2299" s="989"/>
      <c r="R2299" s="989"/>
      <c r="S2299" s="989"/>
      <c r="T2299" s="1862">
        <f t="shared" si="392"/>
        <v>0</v>
      </c>
    </row>
    <row r="2300" spans="1:20" ht="22.2" hidden="1" customHeight="1">
      <c r="A2300" s="1448">
        <f>COUNTIF($C$12:C2300,"x")</f>
        <v>151</v>
      </c>
      <c r="B2300" s="1460" t="s">
        <v>1653</v>
      </c>
      <c r="C2300" s="970" t="str">
        <f t="shared" si="395"/>
        <v xml:space="preserve"> </v>
      </c>
      <c r="D2300" s="1428">
        <f>pp_NC!EG184</f>
        <v>0</v>
      </c>
      <c r="E2300" s="980" t="str">
        <f>VLOOKUP($B2300,DG!A:D,DG!$B$2,)</f>
        <v>02.3505</v>
      </c>
      <c r="F2300" s="992" t="str">
        <f>VLOOKUP($B2300,DG!A:D,DG!$C$2,)</f>
        <v xml:space="preserve">FCO 24KV - 200A </v>
      </c>
      <c r="G2300" s="980" t="str">
        <f>VLOOKUP($B2300,DG!A:D,DG!$D$2,)</f>
        <v>cái</v>
      </c>
      <c r="H2300" s="1693">
        <f t="shared" si="396"/>
        <v>0</v>
      </c>
      <c r="I2300" s="1693"/>
      <c r="J2300" s="1693">
        <f t="shared" si="397"/>
        <v>0</v>
      </c>
      <c r="K2300" s="1693"/>
      <c r="L2300" s="1693"/>
      <c r="M2300" s="1693"/>
      <c r="N2300" s="1693"/>
      <c r="O2300" s="1693"/>
      <c r="P2300" s="1693">
        <f t="shared" si="391"/>
        <v>0</v>
      </c>
      <c r="Q2300" s="989"/>
      <c r="R2300" s="989"/>
      <c r="S2300" s="989"/>
      <c r="T2300" s="1862">
        <f t="shared" si="392"/>
        <v>0</v>
      </c>
    </row>
    <row r="2301" spans="1:20" ht="22.2" hidden="1" customHeight="1">
      <c r="A2301" s="1448">
        <f>COUNTIF($C$12:C2301,"x")</f>
        <v>151</v>
      </c>
      <c r="B2301" s="1449" t="s">
        <v>1652</v>
      </c>
      <c r="C2301" s="970" t="str">
        <f t="shared" si="395"/>
        <v xml:space="preserve"> </v>
      </c>
      <c r="D2301" s="1428">
        <f>pp_NC!EH184</f>
        <v>0</v>
      </c>
      <c r="E2301" s="980" t="str">
        <f>VLOOKUP($B2301,DG!A:D,DG!$B$2,)</f>
        <v>02.3155</v>
      </c>
      <c r="F2301" s="992" t="str">
        <f>VLOOKUP($B2301,DG!A:D,DG!$C$2,)</f>
        <v>FCO 24kV - 100A</v>
      </c>
      <c r="G2301" s="980" t="str">
        <f>VLOOKUP($B2301,DG!A:D,DG!$D$2,)</f>
        <v>cái</v>
      </c>
      <c r="H2301" s="1693">
        <f t="shared" si="396"/>
        <v>0</v>
      </c>
      <c r="I2301" s="1693"/>
      <c r="J2301" s="1693">
        <f t="shared" si="397"/>
        <v>0</v>
      </c>
      <c r="K2301" s="1693"/>
      <c r="L2301" s="1693"/>
      <c r="M2301" s="1693"/>
      <c r="N2301" s="1693"/>
      <c r="O2301" s="1693"/>
      <c r="P2301" s="1693">
        <f t="shared" si="391"/>
        <v>0</v>
      </c>
      <c r="Q2301" s="989"/>
      <c r="R2301" s="989"/>
      <c r="S2301" s="989"/>
      <c r="T2301" s="1862">
        <f t="shared" si="392"/>
        <v>0</v>
      </c>
    </row>
    <row r="2302" spans="1:20" ht="22.2" hidden="1" customHeight="1">
      <c r="A2302" s="1448">
        <f>COUNTIF($C$12:C2302,"x")</f>
        <v>151</v>
      </c>
      <c r="B2302" s="1459" t="s">
        <v>386</v>
      </c>
      <c r="C2302" s="970" t="str">
        <f t="shared" si="395"/>
        <v xml:space="preserve"> </v>
      </c>
      <c r="D2302" s="1428"/>
      <c r="E2302" s="980">
        <f>VLOOKUP($B2302,DG!A:D,DG!$B$2,)</f>
        <v>0</v>
      </c>
      <c r="F2302" s="992" t="str">
        <f>VLOOKUP($B2302,DG!A:D,DG!$C$2,)</f>
        <v>Dây chảy 12K</v>
      </c>
      <c r="G2302" s="980" t="str">
        <f>VLOOKUP($B2302,DG!A:D,DG!$D$2,)</f>
        <v>Sợi</v>
      </c>
      <c r="H2302" s="1693">
        <f t="shared" si="396"/>
        <v>0</v>
      </c>
      <c r="I2302" s="1693"/>
      <c r="J2302" s="1693">
        <f t="shared" si="397"/>
        <v>0</v>
      </c>
      <c r="K2302" s="1693"/>
      <c r="L2302" s="1693"/>
      <c r="M2302" s="1693"/>
      <c r="N2302" s="1693"/>
      <c r="O2302" s="1693"/>
      <c r="P2302" s="1693">
        <f t="shared" si="391"/>
        <v>0</v>
      </c>
      <c r="Q2302" s="989"/>
      <c r="R2302" s="989"/>
      <c r="S2302" s="989"/>
      <c r="T2302" s="1862">
        <f t="shared" si="392"/>
        <v>0</v>
      </c>
    </row>
    <row r="2303" spans="1:20" ht="22.2" hidden="1" customHeight="1">
      <c r="A2303" s="1448">
        <f>COUNTIF($C$12:C2303,"x")</f>
        <v>151</v>
      </c>
      <c r="B2303" s="1459" t="s">
        <v>4343</v>
      </c>
      <c r="C2303" s="970" t="str">
        <f t="shared" si="395"/>
        <v xml:space="preserve"> </v>
      </c>
      <c r="D2303" s="1428"/>
      <c r="E2303" s="980">
        <f>VLOOKUP($B2303,DG!A:D,DG!$B$2,)</f>
        <v>0</v>
      </c>
      <c r="F2303" s="992" t="str">
        <f>VLOOKUP($B2303,DG!A:D,DG!$C$2,)</f>
        <v>Chụp cách điện đầu cực FCO (trên + dưới)</v>
      </c>
      <c r="G2303" s="980" t="str">
        <f>VLOOKUP($B2303,DG!A:D,DG!$D$2,)</f>
        <v>bộ</v>
      </c>
      <c r="H2303" s="1693">
        <f t="shared" si="396"/>
        <v>0</v>
      </c>
      <c r="I2303" s="1693"/>
      <c r="J2303" s="1693">
        <f t="shared" si="397"/>
        <v>0</v>
      </c>
      <c r="K2303" s="1693"/>
      <c r="L2303" s="1693"/>
      <c r="M2303" s="1693"/>
      <c r="N2303" s="1693"/>
      <c r="O2303" s="1693"/>
      <c r="P2303" s="1693">
        <f>H2303+Q2303-R2303</f>
        <v>0</v>
      </c>
      <c r="Q2303" s="989"/>
      <c r="R2303" s="989"/>
      <c r="S2303" s="989"/>
      <c r="T2303" s="1862">
        <f t="shared" si="392"/>
        <v>0</v>
      </c>
    </row>
    <row r="2304" spans="1:20" ht="22.2" hidden="1" customHeight="1">
      <c r="A2304" s="1448">
        <f>COUNTIF($C$12:C2304,"x")</f>
        <v>151</v>
      </c>
      <c r="B2304" s="1460" t="s">
        <v>446</v>
      </c>
      <c r="C2304" s="970" t="str">
        <f t="shared" si="395"/>
        <v xml:space="preserve"> </v>
      </c>
      <c r="D2304" s="1428"/>
      <c r="E2304" s="980" t="str">
        <f>VLOOKUP($B2304,DG!A:D,DG!$B$2,)</f>
        <v>02.3302</v>
      </c>
      <c r="F2304" s="992" t="str">
        <f>VLOOKUP($B2304,DG!A:D,DG!$C$2,)</f>
        <v xml:space="preserve">DS 1P - 24KV - 600A </v>
      </c>
      <c r="G2304" s="980" t="str">
        <f>VLOOKUP($B2304,DG!A:D,DG!$D$2,)</f>
        <v>bộ</v>
      </c>
      <c r="H2304" s="1693">
        <f t="shared" si="396"/>
        <v>0</v>
      </c>
      <c r="I2304" s="1693"/>
      <c r="J2304" s="1693">
        <f t="shared" si="397"/>
        <v>0</v>
      </c>
      <c r="K2304" s="1693"/>
      <c r="L2304" s="1693"/>
      <c r="M2304" s="1693"/>
      <c r="N2304" s="1693"/>
      <c r="O2304" s="1693"/>
      <c r="P2304" s="1693">
        <f t="shared" si="391"/>
        <v>0</v>
      </c>
      <c r="Q2304" s="989"/>
      <c r="R2304" s="989"/>
      <c r="S2304" s="989"/>
      <c r="T2304" s="1862">
        <f t="shared" si="392"/>
        <v>0</v>
      </c>
    </row>
    <row r="2305" spans="1:20" ht="22.2" hidden="1" customHeight="1">
      <c r="A2305" s="1448">
        <f>COUNTIF($C$12:C2305,"x")</f>
        <v>151</v>
      </c>
      <c r="B2305" s="1460" t="s">
        <v>1921</v>
      </c>
      <c r="C2305" s="970" t="str">
        <f t="shared" si="395"/>
        <v xml:space="preserve"> </v>
      </c>
      <c r="D2305" s="1428">
        <f>pp_NC!EJ184</f>
        <v>0</v>
      </c>
      <c r="E2305" s="980" t="str">
        <f>VLOOKUP($B2305,DG!A:D,DG!$B$2,)</f>
        <v>02.3302</v>
      </c>
      <c r="F2305" s="992" t="str">
        <f>VLOOKUP($B2305,DG!A:D,DG!$C$2,)</f>
        <v xml:space="preserve">DS 3P - 24KV - 630A </v>
      </c>
      <c r="G2305" s="980" t="str">
        <f>VLOOKUP($B2305,DG!A:D,DG!$D$2,)</f>
        <v>bộ</v>
      </c>
      <c r="H2305" s="1693">
        <f t="shared" si="396"/>
        <v>0</v>
      </c>
      <c r="I2305" s="1693"/>
      <c r="J2305" s="1693">
        <f t="shared" si="397"/>
        <v>0</v>
      </c>
      <c r="K2305" s="1693"/>
      <c r="L2305" s="1693"/>
      <c r="M2305" s="1693"/>
      <c r="N2305" s="1693"/>
      <c r="O2305" s="1693"/>
      <c r="P2305" s="1693">
        <f t="shared" si="391"/>
        <v>0</v>
      </c>
      <c r="Q2305" s="989"/>
      <c r="R2305" s="989"/>
      <c r="S2305" s="989"/>
      <c r="T2305" s="1862">
        <f t="shared" si="392"/>
        <v>0</v>
      </c>
    </row>
    <row r="2306" spans="1:20" ht="22.2" hidden="1" customHeight="1">
      <c r="A2306" s="1448">
        <f>COUNTIF($C$12:C2306,"x")</f>
        <v>151</v>
      </c>
      <c r="B2306" s="1460" t="s">
        <v>602</v>
      </c>
      <c r="C2306" s="970" t="str">
        <f t="shared" si="395"/>
        <v xml:space="preserve"> </v>
      </c>
      <c r="D2306" s="1428"/>
      <c r="E2306" s="980" t="str">
        <f>VLOOKUP($B2306,DG!A:D,DG!$B$2,)</f>
        <v>02.2124</v>
      </c>
      <c r="F2306" s="992" t="str">
        <f>VLOOKUP($B2306,DG!A:D,DG!$C$2,)</f>
        <v>LBS SF6 3pha 24kV 630A - 16kA</v>
      </c>
      <c r="G2306" s="980" t="str">
        <f>VLOOKUP($B2306,DG!A:D,DG!$D$2,)</f>
        <v>bộ</v>
      </c>
      <c r="H2306" s="1693">
        <f t="shared" si="396"/>
        <v>0</v>
      </c>
      <c r="I2306" s="1693"/>
      <c r="J2306" s="1693">
        <f t="shared" si="397"/>
        <v>0</v>
      </c>
      <c r="K2306" s="1693"/>
      <c r="L2306" s="1693"/>
      <c r="M2306" s="1693"/>
      <c r="N2306" s="1693"/>
      <c r="O2306" s="1693"/>
      <c r="P2306" s="1693">
        <f t="shared" si="391"/>
        <v>0</v>
      </c>
      <c r="Q2306" s="989"/>
      <c r="R2306" s="989"/>
      <c r="S2306" s="989"/>
      <c r="T2306" s="1862">
        <f t="shared" si="392"/>
        <v>0</v>
      </c>
    </row>
    <row r="2307" spans="1:20" ht="22.2" hidden="1" customHeight="1">
      <c r="A2307" s="1448">
        <f>COUNTIF($C$12:C2307,"x")</f>
        <v>151</v>
      </c>
      <c r="B2307" s="1460" t="s">
        <v>1912</v>
      </c>
      <c r="C2307" s="970" t="str">
        <f t="shared" si="395"/>
        <v xml:space="preserve"> </v>
      </c>
      <c r="D2307" s="1428"/>
      <c r="E2307" s="980" t="e">
        <f>VLOOKUP($B2307,DG!A:D,DG!$B$2,)</f>
        <v>#N/A</v>
      </c>
      <c r="F2307" s="992" t="e">
        <f>VLOOKUP($B2307,DG!A:D,DG!$C$2,)</f>
        <v>#N/A</v>
      </c>
      <c r="G2307" s="980" t="e">
        <f>VLOOKUP($B2307,DG!A:D,DG!$D$2,)</f>
        <v>#N/A</v>
      </c>
      <c r="H2307" s="1693">
        <f t="shared" si="396"/>
        <v>0</v>
      </c>
      <c r="I2307" s="1693"/>
      <c r="J2307" s="1693">
        <f t="shared" si="397"/>
        <v>0</v>
      </c>
      <c r="K2307" s="1693"/>
      <c r="L2307" s="1693"/>
      <c r="M2307" s="1693"/>
      <c r="N2307" s="1693"/>
      <c r="O2307" s="1693"/>
      <c r="P2307" s="1693">
        <f t="shared" si="391"/>
        <v>0</v>
      </c>
      <c r="Q2307" s="989"/>
      <c r="R2307" s="989"/>
      <c r="S2307" s="989"/>
      <c r="T2307" s="1862">
        <f t="shared" si="392"/>
        <v>0</v>
      </c>
    </row>
    <row r="2308" spans="1:20" ht="22.2" hidden="1" customHeight="1">
      <c r="A2308" s="1448">
        <f>COUNTIF($C$12:C2308,"x")</f>
        <v>151</v>
      </c>
      <c r="B2308" s="1452" t="s">
        <v>1922</v>
      </c>
      <c r="C2308" s="970" t="str">
        <f>IF(D2308&lt;&gt;0,"x"," ")</f>
        <v xml:space="preserve"> </v>
      </c>
      <c r="D2308" s="1412">
        <f>IF(SUM(D2309:D2318)=0,0,1)</f>
        <v>0</v>
      </c>
      <c r="E2308" s="982" t="s">
        <v>1900</v>
      </c>
      <c r="F2308" s="1276" t="s">
        <v>2568</v>
      </c>
      <c r="G2308" s="982"/>
      <c r="H2308" s="1691">
        <f>SUM(I2308:O2308)</f>
        <v>0</v>
      </c>
      <c r="I2308" s="1692"/>
      <c r="J2308" s="1692"/>
      <c r="K2308" s="1692"/>
      <c r="L2308" s="1692">
        <f>IFERROR(HLOOKUP(chitiet!B2308,pp1p!$1:$3,3,0),0)</f>
        <v>0</v>
      </c>
      <c r="M2308" s="1692"/>
      <c r="N2308" s="1692"/>
      <c r="O2308" s="1692"/>
      <c r="P2308" s="2674">
        <f>T2308</f>
        <v>0</v>
      </c>
      <c r="Q2308" s="983">
        <f>IF(P2308&gt;H2308,P2308-H2308,0)</f>
        <v>0</v>
      </c>
      <c r="R2308" s="983">
        <f>IF(H2308&gt;P2308,H2308-P2308,0)</f>
        <v>0</v>
      </c>
      <c r="S2308" s="1001"/>
      <c r="T2308" s="1862">
        <f t="shared" si="392"/>
        <v>0</v>
      </c>
    </row>
    <row r="2309" spans="1:20" ht="22.2" hidden="1" customHeight="1">
      <c r="A2309" s="1448">
        <f>COUNTIF($C$12:C2309,"x")</f>
        <v>151</v>
      </c>
      <c r="B2309" s="1460" t="s">
        <v>788</v>
      </c>
      <c r="C2309" s="970" t="str">
        <f t="shared" si="395"/>
        <v xml:space="preserve"> </v>
      </c>
      <c r="D2309" s="1429">
        <f>+'pp3p2m '!DM82</f>
        <v>0</v>
      </c>
      <c r="E2309" s="980" t="str">
        <f>VLOOKUP($B2309,DG!A:D,DG!$B$2,)</f>
        <v>02.3104</v>
      </c>
      <c r="F2309" s="992" t="str">
        <f>VLOOKUP($B2309,DG!A:D,DG!$C$2,)</f>
        <v>LTD 1P 24KV - 800A</v>
      </c>
      <c r="G2309" s="980" t="str">
        <f>VLOOKUP($B2309,DG!A:D,DG!$D$2,)</f>
        <v>cái</v>
      </c>
      <c r="H2309" s="1694">
        <f t="shared" ref="H2309:H2318" si="398">D2309</f>
        <v>0</v>
      </c>
      <c r="I2309" s="1694">
        <f t="shared" ref="I2309:I2318" si="399">D2309</f>
        <v>0</v>
      </c>
      <c r="J2309" s="1694"/>
      <c r="K2309" s="1694"/>
      <c r="L2309" s="1694"/>
      <c r="M2309" s="1694"/>
      <c r="N2309" s="1694"/>
      <c r="O2309" s="1694"/>
      <c r="P2309" s="1693">
        <f t="shared" si="391"/>
        <v>0</v>
      </c>
      <c r="Q2309" s="988"/>
      <c r="R2309" s="988"/>
      <c r="S2309" s="988"/>
      <c r="T2309" s="1862">
        <f t="shared" si="392"/>
        <v>0</v>
      </c>
    </row>
    <row r="2310" spans="1:20" ht="22.2" hidden="1" customHeight="1">
      <c r="A2310" s="1448">
        <f>COUNTIF($C$12:C2310,"x")</f>
        <v>151</v>
      </c>
      <c r="B2310" s="1460" t="s">
        <v>2125</v>
      </c>
      <c r="C2310" s="970" t="str">
        <f t="shared" si="395"/>
        <v xml:space="preserve"> </v>
      </c>
      <c r="D2310" s="1429"/>
      <c r="E2310" s="980" t="str">
        <f>VLOOKUP($B2310,DG!A:D,DG!$B$2,)</f>
        <v>02.3505</v>
      </c>
      <c r="F2310" s="992" t="str">
        <f>VLOOKUP($B2310,DG!A:D,DG!$C$2,)</f>
        <v>LBFCO-24KV-100A</v>
      </c>
      <c r="G2310" s="980" t="str">
        <f>VLOOKUP($B2310,DG!A:D,DG!$D$2,)</f>
        <v>cái</v>
      </c>
      <c r="H2310" s="1694">
        <f t="shared" si="398"/>
        <v>0</v>
      </c>
      <c r="I2310" s="1694">
        <f t="shared" si="399"/>
        <v>0</v>
      </c>
      <c r="J2310" s="1694"/>
      <c r="K2310" s="1694"/>
      <c r="L2310" s="1694"/>
      <c r="M2310" s="1694"/>
      <c r="N2310" s="1694"/>
      <c r="O2310" s="1694"/>
      <c r="P2310" s="1693">
        <f t="shared" si="391"/>
        <v>0</v>
      </c>
      <c r="Q2310" s="988"/>
      <c r="R2310" s="988"/>
      <c r="S2310" s="988"/>
      <c r="T2310" s="1862">
        <f t="shared" si="392"/>
        <v>0</v>
      </c>
    </row>
    <row r="2311" spans="1:20" ht="22.2" hidden="1" customHeight="1">
      <c r="A2311" s="1448">
        <f>COUNTIF($C$12:C2311,"x")</f>
        <v>151</v>
      </c>
      <c r="B2311" s="1460" t="s">
        <v>1653</v>
      </c>
      <c r="C2311" s="970" t="str">
        <f t="shared" si="395"/>
        <v xml:space="preserve"> </v>
      </c>
      <c r="D2311" s="1429"/>
      <c r="E2311" s="980" t="str">
        <f>VLOOKUP($B2311,DG!A:D,DG!$B$2,)</f>
        <v>02.3505</v>
      </c>
      <c r="F2311" s="992" t="str">
        <f>VLOOKUP($B2311,DG!A:D,DG!$C$2,)</f>
        <v xml:space="preserve">FCO 24KV - 200A </v>
      </c>
      <c r="G2311" s="980" t="str">
        <f>VLOOKUP($B2311,DG!A:D,DG!$D$2,)</f>
        <v>cái</v>
      </c>
      <c r="H2311" s="1694">
        <f t="shared" si="398"/>
        <v>0</v>
      </c>
      <c r="I2311" s="1694">
        <f t="shared" si="399"/>
        <v>0</v>
      </c>
      <c r="J2311" s="1694"/>
      <c r="K2311" s="1694"/>
      <c r="L2311" s="1694"/>
      <c r="M2311" s="1694"/>
      <c r="N2311" s="1694"/>
      <c r="O2311" s="1694"/>
      <c r="P2311" s="1693">
        <f t="shared" si="391"/>
        <v>0</v>
      </c>
      <c r="Q2311" s="988"/>
      <c r="R2311" s="988"/>
      <c r="S2311" s="988"/>
      <c r="T2311" s="1862">
        <f t="shared" si="392"/>
        <v>0</v>
      </c>
    </row>
    <row r="2312" spans="1:20" ht="22.2" hidden="1" customHeight="1">
      <c r="A2312" s="1448">
        <f>COUNTIF($C$12:C2312,"x")</f>
        <v>151</v>
      </c>
      <c r="B2312" s="1449" t="s">
        <v>1652</v>
      </c>
      <c r="C2312" s="970" t="str">
        <f t="shared" si="395"/>
        <v xml:space="preserve"> </v>
      </c>
      <c r="D2312" s="1429"/>
      <c r="E2312" s="980" t="str">
        <f>VLOOKUP($B2312,DG!A:D,DG!$B$2,)</f>
        <v>02.3155</v>
      </c>
      <c r="F2312" s="992" t="str">
        <f>VLOOKUP($B2312,DG!A:D,DG!$C$2,)</f>
        <v>FCO 24kV - 100A</v>
      </c>
      <c r="G2312" s="980" t="str">
        <f>VLOOKUP($B2312,DG!A:D,DG!$D$2,)</f>
        <v>cái</v>
      </c>
      <c r="H2312" s="1694">
        <f t="shared" si="398"/>
        <v>0</v>
      </c>
      <c r="I2312" s="1694">
        <f t="shared" si="399"/>
        <v>0</v>
      </c>
      <c r="J2312" s="1694"/>
      <c r="K2312" s="1694"/>
      <c r="L2312" s="1694"/>
      <c r="M2312" s="1694"/>
      <c r="N2312" s="1694"/>
      <c r="O2312" s="1694"/>
      <c r="P2312" s="1693">
        <f t="shared" si="391"/>
        <v>0</v>
      </c>
      <c r="Q2312" s="988"/>
      <c r="R2312" s="988"/>
      <c r="S2312" s="988"/>
      <c r="T2312" s="1862">
        <f t="shared" si="392"/>
        <v>0</v>
      </c>
    </row>
    <row r="2313" spans="1:20" ht="22.2" hidden="1" customHeight="1">
      <c r="A2313" s="1448">
        <f>COUNTIF($C$12:C2313,"x")</f>
        <v>151</v>
      </c>
      <c r="B2313" s="1460" t="s">
        <v>446</v>
      </c>
      <c r="C2313" s="970" t="str">
        <f t="shared" si="395"/>
        <v xml:space="preserve"> </v>
      </c>
      <c r="D2313" s="1429"/>
      <c r="E2313" s="980" t="str">
        <f>VLOOKUP($B2313,DG!A:D,DG!$B$2,)</f>
        <v>02.3302</v>
      </c>
      <c r="F2313" s="992" t="str">
        <f>VLOOKUP($B2313,DG!A:D,DG!$C$2,)</f>
        <v xml:space="preserve">DS 1P - 24KV - 600A </v>
      </c>
      <c r="G2313" s="980" t="str">
        <f>VLOOKUP($B2313,DG!A:D,DG!$D$2,)</f>
        <v>bộ</v>
      </c>
      <c r="H2313" s="1694">
        <f t="shared" si="398"/>
        <v>0</v>
      </c>
      <c r="I2313" s="1694">
        <f t="shared" si="399"/>
        <v>0</v>
      </c>
      <c r="J2313" s="1694"/>
      <c r="K2313" s="1694"/>
      <c r="L2313" s="1694"/>
      <c r="M2313" s="1694"/>
      <c r="N2313" s="1694"/>
      <c r="O2313" s="1694"/>
      <c r="P2313" s="1693">
        <f t="shared" si="391"/>
        <v>0</v>
      </c>
      <c r="Q2313" s="988"/>
      <c r="R2313" s="988"/>
      <c r="S2313" s="988"/>
      <c r="T2313" s="1862">
        <f t="shared" si="392"/>
        <v>0</v>
      </c>
    </row>
    <row r="2314" spans="1:20" ht="22.2" hidden="1" customHeight="1">
      <c r="A2314" s="1448">
        <f>COUNTIF($C$12:C2314,"x")</f>
        <v>151</v>
      </c>
      <c r="B2314" s="1460" t="s">
        <v>393</v>
      </c>
      <c r="C2314" s="970" t="str">
        <f t="shared" si="395"/>
        <v xml:space="preserve"> </v>
      </c>
      <c r="D2314" s="1429">
        <f>'pp3p2m '!DQ82</f>
        <v>0</v>
      </c>
      <c r="E2314" s="980" t="str">
        <f>VLOOKUP($B2314,DG!A:D,DG!$B$2,)</f>
        <v>02.3302</v>
      </c>
      <c r="F2314" s="992" t="str">
        <f>VLOOKUP($B2314,DG!A:D,DG!$C$2,)</f>
        <v xml:space="preserve">DS 3P - 24KV - 630A </v>
      </c>
      <c r="G2314" s="980" t="str">
        <f>VLOOKUP($B2314,DG!A:D,DG!$D$2,)</f>
        <v>bộ</v>
      </c>
      <c r="H2314" s="1694">
        <f t="shared" si="398"/>
        <v>0</v>
      </c>
      <c r="I2314" s="1694">
        <f t="shared" si="399"/>
        <v>0</v>
      </c>
      <c r="J2314" s="1694"/>
      <c r="K2314" s="1694"/>
      <c r="L2314" s="1694"/>
      <c r="M2314" s="1694"/>
      <c r="N2314" s="1694"/>
      <c r="O2314" s="1694"/>
      <c r="P2314" s="1693">
        <f t="shared" si="391"/>
        <v>0</v>
      </c>
      <c r="Q2314" s="988"/>
      <c r="R2314" s="988"/>
      <c r="S2314" s="988"/>
      <c r="T2314" s="1862">
        <f t="shared" si="392"/>
        <v>0</v>
      </c>
    </row>
    <row r="2315" spans="1:20" ht="22.2" hidden="1" customHeight="1">
      <c r="A2315" s="1448">
        <f>COUNTIF($C$12:C2315,"x")</f>
        <v>151</v>
      </c>
      <c r="B2315" s="1460" t="s">
        <v>602</v>
      </c>
      <c r="C2315" s="970" t="str">
        <f t="shared" si="395"/>
        <v xml:space="preserve"> </v>
      </c>
      <c r="D2315" s="1429"/>
      <c r="E2315" s="980" t="str">
        <f>VLOOKUP($B2315,DG!A:D,DG!$B$2,)</f>
        <v>02.2124</v>
      </c>
      <c r="F2315" s="992" t="str">
        <f>VLOOKUP($B2315,DG!A:D,DG!$C$2,)</f>
        <v>LBS SF6 3pha 24kV 630A - 16kA</v>
      </c>
      <c r="G2315" s="980" t="str">
        <f>VLOOKUP($B2315,DG!A:D,DG!$D$2,)</f>
        <v>bộ</v>
      </c>
      <c r="H2315" s="1694">
        <f t="shared" si="398"/>
        <v>0</v>
      </c>
      <c r="I2315" s="1694">
        <f t="shared" si="399"/>
        <v>0</v>
      </c>
      <c r="J2315" s="1694"/>
      <c r="K2315" s="1694"/>
      <c r="L2315" s="1694"/>
      <c r="M2315" s="1694"/>
      <c r="N2315" s="1694"/>
      <c r="O2315" s="1694"/>
      <c r="P2315" s="1693">
        <f t="shared" si="391"/>
        <v>0</v>
      </c>
      <c r="Q2315" s="988"/>
      <c r="R2315" s="988"/>
      <c r="S2315" s="988"/>
      <c r="T2315" s="1862">
        <f t="shared" si="392"/>
        <v>0</v>
      </c>
    </row>
    <row r="2316" spans="1:20" ht="22.2" hidden="1" customHeight="1">
      <c r="A2316" s="1448">
        <f>COUNTIF($C$12:C2316,"x")</f>
        <v>151</v>
      </c>
      <c r="B2316" s="1460" t="s">
        <v>1912</v>
      </c>
      <c r="C2316" s="970" t="str">
        <f t="shared" si="395"/>
        <v xml:space="preserve"> </v>
      </c>
      <c r="D2316" s="1429"/>
      <c r="E2316" s="980" t="e">
        <f>VLOOKUP($B2316,DG!A:D,DG!$B$2,)</f>
        <v>#N/A</v>
      </c>
      <c r="F2316" s="992" t="e">
        <f>VLOOKUP($B2316,DG!A:D,DG!$C$2,)</f>
        <v>#N/A</v>
      </c>
      <c r="G2316" s="980" t="e">
        <f>VLOOKUP($B2316,DG!A:D,DG!$D$2,)</f>
        <v>#N/A</v>
      </c>
      <c r="H2316" s="1694">
        <f t="shared" si="398"/>
        <v>0</v>
      </c>
      <c r="I2316" s="1694">
        <f t="shared" si="399"/>
        <v>0</v>
      </c>
      <c r="J2316" s="1694"/>
      <c r="K2316" s="1694"/>
      <c r="L2316" s="1694"/>
      <c r="M2316" s="1694"/>
      <c r="N2316" s="1694"/>
      <c r="O2316" s="1694"/>
      <c r="P2316" s="1693">
        <f t="shared" si="391"/>
        <v>0</v>
      </c>
      <c r="Q2316" s="988"/>
      <c r="R2316" s="988"/>
      <c r="S2316" s="988"/>
      <c r="T2316" s="1862">
        <f t="shared" si="392"/>
        <v>0</v>
      </c>
    </row>
    <row r="2317" spans="1:20" ht="22.2" hidden="1" customHeight="1">
      <c r="A2317" s="1448">
        <f>COUNTIF($C$12:C2317,"x")</f>
        <v>151</v>
      </c>
      <c r="B2317" s="1460" t="s">
        <v>1373</v>
      </c>
      <c r="C2317" s="970" t="str">
        <f t="shared" si="395"/>
        <v xml:space="preserve"> </v>
      </c>
      <c r="D2317" s="1429"/>
      <c r="E2317" s="980" t="str">
        <f>VLOOKUP($B2317,DG!A:D,DG!$B$2,)</f>
        <v>02.5114</v>
      </c>
      <c r="F2317" s="992" t="str">
        <f>VLOOKUP($B2317,DG!A:D,DG!$C$2,)</f>
        <v>Chống sét van LA-18KV-10KA</v>
      </c>
      <c r="G2317" s="980" t="str">
        <f>VLOOKUP($B2317,DG!A:D,DG!$D$2,)</f>
        <v>cái</v>
      </c>
      <c r="H2317" s="1694">
        <f t="shared" si="398"/>
        <v>0</v>
      </c>
      <c r="I2317" s="1694">
        <f t="shared" si="399"/>
        <v>0</v>
      </c>
      <c r="J2317" s="1694"/>
      <c r="K2317" s="1694"/>
      <c r="L2317" s="1694"/>
      <c r="M2317" s="1694"/>
      <c r="N2317" s="1694"/>
      <c r="O2317" s="1694"/>
      <c r="P2317" s="1693">
        <f t="shared" si="391"/>
        <v>0</v>
      </c>
      <c r="Q2317" s="988"/>
      <c r="R2317" s="988"/>
      <c r="S2317" s="988"/>
      <c r="T2317" s="1862">
        <f t="shared" si="392"/>
        <v>0</v>
      </c>
    </row>
    <row r="2318" spans="1:20" ht="22.2" hidden="1" customHeight="1">
      <c r="A2318" s="1448">
        <f>COUNTIF($C$12:C2318,"x")</f>
        <v>151</v>
      </c>
      <c r="B2318" s="1460" t="s">
        <v>966</v>
      </c>
      <c r="C2318" s="970" t="str">
        <f t="shared" si="395"/>
        <v xml:space="preserve"> </v>
      </c>
      <c r="D2318" s="1429"/>
      <c r="E2318" s="980" t="str">
        <f>VLOOKUP($B2318,DG!A:D,DG!$B$2,)</f>
        <v>02.5114</v>
      </c>
      <c r="F2318" s="992" t="str">
        <f>VLOOKUP($B2318,DG!A:D,DG!$C$2,)</f>
        <v>LA 12kV 10kA</v>
      </c>
      <c r="G2318" s="980" t="str">
        <f>VLOOKUP($B2318,DG!A:D,DG!$D$2,)</f>
        <v>cái</v>
      </c>
      <c r="H2318" s="1694">
        <f t="shared" si="398"/>
        <v>0</v>
      </c>
      <c r="I2318" s="1694">
        <f t="shared" si="399"/>
        <v>0</v>
      </c>
      <c r="J2318" s="1694"/>
      <c r="K2318" s="1694"/>
      <c r="L2318" s="1694"/>
      <c r="M2318" s="1694"/>
      <c r="N2318" s="1694"/>
      <c r="O2318" s="1694"/>
      <c r="P2318" s="1693">
        <f t="shared" si="391"/>
        <v>0</v>
      </c>
      <c r="Q2318" s="988"/>
      <c r="R2318" s="988"/>
      <c r="S2318" s="988"/>
      <c r="T2318" s="1862">
        <f t="shared" si="392"/>
        <v>0</v>
      </c>
    </row>
    <row r="2319" spans="1:20" ht="22.2" customHeight="1">
      <c r="A2319" s="1448">
        <f>COUNTIF($C$12:C2319,"x")</f>
        <v>152</v>
      </c>
      <c r="B2319" s="1452" t="s">
        <v>1139</v>
      </c>
      <c r="C2319" s="1701" t="str">
        <f>IF(D2319&lt;&gt;0,"x"," ")</f>
        <v>x</v>
      </c>
      <c r="D2319" s="1412">
        <f>IF(SUM(D2320:D2340)=0,0,1)</f>
        <v>1</v>
      </c>
      <c r="E2319" s="982" t="s">
        <v>1897</v>
      </c>
      <c r="F2319" s="1276" t="s">
        <v>2569</v>
      </c>
      <c r="G2319" s="982"/>
      <c r="H2319" s="1691">
        <f>SUM(I2319:O2319)</f>
        <v>0</v>
      </c>
      <c r="I2319" s="1692"/>
      <c r="J2319" s="1692"/>
      <c r="K2319" s="1692"/>
      <c r="L2319" s="1692">
        <f>IFERROR(HLOOKUP(chitiet!B2319,pp1p!$1:$3,3,0),0)</f>
        <v>0</v>
      </c>
      <c r="M2319" s="1692"/>
      <c r="N2319" s="1692"/>
      <c r="O2319" s="1692"/>
      <c r="P2319" s="2674">
        <f>T2319</f>
        <v>0</v>
      </c>
      <c r="Q2319" s="2677">
        <f>IF(P2319&gt;H2319,P2319-H2319,0)</f>
        <v>0</v>
      </c>
      <c r="R2319" s="983">
        <f>IF(H2319&gt;P2319,H2319-P2319,0)</f>
        <v>0</v>
      </c>
      <c r="S2319" s="1001"/>
      <c r="T2319" s="1862">
        <f>IFERROR(HLOOKUP(B2319,pp3p1m!$1:$3,3,0),0)</f>
        <v>0</v>
      </c>
    </row>
    <row r="2320" spans="1:20" ht="22.2" customHeight="1">
      <c r="A2320" s="1448">
        <f>COUNTIF($C$12:C2320,"x")</f>
        <v>153</v>
      </c>
      <c r="B2320" s="1460" t="s">
        <v>788</v>
      </c>
      <c r="C2320" s="970" t="str">
        <f t="shared" si="395"/>
        <v>x</v>
      </c>
      <c r="D2320" s="1437"/>
      <c r="E2320" s="2687" t="str">
        <f>VLOOKUP($B2320,DG!A:D,DG!$B$2,)</f>
        <v>02.3104</v>
      </c>
      <c r="F2320" s="2688" t="str">
        <f>VLOOKUP($B2320,DG!A:D,DG!$C$2,)</f>
        <v>LTD 1P 24KV - 800A</v>
      </c>
      <c r="G2320" s="2687" t="str">
        <f>VLOOKUP($B2320,DG!A:D,DG!$D$2,)</f>
        <v>cái</v>
      </c>
      <c r="H2320" s="1694">
        <f>T2320</f>
        <v>3</v>
      </c>
      <c r="I2320" s="1693"/>
      <c r="J2320" s="1694"/>
      <c r="K2320" s="1694">
        <f>IFERROR(HLOOKUP(B2320,pp3p1m!$1:$3,2,0),0)</f>
        <v>3</v>
      </c>
      <c r="L2320" s="1694"/>
      <c r="M2320" s="1694"/>
      <c r="N2320" s="1694"/>
      <c r="O2320" s="1694"/>
      <c r="P2320" s="1693">
        <f t="shared" si="391"/>
        <v>3</v>
      </c>
      <c r="Q2320" s="988"/>
      <c r="R2320" s="988"/>
      <c r="S2320" s="988"/>
      <c r="T2320" s="1862">
        <f>IFERROR(HLOOKUP(B2320,pp3p1m!$1:$3,3,0),0)</f>
        <v>3</v>
      </c>
    </row>
    <row r="2321" spans="1:20" ht="22.2" hidden="1" customHeight="1">
      <c r="A2321" s="1448">
        <f>COUNTIF($C$12:C2321,"x")</f>
        <v>153</v>
      </c>
      <c r="B2321" s="1460" t="s">
        <v>2125</v>
      </c>
      <c r="C2321" s="970" t="str">
        <f t="shared" si="395"/>
        <v xml:space="preserve"> </v>
      </c>
      <c r="D2321" s="1437"/>
      <c r="E2321" s="980" t="str">
        <f>VLOOKUP($B2321,DG!A:D,DG!$B$2,)</f>
        <v>02.3505</v>
      </c>
      <c r="F2321" s="992" t="str">
        <f>VLOOKUP($B2321,DG!A:D,DG!$C$2,)&amp;" : lắp trụ đo đếm"</f>
        <v>LBFCO-24KV-100A : lắp trụ đo đếm</v>
      </c>
      <c r="G2321" s="980" t="str">
        <f>VLOOKUP($B2321,DG!A:D,DG!$D$2,)</f>
        <v>cái</v>
      </c>
      <c r="H2321" s="1694">
        <f t="shared" ref="H2321:H2340" si="400">T2321</f>
        <v>0</v>
      </c>
      <c r="I2321" s="1694"/>
      <c r="J2321" s="1694"/>
      <c r="K2321" s="1694">
        <f>IFERROR(HLOOKUP(B2321,pp3p1m!$1:$3,2,0),0)</f>
        <v>0</v>
      </c>
      <c r="L2321" s="1694"/>
      <c r="M2321" s="1694"/>
      <c r="N2321" s="1694"/>
      <c r="O2321" s="1694"/>
      <c r="P2321" s="1693">
        <f t="shared" si="391"/>
        <v>0</v>
      </c>
      <c r="Q2321" s="988"/>
      <c r="R2321" s="988"/>
      <c r="S2321" s="988"/>
      <c r="T2321" s="1862">
        <f>IFERROR(HLOOKUP(B2321,pp3p1m!$1:$3,3,0),0)</f>
        <v>0</v>
      </c>
    </row>
    <row r="2322" spans="1:20" ht="22.2" hidden="1" customHeight="1">
      <c r="A2322" s="1448">
        <f>COUNTIF($C$12:C2322,"x")</f>
        <v>153</v>
      </c>
      <c r="B2322" s="1460" t="s">
        <v>591</v>
      </c>
      <c r="C2322" s="970" t="str">
        <f t="shared" si="395"/>
        <v xml:space="preserve"> </v>
      </c>
      <c r="D2322" s="1437"/>
      <c r="E2322" s="980">
        <f>VLOOKUP($B2322,DG!A:D,DG!$B$2,)</f>
        <v>0</v>
      </c>
      <c r="F2322" s="992" t="str">
        <f>VLOOKUP($B2322,DG!A:D,DG!$C$2,)</f>
        <v>Dây chảy 80K</v>
      </c>
      <c r="G2322" s="980" t="str">
        <f>VLOOKUP($B2322,DG!A:D,DG!$D$2,)</f>
        <v>Sợi</v>
      </c>
      <c r="H2322" s="1694">
        <f t="shared" si="400"/>
        <v>0</v>
      </c>
      <c r="I2322" s="1694"/>
      <c r="J2322" s="1694"/>
      <c r="K2322" s="1694">
        <f>IFERROR(HLOOKUP(B2322,pp3p1m!$1:$3,2,0),0)</f>
        <v>0</v>
      </c>
      <c r="L2322" s="1694"/>
      <c r="M2322" s="1694"/>
      <c r="N2322" s="1694"/>
      <c r="O2322" s="1694"/>
      <c r="P2322" s="1693">
        <f t="shared" si="391"/>
        <v>0</v>
      </c>
      <c r="Q2322" s="988"/>
      <c r="R2322" s="988"/>
      <c r="S2322" s="988"/>
      <c r="T2322" s="1862">
        <f>IFERROR(HLOOKUP(B2322,pp3p1m!$1:$3,3,0),0)</f>
        <v>0</v>
      </c>
    </row>
    <row r="2323" spans="1:20" ht="22.2" hidden="1" customHeight="1">
      <c r="A2323" s="1448">
        <f>COUNTIF($C$12:C2323,"x")</f>
        <v>153</v>
      </c>
      <c r="B2323" s="1460" t="s">
        <v>4597</v>
      </c>
      <c r="C2323" s="970" t="str">
        <f t="shared" si="395"/>
        <v xml:space="preserve"> </v>
      </c>
      <c r="D2323" s="1437"/>
      <c r="E2323" s="980" t="str">
        <f>VLOOKUP($B2323,DG!A:D,DG!$B$2,)</f>
        <v>02.3505</v>
      </c>
      <c r="F2323" s="992" t="str">
        <f>VLOOKUP($B2323,DG!A:D,DG!$C$2,)&amp;" : lắp trụ đầu nhánh"</f>
        <v>LBFCO-24KV-200A : lắp trụ đầu nhánh</v>
      </c>
      <c r="G2323" s="980" t="str">
        <f>VLOOKUP($B2323,DG!A:D,DG!$D$2,)</f>
        <v>cái</v>
      </c>
      <c r="H2323" s="1694">
        <f t="shared" si="400"/>
        <v>0</v>
      </c>
      <c r="I2323" s="1694"/>
      <c r="J2323" s="1694"/>
      <c r="K2323" s="1694">
        <f>IFERROR(HLOOKUP(B2323,pp3p1m!$1:$3,2,0),0)</f>
        <v>0</v>
      </c>
      <c r="L2323" s="1694"/>
      <c r="M2323" s="1694"/>
      <c r="N2323" s="1694"/>
      <c r="O2323" s="1694"/>
      <c r="P2323" s="1693">
        <f t="shared" si="391"/>
        <v>0</v>
      </c>
      <c r="Q2323" s="988"/>
      <c r="R2323" s="988"/>
      <c r="S2323" s="988"/>
      <c r="T2323" s="1862">
        <f>IFERROR(HLOOKUP(B2323,pp3p1m!$1:$3,3,0),0)</f>
        <v>0</v>
      </c>
    </row>
    <row r="2324" spans="1:20" ht="22.2" hidden="1" customHeight="1">
      <c r="A2324" s="1448">
        <f>COUNTIF($C$12:C2324,"x")</f>
        <v>153</v>
      </c>
      <c r="B2324" s="1460" t="s">
        <v>885</v>
      </c>
      <c r="C2324" s="970" t="str">
        <f t="shared" si="395"/>
        <v xml:space="preserve"> </v>
      </c>
      <c r="D2324" s="1429"/>
      <c r="E2324" s="980">
        <f>VLOOKUP($B2324,DG!A:D,DG!$B$2,)</f>
        <v>0</v>
      </c>
      <c r="F2324" s="992" t="str">
        <f>VLOOKUP($B2324,DG!A:D,DG!$C$2,)</f>
        <v>Dây chảy 100K</v>
      </c>
      <c r="G2324" s="980" t="str">
        <f>VLOOKUP($B2324,DG!A:D,DG!$D$2,)</f>
        <v>Sợi</v>
      </c>
      <c r="H2324" s="1694">
        <f t="shared" si="400"/>
        <v>0</v>
      </c>
      <c r="I2324" s="1694"/>
      <c r="J2324" s="1694"/>
      <c r="K2324" s="1694">
        <f>IFERROR(HLOOKUP(B2324,pp3p1m!$1:$3,2,0),0)</f>
        <v>0</v>
      </c>
      <c r="L2324" s="1694"/>
      <c r="M2324" s="1694"/>
      <c r="N2324" s="1694"/>
      <c r="O2324" s="1694"/>
      <c r="P2324" s="1693">
        <f t="shared" si="391"/>
        <v>0</v>
      </c>
      <c r="Q2324" s="988"/>
      <c r="R2324" s="988"/>
      <c r="S2324" s="988"/>
      <c r="T2324" s="1862">
        <f>IFERROR(HLOOKUP(B2324,pp3p1m!$1:$3,3,0),0)</f>
        <v>0</v>
      </c>
    </row>
    <row r="2325" spans="1:20" ht="22.2" customHeight="1">
      <c r="A2325" s="1448">
        <f>COUNTIF($C$12:C2325,"x")</f>
        <v>154</v>
      </c>
      <c r="B2325" s="1460" t="s">
        <v>1653</v>
      </c>
      <c r="C2325" s="970" t="str">
        <f t="shared" si="395"/>
        <v>x</v>
      </c>
      <c r="D2325" s="1437">
        <v>3</v>
      </c>
      <c r="E2325" s="2687" t="str">
        <f>VLOOKUP($B2325,DG!A:D,DG!$B$2,)</f>
        <v>02.3505</v>
      </c>
      <c r="F2325" s="2688" t="str">
        <f>VLOOKUP($B2325,DG!A:D,DG!$C$2,)</f>
        <v xml:space="preserve">FCO 24KV - 200A </v>
      </c>
      <c r="G2325" s="2687" t="str">
        <f>VLOOKUP($B2325,DG!A:D,DG!$D$2,)</f>
        <v>cái</v>
      </c>
      <c r="H2325" s="1694">
        <v>3</v>
      </c>
      <c r="I2325" s="1694"/>
      <c r="J2325" s="1694"/>
      <c r="K2325" s="1694">
        <f>IFERROR(HLOOKUP(B2325,pp3p1m!$1:$3,2,0),0)</f>
        <v>0</v>
      </c>
      <c r="L2325" s="1694"/>
      <c r="M2325" s="1694"/>
      <c r="N2325" s="1694"/>
      <c r="O2325" s="1694"/>
      <c r="P2325" s="1693">
        <v>3</v>
      </c>
      <c r="Q2325" s="988"/>
      <c r="R2325" s="988"/>
      <c r="S2325" s="988"/>
      <c r="T2325" s="1862">
        <f>IFERROR(HLOOKUP(B2325,pp3p1m!$1:$3,3,0),0)</f>
        <v>0</v>
      </c>
    </row>
    <row r="2326" spans="1:20" ht="22.2" customHeight="1">
      <c r="A2326" s="1448">
        <f>COUNTIF($C$12:C2326,"x")</f>
        <v>155</v>
      </c>
      <c r="B2326" s="1450" t="s">
        <v>1652</v>
      </c>
      <c r="C2326" s="1701" t="str">
        <f t="shared" si="395"/>
        <v>x</v>
      </c>
      <c r="D2326" s="1437">
        <f>H2326</f>
        <v>1</v>
      </c>
      <c r="E2326" s="2687" t="str">
        <f>VLOOKUP($B2326,DG!A:D,DG!$B$2,)</f>
        <v>02.3155</v>
      </c>
      <c r="F2326" s="2688" t="str">
        <f>VLOOKUP($B2326,DG!A:D,DG!$C$2,)</f>
        <v>FCO 24kV - 100A</v>
      </c>
      <c r="G2326" s="2687" t="str">
        <f>VLOOKUP($B2326,DG!A:D,DG!$D$2,)</f>
        <v>cái</v>
      </c>
      <c r="H2326" s="1694">
        <f t="shared" si="400"/>
        <v>1</v>
      </c>
      <c r="I2326" s="1694"/>
      <c r="J2326" s="1694"/>
      <c r="K2326" s="1694">
        <f>IFERROR(HLOOKUP(B2326,pp3p1m!$1:$3,2,0),0)</f>
        <v>1</v>
      </c>
      <c r="L2326" s="1694"/>
      <c r="M2326" s="1694"/>
      <c r="N2326" s="1694"/>
      <c r="O2326" s="1694"/>
      <c r="P2326" s="1693">
        <f>T2326</f>
        <v>1</v>
      </c>
      <c r="Q2326" s="2678"/>
      <c r="R2326" s="988"/>
      <c r="S2326" s="2689"/>
      <c r="T2326" s="1862">
        <f>IFERROR(HLOOKUP(B2326,pp3p1m!$1:$3,3,0),0)</f>
        <v>1</v>
      </c>
    </row>
    <row r="2327" spans="1:20" ht="22.2" customHeight="1">
      <c r="A2327" s="1448">
        <f>COUNTIF($C$12:C2327,"x")</f>
        <v>156</v>
      </c>
      <c r="B2327" s="1460" t="s">
        <v>6591</v>
      </c>
      <c r="C2327" s="1701" t="str">
        <f t="shared" si="395"/>
        <v>x</v>
      </c>
      <c r="D2327" s="1437">
        <v>1</v>
      </c>
      <c r="E2327" s="980">
        <f>VLOOKUP($B2327,DG!A:D,DG!$B$2,)</f>
        <v>0</v>
      </c>
      <c r="F2327" s="992" t="str">
        <f>VLOOKUP($B2327,DG!A:D,DG!$C$2,)</f>
        <v>Dây chảy 3K</v>
      </c>
      <c r="G2327" s="980" t="str">
        <f>VLOOKUP($B2327,DG!A:D,DG!$D$2,)</f>
        <v>Sợi</v>
      </c>
      <c r="H2327" s="1694">
        <f>D2327</f>
        <v>1</v>
      </c>
      <c r="I2327" s="1694"/>
      <c r="J2327" s="1694"/>
      <c r="K2327" s="1694">
        <f>IFERROR(HLOOKUP(B2327,pp3p1m!$1:$3,2,0),0)</f>
        <v>0</v>
      </c>
      <c r="L2327" s="1694"/>
      <c r="M2327" s="1694"/>
      <c r="N2327" s="1694"/>
      <c r="O2327" s="1694"/>
      <c r="P2327" s="1693">
        <f>H2327+Q2327-R2327</f>
        <v>1</v>
      </c>
      <c r="Q2327" s="988"/>
      <c r="R2327" s="988"/>
      <c r="S2327" s="988"/>
      <c r="T2327" s="1862">
        <f>IFERROR(HLOOKUP(B2327,pp3p1m!$1:$3,3,0),0)</f>
        <v>0</v>
      </c>
    </row>
    <row r="2328" spans="1:20" ht="22.2" customHeight="1">
      <c r="A2328" s="1448">
        <f>COUNTIF($C$12:C2328,"x")</f>
        <v>157</v>
      </c>
      <c r="B2328" s="1460" t="s">
        <v>6592</v>
      </c>
      <c r="C2328" s="970" t="str">
        <f>IF(OR(P2328&lt;&gt;0,H2328&lt;&gt;0),"x"," ")</f>
        <v>x</v>
      </c>
      <c r="D2328" s="1437">
        <v>3</v>
      </c>
      <c r="E2328" s="980">
        <f>VLOOKUP($B2328,DG!A:D,DG!$B$2,)</f>
        <v>0</v>
      </c>
      <c r="F2328" s="992" t="str">
        <f>VLOOKUP($B2328,DG!A:D,DG!$C$2,)</f>
        <v>Dây chảy 140K</v>
      </c>
      <c r="G2328" s="980" t="str">
        <f>VLOOKUP($B2328,DG!A:D,DG!$D$2,)</f>
        <v>Sợi</v>
      </c>
      <c r="H2328" s="1694">
        <f>D2328</f>
        <v>3</v>
      </c>
      <c r="I2328" s="1694"/>
      <c r="J2328" s="1694"/>
      <c r="K2328" s="1694">
        <f>IFERROR(HLOOKUP(B2328,pp3p1m!$1:$3,2,0),0)</f>
        <v>0</v>
      </c>
      <c r="L2328" s="1694"/>
      <c r="M2328" s="1694"/>
      <c r="N2328" s="1694"/>
      <c r="O2328" s="1694"/>
      <c r="P2328" s="1693">
        <f>H2328+Q2328-R2328</f>
        <v>3</v>
      </c>
      <c r="Q2328" s="988"/>
      <c r="R2328" s="988"/>
      <c r="S2328" s="988"/>
      <c r="T2328" s="1862">
        <f>IFERROR(HLOOKUP(B2328,pp3p1m!$1:$3,3,0),0)</f>
        <v>0</v>
      </c>
    </row>
    <row r="2329" spans="1:20" ht="22.2" hidden="1" customHeight="1">
      <c r="A2329" s="1448">
        <f>COUNTIF($C$12:C2329,"x")</f>
        <v>157</v>
      </c>
      <c r="B2329" s="1460" t="s">
        <v>6108</v>
      </c>
      <c r="C2329" s="970" t="str">
        <f t="shared" si="395"/>
        <v xml:space="preserve"> </v>
      </c>
      <c r="D2329" s="1437">
        <f>H2329</f>
        <v>0</v>
      </c>
      <c r="E2329" s="980">
        <f>VLOOKUP($B2329,DG!A:D,DG!$B$2,)</f>
        <v>0</v>
      </c>
      <c r="F2329" s="992" t="str">
        <f>VLOOKUP($B2329,DG!A:D,DG!$C$2,)</f>
        <v>Dây chảy 50K</v>
      </c>
      <c r="G2329" s="980" t="str">
        <f>VLOOKUP($B2329,DG!A:D,DG!$D$2,)</f>
        <v>Sợi</v>
      </c>
      <c r="H2329" s="1694">
        <f t="shared" si="400"/>
        <v>0</v>
      </c>
      <c r="I2329" s="1694"/>
      <c r="J2329" s="1694"/>
      <c r="K2329" s="1694">
        <f>IFERROR(HLOOKUP(B2329,pp3p1m!$1:$3,2,0),0)</f>
        <v>0</v>
      </c>
      <c r="L2329" s="1694"/>
      <c r="M2329" s="1694"/>
      <c r="N2329" s="1694"/>
      <c r="O2329" s="1694"/>
      <c r="P2329" s="1693">
        <f>H2329+Q2329-R2329</f>
        <v>0</v>
      </c>
      <c r="Q2329" s="988"/>
      <c r="R2329" s="988"/>
      <c r="S2329" s="988"/>
      <c r="T2329" s="1862">
        <f>IFERROR(HLOOKUP(B2329,pp3p1m!$1:$3,3,0),0)</f>
        <v>0</v>
      </c>
    </row>
    <row r="2330" spans="1:20" ht="22.2" hidden="1" customHeight="1">
      <c r="A2330" s="1448">
        <f>COUNTIF($C$12:C2330,"x")</f>
        <v>157</v>
      </c>
      <c r="B2330" s="1460" t="s">
        <v>4502</v>
      </c>
      <c r="C2330" s="970" t="str">
        <f t="shared" si="395"/>
        <v xml:space="preserve"> </v>
      </c>
      <c r="D2330" s="1429">
        <f>D2341*3</f>
        <v>0</v>
      </c>
      <c r="E2330" s="980" t="str">
        <f>VLOOKUP($B2330,DG!A:D,DG!$B$2,)</f>
        <v>02.1114</v>
      </c>
      <c r="F2330" s="992" t="str">
        <f>VLOOKUP($B2330,DG!A:D,DG!$C$2,)</f>
        <v>Biến điện áp 22000/√3/100/√3 V</v>
      </c>
      <c r="G2330" s="980" t="str">
        <f>VLOOKUP($B2330,DG!A:D,DG!$D$2,)</f>
        <v>cái</v>
      </c>
      <c r="H2330" s="1694">
        <f t="shared" si="400"/>
        <v>0</v>
      </c>
      <c r="I2330" s="1694"/>
      <c r="J2330" s="1694"/>
      <c r="K2330" s="1694">
        <f>IFERROR(HLOOKUP(B2330,pp3p1m!$1:$3,2,0),0)</f>
        <v>0</v>
      </c>
      <c r="L2330" s="1694"/>
      <c r="M2330" s="1694"/>
      <c r="N2330" s="1694"/>
      <c r="O2330" s="1694"/>
      <c r="P2330" s="1693">
        <f t="shared" si="391"/>
        <v>0</v>
      </c>
      <c r="Q2330" s="988"/>
      <c r="R2330" s="988"/>
      <c r="S2330" s="988"/>
      <c r="T2330" s="1862">
        <f>IFERROR(HLOOKUP(B2330,pp3p1m!$1:$3,3,0),0)</f>
        <v>0</v>
      </c>
    </row>
    <row r="2331" spans="1:20" ht="22.2" hidden="1" customHeight="1">
      <c r="A2331" s="1448">
        <f>COUNTIF($C$12:C2331,"x")</f>
        <v>157</v>
      </c>
      <c r="B2331" s="1460" t="s">
        <v>78</v>
      </c>
      <c r="C2331" s="970" t="str">
        <f t="shared" si="395"/>
        <v xml:space="preserve"> </v>
      </c>
      <c r="D2331" s="1437">
        <f>D2330</f>
        <v>0</v>
      </c>
      <c r="E2331" s="980" t="str">
        <f>VLOOKUP($B2331,DG!A:D,DG!$B$2,)</f>
        <v>02.1124</v>
      </c>
      <c r="F2331" s="992" t="str">
        <f>VLOOKUP($B2331,DG!A:D,DG!$C$2,)</f>
        <v>Biến dòng 24kV  20/5A</v>
      </c>
      <c r="G2331" s="980" t="str">
        <f>VLOOKUP($B2331,DG!A:D,DG!$D$2,)</f>
        <v>cái</v>
      </c>
      <c r="H2331" s="1694">
        <f t="shared" si="400"/>
        <v>0</v>
      </c>
      <c r="I2331" s="1694"/>
      <c r="J2331" s="1694"/>
      <c r="K2331" s="1694">
        <f>IFERROR(HLOOKUP(B2331,pp3p1m!$1:$3,2,0),0)</f>
        <v>0</v>
      </c>
      <c r="L2331" s="1694"/>
      <c r="M2331" s="1694"/>
      <c r="N2331" s="1694"/>
      <c r="O2331" s="1694"/>
      <c r="P2331" s="1693">
        <f t="shared" ref="P2331:P2398" si="401">H2331+Q2331-R2331</f>
        <v>0</v>
      </c>
      <c r="Q2331" s="988"/>
      <c r="R2331" s="988"/>
      <c r="S2331" s="988"/>
      <c r="T2331" s="1862">
        <f>IFERROR(HLOOKUP(B2331,pp3p1m!$1:$3,3,0),0)</f>
        <v>0</v>
      </c>
    </row>
    <row r="2332" spans="1:20" ht="22.2" hidden="1" customHeight="1">
      <c r="A2332" s="1448">
        <f>COUNTIF($C$12:C2332,"x")</f>
        <v>157</v>
      </c>
      <c r="B2332" s="1460" t="s">
        <v>2</v>
      </c>
      <c r="C2332" s="970" t="str">
        <f t="shared" si="395"/>
        <v xml:space="preserve"> </v>
      </c>
      <c r="D2332" s="1437">
        <f>D2341</f>
        <v>0</v>
      </c>
      <c r="E2332" s="980">
        <f>VLOOKUP($B2332,DG!A:D,DG!$B$2,)</f>
        <v>0</v>
      </c>
      <c r="F2332" s="992" t="str">
        <f>VLOOKUP($B2332,DG!A:D,DG!$C$2,)</f>
        <v>Điện kế 3 pha điện tử 600V-5A</v>
      </c>
      <c r="G2332" s="980" t="str">
        <f>VLOOKUP($B2332,DG!A:D,DG!$D$2,)</f>
        <v>cái</v>
      </c>
      <c r="H2332" s="1694">
        <f t="shared" si="400"/>
        <v>0</v>
      </c>
      <c r="I2332" s="1694"/>
      <c r="J2332" s="1694"/>
      <c r="K2332" s="1694">
        <f>IFERROR(HLOOKUP(B2332,pp3p1m!$1:$3,2,0),0)</f>
        <v>0</v>
      </c>
      <c r="L2332" s="1694"/>
      <c r="M2332" s="1694"/>
      <c r="N2332" s="1694"/>
      <c r="O2332" s="1694"/>
      <c r="P2332" s="1693">
        <f t="shared" si="401"/>
        <v>0</v>
      </c>
      <c r="Q2332" s="988"/>
      <c r="R2332" s="988"/>
      <c r="S2332" s="988"/>
      <c r="T2332" s="1862">
        <f>IFERROR(HLOOKUP(B2332,pp3p1m!$1:$3,3,0),0)</f>
        <v>0</v>
      </c>
    </row>
    <row r="2333" spans="1:20" ht="22.2" hidden="1" customHeight="1">
      <c r="A2333" s="1448">
        <f>COUNTIF($C$12:C2333,"x")</f>
        <v>157</v>
      </c>
      <c r="B2333" s="1460" t="s">
        <v>446</v>
      </c>
      <c r="C2333" s="970" t="str">
        <f t="shared" si="395"/>
        <v xml:space="preserve"> </v>
      </c>
      <c r="D2333" s="1437"/>
      <c r="E2333" s="980" t="str">
        <f>VLOOKUP($B2333,DG!A:D,DG!$B$2,)</f>
        <v>02.3302</v>
      </c>
      <c r="F2333" s="992" t="str">
        <f>VLOOKUP($B2333,DG!A:D,DG!$C$2,)</f>
        <v xml:space="preserve">DS 1P - 24KV - 600A </v>
      </c>
      <c r="G2333" s="980" t="str">
        <f>VLOOKUP($B2333,DG!A:D,DG!$D$2,)</f>
        <v>bộ</v>
      </c>
      <c r="H2333" s="1694">
        <f t="shared" si="400"/>
        <v>0</v>
      </c>
      <c r="I2333" s="1694"/>
      <c r="J2333" s="1694"/>
      <c r="K2333" s="1694">
        <f>IFERROR(HLOOKUP(B2333,pp3p1m!$1:$3,2,0),0)</f>
        <v>0</v>
      </c>
      <c r="L2333" s="1694"/>
      <c r="M2333" s="1694"/>
      <c r="N2333" s="1694"/>
      <c r="O2333" s="1694"/>
      <c r="P2333" s="1693">
        <f t="shared" si="401"/>
        <v>0</v>
      </c>
      <c r="Q2333" s="988"/>
      <c r="R2333" s="988"/>
      <c r="S2333" s="988"/>
      <c r="T2333" s="1862">
        <f>IFERROR(HLOOKUP(B2333,pp3p1m!$1:$3,3,0),0)</f>
        <v>0</v>
      </c>
    </row>
    <row r="2334" spans="1:20" ht="22.2" hidden="1" customHeight="1">
      <c r="A2334" s="1448">
        <f>COUNTIF($C$12:C2334,"x")</f>
        <v>157</v>
      </c>
      <c r="B2334" s="1460" t="s">
        <v>393</v>
      </c>
      <c r="C2334" s="970" t="str">
        <f t="shared" si="395"/>
        <v xml:space="preserve"> </v>
      </c>
      <c r="D2334" s="1437"/>
      <c r="E2334" s="980" t="str">
        <f>VLOOKUP($B2334,DG!A:D,DG!$B$2,)</f>
        <v>02.3302</v>
      </c>
      <c r="F2334" s="992" t="str">
        <f>VLOOKUP($B2334,DG!A:D,DG!$C$2,)</f>
        <v xml:space="preserve">DS 3P - 24KV - 630A </v>
      </c>
      <c r="G2334" s="980" t="str">
        <f>VLOOKUP($B2334,DG!A:D,DG!$D$2,)</f>
        <v>bộ</v>
      </c>
      <c r="H2334" s="1694">
        <f t="shared" si="400"/>
        <v>0</v>
      </c>
      <c r="I2334" s="1694"/>
      <c r="J2334" s="1694"/>
      <c r="K2334" s="1694">
        <f>IFERROR(HLOOKUP(B2334,pp3p1m!$1:$3,2,0),0)</f>
        <v>0</v>
      </c>
      <c r="L2334" s="1694"/>
      <c r="M2334" s="1694"/>
      <c r="N2334" s="1694"/>
      <c r="O2334" s="1694"/>
      <c r="P2334" s="1693">
        <f t="shared" si="401"/>
        <v>0</v>
      </c>
      <c r="Q2334" s="988"/>
      <c r="R2334" s="988"/>
      <c r="S2334" s="988"/>
      <c r="T2334" s="1862">
        <f>IFERROR(HLOOKUP(B2334,pp3p1m!$1:$3,3,0),0)</f>
        <v>0</v>
      </c>
    </row>
    <row r="2335" spans="1:20" ht="22.2" hidden="1" customHeight="1">
      <c r="A2335" s="1448">
        <f>COUNTIF($C$12:C2335,"x")</f>
        <v>157</v>
      </c>
      <c r="B2335" s="1460" t="s">
        <v>602</v>
      </c>
      <c r="C2335" s="970" t="str">
        <f t="shared" si="395"/>
        <v xml:space="preserve"> </v>
      </c>
      <c r="D2335" s="1437"/>
      <c r="E2335" s="980" t="str">
        <f>VLOOKUP($B2335,DG!A:D,DG!$B$2,)</f>
        <v>02.2124</v>
      </c>
      <c r="F2335" s="992" t="str">
        <f>VLOOKUP($B2335,DG!A:D,DG!$C$2,)</f>
        <v>LBS SF6 3pha 24kV 630A - 16kA</v>
      </c>
      <c r="G2335" s="980" t="str">
        <f>VLOOKUP($B2335,DG!A:D,DG!$D$2,)</f>
        <v>bộ</v>
      </c>
      <c r="H2335" s="1694">
        <f t="shared" si="400"/>
        <v>0</v>
      </c>
      <c r="I2335" s="1694"/>
      <c r="J2335" s="1694"/>
      <c r="K2335" s="1694">
        <f>IFERROR(HLOOKUP(B2335,pp3p1m!$1:$3,2,0),0)</f>
        <v>0</v>
      </c>
      <c r="L2335" s="1694"/>
      <c r="M2335" s="1694"/>
      <c r="N2335" s="1694"/>
      <c r="O2335" s="1694"/>
      <c r="P2335" s="1693">
        <f t="shared" si="401"/>
        <v>0</v>
      </c>
      <c r="Q2335" s="988"/>
      <c r="R2335" s="988"/>
      <c r="S2335" s="988"/>
      <c r="T2335" s="1862">
        <f>IFERROR(HLOOKUP(B2335,pp3p1m!$1:$3,3,0),0)</f>
        <v>0</v>
      </c>
    </row>
    <row r="2336" spans="1:20" ht="22.2" customHeight="1">
      <c r="A2336" s="1448">
        <f>COUNTIF($C$12:C2336,"x")</f>
        <v>158</v>
      </c>
      <c r="B2336" s="1460" t="s">
        <v>6593</v>
      </c>
      <c r="C2336" s="970" t="str">
        <f t="shared" si="395"/>
        <v>x</v>
      </c>
      <c r="D2336" s="1437"/>
      <c r="E2336" s="2687" t="str">
        <f>VLOOKUP($B2336,DG!A:D,DG!$B$2,)</f>
        <v>02.2113</v>
      </c>
      <c r="F2336" s="2688" t="str">
        <f>VLOOKUP($B2336,DG!A:D,DG!$C$2,)</f>
        <v>Recloser 24kV 630A - 800A (MBA cấp nguồn + Phụ kiện)</v>
      </c>
      <c r="G2336" s="2687" t="str">
        <f>VLOOKUP($B2336,DG!A:D,DG!$D$2,)</f>
        <v>bộ</v>
      </c>
      <c r="H2336" s="1694">
        <f t="shared" si="400"/>
        <v>1</v>
      </c>
      <c r="I2336" s="1694"/>
      <c r="J2336" s="1694"/>
      <c r="K2336" s="1694">
        <f>IFERROR(HLOOKUP(B2336,pp3p1m!$1:$3,2,0),0)</f>
        <v>1</v>
      </c>
      <c r="L2336" s="1694"/>
      <c r="M2336" s="1694"/>
      <c r="N2336" s="1694"/>
      <c r="O2336" s="1694"/>
      <c r="P2336" s="1693">
        <f t="shared" si="401"/>
        <v>1</v>
      </c>
      <c r="Q2336" s="988"/>
      <c r="R2336" s="988"/>
      <c r="S2336" s="988"/>
      <c r="T2336" s="1862">
        <f>IFERROR(HLOOKUP(B2336,pp3p1m!$1:$3,3,0),0)</f>
        <v>1</v>
      </c>
    </row>
    <row r="2337" spans="1:20" ht="22.2" customHeight="1">
      <c r="A2337" s="1448">
        <f>COUNTIF($C$12:C2337,"x")</f>
        <v>159</v>
      </c>
      <c r="B2337" s="1460" t="s">
        <v>1373</v>
      </c>
      <c r="C2337" s="970" t="str">
        <f>IF(OR(P2337&lt;&gt;0,H2337&lt;&gt;0),"x"," ")</f>
        <v>x</v>
      </c>
      <c r="D2337" s="1437"/>
      <c r="E2337" s="2687" t="str">
        <f>VLOOKUP($B2337,DG!A:D,DG!$B$2,)</f>
        <v>02.5114</v>
      </c>
      <c r="F2337" s="2688" t="str">
        <f>VLOOKUP($B2337,DG!A:D,DG!$C$2,)</f>
        <v>Chống sét van LA-18KV-10KA</v>
      </c>
      <c r="G2337" s="2687" t="str">
        <f>VLOOKUP($B2337,DG!A:D,DG!$D$2,)</f>
        <v>cái</v>
      </c>
      <c r="H2337" s="1694">
        <f t="shared" si="400"/>
        <v>6</v>
      </c>
      <c r="I2337" s="1694"/>
      <c r="J2337" s="1694"/>
      <c r="K2337" s="1694">
        <f>IFERROR(HLOOKUP(B2337,pp3p1m!$1:$3,2,0),0)</f>
        <v>6</v>
      </c>
      <c r="L2337" s="1694"/>
      <c r="M2337" s="1694"/>
      <c r="N2337" s="1694"/>
      <c r="O2337" s="1694"/>
      <c r="P2337" s="1693">
        <f>H2337+Q2337-R2337</f>
        <v>6</v>
      </c>
      <c r="Q2337" s="988"/>
      <c r="R2337" s="988"/>
      <c r="S2337" s="988"/>
      <c r="T2337" s="1862">
        <f>IFERROR(HLOOKUP(B2337,pp3p1m!$1:$3,3,0),0)</f>
        <v>6</v>
      </c>
    </row>
    <row r="2338" spans="1:20" ht="22.2" hidden="1" customHeight="1">
      <c r="A2338" s="1448">
        <f>COUNTIF($C$12:C2338,"x")</f>
        <v>159</v>
      </c>
      <c r="B2338" s="1460" t="s">
        <v>966</v>
      </c>
      <c r="C2338" s="970" t="str">
        <f>IF(OR(P2338&lt;&gt;0,H2338&lt;&gt;0),"x"," ")</f>
        <v xml:space="preserve"> </v>
      </c>
      <c r="D2338" s="1437"/>
      <c r="E2338" s="980" t="str">
        <f>VLOOKUP($B2338,DG!A:D,DG!$B$2,)</f>
        <v>02.5114</v>
      </c>
      <c r="F2338" s="992" t="str">
        <f>VLOOKUP($B2338,DG!A:D,DG!$C$2,)</f>
        <v>LA 12kV 10kA</v>
      </c>
      <c r="G2338" s="980" t="str">
        <f>VLOOKUP($B2338,DG!A:D,DG!$D$2,)</f>
        <v>cái</v>
      </c>
      <c r="H2338" s="1694">
        <f t="shared" si="400"/>
        <v>0</v>
      </c>
      <c r="I2338" s="1694"/>
      <c r="J2338" s="1694"/>
      <c r="K2338" s="1694">
        <f>IFERROR(HLOOKUP(B2338,pp3p1m!$1:$3,2,0),0)</f>
        <v>0</v>
      </c>
      <c r="L2338" s="1694"/>
      <c r="M2338" s="1694"/>
      <c r="N2338" s="1694"/>
      <c r="O2338" s="1694"/>
      <c r="P2338" s="1693">
        <f>H2338+Q2338-R2338</f>
        <v>0</v>
      </c>
      <c r="Q2338" s="988"/>
      <c r="R2338" s="988"/>
      <c r="S2338" s="988"/>
      <c r="T2338" s="1862">
        <f>IFERROR(HLOOKUP(B2338,pp3p1m!$1:$3,3,0),0)</f>
        <v>0</v>
      </c>
    </row>
    <row r="2339" spans="1:20" ht="22.2" hidden="1" customHeight="1">
      <c r="A2339" s="1448">
        <f>COUNTIF($C$12:C2339,"x")</f>
        <v>159</v>
      </c>
      <c r="B2339" s="1460" t="s">
        <v>2049</v>
      </c>
      <c r="C2339" s="1701" t="str">
        <f t="shared" si="395"/>
        <v xml:space="preserve"> </v>
      </c>
      <c r="D2339" s="1437"/>
      <c r="E2339" s="980">
        <f>VLOOKUP($B2339,DG!A:D,DG!$B$2,)</f>
        <v>0</v>
      </c>
      <c r="F2339" s="992" t="str">
        <f>VLOOKUP($B2339,DG!A:D,DG!$C$2,)</f>
        <v>Bass LI bắt FCO</v>
      </c>
      <c r="G2339" s="980" t="str">
        <f>VLOOKUP($B2339,DG!A:D,DG!$D$2,)</f>
        <v>Bộ</v>
      </c>
      <c r="H2339" s="1694">
        <f t="shared" si="400"/>
        <v>0</v>
      </c>
      <c r="I2339" s="1694"/>
      <c r="J2339" s="1694"/>
      <c r="K2339" s="1694"/>
      <c r="L2339" s="1694"/>
      <c r="M2339" s="1694"/>
      <c r="N2339" s="1694"/>
      <c r="O2339" s="1694"/>
      <c r="P2339" s="1693">
        <f t="shared" si="401"/>
        <v>0</v>
      </c>
      <c r="Q2339" s="988"/>
      <c r="R2339" s="988"/>
      <c r="S2339" s="988"/>
      <c r="T2339" s="1862">
        <f>IFERROR(HLOOKUP(B2339,pp3p1m!$1:$3,3,0),0)</f>
        <v>0</v>
      </c>
    </row>
    <row r="2340" spans="1:20" ht="22.2" hidden="1" customHeight="1">
      <c r="A2340" s="1448">
        <f>COUNTIF($C$12:C2340,"x")</f>
        <v>159</v>
      </c>
      <c r="B2340" s="1460" t="s">
        <v>382</v>
      </c>
      <c r="C2340" s="1701" t="str">
        <f t="shared" si="395"/>
        <v xml:space="preserve"> </v>
      </c>
      <c r="D2340" s="1437"/>
      <c r="E2340" s="980">
        <f>VLOOKUP($B2340,DG!A:D,DG!$B$2,)</f>
        <v>0</v>
      </c>
      <c r="F2340" s="992" t="str">
        <f>VLOOKUP($B2340,DG!A:D,DG!$C$2,)</f>
        <v>Chụp đầu cực FCO (bộ 2 cái)</v>
      </c>
      <c r="G2340" s="980" t="str">
        <f>VLOOKUP($B2340,DG!A:D,DG!$D$2,)</f>
        <v>bộ</v>
      </c>
      <c r="H2340" s="1694">
        <f t="shared" si="400"/>
        <v>0</v>
      </c>
      <c r="I2340" s="1694"/>
      <c r="J2340" s="1694"/>
      <c r="K2340" s="1694">
        <f>IFERROR(HLOOKUP(B2340,pp3p1m!$1:$3,2,0),0)</f>
        <v>0</v>
      </c>
      <c r="L2340" s="1694"/>
      <c r="M2340" s="1694"/>
      <c r="N2340" s="1694"/>
      <c r="O2340" s="1694"/>
      <c r="P2340" s="1693">
        <f t="shared" si="401"/>
        <v>0</v>
      </c>
      <c r="Q2340" s="988"/>
      <c r="R2340" s="988"/>
      <c r="S2340" s="988"/>
      <c r="T2340" s="1862">
        <f>IFERROR(HLOOKUP(B2340,pp3p1m!$1:$3,3,0),0)</f>
        <v>0</v>
      </c>
    </row>
    <row r="2341" spans="1:20" ht="22.2" hidden="1" customHeight="1">
      <c r="A2341" s="1448">
        <f>COUNTIF($C$12:C2341,"x")</f>
        <v>159</v>
      </c>
      <c r="B2341" s="1452" t="s">
        <v>2312</v>
      </c>
      <c r="C2341" s="970"/>
      <c r="D2341" s="2682"/>
      <c r="E2341" s="982" t="s">
        <v>1664</v>
      </c>
      <c r="F2341" s="1276" t="s">
        <v>2570</v>
      </c>
      <c r="G2341" s="982"/>
      <c r="H2341" s="1691"/>
      <c r="I2341" s="1692">
        <f>SUM(I2342:I2365)</f>
        <v>0</v>
      </c>
      <c r="J2341" s="1692">
        <f t="shared" ref="J2341:L2341" si="402">SUM(J2342:J2365)</f>
        <v>0</v>
      </c>
      <c r="K2341" s="1692">
        <f t="shared" si="402"/>
        <v>0</v>
      </c>
      <c r="L2341" s="1692">
        <f t="shared" si="402"/>
        <v>0</v>
      </c>
      <c r="M2341" s="1692"/>
      <c r="N2341" s="1692"/>
      <c r="O2341" s="1692"/>
      <c r="P2341" s="2674">
        <f>T2341</f>
        <v>0</v>
      </c>
      <c r="Q2341" s="983">
        <f>IF(P2341&gt;H2341,P2341-H2341,0)</f>
        <v>0</v>
      </c>
      <c r="R2341" s="983">
        <f>IF(H2341&gt;P2341,H2341-P2341,0)</f>
        <v>0</v>
      </c>
      <c r="S2341" s="1001"/>
      <c r="T2341" s="1862">
        <f t="shared" si="392"/>
        <v>0</v>
      </c>
    </row>
    <row r="2342" spans="1:20" ht="22.2" hidden="1" customHeight="1">
      <c r="A2342" s="1448">
        <f>COUNTIF($C$12:C2342,"x")</f>
        <v>159</v>
      </c>
      <c r="B2342" s="1486" t="s">
        <v>2276</v>
      </c>
      <c r="C2342" s="970" t="str">
        <f t="shared" si="395"/>
        <v xml:space="preserve"> </v>
      </c>
      <c r="D2342" s="1438">
        <v>26</v>
      </c>
      <c r="E2342" s="980" t="str">
        <f>VLOOKUP($B2342,DG!A:D,DG!$B$2,)</f>
        <v>03.1401</v>
      </c>
      <c r="F2342" s="992" t="str">
        <f>VLOOKUP($B2342,DG!A:D,DG!$C$2,)</f>
        <v xml:space="preserve">Cáp CVV 4x4mm2  </v>
      </c>
      <c r="G2342" s="980" t="str">
        <f>VLOOKUP($B2342,DG!A:D,DG!$D$2,)</f>
        <v>mét</v>
      </c>
      <c r="H2342" s="1694">
        <f>IF($C$2341&lt;&gt;0,D2342,0)</f>
        <v>0</v>
      </c>
      <c r="I2342" s="1694"/>
      <c r="J2342" s="1694"/>
      <c r="K2342" s="1694">
        <f>IFERROR(HLOOKUP(B2342,pp3p1m!$1:$3,2,0),0)</f>
        <v>0</v>
      </c>
      <c r="L2342" s="1694"/>
      <c r="M2342" s="1694"/>
      <c r="N2342" s="1694"/>
      <c r="O2342" s="1694"/>
      <c r="P2342" s="1693">
        <f t="shared" si="401"/>
        <v>0</v>
      </c>
      <c r="Q2342" s="2678"/>
      <c r="R2342" s="988"/>
      <c r="S2342" s="988"/>
      <c r="T2342" s="1862">
        <f>IFERROR(HLOOKUP(B2342,pp3p1m!$1:$3,3,0),0)</f>
        <v>0</v>
      </c>
    </row>
    <row r="2343" spans="1:20" ht="22.2" hidden="1" customHeight="1">
      <c r="A2343" s="1448">
        <f>COUNTIF($C$12:C2343,"x")</f>
        <v>159</v>
      </c>
      <c r="B2343" s="1486" t="s">
        <v>246</v>
      </c>
      <c r="C2343" s="970" t="str">
        <f t="shared" si="395"/>
        <v xml:space="preserve"> </v>
      </c>
      <c r="D2343" s="1438">
        <v>24</v>
      </c>
      <c r="E2343" s="980" t="str">
        <f>VLOOKUP($B2343,DG!A:D,DG!$B$2,)</f>
        <v>05.6101</v>
      </c>
      <c r="F2343" s="992" t="str">
        <f>VLOOKUP($B2343,DG!A:D,DG!$C$2,)</f>
        <v>Xà kẹp TU, TI U50x32x4 350</v>
      </c>
      <c r="G2343" s="980" t="str">
        <f>VLOOKUP($B2343,DG!A:D,DG!$D$2,)</f>
        <v>Bộ</v>
      </c>
      <c r="H2343" s="1694">
        <f t="shared" ref="H2343:H2365" si="403">IF($C$2341&lt;&gt;0,D2343,0)</f>
        <v>0</v>
      </c>
      <c r="I2343" s="1694"/>
      <c r="J2343" s="1694"/>
      <c r="K2343" s="1694">
        <f>IFERROR(HLOOKUP(B2343,pp3p1m!$1:$3,2,0),0)</f>
        <v>0</v>
      </c>
      <c r="L2343" s="1694"/>
      <c r="M2343" s="1694"/>
      <c r="N2343" s="1694"/>
      <c r="O2343" s="1694"/>
      <c r="P2343" s="1693">
        <f t="shared" si="401"/>
        <v>0</v>
      </c>
      <c r="Q2343" s="2678"/>
      <c r="R2343" s="988"/>
      <c r="S2343" s="988"/>
      <c r="T2343" s="1862">
        <f>IFERROR(HLOOKUP(B2343,pp3p1m!$1:$3,3,0),0)</f>
        <v>0</v>
      </c>
    </row>
    <row r="2344" spans="1:20" ht="22.2" hidden="1" customHeight="1">
      <c r="A2344" s="1448">
        <f>COUNTIF($C$12:C2344,"x")</f>
        <v>159</v>
      </c>
      <c r="B2344" s="1486" t="s">
        <v>2049</v>
      </c>
      <c r="C2344" s="970" t="str">
        <f t="shared" si="395"/>
        <v xml:space="preserve"> </v>
      </c>
      <c r="D2344" s="1438"/>
      <c r="E2344" s="980">
        <f>VLOOKUP($B2344,DG!A:D,DG!$B$2,)</f>
        <v>0</v>
      </c>
      <c r="F2344" s="992" t="str">
        <f>VLOOKUP($B2344,DG!A:D,DG!$C$2,)</f>
        <v>Bass LI bắt FCO</v>
      </c>
      <c r="G2344" s="980" t="str">
        <f>VLOOKUP($B2344,DG!A:D,DG!$D$2,)</f>
        <v>Bộ</v>
      </c>
      <c r="H2344" s="1694">
        <f t="shared" si="403"/>
        <v>0</v>
      </c>
      <c r="I2344" s="1694"/>
      <c r="J2344" s="1694"/>
      <c r="K2344" s="1694">
        <f>IFERROR(HLOOKUP(B2344,pp3p1m!$1:$3,2,0),0)</f>
        <v>0</v>
      </c>
      <c r="L2344" s="1694"/>
      <c r="M2344" s="1694"/>
      <c r="N2344" s="1694"/>
      <c r="O2344" s="1694"/>
      <c r="P2344" s="1693">
        <f t="shared" si="401"/>
        <v>0</v>
      </c>
      <c r="Q2344" s="988"/>
      <c r="R2344" s="988"/>
      <c r="S2344" s="988"/>
      <c r="T2344" s="1862">
        <f t="shared" ref="T2344:T2405" si="404">IFERROR(HLOOKUP(B2344,BangKeTru,3,0),0)</f>
        <v>0</v>
      </c>
    </row>
    <row r="2345" spans="1:20" ht="22.2" hidden="1" customHeight="1">
      <c r="A2345" s="1448">
        <f>COUNTIF($C$12:C2345,"x")</f>
        <v>159</v>
      </c>
      <c r="B2345" s="1486" t="s">
        <v>1865</v>
      </c>
      <c r="C2345" s="970" t="str">
        <f t="shared" si="395"/>
        <v xml:space="preserve"> </v>
      </c>
      <c r="D2345" s="1438">
        <v>16</v>
      </c>
      <c r="E2345" s="980" t="str">
        <f>VLOOKUP($B2345,DG!A:D,DG!$B$2,)</f>
        <v>03.4001</v>
      </c>
      <c r="F2345" s="992" t="str">
        <f>VLOOKUP($B2345,DG!A:D,DG!$C$2,)</f>
        <v xml:space="preserve">Đầu cosse ép Cu 2,5mm2 + bao PVC </v>
      </c>
      <c r="G2345" s="980" t="str">
        <f>VLOOKUP($B2345,DG!A:D,DG!$D$2,)</f>
        <v>cái</v>
      </c>
      <c r="H2345" s="1694">
        <f t="shared" si="403"/>
        <v>0</v>
      </c>
      <c r="I2345" s="1694"/>
      <c r="J2345" s="1694"/>
      <c r="K2345" s="1694">
        <f>IFERROR(HLOOKUP(B2345,pp3p1m!$1:$3,2,0),0)</f>
        <v>0</v>
      </c>
      <c r="L2345" s="1694"/>
      <c r="M2345" s="1694"/>
      <c r="N2345" s="1694"/>
      <c r="O2345" s="1694"/>
      <c r="P2345" s="1693">
        <f t="shared" si="401"/>
        <v>0</v>
      </c>
      <c r="Q2345" s="2678"/>
      <c r="R2345" s="988"/>
      <c r="S2345" s="988"/>
      <c r="T2345" s="1862">
        <f>IFERROR(HLOOKUP(B2345,pp3p1m!$1:$3,3,0),0)</f>
        <v>0</v>
      </c>
    </row>
    <row r="2346" spans="1:20" ht="22.2" hidden="1" customHeight="1">
      <c r="A2346" s="1448">
        <f>COUNTIF($C$12:C2346,"x")</f>
        <v>159</v>
      </c>
      <c r="B2346" s="1486" t="s">
        <v>1510</v>
      </c>
      <c r="C2346" s="970" t="str">
        <f t="shared" si="395"/>
        <v xml:space="preserve"> </v>
      </c>
      <c r="D2346" s="1438">
        <v>6</v>
      </c>
      <c r="E2346" s="980">
        <f>VLOOKUP($B2346,DG!A:D,DG!$B$2,)</f>
        <v>0</v>
      </c>
      <c r="F2346" s="992" t="str">
        <f>VLOOKUP($B2346,DG!A:D,DG!$C$2,)</f>
        <v>Dây điện đôi 16/10</v>
      </c>
      <c r="G2346" s="980" t="str">
        <f>VLOOKUP($B2346,DG!A:D,DG!$D$2,)</f>
        <v>mét</v>
      </c>
      <c r="H2346" s="1694">
        <f t="shared" si="403"/>
        <v>0</v>
      </c>
      <c r="I2346" s="1694"/>
      <c r="J2346" s="1694"/>
      <c r="K2346" s="1694">
        <f>IFERROR(HLOOKUP(B2346,pp3p1m!$1:$3,2,0),0)</f>
        <v>0</v>
      </c>
      <c r="L2346" s="1694"/>
      <c r="M2346" s="1694"/>
      <c r="N2346" s="1694"/>
      <c r="O2346" s="1694"/>
      <c r="P2346" s="1693">
        <f t="shared" si="401"/>
        <v>0</v>
      </c>
      <c r="Q2346" s="2678"/>
      <c r="R2346" s="988"/>
      <c r="S2346" s="988"/>
      <c r="T2346" s="1862">
        <f>IFERROR(HLOOKUP(B2346,pp3p1m!$1:$3,3,0),0)</f>
        <v>0</v>
      </c>
    </row>
    <row r="2347" spans="1:20" ht="22.2" hidden="1" customHeight="1">
      <c r="A2347" s="1448">
        <f>COUNTIF($C$12:C2347,"x")</f>
        <v>159</v>
      </c>
      <c r="B2347" s="1486" t="s">
        <v>816</v>
      </c>
      <c r="C2347" s="970" t="str">
        <f t="shared" si="395"/>
        <v xml:space="preserve"> </v>
      </c>
      <c r="D2347" s="1438">
        <v>3</v>
      </c>
      <c r="E2347" s="980" t="str">
        <f>VLOOKUP($B2347,DG!A:D,DG!$B$2,)</f>
        <v>04.3107</v>
      </c>
      <c r="F2347" s="992" t="str">
        <f>VLOOKUP($B2347,DG!A:D,DG!$C$2,)</f>
        <v>Ốc siết cáp cỡ 25mm2</v>
      </c>
      <c r="G2347" s="980" t="str">
        <f>VLOOKUP($B2347,DG!A:D,DG!$D$2,)</f>
        <v>cái</v>
      </c>
      <c r="H2347" s="1694">
        <f t="shared" si="403"/>
        <v>0</v>
      </c>
      <c r="I2347" s="1694"/>
      <c r="J2347" s="1694"/>
      <c r="K2347" s="1694">
        <f>IFERROR(HLOOKUP(B2347,pp3p1m!$1:$3,2,0),0)</f>
        <v>0</v>
      </c>
      <c r="L2347" s="1694"/>
      <c r="M2347" s="1694"/>
      <c r="N2347" s="1694"/>
      <c r="O2347" s="1694"/>
      <c r="P2347" s="1693">
        <f t="shared" si="401"/>
        <v>0</v>
      </c>
      <c r="Q2347" s="2678"/>
      <c r="R2347" s="988"/>
      <c r="S2347" s="988"/>
      <c r="T2347" s="1862">
        <f>IFERROR(HLOOKUP(B2347,pp3p1m!$1:$3,3,0),0)</f>
        <v>0</v>
      </c>
    </row>
    <row r="2348" spans="1:20" ht="22.2" hidden="1" customHeight="1">
      <c r="A2348" s="1448">
        <f>COUNTIF($C$12:C2348,"x")</f>
        <v>159</v>
      </c>
      <c r="B2348" s="1486" t="s">
        <v>2141</v>
      </c>
      <c r="C2348" s="970" t="str">
        <f t="shared" si="395"/>
        <v xml:space="preserve"> </v>
      </c>
      <c r="D2348" s="1438">
        <v>18</v>
      </c>
      <c r="E2348" s="980" t="str">
        <f>VLOOKUP($B2348,DG!A:D,DG!$B$2,)</f>
        <v>07.2403</v>
      </c>
      <c r="F2348" s="992" t="str">
        <f>VLOOKUP($B2348,DG!A:D,DG!$C$2,)</f>
        <v>Ống PVC D42x2,1mm</v>
      </c>
      <c r="G2348" s="980" t="str">
        <f>VLOOKUP($B2348,DG!A:D,DG!$D$2,)</f>
        <v>m</v>
      </c>
      <c r="H2348" s="1694">
        <f t="shared" si="403"/>
        <v>0</v>
      </c>
      <c r="I2348" s="1694"/>
      <c r="J2348" s="1694"/>
      <c r="K2348" s="1694">
        <f>IFERROR(HLOOKUP(B2348,pp3p1m!$1:$3,2,0),0)</f>
        <v>0</v>
      </c>
      <c r="L2348" s="1694"/>
      <c r="M2348" s="1694"/>
      <c r="N2348" s="1694"/>
      <c r="O2348" s="1694"/>
      <c r="P2348" s="1693">
        <f t="shared" si="401"/>
        <v>0</v>
      </c>
      <c r="Q2348" s="2678"/>
      <c r="R2348" s="988"/>
      <c r="S2348" s="988"/>
      <c r="T2348" s="1862">
        <f>IFERROR(HLOOKUP(B2348,pp3p1m!$1:$3,3,0),0)</f>
        <v>0</v>
      </c>
    </row>
    <row r="2349" spans="1:20" ht="22.2" hidden="1" customHeight="1">
      <c r="A2349" s="1448">
        <f>COUNTIF($C$12:C2349,"x")</f>
        <v>159</v>
      </c>
      <c r="B2349" s="1486" t="s">
        <v>227</v>
      </c>
      <c r="C2349" s="970" t="str">
        <f t="shared" si="395"/>
        <v xml:space="preserve"> </v>
      </c>
      <c r="D2349" s="1438">
        <v>4</v>
      </c>
      <c r="E2349" s="980" t="str">
        <f>VLOOKUP($B2349,DG!A:D,DG!$B$2,)</f>
        <v>06.3231</v>
      </c>
      <c r="F2349" s="992" t="str">
        <f>VLOOKUP($B2349,DG!A:D,DG!$C$2,)</f>
        <v>Côllier 25x2</v>
      </c>
      <c r="G2349" s="980" t="str">
        <f>VLOOKUP($B2349,DG!A:D,DG!$D$2,)</f>
        <v>bộ</v>
      </c>
      <c r="H2349" s="1694">
        <f t="shared" si="403"/>
        <v>0</v>
      </c>
      <c r="I2349" s="1694"/>
      <c r="J2349" s="1694"/>
      <c r="K2349" s="1694">
        <f>IFERROR(HLOOKUP(B2349,pp3p1m!$1:$3,2,0),0)</f>
        <v>0</v>
      </c>
      <c r="L2349" s="1694"/>
      <c r="M2349" s="1694"/>
      <c r="N2349" s="1694"/>
      <c r="O2349" s="1694"/>
      <c r="P2349" s="1693">
        <f t="shared" si="401"/>
        <v>0</v>
      </c>
      <c r="Q2349" s="2678"/>
      <c r="R2349" s="988"/>
      <c r="S2349" s="988"/>
      <c r="T2349" s="1862">
        <f>IFERROR(HLOOKUP(B2349,pp3p1m!$1:$3,3,0),0)</f>
        <v>0</v>
      </c>
    </row>
    <row r="2350" spans="1:20" ht="22.2" hidden="1" customHeight="1">
      <c r="A2350" s="1448">
        <f>COUNTIF($C$12:C2350,"x")</f>
        <v>159</v>
      </c>
      <c r="B2350" s="1486" t="s">
        <v>1616</v>
      </c>
      <c r="C2350" s="970" t="str">
        <f t="shared" si="395"/>
        <v xml:space="preserve"> </v>
      </c>
      <c r="D2350" s="1438">
        <v>8</v>
      </c>
      <c r="E2350" s="980">
        <f>VLOOKUP($B2350,DG!A:D,DG!$B$2,)</f>
        <v>0</v>
      </c>
      <c r="F2350" s="992" t="str">
        <f>VLOOKUP($B2350,DG!A:D,DG!$C$2,)</f>
        <v>Co 90 độ PVC 42</v>
      </c>
      <c r="G2350" s="980" t="str">
        <f>VLOOKUP($B2350,DG!A:D,DG!$D$2,)</f>
        <v>cái</v>
      </c>
      <c r="H2350" s="1694">
        <f t="shared" si="403"/>
        <v>0</v>
      </c>
      <c r="I2350" s="1694"/>
      <c r="J2350" s="1694"/>
      <c r="K2350" s="1694">
        <f>IFERROR(HLOOKUP(B2350,pp3p1m!$1:$3,2,0),0)</f>
        <v>0</v>
      </c>
      <c r="L2350" s="1694"/>
      <c r="M2350" s="1694"/>
      <c r="N2350" s="1694"/>
      <c r="O2350" s="1694"/>
      <c r="P2350" s="1693">
        <f t="shared" si="401"/>
        <v>0</v>
      </c>
      <c r="Q2350" s="2678"/>
      <c r="R2350" s="988"/>
      <c r="S2350" s="988"/>
      <c r="T2350" s="1862">
        <f>IFERROR(HLOOKUP(B2350,pp3p1m!$1:$3,3,0),0)</f>
        <v>0</v>
      </c>
    </row>
    <row r="2351" spans="1:20" ht="22.2" hidden="1" customHeight="1">
      <c r="A2351" s="1448">
        <f>COUNTIF($C$12:C2351,"x")</f>
        <v>159</v>
      </c>
      <c r="B2351" s="1486" t="s">
        <v>1050</v>
      </c>
      <c r="C2351" s="970" t="str">
        <f t="shared" si="395"/>
        <v xml:space="preserve"> </v>
      </c>
      <c r="D2351" s="1438">
        <v>4</v>
      </c>
      <c r="E2351" s="980">
        <f>VLOOKUP($B2351,DG!A:D,DG!$B$2,)</f>
        <v>0</v>
      </c>
      <c r="F2351" s="992" t="str">
        <f>VLOOKUP($B2351,DG!A:D,DG!$C$2,)</f>
        <v>Co chữ T ống PVC 42</v>
      </c>
      <c r="G2351" s="980" t="str">
        <f>VLOOKUP($B2351,DG!A:D,DG!$D$2,)</f>
        <v>cái</v>
      </c>
      <c r="H2351" s="1694">
        <f t="shared" si="403"/>
        <v>0</v>
      </c>
      <c r="I2351" s="1694"/>
      <c r="J2351" s="1694"/>
      <c r="K2351" s="1694">
        <f>IFERROR(HLOOKUP(B2351,pp3p1m!$1:$3,2,0),0)</f>
        <v>0</v>
      </c>
      <c r="L2351" s="1694"/>
      <c r="M2351" s="1694"/>
      <c r="N2351" s="1694"/>
      <c r="O2351" s="1694"/>
      <c r="P2351" s="1693">
        <f t="shared" si="401"/>
        <v>0</v>
      </c>
      <c r="Q2351" s="2678"/>
      <c r="R2351" s="988"/>
      <c r="S2351" s="988"/>
      <c r="T2351" s="1862">
        <f>IFERROR(HLOOKUP(B2351,pp3p1m!$1:$3,3,0),0)</f>
        <v>0</v>
      </c>
    </row>
    <row r="2352" spans="1:20" ht="22.2" hidden="1" customHeight="1">
      <c r="A2352" s="1448">
        <f>COUNTIF($C$12:C2352,"x")</f>
        <v>159</v>
      </c>
      <c r="B2352" s="1486" t="s">
        <v>1913</v>
      </c>
      <c r="C2352" s="970" t="str">
        <f t="shared" si="395"/>
        <v xml:space="preserve"> </v>
      </c>
      <c r="D2352" s="1438">
        <v>2</v>
      </c>
      <c r="E2352" s="980">
        <f>VLOOKUP($B2352,DG!A:D,DG!$B$2,)</f>
        <v>0</v>
      </c>
      <c r="F2352" s="992" t="str">
        <f>VLOOKUP($B2352,DG!A:D,DG!$C$2,)</f>
        <v>Nối thẳng ống PVC 42</v>
      </c>
      <c r="G2352" s="980" t="str">
        <f>VLOOKUP($B2352,DG!A:D,DG!$D$2,)</f>
        <v>cái</v>
      </c>
      <c r="H2352" s="1694">
        <f t="shared" si="403"/>
        <v>0</v>
      </c>
      <c r="I2352" s="1694"/>
      <c r="J2352" s="1694"/>
      <c r="K2352" s="1694">
        <f>IFERROR(HLOOKUP(B2352,pp3p1m!$1:$3,2,0),0)</f>
        <v>0</v>
      </c>
      <c r="L2352" s="1694"/>
      <c r="M2352" s="1694"/>
      <c r="N2352" s="1694"/>
      <c r="O2352" s="1694"/>
      <c r="P2352" s="1693">
        <f t="shared" si="401"/>
        <v>0</v>
      </c>
      <c r="Q2352" s="2678"/>
      <c r="R2352" s="988"/>
      <c r="S2352" s="988"/>
      <c r="T2352" s="1862">
        <f>IFERROR(HLOOKUP(B2352,pp3p1m!$1:$3,3,0),0)</f>
        <v>0</v>
      </c>
    </row>
    <row r="2353" spans="1:20" ht="22.2" hidden="1" customHeight="1">
      <c r="A2353" s="1448">
        <f>COUNTIF($C$12:C2353,"x")</f>
        <v>159</v>
      </c>
      <c r="B2353" s="1378" t="s">
        <v>697</v>
      </c>
      <c r="C2353" s="970" t="str">
        <f t="shared" si="395"/>
        <v xml:space="preserve"> </v>
      </c>
      <c r="D2353" s="1439">
        <v>6</v>
      </c>
      <c r="E2353" s="980">
        <f>VLOOKUP($B2353,DG!A:D,DG!$B$2,)</f>
        <v>0</v>
      </c>
      <c r="F2353" s="992" t="str">
        <f>VLOOKUP($B2353,DG!A:D,DG!$C$2,)</f>
        <v>Cáp 24KV C/XLPE/PVC 25mm2</v>
      </c>
      <c r="G2353" s="980" t="str">
        <f>VLOOKUP($B2353,DG!A:D,DG!$D$2,)</f>
        <v>mét</v>
      </c>
      <c r="H2353" s="1694">
        <f t="shared" si="403"/>
        <v>0</v>
      </c>
      <c r="I2353" s="1694"/>
      <c r="J2353" s="1694"/>
      <c r="K2353" s="1694">
        <f>IFERROR(HLOOKUP(B2353,pp3p1m!$1:$3,2,0),0)</f>
        <v>0</v>
      </c>
      <c r="L2353" s="1694"/>
      <c r="M2353" s="1694"/>
      <c r="N2353" s="1694"/>
      <c r="O2353" s="1694"/>
      <c r="P2353" s="1693">
        <f t="shared" si="401"/>
        <v>0</v>
      </c>
      <c r="Q2353" s="2678"/>
      <c r="R2353" s="988"/>
      <c r="S2353" s="988"/>
      <c r="T2353" s="1862">
        <f>IFERROR(HLOOKUP(B2353,pp3p1m!$1:$3,3,0),0)</f>
        <v>0</v>
      </c>
    </row>
    <row r="2354" spans="1:20" ht="22.2" hidden="1" customHeight="1">
      <c r="A2354" s="1448">
        <f>COUNTIF($C$12:C2354,"x")</f>
        <v>159</v>
      </c>
      <c r="B2354" s="1486" t="s">
        <v>726</v>
      </c>
      <c r="C2354" s="970" t="str">
        <f t="shared" si="395"/>
        <v xml:space="preserve"> </v>
      </c>
      <c r="D2354" s="1438">
        <v>2</v>
      </c>
      <c r="E2354" s="980">
        <f>VLOOKUP($B2354,DG!A:D,DG!$B$2,)</f>
        <v>0</v>
      </c>
      <c r="F2354" s="992" t="str">
        <f>VLOOKUP($B2354,DG!A:D,DG!$C$2,)</f>
        <v>Keo dán ống PVC (500gr)</v>
      </c>
      <c r="G2354" s="980" t="str">
        <f>VLOOKUP($B2354,DG!A:D,DG!$D$2,)</f>
        <v>lon</v>
      </c>
      <c r="H2354" s="1694">
        <f t="shared" si="403"/>
        <v>0</v>
      </c>
      <c r="I2354" s="1694"/>
      <c r="J2354" s="1694"/>
      <c r="K2354" s="1694">
        <f>IFERROR(HLOOKUP(B2354,pp3p1m!$1:$3,2,0),0)</f>
        <v>0</v>
      </c>
      <c r="L2354" s="1694"/>
      <c r="M2354" s="1694"/>
      <c r="N2354" s="1694"/>
      <c r="O2354" s="1694"/>
      <c r="P2354" s="1693">
        <f t="shared" si="401"/>
        <v>0</v>
      </c>
      <c r="Q2354" s="2678"/>
      <c r="R2354" s="988"/>
      <c r="S2354" s="988"/>
      <c r="T2354" s="1862">
        <f>IFERROR(HLOOKUP(B2354,pp3p1m!$1:$3,3,0),0)</f>
        <v>0</v>
      </c>
    </row>
    <row r="2355" spans="1:20" ht="22.2" hidden="1" customHeight="1">
      <c r="A2355" s="1448">
        <f>COUNTIF($C$12:C2355,"x")</f>
        <v>159</v>
      </c>
      <c r="B2355" s="1486" t="s">
        <v>672</v>
      </c>
      <c r="C2355" s="970" t="str">
        <f t="shared" si="395"/>
        <v xml:space="preserve"> </v>
      </c>
      <c r="D2355" s="1438">
        <v>2</v>
      </c>
      <c r="E2355" s="980">
        <f>VLOOKUP($B2355,DG!A:D,DG!$B$2,)</f>
        <v>0</v>
      </c>
      <c r="F2355" s="992" t="str">
        <f>VLOOKUP($B2355,DG!A:D,DG!$C$2,)</f>
        <v>Băng keo cách điện</v>
      </c>
      <c r="G2355" s="980" t="str">
        <f>VLOOKUP($B2355,DG!A:D,DG!$D$2,)</f>
        <v>cuộn</v>
      </c>
      <c r="H2355" s="1694">
        <f t="shared" si="403"/>
        <v>0</v>
      </c>
      <c r="I2355" s="1694"/>
      <c r="J2355" s="1694"/>
      <c r="K2355" s="1694">
        <f>IFERROR(HLOOKUP(B2355,pp3p1m!$1:$3,2,0),0)</f>
        <v>0</v>
      </c>
      <c r="L2355" s="1694"/>
      <c r="M2355" s="1694"/>
      <c r="N2355" s="1694"/>
      <c r="O2355" s="1694"/>
      <c r="P2355" s="1693">
        <f t="shared" si="401"/>
        <v>0</v>
      </c>
      <c r="Q2355" s="2678"/>
      <c r="R2355" s="988"/>
      <c r="S2355" s="988"/>
      <c r="T2355" s="1862">
        <f>IFERROR(HLOOKUP(B2355,pp3p1m!$1:$3,3,0),0)</f>
        <v>0</v>
      </c>
    </row>
    <row r="2356" spans="1:20" ht="22.2" hidden="1" customHeight="1">
      <c r="A2356" s="1448">
        <f>COUNTIF($C$12:C2356,"x")</f>
        <v>159</v>
      </c>
      <c r="B2356" s="1486" t="s">
        <v>2120</v>
      </c>
      <c r="C2356" s="970" t="str">
        <f t="shared" si="395"/>
        <v xml:space="preserve"> </v>
      </c>
      <c r="D2356" s="1438">
        <v>4</v>
      </c>
      <c r="E2356" s="980">
        <f>VLOOKUP($B2356,DG!A:D,DG!$B$2,)</f>
        <v>0</v>
      </c>
      <c r="F2356" s="992" t="str">
        <f>VLOOKUP($B2356,DG!A:D,DG!$C$2,)</f>
        <v>Khâu ven răng trong D42</v>
      </c>
      <c r="G2356" s="980" t="str">
        <f>VLOOKUP($B2356,DG!A:D,DG!$D$2,)</f>
        <v>cái</v>
      </c>
      <c r="H2356" s="1694">
        <f t="shared" si="403"/>
        <v>0</v>
      </c>
      <c r="I2356" s="1694"/>
      <c r="J2356" s="1694"/>
      <c r="K2356" s="1694">
        <f>IFERROR(HLOOKUP(B2356,pp3p1m!$1:$3,2,0),0)</f>
        <v>0</v>
      </c>
      <c r="L2356" s="1694"/>
      <c r="M2356" s="1694"/>
      <c r="N2356" s="1694"/>
      <c r="O2356" s="1694"/>
      <c r="P2356" s="1693">
        <f t="shared" si="401"/>
        <v>0</v>
      </c>
      <c r="Q2356" s="2678"/>
      <c r="R2356" s="988"/>
      <c r="S2356" s="988"/>
      <c r="T2356" s="1862">
        <f>IFERROR(HLOOKUP(B2356,pp3p1m!$1:$3,3,0),0)</f>
        <v>0</v>
      </c>
    </row>
    <row r="2357" spans="1:20" ht="22.2" hidden="1" customHeight="1">
      <c r="A2357" s="1448">
        <f>COUNTIF($C$12:C2357,"x")</f>
        <v>159</v>
      </c>
      <c r="B2357" s="1486" t="s">
        <v>959</v>
      </c>
      <c r="C2357" s="970" t="str">
        <f t="shared" si="395"/>
        <v xml:space="preserve"> </v>
      </c>
      <c r="D2357" s="1438">
        <v>4</v>
      </c>
      <c r="E2357" s="980">
        <f>VLOOKUP($B2357,DG!A:D,DG!$B$2,)</f>
        <v>0</v>
      </c>
      <c r="F2357" s="992" t="str">
        <f>VLOOKUP($B2357,DG!A:D,DG!$C$2,)</f>
        <v>Khâu ven răng ngoài D42</v>
      </c>
      <c r="G2357" s="980" t="str">
        <f>VLOOKUP($B2357,DG!A:D,DG!$D$2,)</f>
        <v>cái</v>
      </c>
      <c r="H2357" s="1694">
        <f t="shared" si="403"/>
        <v>0</v>
      </c>
      <c r="I2357" s="1694"/>
      <c r="J2357" s="1694"/>
      <c r="K2357" s="1694">
        <f>IFERROR(HLOOKUP(B2357,pp3p1m!$1:$3,2,0),0)</f>
        <v>0</v>
      </c>
      <c r="L2357" s="1694"/>
      <c r="M2357" s="1694"/>
      <c r="N2357" s="1694"/>
      <c r="O2357" s="1694"/>
      <c r="P2357" s="1693">
        <f t="shared" si="401"/>
        <v>0</v>
      </c>
      <c r="Q2357" s="2678"/>
      <c r="R2357" s="988"/>
      <c r="S2357" s="988"/>
      <c r="T2357" s="1862">
        <f>IFERROR(HLOOKUP(B2357,pp3p1m!$1:$3,3,0),0)</f>
        <v>0</v>
      </c>
    </row>
    <row r="2358" spans="1:20" ht="22.2" hidden="1" customHeight="1">
      <c r="A2358" s="1448">
        <f>COUNTIF($C$12:C2358,"x")</f>
        <v>159</v>
      </c>
      <c r="B2358" s="1486" t="s">
        <v>455</v>
      </c>
      <c r="C2358" s="970" t="str">
        <f t="shared" si="395"/>
        <v xml:space="preserve"> </v>
      </c>
      <c r="D2358" s="1438">
        <v>2</v>
      </c>
      <c r="E2358" s="980">
        <f>VLOOKUP($B2358,DG!A:D,DG!$B$2,)</f>
        <v>0</v>
      </c>
      <c r="F2358" s="992" t="str">
        <f>VLOOKUP($B2358,DG!A:D,DG!$C$2,)</f>
        <v>Bảng nhựa gắn tủ điện kế điện tử</v>
      </c>
      <c r="G2358" s="980" t="str">
        <f>VLOOKUP($B2358,DG!A:D,DG!$D$2,)</f>
        <v>cái</v>
      </c>
      <c r="H2358" s="1694">
        <f t="shared" si="403"/>
        <v>0</v>
      </c>
      <c r="I2358" s="1694"/>
      <c r="J2358" s="1694"/>
      <c r="K2358" s="1694">
        <f>IFERROR(HLOOKUP(B2358,pp3p1m!$1:$3,2,0),0)</f>
        <v>0</v>
      </c>
      <c r="L2358" s="1694"/>
      <c r="M2358" s="1694"/>
      <c r="N2358" s="1694"/>
      <c r="O2358" s="1694"/>
      <c r="P2358" s="1693">
        <f t="shared" si="401"/>
        <v>0</v>
      </c>
      <c r="Q2358" s="2678"/>
      <c r="R2358" s="988"/>
      <c r="S2358" s="988"/>
      <c r="T2358" s="1862">
        <f>IFERROR(HLOOKUP(B2358,pp3p1m!$1:$3,3,0),0)</f>
        <v>0</v>
      </c>
    </row>
    <row r="2359" spans="1:20" ht="22.2" hidden="1" customHeight="1">
      <c r="A2359" s="1448">
        <f>COUNTIF($C$12:C2359,"x")</f>
        <v>159</v>
      </c>
      <c r="B2359" s="1486" t="s">
        <v>1915</v>
      </c>
      <c r="C2359" s="970" t="str">
        <f t="shared" si="395"/>
        <v xml:space="preserve"> </v>
      </c>
      <c r="D2359" s="1438">
        <v>1</v>
      </c>
      <c r="E2359" s="980" t="str">
        <f>VLOOKUP($B2359,DG!A:D,DG!$B$2,)</f>
        <v>05.1101</v>
      </c>
      <c r="F2359" s="992" t="str">
        <f>VLOOKUP($B2359,DG!A:D,DG!$C$2,)</f>
        <v>Thùng điện kế 450x300x200mm đo đếm trung thế</v>
      </c>
      <c r="G2359" s="980" t="str">
        <f>VLOOKUP($B2359,DG!A:D,DG!$D$2,)</f>
        <v>cái</v>
      </c>
      <c r="H2359" s="1694">
        <f t="shared" si="403"/>
        <v>0</v>
      </c>
      <c r="I2359" s="1694"/>
      <c r="J2359" s="1694"/>
      <c r="K2359" s="1694">
        <f>IFERROR(HLOOKUP(B2359,pp3p1m!$1:$3,2,0),0)</f>
        <v>0</v>
      </c>
      <c r="L2359" s="1694"/>
      <c r="M2359" s="1694"/>
      <c r="N2359" s="1694"/>
      <c r="O2359" s="1694"/>
      <c r="P2359" s="1693">
        <f t="shared" si="401"/>
        <v>0</v>
      </c>
      <c r="Q2359" s="2678"/>
      <c r="R2359" s="988"/>
      <c r="S2359" s="988"/>
      <c r="T2359" s="1862">
        <f>IFERROR(HLOOKUP(B2359,pp3p1m!$1:$3,3,0),0)</f>
        <v>0</v>
      </c>
    </row>
    <row r="2360" spans="1:20" ht="22.2" hidden="1" customHeight="1">
      <c r="A2360" s="1448">
        <f>COUNTIF($C$12:C2360,"x")</f>
        <v>159</v>
      </c>
      <c r="B2360" s="1486" t="s">
        <v>938</v>
      </c>
      <c r="C2360" s="970" t="str">
        <f t="shared" ref="C2360:C2424" si="405">IF(OR(P2360&lt;&gt;0,H2360&lt;&gt;0),"x"," ")</f>
        <v xml:space="preserve"> </v>
      </c>
      <c r="D2360" s="1440">
        <v>2</v>
      </c>
      <c r="E2360" s="980" t="str">
        <f>VLOOKUP($B2360,DG!A:D,DG!$B$2,)</f>
        <v>06.3231</v>
      </c>
      <c r="F2360" s="1279" t="str">
        <f>VLOOKUP($B2360,DG!A:D,DG!$C$2,)</f>
        <v>Cổ dê CDĐKĐT( bắt thùng điện kế)</v>
      </c>
      <c r="G2360" s="1299" t="str">
        <f>VLOOKUP($B2360,DG!A:D,DG!$D$2,)</f>
        <v>bộ</v>
      </c>
      <c r="H2360" s="1694">
        <f t="shared" si="403"/>
        <v>0</v>
      </c>
      <c r="I2360" s="1694"/>
      <c r="J2360" s="1694"/>
      <c r="K2360" s="1694">
        <f>IFERROR(HLOOKUP(B2360,pp3p1m!$1:$3,2,0),0)</f>
        <v>0</v>
      </c>
      <c r="L2360" s="1694"/>
      <c r="M2360" s="1694"/>
      <c r="N2360" s="1694"/>
      <c r="O2360" s="1694"/>
      <c r="P2360" s="1693">
        <f t="shared" si="401"/>
        <v>0</v>
      </c>
      <c r="Q2360" s="2678"/>
      <c r="R2360" s="988"/>
      <c r="S2360" s="988"/>
      <c r="T2360" s="1862">
        <f>IFERROR(HLOOKUP(B2360,pp3p1m!$1:$3,3,0),0)</f>
        <v>0</v>
      </c>
    </row>
    <row r="2361" spans="1:20" ht="22.2" hidden="1" customHeight="1">
      <c r="A2361" s="1448">
        <f>COUNTIF($C$12:C2361,"x")</f>
        <v>159</v>
      </c>
      <c r="B2361" s="1486" t="s">
        <v>6</v>
      </c>
      <c r="C2361" s="970" t="str">
        <f t="shared" si="405"/>
        <v xml:space="preserve"> </v>
      </c>
      <c r="D2361" s="1438">
        <v>4</v>
      </c>
      <c r="E2361" s="980">
        <f>VLOOKUP($B2361,DG!A:D,DG!$B$2,)</f>
        <v>0</v>
      </c>
      <c r="F2361" s="992" t="str">
        <f>VLOOKUP($B2361,DG!A:D,DG!$C$2,)</f>
        <v>Keo silicon bít miệng ống</v>
      </c>
      <c r="G2361" s="980" t="str">
        <f>VLOOKUP($B2361,DG!A:D,DG!$D$2,)</f>
        <v>ống</v>
      </c>
      <c r="H2361" s="1694">
        <f t="shared" si="403"/>
        <v>0</v>
      </c>
      <c r="I2361" s="1694"/>
      <c r="J2361" s="1694"/>
      <c r="K2361" s="1694">
        <f>IFERROR(HLOOKUP(B2361,pp3p1m!$1:$3,2,0),0)</f>
        <v>0</v>
      </c>
      <c r="L2361" s="1694"/>
      <c r="M2361" s="1694"/>
      <c r="N2361" s="1694"/>
      <c r="O2361" s="1694"/>
      <c r="P2361" s="1693">
        <f t="shared" si="401"/>
        <v>0</v>
      </c>
      <c r="Q2361" s="2678"/>
      <c r="R2361" s="988"/>
      <c r="S2361" s="988"/>
      <c r="T2361" s="1862">
        <f>IFERROR(HLOOKUP(B2361,pp3p1m!$1:$3,3,0),0)</f>
        <v>0</v>
      </c>
    </row>
    <row r="2362" spans="1:20" ht="22.2" hidden="1" customHeight="1">
      <c r="A2362" s="1448">
        <f>COUNTIF($C$12:C2362,"x")</f>
        <v>159</v>
      </c>
      <c r="B2362" s="1486" t="s">
        <v>2139</v>
      </c>
      <c r="C2362" s="970" t="str">
        <f t="shared" si="405"/>
        <v xml:space="preserve"> </v>
      </c>
      <c r="D2362" s="1438">
        <v>4</v>
      </c>
      <c r="E2362" s="980">
        <f>VLOOKUP($B2362,DG!A:D,DG!$B$2,)</f>
        <v>0</v>
      </c>
      <c r="F2362" s="992" t="str">
        <f>VLOOKUP($B2362,DG!A:D,DG!$C$2,)</f>
        <v>Dây đồng trần mềm dẹt</v>
      </c>
      <c r="G2362" s="980" t="str">
        <f>VLOOKUP($B2362,DG!A:D,DG!$D$2,)</f>
        <v>mét</v>
      </c>
      <c r="H2362" s="1694">
        <f t="shared" si="403"/>
        <v>0</v>
      </c>
      <c r="I2362" s="1694"/>
      <c r="J2362" s="1694"/>
      <c r="K2362" s="1694">
        <f>IFERROR(HLOOKUP(B2362,pp3p1m!$1:$3,2,0),0)</f>
        <v>0</v>
      </c>
      <c r="L2362" s="1694"/>
      <c r="M2362" s="1694"/>
      <c r="N2362" s="1694"/>
      <c r="O2362" s="1694"/>
      <c r="P2362" s="1693">
        <f t="shared" si="401"/>
        <v>0</v>
      </c>
      <c r="Q2362" s="2678"/>
      <c r="R2362" s="988"/>
      <c r="S2362" s="988"/>
      <c r="T2362" s="1862">
        <f>IFERROR(HLOOKUP(B2362,pp3p1m!$1:$3,3,0),0)</f>
        <v>0</v>
      </c>
    </row>
    <row r="2363" spans="1:20" ht="22.2" hidden="1" customHeight="1">
      <c r="A2363" s="1448">
        <f>COUNTIF($C$12:C2363,"x")</f>
        <v>159</v>
      </c>
      <c r="B2363" s="1486" t="s">
        <v>251</v>
      </c>
      <c r="C2363" s="970" t="str">
        <f t="shared" si="405"/>
        <v xml:space="preserve"> </v>
      </c>
      <c r="D2363" s="1438">
        <v>48</v>
      </c>
      <c r="E2363" s="980">
        <f>VLOOKUP($B2363,DG!A:D,DG!$B$2,)</f>
        <v>0</v>
      </c>
      <c r="F2363" s="992" t="str">
        <f>VLOOKUP($B2363,DG!A:D,DG!$C$2,)</f>
        <v>Boulon 12x150+ 2 long đền vuông D14-50x50x3/Zn</v>
      </c>
      <c r="G2363" s="980" t="str">
        <f>VLOOKUP($B2363,DG!A:D,DG!$D$2,)</f>
        <v>bộ</v>
      </c>
      <c r="H2363" s="1694">
        <f t="shared" si="403"/>
        <v>0</v>
      </c>
      <c r="I2363" s="1694"/>
      <c r="J2363" s="1694"/>
      <c r="K2363" s="1694">
        <f>IFERROR(HLOOKUP(B2363,pp3p1m!$1:$3,2,0),0)</f>
        <v>0</v>
      </c>
      <c r="L2363" s="1694"/>
      <c r="M2363" s="1694"/>
      <c r="N2363" s="1694"/>
      <c r="O2363" s="1694"/>
      <c r="P2363" s="1693">
        <f t="shared" si="401"/>
        <v>0</v>
      </c>
      <c r="Q2363" s="2678"/>
      <c r="R2363" s="988"/>
      <c r="S2363" s="988"/>
      <c r="T2363" s="1862">
        <f>IFERROR(HLOOKUP(B2363,pp3p1m!$1:$3,3,0),0)</f>
        <v>0</v>
      </c>
    </row>
    <row r="2364" spans="1:20" ht="22.2" hidden="1" customHeight="1">
      <c r="A2364" s="1448">
        <f>COUNTIF($C$12:C2364,"x")</f>
        <v>159</v>
      </c>
      <c r="B2364" s="1486" t="s">
        <v>1035</v>
      </c>
      <c r="C2364" s="970" t="str">
        <f t="shared" si="405"/>
        <v xml:space="preserve"> </v>
      </c>
      <c r="D2364" s="1441">
        <f>3.77*D2341*0</f>
        <v>0</v>
      </c>
      <c r="E2364" s="980">
        <f>VLOOKUP($B2364,DG!A:D,DG!$B$2,)</f>
        <v>0</v>
      </c>
      <c r="F2364" s="992" t="str">
        <f>VLOOKUP($B2364,DG!A:D,DG!$C$2,)&amp;" : 2 thanh daøi 0,5m"</f>
        <v>Sắt góc L50 x50 x5 : 2 thanh daøi 0,5m</v>
      </c>
      <c r="G2364" s="980" t="str">
        <f>VLOOKUP($B2364,DG!A:D,DG!$D$2,)</f>
        <v>kg</v>
      </c>
      <c r="H2364" s="1694">
        <f t="shared" si="403"/>
        <v>0</v>
      </c>
      <c r="I2364" s="1694"/>
      <c r="J2364" s="1694"/>
      <c r="K2364" s="1694">
        <f>IFERROR(HLOOKUP(B2364,pp3p1m!$1:$3,2,0),0)</f>
        <v>0</v>
      </c>
      <c r="L2364" s="1694"/>
      <c r="M2364" s="1694"/>
      <c r="N2364" s="1694"/>
      <c r="O2364" s="1694"/>
      <c r="P2364" s="1693">
        <f t="shared" si="401"/>
        <v>0</v>
      </c>
      <c r="Q2364" s="988"/>
      <c r="R2364" s="988"/>
      <c r="S2364" s="988"/>
      <c r="T2364" s="1862">
        <f t="shared" si="404"/>
        <v>0</v>
      </c>
    </row>
    <row r="2365" spans="1:20" ht="22.2" hidden="1" customHeight="1">
      <c r="A2365" s="1448">
        <f>COUNTIF($C$12:C2365,"x")</f>
        <v>159</v>
      </c>
      <c r="B2365" s="1486" t="s">
        <v>1350</v>
      </c>
      <c r="C2365" s="970" t="str">
        <f t="shared" si="405"/>
        <v xml:space="preserve"> </v>
      </c>
      <c r="D2365" s="1438">
        <f>4*D2341*0</f>
        <v>0</v>
      </c>
      <c r="E2365" s="980">
        <f>VLOOKUP($B2365,DG!A:D,DG!$B$2,)</f>
        <v>0</v>
      </c>
      <c r="F2365" s="992" t="str">
        <f>VLOOKUP($B2365,DG!A:D,DG!$C$2,)</f>
        <v>Boulon 12x60+ 2 long đền vuông D14-50x50x3/Zn</v>
      </c>
      <c r="G2365" s="980" t="str">
        <f>VLOOKUP($B2365,DG!A:D,DG!$D$2,)</f>
        <v>bộ</v>
      </c>
      <c r="H2365" s="1694">
        <f t="shared" si="403"/>
        <v>0</v>
      </c>
      <c r="I2365" s="1694"/>
      <c r="J2365" s="1694"/>
      <c r="K2365" s="1694">
        <f>IFERROR(HLOOKUP(B2365,pp3p1m!$1:$3,2,0),0)</f>
        <v>0</v>
      </c>
      <c r="L2365" s="1694"/>
      <c r="M2365" s="1694"/>
      <c r="N2365" s="1694"/>
      <c r="O2365" s="1694"/>
      <c r="P2365" s="1693">
        <f t="shared" si="401"/>
        <v>0</v>
      </c>
      <c r="Q2365" s="988"/>
      <c r="R2365" s="988"/>
      <c r="S2365" s="988"/>
      <c r="T2365" s="1862">
        <f t="shared" si="404"/>
        <v>0</v>
      </c>
    </row>
    <row r="2366" spans="1:20" ht="22.2" hidden="1" customHeight="1">
      <c r="A2366" s="1448">
        <f>COUNTIF($C$12:C2366,"x")</f>
        <v>159</v>
      </c>
      <c r="B2366" s="1452" t="s">
        <v>1899</v>
      </c>
      <c r="C2366" s="970" t="str">
        <f>IF(L2366&gt;0,"x","")</f>
        <v/>
      </c>
      <c r="D2366" s="1412">
        <f>IF(SUM(D2367:D2371)=0,0,1)</f>
        <v>0</v>
      </c>
      <c r="E2366" s="982" t="s">
        <v>1897</v>
      </c>
      <c r="F2366" s="1276" t="s">
        <v>2571</v>
      </c>
      <c r="G2366" s="982"/>
      <c r="H2366" s="1691"/>
      <c r="I2366" s="1692"/>
      <c r="J2366" s="1692"/>
      <c r="K2366" s="1692"/>
      <c r="L2366" s="1692">
        <f>SUM(L2367:L2371)</f>
        <v>0</v>
      </c>
      <c r="M2366" s="1692"/>
      <c r="N2366" s="1692"/>
      <c r="O2366" s="1692"/>
      <c r="P2366" s="2674">
        <f>T2366</f>
        <v>0</v>
      </c>
      <c r="Q2366" s="983">
        <f>IF(P2366&gt;H2366,P2366-H2366,0)</f>
        <v>0</v>
      </c>
      <c r="R2366" s="983">
        <f>IF(H2366&gt;P2366,H2366-P2366,0)</f>
        <v>0</v>
      </c>
      <c r="S2366" s="983"/>
      <c r="T2366" s="1862">
        <f t="shared" si="404"/>
        <v>0</v>
      </c>
    </row>
    <row r="2367" spans="1:20" ht="22.2" hidden="1" customHeight="1">
      <c r="A2367" s="1448">
        <f>COUNTIF($C$12:C2367,"x")</f>
        <v>159</v>
      </c>
      <c r="B2367" s="1449" t="s">
        <v>1652</v>
      </c>
      <c r="C2367" s="970" t="str">
        <f t="shared" si="405"/>
        <v xml:space="preserve"> </v>
      </c>
      <c r="D2367" s="1428"/>
      <c r="E2367" s="980" t="str">
        <f>VLOOKUP($B2367,DG!A:D,DG!$B$2,)</f>
        <v>02.3155</v>
      </c>
      <c r="F2367" s="992" t="str">
        <f>VLOOKUP($B2367,DG!A:D,DG!$C$2,)</f>
        <v>FCO 24kV - 100A</v>
      </c>
      <c r="G2367" s="980" t="str">
        <f>VLOOKUP($B2367,DG!A:D,DG!$D$2,)</f>
        <v>cái</v>
      </c>
      <c r="H2367" s="1693">
        <f>L2367</f>
        <v>0</v>
      </c>
      <c r="I2367" s="1693"/>
      <c r="J2367" s="1693"/>
      <c r="K2367" s="1693"/>
      <c r="L2367" s="1692">
        <f>IFERROR(HLOOKUP(chitiet!B2367,pp1p!$1:$3,3,0),0)</f>
        <v>0</v>
      </c>
      <c r="M2367" s="1693"/>
      <c r="N2367" s="1693"/>
      <c r="O2367" s="1693"/>
      <c r="P2367" s="1693">
        <f t="shared" si="401"/>
        <v>0</v>
      </c>
      <c r="Q2367" s="989"/>
      <c r="R2367" s="989"/>
      <c r="S2367" s="989"/>
      <c r="T2367" s="1862">
        <f t="shared" si="404"/>
        <v>0</v>
      </c>
    </row>
    <row r="2368" spans="1:20" ht="22.2" hidden="1" customHeight="1">
      <c r="A2368" s="1448">
        <f>COUNTIF($C$12:C2368,"x")</f>
        <v>159</v>
      </c>
      <c r="B2368" s="1460" t="s">
        <v>382</v>
      </c>
      <c r="C2368" s="1701" t="str">
        <f t="shared" si="405"/>
        <v xml:space="preserve"> </v>
      </c>
      <c r="D2368" s="1437"/>
      <c r="E2368" s="980">
        <f>VLOOKUP($B2368,DG!A:D,DG!$B$2,)</f>
        <v>0</v>
      </c>
      <c r="F2368" s="992" t="str">
        <f>VLOOKUP($B2368,DG!A:D,DG!$C$2,)</f>
        <v>Chụp đầu cực FCO (bộ 2 cái)</v>
      </c>
      <c r="G2368" s="980" t="str">
        <f>VLOOKUP($B2368,DG!A:D,DG!$D$2,)</f>
        <v>bộ</v>
      </c>
      <c r="H2368" s="1693">
        <f>L2368</f>
        <v>0</v>
      </c>
      <c r="I2368" s="1694"/>
      <c r="J2368" s="1694"/>
      <c r="K2368" s="1694">
        <f>D2368</f>
        <v>0</v>
      </c>
      <c r="L2368" s="1692">
        <f>IFERROR(HLOOKUP(chitiet!B2368,pp1p!$1:$3,3,0),0)</f>
        <v>0</v>
      </c>
      <c r="M2368" s="1694"/>
      <c r="N2368" s="1694"/>
      <c r="O2368" s="1694"/>
      <c r="P2368" s="1693">
        <f t="shared" si="401"/>
        <v>0</v>
      </c>
      <c r="Q2368" s="988"/>
      <c r="R2368" s="988"/>
      <c r="S2368" s="988"/>
      <c r="T2368" s="1862">
        <f t="shared" si="404"/>
        <v>0</v>
      </c>
    </row>
    <row r="2369" spans="1:20" ht="22.2" hidden="1" customHeight="1">
      <c r="A2369" s="1448">
        <f>COUNTIF($C$12:C2369,"x")</f>
        <v>159</v>
      </c>
      <c r="B2369" s="1449" t="s">
        <v>368</v>
      </c>
      <c r="C2369" s="970" t="str">
        <f t="shared" si="405"/>
        <v xml:space="preserve"> </v>
      </c>
      <c r="D2369" s="1428"/>
      <c r="E2369" s="980">
        <f>VLOOKUP($B2369,DG!A:D,DG!$B$2,)</f>
        <v>0</v>
      </c>
      <c r="F2369" s="992" t="str">
        <f>VLOOKUP($B2369,DG!A:D,DG!$C$2,)</f>
        <v>Dây chảy 8K</v>
      </c>
      <c r="G2369" s="980" t="str">
        <f>VLOOKUP($B2369,DG!A:D,DG!$D$2,)</f>
        <v>Sợi</v>
      </c>
      <c r="H2369" s="1693">
        <f>L2369</f>
        <v>0</v>
      </c>
      <c r="I2369" s="1693"/>
      <c r="J2369" s="1693"/>
      <c r="K2369" s="1693"/>
      <c r="L2369" s="1692">
        <f>IFERROR(HLOOKUP(chitiet!B2369,pp1p!$1:$3,3,0),0)</f>
        <v>0</v>
      </c>
      <c r="M2369" s="1693"/>
      <c r="N2369" s="1693"/>
      <c r="O2369" s="1693"/>
      <c r="P2369" s="1693">
        <f t="shared" si="401"/>
        <v>0</v>
      </c>
      <c r="Q2369" s="989"/>
      <c r="R2369" s="989"/>
      <c r="S2369" s="989"/>
      <c r="T2369" s="1862">
        <f t="shared" si="404"/>
        <v>0</v>
      </c>
    </row>
    <row r="2370" spans="1:20" ht="22.2" hidden="1" customHeight="1">
      <c r="A2370" s="1448">
        <f>COUNTIF($C$12:C2370,"x")</f>
        <v>159</v>
      </c>
      <c r="B2370" s="1449" t="s">
        <v>369</v>
      </c>
      <c r="C2370" s="970" t="str">
        <f>IF(OR(P2370&lt;&gt;0,H2370&lt;&gt;0),"x"," ")</f>
        <v xml:space="preserve"> </v>
      </c>
      <c r="D2370" s="1428"/>
      <c r="E2370" s="980">
        <f>VLOOKUP($B2370,DG!A:D,DG!$B$2,)</f>
        <v>0</v>
      </c>
      <c r="F2370" s="992" t="str">
        <f>VLOOKUP($B2370,DG!A:D,DG!$C$2,)</f>
        <v>Dây chảy 10K</v>
      </c>
      <c r="G2370" s="980" t="str">
        <f>VLOOKUP($B2370,DG!A:D,DG!$D$2,)</f>
        <v>Sợi</v>
      </c>
      <c r="H2370" s="1693">
        <f>L2370</f>
        <v>0</v>
      </c>
      <c r="I2370" s="1693"/>
      <c r="J2370" s="1693"/>
      <c r="K2370" s="1693"/>
      <c r="L2370" s="1692">
        <f>IFERROR(HLOOKUP(chitiet!B2370,pp1p!$1:$3,3,0),0)</f>
        <v>0</v>
      </c>
      <c r="M2370" s="1693"/>
      <c r="N2370" s="1693"/>
      <c r="O2370" s="1693"/>
      <c r="P2370" s="1693">
        <f t="shared" si="401"/>
        <v>0</v>
      </c>
      <c r="Q2370" s="989"/>
      <c r="R2370" s="989"/>
      <c r="S2370" s="989"/>
      <c r="T2370" s="1862">
        <f t="shared" si="404"/>
        <v>0</v>
      </c>
    </row>
    <row r="2371" spans="1:20" ht="22.2" hidden="1" customHeight="1">
      <c r="A2371" s="1448">
        <f>COUNTIF($C$12:C2371,"x")</f>
        <v>159</v>
      </c>
      <c r="B2371" s="1449" t="s">
        <v>4730</v>
      </c>
      <c r="C2371" s="970" t="str">
        <f t="shared" si="405"/>
        <v xml:space="preserve"> </v>
      </c>
      <c r="D2371" s="1428"/>
      <c r="E2371" s="980">
        <f>VLOOKUP($B2371,DG!A:D,DG!$B$2,)</f>
        <v>0</v>
      </c>
      <c r="F2371" s="992" t="str">
        <f>VLOOKUP($B2371,DG!A:D,DG!$C$2,)</f>
        <v>Dây chảy 12K</v>
      </c>
      <c r="G2371" s="980" t="str">
        <f>VLOOKUP($B2371,DG!A:D,DG!$D$2,)</f>
        <v>Sợi</v>
      </c>
      <c r="H2371" s="1693">
        <f>L2371</f>
        <v>0</v>
      </c>
      <c r="I2371" s="1693"/>
      <c r="J2371" s="1693"/>
      <c r="K2371" s="1693"/>
      <c r="L2371" s="1692">
        <f>IFERROR(HLOOKUP(chitiet!B2371,pp1p!$1:$3,3,0),0)</f>
        <v>0</v>
      </c>
      <c r="M2371" s="1693"/>
      <c r="N2371" s="1693"/>
      <c r="O2371" s="1693"/>
      <c r="P2371" s="1693">
        <f t="shared" si="401"/>
        <v>0</v>
      </c>
      <c r="Q2371" s="989"/>
      <c r="R2371" s="989"/>
      <c r="S2371" s="989"/>
      <c r="T2371" s="1862">
        <f t="shared" si="404"/>
        <v>0</v>
      </c>
    </row>
    <row r="2372" spans="1:20" ht="22.2" hidden="1" customHeight="1">
      <c r="A2372" s="1448">
        <f>COUNTIF($C$12:C2372,"x")</f>
        <v>159</v>
      </c>
      <c r="B2372" s="1452" t="s">
        <v>947</v>
      </c>
      <c r="C2372" s="970" t="str">
        <f>IF(D2372&lt;&gt;0,"x"," ")</f>
        <v xml:space="preserve"> </v>
      </c>
      <c r="D2372" s="1412">
        <f>IF(SUM(D2373:D2376)=0,0,1)</f>
        <v>0</v>
      </c>
      <c r="E2372" s="982" t="s">
        <v>1956</v>
      </c>
      <c r="F2372" s="1276" t="s">
        <v>2572</v>
      </c>
      <c r="G2372" s="982"/>
      <c r="H2372" s="1691">
        <f>SUM(I2372:O2372)</f>
        <v>0</v>
      </c>
      <c r="I2372" s="1692"/>
      <c r="J2372" s="1692"/>
      <c r="K2372" s="1692"/>
      <c r="L2372" s="1692">
        <f>IFERROR(HLOOKUP(chitiet!B2372,pp1p!$1:$3,3,0),0)</f>
        <v>0</v>
      </c>
      <c r="M2372" s="1692"/>
      <c r="N2372" s="1692"/>
      <c r="O2372" s="1692"/>
      <c r="P2372" s="2674">
        <f>T2372</f>
        <v>0</v>
      </c>
      <c r="Q2372" s="983">
        <f>IF(P2372&gt;H2372,P2372-H2372,0)</f>
        <v>0</v>
      </c>
      <c r="R2372" s="983">
        <f>IF(H2372&gt;P2372,H2372-P2372,0)</f>
        <v>0</v>
      </c>
      <c r="S2372" s="1001"/>
      <c r="T2372" s="1862">
        <f t="shared" si="404"/>
        <v>0</v>
      </c>
    </row>
    <row r="2373" spans="1:20" ht="22.2" hidden="1" customHeight="1">
      <c r="A2373" s="1448">
        <f>COUNTIF($C$12:C2373,"x")</f>
        <v>159</v>
      </c>
      <c r="B2373" s="1460" t="s">
        <v>943</v>
      </c>
      <c r="C2373" s="970" t="str">
        <f t="shared" si="405"/>
        <v xml:space="preserve"> </v>
      </c>
      <c r="D2373" s="1428"/>
      <c r="E2373" s="980" t="str">
        <f>VLOOKUP($B2373,DG!A:D,DG!$B$2,)</f>
        <v>05.5104</v>
      </c>
      <c r="F2373" s="992" t="str">
        <f>VLOOKUP($B2373,DG!A:D,DG!$C$2,)</f>
        <v>Điện năng kế 3 pha 380V-5A</v>
      </c>
      <c r="G2373" s="980" t="str">
        <f>VLOOKUP($B2373,DG!A:D,DG!$D$2,)</f>
        <v>cái</v>
      </c>
      <c r="H2373" s="1693">
        <f>D2373</f>
        <v>0</v>
      </c>
      <c r="I2373" s="1693"/>
      <c r="J2373" s="1693"/>
      <c r="K2373" s="1693"/>
      <c r="L2373" s="1693">
        <f>D2373</f>
        <v>0</v>
      </c>
      <c r="M2373" s="1693"/>
      <c r="N2373" s="1693"/>
      <c r="O2373" s="1693"/>
      <c r="P2373" s="1693">
        <f t="shared" si="401"/>
        <v>0</v>
      </c>
      <c r="Q2373" s="989"/>
      <c r="R2373" s="989"/>
      <c r="S2373" s="989"/>
      <c r="T2373" s="1862">
        <f t="shared" si="404"/>
        <v>0</v>
      </c>
    </row>
    <row r="2374" spans="1:20" ht="22.2" hidden="1" customHeight="1">
      <c r="A2374" s="1448">
        <f>COUNTIF($C$12:C2374,"x")</f>
        <v>159</v>
      </c>
      <c r="B2374" s="1460" t="s">
        <v>2043</v>
      </c>
      <c r="C2374" s="970" t="str">
        <f t="shared" si="405"/>
        <v xml:space="preserve"> </v>
      </c>
      <c r="D2374" s="1428"/>
      <c r="E2374" s="980">
        <f>VLOOKUP($B2374,DG!A:D,DG!$B$2,)</f>
        <v>0</v>
      </c>
      <c r="F2374" s="992" t="str">
        <f>VLOOKUP($B2374,DG!A:D,DG!$C$2,)</f>
        <v>Biến dòng 600V - 100/5A</v>
      </c>
      <c r="G2374" s="980" t="str">
        <f>VLOOKUP($B2374,DG!A:D,DG!$D$2,)</f>
        <v>cái</v>
      </c>
      <c r="H2374" s="1693">
        <f>D2374</f>
        <v>0</v>
      </c>
      <c r="I2374" s="1693"/>
      <c r="J2374" s="1693"/>
      <c r="K2374" s="1693"/>
      <c r="L2374" s="1693">
        <f>D2374</f>
        <v>0</v>
      </c>
      <c r="M2374" s="1693"/>
      <c r="N2374" s="1693"/>
      <c r="O2374" s="1693"/>
      <c r="P2374" s="1693">
        <f t="shared" si="401"/>
        <v>0</v>
      </c>
      <c r="Q2374" s="989"/>
      <c r="R2374" s="989"/>
      <c r="S2374" s="989"/>
      <c r="T2374" s="1862">
        <f t="shared" si="404"/>
        <v>0</v>
      </c>
    </row>
    <row r="2375" spans="1:20" ht="22.2" hidden="1" customHeight="1">
      <c r="A2375" s="1448">
        <f>COUNTIF($C$12:C2375,"x")</f>
        <v>159</v>
      </c>
      <c r="B2375" s="1460" t="s">
        <v>793</v>
      </c>
      <c r="C2375" s="970" t="str">
        <f t="shared" si="405"/>
        <v xml:space="preserve"> </v>
      </c>
      <c r="D2375" s="1428"/>
      <c r="E2375" s="980" t="str">
        <f>VLOOKUP($B2375,DG!A:D,DG!$B$2,)</f>
        <v>02.8401</v>
      </c>
      <c r="F2375" s="992" t="str">
        <f>VLOOKUP($B2375,DG!A:D,DG!$C$2,)</f>
        <v>MCCB 3 cực 400V-100A - 30KA</v>
      </c>
      <c r="G2375" s="980" t="str">
        <f>VLOOKUP($B2375,DG!A:D,DG!$D$2,)</f>
        <v>cái</v>
      </c>
      <c r="H2375" s="1693">
        <f>D2375</f>
        <v>0</v>
      </c>
      <c r="I2375" s="1693"/>
      <c r="J2375" s="1693"/>
      <c r="K2375" s="1693"/>
      <c r="L2375" s="1693">
        <f>D2375</f>
        <v>0</v>
      </c>
      <c r="M2375" s="1693"/>
      <c r="N2375" s="1693"/>
      <c r="O2375" s="1693"/>
      <c r="P2375" s="1693">
        <f t="shared" si="401"/>
        <v>0</v>
      </c>
      <c r="Q2375" s="989"/>
      <c r="R2375" s="989"/>
      <c r="S2375" s="989"/>
      <c r="T2375" s="1862">
        <f t="shared" si="404"/>
        <v>0</v>
      </c>
    </row>
    <row r="2376" spans="1:20" ht="22.2" hidden="1" customHeight="1">
      <c r="A2376" s="1448">
        <f>COUNTIF($C$12:C2376,"x")</f>
        <v>159</v>
      </c>
      <c r="B2376" s="1460" t="s">
        <v>1796</v>
      </c>
      <c r="C2376" s="970" t="str">
        <f t="shared" si="405"/>
        <v xml:space="preserve"> </v>
      </c>
      <c r="D2376" s="1428"/>
      <c r="E2376" s="980">
        <f>VLOOKUP($B2376,DG!A:D,DG!$B$2,)</f>
        <v>0</v>
      </c>
      <c r="F2376" s="992" t="str">
        <f>VLOOKUP($B2376,DG!A:D,DG!$C$2,)</f>
        <v>Contactor 3P-50A</v>
      </c>
      <c r="G2376" s="980" t="str">
        <f>VLOOKUP($B2376,DG!A:D,DG!$D$2,)</f>
        <v>cái</v>
      </c>
      <c r="H2376" s="1693">
        <f>D2376</f>
        <v>0</v>
      </c>
      <c r="I2376" s="1693"/>
      <c r="J2376" s="1693"/>
      <c r="K2376" s="1693"/>
      <c r="L2376" s="1693">
        <f>D2376</f>
        <v>0</v>
      </c>
      <c r="M2376" s="1693"/>
      <c r="N2376" s="1693"/>
      <c r="O2376" s="1693"/>
      <c r="P2376" s="1693">
        <f t="shared" si="401"/>
        <v>0</v>
      </c>
      <c r="Q2376" s="989"/>
      <c r="R2376" s="989"/>
      <c r="S2376" s="989"/>
      <c r="T2376" s="1862">
        <f t="shared" si="404"/>
        <v>0</v>
      </c>
    </row>
    <row r="2377" spans="1:20" ht="22.2" hidden="1" customHeight="1">
      <c r="A2377" s="1448">
        <f>COUNTIF($C$12:C2377,"x")</f>
        <v>159</v>
      </c>
      <c r="B2377" s="1452" t="s">
        <v>1044</v>
      </c>
      <c r="C2377" s="970" t="str">
        <f>IF(D2377&lt;&gt;0,"x"," ")</f>
        <v xml:space="preserve"> </v>
      </c>
      <c r="D2377" s="1442"/>
      <c r="E2377" s="1300" t="s">
        <v>400</v>
      </c>
      <c r="F2377" s="1381" t="s">
        <v>2573</v>
      </c>
      <c r="G2377" s="1300"/>
      <c r="H2377" s="1691">
        <f>SUM(I2377:O2377)</f>
        <v>0</v>
      </c>
      <c r="I2377" s="1692"/>
      <c r="J2377" s="1692"/>
      <c r="K2377" s="1692"/>
      <c r="L2377" s="1692">
        <f>IFERROR(HLOOKUP(chitiet!B2377,pp1p!$1:$3,3,0),0)</f>
        <v>0</v>
      </c>
      <c r="M2377" s="1692"/>
      <c r="N2377" s="1692"/>
      <c r="O2377" s="1697"/>
      <c r="P2377" s="2674">
        <f>T2377</f>
        <v>0</v>
      </c>
      <c r="Q2377" s="983">
        <f>IF(P2377&gt;H2377,P2377-H2377,0)</f>
        <v>0</v>
      </c>
      <c r="R2377" s="983">
        <f>IF(H2377&gt;P2377,H2377-P2377,0)</f>
        <v>0</v>
      </c>
      <c r="S2377" s="983"/>
      <c r="T2377" s="1862">
        <f t="shared" si="404"/>
        <v>0</v>
      </c>
    </row>
    <row r="2378" spans="1:20" ht="22.2" hidden="1" customHeight="1">
      <c r="A2378" s="1448">
        <f>COUNTIF($C$12:C2378,"x")</f>
        <v>159</v>
      </c>
      <c r="B2378" s="1452" t="s">
        <v>1045</v>
      </c>
      <c r="C2378" s="59" t="str">
        <f t="shared" si="405"/>
        <v xml:space="preserve"> </v>
      </c>
      <c r="D2378" s="1412"/>
      <c r="E2378" s="982"/>
      <c r="F2378" s="1276" t="s">
        <v>2574</v>
      </c>
      <c r="G2378" s="982" t="s">
        <v>2575</v>
      </c>
      <c r="H2378" s="1691">
        <f>SUM(I2378:O2378)</f>
        <v>0</v>
      </c>
      <c r="I2378" s="1692"/>
      <c r="J2378" s="1692"/>
      <c r="K2378" s="1692"/>
      <c r="L2378" s="1692">
        <f>IFERROR(HLOOKUP(chitiet!B2378,pp1p!$1:$3,3,0),0)</f>
        <v>0</v>
      </c>
      <c r="M2378" s="1692"/>
      <c r="N2378" s="1692"/>
      <c r="O2378" s="1692"/>
      <c r="P2378" s="2674">
        <f>T2378</f>
        <v>0</v>
      </c>
      <c r="Q2378" s="983">
        <f>IF(P2378&gt;H2378,P2378-H2378,0)</f>
        <v>0</v>
      </c>
      <c r="R2378" s="983">
        <f>IF(H2378&gt;P2378,H2378-P2378,0)</f>
        <v>0</v>
      </c>
      <c r="S2378" s="983"/>
      <c r="T2378" s="1862">
        <f t="shared" si="404"/>
        <v>0</v>
      </c>
    </row>
    <row r="2379" spans="1:20" ht="22.2" hidden="1" customHeight="1">
      <c r="A2379" s="1448">
        <f>COUNTIF($C$12:C2379,"x")</f>
        <v>159</v>
      </c>
      <c r="B2379" s="1461" t="s">
        <v>2008</v>
      </c>
      <c r="C2379" s="60" t="str">
        <f t="shared" si="405"/>
        <v xml:space="preserve"> </v>
      </c>
      <c r="D2379" s="1419">
        <v>3.2</v>
      </c>
      <c r="E2379" s="984"/>
      <c r="F2379" s="992" t="str">
        <f>VLOOKUP($B2379,DG!A:D,DG!$C$2,)</f>
        <v>Sắt Ø10</v>
      </c>
      <c r="G2379" s="980" t="str">
        <f>VLOOKUP($B2379,DG!A:D,DG!$D$2,)</f>
        <v>kg</v>
      </c>
      <c r="H2379" s="1694">
        <f t="shared" ref="H2379:H2391" si="406">IF($H$2377&lt;&gt;0,D2379,)</f>
        <v>0</v>
      </c>
      <c r="I2379" s="1694">
        <f t="shared" ref="I2379:I2388" si="407">$I$2377*D2379</f>
        <v>0</v>
      </c>
      <c r="J2379" s="1694">
        <f t="shared" ref="J2379:J2388" si="408">$J$2377*D2379</f>
        <v>0</v>
      </c>
      <c r="K2379" s="1694">
        <f t="shared" ref="K2379:K2388" si="409">$K$2377*D2379</f>
        <v>0</v>
      </c>
      <c r="L2379" s="1694">
        <f t="shared" ref="L2379:L2414" si="410">$K$2377*H2379</f>
        <v>0</v>
      </c>
      <c r="M2379" s="1694"/>
      <c r="N2379" s="1694"/>
      <c r="O2379" s="1694"/>
      <c r="P2379" s="1693">
        <f t="shared" si="401"/>
        <v>0</v>
      </c>
      <c r="Q2379" s="988"/>
      <c r="R2379" s="988"/>
      <c r="S2379" s="988"/>
      <c r="T2379" s="1862">
        <f t="shared" si="404"/>
        <v>0</v>
      </c>
    </row>
    <row r="2380" spans="1:20" ht="22.2" hidden="1" customHeight="1">
      <c r="A2380" s="1448">
        <f>COUNTIF($C$12:C2380,"x")</f>
        <v>159</v>
      </c>
      <c r="B2380" s="1461" t="s">
        <v>1516</v>
      </c>
      <c r="C2380" s="60" t="str">
        <f t="shared" si="405"/>
        <v xml:space="preserve"> </v>
      </c>
      <c r="D2380" s="1443"/>
      <c r="E2380" s="984"/>
      <c r="F2380" s="1278" t="str">
        <f>VLOOKUP($B2380,DG!A:D,DG!$C$2,)</f>
        <v>Sắt Ø12</v>
      </c>
      <c r="G2380" s="980" t="str">
        <f>VLOOKUP($B2380,DG!A:D,DG!$D$2,)</f>
        <v>kg</v>
      </c>
      <c r="H2380" s="1694">
        <f t="shared" si="406"/>
        <v>0</v>
      </c>
      <c r="I2380" s="1694">
        <f t="shared" si="407"/>
        <v>0</v>
      </c>
      <c r="J2380" s="1694">
        <f t="shared" si="408"/>
        <v>0</v>
      </c>
      <c r="K2380" s="1694">
        <f t="shared" si="409"/>
        <v>0</v>
      </c>
      <c r="L2380" s="1694">
        <f t="shared" si="410"/>
        <v>0</v>
      </c>
      <c r="M2380" s="1694"/>
      <c r="N2380" s="1694"/>
      <c r="O2380" s="1694"/>
      <c r="P2380" s="1693">
        <f t="shared" si="401"/>
        <v>0</v>
      </c>
      <c r="Q2380" s="988"/>
      <c r="R2380" s="988"/>
      <c r="S2380" s="988"/>
      <c r="T2380" s="1862">
        <f t="shared" si="404"/>
        <v>0</v>
      </c>
    </row>
    <row r="2381" spans="1:20" ht="22.2" hidden="1" customHeight="1">
      <c r="A2381" s="1448">
        <f>COUNTIF($C$12:C2381,"x")</f>
        <v>159</v>
      </c>
      <c r="B2381" s="1461" t="s">
        <v>52</v>
      </c>
      <c r="C2381" s="60" t="str">
        <f t="shared" si="405"/>
        <v xml:space="preserve"> </v>
      </c>
      <c r="D2381" s="1443">
        <v>2.92</v>
      </c>
      <c r="E2381" s="984"/>
      <c r="F2381" s="992" t="str">
        <f>VLOOKUP($B2381,DG!A:D,DG!$C$2,)</f>
        <v>Thép tấm 6mm</v>
      </c>
      <c r="G2381" s="980" t="str">
        <f>VLOOKUP($B2381,DG!A:D,DG!$D$2,)</f>
        <v>kg</v>
      </c>
      <c r="H2381" s="1694">
        <f t="shared" si="406"/>
        <v>0</v>
      </c>
      <c r="I2381" s="1694">
        <f t="shared" si="407"/>
        <v>0</v>
      </c>
      <c r="J2381" s="1694">
        <f t="shared" si="408"/>
        <v>0</v>
      </c>
      <c r="K2381" s="1694">
        <f t="shared" si="409"/>
        <v>0</v>
      </c>
      <c r="L2381" s="1694">
        <f t="shared" si="410"/>
        <v>0</v>
      </c>
      <c r="M2381" s="1694"/>
      <c r="N2381" s="1694"/>
      <c r="O2381" s="1694"/>
      <c r="P2381" s="1693">
        <f t="shared" si="401"/>
        <v>0</v>
      </c>
      <c r="Q2381" s="988"/>
      <c r="R2381" s="988"/>
      <c r="S2381" s="988"/>
      <c r="T2381" s="1862">
        <f t="shared" si="404"/>
        <v>0</v>
      </c>
    </row>
    <row r="2382" spans="1:20" ht="22.2" hidden="1" customHeight="1">
      <c r="A2382" s="1448">
        <f>COUNTIF($C$12:C2382,"x")</f>
        <v>159</v>
      </c>
      <c r="B2382" s="1461" t="s">
        <v>701</v>
      </c>
      <c r="C2382" s="60" t="str">
        <f t="shared" si="405"/>
        <v xml:space="preserve"> </v>
      </c>
      <c r="D2382" s="1443">
        <v>4</v>
      </c>
      <c r="E2382" s="984"/>
      <c r="F2382" s="992" t="str">
        <f>VLOOKUP($B2382,DG!A:D,DG!$C$2,)</f>
        <v>Boulon 12x50+ 2 long đền vuông D14-50x50x3/Zn</v>
      </c>
      <c r="G2382" s="980" t="str">
        <f>VLOOKUP($B2382,DG!A:D,DG!$D$2,)</f>
        <v>bộ</v>
      </c>
      <c r="H2382" s="1694">
        <f t="shared" si="406"/>
        <v>0</v>
      </c>
      <c r="I2382" s="1694">
        <f t="shared" si="407"/>
        <v>0</v>
      </c>
      <c r="J2382" s="1694">
        <f t="shared" si="408"/>
        <v>0</v>
      </c>
      <c r="K2382" s="1694">
        <f t="shared" si="409"/>
        <v>0</v>
      </c>
      <c r="L2382" s="1694">
        <f t="shared" si="410"/>
        <v>0</v>
      </c>
      <c r="M2382" s="1694"/>
      <c r="N2382" s="1694"/>
      <c r="O2382" s="1694"/>
      <c r="P2382" s="1693">
        <f t="shared" si="401"/>
        <v>0</v>
      </c>
      <c r="Q2382" s="988"/>
      <c r="R2382" s="988"/>
      <c r="S2382" s="988"/>
      <c r="T2382" s="1862">
        <f t="shared" si="404"/>
        <v>0</v>
      </c>
    </row>
    <row r="2383" spans="1:20" ht="22.2" hidden="1" customHeight="1">
      <c r="A2383" s="1448">
        <f>COUNTIF($C$12:C2383,"x")</f>
        <v>159</v>
      </c>
      <c r="B2383" s="1461" t="s">
        <v>702</v>
      </c>
      <c r="C2383" s="60" t="str">
        <f t="shared" si="405"/>
        <v xml:space="preserve"> </v>
      </c>
      <c r="D2383" s="1443">
        <v>2.5</v>
      </c>
      <c r="E2383" s="984"/>
      <c r="F2383" s="992" t="str">
        <f>VLOOKUP($B2383,DG!A:D,DG!$C$2,)</f>
        <v>Que hàn điện</v>
      </c>
      <c r="G2383" s="980" t="str">
        <f>VLOOKUP($B2383,DG!A:D,DG!$D$2,)</f>
        <v>kg</v>
      </c>
      <c r="H2383" s="1694">
        <f t="shared" si="406"/>
        <v>0</v>
      </c>
      <c r="I2383" s="1694">
        <f t="shared" si="407"/>
        <v>0</v>
      </c>
      <c r="J2383" s="1694">
        <f t="shared" si="408"/>
        <v>0</v>
      </c>
      <c r="K2383" s="1694">
        <f t="shared" si="409"/>
        <v>0</v>
      </c>
      <c r="L2383" s="1694">
        <f t="shared" si="410"/>
        <v>0</v>
      </c>
      <c r="M2383" s="1694"/>
      <c r="N2383" s="1694"/>
      <c r="O2383" s="1694"/>
      <c r="P2383" s="1693">
        <f t="shared" si="401"/>
        <v>0</v>
      </c>
      <c r="Q2383" s="988"/>
      <c r="R2383" s="988"/>
      <c r="S2383" s="988"/>
      <c r="T2383" s="1862">
        <f t="shared" si="404"/>
        <v>0</v>
      </c>
    </row>
    <row r="2384" spans="1:20" ht="22.2" hidden="1" customHeight="1">
      <c r="A2384" s="1448">
        <f>COUNTIF($C$12:C2384,"x")</f>
        <v>159</v>
      </c>
      <c r="B2384" s="1461" t="s">
        <v>703</v>
      </c>
      <c r="C2384" s="60" t="str">
        <f t="shared" si="405"/>
        <v xml:space="preserve"> </v>
      </c>
      <c r="D2384" s="1443">
        <v>1.5</v>
      </c>
      <c r="E2384" s="984"/>
      <c r="F2384" s="992" t="str">
        <f>VLOOKUP($B2384,DG!A:D,DG!$C$2,)</f>
        <v>Sơn chống rỉ</v>
      </c>
      <c r="G2384" s="980" t="str">
        <f>VLOOKUP($B2384,DG!A:D,DG!$D$2,)</f>
        <v>kg</v>
      </c>
      <c r="H2384" s="1694">
        <f t="shared" si="406"/>
        <v>0</v>
      </c>
      <c r="I2384" s="1694">
        <f t="shared" si="407"/>
        <v>0</v>
      </c>
      <c r="J2384" s="1694">
        <f t="shared" si="408"/>
        <v>0</v>
      </c>
      <c r="K2384" s="1694">
        <f t="shared" si="409"/>
        <v>0</v>
      </c>
      <c r="L2384" s="1694">
        <f t="shared" si="410"/>
        <v>0</v>
      </c>
      <c r="M2384" s="1694"/>
      <c r="N2384" s="1694"/>
      <c r="O2384" s="1694"/>
      <c r="P2384" s="1693">
        <f t="shared" si="401"/>
        <v>0</v>
      </c>
      <c r="Q2384" s="988"/>
      <c r="R2384" s="988"/>
      <c r="S2384" s="988"/>
      <c r="T2384" s="1862">
        <f t="shared" si="404"/>
        <v>0</v>
      </c>
    </row>
    <row r="2385" spans="1:20" ht="22.2" hidden="1" customHeight="1">
      <c r="A2385" s="1448">
        <f>COUNTIF($C$12:C2385,"x")</f>
        <v>159</v>
      </c>
      <c r="B2385" s="1461" t="s">
        <v>704</v>
      </c>
      <c r="C2385" s="60" t="str">
        <f t="shared" si="405"/>
        <v xml:space="preserve"> </v>
      </c>
      <c r="D2385" s="1443">
        <v>1</v>
      </c>
      <c r="E2385" s="984"/>
      <c r="F2385" s="992" t="str">
        <f>VLOOKUP($B2385,DG!A:D,DG!$C$2,)</f>
        <v>Sơn màu</v>
      </c>
      <c r="G2385" s="980" t="str">
        <f>VLOOKUP($B2385,DG!A:D,DG!$D$2,)</f>
        <v>kg</v>
      </c>
      <c r="H2385" s="1694">
        <f t="shared" si="406"/>
        <v>0</v>
      </c>
      <c r="I2385" s="1694">
        <f t="shared" si="407"/>
        <v>0</v>
      </c>
      <c r="J2385" s="1694">
        <f t="shared" si="408"/>
        <v>0</v>
      </c>
      <c r="K2385" s="1694">
        <f t="shared" si="409"/>
        <v>0</v>
      </c>
      <c r="L2385" s="1694">
        <f t="shared" si="410"/>
        <v>0</v>
      </c>
      <c r="M2385" s="1694"/>
      <c r="N2385" s="1694"/>
      <c r="O2385" s="1694"/>
      <c r="P2385" s="1693">
        <f t="shared" si="401"/>
        <v>0</v>
      </c>
      <c r="Q2385" s="988"/>
      <c r="R2385" s="988"/>
      <c r="S2385" s="988"/>
      <c r="T2385" s="1862">
        <f t="shared" si="404"/>
        <v>0</v>
      </c>
    </row>
    <row r="2386" spans="1:20" ht="22.2" hidden="1" customHeight="1">
      <c r="A2386" s="1448">
        <f>COUNTIF($C$12:C2386,"x")</f>
        <v>159</v>
      </c>
      <c r="B2386" s="1461" t="s">
        <v>438</v>
      </c>
      <c r="C2386" s="60" t="str">
        <f t="shared" si="405"/>
        <v xml:space="preserve"> </v>
      </c>
      <c r="D2386" s="1443">
        <v>0.9</v>
      </c>
      <c r="E2386" s="984"/>
      <c r="F2386" s="992" t="str">
        <f>VLOOKUP($B2386,DG!A:D,DG!$C$2,)</f>
        <v>Ô xy gió</v>
      </c>
      <c r="G2386" s="980" t="str">
        <f>VLOOKUP($B2386,DG!A:D,DG!$D$2,)</f>
        <v>m3</v>
      </c>
      <c r="H2386" s="1694">
        <f t="shared" si="406"/>
        <v>0</v>
      </c>
      <c r="I2386" s="1694">
        <f t="shared" si="407"/>
        <v>0</v>
      </c>
      <c r="J2386" s="1694">
        <f t="shared" si="408"/>
        <v>0</v>
      </c>
      <c r="K2386" s="1694">
        <f t="shared" si="409"/>
        <v>0</v>
      </c>
      <c r="L2386" s="1694">
        <f t="shared" si="410"/>
        <v>0</v>
      </c>
      <c r="M2386" s="1694"/>
      <c r="N2386" s="1694"/>
      <c r="O2386" s="1694"/>
      <c r="P2386" s="1693">
        <f t="shared" si="401"/>
        <v>0</v>
      </c>
      <c r="Q2386" s="988"/>
      <c r="R2386" s="988"/>
      <c r="S2386" s="988"/>
      <c r="T2386" s="1862">
        <f t="shared" si="404"/>
        <v>0</v>
      </c>
    </row>
    <row r="2387" spans="1:20" ht="22.2" hidden="1" customHeight="1">
      <c r="A2387" s="1448">
        <f>COUNTIF($C$12:C2387,"x")</f>
        <v>159</v>
      </c>
      <c r="B2387" s="1461" t="s">
        <v>1564</v>
      </c>
      <c r="C2387" s="60" t="str">
        <f t="shared" si="405"/>
        <v xml:space="preserve"> </v>
      </c>
      <c r="D2387" s="1443">
        <v>0.3</v>
      </c>
      <c r="E2387" s="984"/>
      <c r="F2387" s="992" t="str">
        <f>VLOOKUP($B2387,DG!A:D,DG!$C$2,)</f>
        <v>Hơi Axetylen</v>
      </c>
      <c r="G2387" s="980" t="str">
        <f>VLOOKUP($B2387,DG!A:D,DG!$D$2,)</f>
        <v>m3</v>
      </c>
      <c r="H2387" s="1694">
        <f t="shared" si="406"/>
        <v>0</v>
      </c>
      <c r="I2387" s="1694">
        <f t="shared" si="407"/>
        <v>0</v>
      </c>
      <c r="J2387" s="1694">
        <f t="shared" si="408"/>
        <v>0</v>
      </c>
      <c r="K2387" s="1694">
        <f t="shared" si="409"/>
        <v>0</v>
      </c>
      <c r="L2387" s="1694">
        <f>$K$2377*H2387</f>
        <v>0</v>
      </c>
      <c r="M2387" s="1694"/>
      <c r="N2387" s="1694"/>
      <c r="O2387" s="1694"/>
      <c r="P2387" s="1693">
        <f t="shared" si="401"/>
        <v>0</v>
      </c>
      <c r="Q2387" s="988"/>
      <c r="R2387" s="988"/>
      <c r="S2387" s="988"/>
      <c r="T2387" s="1862">
        <f t="shared" si="404"/>
        <v>0</v>
      </c>
    </row>
    <row r="2388" spans="1:20" ht="22.2" hidden="1" customHeight="1">
      <c r="A2388" s="1448">
        <f>COUNTIF($C$12:C2388,"x")</f>
        <v>159</v>
      </c>
      <c r="B2388" s="1461" t="s">
        <v>869</v>
      </c>
      <c r="C2388" s="60" t="str">
        <f t="shared" si="405"/>
        <v xml:space="preserve"> </v>
      </c>
      <c r="D2388" s="1443">
        <v>6</v>
      </c>
      <c r="E2388" s="984"/>
      <c r="F2388" s="992" t="str">
        <f>VLOOKUP($B2388,DG!A:D,DG!$C$2,)</f>
        <v>Cọ sơn</v>
      </c>
      <c r="G2388" s="980" t="str">
        <f>VLOOKUP($B2388,DG!A:D,DG!$D$2,)</f>
        <v>cái</v>
      </c>
      <c r="H2388" s="1694">
        <f t="shared" si="406"/>
        <v>0</v>
      </c>
      <c r="I2388" s="1694">
        <f t="shared" si="407"/>
        <v>0</v>
      </c>
      <c r="J2388" s="1694">
        <f t="shared" si="408"/>
        <v>0</v>
      </c>
      <c r="K2388" s="1694">
        <f t="shared" si="409"/>
        <v>0</v>
      </c>
      <c r="L2388" s="1694">
        <f>$K$2377*H2388</f>
        <v>0</v>
      </c>
      <c r="M2388" s="1694"/>
      <c r="N2388" s="1694"/>
      <c r="O2388" s="1694"/>
      <c r="P2388" s="1693">
        <f t="shared" si="401"/>
        <v>0</v>
      </c>
      <c r="Q2388" s="988"/>
      <c r="R2388" s="988"/>
      <c r="S2388" s="988"/>
      <c r="T2388" s="1862">
        <f t="shared" si="404"/>
        <v>0</v>
      </c>
    </row>
    <row r="2389" spans="1:20" ht="22.2" hidden="1" customHeight="1">
      <c r="A2389" s="1448">
        <f>COUNTIF($C$12:C2389,"x")</f>
        <v>159</v>
      </c>
      <c r="B2389" s="1461" t="s">
        <v>870</v>
      </c>
      <c r="C2389" s="60" t="str">
        <f t="shared" si="405"/>
        <v xml:space="preserve"> </v>
      </c>
      <c r="D2389" s="1443">
        <v>0.19</v>
      </c>
      <c r="E2389" s="980" t="str">
        <f>VLOOKUP($B2389,DG!A:D,DG!$B$2,)</f>
        <v>NB.1110</v>
      </c>
      <c r="F2389" s="985" t="str">
        <f>VLOOKUP($B2389,DG!A:D,DG!$C$2,)</f>
        <v>Gia công và lắp dựng cột báo hiệu cao 9m</v>
      </c>
      <c r="G2389" s="980" t="str">
        <f>VLOOKUP($B2389,DG!A:D,DG!$D$2,)</f>
        <v>Tấn</v>
      </c>
      <c r="H2389" s="1694">
        <f t="shared" si="406"/>
        <v>0</v>
      </c>
      <c r="I2389" s="1694"/>
      <c r="J2389" s="1694"/>
      <c r="K2389" s="1694"/>
      <c r="L2389" s="1694"/>
      <c r="M2389" s="1694"/>
      <c r="N2389" s="1694"/>
      <c r="O2389" s="1694"/>
      <c r="P2389" s="1693">
        <f t="shared" si="401"/>
        <v>0</v>
      </c>
      <c r="Q2389" s="988"/>
      <c r="R2389" s="988"/>
      <c r="S2389" s="988"/>
      <c r="T2389" s="1862">
        <f t="shared" si="404"/>
        <v>0</v>
      </c>
    </row>
    <row r="2390" spans="1:20" ht="22.2" hidden="1" customHeight="1">
      <c r="A2390" s="1448">
        <f>COUNTIF($C$12:C2390,"x")</f>
        <v>159</v>
      </c>
      <c r="B2390" s="1461" t="s">
        <v>1640</v>
      </c>
      <c r="C2390" s="60" t="str">
        <f t="shared" si="405"/>
        <v xml:space="preserve"> </v>
      </c>
      <c r="D2390" s="1443">
        <v>3.98</v>
      </c>
      <c r="E2390" s="980" t="str">
        <f>VLOOKUP($B2390,DG!A:D,DG!$B$2,)</f>
        <v>S2.118</v>
      </c>
      <c r="F2390" s="992" t="str">
        <f>VLOOKUP($B2390,DG!A:D,DG!$C$2,)</f>
        <v>Sơn cột báo hiệu</v>
      </c>
      <c r="G2390" s="980" t="str">
        <f>VLOOKUP($B2390,DG!A:D,DG!$D$2,)</f>
        <v>m2</v>
      </c>
      <c r="H2390" s="1694">
        <f t="shared" si="406"/>
        <v>0</v>
      </c>
      <c r="I2390" s="1694">
        <f>$I$2377*D2390</f>
        <v>0</v>
      </c>
      <c r="J2390" s="1694">
        <f>$J$2377*D2390</f>
        <v>0</v>
      </c>
      <c r="K2390" s="1694">
        <f>$K$2377*D2390</f>
        <v>0</v>
      </c>
      <c r="L2390" s="1694">
        <f t="shared" si="410"/>
        <v>0</v>
      </c>
      <c r="M2390" s="1694"/>
      <c r="N2390" s="1694"/>
      <c r="O2390" s="1694"/>
      <c r="P2390" s="1693">
        <f t="shared" si="401"/>
        <v>0</v>
      </c>
      <c r="Q2390" s="988"/>
      <c r="R2390" s="988"/>
      <c r="S2390" s="988"/>
      <c r="T2390" s="1862">
        <f t="shared" si="404"/>
        <v>0</v>
      </c>
    </row>
    <row r="2391" spans="1:20" ht="22.2" hidden="1" customHeight="1">
      <c r="A2391" s="1448">
        <f>COUNTIF($C$12:C2391,"x")</f>
        <v>159</v>
      </c>
      <c r="B2391" s="1461" t="s">
        <v>1641</v>
      </c>
      <c r="C2391" s="60" t="str">
        <f t="shared" si="405"/>
        <v xml:space="preserve"> </v>
      </c>
      <c r="D2391" s="1443">
        <v>0.19</v>
      </c>
      <c r="E2391" s="980" t="str">
        <f>VLOOKUP($B2391,DG!A:D,DG!$B$2,)</f>
        <v>021351</v>
      </c>
      <c r="F2391" s="992" t="str">
        <f>VLOOKUP($B2391,DG!A:D,DG!$C$2,)</f>
        <v>Vận Chuyển thép</v>
      </c>
      <c r="G2391" s="980" t="str">
        <f>VLOOKUP($B2391,DG!A:D,DG!$D$2,)</f>
        <v>Tấn</v>
      </c>
      <c r="H2391" s="1694">
        <f t="shared" si="406"/>
        <v>0</v>
      </c>
      <c r="I2391" s="1694"/>
      <c r="J2391" s="1694"/>
      <c r="K2391" s="1694"/>
      <c r="L2391" s="1694"/>
      <c r="M2391" s="1694"/>
      <c r="N2391" s="1694"/>
      <c r="O2391" s="1694"/>
      <c r="P2391" s="1693">
        <f t="shared" si="401"/>
        <v>0</v>
      </c>
      <c r="Q2391" s="988"/>
      <c r="R2391" s="988"/>
      <c r="S2391" s="988"/>
      <c r="T2391" s="1862">
        <f t="shared" si="404"/>
        <v>0</v>
      </c>
    </row>
    <row r="2392" spans="1:20" ht="22.2" hidden="1" customHeight="1">
      <c r="A2392" s="1448">
        <f>COUNTIF($C$12:C2392,"x")</f>
        <v>159</v>
      </c>
      <c r="B2392" s="1452" t="s">
        <v>1046</v>
      </c>
      <c r="C2392" s="59" t="str">
        <f t="shared" si="405"/>
        <v xml:space="preserve"> </v>
      </c>
      <c r="D2392" s="1412"/>
      <c r="E2392" s="982"/>
      <c r="F2392" s="1276" t="s">
        <v>2576</v>
      </c>
      <c r="G2392" s="982" t="s">
        <v>2577</v>
      </c>
      <c r="H2392" s="1691">
        <f>SUM(I2392:O2392)</f>
        <v>0</v>
      </c>
      <c r="I2392" s="1692"/>
      <c r="J2392" s="1692"/>
      <c r="K2392" s="1692"/>
      <c r="L2392" s="1692">
        <f>IFERROR(HLOOKUP(chitiet!B2392,pp1p!$1:$3,3,0),0)</f>
        <v>0</v>
      </c>
      <c r="M2392" s="1692"/>
      <c r="N2392" s="1692"/>
      <c r="O2392" s="1692"/>
      <c r="P2392" s="2674">
        <f>T2392</f>
        <v>0</v>
      </c>
      <c r="Q2392" s="983">
        <f>IF(P2392&gt;H2392,P2392-H2392,0)</f>
        <v>0</v>
      </c>
      <c r="R2392" s="983">
        <f>IF(H2392&gt;P2392,H2392-P2392,0)</f>
        <v>0</v>
      </c>
      <c r="S2392" s="983"/>
      <c r="T2392" s="1862">
        <f t="shared" si="404"/>
        <v>0</v>
      </c>
    </row>
    <row r="2393" spans="1:20" ht="22.2" hidden="1" customHeight="1">
      <c r="A2393" s="1448">
        <f>COUNTIF($C$12:C2393,"x")</f>
        <v>159</v>
      </c>
      <c r="B2393" s="1461" t="s">
        <v>1515</v>
      </c>
      <c r="C2393" s="60" t="str">
        <f t="shared" si="405"/>
        <v xml:space="preserve"> </v>
      </c>
      <c r="D2393" s="1443">
        <v>26.3</v>
      </c>
      <c r="E2393" s="984"/>
      <c r="F2393" s="992" t="str">
        <f>VLOOKUP($B2393,DG!A:D,DG!$C$2,)</f>
        <v>Sắt góc L45 x45 x 4</v>
      </c>
      <c r="G2393" s="980" t="str">
        <f>VLOOKUP($B2393,DG!A:D,DG!$D$2,)</f>
        <v>kg</v>
      </c>
      <c r="H2393" s="1694">
        <f t="shared" ref="H2393:H2405" si="411">IF($H$2377&lt;&gt;0,D2393,)</f>
        <v>0</v>
      </c>
      <c r="I2393" s="1694">
        <f t="shared" ref="I2393:I2402" si="412">$I$2377*D2393</f>
        <v>0</v>
      </c>
      <c r="J2393" s="1694">
        <f t="shared" ref="J2393:J2402" si="413">$J$2377*D2393</f>
        <v>0</v>
      </c>
      <c r="K2393" s="1694">
        <f t="shared" ref="K2393:K2402" si="414">$K$2377*D2393</f>
        <v>0</v>
      </c>
      <c r="L2393" s="1694">
        <f t="shared" si="410"/>
        <v>0</v>
      </c>
      <c r="M2393" s="1694"/>
      <c r="N2393" s="1694"/>
      <c r="O2393" s="1694"/>
      <c r="P2393" s="1693">
        <f t="shared" si="401"/>
        <v>0</v>
      </c>
      <c r="Q2393" s="988"/>
      <c r="R2393" s="988"/>
      <c r="S2393" s="988"/>
      <c r="T2393" s="1862">
        <f t="shared" si="404"/>
        <v>0</v>
      </c>
    </row>
    <row r="2394" spans="1:20" ht="22.2" hidden="1" customHeight="1">
      <c r="A2394" s="1448">
        <f>COUNTIF($C$12:C2394,"x")</f>
        <v>159</v>
      </c>
      <c r="B2394" s="1461" t="s">
        <v>842</v>
      </c>
      <c r="C2394" s="60" t="str">
        <f t="shared" si="405"/>
        <v xml:space="preserve"> </v>
      </c>
      <c r="D2394" s="1443">
        <v>3.14</v>
      </c>
      <c r="E2394" s="984"/>
      <c r="F2394" s="992" t="str">
        <f>VLOOKUP($B2394,DG!A:D,DG!$C$2,)</f>
        <v>Thép tấm 4mm</v>
      </c>
      <c r="G2394" s="980" t="str">
        <f>VLOOKUP($B2394,DG!A:D,DG!$D$2,)</f>
        <v>kg</v>
      </c>
      <c r="H2394" s="1694">
        <f t="shared" si="411"/>
        <v>0</v>
      </c>
      <c r="I2394" s="1694">
        <f t="shared" si="412"/>
        <v>0</v>
      </c>
      <c r="J2394" s="1694">
        <f t="shared" si="413"/>
        <v>0</v>
      </c>
      <c r="K2394" s="1694">
        <f t="shared" si="414"/>
        <v>0</v>
      </c>
      <c r="L2394" s="1694">
        <f t="shared" si="410"/>
        <v>0</v>
      </c>
      <c r="M2394" s="1694"/>
      <c r="N2394" s="1694"/>
      <c r="O2394" s="1694"/>
      <c r="P2394" s="1693">
        <f t="shared" si="401"/>
        <v>0</v>
      </c>
      <c r="Q2394" s="988"/>
      <c r="R2394" s="988"/>
      <c r="S2394" s="988"/>
      <c r="T2394" s="1862">
        <f t="shared" si="404"/>
        <v>0</v>
      </c>
    </row>
    <row r="2395" spans="1:20" ht="22.2" hidden="1" customHeight="1">
      <c r="A2395" s="1448">
        <f>COUNTIF($C$12:C2395,"x")</f>
        <v>159</v>
      </c>
      <c r="B2395" s="1461" t="s">
        <v>310</v>
      </c>
      <c r="C2395" s="60" t="str">
        <f t="shared" si="405"/>
        <v xml:space="preserve"> </v>
      </c>
      <c r="D2395" s="1443">
        <v>45.22</v>
      </c>
      <c r="E2395" s="984"/>
      <c r="F2395" s="992" t="str">
        <f>VLOOKUP($B2395,DG!A:D,DG!$C$2,)</f>
        <v>Thép tấm 2mm</v>
      </c>
      <c r="G2395" s="980" t="str">
        <f>VLOOKUP($B2395,DG!A:D,DG!$D$2,)</f>
        <v>kg</v>
      </c>
      <c r="H2395" s="1694">
        <f t="shared" si="411"/>
        <v>0</v>
      </c>
      <c r="I2395" s="1694">
        <f t="shared" si="412"/>
        <v>0</v>
      </c>
      <c r="J2395" s="1694">
        <f t="shared" si="413"/>
        <v>0</v>
      </c>
      <c r="K2395" s="1694">
        <f t="shared" si="414"/>
        <v>0</v>
      </c>
      <c r="L2395" s="1694">
        <f t="shared" si="410"/>
        <v>0</v>
      </c>
      <c r="M2395" s="1694"/>
      <c r="N2395" s="1694"/>
      <c r="O2395" s="1694"/>
      <c r="P2395" s="1693">
        <f t="shared" si="401"/>
        <v>0</v>
      </c>
      <c r="Q2395" s="988"/>
      <c r="R2395" s="988"/>
      <c r="S2395" s="988"/>
      <c r="T2395" s="1862">
        <f t="shared" si="404"/>
        <v>0</v>
      </c>
    </row>
    <row r="2396" spans="1:20" ht="22.2" hidden="1" customHeight="1">
      <c r="A2396" s="1448">
        <f>COUNTIF($C$12:C2396,"x")</f>
        <v>159</v>
      </c>
      <c r="B2396" s="1461" t="s">
        <v>701</v>
      </c>
      <c r="C2396" s="60" t="str">
        <f t="shared" si="405"/>
        <v xml:space="preserve"> </v>
      </c>
      <c r="D2396" s="1443">
        <v>2</v>
      </c>
      <c r="E2396" s="984"/>
      <c r="F2396" s="992" t="str">
        <f>VLOOKUP($B2396,DG!A:D,DG!$C$2,)</f>
        <v>Boulon 12x50+ 2 long đền vuông D14-50x50x3/Zn</v>
      </c>
      <c r="G2396" s="980" t="str">
        <f>VLOOKUP($B2396,DG!A:D,DG!$D$2,)</f>
        <v>bộ</v>
      </c>
      <c r="H2396" s="1694">
        <f t="shared" si="411"/>
        <v>0</v>
      </c>
      <c r="I2396" s="1694">
        <f t="shared" si="412"/>
        <v>0</v>
      </c>
      <c r="J2396" s="1694">
        <f t="shared" si="413"/>
        <v>0</v>
      </c>
      <c r="K2396" s="1694">
        <f t="shared" si="414"/>
        <v>0</v>
      </c>
      <c r="L2396" s="1694">
        <f>$K$2377*H2396</f>
        <v>0</v>
      </c>
      <c r="M2396" s="1694"/>
      <c r="N2396" s="1694"/>
      <c r="O2396" s="1694"/>
      <c r="P2396" s="1693">
        <f t="shared" si="401"/>
        <v>0</v>
      </c>
      <c r="Q2396" s="988"/>
      <c r="R2396" s="988"/>
      <c r="S2396" s="988"/>
      <c r="T2396" s="1862">
        <f t="shared" si="404"/>
        <v>0</v>
      </c>
    </row>
    <row r="2397" spans="1:20" ht="22.2" hidden="1" customHeight="1">
      <c r="A2397" s="1448">
        <f>COUNTIF($C$12:C2397,"x")</f>
        <v>159</v>
      </c>
      <c r="B2397" s="1461" t="s">
        <v>702</v>
      </c>
      <c r="C2397" s="60" t="str">
        <f t="shared" si="405"/>
        <v xml:space="preserve"> </v>
      </c>
      <c r="D2397" s="1443">
        <v>3</v>
      </c>
      <c r="E2397" s="984"/>
      <c r="F2397" s="992" t="str">
        <f>VLOOKUP($B2397,DG!A:D,DG!$C$2,)</f>
        <v>Que hàn điện</v>
      </c>
      <c r="G2397" s="980" t="str">
        <f>VLOOKUP($B2397,DG!A:D,DG!$D$2,)</f>
        <v>kg</v>
      </c>
      <c r="H2397" s="1694">
        <f t="shared" si="411"/>
        <v>0</v>
      </c>
      <c r="I2397" s="1694">
        <f t="shared" si="412"/>
        <v>0</v>
      </c>
      <c r="J2397" s="1694">
        <f t="shared" si="413"/>
        <v>0</v>
      </c>
      <c r="K2397" s="1694">
        <f t="shared" si="414"/>
        <v>0</v>
      </c>
      <c r="L2397" s="1694">
        <f t="shared" si="410"/>
        <v>0</v>
      </c>
      <c r="M2397" s="1694"/>
      <c r="N2397" s="1694"/>
      <c r="O2397" s="1694"/>
      <c r="P2397" s="1693">
        <f t="shared" si="401"/>
        <v>0</v>
      </c>
      <c r="Q2397" s="988"/>
      <c r="R2397" s="988"/>
      <c r="S2397" s="988"/>
      <c r="T2397" s="1862">
        <f t="shared" si="404"/>
        <v>0</v>
      </c>
    </row>
    <row r="2398" spans="1:20" ht="22.2" hidden="1" customHeight="1">
      <c r="A2398" s="1448">
        <f>COUNTIF($C$12:C2398,"x")</f>
        <v>159</v>
      </c>
      <c r="B2398" s="1461" t="s">
        <v>703</v>
      </c>
      <c r="C2398" s="60" t="str">
        <f t="shared" si="405"/>
        <v xml:space="preserve"> </v>
      </c>
      <c r="D2398" s="1443">
        <v>1.8</v>
      </c>
      <c r="E2398" s="984"/>
      <c r="F2398" s="992" t="str">
        <f>VLOOKUP($B2398,DG!A:D,DG!$C$2,)</f>
        <v>Sơn chống rỉ</v>
      </c>
      <c r="G2398" s="980" t="str">
        <f>VLOOKUP($B2398,DG!A:D,DG!$D$2,)</f>
        <v>kg</v>
      </c>
      <c r="H2398" s="1694">
        <f t="shared" si="411"/>
        <v>0</v>
      </c>
      <c r="I2398" s="1694">
        <f t="shared" si="412"/>
        <v>0</v>
      </c>
      <c r="J2398" s="1694">
        <f t="shared" si="413"/>
        <v>0</v>
      </c>
      <c r="K2398" s="1694">
        <f t="shared" si="414"/>
        <v>0</v>
      </c>
      <c r="L2398" s="1694">
        <f t="shared" si="410"/>
        <v>0</v>
      </c>
      <c r="M2398" s="1694"/>
      <c r="N2398" s="1694"/>
      <c r="O2398" s="1694"/>
      <c r="P2398" s="1693">
        <f t="shared" si="401"/>
        <v>0</v>
      </c>
      <c r="Q2398" s="988"/>
      <c r="R2398" s="988"/>
      <c r="S2398" s="988"/>
      <c r="T2398" s="1862">
        <f t="shared" si="404"/>
        <v>0</v>
      </c>
    </row>
    <row r="2399" spans="1:20" ht="22.2" hidden="1" customHeight="1">
      <c r="A2399" s="1448">
        <f>COUNTIF($C$12:C2399,"x")</f>
        <v>159</v>
      </c>
      <c r="B2399" s="1461" t="s">
        <v>704</v>
      </c>
      <c r="C2399" s="60" t="str">
        <f t="shared" si="405"/>
        <v xml:space="preserve"> </v>
      </c>
      <c r="D2399" s="1443">
        <v>1</v>
      </c>
      <c r="E2399" s="984"/>
      <c r="F2399" s="992" t="str">
        <f>VLOOKUP($B2399,DG!A:D,DG!$C$2,)</f>
        <v>Sơn màu</v>
      </c>
      <c r="G2399" s="980" t="str">
        <f>VLOOKUP($B2399,DG!A:D,DG!$D$2,)</f>
        <v>kg</v>
      </c>
      <c r="H2399" s="1694">
        <f t="shared" si="411"/>
        <v>0</v>
      </c>
      <c r="I2399" s="1694">
        <f t="shared" si="412"/>
        <v>0</v>
      </c>
      <c r="J2399" s="1694">
        <f t="shared" si="413"/>
        <v>0</v>
      </c>
      <c r="K2399" s="1694">
        <f t="shared" si="414"/>
        <v>0</v>
      </c>
      <c r="L2399" s="1694">
        <f t="shared" si="410"/>
        <v>0</v>
      </c>
      <c r="M2399" s="1694"/>
      <c r="N2399" s="1694"/>
      <c r="O2399" s="1694"/>
      <c r="P2399" s="1693">
        <f t="shared" ref="P2399:P2424" si="415">H2399+Q2399-R2399</f>
        <v>0</v>
      </c>
      <c r="Q2399" s="988"/>
      <c r="R2399" s="988"/>
      <c r="S2399" s="988"/>
      <c r="T2399" s="1862">
        <f t="shared" si="404"/>
        <v>0</v>
      </c>
    </row>
    <row r="2400" spans="1:20" ht="22.2" hidden="1" customHeight="1">
      <c r="A2400" s="1448">
        <f>COUNTIF($C$12:C2400,"x")</f>
        <v>159</v>
      </c>
      <c r="B2400" s="1461" t="s">
        <v>438</v>
      </c>
      <c r="C2400" s="60" t="str">
        <f t="shared" si="405"/>
        <v xml:space="preserve"> </v>
      </c>
      <c r="D2400" s="1443">
        <v>1.8</v>
      </c>
      <c r="E2400" s="984"/>
      <c r="F2400" s="992" t="str">
        <f>VLOOKUP($B2400,DG!A:D,DG!$C$2,)</f>
        <v>Ô xy gió</v>
      </c>
      <c r="G2400" s="980" t="str">
        <f>VLOOKUP($B2400,DG!A:D,DG!$D$2,)</f>
        <v>m3</v>
      </c>
      <c r="H2400" s="1694">
        <f t="shared" si="411"/>
        <v>0</v>
      </c>
      <c r="I2400" s="1694">
        <f t="shared" si="412"/>
        <v>0</v>
      </c>
      <c r="J2400" s="1694">
        <f t="shared" si="413"/>
        <v>0</v>
      </c>
      <c r="K2400" s="1694">
        <f t="shared" si="414"/>
        <v>0</v>
      </c>
      <c r="L2400" s="1694">
        <f t="shared" si="410"/>
        <v>0</v>
      </c>
      <c r="M2400" s="1694"/>
      <c r="N2400" s="1694"/>
      <c r="O2400" s="1694"/>
      <c r="P2400" s="1693">
        <f t="shared" si="415"/>
        <v>0</v>
      </c>
      <c r="Q2400" s="988"/>
      <c r="R2400" s="988"/>
      <c r="S2400" s="988"/>
      <c r="T2400" s="1862">
        <f t="shared" si="404"/>
        <v>0</v>
      </c>
    </row>
    <row r="2401" spans="1:20" ht="22.2" hidden="1" customHeight="1">
      <c r="A2401" s="1448">
        <f>COUNTIF($C$12:C2401,"x")</f>
        <v>159</v>
      </c>
      <c r="B2401" s="1461" t="s">
        <v>1564</v>
      </c>
      <c r="C2401" s="60" t="str">
        <f t="shared" si="405"/>
        <v xml:space="preserve"> </v>
      </c>
      <c r="D2401" s="1443">
        <v>0.6</v>
      </c>
      <c r="E2401" s="984"/>
      <c r="F2401" s="992" t="str">
        <f>VLOOKUP($B2401,DG!A:D,DG!$C$2,)</f>
        <v>Hơi Axetylen</v>
      </c>
      <c r="G2401" s="980" t="str">
        <f>VLOOKUP($B2401,DG!A:D,DG!$D$2,)</f>
        <v>m3</v>
      </c>
      <c r="H2401" s="1694">
        <f t="shared" si="411"/>
        <v>0</v>
      </c>
      <c r="I2401" s="1694">
        <f t="shared" si="412"/>
        <v>0</v>
      </c>
      <c r="J2401" s="1694">
        <f t="shared" si="413"/>
        <v>0</v>
      </c>
      <c r="K2401" s="1694">
        <f t="shared" si="414"/>
        <v>0</v>
      </c>
      <c r="L2401" s="1694">
        <f t="shared" si="410"/>
        <v>0</v>
      </c>
      <c r="M2401" s="1694"/>
      <c r="N2401" s="1694"/>
      <c r="O2401" s="1694"/>
      <c r="P2401" s="1693">
        <f t="shared" si="415"/>
        <v>0</v>
      </c>
      <c r="Q2401" s="988"/>
      <c r="R2401" s="988"/>
      <c r="S2401" s="988"/>
      <c r="T2401" s="1862">
        <f t="shared" si="404"/>
        <v>0</v>
      </c>
    </row>
    <row r="2402" spans="1:20" ht="22.2" hidden="1" customHeight="1">
      <c r="A2402" s="1448">
        <f>COUNTIF($C$12:C2402,"x")</f>
        <v>159</v>
      </c>
      <c r="B2402" s="1461" t="s">
        <v>869</v>
      </c>
      <c r="C2402" s="60" t="str">
        <f t="shared" si="405"/>
        <v xml:space="preserve"> </v>
      </c>
      <c r="D2402" s="1443">
        <v>4</v>
      </c>
      <c r="E2402" s="984"/>
      <c r="F2402" s="992" t="str">
        <f>VLOOKUP($B2402,DG!A:D,DG!$C$2,)</f>
        <v>Cọ sơn</v>
      </c>
      <c r="G2402" s="980" t="str">
        <f>VLOOKUP($B2402,DG!A:D,DG!$D$2,)</f>
        <v>cái</v>
      </c>
      <c r="H2402" s="1694">
        <f t="shared" si="411"/>
        <v>0</v>
      </c>
      <c r="I2402" s="1694">
        <f t="shared" si="412"/>
        <v>0</v>
      </c>
      <c r="J2402" s="1694">
        <f t="shared" si="413"/>
        <v>0</v>
      </c>
      <c r="K2402" s="1694">
        <f t="shared" si="414"/>
        <v>0</v>
      </c>
      <c r="L2402" s="1694">
        <f t="shared" si="410"/>
        <v>0</v>
      </c>
      <c r="M2402" s="1694"/>
      <c r="N2402" s="1694"/>
      <c r="O2402" s="1694"/>
      <c r="P2402" s="1693">
        <f t="shared" si="415"/>
        <v>0</v>
      </c>
      <c r="Q2402" s="988"/>
      <c r="R2402" s="988"/>
      <c r="S2402" s="988"/>
      <c r="T2402" s="1862">
        <f t="shared" si="404"/>
        <v>0</v>
      </c>
    </row>
    <row r="2403" spans="1:20" ht="22.2" hidden="1" customHeight="1">
      <c r="A2403" s="1448">
        <f>COUNTIF($C$12:C2403,"x")</f>
        <v>159</v>
      </c>
      <c r="B2403" s="1461" t="s">
        <v>1639</v>
      </c>
      <c r="C2403" s="60" t="str">
        <f t="shared" si="405"/>
        <v xml:space="preserve"> </v>
      </c>
      <c r="D2403" s="1443">
        <v>0.08</v>
      </c>
      <c r="E2403" s="980" t="str">
        <f>VLOOKUP($B2403,DG!A:D,DG!$B$2,)</f>
        <v>NB.1710</v>
      </c>
      <c r="F2403" s="985" t="str">
        <f>VLOOKUP($B2403,DG!A:D,DG!$C$2,)</f>
        <v>Gia công và lắp dựng bảng báo hiệu</v>
      </c>
      <c r="G2403" s="980" t="str">
        <f>VLOOKUP($B2403,DG!A:D,DG!$D$2,)</f>
        <v>Tấn</v>
      </c>
      <c r="H2403" s="1694">
        <f t="shared" si="411"/>
        <v>0</v>
      </c>
      <c r="I2403" s="1694"/>
      <c r="J2403" s="1694"/>
      <c r="K2403" s="1694"/>
      <c r="L2403" s="1694"/>
      <c r="M2403" s="1694"/>
      <c r="N2403" s="1694"/>
      <c r="O2403" s="1694"/>
      <c r="P2403" s="1693">
        <f t="shared" si="415"/>
        <v>0</v>
      </c>
      <c r="Q2403" s="988"/>
      <c r="R2403" s="988"/>
      <c r="S2403" s="988"/>
      <c r="T2403" s="1862">
        <f t="shared" si="404"/>
        <v>0</v>
      </c>
    </row>
    <row r="2404" spans="1:20" ht="22.2" hidden="1" customHeight="1">
      <c r="A2404" s="1448">
        <f>COUNTIF($C$12:C2404,"x")</f>
        <v>159</v>
      </c>
      <c r="B2404" s="1461" t="s">
        <v>311</v>
      </c>
      <c r="C2404" s="60" t="str">
        <f t="shared" si="405"/>
        <v xml:space="preserve"> </v>
      </c>
      <c r="D2404" s="1443">
        <v>5.76</v>
      </c>
      <c r="E2404" s="980" t="str">
        <f>VLOOKUP($B2404,DG!A:D,DG!$B$2,)</f>
        <v>S2.118</v>
      </c>
      <c r="F2404" s="992" t="str">
        <f>VLOOKUP($B2404,DG!A:D,DG!$C$2,)</f>
        <v>Sơn biển báo hiệu</v>
      </c>
      <c r="G2404" s="980" t="str">
        <f>VLOOKUP($B2404,DG!A:D,DG!$D$2,)</f>
        <v>m2</v>
      </c>
      <c r="H2404" s="1694">
        <f t="shared" si="411"/>
        <v>0</v>
      </c>
      <c r="I2404" s="1694">
        <f>$I$2377*D2404</f>
        <v>0</v>
      </c>
      <c r="J2404" s="1694">
        <f>$J$2377*D2404</f>
        <v>0</v>
      </c>
      <c r="K2404" s="1694">
        <f>$K$2377*D2404</f>
        <v>0</v>
      </c>
      <c r="L2404" s="1694">
        <f t="shared" si="410"/>
        <v>0</v>
      </c>
      <c r="M2404" s="1694"/>
      <c r="N2404" s="1694"/>
      <c r="O2404" s="1694"/>
      <c r="P2404" s="1693">
        <f t="shared" si="415"/>
        <v>0</v>
      </c>
      <c r="Q2404" s="988"/>
      <c r="R2404" s="988"/>
      <c r="S2404" s="988"/>
      <c r="T2404" s="1862">
        <f t="shared" si="404"/>
        <v>0</v>
      </c>
    </row>
    <row r="2405" spans="1:20" ht="22.2" hidden="1" customHeight="1">
      <c r="A2405" s="1448">
        <f>COUNTIF($C$12:C2405,"x")</f>
        <v>159</v>
      </c>
      <c r="B2405" s="1461" t="s">
        <v>1641</v>
      </c>
      <c r="C2405" s="60" t="str">
        <f t="shared" si="405"/>
        <v xml:space="preserve"> </v>
      </c>
      <c r="D2405" s="1443">
        <v>0.08</v>
      </c>
      <c r="E2405" s="980" t="str">
        <f>VLOOKUP($B2405,DG!A:D,DG!$B$2,)</f>
        <v>021351</v>
      </c>
      <c r="F2405" s="992" t="str">
        <f>VLOOKUP($B2405,DG!A:D,DG!$C$2,)</f>
        <v>Vận Chuyển thép</v>
      </c>
      <c r="G2405" s="980" t="str">
        <f>VLOOKUP($B2405,DG!A:D,DG!$D$2,)</f>
        <v>Tấn</v>
      </c>
      <c r="H2405" s="1694">
        <f t="shared" si="411"/>
        <v>0</v>
      </c>
      <c r="I2405" s="1694"/>
      <c r="J2405" s="1694"/>
      <c r="K2405" s="1694"/>
      <c r="L2405" s="1694"/>
      <c r="M2405" s="1694"/>
      <c r="N2405" s="1694"/>
      <c r="O2405" s="1694"/>
      <c r="P2405" s="1693">
        <f t="shared" si="415"/>
        <v>0</v>
      </c>
      <c r="Q2405" s="988"/>
      <c r="R2405" s="988"/>
      <c r="S2405" s="988"/>
      <c r="T2405" s="1862">
        <f t="shared" si="404"/>
        <v>0</v>
      </c>
    </row>
    <row r="2406" spans="1:20" ht="22.2" hidden="1" customHeight="1">
      <c r="A2406" s="1448">
        <f>COUNTIF($C$12:C2406,"x")</f>
        <v>159</v>
      </c>
      <c r="B2406" s="1452" t="s">
        <v>1047</v>
      </c>
      <c r="C2406" s="59" t="str">
        <f t="shared" si="405"/>
        <v xml:space="preserve"> </v>
      </c>
      <c r="D2406" s="1412"/>
      <c r="E2406" s="982"/>
      <c r="F2406" s="1276" t="s">
        <v>2578</v>
      </c>
      <c r="G2406" s="982" t="s">
        <v>2327</v>
      </c>
      <c r="H2406" s="1691">
        <f>SUM(I2406:O2406)</f>
        <v>0</v>
      </c>
      <c r="I2406" s="1692"/>
      <c r="J2406" s="1692"/>
      <c r="K2406" s="1692"/>
      <c r="L2406" s="1692">
        <f>IFERROR(HLOOKUP(chitiet!B2406,pp1p!$1:$3,3,0),0)</f>
        <v>0</v>
      </c>
      <c r="M2406" s="1692"/>
      <c r="N2406" s="1692"/>
      <c r="O2406" s="1692"/>
      <c r="P2406" s="2674">
        <f>T2406</f>
        <v>0</v>
      </c>
      <c r="Q2406" s="983">
        <f>IF(P2406&gt;H2406,P2406-H2406,0)</f>
        <v>0</v>
      </c>
      <c r="R2406" s="983">
        <f>IF(H2406&gt;P2406,H2406-P2406,0)</f>
        <v>0</v>
      </c>
      <c r="S2406" s="983"/>
      <c r="T2406" s="1862">
        <f t="shared" ref="T2406:T2425" si="416">IFERROR(HLOOKUP(B2406,BangKeTru,3,0),0)</f>
        <v>0</v>
      </c>
    </row>
    <row r="2407" spans="1:20" ht="22.2" hidden="1" customHeight="1">
      <c r="A2407" s="1448">
        <f>COUNTIF($C$12:C2407,"x")</f>
        <v>159</v>
      </c>
      <c r="B2407" s="1461" t="s">
        <v>751</v>
      </c>
      <c r="C2407" s="60" t="str">
        <f t="shared" si="405"/>
        <v xml:space="preserve"> </v>
      </c>
      <c r="D2407" s="1443">
        <v>398</v>
      </c>
      <c r="E2407" s="984"/>
      <c r="F2407" s="985" t="str">
        <f>VLOOKUP($B2407,DG!A:D,DG!$C$2,)</f>
        <v>Ximăng (PC40)</v>
      </c>
      <c r="G2407" s="980" t="str">
        <f>VLOOKUP($B2407,DG!A:D,DG!$D$2,)</f>
        <v>kg</v>
      </c>
      <c r="H2407" s="1694">
        <f t="shared" ref="H2407:H2417" si="417">IF($H$2377&lt;&gt;0,D2407,)</f>
        <v>0</v>
      </c>
      <c r="I2407" s="1694">
        <f t="shared" ref="I2407:I2414" si="418">$I$2377*D2407</f>
        <v>0</v>
      </c>
      <c r="J2407" s="1694">
        <f t="shared" ref="J2407:J2414" si="419">$J$2377*D2407</f>
        <v>0</v>
      </c>
      <c r="K2407" s="1694">
        <f t="shared" ref="K2407:K2414" si="420">$K$2377*D2407</f>
        <v>0</v>
      </c>
      <c r="L2407" s="1694">
        <f t="shared" si="410"/>
        <v>0</v>
      </c>
      <c r="M2407" s="1694"/>
      <c r="N2407" s="1694"/>
      <c r="O2407" s="1694"/>
      <c r="P2407" s="1693">
        <f t="shared" si="415"/>
        <v>0</v>
      </c>
      <c r="Q2407" s="988"/>
      <c r="R2407" s="988"/>
      <c r="S2407" s="988"/>
      <c r="T2407" s="1862">
        <f t="shared" si="416"/>
        <v>0</v>
      </c>
    </row>
    <row r="2408" spans="1:20" ht="22.2" hidden="1" customHeight="1">
      <c r="A2408" s="1448">
        <f>COUNTIF($C$12:C2408,"x")</f>
        <v>159</v>
      </c>
      <c r="B2408" s="1454" t="s">
        <v>4414</v>
      </c>
      <c r="C2408" s="60" t="str">
        <f t="shared" si="405"/>
        <v xml:space="preserve"> </v>
      </c>
      <c r="D2408" s="1443">
        <v>0.81</v>
      </c>
      <c r="E2408" s="984"/>
      <c r="F2408" s="985" t="str">
        <f>VLOOKUP($B2408,DG!A:D,DG!$C$2,)</f>
        <v>Cát vàng</v>
      </c>
      <c r="G2408" s="980" t="str">
        <f>VLOOKUP($B2408,DG!A:D,DG!$D$2,)</f>
        <v>m3</v>
      </c>
      <c r="H2408" s="1694">
        <f t="shared" si="417"/>
        <v>0</v>
      </c>
      <c r="I2408" s="1694">
        <f t="shared" si="418"/>
        <v>0</v>
      </c>
      <c r="J2408" s="1694">
        <f t="shared" si="419"/>
        <v>0</v>
      </c>
      <c r="K2408" s="1694">
        <f t="shared" si="420"/>
        <v>0</v>
      </c>
      <c r="L2408" s="1694">
        <f t="shared" si="410"/>
        <v>0</v>
      </c>
      <c r="M2408" s="1694"/>
      <c r="N2408" s="1694"/>
      <c r="O2408" s="1694"/>
      <c r="P2408" s="1693">
        <f t="shared" si="415"/>
        <v>0</v>
      </c>
      <c r="Q2408" s="988"/>
      <c r="R2408" s="988"/>
      <c r="S2408" s="988"/>
      <c r="T2408" s="1862">
        <f t="shared" si="416"/>
        <v>0</v>
      </c>
    </row>
    <row r="2409" spans="1:20" ht="22.2" hidden="1" customHeight="1">
      <c r="A2409" s="1448">
        <f>COUNTIF($C$12:C2409,"x")</f>
        <v>159</v>
      </c>
      <c r="B2409" s="1461" t="s">
        <v>753</v>
      </c>
      <c r="C2409" s="60" t="str">
        <f t="shared" si="405"/>
        <v xml:space="preserve"> </v>
      </c>
      <c r="D2409" s="1443">
        <v>0.85</v>
      </c>
      <c r="E2409" s="984"/>
      <c r="F2409" s="985" t="str">
        <f>VLOOKUP($B2409,DG!A:D,DG!$C$2,)</f>
        <v>Đá 1x2</v>
      </c>
      <c r="G2409" s="980" t="str">
        <f>VLOOKUP($B2409,DG!A:D,DG!$D$2,)</f>
        <v>m3</v>
      </c>
      <c r="H2409" s="1694">
        <f t="shared" si="417"/>
        <v>0</v>
      </c>
      <c r="I2409" s="1694">
        <f t="shared" si="418"/>
        <v>0</v>
      </c>
      <c r="J2409" s="1694">
        <f t="shared" si="419"/>
        <v>0</v>
      </c>
      <c r="K2409" s="1694">
        <f t="shared" si="420"/>
        <v>0</v>
      </c>
      <c r="L2409" s="1694">
        <f t="shared" si="410"/>
        <v>0</v>
      </c>
      <c r="M2409" s="1694"/>
      <c r="N2409" s="1694"/>
      <c r="O2409" s="1694"/>
      <c r="P2409" s="1693">
        <f t="shared" si="415"/>
        <v>0</v>
      </c>
      <c r="Q2409" s="988"/>
      <c r="R2409" s="988"/>
      <c r="S2409" s="988"/>
      <c r="T2409" s="1862">
        <f t="shared" si="416"/>
        <v>0</v>
      </c>
    </row>
    <row r="2410" spans="1:20" ht="22.2" hidden="1" customHeight="1">
      <c r="A2410" s="1448">
        <f>COUNTIF($C$12:C2410,"x")</f>
        <v>159</v>
      </c>
      <c r="B2410" s="1461" t="s">
        <v>754</v>
      </c>
      <c r="C2410" s="60" t="str">
        <f t="shared" si="405"/>
        <v xml:space="preserve"> </v>
      </c>
      <c r="D2410" s="1443">
        <v>0.13</v>
      </c>
      <c r="E2410" s="984"/>
      <c r="F2410" s="985" t="str">
        <f>VLOOKUP($B2410,DG!A:D,DG!$C$2,)</f>
        <v>Đá 4x6</v>
      </c>
      <c r="G2410" s="980" t="str">
        <f>VLOOKUP($B2410,DG!A:D,DG!$D$2,)</f>
        <v>m3</v>
      </c>
      <c r="H2410" s="1694">
        <f t="shared" si="417"/>
        <v>0</v>
      </c>
      <c r="I2410" s="1694">
        <f t="shared" si="418"/>
        <v>0</v>
      </c>
      <c r="J2410" s="1694">
        <f t="shared" si="419"/>
        <v>0</v>
      </c>
      <c r="K2410" s="1694">
        <f t="shared" si="420"/>
        <v>0</v>
      </c>
      <c r="L2410" s="1694">
        <f t="shared" si="410"/>
        <v>0</v>
      </c>
      <c r="M2410" s="1694"/>
      <c r="N2410" s="1694"/>
      <c r="O2410" s="1694"/>
      <c r="P2410" s="1693">
        <f t="shared" si="415"/>
        <v>0</v>
      </c>
      <c r="Q2410" s="988"/>
      <c r="R2410" s="988"/>
      <c r="S2410" s="988"/>
      <c r="T2410" s="1862">
        <f t="shared" si="416"/>
        <v>0</v>
      </c>
    </row>
    <row r="2411" spans="1:20" ht="22.2" hidden="1" customHeight="1">
      <c r="A2411" s="1448">
        <f>COUNTIF($C$12:C2411,"x")</f>
        <v>159</v>
      </c>
      <c r="B2411" s="1461" t="s">
        <v>755</v>
      </c>
      <c r="C2411" s="60" t="str">
        <f t="shared" si="405"/>
        <v xml:space="preserve"> </v>
      </c>
      <c r="D2411" s="1443">
        <v>0.5</v>
      </c>
      <c r="E2411" s="984"/>
      <c r="F2411" s="985" t="str">
        <f>VLOOKUP($B2411,DG!A:D,DG!$C$2,)</f>
        <v>Nước đổ bê tông</v>
      </c>
      <c r="G2411" s="980" t="str">
        <f>VLOOKUP($B2411,DG!A:D,DG!$D$2,)</f>
        <v>m3</v>
      </c>
      <c r="H2411" s="1694">
        <f t="shared" si="417"/>
        <v>0</v>
      </c>
      <c r="I2411" s="1694">
        <f t="shared" si="418"/>
        <v>0</v>
      </c>
      <c r="J2411" s="1694">
        <f t="shared" si="419"/>
        <v>0</v>
      </c>
      <c r="K2411" s="1694">
        <f t="shared" si="420"/>
        <v>0</v>
      </c>
      <c r="L2411" s="1694">
        <f t="shared" si="410"/>
        <v>0</v>
      </c>
      <c r="M2411" s="1694"/>
      <c r="N2411" s="1694"/>
      <c r="O2411" s="1694"/>
      <c r="P2411" s="1693">
        <f t="shared" si="415"/>
        <v>0</v>
      </c>
      <c r="Q2411" s="988"/>
      <c r="R2411" s="988"/>
      <c r="S2411" s="988"/>
      <c r="T2411" s="1862">
        <f t="shared" si="416"/>
        <v>0</v>
      </c>
    </row>
    <row r="2412" spans="1:20" ht="22.2" hidden="1" customHeight="1">
      <c r="A2412" s="1448">
        <f>COUNTIF($C$12:C2412,"x")</f>
        <v>159</v>
      </c>
      <c r="B2412" s="1461" t="s">
        <v>756</v>
      </c>
      <c r="C2412" s="60" t="str">
        <f t="shared" si="405"/>
        <v xml:space="preserve"> </v>
      </c>
      <c r="D2412" s="1443">
        <v>0.14000000000000001</v>
      </c>
      <c r="E2412" s="984"/>
      <c r="F2412" s="992" t="str">
        <f>VLOOKUP($B2412,DG!A:D,DG!$C$2,)</f>
        <v>Dây thép buộc A70</v>
      </c>
      <c r="G2412" s="980" t="str">
        <f>VLOOKUP($B2412,DG!A:D,DG!$D$2,)</f>
        <v>kg</v>
      </c>
      <c r="H2412" s="1694">
        <f t="shared" si="417"/>
        <v>0</v>
      </c>
      <c r="I2412" s="1694">
        <f t="shared" si="418"/>
        <v>0</v>
      </c>
      <c r="J2412" s="1694">
        <f t="shared" si="419"/>
        <v>0</v>
      </c>
      <c r="K2412" s="1694">
        <f t="shared" si="420"/>
        <v>0</v>
      </c>
      <c r="L2412" s="1694">
        <f t="shared" si="410"/>
        <v>0</v>
      </c>
      <c r="M2412" s="1694"/>
      <c r="N2412" s="1694"/>
      <c r="O2412" s="1694"/>
      <c r="P2412" s="1693">
        <f t="shared" si="415"/>
        <v>0</v>
      </c>
      <c r="Q2412" s="988"/>
      <c r="R2412" s="988"/>
      <c r="S2412" s="988"/>
      <c r="T2412" s="1862">
        <f t="shared" si="416"/>
        <v>0</v>
      </c>
    </row>
    <row r="2413" spans="1:20" ht="22.2" hidden="1" customHeight="1">
      <c r="A2413" s="1448">
        <f>COUNTIF($C$12:C2413,"x")</f>
        <v>159</v>
      </c>
      <c r="B2413" s="1461" t="s">
        <v>1424</v>
      </c>
      <c r="C2413" s="60" t="str">
        <f t="shared" si="405"/>
        <v xml:space="preserve"> </v>
      </c>
      <c r="D2413" s="1443">
        <v>16</v>
      </c>
      <c r="E2413" s="984"/>
      <c r="F2413" s="992" t="str">
        <f>VLOOKUP($B2413,DG!A:D,DG!$C$2,)</f>
        <v>Sắt Ø8</v>
      </c>
      <c r="G2413" s="980" t="str">
        <f>VLOOKUP($B2413,DG!A:D,DG!$D$2,)</f>
        <v>kg</v>
      </c>
      <c r="H2413" s="1694">
        <f t="shared" si="417"/>
        <v>0</v>
      </c>
      <c r="I2413" s="1694">
        <f t="shared" si="418"/>
        <v>0</v>
      </c>
      <c r="J2413" s="1694">
        <f t="shared" si="419"/>
        <v>0</v>
      </c>
      <c r="K2413" s="1694">
        <f t="shared" si="420"/>
        <v>0</v>
      </c>
      <c r="L2413" s="1694">
        <f t="shared" si="410"/>
        <v>0</v>
      </c>
      <c r="M2413" s="1694"/>
      <c r="N2413" s="1694"/>
      <c r="O2413" s="1694"/>
      <c r="P2413" s="1693">
        <f t="shared" si="415"/>
        <v>0</v>
      </c>
      <c r="Q2413" s="988"/>
      <c r="R2413" s="988"/>
      <c r="S2413" s="988"/>
      <c r="T2413" s="1862">
        <f t="shared" si="416"/>
        <v>0</v>
      </c>
    </row>
    <row r="2414" spans="1:20" ht="22.2" hidden="1" customHeight="1">
      <c r="A2414" s="1448">
        <f>COUNTIF($C$12:C2414,"x")</f>
        <v>159</v>
      </c>
      <c r="B2414" s="1461" t="s">
        <v>757</v>
      </c>
      <c r="C2414" s="60" t="str">
        <f t="shared" si="405"/>
        <v xml:space="preserve"> </v>
      </c>
      <c r="D2414" s="1443">
        <v>36</v>
      </c>
      <c r="E2414" s="980" t="str">
        <f>VLOOKUP($B2414,DG!A:D,DG!$B$2,)</f>
        <v>04.5142</v>
      </c>
      <c r="F2414" s="992" t="str">
        <f>VLOOKUP($B2414,DG!A:D,DG!$C$2,)</f>
        <v>Cừ tràm 2,5m</v>
      </c>
      <c r="G2414" s="980" t="str">
        <f>VLOOKUP($B2414,DG!A:D,DG!$D$2,)</f>
        <v>cây</v>
      </c>
      <c r="H2414" s="1694">
        <f t="shared" si="417"/>
        <v>0</v>
      </c>
      <c r="I2414" s="1694">
        <f t="shared" si="418"/>
        <v>0</v>
      </c>
      <c r="J2414" s="1694">
        <f t="shared" si="419"/>
        <v>0</v>
      </c>
      <c r="K2414" s="1694">
        <f t="shared" si="420"/>
        <v>0</v>
      </c>
      <c r="L2414" s="1694">
        <f t="shared" si="410"/>
        <v>0</v>
      </c>
      <c r="M2414" s="1694"/>
      <c r="N2414" s="1694"/>
      <c r="O2414" s="1694"/>
      <c r="P2414" s="1693">
        <f t="shared" si="415"/>
        <v>0</v>
      </c>
      <c r="Q2414" s="988"/>
      <c r="R2414" s="988"/>
      <c r="S2414" s="988"/>
      <c r="T2414" s="1862">
        <f t="shared" si="416"/>
        <v>0</v>
      </c>
    </row>
    <row r="2415" spans="1:20" ht="22.2" hidden="1" customHeight="1">
      <c r="A2415" s="1448">
        <f>COUNTIF($C$12:C2415,"x")</f>
        <v>159</v>
      </c>
      <c r="B2415" s="1461" t="s">
        <v>976</v>
      </c>
      <c r="C2415" s="60" t="str">
        <f t="shared" si="405"/>
        <v xml:space="preserve"> </v>
      </c>
      <c r="D2415" s="1443">
        <v>15</v>
      </c>
      <c r="E2415" s="980" t="str">
        <f>VLOOKUP($B2415,DG!A:D,DG!$B$2,)</f>
        <v>03.1112</v>
      </c>
      <c r="F2415" s="985" t="str">
        <f>VLOOKUP($B2415,DG!A:D,DG!$C$2,)</f>
        <v>Đào hố móng đất cấp 2 sâu &gt;1m</v>
      </c>
      <c r="G2415" s="980" t="str">
        <f>VLOOKUP($B2415,DG!A:D,DG!$D$2,)</f>
        <v>m3</v>
      </c>
      <c r="H2415" s="1694">
        <f t="shared" si="417"/>
        <v>0</v>
      </c>
      <c r="I2415" s="1694"/>
      <c r="J2415" s="1694"/>
      <c r="K2415" s="1694"/>
      <c r="L2415" s="1694"/>
      <c r="M2415" s="1694"/>
      <c r="N2415" s="1694"/>
      <c r="O2415" s="1694"/>
      <c r="P2415" s="1693">
        <f t="shared" si="415"/>
        <v>0</v>
      </c>
      <c r="Q2415" s="988"/>
      <c r="R2415" s="988"/>
      <c r="S2415" s="988"/>
      <c r="T2415" s="1862">
        <f t="shared" si="416"/>
        <v>0</v>
      </c>
    </row>
    <row r="2416" spans="1:20" ht="22.2" hidden="1" customHeight="1">
      <c r="A2416" s="1448">
        <f>COUNTIF($C$12:C2416,"x")</f>
        <v>159</v>
      </c>
      <c r="B2416" s="1461" t="s">
        <v>977</v>
      </c>
      <c r="C2416" s="60" t="str">
        <f t="shared" si="405"/>
        <v xml:space="preserve"> </v>
      </c>
      <c r="D2416" s="1443">
        <v>15</v>
      </c>
      <c r="E2416" s="980" t="str">
        <f>VLOOKUP($B2416,DG!A:D,DG!$B$2,)</f>
        <v>03.2202</v>
      </c>
      <c r="F2416" s="985" t="str">
        <f>VLOOKUP($B2416,DG!A:D,DG!$C$2,)</f>
        <v>Đắp đất hố móng, đất cấp 2</v>
      </c>
      <c r="G2416" s="980" t="str">
        <f>VLOOKUP($B2416,DG!A:D,DG!$D$2,)</f>
        <v>m3</v>
      </c>
      <c r="H2416" s="1694">
        <f t="shared" si="417"/>
        <v>0</v>
      </c>
      <c r="I2416" s="1694"/>
      <c r="J2416" s="1694"/>
      <c r="K2416" s="1694"/>
      <c r="L2416" s="1694"/>
      <c r="M2416" s="1694"/>
      <c r="N2416" s="1694"/>
      <c r="O2416" s="1694"/>
      <c r="P2416" s="1693">
        <f t="shared" si="415"/>
        <v>0</v>
      </c>
      <c r="Q2416" s="988"/>
      <c r="R2416" s="988"/>
      <c r="S2416" s="988"/>
      <c r="T2416" s="1862">
        <f t="shared" si="416"/>
        <v>0</v>
      </c>
    </row>
    <row r="2417" spans="1:20" ht="22.2" hidden="1" customHeight="1">
      <c r="A2417" s="1448">
        <f>COUNTIF($C$12:C2417,"x")</f>
        <v>159</v>
      </c>
      <c r="B2417" s="1461" t="s">
        <v>1955</v>
      </c>
      <c r="C2417" s="60" t="str">
        <f t="shared" si="405"/>
        <v xml:space="preserve"> </v>
      </c>
      <c r="D2417" s="1443">
        <v>0.14399999999999999</v>
      </c>
      <c r="E2417" s="980" t="str">
        <f>VLOOKUP($B2417,DG!A:D,DG!$B$2,)</f>
        <v>04.3112</v>
      </c>
      <c r="F2417" s="985" t="str">
        <f>VLOOKUP($B2417,DG!A:D,DG!$C$2,)</f>
        <v>Đổ bê tông mác M100 đá 4x6</v>
      </c>
      <c r="G2417" s="980" t="str">
        <f>VLOOKUP($B2417,DG!A:D,DG!$D$2,)</f>
        <v>m3</v>
      </c>
      <c r="H2417" s="1694">
        <f t="shared" si="417"/>
        <v>0</v>
      </c>
      <c r="I2417" s="1694"/>
      <c r="J2417" s="1694"/>
      <c r="K2417" s="1694"/>
      <c r="L2417" s="1694"/>
      <c r="M2417" s="1694"/>
      <c r="N2417" s="1694"/>
      <c r="O2417" s="1694"/>
      <c r="P2417" s="1693">
        <f t="shared" si="415"/>
        <v>0</v>
      </c>
      <c r="Q2417" s="988"/>
      <c r="R2417" s="988"/>
      <c r="S2417" s="988"/>
      <c r="T2417" s="1862">
        <f t="shared" si="416"/>
        <v>0</v>
      </c>
    </row>
    <row r="2418" spans="1:20" ht="22.2" hidden="1" customHeight="1">
      <c r="A2418" s="1448">
        <f>COUNTIF($C$12:C2418,"x")</f>
        <v>159</v>
      </c>
      <c r="B2418" s="1461" t="s">
        <v>1836</v>
      </c>
      <c r="C2418" s="60" t="str">
        <f t="shared" si="405"/>
        <v xml:space="preserve"> </v>
      </c>
      <c r="D2418" s="1443">
        <v>1</v>
      </c>
      <c r="E2418" s="980" t="str">
        <f>VLOOKUP($B2418,DG!A:D,DG!$B$2,)</f>
        <v>04.1203c</v>
      </c>
      <c r="F2418" s="985" t="str">
        <f>VLOOKUP($B2418,DG!A:D,DG!$C$2,)</f>
        <v>Đổ bê tông móng trụ &lt;=250cm-M200 đá 1x2</v>
      </c>
      <c r="G2418" s="980" t="str">
        <f>VLOOKUP($B2418,DG!A:D,DG!$D$2,)</f>
        <v>m3</v>
      </c>
      <c r="H2418" s="1694"/>
      <c r="I2418" s="1694"/>
      <c r="J2418" s="1694"/>
      <c r="K2418" s="1694"/>
      <c r="L2418" s="1694"/>
      <c r="M2418" s="1694"/>
      <c r="N2418" s="1694"/>
      <c r="O2418" s="1694"/>
      <c r="P2418" s="1693">
        <f t="shared" si="415"/>
        <v>0</v>
      </c>
      <c r="Q2418" s="988"/>
      <c r="R2418" s="988"/>
      <c r="S2418" s="988"/>
      <c r="T2418" s="1862">
        <f t="shared" si="416"/>
        <v>0</v>
      </c>
    </row>
    <row r="2419" spans="1:20" ht="22.2" hidden="1" customHeight="1">
      <c r="A2419" s="1448">
        <f>COUNTIF($C$12:C2419,"x")</f>
        <v>159</v>
      </c>
      <c r="B2419" s="1461" t="s">
        <v>9</v>
      </c>
      <c r="C2419" s="60" t="str">
        <f t="shared" si="405"/>
        <v xml:space="preserve"> </v>
      </c>
      <c r="D2419" s="1443">
        <v>17</v>
      </c>
      <c r="E2419" s="980" t="str">
        <f>VLOOKUP($B2419,DG!A:D,DG!$B$2,)</f>
        <v>04.5101</v>
      </c>
      <c r="F2419" s="985" t="str">
        <f>VLOOKUP($B2419,DG!A:D,DG!$C$2,)</f>
        <v>Gia công và lắp dựng cốt thép D&lt;=10</v>
      </c>
      <c r="G2419" s="980" t="str">
        <f>VLOOKUP($B2419,DG!A:D,DG!$D$2,)</f>
        <v>kg</v>
      </c>
      <c r="H2419" s="1694"/>
      <c r="I2419" s="1694"/>
      <c r="J2419" s="1694"/>
      <c r="K2419" s="1694"/>
      <c r="L2419" s="1694"/>
      <c r="M2419" s="1694"/>
      <c r="N2419" s="1694"/>
      <c r="O2419" s="1694"/>
      <c r="P2419" s="1693">
        <f t="shared" si="415"/>
        <v>0</v>
      </c>
      <c r="Q2419" s="988"/>
      <c r="R2419" s="988"/>
      <c r="S2419" s="988"/>
      <c r="T2419" s="1862">
        <f t="shared" si="416"/>
        <v>0</v>
      </c>
    </row>
    <row r="2420" spans="1:20" ht="22.2" hidden="1" customHeight="1">
      <c r="A2420" s="1448">
        <f>COUNTIF($C$12:C2420,"x")</f>
        <v>159</v>
      </c>
      <c r="B2420" s="1461" t="s">
        <v>10</v>
      </c>
      <c r="C2420" s="60" t="str">
        <f t="shared" si="405"/>
        <v xml:space="preserve"> </v>
      </c>
      <c r="D2420" s="1443">
        <v>0.14399999999999999</v>
      </c>
      <c r="E2420" s="980" t="str">
        <f>VLOOKUP($B2420,DG!A:D,DG!$B$2,)</f>
        <v>04.2001</v>
      </c>
      <c r="F2420" s="985" t="str">
        <f>VLOOKUP($B2420,DG!A:D,DG!$C$2,)</f>
        <v>Gia công và lắp dựng ván khuôn</v>
      </c>
      <c r="G2420" s="980" t="str">
        <f>VLOOKUP($B2420,DG!A:D,DG!$D$2,)</f>
        <v>m2</v>
      </c>
      <c r="H2420" s="1694"/>
      <c r="I2420" s="1694"/>
      <c r="J2420" s="1694"/>
      <c r="K2420" s="1694"/>
      <c r="L2420" s="1694"/>
      <c r="M2420" s="1694"/>
      <c r="N2420" s="1694"/>
      <c r="O2420" s="1694"/>
      <c r="P2420" s="1693">
        <f t="shared" si="415"/>
        <v>0</v>
      </c>
      <c r="Q2420" s="988"/>
      <c r="R2420" s="988"/>
      <c r="S2420" s="988"/>
      <c r="T2420" s="1862">
        <f t="shared" si="416"/>
        <v>0</v>
      </c>
    </row>
    <row r="2421" spans="1:20" ht="22.2" hidden="1" customHeight="1">
      <c r="A2421" s="1448">
        <f>COUNTIF($C$12:C2421,"x")</f>
        <v>159</v>
      </c>
      <c r="B2421" s="1461" t="s">
        <v>18</v>
      </c>
      <c r="C2421" s="60" t="str">
        <f t="shared" si="405"/>
        <v xml:space="preserve"> </v>
      </c>
      <c r="D2421" s="1417">
        <v>0.4</v>
      </c>
      <c r="E2421" s="984" t="str">
        <f>VLOOKUP($B2421,DG!A:C,2,)</f>
        <v>02.1211</v>
      </c>
      <c r="F2421" s="985" t="str">
        <f>VLOOKUP($B2421,DG!A:C,3,)</f>
        <v>V/c xi măng ( cự ly &lt;=100m)</v>
      </c>
      <c r="G2421" s="984" t="str">
        <f>VLOOKUP($B2421,DG!A:D,4,0)</f>
        <v>tấn</v>
      </c>
      <c r="H2421" s="1694"/>
      <c r="I2421" s="1694"/>
      <c r="J2421" s="1694"/>
      <c r="K2421" s="1694"/>
      <c r="L2421" s="1694"/>
      <c r="M2421" s="1694"/>
      <c r="N2421" s="1694"/>
      <c r="O2421" s="1694"/>
      <c r="P2421" s="1693">
        <f t="shared" si="415"/>
        <v>0</v>
      </c>
      <c r="Q2421" s="991"/>
      <c r="R2421" s="991"/>
      <c r="S2421" s="991"/>
      <c r="T2421" s="1862">
        <f t="shared" si="416"/>
        <v>0</v>
      </c>
    </row>
    <row r="2422" spans="1:20" ht="22.2" hidden="1" customHeight="1">
      <c r="A2422" s="1448">
        <f>COUNTIF($C$12:C2422,"x")</f>
        <v>159</v>
      </c>
      <c r="B2422" s="1461" t="s">
        <v>19</v>
      </c>
      <c r="C2422" s="60" t="str">
        <f t="shared" si="405"/>
        <v xml:space="preserve"> </v>
      </c>
      <c r="D2422" s="1417">
        <v>0.81</v>
      </c>
      <c r="E2422" s="984">
        <f>VLOOKUP($B2422,DG!A:C,2,)</f>
        <v>0</v>
      </c>
      <c r="F2422" s="985" t="str">
        <f>VLOOKUP($B2422,DG!A:C,3,)</f>
        <v>Cát vàng</v>
      </c>
      <c r="G2422" s="984" t="str">
        <f>VLOOKUP($B2422,DG!A:D,4,0)</f>
        <v>m3</v>
      </c>
      <c r="H2422" s="1694"/>
      <c r="I2422" s="1694"/>
      <c r="J2422" s="1694"/>
      <c r="K2422" s="1694"/>
      <c r="L2422" s="1694"/>
      <c r="M2422" s="1694"/>
      <c r="N2422" s="1694"/>
      <c r="O2422" s="1694"/>
      <c r="P2422" s="1693">
        <f t="shared" si="415"/>
        <v>0</v>
      </c>
      <c r="Q2422" s="991"/>
      <c r="R2422" s="991"/>
      <c r="S2422" s="991"/>
      <c r="T2422" s="1862">
        <f t="shared" si="416"/>
        <v>0</v>
      </c>
    </row>
    <row r="2423" spans="1:20" ht="22.2" hidden="1" customHeight="1">
      <c r="A2423" s="1448">
        <f>COUNTIF($C$12:C2423,"x")</f>
        <v>159</v>
      </c>
      <c r="B2423" s="1461" t="s">
        <v>17</v>
      </c>
      <c r="C2423" s="60" t="str">
        <f t="shared" si="405"/>
        <v xml:space="preserve"> </v>
      </c>
      <c r="D2423" s="1417">
        <v>0.02</v>
      </c>
      <c r="E2423" s="984" t="str">
        <f>VLOOKUP($B2423,DG!A:C,2,)</f>
        <v>02.1351</v>
      </c>
      <c r="F2423" s="985" t="str">
        <f>VLOOKUP($B2423,DG!A:C,3,)</f>
        <v>V/c cốt thép ( cự ly &lt;=100m)</v>
      </c>
      <c r="G2423" s="984" t="str">
        <f>VLOOKUP($B2423,DG!A:D,4,0)</f>
        <v>tấn</v>
      </c>
      <c r="H2423" s="1694"/>
      <c r="I2423" s="1694"/>
      <c r="J2423" s="1694"/>
      <c r="K2423" s="1694"/>
      <c r="L2423" s="1694"/>
      <c r="M2423" s="1694"/>
      <c r="N2423" s="1694"/>
      <c r="O2423" s="1694"/>
      <c r="P2423" s="1693">
        <f t="shared" si="415"/>
        <v>0</v>
      </c>
      <c r="Q2423" s="991"/>
      <c r="R2423" s="991"/>
      <c r="S2423" s="991"/>
      <c r="T2423" s="1862">
        <f t="shared" si="416"/>
        <v>0</v>
      </c>
    </row>
    <row r="2424" spans="1:20" ht="22.2" hidden="1" customHeight="1">
      <c r="A2424" s="1448">
        <f>COUNTIF($C$12:C2424,"x")</f>
        <v>159</v>
      </c>
      <c r="B2424" s="1461" t="s">
        <v>20</v>
      </c>
      <c r="C2424" s="60" t="str">
        <f t="shared" si="405"/>
        <v xml:space="preserve"> </v>
      </c>
      <c r="D2424" s="1444">
        <v>0.98</v>
      </c>
      <c r="E2424" s="1301" t="str">
        <f>VLOOKUP($B2424,DG!A:C,2,)</f>
        <v>02.1241</v>
      </c>
      <c r="F2424" s="1302" t="str">
        <f>VLOOKUP($B2424,DG!A:C,3,)</f>
        <v>V/c đá dăm ( cự ly &lt;=100m)</v>
      </c>
      <c r="G2424" s="1281" t="str">
        <f>VLOOKUP($B2424,DG!A:D,4,0)</f>
        <v>m3</v>
      </c>
      <c r="H2424" s="1698"/>
      <c r="I2424" s="1698"/>
      <c r="J2424" s="1698"/>
      <c r="K2424" s="1698"/>
      <c r="L2424" s="1698"/>
      <c r="M2424" s="1698"/>
      <c r="N2424" s="1698"/>
      <c r="O2424" s="1698"/>
      <c r="P2424" s="1693">
        <f t="shared" si="415"/>
        <v>0</v>
      </c>
      <c r="Q2424" s="1303"/>
      <c r="R2424" s="1303"/>
      <c r="S2424" s="1303"/>
      <c r="T2424" s="1862">
        <f t="shared" si="416"/>
        <v>0</v>
      </c>
    </row>
    <row r="2425" spans="1:20" ht="16.2">
      <c r="A2425" s="1448">
        <f>COUNTIF($C$12:C2425,"x")</f>
        <v>160</v>
      </c>
      <c r="B2425" s="1462"/>
      <c r="C2425" s="1702" t="s">
        <v>512</v>
      </c>
      <c r="D2425" s="1409"/>
      <c r="E2425" s="1282"/>
      <c r="F2425" s="1283"/>
      <c r="G2425" s="1282"/>
      <c r="H2425" s="1688"/>
      <c r="I2425" s="1688"/>
      <c r="J2425" s="1688"/>
      <c r="K2425" s="1688"/>
      <c r="L2425" s="1688"/>
      <c r="M2425" s="1688"/>
      <c r="N2425" s="1688"/>
      <c r="O2425" s="1688"/>
      <c r="P2425" s="1688"/>
      <c r="Q2425" s="1688"/>
      <c r="R2425" s="1282"/>
      <c r="S2425" s="1282"/>
      <c r="T2425" s="1862">
        <f t="shared" si="416"/>
        <v>0</v>
      </c>
    </row>
    <row r="2426" spans="1:20" ht="16.2" hidden="1">
      <c r="A2426" s="56"/>
      <c r="C2426" s="971"/>
      <c r="D2426" s="1445"/>
      <c r="Q2426" s="53"/>
      <c r="T2426" s="53"/>
    </row>
    <row r="2427" spans="1:20" ht="16.2">
      <c r="D2427" s="1445"/>
    </row>
    <row r="2428" spans="1:20" ht="16.2">
      <c r="D2428" s="1445"/>
    </row>
    <row r="2429" spans="1:20" ht="16.2">
      <c r="D2429" s="1445"/>
    </row>
    <row r="2430" spans="1:20" ht="16.2">
      <c r="D2430" s="1445"/>
    </row>
    <row r="2431" spans="1:20" ht="16.2">
      <c r="D2431" s="1445"/>
      <c r="F2431" s="956"/>
    </row>
    <row r="2432" spans="1:20" ht="16.8">
      <c r="D2432" s="1445"/>
      <c r="F2432" s="957"/>
    </row>
    <row r="2433" spans="4:4" ht="16.2">
      <c r="D2433" s="1445"/>
    </row>
    <row r="2434" spans="4:4" ht="16.2">
      <c r="D2434" s="1445"/>
    </row>
    <row r="2435" spans="4:4" ht="16.2">
      <c r="D2435" s="1445"/>
    </row>
    <row r="2436" spans="4:4" ht="16.2">
      <c r="D2436" s="1445"/>
    </row>
    <row r="2437" spans="4:4" ht="16.2">
      <c r="D2437" s="1445"/>
    </row>
    <row r="2438" spans="4:4" ht="16.2">
      <c r="D2438" s="1445"/>
    </row>
    <row r="2439" spans="4:4" ht="16.2">
      <c r="D2439" s="1445"/>
    </row>
    <row r="2440" spans="4:4" ht="16.2">
      <c r="D2440" s="1445"/>
    </row>
    <row r="2441" spans="4:4" ht="16.2">
      <c r="D2441" s="1445"/>
    </row>
    <row r="2442" spans="4:4" ht="16.2">
      <c r="D2442" s="1445"/>
    </row>
    <row r="2443" spans="4:4" ht="16.2">
      <c r="D2443" s="1445"/>
    </row>
    <row r="2444" spans="4:4" ht="16.2">
      <c r="D2444" s="1445"/>
    </row>
    <row r="2445" spans="4:4" ht="16.2">
      <c r="D2445" s="1445"/>
    </row>
    <row r="2446" spans="4:4" ht="16.2">
      <c r="D2446" s="1445"/>
    </row>
    <row r="2447" spans="4:4" ht="16.2">
      <c r="D2447" s="1445"/>
    </row>
    <row r="2448" spans="4:4" ht="16.2">
      <c r="D2448" s="1445"/>
    </row>
    <row r="2449" spans="4:4" ht="16.2">
      <c r="D2449" s="1445"/>
    </row>
    <row r="2450" spans="4:4" ht="16.2">
      <c r="D2450" s="1445"/>
    </row>
    <row r="2451" spans="4:4" ht="16.2">
      <c r="D2451" s="1445"/>
    </row>
    <row r="2452" spans="4:4" ht="16.2">
      <c r="D2452" s="1445"/>
    </row>
    <row r="2453" spans="4:4" ht="16.2">
      <c r="D2453" s="1445"/>
    </row>
    <row r="2454" spans="4:4" ht="16.2">
      <c r="D2454" s="1445"/>
    </row>
    <row r="2455" spans="4:4" ht="16.2">
      <c r="D2455" s="1445"/>
    </row>
    <row r="2456" spans="4:4" ht="16.2">
      <c r="D2456" s="1445"/>
    </row>
    <row r="2457" spans="4:4" ht="16.2">
      <c r="D2457" s="1445"/>
    </row>
    <row r="2458" spans="4:4" ht="16.2">
      <c r="D2458" s="1445"/>
    </row>
    <row r="2459" spans="4:4" ht="16.2">
      <c r="D2459" s="1445"/>
    </row>
    <row r="2460" spans="4:4" ht="16.2">
      <c r="D2460" s="1445"/>
    </row>
    <row r="2461" spans="4:4" ht="16.2">
      <c r="D2461" s="1445"/>
    </row>
    <row r="2462" spans="4:4" ht="16.2">
      <c r="D2462" s="1445"/>
    </row>
    <row r="2463" spans="4:4" ht="16.2">
      <c r="D2463" s="1445"/>
    </row>
    <row r="2464" spans="4:4" ht="16.2">
      <c r="D2464" s="1445"/>
    </row>
    <row r="2465" spans="4:4" ht="16.2">
      <c r="D2465" s="1445"/>
    </row>
    <row r="2466" spans="4:4" ht="16.2">
      <c r="D2466" s="1445"/>
    </row>
    <row r="2467" spans="4:4" ht="16.2">
      <c r="D2467" s="1445"/>
    </row>
    <row r="2468" spans="4:4" ht="16.2">
      <c r="D2468" s="1445"/>
    </row>
    <row r="2469" spans="4:4" ht="16.2">
      <c r="D2469" s="1445"/>
    </row>
    <row r="2470" spans="4:4" ht="16.2">
      <c r="D2470" s="1445"/>
    </row>
    <row r="2471" spans="4:4" ht="16.2">
      <c r="D2471" s="1445"/>
    </row>
    <row r="2472" spans="4:4" ht="16.2">
      <c r="D2472" s="1445"/>
    </row>
    <row r="2473" spans="4:4" ht="16.2">
      <c r="D2473" s="1445"/>
    </row>
    <row r="2474" spans="4:4" ht="16.2">
      <c r="D2474" s="1445"/>
    </row>
    <row r="2475" spans="4:4" ht="16.2">
      <c r="D2475" s="1445"/>
    </row>
    <row r="2476" spans="4:4" ht="16.2">
      <c r="D2476" s="1445"/>
    </row>
    <row r="2477" spans="4:4" ht="16.2">
      <c r="D2477" s="1445"/>
    </row>
    <row r="2478" spans="4:4" ht="16.2">
      <c r="D2478" s="1445"/>
    </row>
    <row r="2479" spans="4:4" ht="16.2">
      <c r="D2479" s="1445"/>
    </row>
    <row r="2480" spans="4:4" ht="16.2">
      <c r="D2480" s="1445"/>
    </row>
    <row r="2481" spans="4:4" ht="16.2">
      <c r="D2481" s="1445"/>
    </row>
    <row r="2482" spans="4:4" ht="16.2">
      <c r="D2482" s="1445"/>
    </row>
    <row r="2483" spans="4:4" ht="16.2">
      <c r="D2483" s="1445"/>
    </row>
    <row r="2484" spans="4:4" ht="16.2">
      <c r="D2484" s="1445"/>
    </row>
    <row r="2485" spans="4:4" ht="16.2">
      <c r="D2485" s="1445"/>
    </row>
    <row r="2486" spans="4:4" ht="16.2">
      <c r="D2486" s="1445"/>
    </row>
    <row r="2487" spans="4:4" ht="16.2">
      <c r="D2487" s="1445"/>
    </row>
    <row r="2488" spans="4:4" ht="16.2">
      <c r="D2488" s="1445"/>
    </row>
    <row r="2489" spans="4:4" ht="16.2">
      <c r="D2489" s="1445"/>
    </row>
    <row r="2490" spans="4:4" ht="16.2">
      <c r="D2490" s="1445"/>
    </row>
    <row r="2491" spans="4:4" ht="16.2">
      <c r="D2491" s="1445"/>
    </row>
    <row r="2492" spans="4:4" ht="16.2">
      <c r="D2492" s="1445"/>
    </row>
    <row r="2493" spans="4:4" ht="16.2">
      <c r="D2493" s="1445"/>
    </row>
    <row r="2494" spans="4:4" ht="16.2">
      <c r="D2494" s="1445"/>
    </row>
    <row r="2495" spans="4:4" ht="16.2">
      <c r="D2495" s="1445"/>
    </row>
    <row r="2496" spans="4:4" ht="16.2">
      <c r="D2496" s="1445"/>
    </row>
    <row r="2497" spans="4:4" ht="16.2">
      <c r="D2497" s="1445"/>
    </row>
    <row r="2498" spans="4:4" ht="16.2">
      <c r="D2498" s="1445"/>
    </row>
    <row r="2499" spans="4:4" ht="16.2">
      <c r="D2499" s="1445"/>
    </row>
    <row r="2500" spans="4:4" ht="16.2">
      <c r="D2500" s="1445"/>
    </row>
    <row r="2501" spans="4:4" ht="16.2">
      <c r="D2501" s="1445"/>
    </row>
    <row r="2502" spans="4:4" ht="16.2">
      <c r="D2502" s="1445"/>
    </row>
    <row r="2503" spans="4:4" ht="16.2">
      <c r="D2503" s="1445"/>
    </row>
    <row r="2504" spans="4:4" ht="16.2">
      <c r="D2504" s="1445"/>
    </row>
    <row r="2505" spans="4:4" ht="16.2">
      <c r="D2505" s="1445"/>
    </row>
    <row r="2506" spans="4:4" ht="16.2">
      <c r="D2506" s="1445"/>
    </row>
    <row r="2507" spans="4:4" ht="16.2">
      <c r="D2507" s="1445"/>
    </row>
    <row r="2508" spans="4:4" ht="16.2">
      <c r="D2508" s="1445"/>
    </row>
    <row r="2509" spans="4:4" ht="16.2">
      <c r="D2509" s="1445"/>
    </row>
    <row r="2510" spans="4:4" ht="16.2">
      <c r="D2510" s="1445"/>
    </row>
    <row r="2511" spans="4:4" ht="16.2">
      <c r="D2511" s="1445"/>
    </row>
    <row r="2512" spans="4:4" ht="16.2">
      <c r="D2512" s="1445"/>
    </row>
    <row r="2513" spans="4:4" ht="16.2">
      <c r="D2513" s="1445"/>
    </row>
    <row r="2514" spans="4:4" ht="16.2">
      <c r="D2514" s="1445"/>
    </row>
    <row r="2515" spans="4:4" ht="16.2">
      <c r="D2515" s="1445"/>
    </row>
    <row r="2516" spans="4:4" ht="16.2">
      <c r="D2516" s="1445"/>
    </row>
    <row r="2517" spans="4:4" ht="16.2">
      <c r="D2517" s="1445"/>
    </row>
    <row r="2518" spans="4:4" ht="16.2">
      <c r="D2518" s="1445"/>
    </row>
    <row r="2519" spans="4:4" ht="16.2">
      <c r="D2519" s="1445"/>
    </row>
    <row r="2520" spans="4:4" ht="16.2">
      <c r="D2520" s="1445"/>
    </row>
    <row r="2521" spans="4:4" ht="16.2">
      <c r="D2521" s="1445"/>
    </row>
    <row r="2522" spans="4:4" ht="16.2">
      <c r="D2522" s="1445"/>
    </row>
    <row r="2523" spans="4:4" ht="16.2">
      <c r="D2523" s="1445"/>
    </row>
    <row r="2524" spans="4:4" ht="16.2">
      <c r="D2524" s="1445"/>
    </row>
    <row r="2525" spans="4:4" ht="16.2">
      <c r="D2525" s="1445"/>
    </row>
    <row r="2526" spans="4:4" ht="16.2">
      <c r="D2526" s="1445"/>
    </row>
    <row r="2527" spans="4:4" ht="16.2">
      <c r="D2527" s="1445"/>
    </row>
    <row r="2528" spans="4:4" ht="16.2">
      <c r="D2528" s="1445"/>
    </row>
    <row r="2529" spans="4:4" ht="16.2">
      <c r="D2529" s="1445"/>
    </row>
    <row r="2530" spans="4:4" ht="16.2">
      <c r="D2530" s="1445"/>
    </row>
    <row r="2531" spans="4:4" ht="16.2">
      <c r="D2531" s="1445"/>
    </row>
    <row r="2532" spans="4:4" ht="16.2">
      <c r="D2532" s="1445"/>
    </row>
    <row r="2533" spans="4:4" ht="16.2">
      <c r="D2533" s="1445"/>
    </row>
    <row r="2534" spans="4:4" ht="16.2">
      <c r="D2534" s="1445"/>
    </row>
    <row r="2535" spans="4:4" ht="16.2">
      <c r="D2535" s="1445"/>
    </row>
    <row r="2536" spans="4:4" ht="16.2">
      <c r="D2536" s="1445"/>
    </row>
    <row r="2537" spans="4:4" ht="16.2">
      <c r="D2537" s="1445"/>
    </row>
    <row r="2538" spans="4:4" ht="16.2">
      <c r="D2538" s="1445"/>
    </row>
    <row r="2539" spans="4:4" ht="16.2">
      <c r="D2539" s="1445"/>
    </row>
    <row r="2540" spans="4:4" ht="16.2">
      <c r="D2540" s="1445"/>
    </row>
    <row r="2541" spans="4:4" ht="16.2">
      <c r="D2541" s="1445"/>
    </row>
    <row r="2542" spans="4:4" ht="16.2">
      <c r="D2542" s="1445"/>
    </row>
    <row r="2543" spans="4:4" ht="16.2">
      <c r="D2543" s="1445"/>
    </row>
    <row r="2544" spans="4:4" ht="16.2">
      <c r="D2544" s="1445"/>
    </row>
    <row r="2545" spans="4:4" ht="16.2">
      <c r="D2545" s="1445"/>
    </row>
    <row r="2546" spans="4:4" ht="16.2">
      <c r="D2546" s="1445"/>
    </row>
    <row r="2547" spans="4:4" ht="16.2">
      <c r="D2547" s="1445"/>
    </row>
    <row r="2548" spans="4:4" ht="16.2">
      <c r="D2548" s="1445"/>
    </row>
    <row r="2549" spans="4:4" ht="16.2">
      <c r="D2549" s="1445"/>
    </row>
    <row r="2550" spans="4:4" ht="16.2">
      <c r="D2550" s="1445"/>
    </row>
    <row r="2551" spans="4:4" ht="16.2">
      <c r="D2551" s="1445"/>
    </row>
    <row r="2552" spans="4:4" ht="16.2">
      <c r="D2552" s="1445"/>
    </row>
    <row r="2553" spans="4:4" ht="16.2">
      <c r="D2553" s="1445"/>
    </row>
    <row r="2554" spans="4:4" ht="16.2">
      <c r="D2554" s="1445"/>
    </row>
    <row r="2555" spans="4:4" ht="16.2">
      <c r="D2555" s="1445"/>
    </row>
    <row r="2556" spans="4:4" ht="16.2">
      <c r="D2556" s="1445"/>
    </row>
    <row r="2557" spans="4:4" ht="16.2">
      <c r="D2557" s="1445"/>
    </row>
    <row r="2558" spans="4:4" ht="16.2">
      <c r="D2558" s="1445"/>
    </row>
    <row r="2559" spans="4:4" ht="16.2">
      <c r="D2559" s="1445"/>
    </row>
    <row r="2560" spans="4:4" ht="16.2">
      <c r="D2560" s="1445"/>
    </row>
    <row r="2561" spans="4:4" ht="16.2">
      <c r="D2561" s="1445"/>
    </row>
    <row r="2562" spans="4:4" ht="16.2">
      <c r="D2562" s="1445"/>
    </row>
    <row r="2563" spans="4:4" ht="16.2">
      <c r="D2563" s="1445"/>
    </row>
    <row r="2564" spans="4:4" ht="16.2">
      <c r="D2564" s="1445"/>
    </row>
    <row r="2565" spans="4:4" ht="16.2">
      <c r="D2565" s="1445"/>
    </row>
    <row r="2566" spans="4:4" ht="16.2">
      <c r="D2566" s="1445"/>
    </row>
    <row r="2567" spans="4:4" ht="16.2">
      <c r="D2567" s="1445"/>
    </row>
    <row r="2568" spans="4:4" ht="16.2">
      <c r="D2568" s="1445"/>
    </row>
    <row r="2569" spans="4:4" ht="16.2">
      <c r="D2569" s="1445"/>
    </row>
    <row r="2570" spans="4:4" ht="16.2">
      <c r="D2570" s="1445"/>
    </row>
    <row r="2571" spans="4:4" ht="16.2">
      <c r="D2571" s="1445"/>
    </row>
    <row r="2572" spans="4:4" ht="16.2">
      <c r="D2572" s="1445"/>
    </row>
    <row r="2573" spans="4:4" ht="16.2">
      <c r="D2573" s="1445"/>
    </row>
    <row r="2574" spans="4:4" ht="16.2">
      <c r="D2574" s="1445"/>
    </row>
    <row r="2575" spans="4:4" ht="16.2">
      <c r="D2575" s="1445"/>
    </row>
    <row r="2576" spans="4:4" ht="16.2">
      <c r="D2576" s="1445"/>
    </row>
    <row r="2577" spans="4:4" ht="16.2">
      <c r="D2577" s="1445"/>
    </row>
    <row r="2578" spans="4:4" ht="16.2">
      <c r="D2578" s="1445"/>
    </row>
    <row r="2579" spans="4:4" ht="16.2">
      <c r="D2579" s="1445"/>
    </row>
    <row r="2580" spans="4:4" ht="16.2">
      <c r="D2580" s="1445"/>
    </row>
    <row r="2581" spans="4:4" ht="16.2">
      <c r="D2581" s="1445"/>
    </row>
    <row r="2582" spans="4:4" ht="16.2">
      <c r="D2582" s="1445"/>
    </row>
    <row r="2583" spans="4:4" ht="16.2">
      <c r="D2583" s="1445"/>
    </row>
    <row r="2584" spans="4:4" ht="16.2">
      <c r="D2584" s="1445"/>
    </row>
    <row r="2585" spans="4:4" ht="16.2">
      <c r="D2585" s="1445"/>
    </row>
    <row r="2586" spans="4:4" ht="16.2">
      <c r="D2586" s="1445"/>
    </row>
    <row r="2587" spans="4:4" ht="16.2">
      <c r="D2587" s="1445"/>
    </row>
    <row r="2588" spans="4:4" ht="16.2">
      <c r="D2588" s="1445"/>
    </row>
    <row r="2589" spans="4:4" ht="16.2">
      <c r="D2589" s="1445"/>
    </row>
    <row r="2590" spans="4:4" ht="16.2">
      <c r="D2590" s="1445"/>
    </row>
    <row r="2591" spans="4:4" ht="16.2">
      <c r="D2591" s="1445"/>
    </row>
    <row r="2592" spans="4:4" ht="16.2">
      <c r="D2592" s="1445"/>
    </row>
    <row r="2593" spans="4:4" ht="16.2">
      <c r="D2593" s="1445"/>
    </row>
    <row r="2594" spans="4:4" ht="16.2">
      <c r="D2594" s="1445"/>
    </row>
    <row r="2595" spans="4:4" ht="16.2">
      <c r="D2595" s="1445"/>
    </row>
    <row r="2596" spans="4:4" ht="16.2">
      <c r="D2596" s="1445"/>
    </row>
    <row r="2597" spans="4:4" ht="16.2">
      <c r="D2597" s="1445"/>
    </row>
    <row r="2598" spans="4:4" ht="16.2">
      <c r="D2598" s="1445"/>
    </row>
    <row r="2599" spans="4:4" ht="16.2">
      <c r="D2599" s="1445"/>
    </row>
    <row r="2600" spans="4:4" ht="16.2">
      <c r="D2600" s="1445"/>
    </row>
    <row r="2601" spans="4:4" ht="16.2">
      <c r="D2601" s="1445"/>
    </row>
    <row r="2602" spans="4:4" ht="16.2">
      <c r="D2602" s="1445"/>
    </row>
    <row r="2603" spans="4:4" ht="16.2">
      <c r="D2603" s="1445"/>
    </row>
    <row r="2604" spans="4:4" ht="16.2">
      <c r="D2604" s="1445"/>
    </row>
    <row r="2605" spans="4:4" ht="16.2">
      <c r="D2605" s="1445"/>
    </row>
    <row r="2606" spans="4:4" ht="16.2">
      <c r="D2606" s="1445"/>
    </row>
    <row r="2607" spans="4:4" ht="16.2">
      <c r="D2607" s="1445"/>
    </row>
    <row r="2608" spans="4:4" ht="16.2">
      <c r="D2608" s="1445"/>
    </row>
    <row r="2609" spans="4:4" ht="16.2">
      <c r="D2609" s="1445"/>
    </row>
    <row r="2610" spans="4:4" ht="16.2">
      <c r="D2610" s="1445"/>
    </row>
    <row r="2611" spans="4:4" ht="16.2">
      <c r="D2611" s="1445"/>
    </row>
    <row r="2612" spans="4:4" ht="16.2">
      <c r="D2612" s="1445"/>
    </row>
    <row r="2613" spans="4:4" ht="16.2">
      <c r="D2613" s="1445"/>
    </row>
    <row r="2614" spans="4:4" ht="16.2">
      <c r="D2614" s="1445"/>
    </row>
    <row r="2615" spans="4:4" ht="16.2">
      <c r="D2615" s="1445"/>
    </row>
    <row r="2616" spans="4:4" ht="16.2">
      <c r="D2616" s="1445"/>
    </row>
    <row r="2617" spans="4:4" ht="16.2">
      <c r="D2617" s="1445"/>
    </row>
    <row r="2618" spans="4:4" ht="16.2">
      <c r="D2618" s="1445"/>
    </row>
    <row r="2619" spans="4:4" ht="16.2">
      <c r="D2619" s="1445"/>
    </row>
    <row r="2620" spans="4:4" ht="16.2">
      <c r="D2620" s="1445"/>
    </row>
    <row r="2621" spans="4:4" ht="16.2">
      <c r="D2621" s="1445"/>
    </row>
    <row r="2622" spans="4:4" ht="16.2">
      <c r="D2622" s="1445"/>
    </row>
    <row r="2623" spans="4:4" ht="16.2">
      <c r="D2623" s="1445"/>
    </row>
    <row r="2624" spans="4:4" ht="16.2">
      <c r="D2624" s="1445"/>
    </row>
    <row r="2625" spans="4:4" ht="16.2">
      <c r="D2625" s="1445"/>
    </row>
    <row r="2626" spans="4:4" ht="16.2">
      <c r="D2626" s="1445"/>
    </row>
    <row r="2627" spans="4:4" ht="16.2">
      <c r="D2627" s="1445"/>
    </row>
    <row r="2628" spans="4:4" ht="16.2">
      <c r="D2628" s="1445"/>
    </row>
    <row r="2629" spans="4:4" ht="16.2">
      <c r="D2629" s="1445"/>
    </row>
    <row r="2630" spans="4:4" ht="16.2">
      <c r="D2630" s="1445"/>
    </row>
    <row r="2631" spans="4:4" ht="16.2">
      <c r="D2631" s="1445"/>
    </row>
    <row r="2632" spans="4:4" ht="16.2">
      <c r="D2632" s="1445"/>
    </row>
    <row r="2633" spans="4:4" ht="16.2">
      <c r="D2633" s="1445"/>
    </row>
    <row r="2634" spans="4:4" ht="16.2">
      <c r="D2634" s="1445"/>
    </row>
    <row r="2635" spans="4:4" ht="16.2">
      <c r="D2635" s="1445"/>
    </row>
    <row r="2636" spans="4:4" ht="16.2">
      <c r="D2636" s="1445"/>
    </row>
    <row r="2637" spans="4:4" ht="16.2">
      <c r="D2637" s="1445"/>
    </row>
    <row r="2638" spans="4:4" ht="16.2">
      <c r="D2638" s="1445"/>
    </row>
    <row r="2639" spans="4:4" ht="16.2">
      <c r="D2639" s="1445"/>
    </row>
    <row r="2640" spans="4:4" ht="16.2">
      <c r="D2640" s="1445"/>
    </row>
    <row r="2641" spans="4:4" ht="16.2">
      <c r="D2641" s="1445"/>
    </row>
    <row r="2642" spans="4:4" ht="16.2">
      <c r="D2642" s="1445"/>
    </row>
    <row r="2643" spans="4:4" ht="16.2">
      <c r="D2643" s="1445"/>
    </row>
    <row r="2644" spans="4:4" ht="16.2">
      <c r="D2644" s="1445"/>
    </row>
    <row r="2645" spans="4:4" ht="16.2">
      <c r="D2645" s="1445"/>
    </row>
    <row r="2646" spans="4:4" ht="16.2">
      <c r="D2646" s="1445"/>
    </row>
    <row r="2647" spans="4:4" ht="16.2">
      <c r="D2647" s="1445"/>
    </row>
    <row r="2648" spans="4:4" ht="16.2">
      <c r="D2648" s="1445"/>
    </row>
    <row r="2649" spans="4:4" ht="16.2">
      <c r="D2649" s="1445"/>
    </row>
    <row r="2650" spans="4:4" ht="16.2">
      <c r="D2650" s="1445"/>
    </row>
    <row r="2651" spans="4:4" ht="16.2">
      <c r="D2651" s="1445"/>
    </row>
    <row r="2652" spans="4:4" ht="16.2">
      <c r="D2652" s="1445"/>
    </row>
    <row r="2653" spans="4:4" ht="16.2">
      <c r="D2653" s="1445"/>
    </row>
    <row r="2654" spans="4:4" ht="16.2">
      <c r="D2654" s="1445"/>
    </row>
    <row r="2655" spans="4:4" ht="16.2">
      <c r="D2655" s="1445"/>
    </row>
    <row r="2656" spans="4:4" ht="16.2">
      <c r="D2656" s="1445"/>
    </row>
    <row r="2657" spans="4:4" ht="16.2">
      <c r="D2657" s="1445"/>
    </row>
    <row r="2658" spans="4:4" ht="16.2">
      <c r="D2658" s="1445"/>
    </row>
    <row r="2659" spans="4:4" ht="16.2">
      <c r="D2659" s="1445"/>
    </row>
    <row r="2660" spans="4:4" ht="16.2">
      <c r="D2660" s="1445"/>
    </row>
    <row r="2661" spans="4:4" ht="16.2">
      <c r="D2661" s="1445"/>
    </row>
    <row r="2662" spans="4:4" ht="16.2">
      <c r="D2662" s="1445"/>
    </row>
    <row r="2663" spans="4:4" ht="16.2">
      <c r="D2663" s="1445"/>
    </row>
    <row r="2664" spans="4:4" ht="16.2">
      <c r="D2664" s="1445"/>
    </row>
    <row r="2665" spans="4:4" ht="16.2">
      <c r="D2665" s="1445"/>
    </row>
    <row r="2666" spans="4:4" ht="16.2">
      <c r="D2666" s="1445"/>
    </row>
    <row r="2667" spans="4:4" ht="16.2">
      <c r="D2667" s="1445"/>
    </row>
    <row r="2668" spans="4:4" ht="16.2">
      <c r="D2668" s="1445"/>
    </row>
    <row r="2669" spans="4:4" ht="16.2">
      <c r="D2669" s="1445"/>
    </row>
    <row r="2670" spans="4:4" ht="16.2">
      <c r="D2670" s="1445"/>
    </row>
    <row r="2671" spans="4:4" ht="16.2">
      <c r="D2671" s="1445"/>
    </row>
    <row r="2672" spans="4:4" ht="16.2">
      <c r="D2672" s="1445"/>
    </row>
    <row r="2673" spans="4:4" ht="16.2">
      <c r="D2673" s="1445"/>
    </row>
    <row r="2674" spans="4:4" ht="16.2">
      <c r="D2674" s="1445"/>
    </row>
    <row r="2675" spans="4:4" ht="16.2">
      <c r="D2675" s="1445"/>
    </row>
    <row r="2676" spans="4:4" ht="16.2">
      <c r="D2676" s="1445"/>
    </row>
    <row r="2677" spans="4:4" ht="16.2">
      <c r="D2677" s="1445"/>
    </row>
    <row r="2678" spans="4:4" ht="16.2">
      <c r="D2678" s="1445"/>
    </row>
    <row r="2679" spans="4:4" ht="16.2">
      <c r="D2679" s="1445"/>
    </row>
    <row r="2680" spans="4:4" ht="16.2">
      <c r="D2680" s="1445"/>
    </row>
    <row r="2681" spans="4:4" ht="16.2">
      <c r="D2681" s="1445"/>
    </row>
    <row r="2682" spans="4:4" ht="16.2">
      <c r="D2682" s="1445"/>
    </row>
    <row r="2683" spans="4:4" ht="16.2">
      <c r="D2683" s="1445"/>
    </row>
    <row r="2684" spans="4:4" ht="16.2">
      <c r="D2684" s="1445"/>
    </row>
    <row r="2685" spans="4:4" ht="16.2">
      <c r="D2685" s="1445"/>
    </row>
    <row r="2686" spans="4:4" ht="16.2">
      <c r="D2686" s="1445"/>
    </row>
    <row r="2687" spans="4:4" ht="16.2">
      <c r="D2687" s="1445"/>
    </row>
    <row r="2688" spans="4:4" ht="16.2">
      <c r="D2688" s="1445"/>
    </row>
    <row r="2689" spans="4:4" ht="16.2">
      <c r="D2689" s="1445"/>
    </row>
    <row r="2690" spans="4:4" ht="16.2">
      <c r="D2690" s="1445"/>
    </row>
    <row r="2691" spans="4:4" ht="16.2">
      <c r="D2691" s="1445"/>
    </row>
    <row r="2692" spans="4:4" ht="16.2">
      <c r="D2692" s="1445"/>
    </row>
    <row r="2693" spans="4:4" ht="16.2">
      <c r="D2693" s="1445"/>
    </row>
    <row r="2694" spans="4:4" ht="16.2">
      <c r="D2694" s="1445"/>
    </row>
    <row r="2695" spans="4:4" ht="16.2">
      <c r="D2695" s="1445"/>
    </row>
    <row r="2696" spans="4:4" ht="16.2">
      <c r="D2696" s="1445"/>
    </row>
    <row r="2697" spans="4:4" ht="16.2">
      <c r="D2697" s="1445"/>
    </row>
    <row r="2698" spans="4:4" ht="16.2">
      <c r="D2698" s="1445"/>
    </row>
    <row r="2699" spans="4:4" ht="16.2">
      <c r="D2699" s="1445"/>
    </row>
    <row r="2700" spans="4:4" ht="16.2">
      <c r="D2700" s="1445"/>
    </row>
    <row r="2701" spans="4:4" ht="16.2">
      <c r="D2701" s="1445"/>
    </row>
    <row r="2702" spans="4:4" ht="16.2">
      <c r="D2702" s="1445"/>
    </row>
    <row r="2703" spans="4:4" ht="16.2">
      <c r="D2703" s="1445"/>
    </row>
    <row r="2704" spans="4:4" ht="16.2">
      <c r="D2704" s="1445"/>
    </row>
    <row r="2705" spans="4:4" ht="16.2">
      <c r="D2705" s="1445"/>
    </row>
    <row r="2706" spans="4:4" ht="16.2">
      <c r="D2706" s="1445"/>
    </row>
    <row r="2707" spans="4:4" ht="16.2">
      <c r="D2707" s="1445"/>
    </row>
    <row r="2708" spans="4:4" ht="16.2">
      <c r="D2708" s="1445"/>
    </row>
    <row r="2709" spans="4:4" ht="16.2">
      <c r="D2709" s="1445"/>
    </row>
    <row r="2710" spans="4:4" ht="16.2">
      <c r="D2710" s="1445"/>
    </row>
    <row r="2711" spans="4:4" ht="16.2">
      <c r="D2711" s="1445"/>
    </row>
    <row r="2712" spans="4:4" ht="16.2">
      <c r="D2712" s="1445"/>
    </row>
    <row r="2713" spans="4:4" ht="16.2">
      <c r="D2713" s="1445"/>
    </row>
    <row r="2714" spans="4:4" ht="16.2">
      <c r="D2714" s="1445"/>
    </row>
    <row r="2715" spans="4:4" ht="16.2">
      <c r="D2715" s="1445"/>
    </row>
    <row r="2716" spans="4:4" ht="16.2">
      <c r="D2716" s="1445"/>
    </row>
    <row r="2717" spans="4:4" ht="16.2">
      <c r="D2717" s="1445"/>
    </row>
    <row r="2718" spans="4:4" ht="16.2">
      <c r="D2718" s="1445"/>
    </row>
    <row r="2719" spans="4:4" ht="16.2">
      <c r="D2719" s="1445"/>
    </row>
    <row r="2720" spans="4:4" ht="16.2">
      <c r="D2720" s="1445"/>
    </row>
    <row r="2721" spans="4:4" ht="16.2">
      <c r="D2721" s="1445"/>
    </row>
    <row r="2722" spans="4:4" ht="16.2">
      <c r="D2722" s="1445"/>
    </row>
    <row r="2723" spans="4:4" ht="16.2">
      <c r="D2723" s="1445"/>
    </row>
    <row r="2724" spans="4:4" ht="16.2">
      <c r="D2724" s="1445"/>
    </row>
    <row r="2725" spans="4:4" ht="16.2">
      <c r="D2725" s="1445"/>
    </row>
    <row r="2726" spans="4:4" ht="16.2">
      <c r="D2726" s="1445"/>
    </row>
    <row r="2727" spans="4:4" ht="16.2">
      <c r="D2727" s="1445"/>
    </row>
    <row r="2728" spans="4:4" ht="16.2">
      <c r="D2728" s="1445"/>
    </row>
    <row r="2729" spans="4:4" ht="16.2">
      <c r="D2729" s="1445"/>
    </row>
    <row r="2730" spans="4:4" ht="16.2">
      <c r="D2730" s="1445"/>
    </row>
    <row r="2731" spans="4:4" ht="16.2">
      <c r="D2731" s="1445"/>
    </row>
    <row r="2732" spans="4:4" ht="16.2">
      <c r="D2732" s="1445"/>
    </row>
    <row r="2733" spans="4:4" ht="16.2">
      <c r="D2733" s="1445"/>
    </row>
    <row r="2734" spans="4:4" ht="16.2">
      <c r="D2734" s="1445"/>
    </row>
    <row r="2735" spans="4:4" ht="16.2">
      <c r="D2735" s="1445"/>
    </row>
    <row r="2736" spans="4:4" ht="16.2">
      <c r="D2736" s="1445"/>
    </row>
    <row r="2737" spans="4:4" ht="16.2">
      <c r="D2737" s="1445"/>
    </row>
    <row r="2738" spans="4:4" ht="16.2">
      <c r="D2738" s="1445"/>
    </row>
    <row r="2739" spans="4:4" ht="16.2">
      <c r="D2739" s="1445"/>
    </row>
    <row r="2740" spans="4:4" ht="16.2">
      <c r="D2740" s="1445"/>
    </row>
    <row r="2741" spans="4:4" ht="16.2">
      <c r="D2741" s="1445"/>
    </row>
    <row r="2742" spans="4:4" ht="16.2">
      <c r="D2742" s="1445"/>
    </row>
    <row r="2743" spans="4:4" ht="16.2">
      <c r="D2743" s="1445"/>
    </row>
    <row r="2744" spans="4:4" ht="16.2">
      <c r="D2744" s="1445"/>
    </row>
    <row r="2745" spans="4:4" ht="16.2">
      <c r="D2745" s="1445"/>
    </row>
    <row r="2746" spans="4:4" ht="16.2">
      <c r="D2746" s="1445"/>
    </row>
    <row r="2747" spans="4:4" ht="16.2">
      <c r="D2747" s="1445"/>
    </row>
    <row r="2748" spans="4:4" ht="16.2">
      <c r="D2748" s="1445"/>
    </row>
    <row r="2749" spans="4:4" ht="16.2">
      <c r="D2749" s="1445"/>
    </row>
    <row r="2750" spans="4:4" ht="16.2">
      <c r="D2750" s="1445"/>
    </row>
    <row r="2751" spans="4:4" ht="16.2">
      <c r="D2751" s="1445"/>
    </row>
    <row r="2752" spans="4:4" ht="16.2">
      <c r="D2752" s="1445"/>
    </row>
    <row r="2753" spans="4:4" ht="16.2">
      <c r="D2753" s="1445"/>
    </row>
    <row r="2754" spans="4:4" ht="16.2">
      <c r="D2754" s="1445"/>
    </row>
    <row r="2755" spans="4:4" ht="16.2">
      <c r="D2755" s="1445"/>
    </row>
    <row r="2756" spans="4:4" ht="16.2">
      <c r="D2756" s="1445"/>
    </row>
    <row r="2757" spans="4:4" ht="16.2">
      <c r="D2757" s="1445"/>
    </row>
    <row r="2758" spans="4:4" ht="16.2">
      <c r="D2758" s="1445"/>
    </row>
    <row r="2759" spans="4:4" ht="16.2">
      <c r="D2759" s="1445"/>
    </row>
    <row r="2760" spans="4:4" ht="16.2">
      <c r="D2760" s="1445"/>
    </row>
    <row r="2761" spans="4:4" ht="16.2">
      <c r="D2761" s="1445"/>
    </row>
    <row r="2762" spans="4:4" ht="16.2">
      <c r="D2762" s="1445"/>
    </row>
    <row r="2763" spans="4:4" ht="16.2">
      <c r="D2763" s="1445"/>
    </row>
    <row r="2764" spans="4:4" ht="16.2">
      <c r="D2764" s="1445"/>
    </row>
    <row r="2765" spans="4:4" ht="16.2">
      <c r="D2765" s="1445"/>
    </row>
    <row r="2766" spans="4:4" ht="16.2">
      <c r="D2766" s="1445"/>
    </row>
    <row r="2767" spans="4:4" ht="16.2">
      <c r="D2767" s="1445"/>
    </row>
    <row r="2768" spans="4:4" ht="16.2">
      <c r="D2768" s="1445"/>
    </row>
    <row r="2769" spans="4:4" ht="16.2">
      <c r="D2769" s="1445"/>
    </row>
    <row r="2770" spans="4:4" ht="16.2">
      <c r="D2770" s="1445"/>
    </row>
    <row r="2771" spans="4:4" ht="16.2">
      <c r="D2771" s="1445"/>
    </row>
    <row r="2772" spans="4:4" ht="16.2">
      <c r="D2772" s="1445"/>
    </row>
    <row r="2773" spans="4:4" ht="16.2">
      <c r="D2773" s="1445"/>
    </row>
    <row r="2774" spans="4:4" ht="16.2">
      <c r="D2774" s="1445"/>
    </row>
    <row r="2775" spans="4:4" ht="16.2">
      <c r="D2775" s="1445"/>
    </row>
    <row r="2776" spans="4:4" ht="16.2">
      <c r="D2776" s="1445"/>
    </row>
    <row r="2777" spans="4:4" ht="16.2">
      <c r="D2777" s="1445"/>
    </row>
    <row r="2778" spans="4:4" ht="16.2">
      <c r="D2778" s="1445"/>
    </row>
    <row r="2779" spans="4:4" ht="16.2">
      <c r="D2779" s="1445"/>
    </row>
    <row r="2780" spans="4:4" ht="16.2">
      <c r="D2780" s="1445"/>
    </row>
    <row r="2781" spans="4:4" ht="16.2">
      <c r="D2781" s="1445"/>
    </row>
    <row r="2782" spans="4:4" ht="16.2">
      <c r="D2782" s="1445"/>
    </row>
    <row r="2783" spans="4:4" ht="16.2">
      <c r="D2783" s="1445"/>
    </row>
    <row r="2784" spans="4:4" ht="16.2">
      <c r="D2784" s="1445"/>
    </row>
    <row r="2785" spans="4:4" ht="16.2">
      <c r="D2785" s="1445"/>
    </row>
    <row r="2786" spans="4:4" ht="16.2">
      <c r="D2786" s="1445"/>
    </row>
    <row r="2787" spans="4:4" ht="16.2">
      <c r="D2787" s="1445"/>
    </row>
    <row r="2788" spans="4:4" ht="16.2">
      <c r="D2788" s="1445"/>
    </row>
    <row r="2789" spans="4:4" ht="16.2">
      <c r="D2789" s="1445"/>
    </row>
    <row r="2790" spans="4:4" ht="16.2">
      <c r="D2790" s="1445"/>
    </row>
    <row r="2791" spans="4:4" ht="16.2">
      <c r="D2791" s="1445"/>
    </row>
    <row r="2792" spans="4:4" ht="16.2">
      <c r="D2792" s="1445"/>
    </row>
    <row r="2793" spans="4:4" ht="16.2">
      <c r="D2793" s="1445"/>
    </row>
    <row r="2794" spans="4:4" ht="16.2">
      <c r="D2794" s="1445"/>
    </row>
    <row r="2795" spans="4:4" ht="16.2">
      <c r="D2795" s="1445"/>
    </row>
    <row r="2796" spans="4:4" ht="16.2">
      <c r="D2796" s="1445"/>
    </row>
    <row r="2797" spans="4:4" ht="16.2">
      <c r="D2797" s="1445"/>
    </row>
    <row r="2798" spans="4:4" ht="16.2">
      <c r="D2798" s="1445"/>
    </row>
    <row r="2799" spans="4:4" ht="16.2">
      <c r="D2799" s="1445"/>
    </row>
    <row r="2800" spans="4:4" ht="16.2">
      <c r="D2800" s="1445"/>
    </row>
    <row r="2801" spans="4:4" ht="16.2">
      <c r="D2801" s="1445"/>
    </row>
    <row r="2802" spans="4:4" ht="16.2">
      <c r="D2802" s="1445"/>
    </row>
    <row r="2803" spans="4:4" ht="16.2">
      <c r="D2803" s="1445"/>
    </row>
    <row r="2804" spans="4:4" ht="16.2">
      <c r="D2804" s="1445"/>
    </row>
    <row r="2805" spans="4:4" ht="16.2">
      <c r="D2805" s="1445"/>
    </row>
    <row r="2806" spans="4:4" ht="16.2">
      <c r="D2806" s="1445"/>
    </row>
    <row r="2807" spans="4:4" ht="16.2">
      <c r="D2807" s="1445"/>
    </row>
    <row r="2808" spans="4:4" ht="16.2">
      <c r="D2808" s="1445"/>
    </row>
    <row r="2809" spans="4:4" ht="16.2">
      <c r="D2809" s="1445"/>
    </row>
    <row r="2810" spans="4:4" ht="16.2">
      <c r="D2810" s="1445"/>
    </row>
    <row r="2811" spans="4:4" ht="16.2">
      <c r="D2811" s="1445"/>
    </row>
    <row r="2812" spans="4:4" ht="16.2">
      <c r="D2812" s="1445"/>
    </row>
    <row r="2813" spans="4:4" ht="16.2">
      <c r="D2813" s="1445"/>
    </row>
    <row r="2814" spans="4:4" ht="16.2">
      <c r="D2814" s="1445"/>
    </row>
    <row r="2815" spans="4:4" ht="16.2">
      <c r="D2815" s="1445"/>
    </row>
    <row r="2816" spans="4:4" ht="16.2">
      <c r="D2816" s="1445"/>
    </row>
    <row r="2817" spans="4:4" ht="16.2">
      <c r="D2817" s="1445"/>
    </row>
    <row r="2818" spans="4:4" ht="16.2">
      <c r="D2818" s="1445"/>
    </row>
    <row r="2819" spans="4:4" ht="16.2">
      <c r="D2819" s="1445"/>
    </row>
    <row r="2820" spans="4:4" ht="16.2">
      <c r="D2820" s="1445"/>
    </row>
    <row r="2821" spans="4:4" ht="16.2">
      <c r="D2821" s="1445"/>
    </row>
    <row r="2822" spans="4:4" ht="16.2">
      <c r="D2822" s="1445"/>
    </row>
    <row r="2823" spans="4:4" ht="16.2">
      <c r="D2823" s="1445"/>
    </row>
    <row r="2824" spans="4:4" ht="16.2">
      <c r="D2824" s="1445"/>
    </row>
    <row r="2825" spans="4:4" ht="16.2">
      <c r="D2825" s="1445"/>
    </row>
    <row r="2826" spans="4:4" ht="16.2">
      <c r="D2826" s="1445"/>
    </row>
    <row r="2827" spans="4:4" ht="16.2">
      <c r="D2827" s="1445"/>
    </row>
    <row r="2828" spans="4:4" ht="16.2">
      <c r="D2828" s="1445"/>
    </row>
    <row r="2829" spans="4:4" ht="16.2">
      <c r="D2829" s="1445"/>
    </row>
    <row r="2830" spans="4:4" ht="16.2">
      <c r="D2830" s="1445"/>
    </row>
    <row r="2831" spans="4:4" ht="16.2">
      <c r="D2831" s="1445"/>
    </row>
    <row r="2832" spans="4:4" ht="16.2">
      <c r="D2832" s="1445"/>
    </row>
    <row r="2833" spans="4:4" ht="16.2">
      <c r="D2833" s="1445"/>
    </row>
    <row r="2834" spans="4:4" ht="16.2">
      <c r="D2834" s="1445"/>
    </row>
    <row r="2835" spans="4:4" ht="16.2">
      <c r="D2835" s="1445"/>
    </row>
    <row r="2836" spans="4:4" ht="16.2">
      <c r="D2836" s="1445"/>
    </row>
    <row r="2837" spans="4:4" ht="16.2">
      <c r="D2837" s="1445"/>
    </row>
    <row r="2838" spans="4:4" ht="16.2">
      <c r="D2838" s="1445"/>
    </row>
    <row r="2839" spans="4:4" ht="16.2">
      <c r="D2839" s="1445"/>
    </row>
    <row r="2840" spans="4:4" ht="16.2">
      <c r="D2840" s="1445"/>
    </row>
    <row r="2841" spans="4:4" ht="16.2">
      <c r="D2841" s="1445"/>
    </row>
    <row r="2842" spans="4:4" ht="16.2">
      <c r="D2842" s="1445"/>
    </row>
    <row r="2843" spans="4:4" ht="16.2">
      <c r="D2843" s="1445"/>
    </row>
    <row r="2844" spans="4:4" ht="16.2">
      <c r="D2844" s="1445"/>
    </row>
    <row r="2845" spans="4:4" ht="16.2">
      <c r="D2845" s="1445"/>
    </row>
    <row r="2846" spans="4:4" ht="16.2">
      <c r="D2846" s="1445"/>
    </row>
    <row r="2847" spans="4:4" ht="16.2">
      <c r="D2847" s="1445"/>
    </row>
    <row r="2848" spans="4:4" ht="16.2">
      <c r="D2848" s="1445"/>
    </row>
    <row r="2849" spans="4:4" ht="16.2">
      <c r="D2849" s="1445"/>
    </row>
    <row r="2850" spans="4:4" ht="16.2">
      <c r="D2850" s="1445"/>
    </row>
    <row r="2851" spans="4:4" ht="16.2">
      <c r="D2851" s="1445"/>
    </row>
    <row r="2852" spans="4:4" ht="16.2">
      <c r="D2852" s="1445"/>
    </row>
    <row r="2853" spans="4:4" ht="16.2">
      <c r="D2853" s="1445"/>
    </row>
    <row r="2854" spans="4:4" ht="16.2">
      <c r="D2854" s="1445"/>
    </row>
    <row r="2855" spans="4:4" ht="16.2">
      <c r="D2855" s="1445"/>
    </row>
    <row r="2856" spans="4:4" ht="16.2">
      <c r="D2856" s="1445"/>
    </row>
    <row r="2857" spans="4:4" ht="16.2">
      <c r="D2857" s="1445"/>
    </row>
    <row r="2858" spans="4:4" ht="16.2">
      <c r="D2858" s="1445"/>
    </row>
    <row r="2859" spans="4:4" ht="16.2">
      <c r="D2859" s="1445"/>
    </row>
    <row r="2860" spans="4:4" ht="16.2">
      <c r="D2860" s="1445"/>
    </row>
    <row r="2861" spans="4:4" ht="16.2">
      <c r="D2861" s="1445"/>
    </row>
    <row r="2862" spans="4:4" ht="16.2">
      <c r="D2862" s="1445"/>
    </row>
    <row r="2863" spans="4:4" ht="16.2">
      <c r="D2863" s="1445"/>
    </row>
    <row r="2864" spans="4:4" ht="16.2">
      <c r="D2864" s="1445"/>
    </row>
    <row r="2865" spans="4:4" ht="16.2">
      <c r="D2865" s="1445"/>
    </row>
  </sheetData>
  <autoFilter ref="A10:S2426" xr:uid="{00000000-0009-0000-0000-000010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9:T1048576 T364:T447 T465:T631 T668:T897 T1197:T1842 T1850:T1860 T1957:T2327 T1890:T1955">
    <cfRule type="timePeriod" dxfId="119" priority="102" timePeriod="today">
      <formula>FLOOR(T1,1)=TODAY()</formula>
    </cfRule>
  </conditionalFormatting>
  <conditionalFormatting sqref="B2408 B77 B94 B176 B341 B378 B398 B433 B533 B553 B569">
    <cfRule type="duplicateValues" dxfId="118" priority="101"/>
  </conditionalFormatting>
  <conditionalFormatting sqref="C1:C359 C1840:C1842 C1114:C1117 C2371:C1048576 C2369 C2086:C2327 C1991:C2084 C909:C1106 C663:C665 C362 C646:C651 C1119:C1181 C1197:C1777 C1183:C1195 C633:C644 C1957:C1988 C1947:C1953 C2329:C2367 C364:C447 C465:C631 C668:C897 C1780:C1838 C1850:C1860 C1890:C1921 C1934:C1945 C1924:C1931">
    <cfRule type="containsText" dxfId="117" priority="97" operator="containsText" text="x">
      <formula>NOT(ISERROR(SEARCH("x",C1)))</formula>
    </cfRule>
  </conditionalFormatting>
  <conditionalFormatting sqref="C1839">
    <cfRule type="containsText" dxfId="116" priority="95" operator="containsText" text="x">
      <formula>NOT(ISERROR(SEARCH("x",C1839)))</formula>
    </cfRule>
  </conditionalFormatting>
  <conditionalFormatting sqref="C1922:C1923">
    <cfRule type="containsText" dxfId="115" priority="93" operator="containsText" text="x">
      <formula>NOT(ISERROR(SEARCH("x",C1922)))</formula>
    </cfRule>
  </conditionalFormatting>
  <conditionalFormatting sqref="C1107:C1113">
    <cfRule type="containsText" dxfId="114" priority="91" operator="containsText" text="x">
      <formula>NOT(ISERROR(SEARCH("x",C1107)))</formula>
    </cfRule>
  </conditionalFormatting>
  <conditionalFormatting sqref="T1:T359 T909:T1117 T663:T665 T362 T646:T651 T1119:T1181 T1183:T1195 T633:T644 T2329:T1048576 T364:T447 T465:T631 T668:T897 T1197:T1842 T1850:T1860 T1957:T2327 T1890:T1955">
    <cfRule type="cellIs" dxfId="113" priority="90" operator="greaterThan">
      <formula>0</formula>
    </cfRule>
  </conditionalFormatting>
  <conditionalFormatting sqref="C2370">
    <cfRule type="containsText" dxfId="112" priority="88" operator="containsText" text="x">
      <formula>NOT(ISERROR(SEARCH("x",C2370)))</formula>
    </cfRule>
  </conditionalFormatting>
  <conditionalFormatting sqref="C2368">
    <cfRule type="containsText" dxfId="111" priority="85" operator="containsText" text="x">
      <formula>NOT(ISERROR(SEARCH("x",C2368)))</formula>
    </cfRule>
  </conditionalFormatting>
  <conditionalFormatting sqref="C2085">
    <cfRule type="containsText" dxfId="110" priority="80" operator="containsText" text="x">
      <formula>NOT(ISERROR(SEARCH("x",C2085)))</formula>
    </cfRule>
  </conditionalFormatting>
  <conditionalFormatting sqref="C1989:C1990">
    <cfRule type="containsText" dxfId="109" priority="77" operator="containsText" text="x">
      <formula>NOT(ISERROR(SEARCH("x",C1989)))</formula>
    </cfRule>
  </conditionalFormatting>
  <conditionalFormatting sqref="T898:T908">
    <cfRule type="timePeriod" dxfId="108" priority="75" timePeriod="today">
      <formula>FLOOR(T898,1)=TODAY()</formula>
    </cfRule>
  </conditionalFormatting>
  <conditionalFormatting sqref="C898:C908">
    <cfRule type="containsText" dxfId="107" priority="74" operator="containsText" text="x">
      <formula>NOT(ISERROR(SEARCH("x",C898)))</formula>
    </cfRule>
  </conditionalFormatting>
  <conditionalFormatting sqref="T898:T908">
    <cfRule type="cellIs" dxfId="106" priority="73" operator="greaterThan">
      <formula>0</formula>
    </cfRule>
  </conditionalFormatting>
  <conditionalFormatting sqref="T652:T662">
    <cfRule type="timePeriod" dxfId="105" priority="72" timePeriod="today">
      <formula>FLOOR(T652,1)=TODAY()</formula>
    </cfRule>
  </conditionalFormatting>
  <conditionalFormatting sqref="C652:C662">
    <cfRule type="containsText" dxfId="104" priority="71" operator="containsText" text="x">
      <formula>NOT(ISERROR(SEARCH("x",C652)))</formula>
    </cfRule>
  </conditionalFormatting>
  <conditionalFormatting sqref="T652:T662">
    <cfRule type="cellIs" dxfId="103" priority="70" operator="greaterThan">
      <formula>0</formula>
    </cfRule>
  </conditionalFormatting>
  <conditionalFormatting sqref="C1932">
    <cfRule type="containsText" dxfId="102" priority="68" operator="containsText" text="x">
      <formula>NOT(ISERROR(SEARCH("x",C1932)))</formula>
    </cfRule>
  </conditionalFormatting>
  <conditionalFormatting sqref="C1933">
    <cfRule type="containsText" dxfId="101" priority="65" operator="containsText" text="x">
      <formula>NOT(ISERROR(SEARCH("x",C1933)))</formula>
    </cfRule>
  </conditionalFormatting>
  <conditionalFormatting sqref="T360:T361">
    <cfRule type="timePeriod" dxfId="100" priority="63" timePeriod="today">
      <formula>FLOOR(T360,1)=TODAY()</formula>
    </cfRule>
  </conditionalFormatting>
  <conditionalFormatting sqref="C360:C361">
    <cfRule type="containsText" dxfId="99" priority="62" operator="containsText" text="x">
      <formula>NOT(ISERROR(SEARCH("x",C360)))</formula>
    </cfRule>
  </conditionalFormatting>
  <conditionalFormatting sqref="T360:T361">
    <cfRule type="cellIs" dxfId="98" priority="61" operator="greaterThan">
      <formula>0</formula>
    </cfRule>
  </conditionalFormatting>
  <conditionalFormatting sqref="T363">
    <cfRule type="timePeriod" dxfId="97" priority="60" timePeriod="today">
      <formula>FLOOR(T363,1)=TODAY()</formula>
    </cfRule>
  </conditionalFormatting>
  <conditionalFormatting sqref="C363">
    <cfRule type="containsText" dxfId="96" priority="59" operator="containsText" text="x">
      <formula>NOT(ISERROR(SEARCH("x",C363)))</formula>
    </cfRule>
  </conditionalFormatting>
  <conditionalFormatting sqref="T363">
    <cfRule type="cellIs" dxfId="95" priority="58" operator="greaterThan">
      <formula>0</formula>
    </cfRule>
  </conditionalFormatting>
  <conditionalFormatting sqref="T645">
    <cfRule type="timePeriod" dxfId="94" priority="57" timePeriod="today">
      <formula>FLOOR(T645,1)=TODAY()</formula>
    </cfRule>
  </conditionalFormatting>
  <conditionalFormatting sqref="C645">
    <cfRule type="containsText" dxfId="93" priority="56" operator="containsText" text="x">
      <formula>NOT(ISERROR(SEARCH("x",C645)))</formula>
    </cfRule>
  </conditionalFormatting>
  <conditionalFormatting sqref="T645">
    <cfRule type="cellIs" dxfId="92" priority="55" operator="greaterThan">
      <formula>0</formula>
    </cfRule>
  </conditionalFormatting>
  <conditionalFormatting sqref="T1118">
    <cfRule type="timePeriod" dxfId="91" priority="54" timePeriod="today">
      <formula>FLOOR(T1118,1)=TODAY()</formula>
    </cfRule>
  </conditionalFormatting>
  <conditionalFormatting sqref="C1118">
    <cfRule type="containsText" dxfId="90" priority="53" operator="containsText" text="x">
      <formula>NOT(ISERROR(SEARCH("x",C1118)))</formula>
    </cfRule>
  </conditionalFormatting>
  <conditionalFormatting sqref="T1118">
    <cfRule type="cellIs" dxfId="89" priority="52" operator="greaterThan">
      <formula>0</formula>
    </cfRule>
  </conditionalFormatting>
  <conditionalFormatting sqref="T1196">
    <cfRule type="timePeriod" dxfId="88" priority="51" timePeriod="today">
      <formula>FLOOR(T1196,1)=TODAY()</formula>
    </cfRule>
  </conditionalFormatting>
  <conditionalFormatting sqref="C1196">
    <cfRule type="containsText" dxfId="87" priority="50" operator="containsText" text="x">
      <formula>NOT(ISERROR(SEARCH("x",C1196)))</formula>
    </cfRule>
  </conditionalFormatting>
  <conditionalFormatting sqref="T1196">
    <cfRule type="cellIs" dxfId="86" priority="49" operator="greaterThan">
      <formula>0</formula>
    </cfRule>
  </conditionalFormatting>
  <conditionalFormatting sqref="T1182">
    <cfRule type="timePeriod" dxfId="85" priority="48" timePeriod="today">
      <formula>FLOOR(T1182,1)=TODAY()</formula>
    </cfRule>
  </conditionalFormatting>
  <conditionalFormatting sqref="C1182">
    <cfRule type="containsText" dxfId="84" priority="47" operator="containsText" text="x">
      <formula>NOT(ISERROR(SEARCH("x",C1182)))</formula>
    </cfRule>
  </conditionalFormatting>
  <conditionalFormatting sqref="T1182">
    <cfRule type="cellIs" dxfId="83" priority="46" operator="greaterThan">
      <formula>0</formula>
    </cfRule>
  </conditionalFormatting>
  <conditionalFormatting sqref="T632">
    <cfRule type="timePeriod" dxfId="82" priority="45" timePeriod="today">
      <formula>FLOOR(T632,1)=TODAY()</formula>
    </cfRule>
  </conditionalFormatting>
  <conditionalFormatting sqref="C632">
    <cfRule type="containsText" dxfId="81" priority="44" operator="containsText" text="x">
      <formula>NOT(ISERROR(SEARCH("x",C632)))</formula>
    </cfRule>
  </conditionalFormatting>
  <conditionalFormatting sqref="T632">
    <cfRule type="cellIs" dxfId="80" priority="43" operator="greaterThan">
      <formula>0</formula>
    </cfRule>
  </conditionalFormatting>
  <conditionalFormatting sqref="C1954">
    <cfRule type="containsText" dxfId="79" priority="41" operator="containsText" text="x">
      <formula>NOT(ISERROR(SEARCH("x",C1954)))</formula>
    </cfRule>
  </conditionalFormatting>
  <conditionalFormatting sqref="C1955">
    <cfRule type="containsText" dxfId="78" priority="38" operator="containsText" text="x">
      <formula>NOT(ISERROR(SEARCH("x",C1955)))</formula>
    </cfRule>
  </conditionalFormatting>
  <conditionalFormatting sqref="T2328">
    <cfRule type="timePeriod" dxfId="77" priority="36" timePeriod="today">
      <formula>FLOOR(T2328,1)=TODAY()</formula>
    </cfRule>
  </conditionalFormatting>
  <conditionalFormatting sqref="C2328">
    <cfRule type="containsText" dxfId="76" priority="35" operator="containsText" text="x">
      <formula>NOT(ISERROR(SEARCH("x",C2328)))</formula>
    </cfRule>
  </conditionalFormatting>
  <conditionalFormatting sqref="T2328">
    <cfRule type="cellIs" dxfId="75" priority="34" operator="greaterThan">
      <formula>0</formula>
    </cfRule>
  </conditionalFormatting>
  <conditionalFormatting sqref="C1946">
    <cfRule type="containsText" dxfId="74" priority="32" operator="containsText" text="x">
      <formula>NOT(ISERROR(SEARCH("x",C1946)))</formula>
    </cfRule>
  </conditionalFormatting>
  <conditionalFormatting sqref="T448:T464">
    <cfRule type="timePeriod" dxfId="73" priority="30" timePeriod="today">
      <formula>FLOOR(T448,1)=TODAY()</formula>
    </cfRule>
  </conditionalFormatting>
  <conditionalFormatting sqref="B450">
    <cfRule type="duplicateValues" dxfId="72" priority="29"/>
  </conditionalFormatting>
  <conditionalFormatting sqref="C448:C464">
    <cfRule type="containsText" dxfId="71" priority="28" operator="containsText" text="x">
      <formula>NOT(ISERROR(SEARCH("x",C448)))</formula>
    </cfRule>
  </conditionalFormatting>
  <conditionalFormatting sqref="T448:T464">
    <cfRule type="cellIs" dxfId="70" priority="27" operator="greaterThan">
      <formula>0</formula>
    </cfRule>
  </conditionalFormatting>
  <conditionalFormatting sqref="T666">
    <cfRule type="timePeriod" dxfId="69" priority="26" timePeriod="today">
      <formula>FLOOR(T666,1)=TODAY()</formula>
    </cfRule>
  </conditionalFormatting>
  <conditionalFormatting sqref="C666">
    <cfRule type="containsText" dxfId="68" priority="25" operator="containsText" text="x">
      <formula>NOT(ISERROR(SEARCH("x",C666)))</formula>
    </cfRule>
  </conditionalFormatting>
  <conditionalFormatting sqref="T666">
    <cfRule type="cellIs" dxfId="67" priority="24" operator="greaterThan">
      <formula>0</formula>
    </cfRule>
  </conditionalFormatting>
  <conditionalFormatting sqref="T667">
    <cfRule type="timePeriod" dxfId="66" priority="23" timePeriod="today">
      <formula>FLOOR(T667,1)=TODAY()</formula>
    </cfRule>
  </conditionalFormatting>
  <conditionalFormatting sqref="C667">
    <cfRule type="containsText" dxfId="65" priority="22" operator="containsText" text="x">
      <formula>NOT(ISERROR(SEARCH("x",C667)))</formula>
    </cfRule>
  </conditionalFormatting>
  <conditionalFormatting sqref="T667">
    <cfRule type="cellIs" dxfId="64" priority="21" operator="greaterThan">
      <formula>0</formula>
    </cfRule>
  </conditionalFormatting>
  <conditionalFormatting sqref="C1778">
    <cfRule type="containsText" dxfId="63" priority="19" operator="containsText" text="x">
      <formula>NOT(ISERROR(SEARCH("x",C1778)))</formula>
    </cfRule>
  </conditionalFormatting>
  <conditionalFormatting sqref="C1779">
    <cfRule type="containsText" dxfId="62" priority="16" operator="containsText" text="x">
      <formula>NOT(ISERROR(SEARCH("x",C1779)))</formula>
    </cfRule>
  </conditionalFormatting>
  <conditionalFormatting sqref="T1843:T1849">
    <cfRule type="timePeriod" dxfId="61" priority="14" timePeriod="today">
      <formula>FLOOR(T1843,1)=TODAY()</formula>
    </cfRule>
  </conditionalFormatting>
  <conditionalFormatting sqref="C1847:C1849 C1843:C1845">
    <cfRule type="containsText" dxfId="60" priority="13" operator="containsText" text="x">
      <formula>NOT(ISERROR(SEARCH("x",C1843)))</formula>
    </cfRule>
  </conditionalFormatting>
  <conditionalFormatting sqref="C1846">
    <cfRule type="containsText" dxfId="59" priority="12" operator="containsText" text="x">
      <formula>NOT(ISERROR(SEARCH("x",C1846)))</formula>
    </cfRule>
  </conditionalFormatting>
  <conditionalFormatting sqref="T1843:T1849">
    <cfRule type="cellIs" dxfId="58" priority="11" operator="greaterThan">
      <formula>0</formula>
    </cfRule>
  </conditionalFormatting>
  <conditionalFormatting sqref="B1810">
    <cfRule type="duplicateValues" dxfId="57" priority="10"/>
  </conditionalFormatting>
  <conditionalFormatting sqref="T1861:T1875 T1889">
    <cfRule type="timePeriod" dxfId="56" priority="9" timePeriod="today">
      <formula>FLOOR(T1861,1)=TODAY()</formula>
    </cfRule>
  </conditionalFormatting>
  <conditionalFormatting sqref="C1861:C1875 C1889">
    <cfRule type="containsText" dxfId="55" priority="8" operator="containsText" text="x">
      <formula>NOT(ISERROR(SEARCH("x",C1861)))</formula>
    </cfRule>
  </conditionalFormatting>
  <conditionalFormatting sqref="T1861:T1875 T1889">
    <cfRule type="cellIs" dxfId="54" priority="7" operator="greaterThan">
      <formula>0</formula>
    </cfRule>
  </conditionalFormatting>
  <conditionalFormatting sqref="T1876:T1888">
    <cfRule type="timePeriod" dxfId="53" priority="6" timePeriod="today">
      <formula>FLOOR(T1876,1)=TODAY()</formula>
    </cfRule>
  </conditionalFormatting>
  <conditionalFormatting sqref="C1876:C1888">
    <cfRule type="containsText" dxfId="52" priority="5" operator="containsText" text="x">
      <formula>NOT(ISERROR(SEARCH("x",C1876)))</formula>
    </cfRule>
  </conditionalFormatting>
  <conditionalFormatting sqref="T1876:T1888">
    <cfRule type="cellIs" dxfId="51" priority="4" operator="greaterThan">
      <formula>0</formula>
    </cfRule>
  </conditionalFormatting>
  <conditionalFormatting sqref="T1956">
    <cfRule type="timePeriod" dxfId="50" priority="3" timePeriod="today">
      <formula>FLOOR(T1956,1)=TODAY()</formula>
    </cfRule>
  </conditionalFormatting>
  <conditionalFormatting sqref="C1956">
    <cfRule type="containsText" dxfId="49" priority="2" operator="containsText" text="x">
      <formula>NOT(ISERROR(SEARCH("x",C1956)))</formula>
    </cfRule>
  </conditionalFormatting>
  <conditionalFormatting sqref="T1956">
    <cfRule type="cellIs" dxfId="48"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14" customWidth="1"/>
    <col min="2" max="3" width="8.36328125" style="814" customWidth="1"/>
    <col min="4" max="4" width="7.90625" style="814" customWidth="1"/>
    <col min="5" max="6" width="7.1796875" style="814" customWidth="1"/>
    <col min="7" max="7" width="9.08984375" style="814" customWidth="1"/>
    <col min="8" max="10" width="8.1796875" style="814" customWidth="1"/>
    <col min="11" max="16" width="10.08984375" style="814" customWidth="1"/>
    <col min="17" max="17" width="8.90625" style="814"/>
    <col min="18" max="19" width="3.36328125" style="814" customWidth="1"/>
    <col min="20" max="20" width="3.6328125" style="814" customWidth="1"/>
    <col min="21" max="21" width="4.6328125" style="814" customWidth="1"/>
    <col min="22" max="22" width="7.36328125" style="814" customWidth="1"/>
    <col min="23" max="24" width="3.36328125" style="814" customWidth="1"/>
    <col min="25" max="16384" width="8.90625" style="814"/>
  </cols>
  <sheetData>
    <row r="1" spans="1:24" ht="27.75" customHeight="1">
      <c r="A1" s="3221" t="s">
        <v>4210</v>
      </c>
      <c r="B1" s="3221"/>
      <c r="C1" s="3221"/>
      <c r="D1" s="3221"/>
      <c r="E1" s="3221"/>
      <c r="F1" s="3221"/>
      <c r="G1" s="3221"/>
      <c r="H1" s="3221"/>
      <c r="I1" s="3221"/>
      <c r="J1" s="3221"/>
      <c r="K1" s="3221"/>
      <c r="L1" s="3221"/>
      <c r="M1" s="3221"/>
      <c r="N1" s="3221"/>
      <c r="O1" s="3221"/>
      <c r="P1" s="3221"/>
      <c r="R1" s="816"/>
    </row>
    <row r="2" spans="1:24" ht="35.25" customHeight="1">
      <c r="A2" s="3220" t="str">
        <f>"Tên công trình: "&amp;Solieu!C6</f>
        <v>Tên công trình: 00</v>
      </c>
      <c r="B2" s="3220"/>
      <c r="C2" s="3220"/>
      <c r="D2" s="3220"/>
      <c r="E2" s="3220"/>
      <c r="F2" s="3220"/>
      <c r="G2" s="3220"/>
      <c r="H2" s="3220"/>
      <c r="I2" s="3220"/>
      <c r="J2" s="3220"/>
      <c r="K2" s="3215" t="str">
        <f>"Đơn vị thi công: "&amp;Solieu!C10</f>
        <v>Đơn vị thi công: x</v>
      </c>
      <c r="L2" s="3215"/>
      <c r="M2" s="3215"/>
      <c r="N2" s="3215"/>
      <c r="O2" s="3215"/>
      <c r="P2" s="3215"/>
    </row>
    <row r="3" spans="1:24" ht="26.25" customHeight="1" thickBot="1">
      <c r="A3" s="3220" t="s">
        <v>4211</v>
      </c>
      <c r="B3" s="3220"/>
      <c r="C3" s="3220"/>
      <c r="D3" s="3220"/>
      <c r="E3" s="3220"/>
      <c r="F3" s="3220"/>
      <c r="G3" s="3220"/>
      <c r="H3" s="3220"/>
      <c r="I3" s="3220"/>
      <c r="J3" s="3220"/>
      <c r="K3" s="3222" t="s">
        <v>4212</v>
      </c>
      <c r="L3" s="3223"/>
      <c r="M3" s="3223"/>
      <c r="N3" s="3223"/>
      <c r="O3" s="3223"/>
      <c r="P3" s="3224"/>
    </row>
    <row r="4" spans="1:24" ht="26.25" customHeight="1" thickTop="1">
      <c r="A4" s="3220" t="s">
        <v>4213</v>
      </c>
      <c r="B4" s="3220"/>
      <c r="C4" s="3220"/>
      <c r="D4" s="3220"/>
      <c r="E4" s="3220"/>
      <c r="F4" s="3220"/>
      <c r="G4" s="3220"/>
      <c r="H4" s="3220"/>
      <c r="I4" s="3220"/>
      <c r="J4" s="3220"/>
      <c r="K4" s="3220"/>
      <c r="L4" s="3220"/>
      <c r="M4" s="3220"/>
      <c r="N4" s="3220"/>
      <c r="O4" s="3220"/>
      <c r="P4" s="3220"/>
      <c r="R4" s="904"/>
      <c r="S4" s="736"/>
      <c r="T4" s="737"/>
      <c r="U4" s="914"/>
      <c r="V4" s="903"/>
      <c r="W4" s="915"/>
      <c r="X4" s="916"/>
    </row>
    <row r="5" spans="1:24" ht="28.5" customHeight="1">
      <c r="A5" s="3215" t="s">
        <v>4214</v>
      </c>
      <c r="B5" s="3215" t="s">
        <v>4215</v>
      </c>
      <c r="C5" s="3215"/>
      <c r="D5" s="3215" t="s">
        <v>4216</v>
      </c>
      <c r="E5" s="859" t="s">
        <v>4217</v>
      </c>
      <c r="F5" s="859"/>
      <c r="G5" s="859"/>
      <c r="H5" s="859"/>
      <c r="I5" s="859"/>
      <c r="J5" s="859"/>
      <c r="K5" s="859"/>
      <c r="L5" s="859"/>
      <c r="M5" s="859"/>
      <c r="N5" s="3216" t="s">
        <v>4218</v>
      </c>
      <c r="O5" s="3215" t="s">
        <v>4219</v>
      </c>
      <c r="P5" s="3215"/>
      <c r="R5" s="904"/>
      <c r="S5" s="736"/>
      <c r="T5" s="737"/>
      <c r="U5" s="917"/>
      <c r="V5" s="902"/>
      <c r="W5" s="901"/>
      <c r="X5" s="902"/>
    </row>
    <row r="6" spans="1:24" ht="28.5" customHeight="1">
      <c r="A6" s="3215"/>
      <c r="B6" s="3215" t="s">
        <v>4220</v>
      </c>
      <c r="C6" s="3215" t="s">
        <v>4221</v>
      </c>
      <c r="D6" s="3215"/>
      <c r="E6" s="3215" t="s">
        <v>4222</v>
      </c>
      <c r="F6" s="3215" t="s">
        <v>4223</v>
      </c>
      <c r="G6" s="3215" t="s">
        <v>4224</v>
      </c>
      <c r="H6" s="3215" t="s">
        <v>4225</v>
      </c>
      <c r="I6" s="3215"/>
      <c r="J6" s="3215" t="s">
        <v>4226</v>
      </c>
      <c r="K6" s="3215"/>
      <c r="L6" s="3215"/>
      <c r="M6" s="3215"/>
      <c r="N6" s="3217"/>
      <c r="O6" s="3215" t="s">
        <v>4227</v>
      </c>
      <c r="P6" s="3215" t="s">
        <v>4228</v>
      </c>
      <c r="R6" s="904"/>
      <c r="S6" s="736"/>
      <c r="T6" s="737"/>
      <c r="U6" s="913"/>
      <c r="V6" s="913"/>
      <c r="W6" s="913"/>
      <c r="X6" s="913"/>
    </row>
    <row r="7" spans="1:24" ht="48" customHeight="1">
      <c r="A7" s="3215"/>
      <c r="B7" s="3215"/>
      <c r="C7" s="3215"/>
      <c r="D7" s="3215"/>
      <c r="E7" s="3215"/>
      <c r="F7" s="3215"/>
      <c r="G7" s="3215"/>
      <c r="H7" s="824" t="s">
        <v>4229</v>
      </c>
      <c r="I7" s="824" t="s">
        <v>4230</v>
      </c>
      <c r="J7" s="824" t="s">
        <v>4231</v>
      </c>
      <c r="K7" s="824" t="s">
        <v>4232</v>
      </c>
      <c r="L7" s="824" t="s">
        <v>4229</v>
      </c>
      <c r="M7" s="824" t="s">
        <v>4233</v>
      </c>
      <c r="N7" s="3218"/>
      <c r="O7" s="3215"/>
      <c r="P7" s="3215"/>
      <c r="Q7" s="814" t="s">
        <v>512</v>
      </c>
      <c r="R7" s="904"/>
      <c r="S7" s="735"/>
      <c r="T7" s="735"/>
      <c r="U7" s="736"/>
      <c r="V7" s="737"/>
      <c r="W7" s="737"/>
      <c r="X7" s="737"/>
    </row>
    <row r="8" spans="1:24" ht="23.25" customHeight="1">
      <c r="A8" s="865"/>
      <c r="B8" s="918" t="s">
        <v>4299</v>
      </c>
      <c r="C8" s="861" t="str">
        <f t="shared" ref="C8:C26" si="0">B8</f>
        <v>01/13</v>
      </c>
      <c r="D8" s="736">
        <v>25</v>
      </c>
      <c r="E8" s="862" t="s">
        <v>4297</v>
      </c>
      <c r="F8" s="863">
        <v>1.2</v>
      </c>
      <c r="G8" s="864" t="s">
        <v>87</v>
      </c>
      <c r="H8" s="862"/>
      <c r="I8" s="862"/>
      <c r="J8" s="862"/>
      <c r="K8" s="862"/>
      <c r="L8" s="862"/>
      <c r="M8" s="862"/>
      <c r="N8" s="862"/>
      <c r="O8" s="862"/>
      <c r="P8" s="862"/>
      <c r="Q8" s="814" t="str">
        <f t="shared" ref="Q8:Q50" si="1">IF(B8&lt;&gt;0,"x","")</f>
        <v>x</v>
      </c>
      <c r="R8" s="904"/>
      <c r="S8" s="735"/>
      <c r="T8" s="735"/>
      <c r="U8" s="736"/>
      <c r="V8" s="737"/>
      <c r="W8" s="737"/>
      <c r="X8" s="737"/>
    </row>
    <row r="9" spans="1:24" ht="23.25" customHeight="1">
      <c r="A9" s="865"/>
      <c r="B9" s="918" t="s">
        <v>4300</v>
      </c>
      <c r="C9" s="861" t="str">
        <f t="shared" si="0"/>
        <v>01/14</v>
      </c>
      <c r="D9" s="736">
        <v>38</v>
      </c>
      <c r="E9" s="862" t="s">
        <v>4297</v>
      </c>
      <c r="F9" s="863">
        <v>1.2</v>
      </c>
      <c r="G9" s="864" t="s">
        <v>87</v>
      </c>
      <c r="H9" s="862"/>
      <c r="I9" s="862"/>
      <c r="J9" s="862"/>
      <c r="K9" s="862"/>
      <c r="L9" s="862"/>
      <c r="M9" s="862"/>
      <c r="N9" s="862"/>
      <c r="O9" s="862"/>
      <c r="P9" s="862"/>
      <c r="Q9" s="814" t="str">
        <f t="shared" si="1"/>
        <v>x</v>
      </c>
      <c r="R9" s="904"/>
      <c r="S9" s="735"/>
      <c r="T9" s="735"/>
      <c r="U9" s="736"/>
      <c r="V9" s="737"/>
      <c r="W9" s="737"/>
      <c r="X9" s="737"/>
    </row>
    <row r="10" spans="1:24" ht="23.25" customHeight="1">
      <c r="A10" s="865"/>
      <c r="B10" s="918" t="s">
        <v>4301</v>
      </c>
      <c r="C10" s="861" t="str">
        <f t="shared" si="0"/>
        <v>01/15</v>
      </c>
      <c r="D10" s="735">
        <v>40</v>
      </c>
      <c r="E10" s="862" t="s">
        <v>4297</v>
      </c>
      <c r="F10" s="863">
        <v>1.2</v>
      </c>
      <c r="G10" s="864" t="s">
        <v>87</v>
      </c>
      <c r="H10" s="862"/>
      <c r="I10" s="862"/>
      <c r="J10" s="862"/>
      <c r="K10" s="862"/>
      <c r="L10" s="862"/>
      <c r="M10" s="862"/>
      <c r="N10" s="862"/>
      <c r="O10" s="862"/>
      <c r="P10" s="862"/>
      <c r="Q10" s="814" t="str">
        <f t="shared" si="1"/>
        <v>x</v>
      </c>
      <c r="R10" s="904"/>
      <c r="S10" s="735"/>
      <c r="T10" s="735"/>
      <c r="U10" s="736"/>
      <c r="V10" s="737"/>
      <c r="W10" s="737"/>
      <c r="X10" s="737"/>
    </row>
    <row r="11" spans="1:24" ht="23.25" customHeight="1">
      <c r="A11" s="865"/>
      <c r="B11" s="918" t="s">
        <v>4302</v>
      </c>
      <c r="C11" s="861" t="str">
        <f t="shared" si="0"/>
        <v>01/16</v>
      </c>
      <c r="D11" s="735">
        <v>40</v>
      </c>
      <c r="E11" s="862" t="s">
        <v>4297</v>
      </c>
      <c r="F11" s="863">
        <v>1.2</v>
      </c>
      <c r="G11" s="864" t="s">
        <v>87</v>
      </c>
      <c r="H11" s="862"/>
      <c r="I11" s="862"/>
      <c r="J11" s="862"/>
      <c r="K11" s="862"/>
      <c r="L11" s="862"/>
      <c r="M11" s="862"/>
      <c r="N11" s="862"/>
      <c r="O11" s="862"/>
      <c r="P11" s="862"/>
      <c r="Q11" s="814" t="str">
        <f t="shared" si="1"/>
        <v>x</v>
      </c>
      <c r="R11" s="904"/>
      <c r="S11" s="735"/>
      <c r="T11" s="735"/>
      <c r="U11" s="736"/>
      <c r="V11" s="737"/>
      <c r="W11" s="737"/>
      <c r="X11" s="737"/>
    </row>
    <row r="12" spans="1:24" ht="23.25" customHeight="1">
      <c r="A12" s="865"/>
      <c r="B12" s="918" t="s">
        <v>4303</v>
      </c>
      <c r="C12" s="861" t="str">
        <f t="shared" si="0"/>
        <v>01/17</v>
      </c>
      <c r="D12" s="735">
        <v>38</v>
      </c>
      <c r="E12" s="862" t="s">
        <v>4297</v>
      </c>
      <c r="F12" s="863">
        <v>1.2</v>
      </c>
      <c r="G12" s="864" t="s">
        <v>87</v>
      </c>
      <c r="H12" s="862"/>
      <c r="I12" s="862"/>
      <c r="J12" s="862"/>
      <c r="K12" s="862"/>
      <c r="L12" s="862"/>
      <c r="M12" s="862"/>
      <c r="N12" s="862"/>
      <c r="O12" s="862"/>
      <c r="P12" s="862"/>
      <c r="Q12" s="814" t="str">
        <f t="shared" si="1"/>
        <v>x</v>
      </c>
      <c r="R12" s="904"/>
      <c r="S12" s="735"/>
      <c r="T12" s="735"/>
      <c r="U12" s="736"/>
      <c r="V12" s="737"/>
      <c r="W12" s="737"/>
      <c r="X12" s="737"/>
    </row>
    <row r="13" spans="1:24" ht="23.25" customHeight="1">
      <c r="A13" s="865"/>
      <c r="B13" s="918" t="s">
        <v>4304</v>
      </c>
      <c r="C13" s="861" t="str">
        <f t="shared" si="0"/>
        <v>01/18</v>
      </c>
      <c r="D13" s="735">
        <v>40</v>
      </c>
      <c r="E13" s="862" t="s">
        <v>4297</v>
      </c>
      <c r="F13" s="863">
        <v>1.2</v>
      </c>
      <c r="G13" s="864" t="s">
        <v>87</v>
      </c>
      <c r="H13" s="862"/>
      <c r="I13" s="862"/>
      <c r="J13" s="862"/>
      <c r="K13" s="862"/>
      <c r="L13" s="862"/>
      <c r="M13" s="862"/>
      <c r="N13" s="862"/>
      <c r="O13" s="862"/>
      <c r="P13" s="862"/>
      <c r="Q13" s="814" t="str">
        <f t="shared" si="1"/>
        <v>x</v>
      </c>
      <c r="R13" s="904"/>
      <c r="S13" s="735"/>
      <c r="T13" s="735"/>
      <c r="U13" s="736"/>
      <c r="V13" s="737"/>
      <c r="W13" s="737"/>
      <c r="X13" s="737"/>
    </row>
    <row r="14" spans="1:24" ht="23.25" customHeight="1">
      <c r="A14" s="865"/>
      <c r="B14" s="918" t="s">
        <v>4305</v>
      </c>
      <c r="C14" s="861" t="str">
        <f t="shared" si="0"/>
        <v>01/19</v>
      </c>
      <c r="D14" s="735">
        <v>40</v>
      </c>
      <c r="E14" s="862" t="s">
        <v>4297</v>
      </c>
      <c r="F14" s="863">
        <v>1.2</v>
      </c>
      <c r="G14" s="864" t="s">
        <v>87</v>
      </c>
      <c r="H14" s="862"/>
      <c r="I14" s="862"/>
      <c r="J14" s="862"/>
      <c r="K14" s="862"/>
      <c r="L14" s="862"/>
      <c r="M14" s="862"/>
      <c r="N14" s="862"/>
      <c r="O14" s="862"/>
      <c r="P14" s="862"/>
      <c r="Q14" s="814" t="str">
        <f t="shared" si="1"/>
        <v>x</v>
      </c>
      <c r="R14" s="904"/>
      <c r="S14" s="735"/>
      <c r="T14" s="735"/>
      <c r="U14" s="736"/>
      <c r="V14" s="737"/>
      <c r="W14" s="737"/>
      <c r="X14" s="737"/>
    </row>
    <row r="15" spans="1:24" ht="28.5" customHeight="1">
      <c r="A15" s="865"/>
      <c r="B15" s="918" t="s">
        <v>4306</v>
      </c>
      <c r="C15" s="861" t="str">
        <f t="shared" si="0"/>
        <v>01/20</v>
      </c>
      <c r="D15" s="735">
        <v>38</v>
      </c>
      <c r="E15" s="862" t="s">
        <v>4297</v>
      </c>
      <c r="F15" s="863">
        <v>1.2</v>
      </c>
      <c r="G15" s="864" t="s">
        <v>87</v>
      </c>
      <c r="H15" s="862"/>
      <c r="I15" s="862"/>
      <c r="J15" s="862"/>
      <c r="K15" s="862"/>
      <c r="L15" s="862"/>
      <c r="M15" s="862"/>
      <c r="N15" s="862"/>
      <c r="O15" s="862"/>
      <c r="P15" s="862"/>
      <c r="Q15" s="814" t="str">
        <f t="shared" si="1"/>
        <v>x</v>
      </c>
      <c r="R15" s="904"/>
      <c r="S15" s="905"/>
      <c r="T15" s="735"/>
    </row>
    <row r="16" spans="1:24" ht="28.5" customHeight="1">
      <c r="A16" s="865"/>
      <c r="B16" s="918" t="s">
        <v>4307</v>
      </c>
      <c r="C16" s="861" t="str">
        <f t="shared" si="0"/>
        <v>01/21</v>
      </c>
      <c r="D16" s="735">
        <v>40</v>
      </c>
      <c r="E16" s="862" t="s">
        <v>4297</v>
      </c>
      <c r="F16" s="863">
        <v>1.2</v>
      </c>
      <c r="G16" s="864" t="s">
        <v>87</v>
      </c>
      <c r="H16" s="862"/>
      <c r="I16" s="862"/>
      <c r="J16" s="862"/>
      <c r="K16" s="862"/>
      <c r="L16" s="862"/>
      <c r="M16" s="862"/>
      <c r="N16" s="862"/>
      <c r="O16" s="862"/>
      <c r="P16" s="862"/>
      <c r="Q16" s="814" t="str">
        <f t="shared" si="1"/>
        <v>x</v>
      </c>
      <c r="R16" s="904"/>
      <c r="S16" s="906"/>
      <c r="T16" s="735"/>
    </row>
    <row r="17" spans="1:20" ht="28.5" customHeight="1">
      <c r="A17" s="865"/>
      <c r="B17" s="918" t="s">
        <v>4308</v>
      </c>
      <c r="C17" s="861" t="str">
        <f t="shared" si="0"/>
        <v>01/22</v>
      </c>
      <c r="D17" s="735">
        <v>40</v>
      </c>
      <c r="E17" s="862" t="s">
        <v>4297</v>
      </c>
      <c r="F17" s="863">
        <v>1.2</v>
      </c>
      <c r="G17" s="864" t="s">
        <v>87</v>
      </c>
      <c r="H17" s="862"/>
      <c r="I17" s="862"/>
      <c r="J17" s="862"/>
      <c r="K17" s="862"/>
      <c r="L17" s="862"/>
      <c r="M17" s="862"/>
      <c r="N17" s="862"/>
      <c r="O17" s="862"/>
      <c r="P17" s="862"/>
      <c r="Q17" s="814" t="str">
        <f t="shared" si="1"/>
        <v>x</v>
      </c>
      <c r="R17" s="904"/>
      <c r="S17" s="906"/>
      <c r="T17" s="735"/>
    </row>
    <row r="18" spans="1:20" ht="28.5" customHeight="1">
      <c r="A18" s="865"/>
      <c r="B18" s="918" t="s">
        <v>4309</v>
      </c>
      <c r="C18" s="861" t="str">
        <f t="shared" si="0"/>
        <v>01/23</v>
      </c>
      <c r="D18" s="735">
        <v>40</v>
      </c>
      <c r="E18" s="862" t="s">
        <v>4297</v>
      </c>
      <c r="F18" s="863">
        <v>1.2</v>
      </c>
      <c r="G18" s="864" t="s">
        <v>87</v>
      </c>
      <c r="H18" s="862"/>
      <c r="I18" s="862"/>
      <c r="J18" s="862"/>
      <c r="K18" s="862"/>
      <c r="L18" s="862"/>
      <c r="M18" s="862"/>
      <c r="N18" s="862"/>
      <c r="O18" s="862"/>
      <c r="P18" s="862"/>
      <c r="Q18" s="814" t="str">
        <f t="shared" si="1"/>
        <v>x</v>
      </c>
      <c r="R18" s="907"/>
      <c r="S18" s="735"/>
      <c r="T18" s="735"/>
    </row>
    <row r="19" spans="1:20" ht="28.5" customHeight="1">
      <c r="A19" s="865"/>
      <c r="B19" s="918" t="s">
        <v>4310</v>
      </c>
      <c r="C19" s="861" t="str">
        <f t="shared" si="0"/>
        <v>01/24</v>
      </c>
      <c r="D19" s="905">
        <v>40</v>
      </c>
      <c r="E19" s="862" t="s">
        <v>4297</v>
      </c>
      <c r="F19" s="863">
        <v>1.2</v>
      </c>
      <c r="G19" s="864" t="s">
        <v>87</v>
      </c>
      <c r="H19" s="862"/>
      <c r="I19" s="862"/>
      <c r="J19" s="862"/>
      <c r="K19" s="862"/>
      <c r="L19" s="862"/>
      <c r="M19" s="862"/>
      <c r="N19" s="862"/>
      <c r="O19" s="862"/>
      <c r="P19" s="862"/>
      <c r="Q19" s="814" t="str">
        <f t="shared" si="1"/>
        <v>x</v>
      </c>
      <c r="R19" s="908"/>
      <c r="S19" s="905"/>
      <c r="T19" s="735"/>
    </row>
    <row r="20" spans="1:20" ht="28.5" customHeight="1">
      <c r="A20" s="865"/>
      <c r="B20" s="918" t="s">
        <v>4311</v>
      </c>
      <c r="C20" s="861" t="str">
        <f t="shared" si="0"/>
        <v>01/25</v>
      </c>
      <c r="D20" s="906">
        <v>38</v>
      </c>
      <c r="E20" s="862" t="s">
        <v>4297</v>
      </c>
      <c r="F20" s="863">
        <v>1.2</v>
      </c>
      <c r="G20" s="864" t="s">
        <v>87</v>
      </c>
      <c r="H20" s="862"/>
      <c r="I20" s="862"/>
      <c r="J20" s="862"/>
      <c r="K20" s="862"/>
      <c r="L20" s="862"/>
      <c r="M20" s="862"/>
      <c r="N20" s="862"/>
      <c r="O20" s="862"/>
      <c r="P20" s="862"/>
      <c r="Q20" s="814" t="str">
        <f t="shared" si="1"/>
        <v>x</v>
      </c>
      <c r="R20" s="904"/>
      <c r="S20" s="535"/>
      <c r="T20" s="735"/>
    </row>
    <row r="21" spans="1:20" ht="28.5" customHeight="1">
      <c r="A21" s="865"/>
      <c r="B21" s="918" t="s">
        <v>4312</v>
      </c>
      <c r="C21" s="861" t="str">
        <f t="shared" si="0"/>
        <v>01/26</v>
      </c>
      <c r="D21" s="906">
        <v>35</v>
      </c>
      <c r="E21" s="862" t="s">
        <v>4297</v>
      </c>
      <c r="F21" s="863">
        <v>1.2</v>
      </c>
      <c r="G21" s="864" t="s">
        <v>87</v>
      </c>
      <c r="H21" s="862"/>
      <c r="I21" s="862"/>
      <c r="J21" s="862"/>
      <c r="K21" s="862"/>
      <c r="L21" s="862"/>
      <c r="M21" s="862"/>
      <c r="N21" s="862"/>
      <c r="O21" s="862"/>
      <c r="P21" s="862"/>
      <c r="Q21" s="814" t="str">
        <f t="shared" si="1"/>
        <v>x</v>
      </c>
      <c r="R21" s="904"/>
      <c r="S21" s="535"/>
      <c r="T21" s="735"/>
    </row>
    <row r="22" spans="1:20" ht="28.5" customHeight="1">
      <c r="A22" s="865"/>
      <c r="B22" s="919" t="s">
        <v>4313</v>
      </c>
      <c r="C22" s="861" t="str">
        <f t="shared" si="0"/>
        <v>01/27</v>
      </c>
      <c r="D22" s="735">
        <v>35</v>
      </c>
      <c r="E22" s="862" t="s">
        <v>4297</v>
      </c>
      <c r="F22" s="863">
        <v>1.2</v>
      </c>
      <c r="G22" s="864" t="s">
        <v>87</v>
      </c>
      <c r="H22" s="862"/>
      <c r="I22" s="862"/>
      <c r="J22" s="862"/>
      <c r="K22" s="862"/>
      <c r="L22" s="862"/>
      <c r="M22" s="862"/>
      <c r="N22" s="862"/>
      <c r="O22" s="862"/>
      <c r="P22" s="862"/>
      <c r="Q22" s="814" t="str">
        <f t="shared" si="1"/>
        <v>x</v>
      </c>
      <c r="R22" s="904"/>
      <c r="S22" s="535"/>
      <c r="T22" s="735"/>
    </row>
    <row r="23" spans="1:20" ht="28.5" customHeight="1">
      <c r="A23" s="865"/>
      <c r="B23" s="920" t="s">
        <v>4314</v>
      </c>
      <c r="C23" s="861" t="str">
        <f t="shared" si="0"/>
        <v>01/28</v>
      </c>
      <c r="D23" s="905">
        <v>38</v>
      </c>
      <c r="E23" s="862" t="s">
        <v>4297</v>
      </c>
      <c r="F23" s="863">
        <v>1.2</v>
      </c>
      <c r="G23" s="864" t="s">
        <v>87</v>
      </c>
      <c r="H23" s="862"/>
      <c r="I23" s="862"/>
      <c r="J23" s="862"/>
      <c r="K23" s="862"/>
      <c r="L23" s="862"/>
      <c r="M23" s="862"/>
      <c r="N23" s="862"/>
      <c r="O23" s="862"/>
      <c r="P23" s="862"/>
      <c r="Q23" s="814" t="str">
        <f t="shared" si="1"/>
        <v>x</v>
      </c>
    </row>
    <row r="24" spans="1:20" ht="28.5" customHeight="1">
      <c r="A24" s="865"/>
      <c r="B24" s="918" t="s">
        <v>4315</v>
      </c>
      <c r="C24" s="861" t="str">
        <f t="shared" si="0"/>
        <v>01/29</v>
      </c>
      <c r="D24" s="535">
        <v>40</v>
      </c>
      <c r="E24" s="862" t="s">
        <v>4297</v>
      </c>
      <c r="F24" s="863">
        <v>1.2</v>
      </c>
      <c r="G24" s="864" t="s">
        <v>87</v>
      </c>
      <c r="H24" s="862"/>
      <c r="I24" s="862"/>
      <c r="J24" s="862"/>
      <c r="K24" s="862"/>
      <c r="L24" s="862"/>
      <c r="M24" s="862"/>
      <c r="N24" s="862"/>
      <c r="O24" s="862"/>
      <c r="P24" s="862"/>
      <c r="Q24" s="814" t="str">
        <f t="shared" si="1"/>
        <v>x</v>
      </c>
    </row>
    <row r="25" spans="1:20" ht="28.5" customHeight="1">
      <c r="A25" s="865"/>
      <c r="B25" s="918" t="s">
        <v>4316</v>
      </c>
      <c r="C25" s="861" t="str">
        <f t="shared" si="0"/>
        <v>01/30</v>
      </c>
      <c r="D25" s="535">
        <v>40</v>
      </c>
      <c r="E25" s="862" t="s">
        <v>4297</v>
      </c>
      <c r="F25" s="863">
        <v>1.2</v>
      </c>
      <c r="G25" s="864" t="s">
        <v>87</v>
      </c>
      <c r="H25" s="862"/>
      <c r="I25" s="862"/>
      <c r="J25" s="862"/>
      <c r="K25" s="862"/>
      <c r="L25" s="862"/>
      <c r="M25" s="862"/>
      <c r="N25" s="862"/>
      <c r="O25" s="862"/>
      <c r="P25" s="862"/>
      <c r="Q25" s="814" t="str">
        <f t="shared" si="1"/>
        <v>x</v>
      </c>
    </row>
    <row r="26" spans="1:20" ht="28.5" customHeight="1">
      <c r="A26" s="865"/>
      <c r="B26" s="918" t="s">
        <v>4317</v>
      </c>
      <c r="C26" s="861" t="str">
        <f t="shared" si="0"/>
        <v>01/31</v>
      </c>
      <c r="D26" s="535">
        <v>40</v>
      </c>
      <c r="E26" s="862" t="s">
        <v>4297</v>
      </c>
      <c r="F26" s="863">
        <v>1.2</v>
      </c>
      <c r="G26" s="864" t="s">
        <v>87</v>
      </c>
      <c r="H26" s="862"/>
      <c r="I26" s="862"/>
      <c r="J26" s="862"/>
      <c r="K26" s="862"/>
      <c r="L26" s="862"/>
      <c r="M26" s="862"/>
      <c r="N26" s="862"/>
      <c r="O26" s="862"/>
      <c r="P26" s="862"/>
      <c r="Q26" s="814" t="str">
        <f t="shared" si="1"/>
        <v>x</v>
      </c>
    </row>
    <row r="27" spans="1:20" ht="28.5" hidden="1" customHeight="1">
      <c r="A27" s="865"/>
      <c r="B27" s="861"/>
      <c r="C27" s="861"/>
      <c r="D27" s="866"/>
      <c r="E27" s="862"/>
      <c r="F27" s="863"/>
      <c r="G27" s="864"/>
      <c r="H27" s="862"/>
      <c r="I27" s="862"/>
      <c r="J27" s="862"/>
      <c r="K27" s="862"/>
      <c r="L27" s="862"/>
      <c r="M27" s="862"/>
      <c r="N27" s="862"/>
      <c r="O27" s="862"/>
      <c r="P27" s="862"/>
      <c r="Q27" s="814" t="str">
        <f t="shared" si="1"/>
        <v/>
      </c>
    </row>
    <row r="28" spans="1:20" ht="28.5" hidden="1" customHeight="1">
      <c r="A28" s="865"/>
      <c r="B28" s="861"/>
      <c r="C28" s="861"/>
      <c r="D28" s="866"/>
      <c r="E28" s="862"/>
      <c r="F28" s="863"/>
      <c r="G28" s="864"/>
      <c r="H28" s="862"/>
      <c r="I28" s="862"/>
      <c r="J28" s="862"/>
      <c r="K28" s="862"/>
      <c r="L28" s="862"/>
      <c r="M28" s="862"/>
      <c r="N28" s="862"/>
      <c r="O28" s="862"/>
      <c r="P28" s="862"/>
      <c r="Q28" s="814" t="str">
        <f t="shared" si="1"/>
        <v/>
      </c>
    </row>
    <row r="29" spans="1:20" ht="28.5" hidden="1" customHeight="1">
      <c r="A29" s="865"/>
      <c r="B29" s="861"/>
      <c r="C29" s="861"/>
      <c r="D29" s="866"/>
      <c r="E29" s="862"/>
      <c r="F29" s="863"/>
      <c r="G29" s="864"/>
      <c r="H29" s="862"/>
      <c r="I29" s="862"/>
      <c r="J29" s="862"/>
      <c r="K29" s="862"/>
      <c r="L29" s="862"/>
      <c r="M29" s="862"/>
      <c r="N29" s="862"/>
      <c r="O29" s="862"/>
      <c r="P29" s="862"/>
      <c r="Q29" s="814" t="str">
        <f t="shared" si="1"/>
        <v/>
      </c>
    </row>
    <row r="30" spans="1:20" ht="28.5" hidden="1" customHeight="1">
      <c r="A30" s="865"/>
      <c r="B30" s="861"/>
      <c r="C30" s="861"/>
      <c r="D30" s="866"/>
      <c r="E30" s="862"/>
      <c r="F30" s="863"/>
      <c r="G30" s="864"/>
      <c r="H30" s="862"/>
      <c r="I30" s="862"/>
      <c r="J30" s="862"/>
      <c r="K30" s="862"/>
      <c r="L30" s="862"/>
      <c r="M30" s="862"/>
      <c r="N30" s="862"/>
      <c r="O30" s="862"/>
      <c r="P30" s="862"/>
      <c r="Q30" s="814" t="str">
        <f t="shared" si="1"/>
        <v/>
      </c>
    </row>
    <row r="31" spans="1:20" ht="28.5" hidden="1" customHeight="1">
      <c r="A31" s="865"/>
      <c r="B31" s="861"/>
      <c r="C31" s="861"/>
      <c r="D31" s="866"/>
      <c r="E31" s="862"/>
      <c r="F31" s="863"/>
      <c r="G31" s="864"/>
      <c r="H31" s="862"/>
      <c r="I31" s="862"/>
      <c r="J31" s="862"/>
      <c r="K31" s="862"/>
      <c r="L31" s="862"/>
      <c r="M31" s="862"/>
      <c r="N31" s="862"/>
      <c r="O31" s="862"/>
      <c r="P31" s="862"/>
      <c r="Q31" s="814" t="str">
        <f t="shared" si="1"/>
        <v/>
      </c>
    </row>
    <row r="32" spans="1:20" ht="28.5" hidden="1" customHeight="1">
      <c r="A32" s="865"/>
      <c r="B32" s="861"/>
      <c r="C32" s="861"/>
      <c r="D32" s="866"/>
      <c r="E32" s="862"/>
      <c r="F32" s="863"/>
      <c r="G32" s="864"/>
      <c r="H32" s="862"/>
      <c r="I32" s="862"/>
      <c r="J32" s="862"/>
      <c r="K32" s="862"/>
      <c r="L32" s="862"/>
      <c r="M32" s="862"/>
      <c r="N32" s="862"/>
      <c r="O32" s="862"/>
      <c r="P32" s="862"/>
      <c r="Q32" s="814" t="str">
        <f t="shared" si="1"/>
        <v/>
      </c>
    </row>
    <row r="33" spans="1:17" ht="28.5" hidden="1" customHeight="1">
      <c r="A33" s="865"/>
      <c r="B33" s="861"/>
      <c r="C33" s="861"/>
      <c r="D33" s="866"/>
      <c r="E33" s="862"/>
      <c r="F33" s="863"/>
      <c r="G33" s="864"/>
      <c r="H33" s="862"/>
      <c r="I33" s="862"/>
      <c r="J33" s="862"/>
      <c r="K33" s="862"/>
      <c r="L33" s="862"/>
      <c r="M33" s="862"/>
      <c r="N33" s="862"/>
      <c r="O33" s="862"/>
      <c r="P33" s="862"/>
      <c r="Q33" s="814" t="str">
        <f t="shared" si="1"/>
        <v/>
      </c>
    </row>
    <row r="34" spans="1:17" ht="28.5" hidden="1" customHeight="1">
      <c r="A34" s="865"/>
      <c r="B34" s="861"/>
      <c r="C34" s="861"/>
      <c r="D34" s="866"/>
      <c r="E34" s="862"/>
      <c r="F34" s="863"/>
      <c r="G34" s="864"/>
      <c r="H34" s="862"/>
      <c r="I34" s="862"/>
      <c r="J34" s="862"/>
      <c r="K34" s="862"/>
      <c r="L34" s="862"/>
      <c r="M34" s="862"/>
      <c r="N34" s="862"/>
      <c r="O34" s="862"/>
      <c r="P34" s="862"/>
      <c r="Q34" s="814" t="str">
        <f t="shared" si="1"/>
        <v/>
      </c>
    </row>
    <row r="35" spans="1:17" ht="28.5" hidden="1" customHeight="1">
      <c r="A35" s="865"/>
      <c r="B35" s="861"/>
      <c r="C35" s="861"/>
      <c r="D35" s="866"/>
      <c r="E35" s="862"/>
      <c r="F35" s="863"/>
      <c r="G35" s="864"/>
      <c r="H35" s="862"/>
      <c r="I35" s="862"/>
      <c r="J35" s="862"/>
      <c r="K35" s="862"/>
      <c r="L35" s="862"/>
      <c r="M35" s="862"/>
      <c r="N35" s="862"/>
      <c r="O35" s="862"/>
      <c r="P35" s="862"/>
      <c r="Q35" s="814" t="str">
        <f t="shared" si="1"/>
        <v/>
      </c>
    </row>
    <row r="36" spans="1:17" ht="28.5" hidden="1" customHeight="1">
      <c r="A36" s="865"/>
      <c r="B36" s="861"/>
      <c r="C36" s="861"/>
      <c r="D36" s="866"/>
      <c r="E36" s="862"/>
      <c r="F36" s="863"/>
      <c r="G36" s="864"/>
      <c r="H36" s="862"/>
      <c r="I36" s="862"/>
      <c r="J36" s="862"/>
      <c r="K36" s="862"/>
      <c r="L36" s="862"/>
      <c r="M36" s="862"/>
      <c r="N36" s="862"/>
      <c r="O36" s="862"/>
      <c r="P36" s="862"/>
      <c r="Q36" s="814" t="str">
        <f t="shared" si="1"/>
        <v/>
      </c>
    </row>
    <row r="37" spans="1:17" ht="28.5" hidden="1" customHeight="1">
      <c r="A37" s="865"/>
      <c r="B37" s="861"/>
      <c r="C37" s="861"/>
      <c r="D37" s="866"/>
      <c r="E37" s="862"/>
      <c r="F37" s="863"/>
      <c r="G37" s="864"/>
      <c r="H37" s="862"/>
      <c r="I37" s="862"/>
      <c r="J37" s="862"/>
      <c r="K37" s="862"/>
      <c r="L37" s="862"/>
      <c r="M37" s="862"/>
      <c r="N37" s="862"/>
      <c r="O37" s="862"/>
      <c r="P37" s="862"/>
      <c r="Q37" s="814" t="str">
        <f t="shared" si="1"/>
        <v/>
      </c>
    </row>
    <row r="38" spans="1:17" ht="28.5" hidden="1" customHeight="1">
      <c r="A38" s="865"/>
      <c r="B38" s="861"/>
      <c r="C38" s="861"/>
      <c r="D38" s="866"/>
      <c r="E38" s="862"/>
      <c r="F38" s="863"/>
      <c r="G38" s="864"/>
      <c r="H38" s="862"/>
      <c r="I38" s="862"/>
      <c r="J38" s="862"/>
      <c r="K38" s="862"/>
      <c r="L38" s="862"/>
      <c r="M38" s="862"/>
      <c r="N38" s="862"/>
      <c r="O38" s="862"/>
      <c r="P38" s="862"/>
      <c r="Q38" s="814" t="str">
        <f t="shared" si="1"/>
        <v/>
      </c>
    </row>
    <row r="39" spans="1:17" ht="28.5" hidden="1" customHeight="1">
      <c r="A39" s="865"/>
      <c r="B39" s="861"/>
      <c r="C39" s="861"/>
      <c r="D39" s="866"/>
      <c r="E39" s="862"/>
      <c r="F39" s="863"/>
      <c r="G39" s="864"/>
      <c r="H39" s="862"/>
      <c r="I39" s="862"/>
      <c r="J39" s="862"/>
      <c r="K39" s="862"/>
      <c r="L39" s="862"/>
      <c r="M39" s="862"/>
      <c r="N39" s="862"/>
      <c r="O39" s="862"/>
      <c r="P39" s="862"/>
      <c r="Q39" s="814" t="str">
        <f t="shared" si="1"/>
        <v/>
      </c>
    </row>
    <row r="40" spans="1:17" ht="28.5" hidden="1" customHeight="1">
      <c r="A40" s="865"/>
      <c r="B40" s="861"/>
      <c r="C40" s="861"/>
      <c r="D40" s="866"/>
      <c r="E40" s="862"/>
      <c r="F40" s="863"/>
      <c r="G40" s="864"/>
      <c r="H40" s="862"/>
      <c r="I40" s="862"/>
      <c r="J40" s="862"/>
      <c r="K40" s="862"/>
      <c r="L40" s="862"/>
      <c r="M40" s="862"/>
      <c r="N40" s="862"/>
      <c r="O40" s="862"/>
      <c r="P40" s="862"/>
      <c r="Q40" s="814" t="str">
        <f t="shared" si="1"/>
        <v/>
      </c>
    </row>
    <row r="41" spans="1:17" ht="28.5" hidden="1" customHeight="1">
      <c r="A41" s="865"/>
      <c r="B41" s="861"/>
      <c r="C41" s="861"/>
      <c r="D41" s="866"/>
      <c r="E41" s="862"/>
      <c r="F41" s="863"/>
      <c r="G41" s="864"/>
      <c r="H41" s="862"/>
      <c r="I41" s="862"/>
      <c r="J41" s="862"/>
      <c r="K41" s="862"/>
      <c r="L41" s="862"/>
      <c r="M41" s="862"/>
      <c r="N41" s="862"/>
      <c r="O41" s="862"/>
      <c r="P41" s="862"/>
      <c r="Q41" s="814" t="str">
        <f t="shared" si="1"/>
        <v/>
      </c>
    </row>
    <row r="42" spans="1:17" ht="28.5" hidden="1" customHeight="1">
      <c r="A42" s="865"/>
      <c r="B42" s="861"/>
      <c r="C42" s="861"/>
      <c r="D42" s="866"/>
      <c r="E42" s="862"/>
      <c r="F42" s="863"/>
      <c r="G42" s="864"/>
      <c r="H42" s="862"/>
      <c r="I42" s="862"/>
      <c r="J42" s="862"/>
      <c r="K42" s="862"/>
      <c r="L42" s="862"/>
      <c r="M42" s="862"/>
      <c r="N42" s="862"/>
      <c r="O42" s="862"/>
      <c r="P42" s="862"/>
      <c r="Q42" s="814" t="str">
        <f t="shared" si="1"/>
        <v/>
      </c>
    </row>
    <row r="43" spans="1:17" ht="28.5" hidden="1" customHeight="1">
      <c r="A43" s="865"/>
      <c r="B43" s="861"/>
      <c r="C43" s="861"/>
      <c r="D43" s="866"/>
      <c r="E43" s="862"/>
      <c r="F43" s="863"/>
      <c r="G43" s="864"/>
      <c r="H43" s="862"/>
      <c r="I43" s="862"/>
      <c r="J43" s="862"/>
      <c r="K43" s="862"/>
      <c r="L43" s="862"/>
      <c r="M43" s="862"/>
      <c r="N43" s="862"/>
      <c r="O43" s="862"/>
      <c r="P43" s="862"/>
      <c r="Q43" s="814" t="str">
        <f t="shared" si="1"/>
        <v/>
      </c>
    </row>
    <row r="44" spans="1:17" ht="28.5" hidden="1" customHeight="1">
      <c r="A44" s="865"/>
      <c r="B44" s="861"/>
      <c r="C44" s="861"/>
      <c r="D44" s="866"/>
      <c r="E44" s="862"/>
      <c r="F44" s="863"/>
      <c r="G44" s="864"/>
      <c r="H44" s="862"/>
      <c r="I44" s="862"/>
      <c r="J44" s="862"/>
      <c r="K44" s="862"/>
      <c r="L44" s="862"/>
      <c r="M44" s="862"/>
      <c r="N44" s="862"/>
      <c r="O44" s="862"/>
      <c r="P44" s="862"/>
      <c r="Q44" s="814" t="str">
        <f t="shared" si="1"/>
        <v/>
      </c>
    </row>
    <row r="45" spans="1:17" ht="28.5" hidden="1" customHeight="1">
      <c r="A45" s="865"/>
      <c r="B45" s="861"/>
      <c r="C45" s="861"/>
      <c r="D45" s="866"/>
      <c r="E45" s="862"/>
      <c r="F45" s="863"/>
      <c r="G45" s="864"/>
      <c r="H45" s="862"/>
      <c r="I45" s="862"/>
      <c r="J45" s="862"/>
      <c r="K45" s="862"/>
      <c r="L45" s="862"/>
      <c r="M45" s="862"/>
      <c r="N45" s="862"/>
      <c r="O45" s="862"/>
      <c r="P45" s="862"/>
      <c r="Q45" s="814" t="str">
        <f t="shared" si="1"/>
        <v/>
      </c>
    </row>
    <row r="46" spans="1:17" ht="28.5" hidden="1" customHeight="1">
      <c r="A46" s="865"/>
      <c r="B46" s="861"/>
      <c r="C46" s="861"/>
      <c r="D46" s="866"/>
      <c r="E46" s="862"/>
      <c r="F46" s="863"/>
      <c r="G46" s="864"/>
      <c r="H46" s="862"/>
      <c r="I46" s="862"/>
      <c r="J46" s="862"/>
      <c r="K46" s="862"/>
      <c r="L46" s="862"/>
      <c r="M46" s="862"/>
      <c r="N46" s="862"/>
      <c r="O46" s="862"/>
      <c r="P46" s="862"/>
      <c r="Q46" s="814" t="str">
        <f t="shared" si="1"/>
        <v/>
      </c>
    </row>
    <row r="47" spans="1:17" ht="28.5" hidden="1" customHeight="1">
      <c r="A47" s="865"/>
      <c r="B47" s="861"/>
      <c r="C47" s="861"/>
      <c r="D47" s="866"/>
      <c r="E47" s="862"/>
      <c r="F47" s="863"/>
      <c r="G47" s="864"/>
      <c r="H47" s="862"/>
      <c r="I47" s="862"/>
      <c r="J47" s="862"/>
      <c r="K47" s="862"/>
      <c r="L47" s="862"/>
      <c r="M47" s="862"/>
      <c r="N47" s="862"/>
      <c r="O47" s="862"/>
      <c r="P47" s="862"/>
      <c r="Q47" s="814" t="str">
        <f t="shared" si="1"/>
        <v/>
      </c>
    </row>
    <row r="48" spans="1:17" ht="28.5" hidden="1" customHeight="1">
      <c r="A48" s="865"/>
      <c r="B48" s="861"/>
      <c r="C48" s="861"/>
      <c r="D48" s="866"/>
      <c r="E48" s="862"/>
      <c r="F48" s="863"/>
      <c r="G48" s="864"/>
      <c r="H48" s="862"/>
      <c r="I48" s="862"/>
      <c r="J48" s="862"/>
      <c r="K48" s="862"/>
      <c r="L48" s="862"/>
      <c r="M48" s="862"/>
      <c r="N48" s="862"/>
      <c r="O48" s="862"/>
      <c r="P48" s="862"/>
      <c r="Q48" s="814" t="str">
        <f t="shared" si="1"/>
        <v/>
      </c>
    </row>
    <row r="49" spans="1:17" ht="28.5" hidden="1" customHeight="1">
      <c r="A49" s="865"/>
      <c r="B49" s="861"/>
      <c r="C49" s="861"/>
      <c r="D49" s="866"/>
      <c r="E49" s="862"/>
      <c r="F49" s="863"/>
      <c r="G49" s="864"/>
      <c r="H49" s="862"/>
      <c r="I49" s="862"/>
      <c r="J49" s="862"/>
      <c r="K49" s="862"/>
      <c r="L49" s="862"/>
      <c r="M49" s="862"/>
      <c r="N49" s="862"/>
      <c r="O49" s="862"/>
      <c r="P49" s="862"/>
      <c r="Q49" s="814" t="str">
        <f t="shared" si="1"/>
        <v/>
      </c>
    </row>
    <row r="50" spans="1:17" ht="28.5" hidden="1" customHeight="1">
      <c r="A50" s="865"/>
      <c r="B50" s="861"/>
      <c r="C50" s="861"/>
      <c r="D50" s="866"/>
      <c r="E50" s="862"/>
      <c r="F50" s="863"/>
      <c r="G50" s="864"/>
      <c r="H50" s="862"/>
      <c r="I50" s="862"/>
      <c r="J50" s="862"/>
      <c r="K50" s="862"/>
      <c r="L50" s="862"/>
      <c r="M50" s="862"/>
      <c r="N50" s="862"/>
      <c r="O50" s="862"/>
      <c r="P50" s="862"/>
      <c r="Q50" s="814" t="str">
        <f t="shared" si="1"/>
        <v/>
      </c>
    </row>
    <row r="51" spans="1:17" ht="23.25" customHeight="1">
      <c r="A51" s="926"/>
      <c r="B51" s="927"/>
      <c r="C51" s="861"/>
      <c r="D51" s="866"/>
      <c r="E51" s="862"/>
      <c r="F51" s="863"/>
      <c r="G51" s="864"/>
      <c r="H51" s="862"/>
      <c r="I51" s="862"/>
      <c r="J51" s="862"/>
      <c r="K51" s="862"/>
      <c r="L51" s="862"/>
      <c r="M51" s="862"/>
      <c r="N51" s="862"/>
      <c r="O51" s="862"/>
      <c r="P51" s="862"/>
    </row>
    <row r="52" spans="1:17" ht="21.75" customHeight="1">
      <c r="A52" s="925"/>
      <c r="B52" s="921"/>
      <c r="C52" s="3219" t="str">
        <f>"- Tổng chiều dài tuyến: "&amp;ROUND(SUM(D8:D50),1)&amp;" m"</f>
        <v>- Tổng chiều dài tuyến: 725 m</v>
      </c>
      <c r="D52" s="3220"/>
      <c r="E52" s="3220"/>
      <c r="F52" s="3220"/>
      <c r="G52" s="3220"/>
      <c r="H52" s="3220"/>
      <c r="I52" s="3220"/>
      <c r="J52" s="3220"/>
      <c r="K52" s="3220"/>
      <c r="L52" s="3220"/>
      <c r="M52" s="3220"/>
      <c r="N52" s="3220"/>
      <c r="O52" s="3220"/>
      <c r="P52" s="3220"/>
    </row>
    <row r="53" spans="1:17" ht="21.75" customHeight="1">
      <c r="A53" s="928" t="s">
        <v>4234</v>
      </c>
      <c r="B53" s="922"/>
      <c r="C53" s="3219" t="str">
        <f>"- Tổng số lượng trụ "&amp;$E$8&amp;"m: "&amp;COUNTIF(E8:E51,$E$8)&amp;" trụ."</f>
        <v>- Tổng số lượng trụ 7,5m: 19 trụ.</v>
      </c>
      <c r="D53" s="3220"/>
      <c r="E53" s="3220"/>
      <c r="F53" s="3220"/>
      <c r="G53" s="3220"/>
      <c r="H53" s="3220"/>
      <c r="I53" s="3220"/>
      <c r="J53" s="3220"/>
      <c r="K53" s="3220"/>
      <c r="L53" s="3220"/>
      <c r="M53" s="3220"/>
      <c r="N53" s="3220"/>
      <c r="O53" s="3220"/>
      <c r="P53" s="3220"/>
    </row>
    <row r="54" spans="1:17" ht="21.75" customHeight="1">
      <c r="A54" s="923"/>
      <c r="B54" s="924"/>
      <c r="C54" s="3219" t="str">
        <f>"- Tổng số lượng móng M7BT đôi: "&amp;TEXT(COUNTIF(G6:G51,"M7BT ĐÔI"),"00")&amp;" móng."</f>
        <v>- Tổng số lượng móng M7BT đôi: 00 móng.</v>
      </c>
      <c r="D54" s="3220"/>
      <c r="E54" s="3220"/>
      <c r="F54" s="3220"/>
      <c r="G54" s="3220"/>
      <c r="H54" s="3220"/>
      <c r="I54" s="3220"/>
      <c r="J54" s="3220"/>
      <c r="K54" s="3220"/>
      <c r="L54" s="3220"/>
      <c r="M54" s="3220"/>
      <c r="N54" s="3220"/>
      <c r="O54" s="3220"/>
      <c r="P54" s="3220"/>
    </row>
    <row r="55" spans="1:17" ht="21.75" hidden="1" customHeight="1">
      <c r="A55" s="923"/>
      <c r="B55" s="924"/>
      <c r="C55" s="3219" t="str">
        <f>"- Tổng số lượng móng M12BT đơn: "&amp;TEXT(COUNTIF(G6:G13,"M12BT ĐƠN"),"00")&amp;" móng."</f>
        <v>- Tổng số lượng móng M12BT đơn: 00 móng.</v>
      </c>
      <c r="D55" s="3220"/>
      <c r="E55" s="3220"/>
      <c r="F55" s="3220"/>
      <c r="G55" s="3220"/>
      <c r="H55" s="3220"/>
      <c r="I55" s="3220"/>
      <c r="J55" s="3220"/>
      <c r="K55" s="3220"/>
      <c r="L55" s="3220"/>
      <c r="M55" s="3220"/>
      <c r="N55" s="3220"/>
      <c r="O55" s="3220"/>
      <c r="P55" s="3220"/>
      <c r="Q55" s="814">
        <f>COUNTIF(G8:G13,"M12BT ĐƠN")</f>
        <v>0</v>
      </c>
    </row>
  </sheetData>
  <autoFilter ref="Q7:Q50" xr:uid="{00000000-0009-0000-0000-000011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14" customWidth="1"/>
    <col min="2" max="3" width="8.90625" style="814" customWidth="1"/>
    <col min="4" max="4" width="7.81640625" style="814" customWidth="1"/>
    <col min="5" max="5" width="7.6328125" style="814" customWidth="1"/>
    <col min="6" max="6" width="6.453125" style="814" customWidth="1"/>
    <col min="7" max="7" width="8.90625" style="814" customWidth="1"/>
    <col min="8" max="8" width="6.36328125" style="814" customWidth="1"/>
    <col min="9" max="9" width="7.36328125" style="814" customWidth="1"/>
    <col min="10" max="10" width="6.90625" style="814" customWidth="1"/>
    <col min="11" max="11" width="8.453125" style="814" customWidth="1"/>
    <col min="12" max="12" width="9.6328125" style="814" customWidth="1"/>
    <col min="13" max="13" width="11.1796875" style="814" customWidth="1"/>
    <col min="14" max="14" width="17.81640625" style="814" customWidth="1"/>
    <col min="15" max="15" width="8.90625" style="814"/>
    <col min="16" max="16" width="11.90625" style="814" customWidth="1"/>
    <col min="17" max="17" width="8.90625" style="814"/>
    <col min="18" max="18" width="0" style="814" hidden="1" customWidth="1"/>
    <col min="19" max="20" width="8.90625" style="825"/>
    <col min="21" max="16384" width="8.90625" style="814"/>
  </cols>
  <sheetData>
    <row r="1" spans="1:20" ht="32.25" customHeight="1">
      <c r="A1" s="3221" t="s">
        <v>4235</v>
      </c>
      <c r="B1" s="3221"/>
      <c r="C1" s="3221"/>
      <c r="D1" s="3221"/>
      <c r="E1" s="3221"/>
      <c r="F1" s="3221"/>
      <c r="G1" s="3221"/>
      <c r="H1" s="3221"/>
      <c r="I1" s="3221"/>
      <c r="J1" s="3221"/>
      <c r="K1" s="3221"/>
      <c r="L1" s="3221"/>
      <c r="M1" s="3221"/>
      <c r="N1" s="3221"/>
      <c r="O1" s="3221"/>
      <c r="P1" s="3221"/>
      <c r="R1" s="816" t="s">
        <v>4141</v>
      </c>
    </row>
    <row r="2" spans="1:20" ht="33.75" customHeight="1">
      <c r="A2" s="3225" t="e">
        <f>"Tên công trình: "&amp;Solieu!#REF!</f>
        <v>#REF!</v>
      </c>
      <c r="B2" s="3226"/>
      <c r="C2" s="3226"/>
      <c r="D2" s="3226"/>
      <c r="E2" s="3226"/>
      <c r="F2" s="3226"/>
      <c r="G2" s="3226"/>
      <c r="H2" s="3226"/>
      <c r="I2" s="3226"/>
      <c r="J2" s="3227"/>
      <c r="K2" s="3215" t="str">
        <f>"Đơn vị thi công: "&amp;Solieu!C10</f>
        <v>Đơn vị thi công: x</v>
      </c>
      <c r="L2" s="3215"/>
      <c r="M2" s="3215"/>
      <c r="N2" s="3215"/>
      <c r="O2" s="3215"/>
      <c r="P2" s="3215"/>
    </row>
    <row r="3" spans="1:20" ht="25.5" customHeight="1">
      <c r="A3" s="3220" t="s">
        <v>4236</v>
      </c>
      <c r="B3" s="3220"/>
      <c r="C3" s="3220"/>
      <c r="D3" s="3220"/>
      <c r="E3" s="3220"/>
      <c r="F3" s="3220"/>
      <c r="G3" s="3220"/>
      <c r="H3" s="3220"/>
      <c r="I3" s="3220"/>
      <c r="J3" s="3220"/>
      <c r="K3" s="3222" t="s">
        <v>4212</v>
      </c>
      <c r="L3" s="3223"/>
      <c r="M3" s="3223"/>
      <c r="N3" s="3223"/>
      <c r="O3" s="3223"/>
      <c r="P3" s="3224"/>
    </row>
    <row r="4" spans="1:20" ht="25.5" customHeight="1">
      <c r="A4" s="3220" t="s">
        <v>4213</v>
      </c>
      <c r="B4" s="3220"/>
      <c r="C4" s="3220"/>
      <c r="D4" s="3220"/>
      <c r="E4" s="3220"/>
      <c r="F4" s="3220"/>
      <c r="G4" s="3220"/>
      <c r="H4" s="3220"/>
      <c r="I4" s="3220"/>
      <c r="J4" s="3220"/>
      <c r="K4" s="3220"/>
      <c r="L4" s="3220"/>
      <c r="M4" s="3220"/>
      <c r="N4" s="3220"/>
      <c r="O4" s="3220"/>
      <c r="P4" s="3220"/>
    </row>
    <row r="5" spans="1:20">
      <c r="A5" s="3215" t="s">
        <v>4214</v>
      </c>
      <c r="B5" s="3215" t="s">
        <v>4237</v>
      </c>
      <c r="C5" s="3215"/>
      <c r="D5" s="3215" t="s">
        <v>3776</v>
      </c>
      <c r="E5" s="3215" t="s">
        <v>4238</v>
      </c>
      <c r="F5" s="3215" t="s">
        <v>4239</v>
      </c>
      <c r="G5" s="3215"/>
      <c r="H5" s="3215" t="s">
        <v>4240</v>
      </c>
      <c r="I5" s="3215"/>
      <c r="J5" s="3215"/>
      <c r="K5" s="3215"/>
      <c r="L5" s="3215" t="s">
        <v>4241</v>
      </c>
      <c r="M5" s="3215"/>
      <c r="N5" s="3215" t="s">
        <v>4218</v>
      </c>
      <c r="O5" s="3215" t="s">
        <v>4219</v>
      </c>
      <c r="P5" s="3215"/>
    </row>
    <row r="6" spans="1:20">
      <c r="A6" s="3215"/>
      <c r="B6" s="3215"/>
      <c r="C6" s="3215"/>
      <c r="D6" s="3215"/>
      <c r="E6" s="3215"/>
      <c r="F6" s="3215"/>
      <c r="G6" s="3215"/>
      <c r="H6" s="3215"/>
      <c r="I6" s="3215"/>
      <c r="J6" s="3215"/>
      <c r="K6" s="3215"/>
      <c r="L6" s="3215"/>
      <c r="M6" s="3215"/>
      <c r="N6" s="3215"/>
      <c r="O6" s="3215"/>
      <c r="P6" s="3215"/>
    </row>
    <row r="7" spans="1:20">
      <c r="A7" s="3215"/>
      <c r="B7" s="3215"/>
      <c r="C7" s="3215"/>
      <c r="D7" s="3215"/>
      <c r="E7" s="3215"/>
      <c r="F7" s="3215"/>
      <c r="G7" s="3215"/>
      <c r="H7" s="3215"/>
      <c r="I7" s="3215"/>
      <c r="J7" s="3215"/>
      <c r="K7" s="3215"/>
      <c r="L7" s="3215"/>
      <c r="M7" s="3215"/>
      <c r="N7" s="3215"/>
      <c r="O7" s="3215"/>
      <c r="P7" s="3215"/>
    </row>
    <row r="8" spans="1:20" ht="69.75" customHeight="1">
      <c r="A8" s="3215"/>
      <c r="B8" s="824" t="s">
        <v>4220</v>
      </c>
      <c r="C8" s="824" t="s">
        <v>4242</v>
      </c>
      <c r="D8" s="3215"/>
      <c r="E8" s="3215"/>
      <c r="F8" s="824" t="s">
        <v>4243</v>
      </c>
      <c r="G8" s="824" t="s">
        <v>4244</v>
      </c>
      <c r="H8" s="824" t="s">
        <v>4245</v>
      </c>
      <c r="I8" s="824" t="s">
        <v>4233</v>
      </c>
      <c r="J8" s="824" t="s">
        <v>4246</v>
      </c>
      <c r="K8" s="868" t="s">
        <v>4233</v>
      </c>
      <c r="L8" s="824" t="s">
        <v>4247</v>
      </c>
      <c r="M8" s="824" t="s">
        <v>4233</v>
      </c>
      <c r="N8" s="3215"/>
      <c r="O8" s="824" t="s">
        <v>4227</v>
      </c>
      <c r="P8" s="824" t="s">
        <v>4228</v>
      </c>
      <c r="Q8" s="869" t="s">
        <v>512</v>
      </c>
      <c r="S8" s="825" t="s">
        <v>663</v>
      </c>
      <c r="T8" s="825" t="s">
        <v>664</v>
      </c>
    </row>
    <row r="9" spans="1:20" ht="33" customHeight="1">
      <c r="A9" s="854"/>
      <c r="B9" s="904" t="s">
        <v>4299</v>
      </c>
      <c r="C9" s="904" t="s">
        <v>4299</v>
      </c>
      <c r="D9" s="736" t="s">
        <v>546</v>
      </c>
      <c r="E9" s="872" t="s">
        <v>633</v>
      </c>
      <c r="F9" s="854"/>
      <c r="G9" s="867"/>
      <c r="H9" s="854"/>
      <c r="I9" s="855"/>
      <c r="J9" s="854"/>
      <c r="K9" s="855"/>
      <c r="L9" s="854"/>
      <c r="M9" s="855"/>
      <c r="N9" s="854"/>
      <c r="O9" s="854"/>
      <c r="P9" s="854"/>
      <c r="Q9" s="814" t="str">
        <f>IF(B9&lt;&gt;0,"x","")</f>
        <v>x</v>
      </c>
      <c r="R9" s="814" t="str">
        <f>LEFT(E9,2)</f>
        <v>CX</v>
      </c>
      <c r="S9" s="825">
        <v>0</v>
      </c>
      <c r="T9" s="825">
        <v>1</v>
      </c>
    </row>
    <row r="10" spans="1:20" ht="37.5" customHeight="1">
      <c r="A10" s="854"/>
      <c r="B10" s="904" t="s">
        <v>4300</v>
      </c>
      <c r="C10" s="904" t="s">
        <v>4300</v>
      </c>
      <c r="D10" s="736" t="s">
        <v>4318</v>
      </c>
      <c r="E10" s="872" t="s">
        <v>633</v>
      </c>
      <c r="F10" s="854"/>
      <c r="G10" s="867"/>
      <c r="H10" s="854"/>
      <c r="I10" s="855"/>
      <c r="J10" s="854"/>
      <c r="K10" s="855"/>
      <c r="L10" s="854"/>
      <c r="M10" s="855"/>
      <c r="N10" s="824"/>
      <c r="O10" s="824"/>
      <c r="P10" s="824"/>
      <c r="Q10" s="814" t="str">
        <f t="shared" ref="Q10:Q24" si="0">IF(B10&lt;&gt;0,"x","")</f>
        <v>x</v>
      </c>
      <c r="R10" s="814" t="str">
        <f t="shared" ref="R10:R24" si="1">LEFT(E10,2)</f>
        <v>CX</v>
      </c>
      <c r="S10" s="825">
        <v>1</v>
      </c>
      <c r="T10" s="825">
        <v>0</v>
      </c>
    </row>
    <row r="11" spans="1:20" ht="37.5" customHeight="1">
      <c r="A11" s="854"/>
      <c r="B11" s="904" t="s">
        <v>4302</v>
      </c>
      <c r="C11" s="904" t="s">
        <v>4302</v>
      </c>
      <c r="D11" s="736" t="s">
        <v>4318</v>
      </c>
      <c r="E11" s="872" t="s">
        <v>633</v>
      </c>
      <c r="F11" s="854"/>
      <c r="G11" s="867"/>
      <c r="H11" s="854"/>
      <c r="I11" s="855"/>
      <c r="J11" s="854"/>
      <c r="K11" s="855"/>
      <c r="L11" s="854"/>
      <c r="M11" s="855"/>
      <c r="N11" s="824"/>
      <c r="O11" s="824"/>
      <c r="P11" s="824"/>
      <c r="Q11" s="814" t="str">
        <f t="shared" si="0"/>
        <v>x</v>
      </c>
      <c r="R11" s="814" t="str">
        <f t="shared" si="1"/>
        <v>CX</v>
      </c>
      <c r="S11" s="825">
        <v>1</v>
      </c>
      <c r="T11" s="825">
        <v>0</v>
      </c>
    </row>
    <row r="12" spans="1:20" ht="37.5" customHeight="1">
      <c r="A12" s="854"/>
      <c r="B12" s="904" t="s">
        <v>4303</v>
      </c>
      <c r="C12" s="904" t="s">
        <v>4303</v>
      </c>
      <c r="D12" s="736" t="s">
        <v>4318</v>
      </c>
      <c r="E12" s="872" t="s">
        <v>633</v>
      </c>
      <c r="F12" s="854"/>
      <c r="G12" s="867"/>
      <c r="H12" s="854"/>
      <c r="I12" s="855"/>
      <c r="J12" s="854"/>
      <c r="K12" s="873"/>
      <c r="L12" s="854"/>
      <c r="M12" s="855"/>
      <c r="N12" s="824"/>
      <c r="O12" s="824"/>
      <c r="P12" s="824"/>
      <c r="Q12" s="814" t="str">
        <f t="shared" si="0"/>
        <v>x</v>
      </c>
      <c r="R12" s="814" t="str">
        <f t="shared" si="1"/>
        <v>CX</v>
      </c>
    </row>
    <row r="13" spans="1:20" ht="37.5" customHeight="1">
      <c r="A13" s="854"/>
      <c r="B13" s="904" t="s">
        <v>4305</v>
      </c>
      <c r="C13" s="904" t="s">
        <v>4305</v>
      </c>
      <c r="D13" s="736" t="s">
        <v>4318</v>
      </c>
      <c r="E13" s="872" t="s">
        <v>633</v>
      </c>
      <c r="F13" s="854"/>
      <c r="G13" s="867"/>
      <c r="H13" s="854"/>
      <c r="I13" s="855"/>
      <c r="J13" s="854"/>
      <c r="K13" s="873"/>
      <c r="L13" s="854"/>
      <c r="M13" s="855"/>
      <c r="N13" s="824"/>
      <c r="O13" s="824"/>
      <c r="P13" s="824"/>
      <c r="Q13" s="814" t="str">
        <f t="shared" si="0"/>
        <v>x</v>
      </c>
      <c r="R13" s="814" t="str">
        <f t="shared" si="1"/>
        <v>CX</v>
      </c>
    </row>
    <row r="14" spans="1:20" ht="37.5" customHeight="1">
      <c r="A14" s="854"/>
      <c r="B14" s="904" t="s">
        <v>4306</v>
      </c>
      <c r="C14" s="904" t="s">
        <v>4306</v>
      </c>
      <c r="D14" s="736" t="s">
        <v>4318</v>
      </c>
      <c r="E14" s="872" t="s">
        <v>633</v>
      </c>
      <c r="F14" s="854"/>
      <c r="G14" s="867"/>
      <c r="H14" s="854"/>
      <c r="I14" s="855"/>
      <c r="J14" s="854"/>
      <c r="K14" s="873"/>
      <c r="L14" s="854"/>
      <c r="M14" s="855"/>
      <c r="N14" s="824"/>
      <c r="O14" s="824"/>
      <c r="P14" s="824"/>
      <c r="Q14" s="814" t="str">
        <f t="shared" si="0"/>
        <v>x</v>
      </c>
      <c r="R14" s="814" t="str">
        <f t="shared" si="1"/>
        <v>CX</v>
      </c>
    </row>
    <row r="15" spans="1:20" ht="37.5" customHeight="1">
      <c r="A15" s="854"/>
      <c r="B15" s="904" t="s">
        <v>4311</v>
      </c>
      <c r="C15" s="904" t="s">
        <v>4311</v>
      </c>
      <c r="D15" s="737" t="s">
        <v>4318</v>
      </c>
      <c r="E15" s="872" t="s">
        <v>633</v>
      </c>
      <c r="F15" s="854"/>
      <c r="G15" s="867"/>
      <c r="H15" s="854"/>
      <c r="I15" s="855"/>
      <c r="J15" s="854"/>
      <c r="K15" s="873"/>
      <c r="L15" s="854"/>
      <c r="M15" s="855"/>
      <c r="N15" s="824"/>
      <c r="O15" s="824"/>
      <c r="P15" s="824"/>
      <c r="Q15" s="814" t="str">
        <f t="shared" si="0"/>
        <v>x</v>
      </c>
      <c r="R15" s="814" t="str">
        <f t="shared" si="1"/>
        <v>CX</v>
      </c>
    </row>
    <row r="16" spans="1:20" ht="37.5" customHeight="1">
      <c r="A16" s="854"/>
      <c r="B16" s="904" t="s">
        <v>4312</v>
      </c>
      <c r="C16" s="904" t="s">
        <v>4312</v>
      </c>
      <c r="D16" s="737" t="s">
        <v>4318</v>
      </c>
      <c r="E16" s="872" t="s">
        <v>633</v>
      </c>
      <c r="F16" s="854"/>
      <c r="G16" s="867"/>
      <c r="H16" s="854"/>
      <c r="I16" s="855"/>
      <c r="J16" s="854"/>
      <c r="K16" s="873"/>
      <c r="L16" s="854"/>
      <c r="M16" s="855"/>
      <c r="N16" s="824"/>
      <c r="O16" s="824"/>
      <c r="P16" s="824"/>
      <c r="Q16" s="814" t="str">
        <f t="shared" si="0"/>
        <v>x</v>
      </c>
      <c r="R16" s="814" t="str">
        <f t="shared" si="1"/>
        <v>CX</v>
      </c>
    </row>
    <row r="17" spans="1:18" ht="37.5" customHeight="1">
      <c r="A17" s="854"/>
      <c r="B17" s="904" t="s">
        <v>4317</v>
      </c>
      <c r="C17" s="904" t="s">
        <v>4317</v>
      </c>
      <c r="D17" s="735" t="s">
        <v>1107</v>
      </c>
      <c r="E17" s="872" t="s">
        <v>633</v>
      </c>
      <c r="F17" s="854"/>
      <c r="G17" s="867"/>
      <c r="H17" s="854"/>
      <c r="I17" s="855"/>
      <c r="J17" s="854"/>
      <c r="K17" s="873"/>
      <c r="L17" s="854"/>
      <c r="M17" s="855"/>
      <c r="N17" s="824"/>
      <c r="O17" s="824"/>
      <c r="P17" s="824"/>
      <c r="Q17" s="814" t="str">
        <f t="shared" si="0"/>
        <v>x</v>
      </c>
      <c r="R17" s="814" t="str">
        <f t="shared" si="1"/>
        <v>CX</v>
      </c>
    </row>
    <row r="18" spans="1:18" ht="37.5" hidden="1" customHeight="1">
      <c r="A18" s="854"/>
      <c r="B18" s="870"/>
      <c r="C18" s="870"/>
      <c r="D18" s="871"/>
      <c r="E18" s="872"/>
      <c r="F18" s="854"/>
      <c r="G18" s="867"/>
      <c r="H18" s="854"/>
      <c r="I18" s="855"/>
      <c r="J18" s="854"/>
      <c r="K18" s="873"/>
      <c r="L18" s="854"/>
      <c r="M18" s="855"/>
      <c r="N18" s="824"/>
      <c r="O18" s="824"/>
      <c r="P18" s="824"/>
      <c r="Q18" s="814" t="str">
        <f t="shared" si="0"/>
        <v/>
      </c>
      <c r="R18" s="814" t="str">
        <f t="shared" si="1"/>
        <v/>
      </c>
    </row>
    <row r="19" spans="1:18" ht="37.5" hidden="1" customHeight="1">
      <c r="A19" s="854"/>
      <c r="B19" s="870"/>
      <c r="C19" s="870"/>
      <c r="D19" s="871"/>
      <c r="E19" s="872"/>
      <c r="F19" s="854"/>
      <c r="G19" s="867"/>
      <c r="H19" s="854"/>
      <c r="I19" s="855"/>
      <c r="J19" s="854"/>
      <c r="K19" s="873"/>
      <c r="L19" s="854"/>
      <c r="M19" s="855"/>
      <c r="N19" s="824"/>
      <c r="O19" s="824"/>
      <c r="P19" s="824"/>
      <c r="Q19" s="814" t="str">
        <f t="shared" si="0"/>
        <v/>
      </c>
      <c r="R19" s="814" t="str">
        <f t="shared" si="1"/>
        <v/>
      </c>
    </row>
    <row r="20" spans="1:18" ht="37.5" hidden="1" customHeight="1">
      <c r="A20" s="854"/>
      <c r="B20" s="870"/>
      <c r="C20" s="870"/>
      <c r="D20" s="871"/>
      <c r="E20" s="872"/>
      <c r="F20" s="854"/>
      <c r="G20" s="867"/>
      <c r="H20" s="854"/>
      <c r="I20" s="855"/>
      <c r="J20" s="854"/>
      <c r="K20" s="873"/>
      <c r="L20" s="854"/>
      <c r="M20" s="855"/>
      <c r="N20" s="824"/>
      <c r="O20" s="824"/>
      <c r="P20" s="824"/>
      <c r="Q20" s="814" t="str">
        <f t="shared" si="0"/>
        <v/>
      </c>
      <c r="R20" s="814" t="str">
        <f t="shared" si="1"/>
        <v/>
      </c>
    </row>
    <row r="21" spans="1:18" ht="37.5" hidden="1" customHeight="1">
      <c r="A21" s="854"/>
      <c r="B21" s="870"/>
      <c r="C21" s="870"/>
      <c r="D21" s="871"/>
      <c r="E21" s="872"/>
      <c r="F21" s="854"/>
      <c r="G21" s="867"/>
      <c r="H21" s="854"/>
      <c r="I21" s="855"/>
      <c r="J21" s="854"/>
      <c r="K21" s="873"/>
      <c r="L21" s="854"/>
      <c r="M21" s="855"/>
      <c r="N21" s="824"/>
      <c r="O21" s="824"/>
      <c r="P21" s="824"/>
      <c r="Q21" s="814" t="str">
        <f t="shared" si="0"/>
        <v/>
      </c>
      <c r="R21" s="814" t="str">
        <f t="shared" si="1"/>
        <v/>
      </c>
    </row>
    <row r="22" spans="1:18" ht="37.5" hidden="1" customHeight="1">
      <c r="A22" s="854"/>
      <c r="B22" s="870"/>
      <c r="C22" s="870"/>
      <c r="D22" s="871"/>
      <c r="E22" s="872"/>
      <c r="F22" s="854"/>
      <c r="G22" s="867"/>
      <c r="H22" s="854"/>
      <c r="I22" s="855"/>
      <c r="J22" s="854"/>
      <c r="K22" s="873"/>
      <c r="L22" s="854"/>
      <c r="M22" s="855"/>
      <c r="N22" s="824"/>
      <c r="O22" s="824"/>
      <c r="P22" s="824"/>
      <c r="Q22" s="814" t="str">
        <f t="shared" si="0"/>
        <v/>
      </c>
      <c r="R22" s="814" t="str">
        <f t="shared" si="1"/>
        <v/>
      </c>
    </row>
    <row r="23" spans="1:18" ht="37.5" hidden="1" customHeight="1">
      <c r="A23" s="854"/>
      <c r="B23" s="870"/>
      <c r="C23" s="870"/>
      <c r="D23" s="871"/>
      <c r="E23" s="872"/>
      <c r="F23" s="854"/>
      <c r="G23" s="867"/>
      <c r="H23" s="854"/>
      <c r="I23" s="855"/>
      <c r="J23" s="854"/>
      <c r="K23" s="873"/>
      <c r="L23" s="854"/>
      <c r="M23" s="855"/>
      <c r="N23" s="824"/>
      <c r="O23" s="824"/>
      <c r="P23" s="824"/>
      <c r="Q23" s="814" t="str">
        <f t="shared" si="0"/>
        <v/>
      </c>
      <c r="R23" s="814" t="str">
        <f t="shared" si="1"/>
        <v/>
      </c>
    </row>
    <row r="24" spans="1:18" ht="37.5" hidden="1" customHeight="1">
      <c r="A24" s="854"/>
      <c r="B24" s="870"/>
      <c r="C24" s="870"/>
      <c r="D24" s="871"/>
      <c r="E24" s="872"/>
      <c r="F24" s="854"/>
      <c r="G24" s="867"/>
      <c r="H24" s="854"/>
      <c r="I24" s="855"/>
      <c r="J24" s="854"/>
      <c r="K24" s="873"/>
      <c r="L24" s="854"/>
      <c r="M24" s="855"/>
      <c r="N24" s="824"/>
      <c r="O24" s="824"/>
      <c r="P24" s="824"/>
      <c r="Q24" s="814" t="str">
        <f t="shared" si="0"/>
        <v/>
      </c>
      <c r="R24" s="814" t="str">
        <f t="shared" si="1"/>
        <v/>
      </c>
    </row>
    <row r="25" spans="1:18" ht="37.5" customHeight="1">
      <c r="A25" s="854"/>
      <c r="B25" s="870"/>
      <c r="C25" s="870"/>
      <c r="D25" s="871"/>
      <c r="E25" s="854"/>
      <c r="F25" s="854"/>
      <c r="G25" s="867"/>
      <c r="H25" s="854"/>
      <c r="I25" s="855"/>
      <c r="J25" s="854"/>
      <c r="K25" s="873"/>
      <c r="L25" s="854"/>
      <c r="M25" s="855"/>
      <c r="N25" s="824"/>
      <c r="O25" s="824"/>
      <c r="P25" s="824"/>
    </row>
    <row r="26" spans="1:18" ht="28.5" customHeight="1">
      <c r="A26" s="3220" t="str">
        <f>"Tổng cộng: "&amp;TEXT((17-COUNTBLANK(B9:B25)),"00")&amp;" bộ."</f>
        <v>Tổng cộng: 09 bộ.</v>
      </c>
      <c r="B26" s="3220"/>
      <c r="C26" s="3220"/>
      <c r="D26" s="874"/>
      <c r="E26" s="874"/>
      <c r="F26" s="874"/>
      <c r="G26" s="874"/>
      <c r="H26" s="874"/>
      <c r="I26" s="874"/>
      <c r="J26" s="874"/>
      <c r="K26" s="875"/>
      <c r="L26" s="874"/>
      <c r="M26" s="874"/>
      <c r="N26" s="874"/>
      <c r="O26" s="874"/>
      <c r="P26" s="874"/>
    </row>
    <row r="27" spans="1:18" ht="28.5" customHeight="1">
      <c r="A27" s="3220" t="s">
        <v>4248</v>
      </c>
      <c r="B27" s="3220"/>
      <c r="C27" s="3220"/>
      <c r="D27" s="3220" t="str">
        <f>"NXL:  "&amp;TEXT(COUNTIF(R:R,"CL"),"00")&amp;" bộ."</f>
        <v>NXL:  00 bộ.</v>
      </c>
      <c r="E27" s="3220"/>
      <c r="F27" s="3220"/>
      <c r="G27" s="3220"/>
      <c r="H27" s="3220"/>
      <c r="I27" s="3220"/>
      <c r="J27" s="3220"/>
      <c r="K27" s="3220"/>
      <c r="L27" s="3220"/>
      <c r="M27" s="3220"/>
      <c r="N27" s="3220"/>
      <c r="O27" s="3220"/>
      <c r="P27" s="3220"/>
    </row>
    <row r="28" spans="1:18" ht="28.5" customHeight="1">
      <c r="A28" s="3220"/>
      <c r="B28" s="3220"/>
      <c r="C28" s="3220"/>
      <c r="D28" s="3220" t="str">
        <f>"NXX:  "&amp;TEXT(COUNTIF(R:R,"CX"),"00")&amp;" bộ."</f>
        <v>NXX:  09 bộ.</v>
      </c>
      <c r="E28" s="3220"/>
      <c r="F28" s="3220"/>
      <c r="G28" s="3220"/>
      <c r="H28" s="3220"/>
      <c r="I28" s="3220"/>
      <c r="J28" s="3220"/>
      <c r="K28" s="3220"/>
      <c r="L28" s="3220"/>
      <c r="M28" s="3220"/>
      <c r="N28" s="3220"/>
      <c r="O28" s="3220"/>
      <c r="P28" s="3220"/>
    </row>
    <row r="29" spans="1:18">
      <c r="A29" s="815"/>
      <c r="B29" s="815"/>
      <c r="C29" s="815"/>
      <c r="D29" s="815"/>
      <c r="E29" s="815"/>
      <c r="F29" s="815"/>
    </row>
  </sheetData>
  <autoFilter ref="Q8:Q24" xr:uid="{00000000-0009-0000-0000-000012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2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18"/>
  <sheetViews>
    <sheetView showZeros="0" workbookViewId="0">
      <selection activeCell="O3" sqref="O3:T3"/>
    </sheetView>
  </sheetViews>
  <sheetFormatPr defaultColWidth="8.90625" defaultRowHeight="14.4"/>
  <cols>
    <col min="1" max="1" width="13.08984375" style="814" customWidth="1"/>
    <col min="2" max="2" width="6.1796875" style="814" customWidth="1"/>
    <col min="3" max="3" width="5.90625" style="814" customWidth="1"/>
    <col min="4" max="4" width="7.1796875" style="814" customWidth="1"/>
    <col min="5" max="5" width="6.36328125" style="814" customWidth="1"/>
    <col min="6" max="6" width="6.81640625" style="814" customWidth="1"/>
    <col min="7" max="11" width="6.6328125" style="814" customWidth="1"/>
    <col min="12" max="12" width="6.81640625" style="814" customWidth="1"/>
    <col min="13" max="14" width="7.08984375" style="814" customWidth="1"/>
    <col min="15" max="15" width="8.6328125" style="814" customWidth="1"/>
    <col min="16" max="16" width="7.36328125" style="814" customWidth="1"/>
    <col min="17" max="17" width="7.08984375" style="814" customWidth="1"/>
    <col min="18" max="20" width="11.08984375" style="814" customWidth="1"/>
    <col min="21" max="16384" width="8.90625" style="814"/>
  </cols>
  <sheetData>
    <row r="1" spans="1:30" ht="32.25" customHeight="1">
      <c r="A1" s="3228" t="s">
        <v>4249</v>
      </c>
      <c r="B1" s="3228"/>
      <c r="C1" s="3228"/>
      <c r="D1" s="3228"/>
      <c r="E1" s="3228"/>
      <c r="F1" s="3228"/>
      <c r="G1" s="3228"/>
      <c r="H1" s="3228"/>
      <c r="I1" s="3228"/>
      <c r="J1" s="3228"/>
      <c r="K1" s="3228"/>
      <c r="L1" s="3228"/>
      <c r="M1" s="3228"/>
      <c r="N1" s="3228"/>
      <c r="O1" s="3228"/>
      <c r="P1" s="3228"/>
      <c r="Q1" s="3228"/>
      <c r="R1" s="3228"/>
      <c r="S1" s="3228"/>
      <c r="T1" s="3228"/>
      <c r="V1" s="816" t="s">
        <v>4141</v>
      </c>
    </row>
    <row r="2" spans="1:30" ht="33" customHeight="1">
      <c r="A2" s="3225" t="e">
        <f>"Tên công trình: "&amp;Solieu!#REF!</f>
        <v>#REF!</v>
      </c>
      <c r="B2" s="3226"/>
      <c r="C2" s="3226"/>
      <c r="D2" s="3226"/>
      <c r="E2" s="3226"/>
      <c r="F2" s="3226"/>
      <c r="G2" s="3226"/>
      <c r="H2" s="3226"/>
      <c r="I2" s="3226"/>
      <c r="J2" s="3226"/>
      <c r="K2" s="3226"/>
      <c r="L2" s="3226"/>
      <c r="M2" s="3226"/>
      <c r="N2" s="3227"/>
      <c r="O2" s="3229" t="str">
        <f>"Đơn vị thi công: "&amp;Solieu!C10</f>
        <v>Đơn vị thi công: x</v>
      </c>
      <c r="P2" s="3230"/>
      <c r="Q2" s="3230"/>
      <c r="R2" s="3230"/>
      <c r="S2" s="3230"/>
      <c r="T2" s="3231"/>
    </row>
    <row r="3" spans="1:30" ht="31.5" customHeight="1">
      <c r="A3" s="3225" t="s">
        <v>4250</v>
      </c>
      <c r="B3" s="3226"/>
      <c r="C3" s="3226"/>
      <c r="D3" s="3226"/>
      <c r="E3" s="3226"/>
      <c r="F3" s="3226"/>
      <c r="G3" s="3226"/>
      <c r="H3" s="3226"/>
      <c r="I3" s="3226"/>
      <c r="J3" s="3226"/>
      <c r="K3" s="3226"/>
      <c r="L3" s="3226"/>
      <c r="M3" s="3226"/>
      <c r="N3" s="3227"/>
      <c r="O3" s="3215" t="s">
        <v>4251</v>
      </c>
      <c r="P3" s="3215"/>
      <c r="Q3" s="3215"/>
      <c r="R3" s="3215"/>
      <c r="S3" s="3215"/>
      <c r="T3" s="3215"/>
    </row>
    <row r="4" spans="1:30" ht="15.6">
      <c r="A4" s="3220" t="s">
        <v>4213</v>
      </c>
      <c r="B4" s="3220"/>
      <c r="C4" s="3220"/>
      <c r="D4" s="3220"/>
      <c r="E4" s="3220"/>
      <c r="F4" s="3220"/>
      <c r="G4" s="3220"/>
      <c r="H4" s="3220"/>
      <c r="I4" s="3220"/>
      <c r="J4" s="3220"/>
      <c r="K4" s="3220"/>
      <c r="L4" s="3220"/>
      <c r="M4" s="3220"/>
      <c r="N4" s="3220"/>
      <c r="O4" s="3220"/>
      <c r="P4" s="3220"/>
      <c r="Q4" s="3220"/>
      <c r="R4" s="3220"/>
      <c r="S4" s="3220"/>
      <c r="T4" s="3220"/>
    </row>
    <row r="5" spans="1:30" ht="32.25" customHeight="1">
      <c r="A5" s="3232" t="s">
        <v>4214</v>
      </c>
      <c r="B5" s="3232" t="s">
        <v>4252</v>
      </c>
      <c r="C5" s="3232"/>
      <c r="D5" s="3232" t="s">
        <v>3776</v>
      </c>
      <c r="E5" s="3232" t="s">
        <v>3287</v>
      </c>
      <c r="F5" s="3232"/>
      <c r="G5" s="3232" t="s">
        <v>4253</v>
      </c>
      <c r="H5" s="3232"/>
      <c r="I5" s="3232"/>
      <c r="J5" s="3232"/>
      <c r="K5" s="3232"/>
      <c r="L5" s="3232" t="s">
        <v>4254</v>
      </c>
      <c r="M5" s="3232"/>
      <c r="N5" s="3232"/>
      <c r="O5" s="3232" t="s">
        <v>4255</v>
      </c>
      <c r="P5" s="3232"/>
      <c r="Q5" s="3232"/>
      <c r="R5" s="3232" t="s">
        <v>4256</v>
      </c>
      <c r="S5" s="3232" t="s">
        <v>4219</v>
      </c>
      <c r="T5" s="3232"/>
    </row>
    <row r="6" spans="1:30" ht="35.25" customHeight="1">
      <c r="A6" s="3232"/>
      <c r="B6" s="3232" t="s">
        <v>4257</v>
      </c>
      <c r="C6" s="3232" t="s">
        <v>4242</v>
      </c>
      <c r="D6" s="3232"/>
      <c r="E6" s="3232" t="s">
        <v>4258</v>
      </c>
      <c r="F6" s="3232" t="s">
        <v>4259</v>
      </c>
      <c r="G6" s="3232" t="s">
        <v>4260</v>
      </c>
      <c r="H6" s="3232" t="s">
        <v>4261</v>
      </c>
      <c r="I6" s="3232" t="s">
        <v>4262</v>
      </c>
      <c r="J6" s="3232" t="s">
        <v>4263</v>
      </c>
      <c r="K6" s="3232" t="s">
        <v>4264</v>
      </c>
      <c r="L6" s="3232" t="s">
        <v>4265</v>
      </c>
      <c r="M6" s="3232" t="s">
        <v>4266</v>
      </c>
      <c r="N6" s="3232"/>
      <c r="O6" s="3232" t="s">
        <v>4267</v>
      </c>
      <c r="P6" s="3232" t="s">
        <v>4268</v>
      </c>
      <c r="Q6" s="3232" t="s">
        <v>4269</v>
      </c>
      <c r="R6" s="3232"/>
      <c r="S6" s="3232" t="s">
        <v>4270</v>
      </c>
      <c r="T6" s="3232" t="s">
        <v>4271</v>
      </c>
      <c r="U6" s="876">
        <v>17</v>
      </c>
      <c r="V6" s="876">
        <v>18</v>
      </c>
      <c r="W6" s="876">
        <v>19</v>
      </c>
      <c r="X6" s="876">
        <v>20</v>
      </c>
      <c r="Y6" s="876">
        <v>21</v>
      </c>
      <c r="Z6" s="876">
        <v>22</v>
      </c>
      <c r="AA6" s="876">
        <v>23</v>
      </c>
      <c r="AB6" s="876">
        <v>24</v>
      </c>
      <c r="AC6" s="876">
        <v>25</v>
      </c>
      <c r="AD6" s="876">
        <v>28</v>
      </c>
    </row>
    <row r="7" spans="1:30" ht="61.5" customHeight="1">
      <c r="A7" s="3232"/>
      <c r="B7" s="3232"/>
      <c r="C7" s="3232"/>
      <c r="D7" s="3232"/>
      <c r="E7" s="3232"/>
      <c r="F7" s="3232"/>
      <c r="G7" s="3232"/>
      <c r="H7" s="3232"/>
      <c r="I7" s="3232"/>
      <c r="J7" s="3232"/>
      <c r="K7" s="3232"/>
      <c r="L7" s="3232"/>
      <c r="M7" s="852" t="s">
        <v>4272</v>
      </c>
      <c r="N7" s="852" t="s">
        <v>4233</v>
      </c>
      <c r="O7" s="3232"/>
      <c r="P7" s="3232"/>
      <c r="Q7" s="3232"/>
      <c r="R7" s="3232"/>
      <c r="S7" s="3232"/>
      <c r="T7" s="3232"/>
      <c r="U7" s="877" t="s">
        <v>2294</v>
      </c>
      <c r="V7" s="877" t="s">
        <v>2295</v>
      </c>
      <c r="W7" s="878" t="s">
        <v>2293</v>
      </c>
      <c r="X7" s="878" t="s">
        <v>2119</v>
      </c>
      <c r="Y7" s="878" t="s">
        <v>894</v>
      </c>
      <c r="Z7" s="879" t="s">
        <v>3885</v>
      </c>
      <c r="AA7" s="879" t="s">
        <v>4073</v>
      </c>
      <c r="AB7" s="879" t="s">
        <v>3786</v>
      </c>
      <c r="AC7" s="879" t="s">
        <v>4077</v>
      </c>
      <c r="AD7" s="879" t="s">
        <v>4078</v>
      </c>
    </row>
    <row r="8" spans="1:30" s="823" customFormat="1" ht="21" customHeight="1">
      <c r="A8" s="852" t="str">
        <f>"("&amp;COLUMN()&amp;")"</f>
        <v>(1)</v>
      </c>
      <c r="B8" s="852" t="str">
        <f t="shared" ref="B8:T8" si="0">"("&amp;COLUMN()&amp;")"</f>
        <v>(2)</v>
      </c>
      <c r="C8" s="852" t="str">
        <f t="shared" si="0"/>
        <v>(3)</v>
      </c>
      <c r="D8" s="852" t="str">
        <f t="shared" si="0"/>
        <v>(4)</v>
      </c>
      <c r="E8" s="852" t="str">
        <f t="shared" si="0"/>
        <v>(5)</v>
      </c>
      <c r="F8" s="852" t="str">
        <f t="shared" si="0"/>
        <v>(6)</v>
      </c>
      <c r="G8" s="852" t="str">
        <f t="shared" si="0"/>
        <v>(7)</v>
      </c>
      <c r="H8" s="852" t="str">
        <f t="shared" si="0"/>
        <v>(8)</v>
      </c>
      <c r="I8" s="852" t="str">
        <f t="shared" si="0"/>
        <v>(9)</v>
      </c>
      <c r="J8" s="852" t="str">
        <f t="shared" si="0"/>
        <v>(10)</v>
      </c>
      <c r="K8" s="852" t="str">
        <f t="shared" si="0"/>
        <v>(11)</v>
      </c>
      <c r="L8" s="852" t="str">
        <f t="shared" si="0"/>
        <v>(12)</v>
      </c>
      <c r="M8" s="852" t="str">
        <f t="shared" si="0"/>
        <v>(13)</v>
      </c>
      <c r="N8" s="852" t="str">
        <f t="shared" si="0"/>
        <v>(14)</v>
      </c>
      <c r="O8" s="852" t="str">
        <f t="shared" si="0"/>
        <v>(15)</v>
      </c>
      <c r="P8" s="852" t="str">
        <f t="shared" si="0"/>
        <v>(16)</v>
      </c>
      <c r="Q8" s="852" t="str">
        <f t="shared" si="0"/>
        <v>(17)</v>
      </c>
      <c r="R8" s="852" t="str">
        <f t="shared" si="0"/>
        <v>(18)</v>
      </c>
      <c r="S8" s="852" t="str">
        <f t="shared" si="0"/>
        <v>(19)</v>
      </c>
      <c r="T8" s="852" t="str">
        <f t="shared" si="0"/>
        <v>(20)</v>
      </c>
      <c r="U8" s="880"/>
      <c r="V8" s="880"/>
      <c r="W8" s="880"/>
      <c r="X8" s="880"/>
      <c r="Y8" s="880"/>
      <c r="Z8" s="880"/>
      <c r="AA8" s="880"/>
      <c r="AB8" s="880"/>
      <c r="AC8" s="880"/>
      <c r="AD8" s="880"/>
    </row>
    <row r="9" spans="1:30" s="887" customFormat="1" ht="24.9" customHeight="1">
      <c r="A9" s="860"/>
      <c r="B9" s="881"/>
      <c r="C9" s="881"/>
      <c r="D9" s="866"/>
      <c r="E9" s="882"/>
      <c r="F9" s="883"/>
      <c r="G9" s="883"/>
      <c r="H9" s="883"/>
      <c r="I9" s="884"/>
      <c r="J9" s="883"/>
      <c r="K9" s="883"/>
      <c r="L9" s="884"/>
      <c r="M9" s="883"/>
      <c r="N9" s="884"/>
      <c r="O9" s="862"/>
      <c r="P9" s="866"/>
      <c r="Q9" s="862"/>
      <c r="R9" s="885"/>
      <c r="S9" s="885"/>
      <c r="T9" s="885"/>
      <c r="U9" s="886">
        <v>0</v>
      </c>
      <c r="V9" s="886">
        <v>1</v>
      </c>
      <c r="W9" s="886">
        <v>0</v>
      </c>
      <c r="X9" s="886">
        <v>0</v>
      </c>
      <c r="Y9" s="886">
        <v>0</v>
      </c>
      <c r="Z9" s="886">
        <v>2</v>
      </c>
      <c r="AA9" s="886">
        <v>3</v>
      </c>
      <c r="AB9" s="886">
        <v>1</v>
      </c>
      <c r="AC9" s="886">
        <v>1</v>
      </c>
      <c r="AD9" s="886">
        <v>2</v>
      </c>
    </row>
    <row r="10" spans="1:30" s="887" customFormat="1" ht="24.9" customHeight="1">
      <c r="A10" s="860"/>
      <c r="B10" s="881"/>
      <c r="C10" s="881"/>
      <c r="D10" s="866"/>
      <c r="E10" s="882"/>
      <c r="F10" s="883"/>
      <c r="G10" s="883"/>
      <c r="H10" s="883"/>
      <c r="I10" s="884"/>
      <c r="J10" s="883"/>
      <c r="K10" s="883"/>
      <c r="L10" s="884"/>
      <c r="M10" s="883"/>
      <c r="N10" s="884"/>
      <c r="O10" s="862"/>
      <c r="P10" s="866"/>
      <c r="Q10" s="862"/>
      <c r="R10" s="885"/>
      <c r="S10" s="885"/>
      <c r="T10" s="885"/>
      <c r="U10" s="886">
        <v>0</v>
      </c>
      <c r="V10" s="886">
        <v>1</v>
      </c>
      <c r="W10" s="886">
        <v>0</v>
      </c>
      <c r="X10" s="886">
        <v>0</v>
      </c>
      <c r="Y10" s="886">
        <v>1</v>
      </c>
      <c r="Z10" s="886">
        <v>2</v>
      </c>
      <c r="AA10" s="886">
        <v>6</v>
      </c>
      <c r="AB10" s="886">
        <v>0</v>
      </c>
      <c r="AC10" s="886">
        <v>2</v>
      </c>
      <c r="AD10" s="886">
        <v>2</v>
      </c>
    </row>
    <row r="11" spans="1:30" s="887" customFormat="1" ht="24.9" customHeight="1">
      <c r="A11" s="860"/>
      <c r="B11" s="881"/>
      <c r="C11" s="881"/>
      <c r="D11" s="866"/>
      <c r="E11" s="888"/>
      <c r="F11" s="883"/>
      <c r="G11" s="883"/>
      <c r="H11" s="883"/>
      <c r="I11" s="884"/>
      <c r="J11" s="883"/>
      <c r="K11" s="883"/>
      <c r="L11" s="884"/>
      <c r="M11" s="883"/>
      <c r="N11" s="884"/>
      <c r="O11" s="862"/>
      <c r="P11" s="866"/>
      <c r="Q11" s="862"/>
      <c r="R11" s="885"/>
      <c r="S11" s="885"/>
      <c r="T11" s="885"/>
      <c r="U11" s="886">
        <v>0</v>
      </c>
      <c r="V11" s="886">
        <v>1</v>
      </c>
      <c r="W11" s="886">
        <v>0</v>
      </c>
      <c r="X11" s="886">
        <v>0</v>
      </c>
      <c r="Y11" s="886">
        <v>1</v>
      </c>
      <c r="Z11" s="886">
        <v>2</v>
      </c>
      <c r="AA11" s="886">
        <v>6</v>
      </c>
      <c r="AB11" s="886">
        <v>0</v>
      </c>
      <c r="AC11" s="886">
        <v>2</v>
      </c>
      <c r="AD11" s="886">
        <v>2</v>
      </c>
    </row>
    <row r="12" spans="1:30" s="887" customFormat="1" ht="24.9" customHeight="1">
      <c r="A12" s="860"/>
      <c r="B12" s="881"/>
      <c r="C12" s="881"/>
      <c r="D12" s="866"/>
      <c r="E12" s="889"/>
      <c r="F12" s="883"/>
      <c r="G12" s="883"/>
      <c r="H12" s="883"/>
      <c r="I12" s="884"/>
      <c r="J12" s="883"/>
      <c r="K12" s="883"/>
      <c r="L12" s="884"/>
      <c r="M12" s="883"/>
      <c r="N12" s="884"/>
      <c r="O12" s="862"/>
      <c r="P12" s="866"/>
      <c r="Q12" s="862"/>
      <c r="R12" s="885"/>
      <c r="S12" s="885"/>
      <c r="T12" s="885"/>
      <c r="U12" s="886">
        <v>0</v>
      </c>
      <c r="V12" s="886">
        <v>0</v>
      </c>
      <c r="W12" s="886">
        <v>1</v>
      </c>
      <c r="X12" s="886">
        <v>0</v>
      </c>
      <c r="Y12" s="886">
        <v>0</v>
      </c>
      <c r="Z12" s="886">
        <v>3</v>
      </c>
      <c r="AA12" s="886">
        <v>0</v>
      </c>
      <c r="AB12" s="886">
        <v>1</v>
      </c>
      <c r="AC12" s="886">
        <v>0</v>
      </c>
      <c r="AD12" s="886">
        <v>0</v>
      </c>
    </row>
    <row r="13" spans="1:30" s="887" customFormat="1" ht="24.9" customHeight="1">
      <c r="A13" s="860"/>
      <c r="B13" s="890"/>
      <c r="C13" s="890"/>
      <c r="D13" s="866"/>
      <c r="E13" s="889"/>
      <c r="F13" s="883"/>
      <c r="G13" s="862"/>
      <c r="H13" s="862"/>
      <c r="I13" s="884"/>
      <c r="J13" s="862"/>
      <c r="K13" s="883"/>
      <c r="L13" s="884"/>
      <c r="M13" s="883"/>
      <c r="N13" s="884"/>
      <c r="O13" s="862"/>
      <c r="P13" s="866"/>
      <c r="Q13" s="862"/>
      <c r="R13" s="885"/>
      <c r="S13" s="885"/>
      <c r="T13" s="885"/>
      <c r="U13" s="886">
        <v>0</v>
      </c>
      <c r="V13" s="886">
        <v>0</v>
      </c>
      <c r="W13" s="886">
        <v>0</v>
      </c>
      <c r="X13" s="886">
        <v>1</v>
      </c>
      <c r="Y13" s="886">
        <v>0</v>
      </c>
      <c r="Z13" s="886">
        <v>6</v>
      </c>
      <c r="AA13" s="886">
        <v>0</v>
      </c>
      <c r="AB13" s="886">
        <v>1</v>
      </c>
      <c r="AC13" s="886">
        <v>0</v>
      </c>
      <c r="AD13" s="886">
        <v>0</v>
      </c>
    </row>
    <row r="14" spans="1:30" s="887" customFormat="1" ht="24.9" customHeight="1">
      <c r="A14" s="860"/>
      <c r="B14" s="890"/>
      <c r="C14" s="890"/>
      <c r="D14" s="866"/>
      <c r="E14" s="882"/>
      <c r="F14" s="883"/>
      <c r="G14" s="862"/>
      <c r="H14" s="862"/>
      <c r="I14" s="884"/>
      <c r="J14" s="862"/>
      <c r="K14" s="883"/>
      <c r="L14" s="884"/>
      <c r="M14" s="883"/>
      <c r="N14" s="884"/>
      <c r="O14" s="862"/>
      <c r="Q14" s="862"/>
      <c r="R14" s="885"/>
      <c r="S14" s="885"/>
      <c r="T14" s="885"/>
      <c r="U14" s="886">
        <v>1</v>
      </c>
      <c r="V14" s="886">
        <v>0</v>
      </c>
      <c r="W14" s="886">
        <v>0</v>
      </c>
      <c r="X14" s="886">
        <v>0</v>
      </c>
      <c r="Y14" s="886">
        <v>0</v>
      </c>
      <c r="Z14" s="886">
        <v>0</v>
      </c>
      <c r="AA14" s="886">
        <v>0</v>
      </c>
      <c r="AB14" s="886">
        <v>1</v>
      </c>
      <c r="AC14" s="886">
        <v>0</v>
      </c>
      <c r="AD14" s="886">
        <v>0</v>
      </c>
    </row>
    <row r="15" spans="1:30" s="887" customFormat="1" ht="24.9" customHeight="1">
      <c r="A15" s="860"/>
      <c r="B15" s="890"/>
      <c r="C15" s="890"/>
      <c r="D15" s="866"/>
      <c r="E15" s="882"/>
      <c r="F15" s="883"/>
      <c r="G15" s="862"/>
      <c r="H15" s="862"/>
      <c r="I15" s="884"/>
      <c r="J15" s="862"/>
      <c r="K15" s="883"/>
      <c r="L15" s="884"/>
      <c r="M15" s="883"/>
      <c r="N15" s="884"/>
      <c r="O15" s="862"/>
      <c r="P15" s="866"/>
      <c r="Q15" s="862"/>
      <c r="R15" s="885"/>
      <c r="S15" s="885"/>
      <c r="T15" s="885"/>
      <c r="U15" s="886">
        <v>0</v>
      </c>
      <c r="V15" s="886">
        <v>0</v>
      </c>
      <c r="W15" s="886">
        <v>0</v>
      </c>
      <c r="X15" s="886">
        <v>0</v>
      </c>
      <c r="Y15" s="886">
        <v>0</v>
      </c>
      <c r="Z15" s="886">
        <v>0</v>
      </c>
      <c r="AA15" s="886">
        <v>3</v>
      </c>
      <c r="AB15" s="886">
        <v>0</v>
      </c>
      <c r="AC15" s="886">
        <v>1</v>
      </c>
      <c r="AD15" s="886">
        <v>0</v>
      </c>
    </row>
    <row r="16" spans="1:30" ht="24.75" customHeight="1">
      <c r="A16" s="891"/>
      <c r="B16" s="870"/>
      <c r="C16" s="870"/>
      <c r="D16" s="871"/>
      <c r="E16" s="892"/>
      <c r="F16" s="862"/>
      <c r="G16" s="893"/>
      <c r="H16" s="893"/>
      <c r="I16" s="884"/>
      <c r="J16" s="893"/>
      <c r="K16" s="893"/>
      <c r="L16" s="871"/>
      <c r="M16" s="893"/>
      <c r="N16" s="871"/>
      <c r="O16" s="893"/>
      <c r="P16" s="871"/>
      <c r="Q16" s="893"/>
      <c r="R16" s="893"/>
      <c r="S16" s="893"/>
      <c r="T16" s="893"/>
      <c r="U16" s="894" t="e">
        <v>#N/A</v>
      </c>
      <c r="V16" s="894" t="e">
        <v>#N/A</v>
      </c>
      <c r="W16" s="894" t="e">
        <v>#N/A</v>
      </c>
      <c r="X16" s="894" t="e">
        <v>#N/A</v>
      </c>
      <c r="Y16" s="894" t="e">
        <v>#N/A</v>
      </c>
      <c r="Z16" s="894" t="e">
        <v>#N/A</v>
      </c>
      <c r="AA16" s="894" t="e">
        <v>#N/A</v>
      </c>
      <c r="AB16" s="894" t="e">
        <v>#N/A</v>
      </c>
      <c r="AC16" s="894" t="e">
        <v>#N/A</v>
      </c>
      <c r="AD16" s="894" t="e">
        <v>#N/A</v>
      </c>
    </row>
    <row r="17" spans="1:30" ht="24.75" customHeight="1">
      <c r="A17" s="891"/>
      <c r="B17" s="870"/>
      <c r="C17" s="870"/>
      <c r="D17" s="871"/>
      <c r="E17" s="892"/>
      <c r="F17" s="862"/>
      <c r="G17" s="893"/>
      <c r="H17" s="893"/>
      <c r="I17" s="884"/>
      <c r="J17" s="893"/>
      <c r="K17" s="893"/>
      <c r="L17" s="893"/>
      <c r="M17" s="893"/>
      <c r="N17" s="871"/>
      <c r="O17" s="893"/>
      <c r="P17" s="893"/>
      <c r="Q17" s="893"/>
      <c r="R17" s="893"/>
      <c r="S17" s="893"/>
      <c r="T17" s="893"/>
      <c r="U17" s="894" t="e">
        <v>#N/A</v>
      </c>
      <c r="V17" s="894" t="e">
        <v>#N/A</v>
      </c>
      <c r="W17" s="894" t="e">
        <v>#N/A</v>
      </c>
      <c r="X17" s="894" t="e">
        <v>#N/A</v>
      </c>
      <c r="Y17" s="894" t="e">
        <v>#N/A</v>
      </c>
      <c r="Z17" s="894" t="e">
        <v>#N/A</v>
      </c>
      <c r="AA17" s="894" t="e">
        <v>#N/A</v>
      </c>
      <c r="AB17" s="894" t="e">
        <v>#N/A</v>
      </c>
      <c r="AC17" s="894" t="e">
        <v>#N/A</v>
      </c>
      <c r="AD17" s="894" t="e">
        <v>#N/A</v>
      </c>
    </row>
    <row r="18" spans="1:30" ht="15.6">
      <c r="U18" s="877"/>
      <c r="V18" s="877"/>
      <c r="W18" s="878"/>
      <c r="X18" s="878"/>
      <c r="Y18" s="878"/>
      <c r="Z18" s="894"/>
      <c r="AA18" s="894" t="e">
        <v>#N/A</v>
      </c>
      <c r="AB18" s="894" t="e">
        <v>#N/A</v>
      </c>
      <c r="AC18" s="894" t="e">
        <v>#N/A</v>
      </c>
      <c r="AD18" s="894" t="e">
        <v>#N/A</v>
      </c>
    </row>
  </sheetData>
  <autoFilter ref="A8:AD18" xr:uid="{00000000-0009-0000-0000-000013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3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10"/>
  <sheetViews>
    <sheetView zoomScaleNormal="100" workbookViewId="0">
      <selection activeCell="C18" sqref="C18"/>
    </sheetView>
  </sheetViews>
  <sheetFormatPr defaultColWidth="8.90625" defaultRowHeight="14.4"/>
  <cols>
    <col min="1" max="1" width="18.6328125" style="814" customWidth="1"/>
    <col min="2" max="2" width="20.90625" style="814" customWidth="1"/>
    <col min="3" max="9" width="15.1796875" style="814" customWidth="1"/>
    <col min="10" max="16384" width="8.90625" style="814"/>
  </cols>
  <sheetData>
    <row r="1" spans="1:9" ht="27.75" customHeight="1">
      <c r="A1" s="3233" t="s">
        <v>4273</v>
      </c>
      <c r="B1" s="3233"/>
      <c r="C1" s="3233"/>
      <c r="D1" s="3233"/>
      <c r="E1" s="3233"/>
      <c r="F1" s="3233"/>
      <c r="G1" s="3233"/>
      <c r="H1" s="3233"/>
      <c r="I1" s="3233"/>
    </row>
    <row r="2" spans="1:9" ht="47.25" customHeight="1">
      <c r="A2" s="3220" t="e">
        <f>"Tên công trình: "&amp;Solieu!#REF!</f>
        <v>#REF!</v>
      </c>
      <c r="B2" s="3220"/>
      <c r="C2" s="3220"/>
      <c r="D2" s="3220"/>
      <c r="E2" s="3220"/>
      <c r="F2" s="3220"/>
      <c r="G2" s="3222" t="str">
        <f>"Đơn vị thi công: "&amp;Solieu!C10</f>
        <v>Đơn vị thi công: x</v>
      </c>
      <c r="H2" s="3223"/>
      <c r="I2" s="3224"/>
    </row>
    <row r="3" spans="1:9" ht="31.5" customHeight="1">
      <c r="A3" s="3220" t="s">
        <v>4298</v>
      </c>
      <c r="B3" s="3220"/>
      <c r="C3" s="3220"/>
      <c r="D3" s="3220"/>
      <c r="E3" s="3220"/>
      <c r="F3" s="3220"/>
      <c r="G3" s="3234" t="s">
        <v>4212</v>
      </c>
      <c r="H3" s="3234"/>
      <c r="I3" s="3234"/>
    </row>
    <row r="4" spans="1:9" ht="15.6">
      <c r="A4" s="3220" t="s">
        <v>4213</v>
      </c>
      <c r="B4" s="3220"/>
      <c r="C4" s="3220"/>
      <c r="D4" s="3220"/>
      <c r="E4" s="3220"/>
      <c r="F4" s="3220"/>
      <c r="G4" s="3220"/>
      <c r="H4" s="3220"/>
      <c r="I4" s="3220"/>
    </row>
    <row r="5" spans="1:9" s="815" customFormat="1" ht="21" customHeight="1">
      <c r="A5" s="3215" t="s">
        <v>4214</v>
      </c>
      <c r="B5" s="3215" t="s">
        <v>4274</v>
      </c>
      <c r="C5" s="3215"/>
      <c r="D5" s="3215"/>
      <c r="E5" s="3215" t="s">
        <v>4275</v>
      </c>
      <c r="F5" s="3215"/>
      <c r="G5" s="3215" t="s">
        <v>4256</v>
      </c>
      <c r="H5" s="3215" t="s">
        <v>4219</v>
      </c>
      <c r="I5" s="3215"/>
    </row>
    <row r="6" spans="1:9" s="815" customFormat="1" ht="21" customHeight="1">
      <c r="A6" s="3215"/>
      <c r="B6" s="874" t="s">
        <v>4276</v>
      </c>
      <c r="C6" s="3215" t="s">
        <v>4277</v>
      </c>
      <c r="D6" s="3215" t="s">
        <v>4206</v>
      </c>
      <c r="E6" s="3215" t="s">
        <v>4278</v>
      </c>
      <c r="F6" s="3215" t="s">
        <v>4279</v>
      </c>
      <c r="G6" s="3215"/>
      <c r="H6" s="3215" t="s">
        <v>4270</v>
      </c>
      <c r="I6" s="3215" t="s">
        <v>4271</v>
      </c>
    </row>
    <row r="7" spans="1:9" s="815" customFormat="1" ht="21" customHeight="1">
      <c r="A7" s="3215"/>
      <c r="B7" s="874" t="s">
        <v>4280</v>
      </c>
      <c r="C7" s="3215"/>
      <c r="D7" s="3215"/>
      <c r="E7" s="3215"/>
      <c r="F7" s="3215"/>
      <c r="G7" s="3215"/>
      <c r="H7" s="3215"/>
      <c r="I7" s="3215"/>
    </row>
    <row r="8" spans="1:9" s="815" customFormat="1" ht="15.6">
      <c r="A8" s="824" t="str">
        <f>"("&amp;COLUMN()&amp;")"</f>
        <v>(1)</v>
      </c>
      <c r="B8" s="824" t="str">
        <f t="shared" ref="B8:I8" si="0">"("&amp;COLUMN()&amp;")"</f>
        <v>(2)</v>
      </c>
      <c r="C8" s="824" t="str">
        <f t="shared" si="0"/>
        <v>(3)</v>
      </c>
      <c r="D8" s="824" t="str">
        <f t="shared" si="0"/>
        <v>(4)</v>
      </c>
      <c r="E8" s="824" t="str">
        <f t="shared" si="0"/>
        <v>(5)</v>
      </c>
      <c r="F8" s="824" t="str">
        <f t="shared" si="0"/>
        <v>(6)</v>
      </c>
      <c r="G8" s="824" t="str">
        <f t="shared" si="0"/>
        <v>(7)</v>
      </c>
      <c r="H8" s="824" t="str">
        <f t="shared" si="0"/>
        <v>(8)</v>
      </c>
      <c r="I8" s="824" t="str">
        <f t="shared" si="0"/>
        <v>(9)</v>
      </c>
    </row>
    <row r="9" spans="1:9" ht="47.25" customHeight="1">
      <c r="A9" s="856"/>
      <c r="B9" s="854" t="e">
        <f>Solieu!#REF!</f>
        <v>#REF!</v>
      </c>
      <c r="C9" s="855" t="e">
        <f>Solieu!#REF!&amp;"m"</f>
        <v>#REF!</v>
      </c>
      <c r="D9" s="854" t="e">
        <f>Solieu!#REF!</f>
        <v>#REF!</v>
      </c>
      <c r="E9" s="854" t="e">
        <f>D9</f>
        <v>#REF!</v>
      </c>
      <c r="F9" s="854">
        <v>0</v>
      </c>
      <c r="G9" s="854"/>
      <c r="H9" s="856"/>
      <c r="I9" s="856"/>
    </row>
    <row r="10" spans="1:9" ht="47.25" customHeight="1">
      <c r="A10" s="3235" t="s">
        <v>4281</v>
      </c>
      <c r="B10" s="3235"/>
      <c r="C10" s="3236" t="e">
        <f>C9</f>
        <v>#REF!</v>
      </c>
      <c r="D10" s="3237"/>
      <c r="E10" s="3237"/>
      <c r="F10" s="3237"/>
      <c r="G10" s="3237"/>
      <c r="H10" s="3237"/>
      <c r="I10" s="3237"/>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K44"/>
  <sheetViews>
    <sheetView topLeftCell="A13" workbookViewId="0">
      <selection activeCell="F44" sqref="F44"/>
    </sheetView>
  </sheetViews>
  <sheetFormatPr defaultColWidth="8.90625" defaultRowHeight="16.8"/>
  <cols>
    <col min="1" max="1" width="5.08984375" style="1620" customWidth="1"/>
    <col min="2" max="10" width="8.90625" style="1620"/>
    <col min="11" max="16384" width="8.90625" style="1617"/>
  </cols>
  <sheetData>
    <row r="1" spans="1:11">
      <c r="A1" s="3239" t="s">
        <v>4160</v>
      </c>
      <c r="B1" s="3239"/>
      <c r="C1" s="3239"/>
      <c r="D1" s="3239"/>
      <c r="E1" s="3239"/>
      <c r="F1" s="3239"/>
      <c r="G1" s="3239"/>
      <c r="H1" s="3239"/>
      <c r="I1" s="3239"/>
      <c r="J1" s="3239"/>
      <c r="K1" s="816" t="s">
        <v>4141</v>
      </c>
    </row>
    <row r="2" spans="1:11" ht="18">
      <c r="A2" s="3240" t="s">
        <v>4161</v>
      </c>
      <c r="B2" s="3240"/>
      <c r="C2" s="3240"/>
      <c r="D2" s="3240"/>
      <c r="E2" s="3240"/>
      <c r="F2" s="3240"/>
      <c r="G2" s="3240"/>
      <c r="H2" s="3240"/>
      <c r="I2" s="3240"/>
      <c r="J2" s="3240"/>
    </row>
    <row r="3" spans="1:11" ht="15" customHeight="1">
      <c r="A3" s="3241" t="s">
        <v>4162</v>
      </c>
      <c r="B3" s="3241"/>
      <c r="C3" s="3241"/>
      <c r="D3" s="3241"/>
      <c r="E3" s="3241"/>
      <c r="F3" s="3241"/>
      <c r="G3" s="3241"/>
      <c r="H3" s="3241"/>
      <c r="I3" s="3241"/>
      <c r="J3" s="3241"/>
    </row>
    <row r="4" spans="1:11" ht="15" customHeight="1">
      <c r="A4" s="3242" t="s">
        <v>4592</v>
      </c>
      <c r="B4" s="3242"/>
      <c r="C4" s="3242"/>
      <c r="D4" s="3242"/>
      <c r="E4" s="3242"/>
      <c r="F4" s="3242"/>
      <c r="G4" s="3242"/>
      <c r="H4" s="3242"/>
      <c r="I4" s="3242"/>
      <c r="J4" s="3242"/>
    </row>
    <row r="5" spans="1:11" ht="31.5" customHeight="1">
      <c r="A5" s="3243" t="s">
        <v>4565</v>
      </c>
      <c r="B5" s="3243"/>
      <c r="C5" s="3243"/>
      <c r="D5" s="3243"/>
      <c r="E5" s="3243"/>
      <c r="F5" s="3243"/>
      <c r="G5" s="3243"/>
      <c r="H5" s="3243"/>
      <c r="I5" s="3243"/>
      <c r="J5" s="3243"/>
    </row>
    <row r="6" spans="1:11" s="1618" customFormat="1" ht="18.75" customHeight="1">
      <c r="A6" s="3243" t="s">
        <v>4566</v>
      </c>
      <c r="B6" s="3243"/>
      <c r="C6" s="3243"/>
      <c r="D6" s="3243"/>
      <c r="E6" s="3243"/>
      <c r="F6" s="3243"/>
      <c r="G6" s="3243"/>
      <c r="H6" s="3243"/>
      <c r="I6" s="3243"/>
      <c r="J6" s="3243"/>
    </row>
    <row r="7" spans="1:11" s="1618" customFormat="1" ht="18.75" customHeight="1">
      <c r="A7" s="3243" t="s">
        <v>4567</v>
      </c>
      <c r="B7" s="3243"/>
      <c r="C7" s="3243"/>
      <c r="D7" s="3243"/>
      <c r="E7" s="3243"/>
      <c r="F7" s="3243"/>
      <c r="G7" s="3243"/>
      <c r="H7" s="3243"/>
      <c r="I7" s="3243"/>
      <c r="J7" s="3243"/>
    </row>
    <row r="8" spans="1:11" ht="41.25" customHeight="1">
      <c r="A8" s="3244" t="s">
        <v>4593</v>
      </c>
      <c r="B8" s="3244"/>
      <c r="C8" s="3244"/>
      <c r="D8" s="3244"/>
      <c r="E8" s="3244"/>
      <c r="F8" s="3244"/>
      <c r="G8" s="3244"/>
      <c r="H8" s="3244"/>
      <c r="I8" s="3244"/>
      <c r="J8" s="3244"/>
    </row>
    <row r="9" spans="1:11" ht="28.5" customHeight="1">
      <c r="A9" s="1619" t="s">
        <v>4568</v>
      </c>
    </row>
    <row r="10" spans="1:11" ht="19.649999999999999" customHeight="1">
      <c r="B10" s="1621" t="s">
        <v>4163</v>
      </c>
    </row>
    <row r="11" spans="1:11" ht="19.649999999999999" customHeight="1">
      <c r="B11" s="1619" t="s">
        <v>4569</v>
      </c>
    </row>
    <row r="12" spans="1:11" ht="19.649999999999999" customHeight="1">
      <c r="B12" s="1619" t="s">
        <v>4164</v>
      </c>
    </row>
    <row r="13" spans="1:11" ht="19.649999999999999" customHeight="1">
      <c r="B13" s="1622" t="s">
        <v>4165</v>
      </c>
    </row>
    <row r="14" spans="1:11" ht="19.649999999999999" customHeight="1">
      <c r="C14" s="1620" t="s">
        <v>4594</v>
      </c>
    </row>
    <row r="15" spans="1:11" ht="19.649999999999999" customHeight="1">
      <c r="B15" s="1622" t="s">
        <v>4166</v>
      </c>
    </row>
    <row r="16" spans="1:11" ht="19.649999999999999" customHeight="1">
      <c r="B16" s="1623" t="s">
        <v>4570</v>
      </c>
      <c r="E16" s="1622" t="s">
        <v>4167</v>
      </c>
    </row>
    <row r="17" spans="1:10" ht="19.649999999999999" customHeight="1">
      <c r="B17" s="1620" t="s">
        <v>4595</v>
      </c>
      <c r="F17" s="1620" t="s">
        <v>4168</v>
      </c>
    </row>
    <row r="18" spans="1:10" ht="19.649999999999999" customHeight="1">
      <c r="B18" s="1620" t="s">
        <v>4571</v>
      </c>
      <c r="E18" s="1622" t="s">
        <v>4497</v>
      </c>
    </row>
    <row r="19" spans="1:10" ht="19.649999999999999" customHeight="1">
      <c r="B19" s="1620" t="s">
        <v>4572</v>
      </c>
      <c r="F19" s="1620" t="s">
        <v>4169</v>
      </c>
    </row>
    <row r="20" spans="1:10" ht="19.649999999999999" customHeight="1">
      <c r="B20" s="1622" t="s">
        <v>4573</v>
      </c>
    </row>
    <row r="21" spans="1:10" ht="19.649999999999999" customHeight="1">
      <c r="B21" s="1624" t="s">
        <v>4574</v>
      </c>
      <c r="C21" s="1625"/>
      <c r="D21" s="1625"/>
      <c r="E21" s="1625"/>
      <c r="F21" s="1625"/>
      <c r="G21" s="1625"/>
      <c r="H21" s="1625"/>
      <c r="I21" s="1625"/>
      <c r="J21" s="1625"/>
    </row>
    <row r="22" spans="1:10" s="1629" customFormat="1" ht="19.649999999999999" customHeight="1">
      <c r="A22" s="1626"/>
      <c r="B22" s="1627" t="s">
        <v>4575</v>
      </c>
      <c r="C22" s="1628"/>
      <c r="D22" s="1628"/>
      <c r="E22" s="1628"/>
      <c r="F22" s="1628"/>
      <c r="G22" s="1628"/>
      <c r="H22" s="1628"/>
      <c r="I22" s="1628"/>
      <c r="J22" s="1628"/>
    </row>
    <row r="23" spans="1:10" s="1629" customFormat="1" ht="19.649999999999999" customHeight="1">
      <c r="A23" s="1626"/>
      <c r="B23" s="1627" t="s">
        <v>4576</v>
      </c>
      <c r="C23" s="1628"/>
      <c r="D23" s="1628"/>
      <c r="E23" s="1628"/>
      <c r="F23" s="1628"/>
      <c r="G23" s="1628"/>
      <c r="H23" s="1628"/>
      <c r="I23" s="1628"/>
      <c r="J23" s="1628"/>
    </row>
    <row r="24" spans="1:10" s="1629" customFormat="1" ht="19.649999999999999" customHeight="1">
      <c r="A24" s="1626"/>
      <c r="B24" s="1627" t="s">
        <v>4577</v>
      </c>
      <c r="C24" s="1628"/>
      <c r="D24" s="1628"/>
      <c r="E24" s="1628"/>
      <c r="F24" s="1628"/>
      <c r="G24" s="1628"/>
      <c r="H24" s="1628"/>
      <c r="I24" s="1628"/>
      <c r="J24" s="1628"/>
    </row>
    <row r="25" spans="1:10" s="1629" customFormat="1" ht="19.649999999999999" customHeight="1">
      <c r="A25" s="1626"/>
      <c r="B25" s="1627" t="s">
        <v>4578</v>
      </c>
      <c r="C25" s="1628"/>
      <c r="D25" s="1628"/>
      <c r="E25" s="1628"/>
      <c r="F25" s="1628"/>
      <c r="G25" s="1628"/>
      <c r="H25" s="1628"/>
      <c r="I25" s="1628"/>
      <c r="J25" s="1628"/>
    </row>
    <row r="26" spans="1:10" s="1629" customFormat="1" ht="19.649999999999999" customHeight="1">
      <c r="A26" s="1626"/>
      <c r="B26" s="1627" t="s">
        <v>4579</v>
      </c>
      <c r="C26" s="1628"/>
      <c r="D26" s="1628"/>
      <c r="E26" s="1628"/>
      <c r="F26" s="1628"/>
      <c r="G26" s="1628"/>
      <c r="H26" s="1628"/>
      <c r="I26" s="1628"/>
      <c r="J26" s="1628"/>
    </row>
    <row r="27" spans="1:10" s="1629" customFormat="1" ht="19.649999999999999" customHeight="1">
      <c r="A27" s="1626"/>
      <c r="B27" s="1627" t="s">
        <v>4580</v>
      </c>
      <c r="C27" s="1628"/>
      <c r="D27" s="1628"/>
      <c r="E27" s="1628"/>
      <c r="F27" s="1628"/>
      <c r="G27" s="1628"/>
      <c r="H27" s="1628"/>
      <c r="I27" s="1628"/>
      <c r="J27" s="1628"/>
    </row>
    <row r="28" spans="1:10" s="1629" customFormat="1" ht="19.649999999999999" customHeight="1">
      <c r="A28" s="1626"/>
      <c r="B28" s="1627" t="s">
        <v>4581</v>
      </c>
      <c r="C28" s="1628"/>
      <c r="D28" s="1628"/>
      <c r="E28" s="1628"/>
      <c r="F28" s="1628"/>
      <c r="G28" s="1628"/>
      <c r="H28" s="1628"/>
      <c r="I28" s="1628"/>
      <c r="J28" s="1628"/>
    </row>
    <row r="29" spans="1:10" s="1629" customFormat="1" ht="19.649999999999999" customHeight="1">
      <c r="A29" s="1626"/>
      <c r="B29" s="1630" t="s">
        <v>4582</v>
      </c>
      <c r="C29" s="1628"/>
      <c r="D29" s="1628"/>
      <c r="E29" s="1628"/>
      <c r="F29" s="1628"/>
      <c r="G29" s="1628"/>
      <c r="H29" s="1628"/>
      <c r="I29" s="1628"/>
      <c r="J29" s="1628"/>
    </row>
    <row r="30" spans="1:10" ht="24" customHeight="1">
      <c r="B30" s="1622" t="s">
        <v>4583</v>
      </c>
    </row>
    <row r="31" spans="1:10" ht="72" customHeight="1">
      <c r="B31" s="3245" t="s">
        <v>4584</v>
      </c>
      <c r="C31" s="3245"/>
      <c r="D31" s="3245"/>
      <c r="E31" s="3245"/>
      <c r="F31" s="3245"/>
      <c r="G31" s="3245"/>
      <c r="H31" s="3245"/>
      <c r="I31" s="3245"/>
      <c r="J31" s="3245"/>
    </row>
    <row r="32" spans="1:10" ht="32.25" customHeight="1">
      <c r="A32" s="3246" t="s">
        <v>4585</v>
      </c>
      <c r="B32" s="3246"/>
      <c r="C32" s="3246"/>
      <c r="D32" s="3246"/>
      <c r="E32" s="3246"/>
      <c r="F32" s="3246"/>
      <c r="G32" s="3246"/>
      <c r="H32" s="3246"/>
      <c r="I32" s="3246"/>
      <c r="J32" s="3246"/>
    </row>
    <row r="33" spans="1:10" ht="42.75" customHeight="1">
      <c r="B33" s="3247" t="s">
        <v>4586</v>
      </c>
      <c r="C33" s="3247"/>
      <c r="D33" s="3247"/>
      <c r="E33" s="3247"/>
      <c r="F33" s="3247"/>
      <c r="G33" s="3247"/>
      <c r="H33" s="3247"/>
      <c r="I33" s="3247"/>
      <c r="J33" s="3247"/>
    </row>
    <row r="34" spans="1:10" ht="24.75" customHeight="1">
      <c r="B34" s="1623" t="s">
        <v>4587</v>
      </c>
    </row>
    <row r="35" spans="1:10" ht="19.649999999999999" customHeight="1">
      <c r="B35" s="1631" t="s">
        <v>4588</v>
      </c>
    </row>
    <row r="36" spans="1:10" ht="46.5" customHeight="1">
      <c r="A36" s="3238" t="s">
        <v>4589</v>
      </c>
      <c r="B36" s="3238"/>
      <c r="C36" s="3238"/>
      <c r="D36" s="3238"/>
      <c r="E36" s="3238"/>
      <c r="F36" s="3238"/>
      <c r="G36" s="3238"/>
      <c r="H36" s="3238"/>
      <c r="I36" s="3238"/>
      <c r="J36" s="3238"/>
    </row>
    <row r="37" spans="1:10" s="1635" customFormat="1">
      <c r="A37" s="1632"/>
      <c r="B37" s="1632"/>
      <c r="C37" s="1633" t="s">
        <v>4590</v>
      </c>
      <c r="D37" s="1632"/>
      <c r="E37" s="1632"/>
      <c r="F37" s="1632"/>
      <c r="G37" s="1632"/>
      <c r="H37" s="1634" t="s">
        <v>4591</v>
      </c>
      <c r="I37" s="1632"/>
      <c r="J37" s="1632"/>
    </row>
    <row r="44" spans="1:10" s="1618" customFormat="1" ht="18">
      <c r="A44" s="1636"/>
      <c r="B44" s="1636"/>
      <c r="C44" s="1637" t="s">
        <v>4596</v>
      </c>
      <c r="D44" s="1637"/>
      <c r="E44" s="1637"/>
      <c r="F44" s="1637"/>
      <c r="G44" s="1637"/>
      <c r="H44" s="1637" t="s">
        <v>4496</v>
      </c>
      <c r="I44" s="1636"/>
      <c r="J44" s="1636"/>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5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O268"/>
  <sheetViews>
    <sheetView workbookViewId="0">
      <pane ySplit="2" topLeftCell="A111" activePane="bottomLeft" state="frozen"/>
      <selection activeCell="B1" sqref="B1"/>
      <selection pane="bottomLeft" activeCell="B16" sqref="B16"/>
    </sheetView>
  </sheetViews>
  <sheetFormatPr defaultRowHeight="25.2" customHeight="1"/>
  <cols>
    <col min="1" max="1" width="8.81640625" style="1215"/>
    <col min="2" max="2" width="13" style="1792" customWidth="1"/>
    <col min="3" max="3" width="3.90625" style="1219" customWidth="1"/>
    <col min="4" max="4" width="3.90625" style="1793" customWidth="1"/>
    <col min="5" max="5" width="3.90625" style="1794" customWidth="1"/>
    <col min="6" max="6" width="56.54296875" style="1792" bestFit="1" customWidth="1"/>
    <col min="7" max="9" width="8.81640625" style="1304" customWidth="1"/>
    <col min="10" max="10" width="8.90625" style="1791"/>
    <col min="11" max="11" width="16.08984375" style="1790" bestFit="1" customWidth="1"/>
    <col min="12" max="12" width="19.453125" style="1304" customWidth="1"/>
    <col min="13" max="13" width="9.6328125" style="1382" customWidth="1"/>
    <col min="15" max="15" width="8.90625" style="1382"/>
  </cols>
  <sheetData>
    <row r="1" spans="1:15" s="1217" customFormat="1" ht="28.5" customHeight="1">
      <c r="A1" s="2953" t="s">
        <v>4780</v>
      </c>
      <c r="B1" s="2954" t="s">
        <v>2603</v>
      </c>
      <c r="C1" s="2953"/>
      <c r="D1" s="2953"/>
      <c r="E1" s="2955"/>
      <c r="F1" s="2953" t="s">
        <v>4229</v>
      </c>
      <c r="G1" s="2956" t="s">
        <v>2606</v>
      </c>
      <c r="H1" s="2956" t="s">
        <v>4378</v>
      </c>
      <c r="I1" s="2956" t="s">
        <v>4718</v>
      </c>
      <c r="J1" s="2953" t="s">
        <v>1708</v>
      </c>
      <c r="K1" s="2953" t="str">
        <f>COUNTIF(K2:K1048576,1)&amp;" loại VTTB"</f>
        <v>120 loại VTTB</v>
      </c>
      <c r="L1" s="1217" t="s">
        <v>356</v>
      </c>
      <c r="M1" s="1878"/>
      <c r="O1" s="1878"/>
    </row>
    <row r="2" spans="1:15" s="1305" customFormat="1" ht="25.2" customHeight="1">
      <c r="A2" s="2957">
        <f>COUNTIF($K$1:K2,1)</f>
        <v>1</v>
      </c>
      <c r="B2" s="2958" t="str">
        <f>CT_tram!B2375</f>
        <v>tr10001</v>
      </c>
      <c r="C2" s="2959">
        <f>CT_tram!C2375</f>
        <v>1</v>
      </c>
      <c r="D2" s="2960">
        <f>CT_tram!D2375</f>
        <v>1</v>
      </c>
      <c r="E2" s="2961" t="str">
        <f>CT_tram!E2375</f>
        <v>01.1147</v>
      </c>
      <c r="F2" s="2962" t="str">
        <f>CT_tram!F2375</f>
        <v>Máy biến áp 22/0,4kV- 1000kVA</v>
      </c>
      <c r="G2" s="2963" t="str">
        <f>CT_tram!G2375</f>
        <v>máy</v>
      </c>
      <c r="H2" s="2964">
        <f>CT_tram!H2375</f>
        <v>1</v>
      </c>
      <c r="I2" s="2964">
        <f>CT_tram!I2375</f>
        <v>1</v>
      </c>
      <c r="J2" s="2965">
        <f>IFERROR(VLOOKUP(B2,DG!A:F,6,0),3000)</f>
        <v>1</v>
      </c>
      <c r="K2" s="2966">
        <f>IF(J2&lt;2000,COUNTIF($B$2:B2,B2),0)</f>
        <v>1</v>
      </c>
      <c r="L2" s="2952"/>
      <c r="M2" s="1758"/>
      <c r="N2" s="778"/>
      <c r="O2" s="1758"/>
    </row>
    <row r="3" spans="1:15" ht="25.2" customHeight="1">
      <c r="A3" s="2957">
        <f>COUNTIF($K$1:K3,1)</f>
        <v>2</v>
      </c>
      <c r="B3" s="2958" t="str">
        <f>CT_tram!B2378</f>
        <v>FCO100-22</v>
      </c>
      <c r="C3" s="2959">
        <f>CT_tram!C2378</f>
        <v>3</v>
      </c>
      <c r="D3" s="2960">
        <f>CT_tram!D2378</f>
        <v>2</v>
      </c>
      <c r="E3" s="2967" t="str">
        <f>CT_tram!E2378</f>
        <v>02.3155</v>
      </c>
      <c r="F3" s="2958" t="str">
        <f>CT_tram!F2378</f>
        <v>FCO 24kV - 100A</v>
      </c>
      <c r="G3" s="2968" t="str">
        <f>CT_tram!G2378</f>
        <v>cái</v>
      </c>
      <c r="H3" s="2968">
        <f>CT_tram!H2378</f>
        <v>3</v>
      </c>
      <c r="I3" s="2969">
        <f>CT_tram!I2378</f>
        <v>3</v>
      </c>
      <c r="J3" s="2965">
        <f>IFERROR(VLOOKUP(B3,DG!A:F,6,0),3000)</f>
        <v>3</v>
      </c>
      <c r="K3" s="2966">
        <f>IF(J3&lt;2000,COUNTIF($B$2:B3,B3),0)</f>
        <v>1</v>
      </c>
    </row>
    <row r="4" spans="1:15" s="1215" customFormat="1" ht="25.2" customHeight="1">
      <c r="A4" s="2957">
        <f>COUNTIF($K$1:K4,1)</f>
        <v>2</v>
      </c>
      <c r="B4" s="2972" t="str">
        <f>chitiet!B2326</f>
        <v>FCO100-22</v>
      </c>
      <c r="C4" s="2973" t="str">
        <f>chitiet!C2326</f>
        <v>x</v>
      </c>
      <c r="D4" s="2974">
        <f>chitiet!D2326</f>
        <v>1</v>
      </c>
      <c r="E4" s="2986" t="str">
        <f>chitiet!E2326</f>
        <v>02.3155</v>
      </c>
      <c r="F4" s="2972" t="str">
        <f>chitiet!F2326</f>
        <v>FCO 24kV - 100A</v>
      </c>
      <c r="G4" s="2987" t="str">
        <f>chitiet!G2326</f>
        <v>cái</v>
      </c>
      <c r="H4" s="2987">
        <f>chitiet!H2326</f>
        <v>1</v>
      </c>
      <c r="I4" s="2969">
        <f>chitiet!P2326</f>
        <v>1</v>
      </c>
      <c r="J4" s="2965">
        <f>IFERROR(VLOOKUP(B4,DG!A:F,6,0),3000)</f>
        <v>3</v>
      </c>
      <c r="K4" s="2966">
        <f>IF(J4&lt;2000,COUNTIF($B$2:B4,B4),0)</f>
        <v>2</v>
      </c>
      <c r="L4" s="1304"/>
      <c r="M4" s="1382"/>
      <c r="O4" s="1382"/>
    </row>
    <row r="5" spans="1:15" s="1215" customFormat="1" ht="25.2" customHeight="1">
      <c r="A5" s="2957">
        <f>COUNTIF($K$1:K5,1)</f>
        <v>3</v>
      </c>
      <c r="B5" s="2972" t="str">
        <f>chitiet!B2325</f>
        <v>FCO200-22</v>
      </c>
      <c r="C5" s="2973" t="str">
        <f>chitiet!C2325</f>
        <v>x</v>
      </c>
      <c r="D5" s="2974">
        <f>chitiet!D2325</f>
        <v>3</v>
      </c>
      <c r="E5" s="2986" t="str">
        <f>chitiet!E2325</f>
        <v>02.3505</v>
      </c>
      <c r="F5" s="2972" t="str">
        <f>chitiet!F2325</f>
        <v xml:space="preserve">FCO 24KV - 200A </v>
      </c>
      <c r="G5" s="2987" t="str">
        <f>chitiet!G2325</f>
        <v>cái</v>
      </c>
      <c r="H5" s="2987">
        <f>chitiet!H2325</f>
        <v>3</v>
      </c>
      <c r="I5" s="2969">
        <f>chitiet!P2325</f>
        <v>3</v>
      </c>
      <c r="J5" s="2965">
        <f>IFERROR(VLOOKUP(B5,DG!A:F,6,0),3000)</f>
        <v>3</v>
      </c>
      <c r="K5" s="2966">
        <f>IF(J5&lt;2000,COUNTIF($B$2:B5,B5),0)</f>
        <v>1</v>
      </c>
      <c r="L5" s="1304"/>
      <c r="M5" s="1382"/>
      <c r="O5" s="1382"/>
    </row>
    <row r="6" spans="1:15" s="1215" customFormat="1" ht="25.2" customHeight="1">
      <c r="A6" s="2957">
        <f>COUNTIF($K$1:K6,1)</f>
        <v>4</v>
      </c>
      <c r="B6" s="2958" t="str">
        <f>CT_tram!B2380</f>
        <v>LA18</v>
      </c>
      <c r="C6" s="2959">
        <f>CT_tram!C2380</f>
        <v>6</v>
      </c>
      <c r="D6" s="2960">
        <f>CT_tram!D2380</f>
        <v>4</v>
      </c>
      <c r="E6" s="2961" t="str">
        <f>CT_tram!E2380</f>
        <v>02.5114</v>
      </c>
      <c r="F6" s="2962" t="str">
        <f>CT_tram!F2380</f>
        <v>Chống sét van LA-18KV-10KA</v>
      </c>
      <c r="G6" s="2963" t="str">
        <f>CT_tram!G2380</f>
        <v>cái</v>
      </c>
      <c r="H6" s="2964">
        <f>CT_tram!H2380</f>
        <v>6</v>
      </c>
      <c r="I6" s="2964">
        <f>CT_tram!I2380</f>
        <v>6</v>
      </c>
      <c r="J6" s="2965">
        <f>IFERROR(VLOOKUP(B6,DG!A:F,6,0),3000)</f>
        <v>3</v>
      </c>
      <c r="K6" s="2966">
        <f>IF(J6&lt;2000,COUNTIF($B$2:B6,B6),0)</f>
        <v>1</v>
      </c>
      <c r="L6" s="1307"/>
      <c r="M6" s="1382"/>
      <c r="O6" s="1382"/>
    </row>
    <row r="7" spans="1:15" s="1215" customFormat="1" ht="25.2" customHeight="1">
      <c r="A7" s="2957">
        <f>COUNTIF($K$1:K7,1)</f>
        <v>4</v>
      </c>
      <c r="B7" s="2972" t="str">
        <f>chitiet!B2337</f>
        <v>LA18</v>
      </c>
      <c r="C7" s="2973" t="str">
        <f>chitiet!C2337</f>
        <v>x</v>
      </c>
      <c r="D7" s="2974">
        <f>chitiet!D2337</f>
        <v>0</v>
      </c>
      <c r="E7" s="2986" t="str">
        <f>chitiet!E2337</f>
        <v>02.5114</v>
      </c>
      <c r="F7" s="2972" t="str">
        <f>chitiet!F2337</f>
        <v>Chống sét van LA-18KV-10KA</v>
      </c>
      <c r="G7" s="2987" t="str">
        <f>chitiet!G2337</f>
        <v>cái</v>
      </c>
      <c r="H7" s="2987">
        <f>chitiet!H2337</f>
        <v>6</v>
      </c>
      <c r="I7" s="2969">
        <f>chitiet!P2337</f>
        <v>6</v>
      </c>
      <c r="J7" s="2965">
        <f>IFERROR(VLOOKUP(B7,DG!A:F,6,0),3000)</f>
        <v>3</v>
      </c>
      <c r="K7" s="2966">
        <f>IF(J7&lt;2000,COUNTIF($B$2:B7,B7),0)</f>
        <v>2</v>
      </c>
      <c r="L7" s="1304"/>
      <c r="M7" s="1382"/>
      <c r="O7" s="1382"/>
    </row>
    <row r="8" spans="1:15" s="1215" customFormat="1" ht="25.2" customHeight="1">
      <c r="A8" s="2957">
        <f>COUNTIF($K$1:K8,1)</f>
        <v>5</v>
      </c>
      <c r="B8" s="2958" t="str">
        <f>CT_tram!B2521</f>
        <v>SD</v>
      </c>
      <c r="C8" s="2959">
        <f>CT_tram!C2521</f>
        <v>6</v>
      </c>
      <c r="D8" s="2960">
        <f>CT_tram!D2521</f>
        <v>0</v>
      </c>
      <c r="E8" s="2961">
        <f>CT_tram!E2521</f>
        <v>0</v>
      </c>
      <c r="F8" s="2962" t="str">
        <f>CT_tram!F2521</f>
        <v xml:space="preserve">Sứ đứng 24KV </v>
      </c>
      <c r="G8" s="2963" t="str">
        <f>CT_tram!G2521</f>
        <v>cái</v>
      </c>
      <c r="H8" s="2964">
        <f>CT_tram!H2521</f>
        <v>6</v>
      </c>
      <c r="I8" s="2964">
        <f>CT_tram!I2521</f>
        <v>6</v>
      </c>
      <c r="J8" s="2965">
        <f>IFERROR(VLOOKUP(B8,DG!A:F,6,0),3000)</f>
        <v>3</v>
      </c>
      <c r="K8" s="2966">
        <f>IF(J8&lt;2000,COUNTIF($B$2:B8,B8),0)</f>
        <v>1</v>
      </c>
      <c r="L8" s="1307"/>
      <c r="M8" s="1382"/>
      <c r="O8" s="1382"/>
    </row>
    <row r="9" spans="1:15" s="1215" customFormat="1" ht="25.2" customHeight="1">
      <c r="A9" s="2957">
        <f>COUNTIF($K$1:K9,1)</f>
        <v>5</v>
      </c>
      <c r="B9" s="2958" t="str">
        <f>chitiet!B1817</f>
        <v>SD</v>
      </c>
      <c r="C9" s="2959" t="str">
        <f>chitiet!C1817</f>
        <v>x</v>
      </c>
      <c r="D9" s="2960">
        <f>chitiet!D1817</f>
        <v>1</v>
      </c>
      <c r="E9" s="2967">
        <f>chitiet!E1817</f>
        <v>0</v>
      </c>
      <c r="F9" s="2958" t="str">
        <f>chitiet!F1817</f>
        <v xml:space="preserve">Sứ đứng 24KV </v>
      </c>
      <c r="G9" s="2968" t="str">
        <f>chitiet!G1817</f>
        <v>cái</v>
      </c>
      <c r="H9" s="2968">
        <f>chitiet!H1817</f>
        <v>154</v>
      </c>
      <c r="I9" s="2968">
        <f>chitiet!P1817</f>
        <v>154</v>
      </c>
      <c r="J9" s="2965">
        <f>IFERROR(VLOOKUP(B9,DG!A:F,6,0),3000)</f>
        <v>3</v>
      </c>
      <c r="K9" s="2966">
        <f>IF(J9&lt;2000,COUNTIF($B$2:B9,B9),0)</f>
        <v>2</v>
      </c>
      <c r="L9" s="1304"/>
      <c r="M9" s="1382"/>
      <c r="O9" s="1382"/>
    </row>
    <row r="10" spans="1:15" s="1215" customFormat="1" ht="25.2" customHeight="1">
      <c r="A10" s="2957">
        <f>COUNTIF($K$1:K10,1)</f>
        <v>6</v>
      </c>
      <c r="B10" s="2972" t="str">
        <f>chitiet!B1837</f>
        <v>Stply</v>
      </c>
      <c r="C10" s="2973" t="str">
        <f>chitiet!C1837</f>
        <v>x</v>
      </c>
      <c r="D10" s="2974">
        <f>chitiet!D1837</f>
        <v>1</v>
      </c>
      <c r="E10" s="2975">
        <f>chitiet!E1837</f>
        <v>0</v>
      </c>
      <c r="F10" s="2976" t="str">
        <f>chitiet!F1837</f>
        <v>Sứ treo polymer</v>
      </c>
      <c r="G10" s="2970" t="str">
        <f>chitiet!G1837</f>
        <v>chuỗi</v>
      </c>
      <c r="H10" s="2964">
        <f>chitiet!H1837</f>
        <v>63</v>
      </c>
      <c r="I10" s="2964">
        <f>chitiet!P1837</f>
        <v>63</v>
      </c>
      <c r="J10" s="2965">
        <f>IFERROR(VLOOKUP(B10,DG!A:F,6,0),3000)</f>
        <v>3</v>
      </c>
      <c r="K10" s="2966">
        <f>IF(J10&lt;2000,COUNTIF($B$2:B10,B10),0)</f>
        <v>1</v>
      </c>
      <c r="L10" s="1307"/>
      <c r="M10" s="1382"/>
      <c r="O10" s="1382"/>
    </row>
    <row r="11" spans="1:15" s="1215" customFormat="1" ht="25.2" customHeight="1">
      <c r="A11" s="2957">
        <f>COUNTIF($K$1:K11,1)</f>
        <v>6</v>
      </c>
      <c r="B11" s="2958" t="str">
        <f>chitiet!B1844</f>
        <v>Stply</v>
      </c>
      <c r="C11" s="2959" t="str">
        <f>chitiet!C1844</f>
        <v>x</v>
      </c>
      <c r="D11" s="2960">
        <f>chitiet!D1844</f>
        <v>2</v>
      </c>
      <c r="E11" s="2961">
        <f>chitiet!E1844</f>
        <v>0</v>
      </c>
      <c r="F11" s="2962" t="str">
        <f>chitiet!F1844</f>
        <v>Sứ treo polymer</v>
      </c>
      <c r="G11" s="2963" t="str">
        <f>chitiet!G1844</f>
        <v>chuỗi</v>
      </c>
      <c r="H11" s="2964">
        <f>chitiet!H1844</f>
        <v>12</v>
      </c>
      <c r="I11" s="2964">
        <f>chitiet!P1844</f>
        <v>12</v>
      </c>
      <c r="J11" s="2965">
        <f>IFERROR(VLOOKUP(B11,DG!A:F,6,0),3000)</f>
        <v>3</v>
      </c>
      <c r="K11" s="2966">
        <f>IF(J11&lt;2000,COUNTIF($B$2:B11,B11),0)</f>
        <v>2</v>
      </c>
      <c r="L11" s="1307"/>
      <c r="M11" s="1382"/>
      <c r="O11" s="1382"/>
    </row>
    <row r="12" spans="1:15" s="1215" customFormat="1" ht="25.2" customHeight="1">
      <c r="A12" s="2957">
        <f>COUNTIF($K$1:K12,1)</f>
        <v>7</v>
      </c>
      <c r="B12" s="2958" t="str">
        <f>CT_tram!B2533</f>
        <v>cv240</v>
      </c>
      <c r="C12" s="2959">
        <f>CT_tram!C2533</f>
        <v>72</v>
      </c>
      <c r="D12" s="2960">
        <f>CT_tram!D2533</f>
        <v>0</v>
      </c>
      <c r="E12" s="2961">
        <f>CT_tram!E2533</f>
        <v>0</v>
      </c>
      <c r="F12" s="2962" t="str">
        <f>CT_tram!F2533</f>
        <v>Cáp đồng bọc CV240</v>
      </c>
      <c r="G12" s="2970" t="str">
        <f>CT_tram!G2533</f>
        <v>mét</v>
      </c>
      <c r="H12" s="2971">
        <f>CT_tram!H2533</f>
        <v>72</v>
      </c>
      <c r="I12" s="2964">
        <f>CT_tram!I2533</f>
        <v>72</v>
      </c>
      <c r="J12" s="2965">
        <f>IFERROR(VLOOKUP(B12,DG!A:F,6,0),3000)</f>
        <v>8</v>
      </c>
      <c r="K12" s="2966">
        <f>IF(J12&lt;2000,COUNTIF($B$2:B12,B12),0)</f>
        <v>1</v>
      </c>
      <c r="L12" s="1307"/>
      <c r="M12" s="1382"/>
      <c r="O12" s="1382"/>
    </row>
    <row r="13" spans="1:15" s="1215" customFormat="1" ht="25.2" customHeight="1">
      <c r="A13" s="2957">
        <f>COUNTIF($K$1:K13,1)</f>
        <v>8</v>
      </c>
      <c r="B13" s="2972" t="str">
        <f>chitiet!B1779</f>
        <v>cxv25</v>
      </c>
      <c r="C13" s="2973" t="str">
        <f>chitiet!C1779</f>
        <v>x</v>
      </c>
      <c r="D13" s="2974">
        <f>chitiet!D1779</f>
        <v>0</v>
      </c>
      <c r="E13" s="2975">
        <f>chitiet!E1779</f>
        <v>0</v>
      </c>
      <c r="F13" s="2976" t="str">
        <f>chitiet!F1779</f>
        <v>Cáp đồng bọc 24KV-CXV-25</v>
      </c>
      <c r="G13" s="2970" t="str">
        <f>chitiet!G1779</f>
        <v>mét</v>
      </c>
      <c r="H13" s="2971">
        <f>chitiet!H1779</f>
        <v>10</v>
      </c>
      <c r="I13" s="2964">
        <f>chitiet!P1779</f>
        <v>10</v>
      </c>
      <c r="J13" s="2965">
        <f>IFERROR(VLOOKUP(B13,DG!A:F,6,0),3000)</f>
        <v>8</v>
      </c>
      <c r="K13" s="2966">
        <f>IF(J13&lt;2000,COUNTIF($B$2:B13,B13),0)</f>
        <v>1</v>
      </c>
      <c r="L13" s="1307"/>
      <c r="M13" s="1382"/>
      <c r="O13" s="1382"/>
    </row>
    <row r="14" spans="1:15" s="1215" customFormat="1" ht="25.2" customHeight="1">
      <c r="A14" s="2957">
        <f>COUNTIF($K$1:K14,1)</f>
        <v>9</v>
      </c>
      <c r="B14" s="2972" t="str">
        <f>chitiet!B1780</f>
        <v>cxv95</v>
      </c>
      <c r="C14" s="2973" t="str">
        <f>chitiet!C1780</f>
        <v>x</v>
      </c>
      <c r="D14" s="2974">
        <f>chitiet!D1780</f>
        <v>0</v>
      </c>
      <c r="E14" s="2975">
        <f>chitiet!E1780</f>
        <v>0</v>
      </c>
      <c r="F14" s="2976" t="str">
        <f>chitiet!F1780</f>
        <v>Cáp đồng bọc 24KV-CXV-95</v>
      </c>
      <c r="G14" s="2970" t="str">
        <f>chitiet!G1780</f>
        <v>mét</v>
      </c>
      <c r="H14" s="2964">
        <f>chitiet!H1780</f>
        <v>15</v>
      </c>
      <c r="I14" s="2964">
        <f>chitiet!P1780</f>
        <v>15</v>
      </c>
      <c r="J14" s="2965">
        <f>IFERROR(VLOOKUP(B14,DG!A:F,6,0),3000)</f>
        <v>8</v>
      </c>
      <c r="K14" s="2966">
        <f>IF(J14&lt;2000,COUNTIF($B$2:B14,B14),0)</f>
        <v>1</v>
      </c>
      <c r="L14" s="1307"/>
      <c r="M14" s="1382"/>
      <c r="O14" s="1382"/>
    </row>
    <row r="15" spans="1:15" s="1215" customFormat="1" ht="25.2" customHeight="1">
      <c r="A15" s="2957">
        <f>COUNTIF($K$1:K15,1)</f>
        <v>10</v>
      </c>
      <c r="B15" s="2958" t="str">
        <f>CT_tram!B2580</f>
        <v>CVV4X4</v>
      </c>
      <c r="C15" s="2959">
        <f>CT_tram!C2580</f>
        <v>33</v>
      </c>
      <c r="D15" s="2960">
        <f>CT_tram!D2580</f>
        <v>0</v>
      </c>
      <c r="E15" s="2961" t="str">
        <f>CT_tram!E2580</f>
        <v>03.1401</v>
      </c>
      <c r="F15" s="2962" t="str">
        <f>CT_tram!F2580</f>
        <v xml:space="preserve">Cáp CVV 4x4mm2  </v>
      </c>
      <c r="G15" s="2963" t="str">
        <f>CT_tram!G2580</f>
        <v>mét</v>
      </c>
      <c r="H15" s="2964">
        <f>CT_tram!H2580</f>
        <v>33</v>
      </c>
      <c r="I15" s="2964">
        <f>CT_tram!I2580</f>
        <v>33</v>
      </c>
      <c r="J15" s="2965">
        <f>IFERROR(VLOOKUP(B15,DG!A:F,6,0),3000)</f>
        <v>9</v>
      </c>
      <c r="K15" s="2966">
        <f>IF(J15&lt;2000,COUNTIF($B$2:B15,B15),0)</f>
        <v>1</v>
      </c>
      <c r="L15" s="1307"/>
      <c r="M15" s="1382"/>
      <c r="O15" s="1382"/>
    </row>
    <row r="16" spans="1:15" s="1215" customFormat="1" ht="25.2" customHeight="1">
      <c r="A16" s="2957">
        <f>COUNTIF($K$1:K16,1)</f>
        <v>10</v>
      </c>
      <c r="B16" s="2958" t="str">
        <f>CT_tram!B2513</f>
        <v>cxv25</v>
      </c>
      <c r="C16" s="2959">
        <f>CT_tram!C2513</f>
        <v>36</v>
      </c>
      <c r="D16" s="2960">
        <f>CT_tram!D2513</f>
        <v>0</v>
      </c>
      <c r="E16" s="2961">
        <f>CT_tram!E2513</f>
        <v>0</v>
      </c>
      <c r="F16" s="2962" t="str">
        <f>CT_tram!F2513</f>
        <v>Cáp đồng bọc 24KV-CXV-25</v>
      </c>
      <c r="G16" s="2963" t="str">
        <f>CT_tram!G2513</f>
        <v>mét</v>
      </c>
      <c r="H16" s="2964">
        <f>CT_tram!H2513</f>
        <v>36</v>
      </c>
      <c r="I16" s="2964">
        <f>CT_tram!I2513</f>
        <v>36</v>
      </c>
      <c r="J16" s="2965">
        <f>IFERROR(VLOOKUP(B16,DG!A:F,6,0),3000)</f>
        <v>8</v>
      </c>
      <c r="K16" s="2966">
        <f>IF(J16&lt;2000,COUNTIF($B$2:B16,B16),0)</f>
        <v>2</v>
      </c>
      <c r="L16" s="1307"/>
      <c r="M16" s="1382"/>
      <c r="O16" s="1382"/>
    </row>
    <row r="17" spans="1:15" s="1215" customFormat="1" ht="25.2" customHeight="1">
      <c r="A17" s="2957">
        <f>COUNTIF($K$1:K17,1)</f>
        <v>11</v>
      </c>
      <c r="B17" s="2958" t="str">
        <f>chitiet!B1778</f>
        <v>acxh70</v>
      </c>
      <c r="C17" s="2959" t="str">
        <f>chitiet!C1778</f>
        <v>x</v>
      </c>
      <c r="D17" s="2960">
        <f>chitiet!D1778</f>
        <v>990.11</v>
      </c>
      <c r="E17" s="2967">
        <f>chitiet!E1778</f>
        <v>0</v>
      </c>
      <c r="F17" s="2958" t="str">
        <f>chitiet!F1778</f>
        <v>Cáp 24KV ACXH 70mm2</v>
      </c>
      <c r="G17" s="2968" t="str">
        <f>chitiet!G1778</f>
        <v>mét</v>
      </c>
      <c r="H17" s="2968">
        <f>chitiet!H1778</f>
        <v>1649.34</v>
      </c>
      <c r="I17" s="2968">
        <f>chitiet!P1778</f>
        <v>1649.34</v>
      </c>
      <c r="J17" s="2965">
        <f>IFERROR(VLOOKUP(B17,DG!A:F,6,0),3000)</f>
        <v>11</v>
      </c>
      <c r="K17" s="2966">
        <f>IF(J17&lt;2000,COUNTIF($B$2:B17,B17),0)</f>
        <v>1</v>
      </c>
      <c r="L17" s="1304"/>
      <c r="M17" s="1382"/>
      <c r="O17" s="1382"/>
    </row>
    <row r="18" spans="1:15" s="1215" customFormat="1" ht="25.2" customHeight="1">
      <c r="A18" s="2957">
        <f>COUNTIF($K$1:K18,1)</f>
        <v>12</v>
      </c>
      <c r="B18" s="2977" t="str">
        <f>chitiet!B1777</f>
        <v>acxh95</v>
      </c>
      <c r="C18" s="2978" t="str">
        <f>chitiet!C1777</f>
        <v>x</v>
      </c>
      <c r="D18" s="2979">
        <f>chitiet!D1777</f>
        <v>549.78</v>
      </c>
      <c r="E18" s="2983">
        <f>chitiet!E1777</f>
        <v>0</v>
      </c>
      <c r="F18" s="2984" t="str">
        <f>chitiet!F1777</f>
        <v>Cáp 24KV ACXH 95mm2</v>
      </c>
      <c r="G18" s="2981" t="str">
        <f>chitiet!G1777</f>
        <v>mét</v>
      </c>
      <c r="H18" s="2982">
        <f>chitiet!H1777</f>
        <v>2970.3420000000006</v>
      </c>
      <c r="I18" s="2982">
        <f>chitiet!P1777</f>
        <v>2970.3420000000006</v>
      </c>
      <c r="J18" s="2965">
        <f>IFERROR(VLOOKUP(B18,DG!A:F,6,0),3000)</f>
        <v>11</v>
      </c>
      <c r="K18" s="2966">
        <f>IF(J18&lt;2000,COUNTIF($B$2:B18,B18),0)</f>
        <v>1</v>
      </c>
      <c r="L18" s="1307"/>
      <c r="M18" s="1382"/>
      <c r="O18" s="1382"/>
    </row>
    <row r="19" spans="1:15" s="1215" customFormat="1" ht="25.2" customHeight="1">
      <c r="A19" s="2957">
        <f>COUNTIF($K$1:K19,1)</f>
        <v>13</v>
      </c>
      <c r="B19" s="2958" t="str">
        <f>CT_tram!B2453</f>
        <v>M25</v>
      </c>
      <c r="C19" s="2959">
        <f>CT_tram!C2453</f>
        <v>11.87</v>
      </c>
      <c r="D19" s="2960">
        <f>CT_tram!D2453</f>
        <v>0</v>
      </c>
      <c r="E19" s="2961">
        <f>CT_tram!E2453</f>
        <v>0</v>
      </c>
      <c r="F19" s="2962" t="str">
        <f>CT_tram!F2453</f>
        <v>Cáp đồng trần M25mm2: 10m noái leân voû caùc thieát bò</v>
      </c>
      <c r="G19" s="2963" t="str">
        <f>CT_tram!G2453</f>
        <v>kg</v>
      </c>
      <c r="H19" s="2964">
        <f>CT_tram!H2453</f>
        <v>11.87</v>
      </c>
      <c r="I19" s="2964">
        <f>CT_tram!I2453</f>
        <v>11.87</v>
      </c>
      <c r="J19" s="2965">
        <f>IFERROR(VLOOKUP(B19,DG!A:F,6,0),3000)</f>
        <v>12</v>
      </c>
      <c r="K19" s="2966">
        <f>IF(J19&lt;2000,COUNTIF($B$2:B19,B19),0)</f>
        <v>1</v>
      </c>
      <c r="L19" s="1304"/>
      <c r="M19" s="1382"/>
      <c r="O19" s="1382"/>
    </row>
    <row r="20" spans="1:15" s="1215" customFormat="1" ht="25.2" customHeight="1">
      <c r="A20" s="2957">
        <f>COUNTIF($K$1:K20,1)</f>
        <v>13</v>
      </c>
      <c r="B20" s="2958" t="str">
        <f>chitiet!B641</f>
        <v>m25</v>
      </c>
      <c r="C20" s="2959" t="str">
        <f>chitiet!C641</f>
        <v>x</v>
      </c>
      <c r="D20" s="2960">
        <f>chitiet!D641</f>
        <v>2.2400000000000002</v>
      </c>
      <c r="E20" s="2961">
        <f>chitiet!E641</f>
        <v>0</v>
      </c>
      <c r="F20" s="2962" t="str">
        <f>chitiet!F641</f>
        <v>Cáp đồng trần M25mm2</v>
      </c>
      <c r="G20" s="2963" t="str">
        <f>chitiet!G641</f>
        <v>kg</v>
      </c>
      <c r="H20" s="2964">
        <f>chitiet!H641</f>
        <v>6.7200000000000006</v>
      </c>
      <c r="I20" s="2964">
        <f>chitiet!P641</f>
        <v>6.7200000000000006</v>
      </c>
      <c r="J20" s="2965">
        <f>IFERROR(VLOOKUP(B20,DG!A:F,6,0),3000)</f>
        <v>12</v>
      </c>
      <c r="K20" s="2966">
        <f>IF(J20&lt;2000,COUNTIF($B$2:B20,B20),0)</f>
        <v>2</v>
      </c>
      <c r="L20" s="1307"/>
      <c r="M20" s="1382"/>
      <c r="O20" s="1382"/>
    </row>
    <row r="21" spans="1:15" s="1215" customFormat="1" ht="25.2" customHeight="1">
      <c r="A21" s="2957">
        <f>COUNTIF($K$1:K21,1)</f>
        <v>13</v>
      </c>
      <c r="B21" s="2958" t="str">
        <f>chitiet!B664</f>
        <v>m25</v>
      </c>
      <c r="C21" s="2959" t="str">
        <f>chitiet!C664</f>
        <v>x</v>
      </c>
      <c r="D21" s="2960">
        <f>chitiet!D664</f>
        <v>11.872</v>
      </c>
      <c r="E21" s="2967">
        <f>chitiet!E664</f>
        <v>0</v>
      </c>
      <c r="F21" s="2958" t="str">
        <f>chitiet!F664</f>
        <v>Cáp đồng trần M25mm2 : 25m</v>
      </c>
      <c r="G21" s="2968" t="str">
        <f>chitiet!G664</f>
        <v>kg</v>
      </c>
      <c r="H21" s="2968">
        <f>chitiet!H664</f>
        <v>11.872</v>
      </c>
      <c r="I21" s="2968">
        <f>chitiet!P664</f>
        <v>11.872</v>
      </c>
      <c r="J21" s="2965">
        <f>IFERROR(VLOOKUP(B21,DG!A:F,6,0),3000)</f>
        <v>12</v>
      </c>
      <c r="K21" s="2966">
        <f>IF(J21&lt;2000,COUNTIF($B$2:B21,B21),0)</f>
        <v>3</v>
      </c>
      <c r="L21" s="1304"/>
      <c r="M21" s="1382"/>
      <c r="O21" s="1382"/>
    </row>
    <row r="22" spans="1:15" s="1215" customFormat="1" ht="25.2" customHeight="1">
      <c r="A22" s="2957">
        <f>COUNTIF($K$1:K22,1)</f>
        <v>14</v>
      </c>
      <c r="B22" s="2972" t="str">
        <f>chitiet!B1776</f>
        <v>AC50</v>
      </c>
      <c r="C22" s="2973" t="str">
        <f>chitiet!C1776</f>
        <v>x</v>
      </c>
      <c r="D22" s="2974">
        <f>chitiet!D1776</f>
        <v>0.19500000000000001</v>
      </c>
      <c r="E22" s="2975">
        <f>chitiet!E1776</f>
        <v>549.78</v>
      </c>
      <c r="F22" s="2976" t="str">
        <f>chitiet!F1776</f>
        <v>Cáp nhôm lõi thép AC-50/8</v>
      </c>
      <c r="G22" s="2970" t="str">
        <f>chitiet!G1776</f>
        <v>kg</v>
      </c>
      <c r="H22" s="2971">
        <f>chitiet!H1776</f>
        <v>107.2071</v>
      </c>
      <c r="I22" s="2985">
        <f>chitiet!P1776</f>
        <v>107.2071</v>
      </c>
      <c r="J22" s="2965">
        <f>IFERROR(VLOOKUP(B22,DG!A:F,6,0),3000)</f>
        <v>15</v>
      </c>
      <c r="K22" s="2966">
        <f>IF(J22&lt;2000,COUNTIF($B$2:B22,B22),0)</f>
        <v>1</v>
      </c>
      <c r="L22" s="1795"/>
      <c r="M22" s="1382"/>
      <c r="O22" s="1382"/>
    </row>
    <row r="23" spans="1:15" s="1215" customFormat="1" ht="25.2" customHeight="1">
      <c r="A23" s="2957">
        <f>COUNTIF($K$1:K23,1)</f>
        <v>15</v>
      </c>
      <c r="B23" s="2958" t="str">
        <f>chitiet!B1775</f>
        <v>AC70</v>
      </c>
      <c r="C23" s="2959" t="str">
        <f>chitiet!C1775</f>
        <v>x</v>
      </c>
      <c r="D23" s="2960">
        <f>chitiet!D1775</f>
        <v>0.27400000000000002</v>
      </c>
      <c r="E23" s="2967">
        <f>chitiet!E1775</f>
        <v>990.11400000000003</v>
      </c>
      <c r="F23" s="2958" t="str">
        <f>chitiet!F1775</f>
        <v>Cáp nhôm lõi thép AC-70/11</v>
      </c>
      <c r="G23" s="2968" t="str">
        <f>chitiet!G1775</f>
        <v>kg</v>
      </c>
      <c r="H23" s="2968">
        <f>chitiet!H1775</f>
        <v>271.29123600000003</v>
      </c>
      <c r="I23" s="2968">
        <f>chitiet!P1775</f>
        <v>271.29123600000003</v>
      </c>
      <c r="J23" s="2965">
        <f>IFERROR(VLOOKUP(B23,DG!A:F,6,0),3000)</f>
        <v>15</v>
      </c>
      <c r="K23" s="2966">
        <f>IF(J23&lt;2000,COUNTIF($B$2:B23,B23),0)</f>
        <v>1</v>
      </c>
      <c r="L23" s="1304"/>
      <c r="M23" s="1382"/>
      <c r="O23" s="1382"/>
    </row>
    <row r="24" spans="1:15" s="1215" customFormat="1" ht="25.2" customHeight="1">
      <c r="A24" s="2957">
        <f>COUNTIF($K$1:K24,1)</f>
        <v>16</v>
      </c>
      <c r="B24" s="2958" t="str">
        <f>chitiet!B773</f>
        <v>T12</v>
      </c>
      <c r="C24" s="2959" t="str">
        <f>chitiet!C773</f>
        <v>x</v>
      </c>
      <c r="D24" s="2960">
        <f>chitiet!D773</f>
        <v>1</v>
      </c>
      <c r="E24" s="2961">
        <f>chitiet!E773</f>
        <v>0</v>
      </c>
      <c r="F24" s="2962" t="str">
        <f>chitiet!F773</f>
        <v>Trụ BTLT 12m F540 dự ứng lực</v>
      </c>
      <c r="G24" s="2963" t="str">
        <f>chitiet!G773</f>
        <v>trụ</v>
      </c>
      <c r="H24" s="2964">
        <f>chitiet!H773</f>
        <v>17</v>
      </c>
      <c r="I24" s="2964">
        <f>chitiet!P773</f>
        <v>17</v>
      </c>
      <c r="J24" s="2965">
        <f>IFERROR(VLOOKUP(B24,DG!A:F,6,0),3000)</f>
        <v>16</v>
      </c>
      <c r="K24" s="2966">
        <f>IF(J24&lt;2000,COUNTIF($B$2:B24,B24),0)</f>
        <v>1</v>
      </c>
      <c r="L24" s="1307"/>
      <c r="M24" s="1382"/>
      <c r="O24" s="1382"/>
    </row>
    <row r="25" spans="1:15" s="1215" customFormat="1" ht="25.2" customHeight="1">
      <c r="A25" s="2957">
        <f>COUNTIF($K$1:K25,1)</f>
        <v>17</v>
      </c>
      <c r="B25" s="2972" t="str">
        <f>chitiet!B784</f>
        <v>T14</v>
      </c>
      <c r="C25" s="2973" t="str">
        <f>chitiet!C784</f>
        <v>x</v>
      </c>
      <c r="D25" s="2974">
        <f>chitiet!D784</f>
        <v>1</v>
      </c>
      <c r="E25" s="2986">
        <f>chitiet!E784</f>
        <v>0</v>
      </c>
      <c r="F25" s="2972" t="str">
        <f>chitiet!F784</f>
        <v>Trụ BTLT 14m F650 dự ứng lực</v>
      </c>
      <c r="G25" s="2987" t="str">
        <f>chitiet!G784</f>
        <v>trụ</v>
      </c>
      <c r="H25" s="2987">
        <f>chitiet!H784</f>
        <v>7</v>
      </c>
      <c r="I25" s="2969">
        <f>chitiet!P784</f>
        <v>7</v>
      </c>
      <c r="J25" s="2965">
        <f>IFERROR(VLOOKUP(B25,DG!A:F,6,0),3000)</f>
        <v>16</v>
      </c>
      <c r="K25" s="2966">
        <f>IF(J25&lt;2000,COUNTIF($B$2:B25,B25),0)</f>
        <v>1</v>
      </c>
      <c r="L25" s="1304"/>
      <c r="M25" s="1382"/>
      <c r="O25" s="1382"/>
    </row>
    <row r="26" spans="1:15" s="1215" customFormat="1" ht="25.2" customHeight="1">
      <c r="A26" s="2957">
        <f>COUNTIF($K$1:K26,1)</f>
        <v>18</v>
      </c>
      <c r="B26" s="2958" t="str">
        <f>chitiet!B1108</f>
        <v>com800</v>
      </c>
      <c r="C26" s="2959" t="str">
        <f>chitiet!C1108</f>
        <v>x</v>
      </c>
      <c r="D26" s="2960">
        <f>chitiet!D1108</f>
        <v>1</v>
      </c>
      <c r="E26" s="2967">
        <f>chitiet!E1108</f>
        <v>0</v>
      </c>
      <c r="F26" s="2958" t="str">
        <f>chitiet!F1108</f>
        <v>Đà composite 0,8m</v>
      </c>
      <c r="G26" s="2968" t="str">
        <f>chitiet!G1108</f>
        <v>cây</v>
      </c>
      <c r="H26" s="2968">
        <f>chitiet!H1108</f>
        <v>1</v>
      </c>
      <c r="I26" s="2968">
        <f>chitiet!P1108</f>
        <v>1</v>
      </c>
      <c r="J26" s="2965">
        <f>IFERROR(VLOOKUP(B26,DG!A:F,6,0),3000)</f>
        <v>17</v>
      </c>
      <c r="K26" s="2966">
        <f>IF(J26&lt;2000,COUNTIF($B$2:B26,B26),0)</f>
        <v>1</v>
      </c>
      <c r="L26" s="1307"/>
      <c r="M26" s="1382"/>
      <c r="O26" s="1382"/>
    </row>
    <row r="27" spans="1:15" s="1215" customFormat="1" ht="25.2" customHeight="1">
      <c r="A27" s="2957">
        <f>COUNTIF($K$1:K27,1)</f>
        <v>19</v>
      </c>
      <c r="B27" s="2958" t="str">
        <f>CT_tram!B2382</f>
        <v>acb1600</v>
      </c>
      <c r="C27" s="2959">
        <f>CT_tram!C2382</f>
        <v>1</v>
      </c>
      <c r="D27" s="2960">
        <f>CT_tram!D2382</f>
        <v>5</v>
      </c>
      <c r="E27" s="2961" t="str">
        <f>CT_tram!E2382</f>
        <v>02.8404</v>
      </c>
      <c r="F27" s="2962" t="str">
        <f>CT_tram!F2382</f>
        <v>ACB 3P - 1600A - 65KA (nạp lò xo bằng tay)</v>
      </c>
      <c r="G27" s="2963" t="str">
        <f>CT_tram!G2382</f>
        <v>cái</v>
      </c>
      <c r="H27" s="2964">
        <f>CT_tram!H2382</f>
        <v>1</v>
      </c>
      <c r="I27" s="2964">
        <f>CT_tram!I2382</f>
        <v>1</v>
      </c>
      <c r="J27" s="2965">
        <f>IFERROR(VLOOKUP(B27,DG!A:F,6,0),3000)</f>
        <v>50</v>
      </c>
      <c r="K27" s="2966">
        <f>IF(J27&lt;2000,COUNTIF($B$2:B27,B27),0)</f>
        <v>1</v>
      </c>
      <c r="L27" s="1307"/>
      <c r="M27" s="1382"/>
      <c r="O27" s="1382"/>
    </row>
    <row r="28" spans="1:15" s="1215" customFormat="1" ht="25.2" customHeight="1">
      <c r="A28" s="2957">
        <f>COUNTIF($K$1:K28,1)</f>
        <v>20</v>
      </c>
      <c r="B28" s="2972" t="str">
        <f>CT_tram!B2582</f>
        <v>b1050</v>
      </c>
      <c r="C28" s="2973">
        <f>CT_tram!C2582</f>
        <v>24</v>
      </c>
      <c r="D28" s="2974">
        <f>CT_tram!D2582</f>
        <v>0</v>
      </c>
      <c r="E28" s="2975">
        <f>CT_tram!E2582</f>
        <v>0</v>
      </c>
      <c r="F28" s="2976" t="str">
        <f>CT_tram!F2582</f>
        <v>Boulon 10x50+ 2 long đền vuông D12-50x50x3/Zn</v>
      </c>
      <c r="G28" s="2970" t="str">
        <f>CT_tram!G2582</f>
        <v>bộ</v>
      </c>
      <c r="H28" s="2964">
        <f>CT_tram!H2582</f>
        <v>24</v>
      </c>
      <c r="I28" s="2964">
        <f>CT_tram!I2582</f>
        <v>24</v>
      </c>
      <c r="J28" s="2965">
        <f>IFERROR(VLOOKUP(B28,DG!A:F,6,0),3000)</f>
        <v>50</v>
      </c>
      <c r="K28" s="2966">
        <f>IF(J28&lt;2000,COUNTIF($B$2:B28,B28),0)</f>
        <v>1</v>
      </c>
      <c r="L28" s="1307"/>
      <c r="M28" s="1382"/>
      <c r="O28" s="1382"/>
    </row>
    <row r="29" spans="1:15" s="1215" customFormat="1" ht="25.2" customHeight="1">
      <c r="A29" s="2957">
        <f>COUNTIF($K$1:K29,1)</f>
        <v>21</v>
      </c>
      <c r="B29" s="2958" t="str">
        <f>CT_tram!B2570</f>
        <v>B14350</v>
      </c>
      <c r="C29" s="2959">
        <f>CT_tram!C2570</f>
        <v>36</v>
      </c>
      <c r="D29" s="2960">
        <f>CT_tram!D2570</f>
        <v>0</v>
      </c>
      <c r="E29" s="2961">
        <f>CT_tram!E2570</f>
        <v>0</v>
      </c>
      <c r="F29" s="2962" t="str">
        <f>CT_tram!F2570</f>
        <v>Boulon 14x350+ 2 long đền vuông D16-50x50x3/Zn</v>
      </c>
      <c r="G29" s="2963" t="str">
        <f>CT_tram!G2570</f>
        <v>bộ</v>
      </c>
      <c r="H29" s="2964">
        <f>CT_tram!H2570</f>
        <v>36</v>
      </c>
      <c r="I29" s="2964">
        <f>CT_tram!I2570</f>
        <v>36</v>
      </c>
      <c r="J29" s="2965">
        <f>IFERROR(VLOOKUP(B29,DG!A:F,6,0),3000)</f>
        <v>50</v>
      </c>
      <c r="K29" s="2966">
        <f>IF(J29&lt;2000,COUNTIF($B$2:B29,B29),0)</f>
        <v>1</v>
      </c>
      <c r="L29" s="1307"/>
      <c r="M29" s="1382"/>
      <c r="O29" s="1382"/>
    </row>
    <row r="30" spans="1:15" s="1215" customFormat="1" ht="25.2" customHeight="1">
      <c r="A30" s="2957">
        <f>COUNTIF($K$1:K30,1)</f>
        <v>22</v>
      </c>
      <c r="B30" s="2958" t="str">
        <f>chitiet!B1111</f>
        <v>B16150</v>
      </c>
      <c r="C30" s="2959" t="str">
        <f>chitiet!C1111</f>
        <v>x</v>
      </c>
      <c r="D30" s="2960">
        <f>chitiet!D1111</f>
        <v>2</v>
      </c>
      <c r="E30" s="2961">
        <f>chitiet!E1111</f>
        <v>0</v>
      </c>
      <c r="F30" s="2962" t="str">
        <f>chitiet!F1111</f>
        <v>Boulon 16x150+ 2 long đền vuông D18-50x50x3/Zn</v>
      </c>
      <c r="G30" s="2963" t="str">
        <f>chitiet!G1111</f>
        <v>bộ</v>
      </c>
      <c r="H30" s="2964">
        <f>chitiet!H1111</f>
        <v>2</v>
      </c>
      <c r="I30" s="2964">
        <f>chitiet!P1111</f>
        <v>2</v>
      </c>
      <c r="J30" s="2965">
        <f>IFERROR(VLOOKUP(B30,DG!A:F,6,0),3000)</f>
        <v>50</v>
      </c>
      <c r="K30" s="2966">
        <f>IF(J30&lt;2000,COUNTIF($B$2:B30,B30),0)</f>
        <v>1</v>
      </c>
      <c r="L30" s="1307"/>
      <c r="M30" s="1382"/>
      <c r="O30" s="1382"/>
    </row>
    <row r="31" spans="1:15" s="1215" customFormat="1" ht="25.2" customHeight="1">
      <c r="A31" s="2957">
        <f>COUNTIF($K$1:K31,1)</f>
        <v>23</v>
      </c>
      <c r="B31" s="2972" t="str">
        <f>CT_tram!B2420</f>
        <v>B16250</v>
      </c>
      <c r="C31" s="2973">
        <f>CT_tram!C2420</f>
        <v>2</v>
      </c>
      <c r="D31" s="2974">
        <f>CT_tram!D2420</f>
        <v>0</v>
      </c>
      <c r="E31" s="2975">
        <f>CT_tram!E2420</f>
        <v>0</v>
      </c>
      <c r="F31" s="2976" t="str">
        <f>CT_tram!F2420</f>
        <v>Boulon 16x250+ 2 long đền vuông D18-50x50x3/Zn</v>
      </c>
      <c r="G31" s="2970" t="str">
        <f>CT_tram!G2420</f>
        <v>bộ</v>
      </c>
      <c r="H31" s="2971">
        <f>CT_tram!H2420</f>
        <v>2</v>
      </c>
      <c r="I31" s="2964">
        <f>CT_tram!I2420</f>
        <v>2</v>
      </c>
      <c r="J31" s="2965">
        <f>IFERROR(VLOOKUP(B31,DG!A:F,6,0),3000)</f>
        <v>50</v>
      </c>
      <c r="K31" s="2966">
        <f>IF(J31&lt;2000,COUNTIF($B$2:B31,B31),0)</f>
        <v>1</v>
      </c>
      <c r="L31" s="1795"/>
      <c r="M31" s="1382"/>
      <c r="O31" s="1382"/>
    </row>
    <row r="32" spans="1:15" s="1215" customFormat="1" ht="25.2" customHeight="1">
      <c r="A32" s="2957">
        <f>COUNTIF($K$1:K32,1)</f>
        <v>23</v>
      </c>
      <c r="B32" s="2958" t="str">
        <f>chitiet!B976</f>
        <v>B16250</v>
      </c>
      <c r="C32" s="2959" t="str">
        <f>chitiet!C976</f>
        <v>x</v>
      </c>
      <c r="D32" s="2960">
        <f>chitiet!D976</f>
        <v>2</v>
      </c>
      <c r="E32" s="2967">
        <f>chitiet!E976</f>
        <v>0</v>
      </c>
      <c r="F32" s="2958" t="str">
        <f>chitiet!F976</f>
        <v>Boulon 16x250+ 2 long đền vuông D18-50x50x3/Zn</v>
      </c>
      <c r="G32" s="2968" t="str">
        <f>chitiet!G976</f>
        <v>bộ</v>
      </c>
      <c r="H32" s="2968">
        <f>chitiet!H976</f>
        <v>44</v>
      </c>
      <c r="I32" s="2969">
        <f>chitiet!P976</f>
        <v>44</v>
      </c>
      <c r="J32" s="2965">
        <f>IFERROR(VLOOKUP(B32,DG!A:F,6,0),3000)</f>
        <v>50</v>
      </c>
      <c r="K32" s="2966">
        <f>IF(J32&lt;2000,COUNTIF($B$2:B32,B32),0)</f>
        <v>2</v>
      </c>
      <c r="L32" s="1304"/>
      <c r="M32" s="1382"/>
      <c r="O32" s="1382"/>
    </row>
    <row r="33" spans="1:15" s="1215" customFormat="1" ht="25.2" customHeight="1">
      <c r="A33" s="2957">
        <f>COUNTIF($K$1:K33,1)</f>
        <v>24</v>
      </c>
      <c r="B33" s="2958" t="str">
        <f>CT_tram!B2436</f>
        <v>B16300</v>
      </c>
      <c r="C33" s="2959">
        <f>CT_tram!C2436</f>
        <v>4</v>
      </c>
      <c r="D33" s="2960">
        <f>CT_tram!D2436</f>
        <v>0</v>
      </c>
      <c r="E33" s="2961">
        <f>CT_tram!E2436</f>
        <v>0</v>
      </c>
      <c r="F33" s="2962" t="str">
        <f>CT_tram!F2436</f>
        <v>Boulon 16x300+ 2 long đền vuông D18-50x50x3/Zn</v>
      </c>
      <c r="G33" s="2963" t="str">
        <f>CT_tram!G2436</f>
        <v>bộ</v>
      </c>
      <c r="H33" s="2964">
        <f>CT_tram!H2436</f>
        <v>4</v>
      </c>
      <c r="I33" s="2964">
        <f>CT_tram!I2436</f>
        <v>4</v>
      </c>
      <c r="J33" s="2965">
        <f>IFERROR(VLOOKUP(B33,DG!A:F,6,0),3000)</f>
        <v>50</v>
      </c>
      <c r="K33" s="2966">
        <f>IF(J33&lt;2000,COUNTIF($B$2:B33,B33),0)</f>
        <v>1</v>
      </c>
      <c r="L33" s="1307"/>
      <c r="M33" s="1382"/>
      <c r="O33" s="1382"/>
    </row>
    <row r="34" spans="1:15" s="1215" customFormat="1" ht="25.2" customHeight="1">
      <c r="A34" s="2957">
        <f>COUNTIF($K$1:K34,1)</f>
        <v>24</v>
      </c>
      <c r="B34" s="2958" t="str">
        <f>chitiet!B956</f>
        <v>B16300</v>
      </c>
      <c r="C34" s="2959" t="str">
        <f>chitiet!C956</f>
        <v>x</v>
      </c>
      <c r="D34" s="2960">
        <f>chitiet!D956</f>
        <v>2</v>
      </c>
      <c r="E34" s="2961">
        <f>chitiet!E956</f>
        <v>0</v>
      </c>
      <c r="F34" s="2962" t="str">
        <f>chitiet!F956</f>
        <v>Boulon 16x300+ 2 long đền vuông D18-50x50x3/Zn</v>
      </c>
      <c r="G34" s="2963" t="str">
        <f>chitiet!G956</f>
        <v>bộ</v>
      </c>
      <c r="H34" s="2964">
        <f>chitiet!H956</f>
        <v>2</v>
      </c>
      <c r="I34" s="2964">
        <f>chitiet!P956</f>
        <v>2</v>
      </c>
      <c r="J34" s="2965">
        <f>IFERROR(VLOOKUP(B34,DG!A:F,6,0),3000)</f>
        <v>50</v>
      </c>
      <c r="K34" s="2966">
        <f>IF(J34&lt;2000,COUNTIF($B$2:B34,B34),0)</f>
        <v>2</v>
      </c>
      <c r="L34" s="1307"/>
      <c r="M34" s="1382"/>
      <c r="O34" s="1382"/>
    </row>
    <row r="35" spans="1:15" s="1215" customFormat="1" ht="25.2" customHeight="1">
      <c r="A35" s="2957">
        <f>COUNTIF($K$1:K35,1)</f>
        <v>24</v>
      </c>
      <c r="B35" s="2958" t="str">
        <f>chitiet!B967</f>
        <v>B16300</v>
      </c>
      <c r="C35" s="2959" t="str">
        <f>chitiet!C967</f>
        <v>x</v>
      </c>
      <c r="D35" s="2960">
        <f>chitiet!D967</f>
        <v>2</v>
      </c>
      <c r="E35" s="2961">
        <f>chitiet!E967</f>
        <v>0</v>
      </c>
      <c r="F35" s="2962" t="str">
        <f>chitiet!F967</f>
        <v>Boulon 16x300+ 2 long đền vuông D18-50x50x3/Zn</v>
      </c>
      <c r="G35" s="2963" t="str">
        <f>chitiet!G967</f>
        <v>bộ</v>
      </c>
      <c r="H35" s="2964">
        <f>chitiet!H967</f>
        <v>2</v>
      </c>
      <c r="I35" s="2964">
        <f>chitiet!P967</f>
        <v>2</v>
      </c>
      <c r="J35" s="2965">
        <f>IFERROR(VLOOKUP(B35,DG!A:F,6,0),3000)</f>
        <v>50</v>
      </c>
      <c r="K35" s="2966">
        <f>IF(J35&lt;2000,COUNTIF($B$2:B35,B35),0)</f>
        <v>3</v>
      </c>
      <c r="L35" s="1307"/>
      <c r="M35" s="1382"/>
      <c r="O35" s="1382"/>
    </row>
    <row r="36" spans="1:15" s="1215" customFormat="1" ht="25.2" customHeight="1">
      <c r="A36" s="2957">
        <f>COUNTIF($K$1:K36,1)</f>
        <v>24</v>
      </c>
      <c r="B36" s="2958" t="str">
        <f>chitiet!B986</f>
        <v>B16300</v>
      </c>
      <c r="C36" s="2959" t="str">
        <f>chitiet!C986</f>
        <v>x</v>
      </c>
      <c r="D36" s="2960">
        <f>chitiet!D986</f>
        <v>2</v>
      </c>
      <c r="E36" s="2961">
        <f>chitiet!E986</f>
        <v>0</v>
      </c>
      <c r="F36" s="2962" t="str">
        <f>chitiet!F986</f>
        <v>Boulon 16x300+ 2 long đền vuông D18-50x50x3/Zn</v>
      </c>
      <c r="G36" s="2970" t="str">
        <f>chitiet!G986</f>
        <v>bộ</v>
      </c>
      <c r="H36" s="2971">
        <f>chitiet!H986</f>
        <v>6</v>
      </c>
      <c r="I36" s="2964">
        <f>chitiet!P986</f>
        <v>6</v>
      </c>
      <c r="J36" s="2965">
        <f>IFERROR(VLOOKUP(B36,DG!A:F,6,0),3000)</f>
        <v>50</v>
      </c>
      <c r="K36" s="2966">
        <f>IF(J36&lt;2000,COUNTIF($B$2:B36,B36),0)</f>
        <v>4</v>
      </c>
      <c r="L36" s="1307"/>
      <c r="M36" s="1382"/>
      <c r="O36" s="1382"/>
    </row>
    <row r="37" spans="1:15" s="1215" customFormat="1" ht="25.2" customHeight="1">
      <c r="A37" s="2957">
        <f>COUNTIF($K$1:K37,1)</f>
        <v>24</v>
      </c>
      <c r="B37" s="2958" t="str">
        <f>chitiet!B1793</f>
        <v>B16300</v>
      </c>
      <c r="C37" s="2959" t="str">
        <f>chitiet!C1793</f>
        <v>x</v>
      </c>
      <c r="D37" s="2960">
        <f>chitiet!D1793</f>
        <v>1</v>
      </c>
      <c r="E37" s="2961">
        <f>chitiet!E1793</f>
        <v>0</v>
      </c>
      <c r="F37" s="2962" t="str">
        <f>chitiet!F1793</f>
        <v>Boulon 16x300+ 2 long đền vuông D18-50x50x3/Zn</v>
      </c>
      <c r="G37" s="2963" t="str">
        <f>chitiet!G1793</f>
        <v>bộ</v>
      </c>
      <c r="H37" s="2964">
        <f>chitiet!H1793</f>
        <v>5</v>
      </c>
      <c r="I37" s="2964">
        <f>chitiet!P1793</f>
        <v>5</v>
      </c>
      <c r="J37" s="2965">
        <f>IFERROR(VLOOKUP(B37,DG!A:F,6,0),3000)</f>
        <v>50</v>
      </c>
      <c r="K37" s="2966">
        <f>IF(J37&lt;2000,COUNTIF($B$2:B37,B37),0)</f>
        <v>5</v>
      </c>
      <c r="L37" s="1307"/>
      <c r="M37" s="1382"/>
      <c r="O37" s="1382"/>
    </row>
    <row r="38" spans="1:15" s="1215" customFormat="1" ht="25.2" customHeight="1">
      <c r="A38" s="2957">
        <f>COUNTIF($K$1:K38,1)</f>
        <v>25</v>
      </c>
      <c r="B38" s="2958" t="str">
        <f>CT_tram!B2438</f>
        <v>B16300V</v>
      </c>
      <c r="C38" s="2959">
        <f>CT_tram!C2438</f>
        <v>8</v>
      </c>
      <c r="D38" s="2960">
        <f>CT_tram!D2438</f>
        <v>0</v>
      </c>
      <c r="E38" s="2967">
        <f>CT_tram!E2438</f>
        <v>0</v>
      </c>
      <c r="F38" s="2958" t="str">
        <f>CT_tram!F2438</f>
        <v>Boulon 16x300VRS+ 4 long đền vuông D18-50x50x3/Zn</v>
      </c>
      <c r="G38" s="2968" t="str">
        <f>CT_tram!G2438</f>
        <v>bộ</v>
      </c>
      <c r="H38" s="2968">
        <f>CT_tram!H2438</f>
        <v>8</v>
      </c>
      <c r="I38" s="2968">
        <f>CT_tram!I2438</f>
        <v>8</v>
      </c>
      <c r="J38" s="2965">
        <f>IFERROR(VLOOKUP(B38,DG!A:F,6,0),3000)</f>
        <v>50</v>
      </c>
      <c r="K38" s="2966">
        <f>IF(J38&lt;2000,COUNTIF($B$2:B38,B38),0)</f>
        <v>1</v>
      </c>
      <c r="L38" s="1304"/>
      <c r="M38" s="1382"/>
      <c r="O38" s="1382"/>
    </row>
    <row r="39" spans="1:15" s="1215" customFormat="1" ht="25.2" customHeight="1">
      <c r="A39" s="2957">
        <f>COUNTIF($K$1:K39,1)</f>
        <v>25</v>
      </c>
      <c r="B39" s="2958" t="str">
        <f>chitiet!B966</f>
        <v>B16300v</v>
      </c>
      <c r="C39" s="2959" t="str">
        <f>chitiet!C966</f>
        <v>x</v>
      </c>
      <c r="D39" s="2960">
        <f>chitiet!D966</f>
        <v>3</v>
      </c>
      <c r="E39" s="2961">
        <f>chitiet!E966</f>
        <v>0</v>
      </c>
      <c r="F39" s="2962" t="str">
        <f>chitiet!F966</f>
        <v>Boulon 16x300VRS+ 4 long đền vuông D18-50x50x3/Zn</v>
      </c>
      <c r="G39" s="2963" t="str">
        <f>chitiet!G966</f>
        <v>bộ</v>
      </c>
      <c r="H39" s="2964">
        <f>chitiet!H966</f>
        <v>3</v>
      </c>
      <c r="I39" s="2964">
        <f>chitiet!P966</f>
        <v>3</v>
      </c>
      <c r="J39" s="2965">
        <f>IFERROR(VLOOKUP(B39,DG!A:F,6,0),3000)</f>
        <v>50</v>
      </c>
      <c r="K39" s="2966">
        <f>IF(J39&lt;2000,COUNTIF($B$2:B39,B39),0)</f>
        <v>2</v>
      </c>
      <c r="L39" s="1307"/>
      <c r="M39" s="1382"/>
      <c r="O39" s="1382"/>
    </row>
    <row r="40" spans="1:15" s="1215" customFormat="1" ht="25.2" customHeight="1">
      <c r="A40" s="2957">
        <f>COUNTIF($K$1:K40,1)</f>
        <v>25</v>
      </c>
      <c r="B40" s="2958" t="str">
        <f>chitiet!B985</f>
        <v>B16300v</v>
      </c>
      <c r="C40" s="2959" t="str">
        <f>chitiet!C985</f>
        <v>x</v>
      </c>
      <c r="D40" s="2960">
        <f>chitiet!D985</f>
        <v>3</v>
      </c>
      <c r="E40" s="2961">
        <f>chitiet!E985</f>
        <v>0</v>
      </c>
      <c r="F40" s="2962" t="str">
        <f>chitiet!F985</f>
        <v>Boulon 16x300VRS+ 4 long đền vuông D18-50x50x3/Zn</v>
      </c>
      <c r="G40" s="2963" t="str">
        <f>chitiet!G985</f>
        <v>bộ</v>
      </c>
      <c r="H40" s="2964">
        <f>chitiet!H985</f>
        <v>9</v>
      </c>
      <c r="I40" s="2964">
        <f>chitiet!P985</f>
        <v>9</v>
      </c>
      <c r="J40" s="2965">
        <f>IFERROR(VLOOKUP(B40,DG!A:F,6,0),3000)</f>
        <v>50</v>
      </c>
      <c r="K40" s="2966">
        <f>IF(J40&lt;2000,COUNTIF($B$2:B40,B40),0)</f>
        <v>3</v>
      </c>
      <c r="L40" s="1795"/>
      <c r="M40" s="1382"/>
      <c r="O40" s="1382"/>
    </row>
    <row r="41" spans="1:15" s="1215" customFormat="1" ht="25.2" customHeight="1">
      <c r="A41" s="2957">
        <f>COUNTIF($K$1:K41,1)</f>
        <v>26</v>
      </c>
      <c r="B41" s="2958" t="str">
        <f>chitiet!B968</f>
        <v>B1635</v>
      </c>
      <c r="C41" s="2959" t="str">
        <f>chitiet!C968</f>
        <v>x</v>
      </c>
      <c r="D41" s="2960">
        <f>chitiet!D968</f>
        <v>2</v>
      </c>
      <c r="E41" s="2961">
        <f>chitiet!E968</f>
        <v>0</v>
      </c>
      <c r="F41" s="2962" t="str">
        <f>chitiet!F968</f>
        <v>Boulon 16x35+ 2 long đền vuông D18-50x50x3/Zn</v>
      </c>
      <c r="G41" s="2963" t="str">
        <f>chitiet!G968</f>
        <v>bộ</v>
      </c>
      <c r="H41" s="2964">
        <f>chitiet!H968</f>
        <v>2</v>
      </c>
      <c r="I41" s="2964">
        <f>chitiet!P968</f>
        <v>2</v>
      </c>
      <c r="J41" s="2965">
        <f>IFERROR(VLOOKUP(B41,DG!A:F,6,0),3000)</f>
        <v>50</v>
      </c>
      <c r="K41" s="2966">
        <f>IF(J41&lt;2000,COUNTIF($B$2:B41,B41),0)</f>
        <v>1</v>
      </c>
      <c r="L41" s="1307"/>
      <c r="M41" s="1382"/>
      <c r="O41" s="1382"/>
    </row>
    <row r="42" spans="1:15" s="1215" customFormat="1" ht="25.2" customHeight="1">
      <c r="A42" s="2957">
        <f>COUNTIF($K$1:K42,1)</f>
        <v>26</v>
      </c>
      <c r="B42" s="2958" t="str">
        <f>chitiet!B977</f>
        <v>B1635</v>
      </c>
      <c r="C42" s="2959" t="str">
        <f>chitiet!C977</f>
        <v>x</v>
      </c>
      <c r="D42" s="2960">
        <f>chitiet!D977</f>
        <v>1</v>
      </c>
      <c r="E42" s="2961">
        <f>chitiet!E977</f>
        <v>0</v>
      </c>
      <c r="F42" s="2962" t="str">
        <f>chitiet!F977</f>
        <v>Boulon 16x35+ 2 long đền vuông D18-50x50x3/Zn</v>
      </c>
      <c r="G42" s="2963" t="str">
        <f>chitiet!G977</f>
        <v>bộ</v>
      </c>
      <c r="H42" s="2964">
        <f>chitiet!H977</f>
        <v>22</v>
      </c>
      <c r="I42" s="2964">
        <f>chitiet!P977</f>
        <v>22</v>
      </c>
      <c r="J42" s="2965">
        <f>IFERROR(VLOOKUP(B42,DG!A:F,6,0),3000)</f>
        <v>50</v>
      </c>
      <c r="K42" s="2966">
        <f>IF(J42&lt;2000,COUNTIF($B$2:B42,B42),0)</f>
        <v>2</v>
      </c>
      <c r="L42" s="1307"/>
      <c r="M42" s="1382"/>
      <c r="O42" s="1382"/>
    </row>
    <row r="43" spans="1:15" s="1215" customFormat="1" ht="25.2" customHeight="1">
      <c r="A43" s="2957">
        <f>COUNTIF($K$1:K43,1)</f>
        <v>27</v>
      </c>
      <c r="B43" s="2977" t="str">
        <f>CT_tram!B2421</f>
        <v>B16350</v>
      </c>
      <c r="C43" s="2978">
        <f>CT_tram!C2421</f>
        <v>2</v>
      </c>
      <c r="D43" s="2979">
        <f>CT_tram!D2421</f>
        <v>0</v>
      </c>
      <c r="E43" s="2980">
        <f>CT_tram!E2421</f>
        <v>0</v>
      </c>
      <c r="F43" s="2977" t="str">
        <f>CT_tram!F2421</f>
        <v>Boulon 16x350+ 2 long đền vuông D18-50x50x3/Zn</v>
      </c>
      <c r="G43" s="2969" t="str">
        <f>CT_tram!G2421</f>
        <v>bộ</v>
      </c>
      <c r="H43" s="2969">
        <f>CT_tram!H2421</f>
        <v>2</v>
      </c>
      <c r="I43" s="2969">
        <f>CT_tram!I2421</f>
        <v>2</v>
      </c>
      <c r="J43" s="2965">
        <f>IFERROR(VLOOKUP(B43,DG!A:F,6,0),3000)</f>
        <v>50</v>
      </c>
      <c r="K43" s="2966">
        <f>IF(J43&lt;2000,COUNTIF($B$2:B43,B43),0)</f>
        <v>1</v>
      </c>
      <c r="L43" s="1304"/>
      <c r="M43" s="1382"/>
      <c r="O43" s="1382"/>
    </row>
    <row r="44" spans="1:15" s="1215" customFormat="1" ht="25.2" customHeight="1">
      <c r="A44" s="2957">
        <f>COUNTIF($K$1:K44,1)</f>
        <v>27</v>
      </c>
      <c r="B44" s="2958" t="str">
        <f>chitiet!B1884</f>
        <v>b16350</v>
      </c>
      <c r="C44" s="2959" t="str">
        <f>chitiet!C1884</f>
        <v>x</v>
      </c>
      <c r="D44" s="2960">
        <f>chitiet!D1884</f>
        <v>5</v>
      </c>
      <c r="E44" s="2961">
        <f>chitiet!E1884</f>
        <v>0</v>
      </c>
      <c r="F44" s="2962" t="str">
        <f>chitiet!F1884</f>
        <v>Boulon 16x350+ 2 long đền vuông D18-50x50x3/Zn</v>
      </c>
      <c r="G44" s="2963" t="str">
        <f>chitiet!G1884</f>
        <v>bộ</v>
      </c>
      <c r="H44" s="2964">
        <f>chitiet!H1884</f>
        <v>5</v>
      </c>
      <c r="I44" s="2964">
        <f>chitiet!P1884</f>
        <v>5</v>
      </c>
      <c r="J44" s="2965">
        <f>IFERROR(VLOOKUP(B44,DG!A:F,6,0),3000)</f>
        <v>50</v>
      </c>
      <c r="K44" s="2966">
        <f>IF(J44&lt;2000,COUNTIF($B$2:B44,B44),0)</f>
        <v>2</v>
      </c>
      <c r="L44" s="1307"/>
      <c r="M44" s="1382"/>
      <c r="O44" s="1382"/>
    </row>
    <row r="45" spans="1:15" s="1215" customFormat="1" ht="25.2" customHeight="1">
      <c r="A45" s="2957">
        <f>COUNTIF($K$1:K45,1)</f>
        <v>28</v>
      </c>
      <c r="B45" s="2958" t="str">
        <f>chitiet!B1112</f>
        <v>B16400</v>
      </c>
      <c r="C45" s="2959" t="str">
        <f>chitiet!C1112</f>
        <v>x</v>
      </c>
      <c r="D45" s="2960">
        <f>chitiet!D1112</f>
        <v>2</v>
      </c>
      <c r="E45" s="2961">
        <f>chitiet!E1112</f>
        <v>0</v>
      </c>
      <c r="F45" s="2962" t="str">
        <f>chitiet!F1112</f>
        <v>Boulon 16x400+ 2 long đền vuông D18-50x50x3/Zn</v>
      </c>
      <c r="G45" s="2963" t="str">
        <f>chitiet!G1112</f>
        <v>bộ</v>
      </c>
      <c r="H45" s="2964">
        <f>chitiet!H1112</f>
        <v>2</v>
      </c>
      <c r="I45" s="2964">
        <f>chitiet!P1112</f>
        <v>2</v>
      </c>
      <c r="J45" s="2965">
        <f>IFERROR(VLOOKUP(B45,DG!A:F,6,0),3000)</f>
        <v>50</v>
      </c>
      <c r="K45" s="2966">
        <f>IF(J45&lt;2000,COUNTIF($B$2:B45,B45),0)</f>
        <v>1</v>
      </c>
      <c r="L45" s="1307"/>
      <c r="M45" s="1796"/>
      <c r="N45" s="1797"/>
      <c r="O45" s="1796"/>
    </row>
    <row r="46" spans="1:15" s="1215" customFormat="1" ht="25.2" customHeight="1">
      <c r="A46" s="2957">
        <f>COUNTIF($K$1:K46,1)</f>
        <v>29</v>
      </c>
      <c r="B46" s="2958" t="str">
        <f>CT_tram!B2437</f>
        <v>B1650</v>
      </c>
      <c r="C46" s="2959">
        <f>CT_tram!C2437</f>
        <v>8</v>
      </c>
      <c r="D46" s="2960">
        <f>CT_tram!D2437</f>
        <v>0</v>
      </c>
      <c r="E46" s="2961">
        <f>CT_tram!E2437</f>
        <v>0</v>
      </c>
      <c r="F46" s="2962" t="str">
        <f>CT_tram!F2437</f>
        <v>Boulon 16x50+ 2 long đền vuông D18-50x50x3/Zn</v>
      </c>
      <c r="G46" s="2963" t="str">
        <f>CT_tram!G2437</f>
        <v>bộ</v>
      </c>
      <c r="H46" s="2964">
        <f>CT_tram!H2437</f>
        <v>8</v>
      </c>
      <c r="I46" s="2964">
        <f>CT_tram!I2437</f>
        <v>8</v>
      </c>
      <c r="J46" s="2965">
        <f>IFERROR(VLOOKUP(B46,DG!A:F,6,0),3000)</f>
        <v>50</v>
      </c>
      <c r="K46" s="2966">
        <f>IF(J46&lt;2000,COUNTIF($B$2:B46,B46),0)</f>
        <v>1</v>
      </c>
      <c r="L46" s="1307"/>
      <c r="M46" s="1382"/>
      <c r="O46" s="1382"/>
    </row>
    <row r="47" spans="1:15" s="1215" customFormat="1" ht="25.2" customHeight="1">
      <c r="A47" s="2957">
        <f>COUNTIF($K$1:K47,1)</f>
        <v>29</v>
      </c>
      <c r="B47" s="2958" t="str">
        <f>chitiet!B880</f>
        <v>B1650</v>
      </c>
      <c r="C47" s="2959" t="str">
        <f>chitiet!C880</f>
        <v>x</v>
      </c>
      <c r="D47" s="2960">
        <f>chitiet!D880</f>
        <v>4</v>
      </c>
      <c r="E47" s="2961">
        <f>chitiet!E880</f>
        <v>0</v>
      </c>
      <c r="F47" s="2962" t="str">
        <f>chitiet!F880</f>
        <v>Boulon 16x50+ 2 long đền vuông D18-50x50x3/Zn</v>
      </c>
      <c r="G47" s="2963" t="str">
        <f>chitiet!G880</f>
        <v>bộ</v>
      </c>
      <c r="H47" s="2964">
        <f>chitiet!H880</f>
        <v>40</v>
      </c>
      <c r="I47" s="2964">
        <f>chitiet!P880</f>
        <v>40</v>
      </c>
      <c r="J47" s="2965">
        <f>IFERROR(VLOOKUP(B47,DG!A:F,6,0),3000)</f>
        <v>50</v>
      </c>
      <c r="K47" s="2966">
        <f>IF(J47&lt;2000,COUNTIF($B$2:B47,B47),0)</f>
        <v>2</v>
      </c>
      <c r="L47" s="1307"/>
      <c r="M47" s="1382"/>
      <c r="O47" s="1382"/>
    </row>
    <row r="48" spans="1:15" s="1215" customFormat="1" ht="25.2" customHeight="1">
      <c r="A48" s="2957">
        <f>COUNTIF($K$1:K48,1)</f>
        <v>29</v>
      </c>
      <c r="B48" s="2958" t="str">
        <f>chitiet!B957</f>
        <v>B1650</v>
      </c>
      <c r="C48" s="2959" t="str">
        <f>chitiet!C957</f>
        <v>x</v>
      </c>
      <c r="D48" s="2960">
        <f>chitiet!D957</f>
        <v>1</v>
      </c>
      <c r="E48" s="2961">
        <f>chitiet!E957</f>
        <v>0</v>
      </c>
      <c r="F48" s="2962" t="str">
        <f>chitiet!F957</f>
        <v>Boulon 16x50+ 2 long đền vuông D18-50x50x3/Zn</v>
      </c>
      <c r="G48" s="2963" t="str">
        <f>chitiet!G957</f>
        <v>bộ</v>
      </c>
      <c r="H48" s="2964">
        <f>chitiet!H957</f>
        <v>1</v>
      </c>
      <c r="I48" s="2964">
        <f>chitiet!P957</f>
        <v>1</v>
      </c>
      <c r="J48" s="2965">
        <f>IFERROR(VLOOKUP(B48,DG!A:F,6,0),3000)</f>
        <v>50</v>
      </c>
      <c r="K48" s="2966">
        <f>IF(J48&lt;2000,COUNTIF($B$2:B48,B48),0)</f>
        <v>3</v>
      </c>
      <c r="L48" s="1307"/>
      <c r="M48" s="1382"/>
      <c r="O48" s="1382"/>
    </row>
    <row r="49" spans="1:15" s="1215" customFormat="1" ht="25.2" customHeight="1">
      <c r="A49" s="2957">
        <f>COUNTIF($K$1:K49,1)</f>
        <v>29</v>
      </c>
      <c r="B49" s="2958" t="str">
        <f>chitiet!B988</f>
        <v>B1650</v>
      </c>
      <c r="C49" s="2959" t="str">
        <f>chitiet!C988</f>
        <v>x</v>
      </c>
      <c r="D49" s="2960">
        <f>chitiet!D988</f>
        <v>2</v>
      </c>
      <c r="E49" s="2961">
        <f>chitiet!E988</f>
        <v>0</v>
      </c>
      <c r="F49" s="2962" t="str">
        <f>chitiet!F988</f>
        <v>Boulon 16x50+ 2 long đền vuông D18-50x50x3/Zn</v>
      </c>
      <c r="G49" s="2963" t="str">
        <f>chitiet!G988</f>
        <v>bộ</v>
      </c>
      <c r="H49" s="2964">
        <f>chitiet!H988</f>
        <v>6</v>
      </c>
      <c r="I49" s="2964">
        <f>chitiet!P988</f>
        <v>6</v>
      </c>
      <c r="J49" s="2965">
        <f>IFERROR(VLOOKUP(B49,DG!A:F,6,0),3000)</f>
        <v>50</v>
      </c>
      <c r="K49" s="2966">
        <f>IF(J49&lt;2000,COUNTIF($B$2:B49,B49),0)</f>
        <v>4</v>
      </c>
      <c r="L49" s="1795"/>
      <c r="M49" s="1382"/>
      <c r="O49" s="1382"/>
    </row>
    <row r="50" spans="1:15" s="1215" customFormat="1" ht="25.2" customHeight="1">
      <c r="A50" s="2957">
        <f>COUNTIF($K$1:K50,1)</f>
        <v>29</v>
      </c>
      <c r="B50" s="2958" t="str">
        <f>chitiet!B1886</f>
        <v>b1650</v>
      </c>
      <c r="C50" s="2959" t="str">
        <f>chitiet!C1886</f>
        <v>x</v>
      </c>
      <c r="D50" s="2960">
        <f>chitiet!D1886</f>
        <v>6</v>
      </c>
      <c r="E50" s="2961">
        <f>chitiet!E1886</f>
        <v>0</v>
      </c>
      <c r="F50" s="2962" t="str">
        <f>chitiet!F1886</f>
        <v>Boulon 16x50+ 2 long đền vuông D18-50x50x3/Zn</v>
      </c>
      <c r="G50" s="2963" t="str">
        <f>chitiet!G1886</f>
        <v>bộ</v>
      </c>
      <c r="H50" s="2964">
        <f>chitiet!H1886</f>
        <v>6</v>
      </c>
      <c r="I50" s="2964">
        <f>chitiet!P1886</f>
        <v>6</v>
      </c>
      <c r="J50" s="2965">
        <f>IFERROR(VLOOKUP(B50,DG!A:F,6,0),3000)</f>
        <v>50</v>
      </c>
      <c r="K50" s="2966">
        <f>IF(J50&lt;2000,COUNTIF($B$2:B50,B50),0)</f>
        <v>5</v>
      </c>
      <c r="L50" s="1307"/>
      <c r="M50" s="1382"/>
      <c r="O50" s="1382"/>
    </row>
    <row r="51" spans="1:15" s="1215" customFormat="1" ht="25.2" customHeight="1">
      <c r="A51" s="2957">
        <f>COUNTIF($K$1:K51,1)</f>
        <v>30</v>
      </c>
      <c r="B51" s="2972" t="str">
        <f>chitiet!B877</f>
        <v>B16500</v>
      </c>
      <c r="C51" s="2973" t="str">
        <f>chitiet!C877</f>
        <v>x</v>
      </c>
      <c r="D51" s="2974">
        <f>chitiet!D877</f>
        <v>1</v>
      </c>
      <c r="E51" s="2975">
        <f>chitiet!E877</f>
        <v>0</v>
      </c>
      <c r="F51" s="2976" t="str">
        <f>chitiet!F877</f>
        <v>Boulon 16x500+ 2 long đền vuông D18-50x50x3/Zn</v>
      </c>
      <c r="G51" s="2963" t="str">
        <f>chitiet!G877</f>
        <v>bộ</v>
      </c>
      <c r="H51" s="2964">
        <f>chitiet!H877</f>
        <v>10</v>
      </c>
      <c r="I51" s="2964">
        <f>chitiet!P877</f>
        <v>10</v>
      </c>
      <c r="J51" s="2965">
        <f>IFERROR(VLOOKUP(B51,DG!A:F,6,0),3000)</f>
        <v>50</v>
      </c>
      <c r="K51" s="2966">
        <f>IF(J51&lt;2000,COUNTIF($B$2:B51,B51),0)</f>
        <v>1</v>
      </c>
      <c r="L51" s="1307"/>
      <c r="M51" s="1382"/>
      <c r="O51" s="1382"/>
    </row>
    <row r="52" spans="1:15" s="1215" customFormat="1" ht="25.2" customHeight="1">
      <c r="A52" s="2957">
        <f>COUNTIF($K$1:K52,1)</f>
        <v>31</v>
      </c>
      <c r="B52" s="2958" t="str">
        <f>chitiet!B1796</f>
        <v>B16550</v>
      </c>
      <c r="C52" s="2959" t="str">
        <f>chitiet!C1796</f>
        <v>x</v>
      </c>
      <c r="D52" s="2960">
        <f>chitiet!D1796</f>
        <v>1</v>
      </c>
      <c r="E52" s="2961">
        <f>chitiet!E1796</f>
        <v>0</v>
      </c>
      <c r="F52" s="2962" t="str">
        <f>chitiet!F1796</f>
        <v>Boulon 16x550+ long đền vuông D18-50x50x3/Zn</v>
      </c>
      <c r="G52" s="2963" t="str">
        <f>chitiet!G1796</f>
        <v>bộ</v>
      </c>
      <c r="H52" s="2964">
        <f>chitiet!H1796</f>
        <v>1</v>
      </c>
      <c r="I52" s="2964">
        <f>chitiet!P1796</f>
        <v>1</v>
      </c>
      <c r="J52" s="2965">
        <f>IFERROR(VLOOKUP(B52,DG!A:F,6,0),3000)</f>
        <v>50</v>
      </c>
      <c r="K52" s="2966">
        <f>IF(J52&lt;2000,COUNTIF($B$2:B52,B52),0)</f>
        <v>1</v>
      </c>
      <c r="L52" s="1307"/>
      <c r="M52" s="1796"/>
      <c r="N52" s="1797"/>
      <c r="O52" s="1796"/>
    </row>
    <row r="53" spans="1:15" s="1215" customFormat="1" ht="25.2" customHeight="1">
      <c r="A53" s="2957">
        <f>COUNTIF($K$1:K53,1)</f>
        <v>32</v>
      </c>
      <c r="B53" s="2958" t="str">
        <f>chitiet!B879</f>
        <v>B16550v</v>
      </c>
      <c r="C53" s="2959" t="str">
        <f>chitiet!C879</f>
        <v>x</v>
      </c>
      <c r="D53" s="2960">
        <f>chitiet!D879</f>
        <v>2</v>
      </c>
      <c r="E53" s="2961">
        <f>chitiet!E879</f>
        <v>0</v>
      </c>
      <c r="F53" s="2962" t="str">
        <f>chitiet!F879</f>
        <v>Boulon 16x550VRS+ 4 long đền vuông D18-50x50x3/Zn</v>
      </c>
      <c r="G53" s="2963" t="str">
        <f>chitiet!G879</f>
        <v>bộ</v>
      </c>
      <c r="H53" s="2964">
        <f>chitiet!H879</f>
        <v>20</v>
      </c>
      <c r="I53" s="2964">
        <f>chitiet!P879</f>
        <v>20</v>
      </c>
      <c r="J53" s="2965">
        <f>IFERROR(VLOOKUP(B53,DG!A:F,6,0),3000)</f>
        <v>50</v>
      </c>
      <c r="K53" s="2966">
        <f>IF(J53&lt;2000,COUNTIF($B$2:B53,B53),0)</f>
        <v>1</v>
      </c>
      <c r="L53" s="1307"/>
      <c r="M53" s="1382"/>
      <c r="O53" s="1382"/>
    </row>
    <row r="54" spans="1:15" s="1215" customFormat="1" ht="25.2" customHeight="1">
      <c r="A54" s="2957">
        <f>COUNTIF($K$1:K54,1)</f>
        <v>33</v>
      </c>
      <c r="B54" s="2958" t="str">
        <f>chitiet!B878</f>
        <v>B16600</v>
      </c>
      <c r="C54" s="2959" t="str">
        <f>chitiet!C878</f>
        <v>x</v>
      </c>
      <c r="D54" s="2960">
        <f>chitiet!D878</f>
        <v>1</v>
      </c>
      <c r="E54" s="2961">
        <f>chitiet!E878</f>
        <v>0</v>
      </c>
      <c r="F54" s="2962" t="str">
        <f>chitiet!F878</f>
        <v>Boulon 16x600+ 2 long đền vuông D18-50x50x3/Zn</v>
      </c>
      <c r="G54" s="2963" t="str">
        <f>chitiet!G878</f>
        <v>bộ</v>
      </c>
      <c r="H54" s="2964">
        <f>chitiet!H878</f>
        <v>10</v>
      </c>
      <c r="I54" s="2964">
        <f>chitiet!P878</f>
        <v>10</v>
      </c>
      <c r="J54" s="2965">
        <f>IFERROR(VLOOKUP(B54,DG!A:F,6,0),3000)</f>
        <v>50</v>
      </c>
      <c r="K54" s="2966">
        <f>IF(J54&lt;2000,COUNTIF($B$2:B54,B54),0)</f>
        <v>1</v>
      </c>
      <c r="L54" s="1307"/>
      <c r="M54" s="1382"/>
      <c r="O54" s="1382"/>
    </row>
    <row r="55" spans="1:15" s="1215" customFormat="1" ht="25.2" customHeight="1">
      <c r="A55" s="2957">
        <f>COUNTIF($K$1:K55,1)</f>
        <v>34</v>
      </c>
      <c r="B55" s="2958" t="str">
        <f>chitiet!B367</f>
        <v>B16650v</v>
      </c>
      <c r="C55" s="2959" t="str">
        <f>chitiet!C367</f>
        <v>x</v>
      </c>
      <c r="D55" s="2960">
        <f>chitiet!D367</f>
        <v>1</v>
      </c>
      <c r="E55" s="2967">
        <f>chitiet!E367</f>
        <v>0</v>
      </c>
      <c r="F55" s="2958" t="str">
        <f>chitiet!F367</f>
        <v>Boulon 16x650VRS+ 4 long đền vuông D18-50x50x3/Zn</v>
      </c>
      <c r="G55" s="2968" t="str">
        <f>chitiet!G367</f>
        <v>bộ</v>
      </c>
      <c r="H55" s="2968">
        <f>chitiet!H367</f>
        <v>6</v>
      </c>
      <c r="I55" s="2968">
        <f>chitiet!P367</f>
        <v>6</v>
      </c>
      <c r="J55" s="2965">
        <f>IFERROR(VLOOKUP(B55,DG!A:F,6,0),3000)</f>
        <v>50</v>
      </c>
      <c r="K55" s="2966">
        <f>IF(J55&lt;2000,COUNTIF($B$2:B55,B55),0)</f>
        <v>1</v>
      </c>
      <c r="L55" s="1304"/>
      <c r="M55" s="1382"/>
      <c r="O55" s="1382"/>
    </row>
    <row r="56" spans="1:15" s="1215" customFormat="1" ht="25.2" customHeight="1">
      <c r="A56" s="2957">
        <f>COUNTIF($K$1:K56,1)</f>
        <v>35</v>
      </c>
      <c r="B56" s="2958" t="str">
        <f>chitiet!B368</f>
        <v>B16750v</v>
      </c>
      <c r="C56" s="2959" t="str">
        <f>chitiet!C368</f>
        <v>x</v>
      </c>
      <c r="D56" s="2960">
        <f>chitiet!D368</f>
        <v>1</v>
      </c>
      <c r="E56" s="2961">
        <f>chitiet!E368</f>
        <v>0</v>
      </c>
      <c r="F56" s="2962" t="str">
        <f>chitiet!F368</f>
        <v>Boulon 16x750VRS+ 4 long đền vuông D18-50x50x3/Zn</v>
      </c>
      <c r="G56" s="2963" t="str">
        <f>chitiet!G368</f>
        <v>bộ</v>
      </c>
      <c r="H56" s="2964">
        <f>chitiet!H368</f>
        <v>6</v>
      </c>
      <c r="I56" s="2964">
        <f>chitiet!P368</f>
        <v>6</v>
      </c>
      <c r="J56" s="2965">
        <f>IFERROR(VLOOKUP(B56,DG!A:F,6,0),3000)</f>
        <v>50</v>
      </c>
      <c r="K56" s="2966">
        <f>IF(J56&lt;2000,COUNTIF($B$2:B56,B56),0)</f>
        <v>1</v>
      </c>
      <c r="L56" s="1795"/>
      <c r="M56" s="1382"/>
      <c r="O56" s="1382"/>
    </row>
    <row r="57" spans="1:15" s="1215" customFormat="1" ht="25.2" customHeight="1">
      <c r="A57" s="2957">
        <f>COUNTIF($K$1:K57,1)</f>
        <v>36</v>
      </c>
      <c r="B57" s="2958" t="str">
        <f>chitiet!B1885</f>
        <v>b1680</v>
      </c>
      <c r="C57" s="2959" t="str">
        <f>chitiet!C1885</f>
        <v>x</v>
      </c>
      <c r="D57" s="2960">
        <f>chitiet!D1885</f>
        <v>6</v>
      </c>
      <c r="E57" s="2961">
        <f>chitiet!E1885</f>
        <v>0</v>
      </c>
      <c r="F57" s="2962" t="str">
        <f>chitiet!F1885</f>
        <v>Boulon 16x80+ 2 long đền vuông D18-50x50x3/Zn</v>
      </c>
      <c r="G57" s="2963" t="str">
        <f>chitiet!G1885</f>
        <v>bộ</v>
      </c>
      <c r="H57" s="2964">
        <f>chitiet!H1885</f>
        <v>6</v>
      </c>
      <c r="I57" s="2964">
        <f>chitiet!P1885</f>
        <v>6</v>
      </c>
      <c r="J57" s="2965">
        <f>IFERROR(VLOOKUP(B57,DG!A:F,6,0),3000)</f>
        <v>50</v>
      </c>
      <c r="K57" s="2966">
        <f>IF(J57&lt;2000,COUNTIF($B$2:B57,B57),0)</f>
        <v>1</v>
      </c>
      <c r="L57" s="1307"/>
      <c r="M57" s="1382"/>
      <c r="O57" s="1382"/>
    </row>
    <row r="58" spans="1:15" s="1215" customFormat="1" ht="25.2" customHeight="1">
      <c r="A58" s="2957">
        <f>COUNTIF($K$1:K58,1)</f>
        <v>37</v>
      </c>
      <c r="B58" s="2958" t="str">
        <f>CT_tram!B2568</f>
        <v>b40</v>
      </c>
      <c r="C58" s="2959">
        <f>CT_tram!C2568</f>
        <v>14.2</v>
      </c>
      <c r="D58" s="2960">
        <f>CT_tram!D2568</f>
        <v>0</v>
      </c>
      <c r="E58" s="2961">
        <f>CT_tram!E2568</f>
        <v>0</v>
      </c>
      <c r="F58" s="2962" t="str">
        <f>CT_tram!F2568</f>
        <v>Lưới B40 - 1800-3/Zn</v>
      </c>
      <c r="G58" s="2963" t="str">
        <f>CT_tram!G2568</f>
        <v>mét</v>
      </c>
      <c r="H58" s="2964">
        <f>CT_tram!H2568</f>
        <v>14.2</v>
      </c>
      <c r="I58" s="2964">
        <f>CT_tram!I2568</f>
        <v>14.2</v>
      </c>
      <c r="J58" s="2965">
        <f>IFERROR(VLOOKUP(B58,DG!A:F,6,0),3000)</f>
        <v>50</v>
      </c>
      <c r="K58" s="2966">
        <f>IF(J58&lt;2000,COUNTIF($B$2:B58,B58),0)</f>
        <v>1</v>
      </c>
      <c r="L58" s="1307"/>
      <c r="M58" s="1382"/>
      <c r="O58" s="1382"/>
    </row>
    <row r="59" spans="1:15" s="1215" customFormat="1" ht="25.2" customHeight="1">
      <c r="A59" s="2957">
        <f>COUNTIF($K$1:K59,1)</f>
        <v>38</v>
      </c>
      <c r="B59" s="2958" t="str">
        <f>CT_tram!B2478</f>
        <v>BAKE</v>
      </c>
      <c r="C59" s="2959">
        <f>CT_tram!C2478</f>
        <v>1</v>
      </c>
      <c r="D59" s="2960">
        <f>CT_tram!D2478</f>
        <v>0</v>
      </c>
      <c r="E59" s="2961">
        <f>CT_tram!E2478</f>
        <v>0</v>
      </c>
      <c r="F59" s="2962" t="str">
        <f>CT_tram!F2478</f>
        <v xml:space="preserve">Bakelit 550x450 dầy 10mm </v>
      </c>
      <c r="G59" s="2970" t="str">
        <f>CT_tram!G2478</f>
        <v>cái</v>
      </c>
      <c r="H59" s="2971">
        <f>CT_tram!H2478</f>
        <v>1</v>
      </c>
      <c r="I59" s="2964">
        <f>CT_tram!I2478</f>
        <v>1</v>
      </c>
      <c r="J59" s="2965">
        <f>IFERROR(VLOOKUP(B59,DG!A:F,6,0),3000)</f>
        <v>50</v>
      </c>
      <c r="K59" s="2966">
        <f>IF(J59&lt;2000,COUNTIF($B$2:B59,B59),0)</f>
        <v>1</v>
      </c>
      <c r="L59" s="1307"/>
      <c r="M59" s="1382"/>
      <c r="O59" s="1382"/>
    </row>
    <row r="60" spans="1:15" s="1215" customFormat="1" ht="25.2" customHeight="1">
      <c r="A60" s="2957">
        <f>COUNTIF($K$1:K60,1)</f>
        <v>39</v>
      </c>
      <c r="B60" s="2958" t="str">
        <f>CT_tram!B2479</f>
        <v>BANG</v>
      </c>
      <c r="C60" s="2959">
        <f>CT_tram!C2479</f>
        <v>1</v>
      </c>
      <c r="D60" s="2960">
        <f>CT_tram!D2479</f>
        <v>0</v>
      </c>
      <c r="E60" s="2961" t="str">
        <f>CT_tram!E2479</f>
        <v>06.3191</v>
      </c>
      <c r="F60" s="2962" t="str">
        <f>CT_tram!F2479</f>
        <v>Bảng tên trạm, bảng báo nguy hiểm + đinh vít</v>
      </c>
      <c r="G60" s="2963" t="str">
        <f>CT_tram!G2479</f>
        <v>bộ</v>
      </c>
      <c r="H60" s="2964">
        <f>CT_tram!H2479</f>
        <v>1</v>
      </c>
      <c r="I60" s="2964">
        <f>CT_tram!I2479</f>
        <v>1</v>
      </c>
      <c r="J60" s="2965">
        <f>IFERROR(VLOOKUP(B60,DG!A:F,6,0),3000)</f>
        <v>50</v>
      </c>
      <c r="K60" s="2966">
        <f>IF(J60&lt;2000,COUNTIF($B$2:B60,B60),0)</f>
        <v>1</v>
      </c>
      <c r="L60" s="1307"/>
      <c r="M60" s="1382"/>
      <c r="O60" s="1382"/>
    </row>
    <row r="61" spans="1:15" s="1215" customFormat="1" ht="25.2" customHeight="1">
      <c r="A61" s="2957">
        <f>COUNTIF($K$1:K61,1)</f>
        <v>40</v>
      </c>
      <c r="B61" s="2958" t="str">
        <f>CT_tram!B2548</f>
        <v>BANGKEO</v>
      </c>
      <c r="C61" s="2959">
        <f>CT_tram!C2548</f>
        <v>1</v>
      </c>
      <c r="D61" s="2960">
        <f>CT_tram!D2548</f>
        <v>0</v>
      </c>
      <c r="E61" s="2961">
        <f>CT_tram!E2548</f>
        <v>0</v>
      </c>
      <c r="F61" s="2962" t="str">
        <f>CT_tram!F2548</f>
        <v>Băng keo cách điện</v>
      </c>
      <c r="G61" s="2981" t="str">
        <f>CT_tram!G2548</f>
        <v>cuộn</v>
      </c>
      <c r="H61" s="2982">
        <f>CT_tram!H2548</f>
        <v>1</v>
      </c>
      <c r="I61" s="2982">
        <f>CT_tram!I2548</f>
        <v>1</v>
      </c>
      <c r="J61" s="2965">
        <f>IFERROR(VLOOKUP(B61,DG!A:F,6,0),3000)</f>
        <v>50</v>
      </c>
      <c r="K61" s="2966">
        <f>IF(J61&lt;2000,COUNTIF($B$2:B61,B61),0)</f>
        <v>1</v>
      </c>
      <c r="L61" s="1307"/>
      <c r="M61" s="1382"/>
      <c r="O61" s="1382"/>
    </row>
    <row r="62" spans="1:15" s="1215" customFormat="1" ht="25.2" customHeight="1">
      <c r="A62" s="2957">
        <f>COUNTIF($K$1:K62,1)</f>
        <v>40</v>
      </c>
      <c r="B62" s="2958" t="str">
        <f>CT_tram!B2593</f>
        <v>BANGKEO</v>
      </c>
      <c r="C62" s="2959">
        <f>CT_tram!C2593</f>
        <v>1</v>
      </c>
      <c r="D62" s="2960">
        <f>CT_tram!D2593</f>
        <v>0</v>
      </c>
      <c r="E62" s="2961">
        <f>CT_tram!E2593</f>
        <v>0</v>
      </c>
      <c r="F62" s="2962" t="str">
        <f>CT_tram!F2593</f>
        <v>Băng keo cách điện</v>
      </c>
      <c r="G62" s="2963" t="str">
        <f>CT_tram!G2593</f>
        <v>cuộn</v>
      </c>
      <c r="H62" s="2964">
        <f>CT_tram!H2593</f>
        <v>1</v>
      </c>
      <c r="I62" s="2964">
        <f>CT_tram!I2593</f>
        <v>1</v>
      </c>
      <c r="J62" s="2965">
        <f>IFERROR(VLOOKUP(B62,DG!A:F,6,0),3000)</f>
        <v>50</v>
      </c>
      <c r="K62" s="2966">
        <f>IF(J62&lt;2000,COUNTIF($B$2:B62,B62),0)</f>
        <v>2</v>
      </c>
      <c r="L62" s="1307"/>
      <c r="M62" s="1382"/>
      <c r="O62" s="1382"/>
    </row>
    <row r="63" spans="1:15" s="1215" customFormat="1" ht="25.2" customHeight="1">
      <c r="A63" s="2957">
        <f>COUNTIF($K$1:K63,1)</f>
        <v>41</v>
      </c>
      <c r="B63" s="2958" t="str">
        <f>chitiet!B1871</f>
        <v>BANGKEOTT</v>
      </c>
      <c r="C63" s="2959" t="str">
        <f>chitiet!C1871</f>
        <v>x</v>
      </c>
      <c r="D63" s="2960">
        <f>chitiet!D1871</f>
        <v>4</v>
      </c>
      <c r="E63" s="2961">
        <f>chitiet!E1871</f>
        <v>0</v>
      </c>
      <c r="F63" s="2962" t="str">
        <f>chitiet!F1871</f>
        <v>Băng keo cách điện trung thế</v>
      </c>
      <c r="G63" s="2963" t="str">
        <f>chitiet!G1871</f>
        <v>cuộn</v>
      </c>
      <c r="H63" s="2964">
        <f>chitiet!H1871</f>
        <v>4</v>
      </c>
      <c r="I63" s="2964">
        <f>chitiet!P1871</f>
        <v>4</v>
      </c>
      <c r="J63" s="2965">
        <f>IFERROR(VLOOKUP(B63,DG!A:F,6,0),3000)</f>
        <v>50</v>
      </c>
      <c r="K63" s="2966">
        <f>IF(J63&lt;2000,COUNTIF($B$2:B63,B63),0)</f>
        <v>1</v>
      </c>
      <c r="L63" s="1307"/>
      <c r="M63" s="1382"/>
      <c r="O63" s="1382"/>
    </row>
    <row r="64" spans="1:15" s="1215" customFormat="1" ht="25.2" customHeight="1">
      <c r="A64" s="2957">
        <f>COUNTIF($K$1:K64,1)</f>
        <v>41</v>
      </c>
      <c r="B64" s="2977" t="str">
        <f>chitiet!B1957</f>
        <v>bangkeott</v>
      </c>
      <c r="C64" s="2978" t="str">
        <f>chitiet!C1957</f>
        <v>x</v>
      </c>
      <c r="D64" s="2979">
        <f>chitiet!D1957</f>
        <v>0</v>
      </c>
      <c r="E64" s="2980">
        <f>chitiet!E1957</f>
        <v>0</v>
      </c>
      <c r="F64" s="2977" t="str">
        <f>chitiet!F1957</f>
        <v>Băng keo cách điện trung thế</v>
      </c>
      <c r="G64" s="2969" t="str">
        <f>chitiet!G1957</f>
        <v>cuộn</v>
      </c>
      <c r="H64" s="2969">
        <f>chitiet!H1957</f>
        <v>4</v>
      </c>
      <c r="I64" s="2969">
        <f>chitiet!P1957</f>
        <v>4</v>
      </c>
      <c r="J64" s="2965">
        <f>IFERROR(VLOOKUP(B64,DG!A:F,6,0),3000)</f>
        <v>50</v>
      </c>
      <c r="K64" s="2966">
        <f>IF(J64&lt;2000,COUNTIF($B$2:B64,B64),0)</f>
        <v>2</v>
      </c>
      <c r="L64" s="1304"/>
      <c r="M64" s="1382"/>
      <c r="O64" s="1382"/>
    </row>
    <row r="65" spans="1:15" s="1215" customFormat="1" ht="25.2" customHeight="1">
      <c r="A65" s="2957">
        <f>COUNTIF($K$1:K65,1)</f>
        <v>42</v>
      </c>
      <c r="B65" s="2958" t="str">
        <f>CT_tram!B2423</f>
        <v>BATLi</v>
      </c>
      <c r="C65" s="2959">
        <f>CT_tram!C2423</f>
        <v>3</v>
      </c>
      <c r="D65" s="2960">
        <f>CT_tram!D2423</f>
        <v>0</v>
      </c>
      <c r="E65" s="2967">
        <f>CT_tram!E2423</f>
        <v>0</v>
      </c>
      <c r="F65" s="2958" t="str">
        <f>CT_tram!F2423</f>
        <v>Bass LI bắt FCO</v>
      </c>
      <c r="G65" s="2968" t="str">
        <f>CT_tram!G2423</f>
        <v>Bộ</v>
      </c>
      <c r="H65" s="2968">
        <f>CT_tram!H2423</f>
        <v>3</v>
      </c>
      <c r="I65" s="2968">
        <f>CT_tram!I2423</f>
        <v>3</v>
      </c>
      <c r="J65" s="2965">
        <f>IFERROR(VLOOKUP(B65,DG!A:F,6,0),3000)</f>
        <v>50</v>
      </c>
      <c r="K65" s="2966">
        <f>IF(J65&lt;2000,COUNTIF($B$2:B65,B65),0)</f>
        <v>1</v>
      </c>
      <c r="L65" s="1997"/>
      <c r="M65" s="1382"/>
      <c r="O65" s="1382"/>
    </row>
    <row r="66" spans="1:15" s="1215" customFormat="1" ht="25.2" customHeight="1">
      <c r="A66" s="2957">
        <f>COUNTIF($K$1:K66,1)</f>
        <v>42</v>
      </c>
      <c r="B66" s="2958" t="str">
        <f>chitiet!B1872</f>
        <v>batli</v>
      </c>
      <c r="C66" s="2959" t="str">
        <f>chitiet!C1872</f>
        <v>x</v>
      </c>
      <c r="D66" s="2960">
        <f>chitiet!D1872</f>
        <v>3</v>
      </c>
      <c r="E66" s="2967">
        <f>chitiet!E1872</f>
        <v>0</v>
      </c>
      <c r="F66" s="2958" t="str">
        <f>chitiet!F1872</f>
        <v>Bass LI bắt FCO</v>
      </c>
      <c r="G66" s="2968" t="str">
        <f>chitiet!G1872</f>
        <v>Bộ</v>
      </c>
      <c r="H66" s="2968">
        <f>chitiet!H1872</f>
        <v>3</v>
      </c>
      <c r="I66" s="2968">
        <f>chitiet!P1872</f>
        <v>3</v>
      </c>
      <c r="J66" s="2965">
        <f>IFERROR(VLOOKUP(B66,DG!A:F,6,0),3000)</f>
        <v>50</v>
      </c>
      <c r="K66" s="2966">
        <f>IF(J66&lt;2000,COUNTIF($B$2:B66,B66),0)</f>
        <v>2</v>
      </c>
      <c r="L66" s="1304"/>
      <c r="M66" s="1382"/>
      <c r="O66" s="1382"/>
    </row>
    <row r="67" spans="1:15" s="1215" customFormat="1" ht="25.2" customHeight="1">
      <c r="A67" s="2957">
        <f>COUNTIF($K$1:K67,1)</f>
        <v>43</v>
      </c>
      <c r="B67" s="2958" t="str">
        <f>CT_tram!B2422</f>
        <v>BATLL</v>
      </c>
      <c r="C67" s="2959">
        <f>CT_tram!C2422</f>
        <v>3</v>
      </c>
      <c r="D67" s="2960">
        <f>CT_tram!D2422</f>
        <v>0</v>
      </c>
      <c r="E67" s="2961">
        <f>CT_tram!E2422</f>
        <v>0</v>
      </c>
      <c r="F67" s="2962" t="str">
        <f>CT_tram!F2422</f>
        <v>Bass LL bắt FCO, LA</v>
      </c>
      <c r="G67" s="2963" t="str">
        <f>CT_tram!G2422</f>
        <v>bộ</v>
      </c>
      <c r="H67" s="2964">
        <f>CT_tram!H2422</f>
        <v>3</v>
      </c>
      <c r="I67" s="2964">
        <f>CT_tram!I2422</f>
        <v>3</v>
      </c>
      <c r="J67" s="2965">
        <f>IFERROR(VLOOKUP(B67,DG!A:F,6,0),3000)</f>
        <v>50</v>
      </c>
      <c r="K67" s="2966">
        <f>IF(J67&lt;2000,COUNTIF($B$2:B67,B67),0)</f>
        <v>1</v>
      </c>
      <c r="L67" s="1795"/>
      <c r="M67" s="1382"/>
      <c r="O67" s="1382"/>
    </row>
    <row r="68" spans="1:15" s="1215" customFormat="1" ht="25.2" customHeight="1">
      <c r="A68" s="2957">
        <f>COUNTIF($K$1:K68,1)</f>
        <v>43</v>
      </c>
      <c r="B68" s="2958" t="str">
        <f>chitiet!B1873</f>
        <v>batll</v>
      </c>
      <c r="C68" s="2959" t="str">
        <f>chitiet!C1873</f>
        <v>x</v>
      </c>
      <c r="D68" s="2960">
        <f>chitiet!D1873</f>
        <v>3</v>
      </c>
      <c r="E68" s="2961">
        <f>chitiet!E1873</f>
        <v>0</v>
      </c>
      <c r="F68" s="2962" t="str">
        <f>chitiet!F1873</f>
        <v>Bass LL bắt FCO, LA</v>
      </c>
      <c r="G68" s="2970" t="str">
        <f>chitiet!G1873</f>
        <v>bộ</v>
      </c>
      <c r="H68" s="2964">
        <f>chitiet!H1873</f>
        <v>3</v>
      </c>
      <c r="I68" s="2964">
        <f>chitiet!P1873</f>
        <v>3</v>
      </c>
      <c r="J68" s="2965">
        <f>IFERROR(VLOOKUP(B68,DG!A:F,6,0),3000)</f>
        <v>50</v>
      </c>
      <c r="K68" s="2966">
        <f>IF(J68&lt;2000,COUNTIF($B$2:B68,B68),0)</f>
        <v>2</v>
      </c>
      <c r="L68" s="1307"/>
      <c r="M68" s="1382"/>
      <c r="O68" s="1382"/>
    </row>
    <row r="69" spans="1:15" s="1215" customFormat="1" ht="25.2" customHeight="1">
      <c r="A69" s="2957">
        <f>COUNTIF($K$1:K69,1)</f>
        <v>44</v>
      </c>
      <c r="B69" s="2977" t="str">
        <f>chitiet!B1806</f>
        <v>BM16300</v>
      </c>
      <c r="C69" s="2978" t="str">
        <f>chitiet!C1806</f>
        <v>x</v>
      </c>
      <c r="D69" s="2979">
        <f>chitiet!D1806</f>
        <v>1</v>
      </c>
      <c r="E69" s="2983">
        <f>chitiet!E1806</f>
        <v>0</v>
      </c>
      <c r="F69" s="2984" t="str">
        <f>chitiet!F1806</f>
        <v>Boulon mắt 16x300+ 2 long đền vuông D18-50x50x3/Zn</v>
      </c>
      <c r="G69" s="2981" t="str">
        <f>chitiet!G1806</f>
        <v>bộ</v>
      </c>
      <c r="H69" s="2982">
        <f>chitiet!H1806</f>
        <v>6</v>
      </c>
      <c r="I69" s="2982">
        <f>chitiet!P1806</f>
        <v>6</v>
      </c>
      <c r="J69" s="2965">
        <f>IFERROR(VLOOKUP(B69,DG!A:F,6,0),3000)</f>
        <v>50</v>
      </c>
      <c r="K69" s="2966">
        <f>IF(J69&lt;2000,COUNTIF($B$2:B69,B69),0)</f>
        <v>1</v>
      </c>
      <c r="L69" s="1307"/>
      <c r="M69" s="1382"/>
      <c r="O69" s="1382"/>
    </row>
    <row r="70" spans="1:15" s="1215" customFormat="1" ht="25.2" customHeight="1">
      <c r="A70" s="2957">
        <f>COUNTIF($K$1:K70,1)</f>
        <v>45</v>
      </c>
      <c r="B70" s="2972" t="str">
        <f>chitiet!B1810</f>
        <v>BM16550</v>
      </c>
      <c r="C70" s="2973" t="str">
        <f>chitiet!C1810</f>
        <v>x</v>
      </c>
      <c r="D70" s="2974">
        <f>chitiet!D1810</f>
        <v>1</v>
      </c>
      <c r="E70" s="2975">
        <f>chitiet!E1810</f>
        <v>0</v>
      </c>
      <c r="F70" s="2976" t="str">
        <f>chitiet!F1810</f>
        <v>Boulon mắt 16x550+ 1 long đền vuông D18-50x50x3/Zn</v>
      </c>
      <c r="G70" s="2970" t="str">
        <f>chitiet!G1810</f>
        <v>bộ</v>
      </c>
      <c r="H70" s="2971">
        <f>chitiet!H1810</f>
        <v>1</v>
      </c>
      <c r="I70" s="2964">
        <f>chitiet!P1810</f>
        <v>1</v>
      </c>
      <c r="J70" s="2965">
        <f>IFERROR(VLOOKUP(B70,DG!A:F,6,0),3000)</f>
        <v>50</v>
      </c>
      <c r="K70" s="2966">
        <f>IF(J70&lt;2000,COUNTIF($B$2:B70,B70),0)</f>
        <v>1</v>
      </c>
      <c r="L70" s="1307"/>
      <c r="M70" s="1382"/>
      <c r="O70" s="1382"/>
    </row>
    <row r="71" spans="1:15" s="1215" customFormat="1" ht="25.2" customHeight="1">
      <c r="A71" s="2957">
        <f>COUNTIF($K$1:K71,1)</f>
        <v>46</v>
      </c>
      <c r="B71" s="2958" t="str">
        <f>chitiet!B1880</f>
        <v>CD25x2</v>
      </c>
      <c r="C71" s="2959" t="str">
        <f>chitiet!C1880</f>
        <v>x</v>
      </c>
      <c r="D71" s="2960">
        <f>chitiet!D1880</f>
        <v>4</v>
      </c>
      <c r="E71" s="2961">
        <f>chitiet!E1880</f>
        <v>0</v>
      </c>
      <c r="F71" s="2962" t="str">
        <f>chitiet!F1880</f>
        <v>Côllier 25x2</v>
      </c>
      <c r="G71" s="2963" t="str">
        <f>chitiet!G1880</f>
        <v>bộ</v>
      </c>
      <c r="H71" s="2964">
        <f>chitiet!H1880</f>
        <v>4</v>
      </c>
      <c r="I71" s="2964">
        <f>chitiet!P1880</f>
        <v>4</v>
      </c>
      <c r="J71" s="2965">
        <f>IFERROR(VLOOKUP(B71,DG!A:F,6,0),3000)</f>
        <v>50</v>
      </c>
      <c r="K71" s="2966">
        <f>IF(J71&lt;2000,COUNTIF($B$2:B71,B71),0)</f>
        <v>1</v>
      </c>
      <c r="L71" s="1307"/>
      <c r="M71" s="1382"/>
      <c r="O71" s="1382"/>
    </row>
    <row r="72" spans="1:15" s="1215" customFormat="1" ht="25.2" customHeight="1">
      <c r="A72" s="2957">
        <f>COUNTIF($K$1:K72,1)</f>
        <v>47</v>
      </c>
      <c r="B72" s="2958" t="str">
        <f>CT_tram!B2596</f>
        <v>CD320</v>
      </c>
      <c r="C72" s="2959">
        <f>CT_tram!C2596</f>
        <v>1</v>
      </c>
      <c r="D72" s="2960">
        <f>CT_tram!D2596</f>
        <v>0</v>
      </c>
      <c r="E72" s="2961" t="str">
        <f>CT_tram!E2596</f>
        <v>06.3231</v>
      </c>
      <c r="F72" s="2962" t="str">
        <f>CT_tram!F2596</f>
        <v>Cổ dê CDĐKĐT( bắt thùng điện kế)</v>
      </c>
      <c r="G72" s="2963" t="str">
        <f>CT_tram!G2596</f>
        <v>bộ</v>
      </c>
      <c r="H72" s="2964">
        <f>CT_tram!H2596</f>
        <v>1</v>
      </c>
      <c r="I72" s="2964">
        <f>CT_tram!I2596</f>
        <v>1</v>
      </c>
      <c r="J72" s="2965">
        <f>IFERROR(VLOOKUP(B72,DG!A:F,6,0),3000)</f>
        <v>50</v>
      </c>
      <c r="K72" s="2966">
        <f>IF(J72&lt;2000,COUNTIF($B$2:B72,B72),0)</f>
        <v>1</v>
      </c>
      <c r="L72" s="1795"/>
      <c r="M72" s="1382"/>
      <c r="O72" s="1382"/>
    </row>
    <row r="73" spans="1:15" s="1215" customFormat="1" ht="25.2" customHeight="1">
      <c r="A73" s="2957">
        <f>COUNTIF($K$1:K73,1)</f>
        <v>48</v>
      </c>
      <c r="B73" s="2958" t="str">
        <f>CT_tram!B2589</f>
        <v>CD60</v>
      </c>
      <c r="C73" s="2959">
        <f>CT_tram!C2589</f>
        <v>4</v>
      </c>
      <c r="D73" s="2960">
        <f>CT_tram!D2589</f>
        <v>0</v>
      </c>
      <c r="E73" s="2961" t="str">
        <f>CT_tram!E2589</f>
        <v>06.3231</v>
      </c>
      <c r="F73" s="2962" t="str">
        <f>CT_tram!F2589</f>
        <v>Cổ dê kẹp ống PVC Ø 60</v>
      </c>
      <c r="G73" s="2963" t="str">
        <f>CT_tram!G2589</f>
        <v>bộ</v>
      </c>
      <c r="H73" s="2964">
        <f>CT_tram!H2589</f>
        <v>4</v>
      </c>
      <c r="I73" s="2964">
        <f>CT_tram!I2589</f>
        <v>4</v>
      </c>
      <c r="J73" s="2965">
        <f>IFERROR(VLOOKUP(B73,DG!A:F,6,0),3000)</f>
        <v>50</v>
      </c>
      <c r="K73" s="2966">
        <f>IF(J73&lt;2000,COUNTIF($B$2:B73,B73),0)</f>
        <v>1</v>
      </c>
      <c r="L73" s="1307"/>
      <c r="M73" s="1382"/>
      <c r="O73" s="1382"/>
    </row>
    <row r="74" spans="1:15" s="1215" customFormat="1" ht="25.2" customHeight="1">
      <c r="A74" s="2957">
        <f>COUNTIF($K$1:K74,1)</f>
        <v>49</v>
      </c>
      <c r="B74" s="2958" t="str">
        <f>chitiet!B1883</f>
        <v>CD6x60</v>
      </c>
      <c r="C74" s="2959" t="str">
        <f>chitiet!C1883</f>
        <v>x</v>
      </c>
      <c r="D74" s="2960">
        <f>chitiet!D1883</f>
        <v>1</v>
      </c>
      <c r="E74" s="2961">
        <f>chitiet!E1883</f>
        <v>0</v>
      </c>
      <c r="F74" s="2962" t="str">
        <f>chitiet!F1883</f>
        <v>Cổ dê bắt tủ trạm trụ ghép D320/60x6</v>
      </c>
      <c r="G74" s="2963" t="str">
        <f>chitiet!G1883</f>
        <v>bộ</v>
      </c>
      <c r="H74" s="2964">
        <f>chitiet!H1883</f>
        <v>1</v>
      </c>
      <c r="I74" s="2964">
        <f>chitiet!P1883</f>
        <v>1</v>
      </c>
      <c r="J74" s="2965">
        <f>IFERROR(VLOOKUP(B74,DG!A:F,6,0),3000)</f>
        <v>50</v>
      </c>
      <c r="K74" s="2966">
        <f>IF(J74&lt;2000,COUNTIF($B$2:B74,B74),0)</f>
        <v>1</v>
      </c>
      <c r="L74" s="1307"/>
      <c r="M74" s="1382"/>
      <c r="O74" s="1382"/>
    </row>
    <row r="75" spans="1:15" s="1215" customFormat="1" ht="25.2" customHeight="1">
      <c r="A75" s="2957">
        <f>COUNTIF($K$1:K75,1)</f>
        <v>50</v>
      </c>
      <c r="B75" s="2958" t="str">
        <f>CT_tram!B2535</f>
        <v>CHCOS240</v>
      </c>
      <c r="C75" s="2959">
        <f>CT_tram!C2535</f>
        <v>28</v>
      </c>
      <c r="D75" s="2960">
        <f>CT_tram!D2535</f>
        <v>0</v>
      </c>
      <c r="E75" s="2961">
        <f>CT_tram!E2535</f>
        <v>0</v>
      </c>
      <c r="F75" s="2962" t="str">
        <f>CT_tram!F2535</f>
        <v>Chụp đầu cosse  240mm2</v>
      </c>
      <c r="G75" s="2963" t="str">
        <f>CT_tram!G2535</f>
        <v>cái</v>
      </c>
      <c r="H75" s="2964">
        <f>CT_tram!H2535</f>
        <v>28</v>
      </c>
      <c r="I75" s="2964">
        <f>CT_tram!I2535</f>
        <v>28</v>
      </c>
      <c r="J75" s="2965">
        <f>IFERROR(VLOOKUP(B75,DG!A:F,6,0),3000)</f>
        <v>50</v>
      </c>
      <c r="K75" s="2966">
        <f>IF(J75&lt;2000,COUNTIF($B$2:B75,B75),0)</f>
        <v>1</v>
      </c>
      <c r="L75" s="1307"/>
      <c r="M75" s="1382"/>
      <c r="O75" s="1382"/>
    </row>
    <row r="76" spans="1:15" s="1215" customFormat="1" ht="25.2" customHeight="1">
      <c r="A76" s="2957">
        <f>COUNTIF($K$1:K76,1)</f>
        <v>51</v>
      </c>
      <c r="B76" s="2958" t="str">
        <f>CT_tram!B2519</f>
        <v>chfco</v>
      </c>
      <c r="C76" s="2959">
        <f>CT_tram!C2519</f>
        <v>3</v>
      </c>
      <c r="D76" s="2960">
        <f>CT_tram!D2519</f>
        <v>0</v>
      </c>
      <c r="E76" s="2967">
        <f>CT_tram!E2519</f>
        <v>0</v>
      </c>
      <c r="F76" s="2958" t="str">
        <f>CT_tram!F2519</f>
        <v>Chụp đầu cực FCO (bộ 2 cái)</v>
      </c>
      <c r="G76" s="2968" t="str">
        <f>CT_tram!G2519</f>
        <v>bộ</v>
      </c>
      <c r="H76" s="2968">
        <f>CT_tram!H2519</f>
        <v>3</v>
      </c>
      <c r="I76" s="2968">
        <f>CT_tram!I2519</f>
        <v>3</v>
      </c>
      <c r="J76" s="2965">
        <f>IFERROR(VLOOKUP(B76,DG!A:F,6,0),3000)</f>
        <v>50</v>
      </c>
      <c r="K76" s="2966">
        <f>IF(J76&lt;2000,COUNTIF($B$2:B76,B76),0)</f>
        <v>1</v>
      </c>
      <c r="L76" s="1304"/>
      <c r="M76" s="1382"/>
      <c r="O76" s="1382"/>
    </row>
    <row r="77" spans="1:15" s="1215" customFormat="1" ht="25.2" customHeight="1">
      <c r="A77" s="2957">
        <f>COUNTIF($K$1:K77,1)</f>
        <v>51</v>
      </c>
      <c r="B77" s="2958" t="str">
        <f>chitiet!B1876</f>
        <v>chfco</v>
      </c>
      <c r="C77" s="2959" t="str">
        <f>chitiet!C1876</f>
        <v>x</v>
      </c>
      <c r="D77" s="2960">
        <f>chitiet!D1876</f>
        <v>4</v>
      </c>
      <c r="E77" s="2967">
        <f>chitiet!E1876</f>
        <v>0</v>
      </c>
      <c r="F77" s="2958" t="str">
        <f>chitiet!F1876</f>
        <v>Chụp đầu cực FCO (bộ 2 cái)</v>
      </c>
      <c r="G77" s="2968" t="str">
        <f>chitiet!G1876</f>
        <v>bộ</v>
      </c>
      <c r="H77" s="2968">
        <f>chitiet!H1876</f>
        <v>4</v>
      </c>
      <c r="I77" s="2968">
        <f>chitiet!P1876</f>
        <v>4</v>
      </c>
      <c r="J77" s="2965">
        <f>IFERROR(VLOOKUP(B77,DG!A:F,6,0),3000)</f>
        <v>50</v>
      </c>
      <c r="K77" s="2966">
        <f>IF(J77&lt;2000,COUNTIF($B$2:B77,B77),0)</f>
        <v>2</v>
      </c>
      <c r="L77" s="1307"/>
      <c r="M77" s="1382"/>
      <c r="O77" s="1382"/>
    </row>
    <row r="78" spans="1:15" s="1215" customFormat="1" ht="25.2" customHeight="1">
      <c r="A78" s="2957">
        <f>COUNTIF($K$1:K78,1)</f>
        <v>52</v>
      </c>
      <c r="B78" s="2972" t="str">
        <f>chitiet!B2328</f>
        <v>chi140k</v>
      </c>
      <c r="C78" s="2973" t="str">
        <f>chitiet!C2328</f>
        <v>x</v>
      </c>
      <c r="D78" s="2974">
        <f>chitiet!D2328</f>
        <v>3</v>
      </c>
      <c r="E78" s="2986">
        <f>chitiet!E2328</f>
        <v>0</v>
      </c>
      <c r="F78" s="2972" t="str">
        <f>chitiet!F2328</f>
        <v>Dây chảy 140K</v>
      </c>
      <c r="G78" s="2987" t="str">
        <f>chitiet!G2328</f>
        <v>Sợi</v>
      </c>
      <c r="H78" s="2987">
        <f>chitiet!H2328</f>
        <v>3</v>
      </c>
      <c r="I78" s="2969">
        <f>chitiet!P2328</f>
        <v>3</v>
      </c>
      <c r="J78" s="2965">
        <f>IFERROR(VLOOKUP(B78,DG!A:F,6,0),3000)</f>
        <v>50</v>
      </c>
      <c r="K78" s="2966">
        <f>IF(J78&lt;2000,COUNTIF($B$2:B78,B78),0)</f>
        <v>1</v>
      </c>
      <c r="L78" s="1304"/>
      <c r="M78" s="1382"/>
      <c r="O78" s="1382"/>
    </row>
    <row r="79" spans="1:15" s="1215" customFormat="1" ht="25.2" customHeight="1">
      <c r="A79" s="2957">
        <f>COUNTIF($K$1:K79,1)</f>
        <v>53</v>
      </c>
      <c r="B79" s="2972" t="str">
        <f>chitiet!B2327</f>
        <v>chi3k</v>
      </c>
      <c r="C79" s="2973" t="str">
        <f>chitiet!C2327</f>
        <v>x</v>
      </c>
      <c r="D79" s="2974">
        <f>chitiet!D2327</f>
        <v>1</v>
      </c>
      <c r="E79" s="2986">
        <f>chitiet!E2327</f>
        <v>0</v>
      </c>
      <c r="F79" s="2972" t="str">
        <f>chitiet!F2327</f>
        <v>Dây chảy 3K</v>
      </c>
      <c r="G79" s="2987" t="str">
        <f>chitiet!G2327</f>
        <v>Sợi</v>
      </c>
      <c r="H79" s="2987">
        <f>chitiet!H2327</f>
        <v>1</v>
      </c>
      <c r="I79" s="2969">
        <f>chitiet!P2327</f>
        <v>1</v>
      </c>
      <c r="J79" s="2965">
        <f>IFERROR(VLOOKUP(B79,DG!A:F,6,0),3000)</f>
        <v>50</v>
      </c>
      <c r="K79" s="2966">
        <f>IF(J79&lt;2000,COUNTIF($B$2:B79,B79),0)</f>
        <v>1</v>
      </c>
      <c r="L79" s="1304"/>
      <c r="M79" s="1382"/>
      <c r="O79" s="1382"/>
    </row>
    <row r="80" spans="1:15" s="1215" customFormat="1" ht="25.2" customHeight="1">
      <c r="A80" s="2957">
        <f>COUNTIF($K$1:K80,1)</f>
        <v>54</v>
      </c>
      <c r="B80" s="2977" t="str">
        <f>CT_tram!B2379</f>
        <v>CHI40K</v>
      </c>
      <c r="C80" s="2978">
        <f>CT_tram!C2379</f>
        <v>3</v>
      </c>
      <c r="D80" s="2979">
        <f>CT_tram!D2379</f>
        <v>3</v>
      </c>
      <c r="E80" s="2980">
        <f>CT_tram!E2379</f>
        <v>0</v>
      </c>
      <c r="F80" s="2977" t="str">
        <f>CT_tram!F2379</f>
        <v>Dây chảy 40K</v>
      </c>
      <c r="G80" s="2969" t="str">
        <f>CT_tram!G2379</f>
        <v>Sợi</v>
      </c>
      <c r="H80" s="2969">
        <f>CT_tram!H2379</f>
        <v>3</v>
      </c>
      <c r="I80" s="2969">
        <f>CT_tram!I2379</f>
        <v>3</v>
      </c>
      <c r="J80" s="2965">
        <f>IFERROR(VLOOKUP(B80,DG!A:F,6,0),3000)</f>
        <v>50</v>
      </c>
      <c r="K80" s="2966">
        <f>IF(J80&lt;2000,COUNTIF($B$2:B80,B80),0)</f>
        <v>1</v>
      </c>
      <c r="L80" s="1304"/>
      <c r="M80" s="1382"/>
      <c r="O80" s="1382"/>
    </row>
    <row r="81" spans="1:15" s="1215" customFormat="1" ht="25.2" customHeight="1">
      <c r="A81" s="2957">
        <f>COUNTIF($K$1:K81,1)</f>
        <v>55</v>
      </c>
      <c r="B81" s="2977" t="str">
        <f>CT_tram!B2518</f>
        <v>chla</v>
      </c>
      <c r="C81" s="2978">
        <f>CT_tram!C2518</f>
        <v>6</v>
      </c>
      <c r="D81" s="2979">
        <f>CT_tram!D2518</f>
        <v>0</v>
      </c>
      <c r="E81" s="2983">
        <f>CT_tram!E2518</f>
        <v>0</v>
      </c>
      <c r="F81" s="2984" t="str">
        <f>CT_tram!F2518</f>
        <v>Chụp đầu cực LA</v>
      </c>
      <c r="G81" s="2981" t="str">
        <f>CT_tram!G2518</f>
        <v>cái</v>
      </c>
      <c r="H81" s="2982">
        <f>CT_tram!H2518</f>
        <v>6</v>
      </c>
      <c r="I81" s="2982">
        <f>CT_tram!I2518</f>
        <v>6</v>
      </c>
      <c r="J81" s="2965">
        <f>IFERROR(VLOOKUP(B81,DG!A:F,6,0),3000)</f>
        <v>50</v>
      </c>
      <c r="K81" s="2966">
        <f>IF(J81&lt;2000,COUNTIF($B$2:B81,B81),0)</f>
        <v>1</v>
      </c>
      <c r="L81" s="1307"/>
      <c r="M81" s="1382"/>
      <c r="O81" s="1382"/>
    </row>
    <row r="82" spans="1:15" s="1215" customFormat="1" ht="25.2" customHeight="1">
      <c r="A82" s="2957">
        <f>COUNTIF($K$1:K82,1)</f>
        <v>55</v>
      </c>
      <c r="B82" s="2977" t="str">
        <f>chitiet!B1877</f>
        <v>chla</v>
      </c>
      <c r="C82" s="2978" t="str">
        <f>chitiet!C1877</f>
        <v>x</v>
      </c>
      <c r="D82" s="2979">
        <f>chitiet!D1877</f>
        <v>6</v>
      </c>
      <c r="E82" s="2980">
        <f>chitiet!E1877</f>
        <v>0</v>
      </c>
      <c r="F82" s="2977" t="str">
        <f>chitiet!F1877</f>
        <v>Chụp đầu cực LA</v>
      </c>
      <c r="G82" s="2969" t="str">
        <f>chitiet!G1877</f>
        <v>cái</v>
      </c>
      <c r="H82" s="2969">
        <f>chitiet!H1877</f>
        <v>6</v>
      </c>
      <c r="I82" s="2969">
        <f>chitiet!P1877</f>
        <v>6</v>
      </c>
      <c r="J82" s="2965">
        <f>IFERROR(VLOOKUP(B82,DG!A:F,6,0),3000)</f>
        <v>50</v>
      </c>
      <c r="K82" s="2966">
        <f>IF(J82&lt;2000,COUNTIF($B$2:B82,B82),0)</f>
        <v>2</v>
      </c>
      <c r="L82" s="1304"/>
      <c r="M82" s="1382"/>
      <c r="O82" s="1382"/>
    </row>
    <row r="83" spans="1:15" s="1215" customFormat="1" ht="25.2" customHeight="1">
      <c r="A83" s="2957">
        <f>COUNTIF($K$1:K83,1)</f>
        <v>56</v>
      </c>
      <c r="B83" s="2958" t="str">
        <f>chitiet!B1875</f>
        <v>CHLBS-REC</v>
      </c>
      <c r="C83" s="2959" t="str">
        <f>chitiet!C1875</f>
        <v>x</v>
      </c>
      <c r="D83" s="2960">
        <f>chitiet!D1875</f>
        <v>6</v>
      </c>
      <c r="E83" s="2961">
        <f>chitiet!E1875</f>
        <v>0</v>
      </c>
      <c r="F83" s="2962" t="str">
        <f>chitiet!F1875</f>
        <v>Chụp đầu cực LBS, Recloser</v>
      </c>
      <c r="G83" s="2963" t="str">
        <f>chitiet!G1875</f>
        <v>cái</v>
      </c>
      <c r="H83" s="2964">
        <f>chitiet!H1875</f>
        <v>6</v>
      </c>
      <c r="I83" s="2964">
        <f>chitiet!P1875</f>
        <v>6</v>
      </c>
      <c r="J83" s="2965">
        <f>IFERROR(VLOOKUP(B83,DG!A:F,6,0),3000)</f>
        <v>50</v>
      </c>
      <c r="K83" s="2966">
        <f>IF(J83&lt;2000,COUNTIF($B$2:B83,B83),0)</f>
        <v>1</v>
      </c>
      <c r="L83" s="1307"/>
      <c r="M83" s="1382"/>
      <c r="O83" s="1382"/>
    </row>
    <row r="84" spans="1:15" s="1215" customFormat="1" ht="25.2" customHeight="1">
      <c r="A84" s="2957">
        <f>COUNTIF($K$1:K84,1)</f>
        <v>57</v>
      </c>
      <c r="B84" s="2958" t="str">
        <f>CT_tram!B2517</f>
        <v>chmba</v>
      </c>
      <c r="C84" s="2959">
        <f>CT_tram!C2517</f>
        <v>3</v>
      </c>
      <c r="D84" s="2960">
        <f>CT_tram!D2517</f>
        <v>0</v>
      </c>
      <c r="E84" s="2961">
        <f>CT_tram!E2517</f>
        <v>0</v>
      </c>
      <c r="F84" s="2962" t="str">
        <f>CT_tram!F2517</f>
        <v>Chụp đầu MBA</v>
      </c>
      <c r="G84" s="2963" t="str">
        <f>CT_tram!G2517</f>
        <v>cái</v>
      </c>
      <c r="H84" s="2964">
        <f>CT_tram!H2517</f>
        <v>3</v>
      </c>
      <c r="I84" s="2964">
        <f>CT_tram!I2517</f>
        <v>3</v>
      </c>
      <c r="J84" s="2965">
        <f>IFERROR(VLOOKUP(B84,DG!A:F,6,0),3000)</f>
        <v>50</v>
      </c>
      <c r="K84" s="2966">
        <f>IF(J84&lt;2000,COUNTIF($B$2:B84,B84),0)</f>
        <v>1</v>
      </c>
      <c r="L84" s="1307"/>
      <c r="M84" s="1382"/>
      <c r="O84" s="1382"/>
    </row>
    <row r="85" spans="1:15" s="1215" customFormat="1" ht="25.2" customHeight="1">
      <c r="A85" s="2957">
        <f>COUNTIF($K$1:K85,1)</f>
        <v>58</v>
      </c>
      <c r="B85" s="2958" t="str">
        <f>chitiet!B1874</f>
        <v>CHQ-H</v>
      </c>
      <c r="C85" s="2959" t="str">
        <f>chitiet!C1874</f>
        <v>x</v>
      </c>
      <c r="D85" s="2960">
        <f>chitiet!D1874</f>
        <v>9</v>
      </c>
      <c r="E85" s="2961">
        <f>chitiet!E1874</f>
        <v>0</v>
      </c>
      <c r="F85" s="2962" t="str">
        <f>chitiet!F1874</f>
        <v>Nắp chụp kẹp quai + hotline</v>
      </c>
      <c r="G85" s="2963" t="str">
        <f>chitiet!G1874</f>
        <v>bộ</v>
      </c>
      <c r="H85" s="2964">
        <f>chitiet!H1874</f>
        <v>9</v>
      </c>
      <c r="I85" s="2988">
        <f>chitiet!P1874</f>
        <v>9</v>
      </c>
      <c r="J85" s="2965">
        <f>IFERROR(VLOOKUP(B85,DG!A:F,6,0),3000)</f>
        <v>50</v>
      </c>
      <c r="K85" s="2966">
        <f>IF(J85&lt;2000,COUNTIF($B$2:B85,B85),0)</f>
        <v>1</v>
      </c>
      <c r="L85" s="1307"/>
      <c r="M85" s="1382"/>
      <c r="O85" s="1382"/>
    </row>
    <row r="86" spans="1:15" s="1215" customFormat="1" ht="25.2" customHeight="1">
      <c r="A86" s="2957">
        <f>COUNTIF($K$1:K86,1)</f>
        <v>59</v>
      </c>
      <c r="B86" s="2958" t="str">
        <f>CT_tram!B2520</f>
        <v>chupTuTi</v>
      </c>
      <c r="C86" s="2959">
        <f>CT_tram!C2520</f>
        <v>9</v>
      </c>
      <c r="D86" s="2960">
        <f>CT_tram!D2520</f>
        <v>0</v>
      </c>
      <c r="E86" s="2961">
        <f>CT_tram!E2520</f>
        <v>0</v>
      </c>
      <c r="F86" s="2962" t="str">
        <f>CT_tram!F2520</f>
        <v>Chụp đầu cực TI, TU</v>
      </c>
      <c r="G86" s="2963" t="str">
        <f>CT_tram!G2520</f>
        <v>Cái</v>
      </c>
      <c r="H86" s="2964">
        <f>CT_tram!H2520</f>
        <v>9</v>
      </c>
      <c r="I86" s="2964">
        <f>CT_tram!I2520</f>
        <v>9</v>
      </c>
      <c r="J86" s="2965">
        <f>IFERROR(VLOOKUP(B86,DG!A:F,6,0),3000)</f>
        <v>50</v>
      </c>
      <c r="K86" s="2966">
        <f>IF(J86&lt;2000,COUNTIF($B$2:B86,B86),0)</f>
        <v>1</v>
      </c>
      <c r="L86" s="1795"/>
      <c r="M86" s="1382"/>
      <c r="O86" s="1382"/>
    </row>
    <row r="87" spans="1:15" s="1215" customFormat="1" ht="25.2" customHeight="1">
      <c r="A87" s="2957">
        <f>COUNTIF($K$1:K87,1)</f>
        <v>60</v>
      </c>
      <c r="B87" s="2958" t="str">
        <f>CT_tram!B2418</f>
        <v>COM110x800x5-2,4</v>
      </c>
      <c r="C87" s="2959">
        <f>CT_tram!C2418</f>
        <v>1</v>
      </c>
      <c r="D87" s="2960">
        <f>CT_tram!D2418</f>
        <v>0</v>
      </c>
      <c r="E87" s="2961">
        <f>CT_tram!E2418</f>
        <v>0</v>
      </c>
      <c r="F87" s="2962" t="str">
        <f>CT_tram!F2418</f>
        <v>Xà composite 110x800x5 dài 2,4m</v>
      </c>
      <c r="G87" s="2963" t="str">
        <f>CT_tram!G2418</f>
        <v>cái</v>
      </c>
      <c r="H87" s="2964">
        <f>CT_tram!H2418</f>
        <v>1</v>
      </c>
      <c r="I87" s="2964">
        <f>CT_tram!I2418</f>
        <v>1</v>
      </c>
      <c r="J87" s="2965">
        <f>IFERROR(VLOOKUP(B87,DG!A:F,6,0),3000)</f>
        <v>50</v>
      </c>
      <c r="K87" s="2966">
        <f>IF(J87&lt;2000,COUNTIF($B$2:B87,B87),0)</f>
        <v>1</v>
      </c>
      <c r="L87" s="1307"/>
      <c r="M87" s="1382"/>
      <c r="O87" s="1382"/>
    </row>
    <row r="88" spans="1:15" s="1215" customFormat="1" ht="25.2" customHeight="1">
      <c r="A88" s="2957">
        <f>COUNTIF($K$1:K88,1)</f>
        <v>61</v>
      </c>
      <c r="B88" s="2958" t="str">
        <f>chitiet!B1110</f>
        <v>com40x10x720</v>
      </c>
      <c r="C88" s="2959" t="str">
        <f>chitiet!C1110</f>
        <v>x</v>
      </c>
      <c r="D88" s="2960">
        <f>chitiet!D1110</f>
        <v>2</v>
      </c>
      <c r="E88" s="2961">
        <f>chitiet!E1110</f>
        <v>0</v>
      </c>
      <c r="F88" s="2962" t="str">
        <f>chitiet!F1110</f>
        <v>Thanh chống Composite 10x40x720</v>
      </c>
      <c r="G88" s="2963" t="str">
        <f>chitiet!G1110</f>
        <v>cái</v>
      </c>
      <c r="H88" s="2964">
        <f>chitiet!H1110</f>
        <v>2</v>
      </c>
      <c r="I88" s="2964">
        <f>chitiet!P1110</f>
        <v>2</v>
      </c>
      <c r="J88" s="2965">
        <f>IFERROR(VLOOKUP(B88,DG!A:F,6,0),3000)</f>
        <v>50</v>
      </c>
      <c r="K88" s="2966">
        <f>IF(J88&lt;2000,COUNTIF($B$2:B88,B88),0)</f>
        <v>1</v>
      </c>
      <c r="L88" s="1307"/>
      <c r="M88" s="1382"/>
      <c r="O88" s="1382"/>
    </row>
    <row r="89" spans="1:15" s="1215" customFormat="1" ht="25.2" customHeight="1">
      <c r="A89" s="2957">
        <f>COUNTIF($K$1:K89,1)</f>
        <v>62</v>
      </c>
      <c r="B89" s="2958" t="str">
        <f>CT_tram!B2419</f>
        <v>COM40X10X920</v>
      </c>
      <c r="C89" s="2959">
        <f>CT_tram!C2419</f>
        <v>1</v>
      </c>
      <c r="D89" s="2960">
        <f>CT_tram!D2419</f>
        <v>0</v>
      </c>
      <c r="E89" s="2961">
        <f>CT_tram!E2419</f>
        <v>0</v>
      </c>
      <c r="F89" s="2962" t="str">
        <f>CT_tram!F2419</f>
        <v>Chống composite 40x10x920</v>
      </c>
      <c r="G89" s="2963" t="str">
        <f>CT_tram!G2419</f>
        <v>cái</v>
      </c>
      <c r="H89" s="2964">
        <f>CT_tram!H2419</f>
        <v>1</v>
      </c>
      <c r="I89" s="2964">
        <f>CT_tram!I2419</f>
        <v>1</v>
      </c>
      <c r="J89" s="2965">
        <f>IFERROR(VLOOKUP(B89,DG!A:F,6,0),3000)</f>
        <v>50</v>
      </c>
      <c r="K89" s="2966">
        <f>IF(J89&lt;2000,COUNTIF($B$2:B89,B89),0)</f>
        <v>1</v>
      </c>
      <c r="L89" s="1795"/>
      <c r="M89" s="1382"/>
      <c r="O89" s="1382"/>
    </row>
    <row r="90" spans="1:15" s="1215" customFormat="1" ht="25.2" customHeight="1">
      <c r="A90" s="2957">
        <f>COUNTIF($K$1:K90,1)</f>
        <v>62</v>
      </c>
      <c r="B90" s="2958" t="str">
        <f>chitiet!B1109</f>
        <v>com40x10x920</v>
      </c>
      <c r="C90" s="2959" t="str">
        <f>chitiet!C1109</f>
        <v>x</v>
      </c>
      <c r="D90" s="2960">
        <f>chitiet!D1109</f>
        <v>1</v>
      </c>
      <c r="E90" s="2961">
        <f>chitiet!E1109</f>
        <v>0</v>
      </c>
      <c r="F90" s="2962" t="str">
        <f>chitiet!F1109</f>
        <v>Chống composite 40x10x920</v>
      </c>
      <c r="G90" s="2970" t="str">
        <f>chitiet!G1109</f>
        <v>cái</v>
      </c>
      <c r="H90" s="2971">
        <f>chitiet!H1109</f>
        <v>1</v>
      </c>
      <c r="I90" s="2985">
        <f>chitiet!P1109</f>
        <v>1</v>
      </c>
      <c r="J90" s="2965">
        <f>IFERROR(VLOOKUP(B90,DG!A:F,6,0),3000)</f>
        <v>50</v>
      </c>
      <c r="K90" s="2966">
        <f>IF(J90&lt;2000,COUNTIF($B$2:B90,B90),0)</f>
        <v>2</v>
      </c>
      <c r="L90" s="1307"/>
      <c r="M90" s="1382"/>
      <c r="O90" s="1382"/>
    </row>
    <row r="91" spans="1:15" s="1215" customFormat="1" ht="25.2" customHeight="1">
      <c r="A91" s="2957">
        <f>COUNTIF($K$1:K91,1)</f>
        <v>63</v>
      </c>
      <c r="B91" s="2958" t="str">
        <f>CT_tram!B2534</f>
        <v>COS240</v>
      </c>
      <c r="C91" s="2959">
        <f>CT_tram!C2534</f>
        <v>28</v>
      </c>
      <c r="D91" s="2960">
        <f>CT_tram!D2534</f>
        <v>0</v>
      </c>
      <c r="E91" s="2961" t="str">
        <f>CT_tram!E2534</f>
        <v>03.4008</v>
      </c>
      <c r="F91" s="2962" t="str">
        <f>CT_tram!F2534</f>
        <v>Đầu cosse ép Cu 240mm2</v>
      </c>
      <c r="G91" s="2963" t="str">
        <f>CT_tram!G2534</f>
        <v>cái</v>
      </c>
      <c r="H91" s="2964">
        <f>CT_tram!H2534</f>
        <v>28</v>
      </c>
      <c r="I91" s="2964">
        <f>CT_tram!I2534</f>
        <v>28</v>
      </c>
      <c r="J91" s="2965">
        <f>IFERROR(VLOOKUP(B91,DG!A:F,6,0),3000)</f>
        <v>50</v>
      </c>
      <c r="K91" s="2966">
        <f>IF(J91&lt;2000,COUNTIF($B$2:B91,B91),0)</f>
        <v>1</v>
      </c>
      <c r="L91" s="1307"/>
      <c r="M91" s="1382"/>
      <c r="O91" s="1382"/>
    </row>
    <row r="92" spans="1:15" s="1215" customFormat="1" ht="25.2" customHeight="1">
      <c r="A92" s="2957">
        <f>COUNTIF($K$1:K92,1)</f>
        <v>64</v>
      </c>
      <c r="B92" s="2958" t="str">
        <f>CT_tram!B2584</f>
        <v>COS4</v>
      </c>
      <c r="C92" s="2959">
        <f>CT_tram!C2584</f>
        <v>16</v>
      </c>
      <c r="D92" s="2960">
        <f>CT_tram!D2584</f>
        <v>0</v>
      </c>
      <c r="E92" s="2961" t="str">
        <f>CT_tram!E2584</f>
        <v>D4.5001</v>
      </c>
      <c r="F92" s="2962" t="str">
        <f>CT_tram!F2584</f>
        <v>Đầu cosse ép Cu 4mm2 + bao PVC  (ñaáu TU)</v>
      </c>
      <c r="G92" s="2963" t="str">
        <f>CT_tram!G2584</f>
        <v>cái</v>
      </c>
      <c r="H92" s="2964">
        <f>CT_tram!H2584</f>
        <v>16</v>
      </c>
      <c r="I92" s="2964">
        <f>CT_tram!I2584</f>
        <v>16</v>
      </c>
      <c r="J92" s="2965">
        <f>IFERROR(VLOOKUP(B92,DG!A:F,6,0),3000)</f>
        <v>50</v>
      </c>
      <c r="K92" s="2966">
        <f>IF(J92&lt;2000,COUNTIF($B$2:B92,B92),0)</f>
        <v>1</v>
      </c>
      <c r="L92" s="1307"/>
      <c r="M92" s="1382"/>
      <c r="O92" s="1382"/>
    </row>
    <row r="93" spans="1:15" s="1215" customFormat="1" ht="25.2" customHeight="1">
      <c r="A93" s="2957">
        <f>COUNTIF($K$1:K93,1)</f>
        <v>65</v>
      </c>
      <c r="B93" s="2958" t="str">
        <f>CT_tram!B2522</f>
        <v>CSD</v>
      </c>
      <c r="C93" s="2959">
        <f>CT_tram!C2522</f>
        <v>6</v>
      </c>
      <c r="D93" s="2960">
        <f>CT_tram!D2522</f>
        <v>0</v>
      </c>
      <c r="E93" s="2961">
        <f>CT_tram!E2522</f>
        <v>0</v>
      </c>
      <c r="F93" s="2962" t="str">
        <f>CT_tram!F2522</f>
        <v>Chân sứ đứng D20</v>
      </c>
      <c r="G93" s="2963" t="str">
        <f>CT_tram!G2522</f>
        <v>cái</v>
      </c>
      <c r="H93" s="2964">
        <f>CT_tram!H2522</f>
        <v>6</v>
      </c>
      <c r="I93" s="2964">
        <f>CT_tram!I2522</f>
        <v>6</v>
      </c>
      <c r="J93" s="2965">
        <f>IFERROR(VLOOKUP(B93,DG!A:F,6,0),3000)</f>
        <v>50</v>
      </c>
      <c r="K93" s="2966">
        <f>IF(J93&lt;2000,COUNTIF($B$2:B93,B93),0)</f>
        <v>1</v>
      </c>
      <c r="L93" s="1307"/>
      <c r="M93" s="1382"/>
      <c r="O93" s="1382"/>
    </row>
    <row r="94" spans="1:15" s="1215" customFormat="1" ht="25.2" customHeight="1">
      <c r="A94" s="2957">
        <f>COUNTIF($K$1:K94,1)</f>
        <v>65</v>
      </c>
      <c r="B94" s="2958" t="str">
        <f>chitiet!B1818</f>
        <v>CSD</v>
      </c>
      <c r="C94" s="2959" t="str">
        <f>chitiet!C1818</f>
        <v>x</v>
      </c>
      <c r="D94" s="2960">
        <f>chitiet!D1818</f>
        <v>1</v>
      </c>
      <c r="E94" s="2961">
        <f>chitiet!E1818</f>
        <v>0</v>
      </c>
      <c r="F94" s="2962" t="str">
        <f>chitiet!F1818</f>
        <v>Chân sứ đứng D20</v>
      </c>
      <c r="G94" s="2963" t="str">
        <f>chitiet!G1818</f>
        <v>cái</v>
      </c>
      <c r="H94" s="2964">
        <f>chitiet!H1818</f>
        <v>154</v>
      </c>
      <c r="I94" s="2964">
        <f>chitiet!P1818</f>
        <v>154</v>
      </c>
      <c r="J94" s="2965">
        <f>IFERROR(VLOOKUP(B94,DG!A:F,6,0),3000)</f>
        <v>50</v>
      </c>
      <c r="K94" s="2966">
        <f>IF(J94&lt;2000,COUNTIF($B$2:B94,B94),0)</f>
        <v>2</v>
      </c>
      <c r="L94" s="1307"/>
      <c r="M94" s="1382"/>
      <c r="O94" s="1382"/>
    </row>
    <row r="95" spans="1:15" s="1215" customFormat="1" ht="25.2" customHeight="1">
      <c r="A95" s="2957">
        <f>COUNTIF($K$1:K95,1)</f>
        <v>66</v>
      </c>
      <c r="B95" s="2958" t="str">
        <f>CT_tram!B2454</f>
        <v>CTD+K</v>
      </c>
      <c r="C95" s="2959">
        <f>CT_tram!C2454</f>
        <v>10</v>
      </c>
      <c r="D95" s="2960">
        <f>CT_tram!D2454</f>
        <v>0</v>
      </c>
      <c r="E95" s="2961">
        <f>CT_tram!E2454</f>
        <v>0</v>
      </c>
      <c r="F95" s="2962" t="str">
        <f>CT_tram!F2454</f>
        <v>Cọc tiếp đất Þ 16- 2,4m + kẹp cọc mạ đồng</v>
      </c>
      <c r="G95" s="2963" t="str">
        <f>CT_tram!G2454</f>
        <v>bộ</v>
      </c>
      <c r="H95" s="2964">
        <f>CT_tram!H2454</f>
        <v>10</v>
      </c>
      <c r="I95" s="2964">
        <f>CT_tram!I2454</f>
        <v>10</v>
      </c>
      <c r="J95" s="2965">
        <f>IFERROR(VLOOKUP(B95,DG!A:F,6,0),3000)</f>
        <v>50</v>
      </c>
      <c r="K95" s="2966">
        <f>IF(J95&lt;2000,COUNTIF($B$2:B95,B95),0)</f>
        <v>1</v>
      </c>
      <c r="L95" s="1307"/>
      <c r="M95" s="1382"/>
      <c r="O95" s="1382"/>
    </row>
    <row r="96" spans="1:15" s="1215" customFormat="1" ht="25.2" customHeight="1">
      <c r="A96" s="2957">
        <f>COUNTIF($K$1:K96,1)</f>
        <v>66</v>
      </c>
      <c r="B96" s="2972" t="str">
        <f>chitiet!B642</f>
        <v>CTD+K</v>
      </c>
      <c r="C96" s="2973" t="str">
        <f>chitiet!C642</f>
        <v>x</v>
      </c>
      <c r="D96" s="2974">
        <f>chitiet!D642</f>
        <v>1</v>
      </c>
      <c r="E96" s="2986">
        <f>chitiet!E642</f>
        <v>0</v>
      </c>
      <c r="F96" s="2972" t="str">
        <f>chitiet!F642</f>
        <v>Cọc tiếp đất Þ 16- 2,4m + kẹp cọc mạ đồng</v>
      </c>
      <c r="G96" s="2987" t="str">
        <f>chitiet!G642</f>
        <v>bộ</v>
      </c>
      <c r="H96" s="2987">
        <f>chitiet!H642</f>
        <v>3</v>
      </c>
      <c r="I96" s="2968">
        <f>chitiet!P642</f>
        <v>3</v>
      </c>
      <c r="J96" s="2965">
        <f>IFERROR(VLOOKUP(B96,DG!A:F,6,0),3000)</f>
        <v>50</v>
      </c>
      <c r="K96" s="2966">
        <f>IF(J96&lt;2000,COUNTIF($B$2:B96,B96),0)</f>
        <v>2</v>
      </c>
      <c r="L96" s="1304"/>
      <c r="M96" s="1382"/>
      <c r="O96" s="1382"/>
    </row>
    <row r="97" spans="1:15" s="1215" customFormat="1" ht="25.2" customHeight="1">
      <c r="A97" s="2957">
        <f>COUNTIF($K$1:K97,1)</f>
        <v>66</v>
      </c>
      <c r="B97" s="2977" t="str">
        <f>chitiet!B665</f>
        <v>CTD+K</v>
      </c>
      <c r="C97" s="2978" t="str">
        <f>chitiet!C665</f>
        <v>x</v>
      </c>
      <c r="D97" s="2979">
        <f>chitiet!D665</f>
        <v>9</v>
      </c>
      <c r="E97" s="2980">
        <f>chitiet!E665</f>
        <v>0</v>
      </c>
      <c r="F97" s="2977" t="str">
        <f>chitiet!F665</f>
        <v>Cọc tiếp đất Þ 16- 2,4m + kẹp cọc mạ đồng</v>
      </c>
      <c r="G97" s="2969" t="str">
        <f>chitiet!G665</f>
        <v>bộ</v>
      </c>
      <c r="H97" s="2969">
        <f>chitiet!H665</f>
        <v>9</v>
      </c>
      <c r="I97" s="2969">
        <f>chitiet!P665</f>
        <v>9</v>
      </c>
      <c r="J97" s="2965">
        <f>IFERROR(VLOOKUP(B97,DG!A:F,6,0),3000)</f>
        <v>50</v>
      </c>
      <c r="K97" s="2966">
        <f>IF(J97&lt;2000,COUNTIF($B$2:B97,B97),0)</f>
        <v>3</v>
      </c>
      <c r="L97" s="1304"/>
      <c r="M97" s="1382"/>
      <c r="O97" s="1382"/>
    </row>
    <row r="98" spans="1:15" s="1215" customFormat="1" ht="25.2" customHeight="1">
      <c r="A98" s="2957">
        <f>COUNTIF($K$1:K98,1)</f>
        <v>67</v>
      </c>
      <c r="B98" s="2958" t="str">
        <f>chitiet!B1881</f>
        <v>cut42</v>
      </c>
      <c r="C98" s="2959" t="str">
        <f>chitiet!C1881</f>
        <v>x</v>
      </c>
      <c r="D98" s="2960">
        <f>chitiet!D1881</f>
        <v>2</v>
      </c>
      <c r="E98" s="2961">
        <f>chitiet!E1881</f>
        <v>0</v>
      </c>
      <c r="F98" s="2962" t="str">
        <f>chitiet!F1881</f>
        <v>Co 90 độ PVC 42</v>
      </c>
      <c r="G98" s="2963" t="str">
        <f>chitiet!G1881</f>
        <v>cái</v>
      </c>
      <c r="H98" s="2964">
        <f>chitiet!H1881</f>
        <v>2</v>
      </c>
      <c r="I98" s="2964">
        <f>chitiet!P1881</f>
        <v>2</v>
      </c>
      <c r="J98" s="2965">
        <f>IFERROR(VLOOKUP(B98,DG!A:F,6,0),3000)</f>
        <v>50</v>
      </c>
      <c r="K98" s="2966">
        <f>IF(J98&lt;2000,COUNTIF($B$2:B98,B98),0)</f>
        <v>1</v>
      </c>
      <c r="L98" s="1307"/>
      <c r="M98" s="1382"/>
      <c r="O98" s="1382"/>
    </row>
    <row r="99" spans="1:15" s="1215" customFormat="1" ht="25.2" customHeight="1">
      <c r="A99" s="2957">
        <f>COUNTIF($K$1:K99,1)</f>
        <v>68</v>
      </c>
      <c r="B99" s="2958" t="str">
        <f>CT_tram!B2590</f>
        <v>CUT60</v>
      </c>
      <c r="C99" s="2959">
        <f>CT_tram!C2590</f>
        <v>6</v>
      </c>
      <c r="D99" s="2960">
        <f>CT_tram!D2590</f>
        <v>0</v>
      </c>
      <c r="E99" s="2961">
        <f>CT_tram!E2590</f>
        <v>0</v>
      </c>
      <c r="F99" s="2962" t="str">
        <f>CT_tram!F2590</f>
        <v>Co 90 độ PVC 60</v>
      </c>
      <c r="G99" s="2963" t="str">
        <f>CT_tram!G2590</f>
        <v>cái</v>
      </c>
      <c r="H99" s="2964">
        <f>CT_tram!H2590</f>
        <v>6</v>
      </c>
      <c r="I99" s="2964">
        <f>CT_tram!I2590</f>
        <v>6</v>
      </c>
      <c r="J99" s="2965">
        <f>IFERROR(VLOOKUP(B99,DG!A:F,6,0),3000)</f>
        <v>50</v>
      </c>
      <c r="K99" s="2966">
        <f>IF(J99&lt;2000,COUNTIF($B$2:B99,B99),0)</f>
        <v>1</v>
      </c>
      <c r="L99" s="1307"/>
      <c r="M99" s="1382"/>
      <c r="O99" s="1382"/>
    </row>
    <row r="100" spans="1:15" s="1215" customFormat="1" ht="25.2" customHeight="1">
      <c r="A100" s="2957">
        <f>COUNTIF($K$1:K100,1)</f>
        <v>68</v>
      </c>
      <c r="B100" s="2958" t="str">
        <f>chitiet!B1882</f>
        <v>cut60</v>
      </c>
      <c r="C100" s="2959" t="str">
        <f>chitiet!C1882</f>
        <v>x</v>
      </c>
      <c r="D100" s="2960">
        <f>chitiet!D1882</f>
        <v>2</v>
      </c>
      <c r="E100" s="2961">
        <f>chitiet!E1882</f>
        <v>0</v>
      </c>
      <c r="F100" s="2962" t="str">
        <f>chitiet!F1882</f>
        <v>Co 90 độ PVC 60</v>
      </c>
      <c r="G100" s="2963" t="str">
        <f>chitiet!G1882</f>
        <v>cái</v>
      </c>
      <c r="H100" s="2964">
        <f>chitiet!H1882</f>
        <v>2</v>
      </c>
      <c r="I100" s="2964">
        <f>chitiet!P1882</f>
        <v>2</v>
      </c>
      <c r="J100" s="2965">
        <f>IFERROR(VLOOKUP(B100,DG!A:F,6,0),3000)</f>
        <v>50</v>
      </c>
      <c r="K100" s="2966">
        <f>IF(J100&lt;2000,COUNTIF($B$2:B100,B100),0)</f>
        <v>2</v>
      </c>
      <c r="L100" s="1795"/>
      <c r="M100" s="1382"/>
      <c r="O100" s="1382"/>
    </row>
    <row r="101" spans="1:15" s="1215" customFormat="1" ht="25.2" customHeight="1">
      <c r="A101" s="2957">
        <f>COUNTIF($K$1:K101,1)</f>
        <v>69</v>
      </c>
      <c r="B101" s="2972" t="str">
        <f>CT_tram!B2547</f>
        <v>drc</v>
      </c>
      <c r="C101" s="2973">
        <f>CT_tram!C2547</f>
        <v>3</v>
      </c>
      <c r="D101" s="2974">
        <f>CT_tram!D2547</f>
        <v>0</v>
      </c>
      <c r="E101" s="2975">
        <f>CT_tram!E2547</f>
        <v>0</v>
      </c>
      <c r="F101" s="2976" t="str">
        <f>CT_tram!F2547</f>
        <v>Dây rút cáp</v>
      </c>
      <c r="G101" s="2970" t="str">
        <f>CT_tram!G2547</f>
        <v>bọc</v>
      </c>
      <c r="H101" s="2971">
        <f>CT_tram!H2547</f>
        <v>3</v>
      </c>
      <c r="I101" s="2964">
        <f>CT_tram!I2547</f>
        <v>3</v>
      </c>
      <c r="J101" s="2965">
        <f>IFERROR(VLOOKUP(B101,DG!A:F,6,0),3000)</f>
        <v>50</v>
      </c>
      <c r="K101" s="2966">
        <f>IF(J101&lt;2000,COUNTIF($B$2:B101,B101),0)</f>
        <v>1</v>
      </c>
      <c r="L101" s="1795"/>
      <c r="M101" s="1382"/>
      <c r="O101" s="1382"/>
    </row>
    <row r="102" spans="1:15" s="1215" customFormat="1" ht="25.2" customHeight="1">
      <c r="A102" s="2957">
        <f>COUNTIF($K$1:K102,1)</f>
        <v>70</v>
      </c>
      <c r="B102" s="2958" t="str">
        <f>CT_tram!B2572</f>
        <v>gachong</v>
      </c>
      <c r="C102" s="2959">
        <f>CT_tram!C2572</f>
        <v>350</v>
      </c>
      <c r="D102" s="2960">
        <f>CT_tram!D2572</f>
        <v>0</v>
      </c>
      <c r="E102" s="2961">
        <f>CT_tram!E2572</f>
        <v>0</v>
      </c>
      <c r="F102" s="2962" t="str">
        <f>CT_tram!F2572</f>
        <v>Gạch ống</v>
      </c>
      <c r="G102" s="2963" t="str">
        <f>CT_tram!G2572</f>
        <v>viên</v>
      </c>
      <c r="H102" s="2964">
        <f>CT_tram!H2572</f>
        <v>350</v>
      </c>
      <c r="I102" s="2964">
        <f>CT_tram!I2572</f>
        <v>350</v>
      </c>
      <c r="J102" s="2965">
        <f>IFERROR(VLOOKUP(B102,DG!A:F,6,0),3000)</f>
        <v>50</v>
      </c>
      <c r="K102" s="2966">
        <f>IF(J102&lt;2000,COUNTIF($B$2:B102,B102),0)</f>
        <v>1</v>
      </c>
      <c r="L102" s="1307"/>
      <c r="M102" s="1382"/>
      <c r="O102" s="1382"/>
    </row>
    <row r="103" spans="1:15" s="1215" customFormat="1" ht="25.2" customHeight="1">
      <c r="A103" s="2957">
        <f>COUNTIF($K$1:K103,1)</f>
        <v>71</v>
      </c>
      <c r="B103" s="2977" t="str">
        <f>chitiet!B1841</f>
        <v>GNIU95b</v>
      </c>
      <c r="C103" s="2978" t="str">
        <f>chitiet!C1841</f>
        <v>x</v>
      </c>
      <c r="D103" s="2979">
        <f>chitiet!D1841</f>
        <v>1</v>
      </c>
      <c r="E103" s="2980">
        <f>chitiet!E1841</f>
        <v>0</v>
      </c>
      <c r="F103" s="2977" t="str">
        <f>chitiet!F1841</f>
        <v>Giáp níu dừng dây bọc (70-95mm2)</v>
      </c>
      <c r="G103" s="2969" t="str">
        <f>chitiet!G1841</f>
        <v>cái</v>
      </c>
      <c r="H103" s="2969">
        <f>chitiet!H1841</f>
        <v>63</v>
      </c>
      <c r="I103" s="2969">
        <f>chitiet!$P$1841</f>
        <v>63</v>
      </c>
      <c r="J103" s="2965">
        <f>IFERROR(VLOOKUP(B103,DG!A:F,6,0),3000)</f>
        <v>50</v>
      </c>
      <c r="K103" s="2966">
        <f>IF(J103&lt;2000,COUNTIF($B$2:B103,B103),0)</f>
        <v>1</v>
      </c>
      <c r="L103" s="1304"/>
      <c r="M103" s="1796"/>
      <c r="N103" s="1797"/>
      <c r="O103" s="1796"/>
    </row>
    <row r="104" spans="1:15" s="1215" customFormat="1" ht="25.2" customHeight="1">
      <c r="A104" s="2957">
        <f>COUNTIF($K$1:K104,1)</f>
        <v>71</v>
      </c>
      <c r="B104" s="2958" t="str">
        <f>chitiet!B1848</f>
        <v>GNIU95b</v>
      </c>
      <c r="C104" s="2959" t="str">
        <f>chitiet!C1848</f>
        <v>x</v>
      </c>
      <c r="D104" s="2960">
        <f>chitiet!D1848</f>
        <v>1</v>
      </c>
      <c r="E104" s="2961">
        <f>chitiet!E1848</f>
        <v>0</v>
      </c>
      <c r="F104" s="2962" t="str">
        <f>chitiet!F1848</f>
        <v>Giáp níu dừng dây bọc (70-95mm2)</v>
      </c>
      <c r="G104" s="2963" t="str">
        <f>chitiet!G1848</f>
        <v>cái</v>
      </c>
      <c r="H104" s="2964">
        <f>chitiet!H1848</f>
        <v>6</v>
      </c>
      <c r="I104" s="2964">
        <f>chitiet!P1848</f>
        <v>6</v>
      </c>
      <c r="J104" s="2965">
        <f>IFERROR(VLOOKUP(B104,DG!A:F,6,0),3000)</f>
        <v>50</v>
      </c>
      <c r="K104" s="2966">
        <f>IF(J104&lt;2000,COUNTIF($B$2:B104,B104),0)</f>
        <v>2</v>
      </c>
      <c r="L104" s="1307"/>
      <c r="M104" s="1382"/>
      <c r="O104" s="1382"/>
    </row>
    <row r="105" spans="1:15" s="1215" customFormat="1" ht="25.2" customHeight="1">
      <c r="A105" s="2957">
        <f>COUNTIF($K$1:K105,1)</f>
        <v>72</v>
      </c>
      <c r="B105" s="2958" t="str">
        <f>chitiet!B666</f>
        <v>Ke185</v>
      </c>
      <c r="C105" s="2959" t="str">
        <f>chitiet!C666</f>
        <v>x</v>
      </c>
      <c r="D105" s="2960">
        <f>chitiet!D666</f>
        <v>2</v>
      </c>
      <c r="E105" s="2961">
        <f>chitiet!E666</f>
        <v>0</v>
      </c>
      <c r="F105" s="2962" t="str">
        <f>chitiet!F666</f>
        <v>Kẹp ép WR cỡ dây 185mm2</v>
      </c>
      <c r="G105" s="2963" t="str">
        <f>chitiet!G666</f>
        <v>cái</v>
      </c>
      <c r="H105" s="2964">
        <f>chitiet!H666</f>
        <v>2</v>
      </c>
      <c r="I105" s="2964">
        <f>chitiet!P666</f>
        <v>2</v>
      </c>
      <c r="J105" s="2965">
        <f>IFERROR(VLOOKUP(B105,DG!A:F,6,0),3000)</f>
        <v>50</v>
      </c>
      <c r="K105" s="2966">
        <f>IF(J105&lt;2000,COUNTIF($B$2:B105,B105),0)</f>
        <v>1</v>
      </c>
      <c r="L105" s="1307"/>
      <c r="M105" s="1382"/>
      <c r="O105" s="1382"/>
    </row>
    <row r="106" spans="1:15" s="1215" customFormat="1" ht="25.2" customHeight="1">
      <c r="A106" s="2957">
        <f>COUNTIF($K$1:K106,1)</f>
        <v>73</v>
      </c>
      <c r="B106" s="2958" t="str">
        <f>CT_tram!B2456</f>
        <v>KE50</v>
      </c>
      <c r="C106" s="2959">
        <f>CT_tram!C2456</f>
        <v>2</v>
      </c>
      <c r="D106" s="2960">
        <f>CT_tram!D2456</f>
        <v>0</v>
      </c>
      <c r="E106" s="2961">
        <f>CT_tram!E2456</f>
        <v>0</v>
      </c>
      <c r="F106" s="2962" t="str">
        <f>CT_tram!F2456</f>
        <v>Kẹp ép WR cỡ dây 50mm2</v>
      </c>
      <c r="G106" s="2963" t="str">
        <f>CT_tram!G2456</f>
        <v>cái</v>
      </c>
      <c r="H106" s="2964">
        <f>CT_tram!H2456</f>
        <v>2</v>
      </c>
      <c r="I106" s="2964">
        <f>CT_tram!I2456</f>
        <v>2</v>
      </c>
      <c r="J106" s="2965">
        <f>IFERROR(VLOOKUP(B106,DG!A:F,6,0),3000)</f>
        <v>50</v>
      </c>
      <c r="K106" s="2966">
        <f>IF(J106&lt;2000,COUNTIF($B$2:B106,B106),0)</f>
        <v>1</v>
      </c>
      <c r="L106" s="1307"/>
      <c r="M106" s="1382"/>
      <c r="O106" s="1382"/>
    </row>
    <row r="107" spans="1:15" s="1215" customFormat="1" ht="25.2" customHeight="1">
      <c r="A107" s="2957">
        <f>COUNTIF($K$1:K107,1)</f>
        <v>73</v>
      </c>
      <c r="B107" s="2958" t="str">
        <f>chitiet!B643</f>
        <v>Ke50</v>
      </c>
      <c r="C107" s="2959" t="str">
        <f>chitiet!C643</f>
        <v>x</v>
      </c>
      <c r="D107" s="2960">
        <f>chitiet!D643</f>
        <v>2</v>
      </c>
      <c r="E107" s="2961">
        <f>chitiet!E643</f>
        <v>0</v>
      </c>
      <c r="F107" s="2962" t="str">
        <f>chitiet!F643</f>
        <v>Kẹp ép WR cỡ dây 50mm2</v>
      </c>
      <c r="G107" s="2963" t="str">
        <f>chitiet!G643</f>
        <v>cái</v>
      </c>
      <c r="H107" s="2964">
        <f>chitiet!H643</f>
        <v>6</v>
      </c>
      <c r="I107" s="2964">
        <f>chitiet!P643</f>
        <v>6</v>
      </c>
      <c r="J107" s="2965">
        <f>IFERROR(VLOOKUP(B107,DG!A:F,6,0),3000)</f>
        <v>50</v>
      </c>
      <c r="K107" s="2966">
        <f>IF(J107&lt;2000,COUNTIF($B$2:B107,B107),0)</f>
        <v>2</v>
      </c>
      <c r="L107" s="1307"/>
      <c r="M107" s="1382"/>
      <c r="O107" s="1382"/>
    </row>
    <row r="108" spans="1:15" s="1215" customFormat="1" ht="25.2" customHeight="1">
      <c r="A108" s="2957">
        <f>COUNTIF($K$1:K108,1)</f>
        <v>74</v>
      </c>
      <c r="B108" s="2958" t="str">
        <f>chitiet!B1867</f>
        <v>KE70</v>
      </c>
      <c r="C108" s="2959" t="str">
        <f>chitiet!C1867</f>
        <v>x</v>
      </c>
      <c r="D108" s="2960">
        <f>chitiet!D1867</f>
        <v>4</v>
      </c>
      <c r="E108" s="2961">
        <f>chitiet!E1867</f>
        <v>0</v>
      </c>
      <c r="F108" s="2962" t="str">
        <f>chitiet!F1867</f>
        <v>Kẹp ép WR cỡ dây 70mm2</v>
      </c>
      <c r="G108" s="2981" t="str">
        <f>chitiet!G1867</f>
        <v>cái</v>
      </c>
      <c r="H108" s="2982">
        <f>chitiet!H1867</f>
        <v>4</v>
      </c>
      <c r="I108" s="2982">
        <f>chitiet!P1867</f>
        <v>4</v>
      </c>
      <c r="J108" s="2965">
        <f>IFERROR(VLOOKUP(B108,DG!A:F,6,0),3000)</f>
        <v>50</v>
      </c>
      <c r="K108" s="2966">
        <f>IF(J108&lt;2000,COUNTIF($B$2:B108,B108),0)</f>
        <v>1</v>
      </c>
      <c r="L108" s="1307"/>
      <c r="M108" s="1382"/>
      <c r="O108" s="1382"/>
    </row>
    <row r="109" spans="1:15" s="1215" customFormat="1" ht="25.2" customHeight="1">
      <c r="A109" s="2957">
        <f>COUNTIF($K$1:K109,1)</f>
        <v>74</v>
      </c>
      <c r="B109" s="2958" t="e">
        <f>chitiet!#REF!</f>
        <v>#REF!</v>
      </c>
      <c r="C109" s="2959" t="e">
        <f>chitiet!#REF!</f>
        <v>#REF!</v>
      </c>
      <c r="D109" s="2960" t="e">
        <f>chitiet!#REF!</f>
        <v>#REF!</v>
      </c>
      <c r="E109" s="2961" t="e">
        <f>chitiet!#REF!</f>
        <v>#REF!</v>
      </c>
      <c r="F109" s="2962" t="e">
        <f>chitiet!#REF!</f>
        <v>#REF!</v>
      </c>
      <c r="G109" s="2963" t="e">
        <f>chitiet!#REF!</f>
        <v>#REF!</v>
      </c>
      <c r="H109" s="2964" t="e">
        <f>chitiet!#REF!</f>
        <v>#REF!</v>
      </c>
      <c r="I109" s="2964" t="e">
        <f>chitiet!#REF!</f>
        <v>#REF!</v>
      </c>
      <c r="J109" s="2965">
        <f>IFERROR(VLOOKUP(B109,DG!A:F,6,0),3000)</f>
        <v>3000</v>
      </c>
      <c r="K109" s="2966">
        <f>IF(J109&lt;2000,COUNTIF($B$2:B109,B109),0)</f>
        <v>0</v>
      </c>
      <c r="L109" s="1307"/>
      <c r="M109" s="1382"/>
      <c r="O109" s="1382"/>
    </row>
    <row r="110" spans="1:15" s="1215" customFormat="1" ht="25.2" customHeight="1">
      <c r="A110" s="2957">
        <f>COUNTIF($K$1:K110,1)</f>
        <v>75</v>
      </c>
      <c r="B110" s="2958" t="str">
        <f>chitiet!B1868</f>
        <v>KE95</v>
      </c>
      <c r="C110" s="2959" t="str">
        <f>chitiet!C1868</f>
        <v>x</v>
      </c>
      <c r="D110" s="2960">
        <f>chitiet!D1868</f>
        <v>42</v>
      </c>
      <c r="E110" s="2961">
        <f>chitiet!E1868</f>
        <v>0</v>
      </c>
      <c r="F110" s="2962" t="str">
        <f>chitiet!F1868</f>
        <v>Kẹp ép WR cỡ dây 95mm2</v>
      </c>
      <c r="G110" s="2963" t="str">
        <f>chitiet!G1868</f>
        <v>cái</v>
      </c>
      <c r="H110" s="2964">
        <f>chitiet!H1868</f>
        <v>42</v>
      </c>
      <c r="I110" s="2964">
        <f>chitiet!P1868</f>
        <v>42</v>
      </c>
      <c r="J110" s="2965">
        <f>IFERROR(VLOOKUP(B110,DG!A:F,6,0),3000)</f>
        <v>50</v>
      </c>
      <c r="K110" s="2966">
        <f>IF(J110&lt;2000,COUNTIF($B$2:B110,B110),0)</f>
        <v>1</v>
      </c>
      <c r="L110" s="1307"/>
      <c r="M110" s="1382"/>
      <c r="O110" s="1382"/>
    </row>
    <row r="111" spans="1:15" s="1215" customFormat="1" ht="25.2" customHeight="1">
      <c r="A111" s="2957">
        <f>COUNTIF($K$1:K111,1)</f>
        <v>75</v>
      </c>
      <c r="B111" s="2972" t="e">
        <f>chitiet!#REF!</f>
        <v>#REF!</v>
      </c>
      <c r="C111" s="2973" t="e">
        <f>chitiet!#REF!</f>
        <v>#REF!</v>
      </c>
      <c r="D111" s="2974" t="e">
        <f>chitiet!#REF!</f>
        <v>#REF!</v>
      </c>
      <c r="E111" s="2986" t="e">
        <f>chitiet!#REF!</f>
        <v>#REF!</v>
      </c>
      <c r="F111" s="2972" t="e">
        <f>chitiet!#REF!</f>
        <v>#REF!</v>
      </c>
      <c r="G111" s="2987" t="e">
        <f>chitiet!#REF!</f>
        <v>#REF!</v>
      </c>
      <c r="H111" s="2987" t="e">
        <f>chitiet!#REF!</f>
        <v>#REF!</v>
      </c>
      <c r="I111" s="2969" t="e">
        <f>chitiet!#REF!</f>
        <v>#REF!</v>
      </c>
      <c r="J111" s="2965">
        <f>IFERROR(VLOOKUP(B111,DG!A:F,6,0),3000)</f>
        <v>3000</v>
      </c>
      <c r="K111" s="2966">
        <f>IF(J111&lt;2000,COUNTIF($B$2:B111,B111),0)</f>
        <v>0</v>
      </c>
      <c r="L111" s="1997"/>
      <c r="M111" s="1382"/>
      <c r="O111" s="1382"/>
    </row>
    <row r="112" spans="1:15" s="1215" customFormat="1" ht="25.2" customHeight="1">
      <c r="A112" s="2957">
        <f>COUNTIF($K$1:K112,1)</f>
        <v>76</v>
      </c>
      <c r="B112" s="2958" t="str">
        <f>CT_tram!B2592</f>
        <v>KEO</v>
      </c>
      <c r="C112" s="2959">
        <f>CT_tram!C2592</f>
        <v>1</v>
      </c>
      <c r="D112" s="2960">
        <f>CT_tram!D2592</f>
        <v>0</v>
      </c>
      <c r="E112" s="2967">
        <f>CT_tram!E2592</f>
        <v>0</v>
      </c>
      <c r="F112" s="2958" t="str">
        <f>CT_tram!F2592</f>
        <v>Keo dán ống PVC (500gr)</v>
      </c>
      <c r="G112" s="2968" t="str">
        <f>CT_tram!G2592</f>
        <v>lon</v>
      </c>
      <c r="H112" s="2968">
        <f>CT_tram!H2592</f>
        <v>1</v>
      </c>
      <c r="I112" s="2968">
        <f>CT_tram!I2592</f>
        <v>1</v>
      </c>
      <c r="J112" s="2965">
        <f>IFERROR(VLOOKUP(B112,DG!A:F,6,0),3000)</f>
        <v>50</v>
      </c>
      <c r="K112" s="2966">
        <f>IF(J112&lt;2000,COUNTIF($B$2:B112,B112),0)</f>
        <v>1</v>
      </c>
      <c r="L112" s="1304"/>
      <c r="M112" s="1382"/>
      <c r="O112" s="1382"/>
    </row>
    <row r="113" spans="1:15" s="1215" customFormat="1" ht="25.2" customHeight="1">
      <c r="A113" s="2957">
        <f>COUNTIF($K$1:K113,1)</f>
        <v>77</v>
      </c>
      <c r="B113" s="2958" t="str">
        <f>CT_tram!B2546</f>
        <v>keobit</v>
      </c>
      <c r="C113" s="2959">
        <f>CT_tram!C2546</f>
        <v>3</v>
      </c>
      <c r="D113" s="2960">
        <f>CT_tram!D2546</f>
        <v>0</v>
      </c>
      <c r="E113" s="2961">
        <f>CT_tram!E2546</f>
        <v>0</v>
      </c>
      <c r="F113" s="2962" t="str">
        <f>CT_tram!F2546</f>
        <v>Keo silicon bít miệng ống:</v>
      </c>
      <c r="G113" s="2963" t="str">
        <f>CT_tram!G2546</f>
        <v>ống</v>
      </c>
      <c r="H113" s="2964">
        <f>CT_tram!H2546</f>
        <v>3</v>
      </c>
      <c r="I113" s="2964">
        <f>CT_tram!I2546</f>
        <v>3</v>
      </c>
      <c r="J113" s="2965">
        <f>IFERROR(VLOOKUP(B113,DG!A:F,6,0),3000)</f>
        <v>50</v>
      </c>
      <c r="K113" s="2966">
        <f>IF(J113&lt;2000,COUNTIF($B$2:B113,B113),0)</f>
        <v>1</v>
      </c>
      <c r="L113" s="1307"/>
      <c r="M113" s="1796"/>
      <c r="N113" s="1797"/>
      <c r="O113" s="1796"/>
    </row>
    <row r="114" spans="1:15" s="1215" customFormat="1" ht="25.2" customHeight="1">
      <c r="A114" s="2957">
        <f>COUNTIF($K$1:K114,1)</f>
        <v>77</v>
      </c>
      <c r="B114" s="2958" t="str">
        <f>CT_tram!B2598</f>
        <v>keobit</v>
      </c>
      <c r="C114" s="2959">
        <f>CT_tram!C2598</f>
        <v>2</v>
      </c>
      <c r="D114" s="2960">
        <f>CT_tram!D2598</f>
        <v>0</v>
      </c>
      <c r="E114" s="2961">
        <f>CT_tram!E2598</f>
        <v>0</v>
      </c>
      <c r="F114" s="2962" t="str">
        <f>CT_tram!F2598</f>
        <v>Keo silicon bít miệng ống</v>
      </c>
      <c r="G114" s="2963" t="str">
        <f>CT_tram!G2598</f>
        <v>ống</v>
      </c>
      <c r="H114" s="2964">
        <f>CT_tram!H2598</f>
        <v>2</v>
      </c>
      <c r="I114" s="2964">
        <f>CT_tram!I2598</f>
        <v>2</v>
      </c>
      <c r="J114" s="2965">
        <f>IFERROR(VLOOKUP(B114,DG!A:F,6,0),3000)</f>
        <v>50</v>
      </c>
      <c r="K114" s="2966">
        <f>IF(J114&lt;2000,COUNTIF($B$2:B114,B114),0)</f>
        <v>2</v>
      </c>
      <c r="L114" s="1307"/>
      <c r="M114" s="1382"/>
      <c r="O114" s="1382"/>
    </row>
    <row r="115" spans="1:15" s="1215" customFormat="1" ht="25.2" customHeight="1">
      <c r="A115" s="2957">
        <f>COUNTIF($K$1:K115,1)</f>
        <v>77</v>
      </c>
      <c r="B115" s="2977" t="str">
        <f>chitiet!B1956</f>
        <v>keobit</v>
      </c>
      <c r="C115" s="2978" t="str">
        <f>chitiet!C1956</f>
        <v>x</v>
      </c>
      <c r="D115" s="2979">
        <f>chitiet!D1956</f>
        <v>2</v>
      </c>
      <c r="E115" s="2980">
        <f>chitiet!E1956</f>
        <v>0</v>
      </c>
      <c r="F115" s="2977" t="str">
        <f>chitiet!F1956</f>
        <v>Keo silicon bít miệng ống</v>
      </c>
      <c r="G115" s="2969" t="str">
        <f>chitiet!G1956</f>
        <v>ống</v>
      </c>
      <c r="H115" s="2969">
        <f>chitiet!H1956</f>
        <v>2</v>
      </c>
      <c r="I115" s="2969">
        <f>chitiet!P1956</f>
        <v>2</v>
      </c>
      <c r="J115" s="2965">
        <f>IFERROR(VLOOKUP(B115,DG!A:F,6,0),3000)</f>
        <v>50</v>
      </c>
      <c r="K115" s="2966">
        <f>IF(J115&lt;2000,COUNTIF($B$2:B115,B115),0)</f>
        <v>3</v>
      </c>
      <c r="L115" s="1304"/>
      <c r="M115" s="1796"/>
      <c r="N115" s="1797"/>
      <c r="O115" s="1796"/>
    </row>
    <row r="116" spans="1:15" s="1215" customFormat="1" ht="25.2" customHeight="1">
      <c r="A116" s="2957">
        <f>COUNTIF($K$1:K116,1)</f>
        <v>78</v>
      </c>
      <c r="B116" s="2958" t="str">
        <f>CT_tram!B2516</f>
        <v>KH4/0</v>
      </c>
      <c r="C116" s="2959">
        <f>CT_tram!C2516</f>
        <v>3</v>
      </c>
      <c r="D116" s="2960">
        <f>CT_tram!D2516</f>
        <v>0</v>
      </c>
      <c r="E116" s="2961" t="str">
        <f>CT_tram!E2516</f>
        <v>04.3007</v>
      </c>
      <c r="F116" s="2962" t="str">
        <f>CT_tram!F2516</f>
        <v xml:space="preserve">Kẹp hotline 4/0: </v>
      </c>
      <c r="G116" s="2963" t="str">
        <f>CT_tram!G2516</f>
        <v>cái</v>
      </c>
      <c r="H116" s="2964">
        <f>CT_tram!H2516</f>
        <v>3</v>
      </c>
      <c r="I116" s="2964">
        <f>CT_tram!I2516</f>
        <v>3</v>
      </c>
      <c r="J116" s="2965">
        <f>IFERROR(VLOOKUP(B116,DG!A:F,6,0),3000)</f>
        <v>50</v>
      </c>
      <c r="K116" s="2966">
        <f>IF(J116&lt;2000,COUNTIF($B$2:B116,B116),0)</f>
        <v>1</v>
      </c>
      <c r="L116" s="1307"/>
      <c r="M116" s="1382"/>
      <c r="O116" s="1382"/>
    </row>
    <row r="117" spans="1:15" s="1215" customFormat="1" ht="25.2" customHeight="1">
      <c r="A117" s="2957">
        <f>COUNTIF($K$1:K117,1)</f>
        <v>78</v>
      </c>
      <c r="B117" s="2958" t="str">
        <f>chitiet!B1866</f>
        <v>KH4/0</v>
      </c>
      <c r="C117" s="2959" t="str">
        <f>chitiet!C1866</f>
        <v>x</v>
      </c>
      <c r="D117" s="2960">
        <f>chitiet!D1866</f>
        <v>9</v>
      </c>
      <c r="E117" s="2961">
        <f>chitiet!E1866</f>
        <v>0</v>
      </c>
      <c r="F117" s="2962" t="str">
        <f>chitiet!F1866</f>
        <v>Kẹp hotline 4/0</v>
      </c>
      <c r="G117" s="2963" t="str">
        <f>chitiet!G1866</f>
        <v>cái</v>
      </c>
      <c r="H117" s="2964">
        <f>chitiet!H1866</f>
        <v>9</v>
      </c>
      <c r="I117" s="2964">
        <f>chitiet!P1866</f>
        <v>9</v>
      </c>
      <c r="J117" s="2965">
        <f>IFERROR(VLOOKUP(B117,DG!A:F,6,0),3000)</f>
        <v>50</v>
      </c>
      <c r="K117" s="2966">
        <f>IF(J117&lt;2000,COUNTIF($B$2:B117,B117),0)</f>
        <v>2</v>
      </c>
      <c r="L117" s="1307"/>
      <c r="M117" s="1382"/>
      <c r="O117" s="1382"/>
    </row>
    <row r="118" spans="1:15" s="1215" customFormat="1" ht="25.2" customHeight="1">
      <c r="A118" s="2957">
        <f>COUNTIF($K$1:K118,1)</f>
        <v>78</v>
      </c>
      <c r="B118" s="2977" t="e">
        <f>chitiet!#REF!</f>
        <v>#REF!</v>
      </c>
      <c r="C118" s="2978" t="e">
        <f>chitiet!#REF!</f>
        <v>#REF!</v>
      </c>
      <c r="D118" s="2979" t="e">
        <f>chitiet!#REF!</f>
        <v>#REF!</v>
      </c>
      <c r="E118" s="2980" t="e">
        <f>chitiet!#REF!</f>
        <v>#REF!</v>
      </c>
      <c r="F118" s="2977" t="e">
        <f>chitiet!#REF!</f>
        <v>#REF!</v>
      </c>
      <c r="G118" s="2969" t="e">
        <f>chitiet!#REF!</f>
        <v>#REF!</v>
      </c>
      <c r="H118" s="2969" t="e">
        <f>chitiet!#REF!</f>
        <v>#REF!</v>
      </c>
      <c r="I118" s="2969" t="e">
        <f>chitiet!#REF!</f>
        <v>#REF!</v>
      </c>
      <c r="J118" s="2965">
        <f>IFERROR(VLOOKUP(B118,DG!A:F,6,0),3000)</f>
        <v>3000</v>
      </c>
      <c r="K118" s="2966">
        <f>IF(J118&lt;2000,COUNTIF($B$2:B118,B118),0)</f>
        <v>0</v>
      </c>
      <c r="L118" s="1304"/>
      <c r="M118" s="1382"/>
      <c r="O118" s="1382"/>
    </row>
    <row r="119" spans="1:15" s="1215" customFormat="1" ht="25.2" customHeight="1">
      <c r="A119" s="2957">
        <f>COUNTIF($K$1:K119,1)</f>
        <v>79</v>
      </c>
      <c r="B119" s="2958" t="str">
        <f>chitiet!B1847</f>
        <v>khanhkep</v>
      </c>
      <c r="C119" s="2959" t="str">
        <f>chitiet!C1847</f>
        <v>x</v>
      </c>
      <c r="D119" s="2960">
        <f>chitiet!D1847</f>
        <v>2</v>
      </c>
      <c r="E119" s="2961">
        <f>chitiet!E1847</f>
        <v>0</v>
      </c>
      <c r="F119" s="2962" t="str">
        <f>chitiet!F1847</f>
        <v>Khánh lắp chuỗi sứ polymer kép</v>
      </c>
      <c r="G119" s="2963" t="str">
        <f>chitiet!G1847</f>
        <v>cái</v>
      </c>
      <c r="H119" s="2964">
        <f>chitiet!H1847</f>
        <v>12</v>
      </c>
      <c r="I119" s="2964">
        <f>chitiet!P1847</f>
        <v>12</v>
      </c>
      <c r="J119" s="2965">
        <f>IFERROR(VLOOKUP(B119,DG!A:F,6,0),3000)</f>
        <v>50</v>
      </c>
      <c r="K119" s="2966">
        <f>IF(J119&lt;2000,COUNTIF($B$2:B119,B119),0)</f>
        <v>1</v>
      </c>
      <c r="L119" s="1307"/>
      <c r="M119" s="1382"/>
      <c r="O119" s="1382"/>
    </row>
    <row r="120" spans="1:15" s="1215" customFormat="1" ht="25.2" customHeight="1">
      <c r="A120" s="2957">
        <f>COUNTIF($K$1:K120,1)</f>
        <v>80</v>
      </c>
      <c r="B120" s="2958" t="str">
        <f>chitiet!B1805</f>
        <v>kn50</v>
      </c>
      <c r="C120" s="2959" t="str">
        <f>chitiet!C1805</f>
        <v>x</v>
      </c>
      <c r="D120" s="2960">
        <f>chitiet!D1805</f>
        <v>1</v>
      </c>
      <c r="E120" s="2961">
        <f>chitiet!E1805</f>
        <v>0</v>
      </c>
      <c r="F120" s="2962" t="str">
        <f>chitiet!F1805</f>
        <v>Khóa néo dây cỡ dây 50</v>
      </c>
      <c r="G120" s="2963" t="str">
        <f>chitiet!G1805</f>
        <v>cái</v>
      </c>
      <c r="H120" s="2964">
        <f>chitiet!H1805</f>
        <v>6</v>
      </c>
      <c r="I120" s="2964">
        <f>chitiet!P1805</f>
        <v>6</v>
      </c>
      <c r="J120" s="2965">
        <f>IFERROR(VLOOKUP(B120,DG!A:F,6,0),3000)</f>
        <v>50</v>
      </c>
      <c r="K120" s="2966">
        <f>IF(J120&lt;2000,COUNTIF($B$2:B120,B120),0)</f>
        <v>1</v>
      </c>
      <c r="L120" s="1307"/>
      <c r="M120" s="1382"/>
      <c r="O120" s="1382"/>
    </row>
    <row r="121" spans="1:15" s="1215" customFormat="1" ht="25.2" customHeight="1">
      <c r="A121" s="2957">
        <f>COUNTIF($K$1:K121,1)</f>
        <v>81</v>
      </c>
      <c r="B121" s="2958" t="str">
        <f>chitiet!B1809</f>
        <v>kn70</v>
      </c>
      <c r="C121" s="2959" t="str">
        <f>chitiet!C1809</f>
        <v>x</v>
      </c>
      <c r="D121" s="2960">
        <f>chitiet!D1809</f>
        <v>2</v>
      </c>
      <c r="E121" s="2961">
        <f>chitiet!E1809</f>
        <v>0</v>
      </c>
      <c r="F121" s="2962" t="str">
        <f>chitiet!F1809</f>
        <v>Khóa néo dây cỡ dây 70</v>
      </c>
      <c r="G121" s="2963" t="str">
        <f>chitiet!G1809</f>
        <v>cái</v>
      </c>
      <c r="H121" s="2964">
        <f>chitiet!H1809</f>
        <v>28</v>
      </c>
      <c r="I121" s="2964">
        <f>chitiet!P1809</f>
        <v>28</v>
      </c>
      <c r="J121" s="2965">
        <f>IFERROR(VLOOKUP(B121,DG!A:F,6,0),3000)</f>
        <v>50</v>
      </c>
      <c r="K121" s="2966">
        <f>IF(J121&lt;2000,COUNTIF($B$2:B121,B121),0)</f>
        <v>1</v>
      </c>
      <c r="L121" s="1307"/>
      <c r="M121" s="1382"/>
      <c r="O121" s="1382"/>
    </row>
    <row r="122" spans="1:15" s="1215" customFormat="1" ht="25.2" customHeight="1">
      <c r="A122" s="2957">
        <f>COUNTIF($K$1:K122,1)</f>
        <v>82</v>
      </c>
      <c r="B122" s="2958" t="str">
        <f>CT_tram!B2515</f>
        <v>KQ4/0</v>
      </c>
      <c r="C122" s="2959">
        <f>CT_tram!C2515</f>
        <v>3</v>
      </c>
      <c r="D122" s="2960">
        <f>CT_tram!D2515</f>
        <v>0</v>
      </c>
      <c r="E122" s="2961" t="str">
        <f>CT_tram!E2515</f>
        <v>04.3007</v>
      </c>
      <c r="F122" s="2962" t="str">
        <f>CT_tram!F2515</f>
        <v>Kẹp quai 4/0</v>
      </c>
      <c r="G122" s="2981" t="str">
        <f>CT_tram!G2515</f>
        <v>cái</v>
      </c>
      <c r="H122" s="2982">
        <f>CT_tram!H2515</f>
        <v>3</v>
      </c>
      <c r="I122" s="2982">
        <f>CT_tram!I2515</f>
        <v>3</v>
      </c>
      <c r="J122" s="2965">
        <f>IFERROR(VLOOKUP(B122,DG!A:F,6,0),3000)</f>
        <v>50</v>
      </c>
      <c r="K122" s="2966">
        <f>IF(J122&lt;2000,COUNTIF($B$2:B122,B122),0)</f>
        <v>1</v>
      </c>
      <c r="L122" s="1307"/>
      <c r="M122" s="1382"/>
      <c r="O122" s="1382"/>
    </row>
    <row r="123" spans="1:15" s="1215" customFormat="1" ht="25.2" customHeight="1">
      <c r="A123" s="2957">
        <f>COUNTIF($K$1:K123,1)</f>
        <v>82</v>
      </c>
      <c r="B123" s="2958" t="str">
        <f>chitiet!B1865</f>
        <v>KQ4/0</v>
      </c>
      <c r="C123" s="2959" t="str">
        <f>chitiet!C1865</f>
        <v>x</v>
      </c>
      <c r="D123" s="2960">
        <f>chitiet!D1865</f>
        <v>9</v>
      </c>
      <c r="E123" s="2961">
        <f>chitiet!E1865</f>
        <v>0</v>
      </c>
      <c r="F123" s="2962" t="str">
        <f>chitiet!F1865</f>
        <v>Kẹp quai 4/0</v>
      </c>
      <c r="G123" s="2963" t="str">
        <f>chitiet!G1865</f>
        <v>cái</v>
      </c>
      <c r="H123" s="2964">
        <f>chitiet!H1865</f>
        <v>9</v>
      </c>
      <c r="I123" s="2964">
        <f>chitiet!P1865</f>
        <v>9</v>
      </c>
      <c r="J123" s="2965">
        <f>IFERROR(VLOOKUP(B123,DG!A:F,6,0),3000)</f>
        <v>50</v>
      </c>
      <c r="K123" s="2966">
        <f>IF(J123&lt;2000,COUNTIF($B$2:B123,B123),0)</f>
        <v>2</v>
      </c>
      <c r="L123" s="1307"/>
      <c r="M123" s="1382"/>
      <c r="O123" s="1382"/>
    </row>
    <row r="124" spans="1:15" s="1215" customFormat="1" ht="25.2" customHeight="1">
      <c r="A124" s="2957">
        <f>COUNTIF($K$1:K124,1)</f>
        <v>82</v>
      </c>
      <c r="B124" s="2977" t="e">
        <f>chitiet!#REF!</f>
        <v>#REF!</v>
      </c>
      <c r="C124" s="2978" t="e">
        <f>chitiet!#REF!</f>
        <v>#REF!</v>
      </c>
      <c r="D124" s="2979" t="e">
        <f>chitiet!#REF!</f>
        <v>#REF!</v>
      </c>
      <c r="E124" s="2980" t="e">
        <f>chitiet!#REF!</f>
        <v>#REF!</v>
      </c>
      <c r="F124" s="2977" t="e">
        <f>chitiet!#REF!</f>
        <v>#REF!</v>
      </c>
      <c r="G124" s="2969" t="e">
        <f>chitiet!#REF!</f>
        <v>#REF!</v>
      </c>
      <c r="H124" s="2969" t="e">
        <f>chitiet!#REF!</f>
        <v>#REF!</v>
      </c>
      <c r="I124" s="2969" t="e">
        <f>chitiet!#REF!</f>
        <v>#REF!</v>
      </c>
      <c r="J124" s="2965">
        <f>IFERROR(VLOOKUP(B124,DG!A:F,6,0),3000)</f>
        <v>3000</v>
      </c>
      <c r="K124" s="2966">
        <f>IF(J124&lt;2000,COUNTIF($B$2:B124,B124),0)</f>
        <v>0</v>
      </c>
      <c r="L124" s="1304"/>
      <c r="M124" s="1382"/>
      <c r="O124" s="1382"/>
    </row>
    <row r="125" spans="1:15" s="1215" customFormat="1" ht="25.2" customHeight="1">
      <c r="A125" s="2957">
        <f>COUNTIF($K$1:K125,1)</f>
        <v>83</v>
      </c>
      <c r="B125" s="2958" t="str">
        <f>CT_tram!B2595</f>
        <v>KVRN60</v>
      </c>
      <c r="C125" s="2959">
        <f>CT_tram!C2595</f>
        <v>1</v>
      </c>
      <c r="D125" s="2960">
        <f>CT_tram!D2595</f>
        <v>0</v>
      </c>
      <c r="E125" s="2961">
        <f>CT_tram!E2595</f>
        <v>0</v>
      </c>
      <c r="F125" s="2962" t="str">
        <f>CT_tram!F2595</f>
        <v>Khâu ven răng ngoài D60</v>
      </c>
      <c r="G125" s="2963" t="str">
        <f>CT_tram!G2595</f>
        <v>cái</v>
      </c>
      <c r="H125" s="2964">
        <f>CT_tram!H2595</f>
        <v>1</v>
      </c>
      <c r="I125" s="2964">
        <f>CT_tram!I2595</f>
        <v>1</v>
      </c>
      <c r="J125" s="2965">
        <f>IFERROR(VLOOKUP(B125,DG!A:F,6,0),3000)</f>
        <v>50</v>
      </c>
      <c r="K125" s="2966">
        <f>IF(J125&lt;2000,COUNTIF($B$2:B125,B125),0)</f>
        <v>1</v>
      </c>
      <c r="L125" s="1307"/>
      <c r="M125" s="1382"/>
      <c r="O125" s="1382"/>
    </row>
    <row r="126" spans="1:15" s="1215" customFormat="1" ht="25.2" customHeight="1">
      <c r="A126" s="2957">
        <f>COUNTIF($K$1:K126,1)</f>
        <v>84</v>
      </c>
      <c r="B126" s="2958" t="str">
        <f>CT_tram!B2594</f>
        <v>KVRT60</v>
      </c>
      <c r="C126" s="2959">
        <f>CT_tram!C2594</f>
        <v>1</v>
      </c>
      <c r="D126" s="2960">
        <f>CT_tram!D2594</f>
        <v>0</v>
      </c>
      <c r="E126" s="2961">
        <f>CT_tram!E2594</f>
        <v>0</v>
      </c>
      <c r="F126" s="2962" t="str">
        <f>CT_tram!F2594</f>
        <v>Khâu ven răng trong D60</v>
      </c>
      <c r="G126" s="2963" t="str">
        <f>CT_tram!G2594</f>
        <v>cái</v>
      </c>
      <c r="H126" s="2964">
        <f>CT_tram!H2594</f>
        <v>1</v>
      </c>
      <c r="I126" s="2964">
        <f>CT_tram!I2594</f>
        <v>1</v>
      </c>
      <c r="J126" s="2965">
        <f>IFERROR(VLOOKUP(B126,DG!A:F,6,0),3000)</f>
        <v>50</v>
      </c>
      <c r="K126" s="2966">
        <f>IF(J126&lt;2000,COUNTIF($B$2:B126,B126),0)</f>
        <v>1</v>
      </c>
      <c r="L126" s="1307"/>
      <c r="M126" s="1382"/>
      <c r="O126" s="1382"/>
    </row>
    <row r="127" spans="1:15" s="1215" customFormat="1" ht="25.2" customHeight="1">
      <c r="A127" s="2957">
        <f>COUNTIF($K$1:K127,1)</f>
        <v>85</v>
      </c>
      <c r="B127" s="2958" t="str">
        <f>CT_tram!B2577</f>
        <v>LDKhungcua</v>
      </c>
      <c r="C127" s="2959">
        <f>CT_tram!C2577</f>
        <v>24</v>
      </c>
      <c r="D127" s="2960">
        <f>CT_tram!D2577</f>
        <v>0</v>
      </c>
      <c r="E127" s="2961" t="str">
        <f>CT_tram!E2577</f>
        <v>AI.63121</v>
      </c>
      <c r="F127" s="2962" t="str">
        <f>CT_tram!F2577</f>
        <v>Gia công và lắp dựng khung cửa sắt</v>
      </c>
      <c r="G127" s="2963" t="str">
        <f>CT_tram!G2577</f>
        <v>m2</v>
      </c>
      <c r="H127" s="2964">
        <f>CT_tram!H2577</f>
        <v>24</v>
      </c>
      <c r="I127" s="2964">
        <f>CT_tram!I2577</f>
        <v>24</v>
      </c>
      <c r="J127" s="2965">
        <f>IFERROR(VLOOKUP(B127,DG!A:F,6,0),3000)</f>
        <v>50</v>
      </c>
      <c r="K127" s="2966">
        <f>IF(J127&lt;2000,COUNTIF($B$2:B127,B127),0)</f>
        <v>1</v>
      </c>
      <c r="L127" s="1307"/>
      <c r="M127" s="1382"/>
      <c r="O127" s="1382"/>
    </row>
    <row r="128" spans="1:15" s="1215" customFormat="1" ht="25.2" customHeight="1">
      <c r="A128" s="2957">
        <f>COUNTIF($K$1:K128,1)</f>
        <v>86</v>
      </c>
      <c r="B128" s="2977" t="str">
        <f>chitiet!B2320</f>
        <v>LTD</v>
      </c>
      <c r="C128" s="2978" t="str">
        <f>chitiet!C2320</f>
        <v>x</v>
      </c>
      <c r="D128" s="2979">
        <f>chitiet!D2320</f>
        <v>0</v>
      </c>
      <c r="E128" s="2980" t="str">
        <f>chitiet!E2320</f>
        <v>02.3104</v>
      </c>
      <c r="F128" s="2977" t="str">
        <f>chitiet!F2320</f>
        <v>LTD 1P 24KV - 800A</v>
      </c>
      <c r="G128" s="2969" t="str">
        <f>chitiet!G2320</f>
        <v>cái</v>
      </c>
      <c r="H128" s="2969">
        <f>chitiet!H2320</f>
        <v>3</v>
      </c>
      <c r="I128" s="2969">
        <f>chitiet!P2320</f>
        <v>3</v>
      </c>
      <c r="J128" s="2965">
        <f>IFERROR(VLOOKUP(B128,DG!A:F,6,0),3000)</f>
        <v>50</v>
      </c>
      <c r="K128" s="2966">
        <f>IF(J128&lt;2000,COUNTIF($B$2:B128,B128),0)</f>
        <v>1</v>
      </c>
      <c r="L128" s="1304"/>
      <c r="M128" s="1382"/>
      <c r="O128" s="1382"/>
    </row>
    <row r="129" spans="1:15" s="1215" customFormat="1" ht="25.2" customHeight="1">
      <c r="A129" s="2957">
        <f>COUNTIF($K$1:K129,1)</f>
        <v>87</v>
      </c>
      <c r="B129" s="2958" t="str">
        <f>CT_tram!B2599</f>
        <v>M5M</v>
      </c>
      <c r="C129" s="2959">
        <f>CT_tram!C2599</f>
        <v>4</v>
      </c>
      <c r="D129" s="2960">
        <f>CT_tram!D2599</f>
        <v>0</v>
      </c>
      <c r="E129" s="2961">
        <f>CT_tram!E2599</f>
        <v>0</v>
      </c>
      <c r="F129" s="2962" t="str">
        <f>CT_tram!F2599</f>
        <v>Dây đồng trần mềm dẹt</v>
      </c>
      <c r="G129" s="2963" t="str">
        <f>CT_tram!G2599</f>
        <v>mét</v>
      </c>
      <c r="H129" s="2964">
        <f>CT_tram!H2599</f>
        <v>4</v>
      </c>
      <c r="I129" s="2964">
        <f>CT_tram!I2599</f>
        <v>4</v>
      </c>
      <c r="J129" s="2965">
        <f>IFERROR(VLOOKUP(B129,DG!A:F,6,0),3000)</f>
        <v>50</v>
      </c>
      <c r="K129" s="2966">
        <f>IF(J129&lt;2000,COUNTIF($B$2:B129,B129),0)</f>
        <v>1</v>
      </c>
      <c r="L129" s="1795"/>
      <c r="M129" s="1382"/>
      <c r="O129" s="1382"/>
    </row>
    <row r="130" spans="1:15" s="1215" customFormat="1" ht="25.2" customHeight="1">
      <c r="A130" s="2957">
        <f>COUNTIF($K$1:K130,1)</f>
        <v>88</v>
      </c>
      <c r="B130" s="2958" t="str">
        <f>chitiet!B1838</f>
        <v>MT</v>
      </c>
      <c r="C130" s="2959" t="str">
        <f>chitiet!C1838</f>
        <v>x</v>
      </c>
      <c r="D130" s="2960">
        <f>chitiet!D1838</f>
        <v>2</v>
      </c>
      <c r="E130" s="2967">
        <f>chitiet!E1838</f>
        <v>0</v>
      </c>
      <c r="F130" s="2958" t="str">
        <f>chitiet!F1838</f>
        <v xml:space="preserve">Móc treo chữ U </v>
      </c>
      <c r="G130" s="2968" t="str">
        <f>chitiet!G1838</f>
        <v>cái</v>
      </c>
      <c r="H130" s="2968">
        <f>chitiet!H1838</f>
        <v>126</v>
      </c>
      <c r="I130" s="2968">
        <f>chitiet!P1838</f>
        <v>126</v>
      </c>
      <c r="J130" s="2965">
        <f>IFERROR(VLOOKUP(B130,DG!A:F,6,0),3000)</f>
        <v>50</v>
      </c>
      <c r="K130" s="2966">
        <f>IF(J130&lt;2000,COUNTIF($B$2:B130,B130),0)</f>
        <v>1</v>
      </c>
      <c r="L130" s="1304"/>
      <c r="M130" s="1382"/>
      <c r="O130" s="1382"/>
    </row>
    <row r="131" spans="1:15" s="1215" customFormat="1" ht="25.2" customHeight="1">
      <c r="A131" s="2957">
        <f>COUNTIF($K$1:K131,1)</f>
        <v>88</v>
      </c>
      <c r="B131" s="2958" t="str">
        <f>chitiet!B1845</f>
        <v>MT</v>
      </c>
      <c r="C131" s="2959" t="str">
        <f>chitiet!C1845</f>
        <v>x</v>
      </c>
      <c r="D131" s="2960">
        <f>chitiet!D1845</f>
        <v>4</v>
      </c>
      <c r="E131" s="2961">
        <f>chitiet!E1845</f>
        <v>0</v>
      </c>
      <c r="F131" s="2962" t="str">
        <f>chitiet!F1845</f>
        <v xml:space="preserve">Móc treo chữ U </v>
      </c>
      <c r="G131" s="2963" t="str">
        <f>chitiet!G1845</f>
        <v>cái</v>
      </c>
      <c r="H131" s="2964">
        <f>chitiet!H1845</f>
        <v>24</v>
      </c>
      <c r="I131" s="2964">
        <f>chitiet!P1845</f>
        <v>24</v>
      </c>
      <c r="J131" s="2965">
        <f>IFERROR(VLOOKUP(B131,DG!A:F,6,0),3000)</f>
        <v>50</v>
      </c>
      <c r="K131" s="2966">
        <f>IF(J131&lt;2000,COUNTIF($B$2:B131,B131),0)</f>
        <v>2</v>
      </c>
      <c r="L131" s="1307"/>
      <c r="M131" s="1382"/>
      <c r="O131" s="1382"/>
    </row>
    <row r="132" spans="1:15" s="1215" customFormat="1" ht="25.2" customHeight="1">
      <c r="A132" s="2957">
        <f>COUNTIF($K$1:K132,1)</f>
        <v>89</v>
      </c>
      <c r="B132" s="2958" t="str">
        <f>CT_tram!B2591</f>
        <v>Noi60</v>
      </c>
      <c r="C132" s="2959">
        <f>CT_tram!C2591</f>
        <v>5</v>
      </c>
      <c r="D132" s="2960">
        <f>CT_tram!D2591</f>
        <v>0</v>
      </c>
      <c r="E132" s="2961">
        <f>CT_tram!E2591</f>
        <v>0</v>
      </c>
      <c r="F132" s="2962" t="str">
        <f>CT_tram!F2591</f>
        <v>Nối ống PVC 60</v>
      </c>
      <c r="G132" s="2963" t="str">
        <f>CT_tram!G2591</f>
        <v>cái</v>
      </c>
      <c r="H132" s="2964">
        <f>CT_tram!H2591</f>
        <v>5</v>
      </c>
      <c r="I132" s="2964">
        <f>CT_tram!I2591</f>
        <v>5</v>
      </c>
      <c r="J132" s="2965">
        <f>IFERROR(VLOOKUP(B132,DG!A:F,6,0),3000)</f>
        <v>50</v>
      </c>
      <c r="K132" s="2966">
        <f>IF(J132&lt;2000,COUNTIF($B$2:B132,B132),0)</f>
        <v>1</v>
      </c>
      <c r="L132" s="1307"/>
      <c r="M132" s="1382"/>
      <c r="O132" s="1382"/>
    </row>
    <row r="133" spans="1:15" s="1215" customFormat="1" ht="25.2" customHeight="1">
      <c r="A133" s="2957">
        <f>COUNTIF($K$1:K133,1)</f>
        <v>90</v>
      </c>
      <c r="B133" s="2958" t="str">
        <f>chitiet!B1870</f>
        <v>OCN</v>
      </c>
      <c r="C133" s="2959" t="str">
        <f>chitiet!C1870</f>
        <v>x</v>
      </c>
      <c r="D133" s="2960">
        <f>chitiet!D1870</f>
        <v>27</v>
      </c>
      <c r="E133" s="2961">
        <f>chitiet!E1870</f>
        <v>0</v>
      </c>
      <c r="F133" s="2962" t="str">
        <f>chitiet!F1870</f>
        <v>Ong co nhiệt</v>
      </c>
      <c r="G133" s="2963" t="str">
        <f>chitiet!G1870</f>
        <v>m</v>
      </c>
      <c r="H133" s="2964">
        <f>chitiet!H1870</f>
        <v>27</v>
      </c>
      <c r="I133" s="2964">
        <f>chitiet!P1870</f>
        <v>27</v>
      </c>
      <c r="J133" s="2965">
        <f>IFERROR(VLOOKUP(B133,DG!A:F,6,0),3000)</f>
        <v>50</v>
      </c>
      <c r="K133" s="2966">
        <f>IF(J133&lt;2000,COUNTIF($B$2:B133,B133),0)</f>
        <v>1</v>
      </c>
      <c r="L133" s="1307"/>
      <c r="M133" s="1382"/>
      <c r="O133" s="1382"/>
    </row>
    <row r="134" spans="1:15" s="1215" customFormat="1" ht="25.2" customHeight="1">
      <c r="A134" s="2957">
        <f>COUNTIF($K$1:K134,1)</f>
        <v>90</v>
      </c>
      <c r="B134" s="2977" t="e">
        <f>chitiet!#REF!</f>
        <v>#REF!</v>
      </c>
      <c r="C134" s="2978" t="e">
        <f>chitiet!#REF!</f>
        <v>#REF!</v>
      </c>
      <c r="D134" s="2979" t="e">
        <f>chitiet!#REF!</f>
        <v>#REF!</v>
      </c>
      <c r="E134" s="2980" t="e">
        <f>chitiet!#REF!</f>
        <v>#REF!</v>
      </c>
      <c r="F134" s="2977" t="e">
        <f>chitiet!#REF!</f>
        <v>#REF!</v>
      </c>
      <c r="G134" s="2969" t="e">
        <f>chitiet!#REF!</f>
        <v>#REF!</v>
      </c>
      <c r="H134" s="2969" t="e">
        <f>chitiet!#REF!</f>
        <v>#REF!</v>
      </c>
      <c r="I134" s="2969" t="e">
        <f>chitiet!#REF!</f>
        <v>#REF!</v>
      </c>
      <c r="J134" s="2965">
        <f>IFERROR(VLOOKUP(B134,DG!A:F,6,0),3000)</f>
        <v>3000</v>
      </c>
      <c r="K134" s="2966">
        <f>IF(J134&lt;2000,COUNTIF($B$2:B134,B134),0)</f>
        <v>0</v>
      </c>
      <c r="L134" s="1304"/>
      <c r="M134" s="1382"/>
      <c r="O134" s="1382"/>
    </row>
    <row r="135" spans="1:15" s="1215" customFormat="1" ht="25.2" customHeight="1">
      <c r="A135" s="2957">
        <f>COUNTIF($K$1:K135,1)</f>
        <v>91</v>
      </c>
      <c r="B135" s="2958" t="str">
        <f>chitiet!B1869</f>
        <v>ON-AC-185</v>
      </c>
      <c r="C135" s="2959" t="str">
        <f>chitiet!C1869</f>
        <v>x</v>
      </c>
      <c r="D135" s="2960">
        <f>chitiet!D1869</f>
        <v>84</v>
      </c>
      <c r="E135" s="2961">
        <f>chitiet!E1869</f>
        <v>0</v>
      </c>
      <c r="F135" s="2962" t="str">
        <f>chitiet!F1869</f>
        <v>Ống nối dây AC-185</v>
      </c>
      <c r="G135" s="2963" t="str">
        <f>chitiet!G1869</f>
        <v>cái</v>
      </c>
      <c r="H135" s="2964">
        <f>chitiet!H1869</f>
        <v>84</v>
      </c>
      <c r="I135" s="2964">
        <f>chitiet!P1869</f>
        <v>84</v>
      </c>
      <c r="J135" s="2965">
        <f>IFERROR(VLOOKUP(B135,DG!A:F,6,0),3000)</f>
        <v>50</v>
      </c>
      <c r="K135" s="2966">
        <f>IF(J135&lt;2000,COUNTIF($B$2:B135,B135),0)</f>
        <v>1</v>
      </c>
      <c r="L135" s="1307"/>
      <c r="M135" s="1382"/>
      <c r="O135" s="1382"/>
    </row>
    <row r="136" spans="1:15" s="1215" customFormat="1" ht="25.2" customHeight="1">
      <c r="A136" s="2957">
        <f>COUNTIF($K$1:K136,1)</f>
        <v>92</v>
      </c>
      <c r="B136" s="2958" t="str">
        <f>CT_tram!B2458</f>
        <v>oxc25</v>
      </c>
      <c r="C136" s="2959">
        <f>CT_tram!C2458</f>
        <v>8</v>
      </c>
      <c r="D136" s="2960">
        <f>CT_tram!D2458</f>
        <v>0</v>
      </c>
      <c r="E136" s="2961" t="str">
        <f>CT_tram!E2458</f>
        <v>04.3107</v>
      </c>
      <c r="F136" s="2962" t="str">
        <f>CT_tram!F2458</f>
        <v>Ốc siết cáp cỡ 25mm2</v>
      </c>
      <c r="G136" s="2963" t="str">
        <f>CT_tram!G2458</f>
        <v>cái</v>
      </c>
      <c r="H136" s="2964">
        <f>CT_tram!H2458</f>
        <v>8</v>
      </c>
      <c r="I136" s="2964">
        <f>CT_tram!I2458</f>
        <v>8</v>
      </c>
      <c r="J136" s="2965">
        <f>IFERROR(VLOOKUP(B136,DG!A:F,6,0),3000)</f>
        <v>50</v>
      </c>
      <c r="K136" s="2966">
        <f>IF(J136&lt;2000,COUNTIF($B$2:B136,B136),0)</f>
        <v>1</v>
      </c>
      <c r="L136" s="1307"/>
      <c r="M136" s="1382"/>
      <c r="O136" s="1382"/>
    </row>
    <row r="137" spans="1:15" s="1215" customFormat="1" ht="25.2" customHeight="1">
      <c r="A137" s="2957">
        <f>COUNTIF($K$1:K137,1)</f>
        <v>92</v>
      </c>
      <c r="B137" s="2958" t="str">
        <f>CT_tram!B2586</f>
        <v>oxc25</v>
      </c>
      <c r="C137" s="2959">
        <f>CT_tram!C2586</f>
        <v>3</v>
      </c>
      <c r="D137" s="2960">
        <f>CT_tram!D2586</f>
        <v>0</v>
      </c>
      <c r="E137" s="2961" t="str">
        <f>CT_tram!E2586</f>
        <v>04.3107</v>
      </c>
      <c r="F137" s="2962" t="str">
        <f>CT_tram!F2586</f>
        <v>Ốc siết cáp cỡ 25mm2</v>
      </c>
      <c r="G137" s="2963" t="str">
        <f>CT_tram!G2586</f>
        <v>cái</v>
      </c>
      <c r="H137" s="2964">
        <f>CT_tram!H2586</f>
        <v>3</v>
      </c>
      <c r="I137" s="2964">
        <f>CT_tram!I2586</f>
        <v>3</v>
      </c>
      <c r="J137" s="2965">
        <f>IFERROR(VLOOKUP(B137,DG!A:F,6,0),3000)</f>
        <v>50</v>
      </c>
      <c r="K137" s="2966">
        <f>IF(J137&lt;2000,COUNTIF($B$2:B137,B137),0)</f>
        <v>2</v>
      </c>
      <c r="L137" s="1795"/>
      <c r="M137" s="1382"/>
      <c r="O137" s="1382"/>
    </row>
    <row r="138" spans="1:15" s="1215" customFormat="1" ht="25.2" customHeight="1">
      <c r="A138" s="2957">
        <f>COUNTIF($K$1:K138,1)</f>
        <v>92</v>
      </c>
      <c r="B138" s="2958" t="str">
        <f>chitiet!B646</f>
        <v>OXC25</v>
      </c>
      <c r="C138" s="2959" t="str">
        <f>chitiet!C646</f>
        <v>x</v>
      </c>
      <c r="D138" s="2960">
        <f>chitiet!D646</f>
        <v>2</v>
      </c>
      <c r="E138" s="2961">
        <f>chitiet!E646</f>
        <v>0</v>
      </c>
      <c r="F138" s="2962" t="str">
        <f>chitiet!F646</f>
        <v>Ốc siết cáp cỡ 25mm2</v>
      </c>
      <c r="G138" s="2963" t="str">
        <f>chitiet!G646</f>
        <v>cái</v>
      </c>
      <c r="H138" s="2964">
        <f>chitiet!H646</f>
        <v>6</v>
      </c>
      <c r="I138" s="2964">
        <f>chitiet!P646</f>
        <v>6</v>
      </c>
      <c r="J138" s="2965">
        <f>IFERROR(VLOOKUP(B138,DG!A:F,6,0),3000)</f>
        <v>50</v>
      </c>
      <c r="K138" s="2966">
        <f>IF(J138&lt;2000,COUNTIF($B$2:B138,B138),0)</f>
        <v>3</v>
      </c>
      <c r="L138" s="1997"/>
      <c r="M138" s="1382"/>
      <c r="O138" s="1382"/>
    </row>
    <row r="139" spans="1:15" s="1215" customFormat="1" ht="25.2" customHeight="1">
      <c r="A139" s="2957">
        <f>COUNTIF($K$1:K139,1)</f>
        <v>92</v>
      </c>
      <c r="B139" s="2958" t="str">
        <f>chitiet!B667</f>
        <v>OXC25</v>
      </c>
      <c r="C139" s="2959" t="str">
        <f>chitiet!C667</f>
        <v>x</v>
      </c>
      <c r="D139" s="2960">
        <f>chitiet!D667</f>
        <v>8</v>
      </c>
      <c r="E139" s="2961">
        <f>chitiet!E667</f>
        <v>0</v>
      </c>
      <c r="F139" s="2962" t="str">
        <f>chitiet!F667</f>
        <v>Ốc siết cáp cỡ 25mm2</v>
      </c>
      <c r="G139" s="2963" t="str">
        <f>chitiet!G667</f>
        <v>cái</v>
      </c>
      <c r="H139" s="2964">
        <f>chitiet!H667</f>
        <v>8</v>
      </c>
      <c r="I139" s="2964">
        <f>chitiet!P667</f>
        <v>8</v>
      </c>
      <c r="J139" s="2965">
        <f>IFERROR(VLOOKUP(B139,DG!A:F,6,0),3000)</f>
        <v>50</v>
      </c>
      <c r="K139" s="2966">
        <f>IF(J139&lt;2000,COUNTIF($B$2:B139,B139),0)</f>
        <v>4</v>
      </c>
      <c r="L139" s="1795"/>
      <c r="M139" s="1382"/>
      <c r="O139" s="1382"/>
    </row>
    <row r="140" spans="1:15" s="1215" customFormat="1" ht="25.2" customHeight="1">
      <c r="A140" s="2957">
        <f>COUNTIF($K$1:K140,1)</f>
        <v>93</v>
      </c>
      <c r="B140" s="2958" t="str">
        <f>CT_tram!B2540</f>
        <v>PVC114</v>
      </c>
      <c r="C140" s="2959">
        <f>CT_tram!C2540</f>
        <v>8</v>
      </c>
      <c r="D140" s="2960">
        <f>CT_tram!D2540</f>
        <v>0</v>
      </c>
      <c r="E140" s="2961">
        <f>CT_tram!E2540</f>
        <v>0</v>
      </c>
      <c r="F140" s="2962" t="str">
        <f>CT_tram!F2540</f>
        <v xml:space="preserve">Ống PVC D114x4,9mm </v>
      </c>
      <c r="G140" s="2963" t="str">
        <f>CT_tram!G2540</f>
        <v>m</v>
      </c>
      <c r="H140" s="2964">
        <f>CT_tram!H2540</f>
        <v>8</v>
      </c>
      <c r="I140" s="2964">
        <f>CT_tram!I2540</f>
        <v>8</v>
      </c>
      <c r="J140" s="2965">
        <f>IFERROR(VLOOKUP(B140,DG!A:F,6,0),3000)</f>
        <v>50</v>
      </c>
      <c r="K140" s="2966">
        <f>IF(J140&lt;2000,COUNTIF($B$2:B140,B140),0)</f>
        <v>1</v>
      </c>
      <c r="L140" s="1307"/>
      <c r="M140" s="1382"/>
      <c r="O140" s="1382"/>
    </row>
    <row r="141" spans="1:15" s="1215" customFormat="1" ht="25.2" customHeight="1">
      <c r="A141" s="2957">
        <f>COUNTIF($K$1:K141,1)</f>
        <v>94</v>
      </c>
      <c r="B141" s="2958" t="str">
        <f>chitiet!B1878</f>
        <v>pvc42</v>
      </c>
      <c r="C141" s="2959" t="str">
        <f>chitiet!C1878</f>
        <v>x</v>
      </c>
      <c r="D141" s="2960">
        <f>chitiet!D1878</f>
        <v>7</v>
      </c>
      <c r="E141" s="2961">
        <f>chitiet!E1878</f>
        <v>0</v>
      </c>
      <c r="F141" s="2962" t="str">
        <f>chitiet!F1878</f>
        <v>Ống PVC D42x2,1mm</v>
      </c>
      <c r="G141" s="2963" t="str">
        <f>chitiet!G1878</f>
        <v>m</v>
      </c>
      <c r="H141" s="2964">
        <f>chitiet!H1878</f>
        <v>7</v>
      </c>
      <c r="I141" s="2964">
        <f>chitiet!P1878</f>
        <v>7</v>
      </c>
      <c r="J141" s="2965">
        <f>IFERROR(VLOOKUP(B141,DG!A:F,6,0),3000)</f>
        <v>50</v>
      </c>
      <c r="K141" s="2966">
        <f>IF(J141&lt;2000,COUNTIF($B$2:B141,B141),0)</f>
        <v>1</v>
      </c>
      <c r="L141" s="1307"/>
      <c r="M141" s="1382"/>
      <c r="O141" s="1382"/>
    </row>
    <row r="142" spans="1:15" s="1215" customFormat="1" ht="25.2" customHeight="1">
      <c r="A142" s="2957">
        <f>COUNTIF($K$1:K142,1)</f>
        <v>95</v>
      </c>
      <c r="B142" s="2958" t="str">
        <f>CT_tram!B2587</f>
        <v>PVC60</v>
      </c>
      <c r="C142" s="2959">
        <f>CT_tram!C2587</f>
        <v>18</v>
      </c>
      <c r="D142" s="2960">
        <f>CT_tram!D2587</f>
        <v>0</v>
      </c>
      <c r="E142" s="2961" t="str">
        <f>CT_tram!E2587</f>
        <v>07.2404</v>
      </c>
      <c r="F142" s="2962" t="str">
        <f>CT_tram!F2587</f>
        <v>Ống PVC D60x2,8mm</v>
      </c>
      <c r="G142" s="2963" t="str">
        <f>CT_tram!G2587</f>
        <v>m</v>
      </c>
      <c r="H142" s="2964">
        <f>CT_tram!H2587</f>
        <v>18</v>
      </c>
      <c r="I142" s="2964">
        <f>CT_tram!I2587</f>
        <v>18</v>
      </c>
      <c r="J142" s="2965">
        <f>IFERROR(VLOOKUP(B142,DG!A:F,6,0),3000)</f>
        <v>50</v>
      </c>
      <c r="K142" s="2966">
        <f>IF(J142&lt;2000,COUNTIF($B$2:B142,B142),0)</f>
        <v>1</v>
      </c>
      <c r="L142" s="1307"/>
      <c r="M142" s="1382"/>
      <c r="O142" s="1382"/>
    </row>
    <row r="143" spans="1:15" s="1215" customFormat="1" ht="25.2" customHeight="1">
      <c r="A143" s="2957">
        <f>COUNTIF($K$1:K143,1)</f>
        <v>95</v>
      </c>
      <c r="B143" s="2958" t="str">
        <f>chitiet!B1879</f>
        <v>pvc60</v>
      </c>
      <c r="C143" s="2959" t="str">
        <f>chitiet!C1879</f>
        <v>x</v>
      </c>
      <c r="D143" s="2960">
        <f>chitiet!D1879</f>
        <v>7</v>
      </c>
      <c r="E143" s="2967">
        <f>chitiet!E1879</f>
        <v>0</v>
      </c>
      <c r="F143" s="2958" t="str">
        <f>chitiet!F1879</f>
        <v>Ống PVC D60x2,8mm</v>
      </c>
      <c r="G143" s="2968" t="str">
        <f>chitiet!G1879</f>
        <v>m</v>
      </c>
      <c r="H143" s="2968">
        <f>chitiet!H1879</f>
        <v>7</v>
      </c>
      <c r="I143" s="2968">
        <f>chitiet!P1879</f>
        <v>7</v>
      </c>
      <c r="J143" s="2965">
        <f>IFERROR(VLOOKUP(B143,DG!A:F,6,0),3000)</f>
        <v>50</v>
      </c>
      <c r="K143" s="2966">
        <f>IF(J143&lt;2000,COUNTIF($B$2:B143,B143),0)</f>
        <v>2</v>
      </c>
      <c r="L143" s="1307"/>
      <c r="M143" s="1382"/>
      <c r="O143" s="1382"/>
    </row>
    <row r="144" spans="1:15" s="1215" customFormat="1" ht="25.2" customHeight="1">
      <c r="A144" s="2957">
        <f>COUNTIF($K$1:K144,1)</f>
        <v>96</v>
      </c>
      <c r="B144" s="2958" t="str">
        <f>chitiet!B1792</f>
        <v>R1</v>
      </c>
      <c r="C144" s="2959" t="str">
        <f>chitiet!C1792</f>
        <v>x</v>
      </c>
      <c r="D144" s="2960">
        <f>chitiet!D1792</f>
        <v>1</v>
      </c>
      <c r="E144" s="2967">
        <f>chitiet!E1792</f>
        <v>0</v>
      </c>
      <c r="F144" s="2958" t="str">
        <f>chitiet!F1792</f>
        <v>Uclevis + sứ ống chỉ</v>
      </c>
      <c r="G144" s="2968" t="str">
        <f>chitiet!G1792</f>
        <v>bộ</v>
      </c>
      <c r="H144" s="2968">
        <f>chitiet!H1792</f>
        <v>5</v>
      </c>
      <c r="I144" s="2968">
        <f>chitiet!P1792</f>
        <v>5</v>
      </c>
      <c r="J144" s="2965">
        <f>IFERROR(VLOOKUP(B144,DG!A:F,6,0),3000)</f>
        <v>50</v>
      </c>
      <c r="K144" s="2966">
        <f>IF(J144&lt;2000,COUNTIF($B$2:B144,B144),0)</f>
        <v>1</v>
      </c>
      <c r="L144" s="1304"/>
      <c r="M144" s="1382"/>
      <c r="O144" s="1382"/>
    </row>
    <row r="145" spans="1:15" s="1215" customFormat="1" ht="25.2" customHeight="1">
      <c r="A145" s="2957">
        <f>COUNTIF($K$1:K145,1)</f>
        <v>96</v>
      </c>
      <c r="B145" s="2958" t="str">
        <f>chitiet!B1795</f>
        <v>R1</v>
      </c>
      <c r="C145" s="2959" t="str">
        <f>chitiet!C1795</f>
        <v>x</v>
      </c>
      <c r="D145" s="2960">
        <f>chitiet!D1795</f>
        <v>1</v>
      </c>
      <c r="E145" s="2961">
        <f>chitiet!E1795</f>
        <v>0</v>
      </c>
      <c r="F145" s="2962" t="str">
        <f>chitiet!F1795</f>
        <v>Uclevis + sứ ống chỉ</v>
      </c>
      <c r="G145" s="2963" t="str">
        <f>chitiet!G1795</f>
        <v>bộ</v>
      </c>
      <c r="H145" s="2964">
        <f>chitiet!H1795</f>
        <v>1</v>
      </c>
      <c r="I145" s="2964">
        <f>chitiet!P1795</f>
        <v>1</v>
      </c>
      <c r="J145" s="2965">
        <f>IFERROR(VLOOKUP(B145,DG!A:F,6,0),3000)</f>
        <v>50</v>
      </c>
      <c r="K145" s="2966">
        <f>IF(J145&lt;2000,COUNTIF($B$2:B145,B145),0)</f>
        <v>2</v>
      </c>
      <c r="L145" s="1307"/>
      <c r="M145" s="1382"/>
      <c r="O145" s="1382"/>
    </row>
    <row r="146" spans="1:15" s="1215" customFormat="1" ht="25.2" customHeight="1">
      <c r="A146" s="2957">
        <f>COUNTIF($K$1:K146,1)</f>
        <v>97</v>
      </c>
      <c r="B146" s="2972" t="str">
        <f>chitiet!B2336</f>
        <v>Rec</v>
      </c>
      <c r="C146" s="2973" t="str">
        <f>chitiet!C2336</f>
        <v>x</v>
      </c>
      <c r="D146" s="2974">
        <f>chitiet!D2336</f>
        <v>0</v>
      </c>
      <c r="E146" s="2986" t="str">
        <f>chitiet!E2336</f>
        <v>02.2113</v>
      </c>
      <c r="F146" s="2972" t="str">
        <f>chitiet!F2336</f>
        <v>Recloser 24kV 630A - 800A (MBA cấp nguồn + Phụ kiện)</v>
      </c>
      <c r="G146" s="2987" t="str">
        <f>chitiet!G2336</f>
        <v>bộ</v>
      </c>
      <c r="H146" s="2987">
        <f>chitiet!H2336</f>
        <v>1</v>
      </c>
      <c r="I146" s="2969">
        <f>chitiet!P2336</f>
        <v>1</v>
      </c>
      <c r="J146" s="2965">
        <f>IFERROR(VLOOKUP(B146,DG!A:F,6,0),3000)</f>
        <v>50</v>
      </c>
      <c r="K146" s="2966">
        <f>IF(J146&lt;2000,COUNTIF($B$2:B146,B146),0)</f>
        <v>1</v>
      </c>
      <c r="L146" s="1304"/>
      <c r="M146" s="1382"/>
      <c r="O146" s="1382"/>
    </row>
    <row r="147" spans="1:15" s="1215" customFormat="1" ht="25.2" customHeight="1">
      <c r="A147" s="2957">
        <f>COUNTIF($K$1:K147,1)</f>
        <v>98</v>
      </c>
      <c r="B147" s="2958" t="str">
        <f>CT_tram!B2567</f>
        <v>S60</v>
      </c>
      <c r="C147" s="2959">
        <f>CT_tram!C2567</f>
        <v>3</v>
      </c>
      <c r="D147" s="2960">
        <f>CT_tram!D2567</f>
        <v>0</v>
      </c>
      <c r="E147" s="2961">
        <f>CT_tram!E2567</f>
        <v>0</v>
      </c>
      <c r="F147" s="2962" t="str">
        <f>CT_tram!F2567</f>
        <v>Sắt dẹt 60 x 6</v>
      </c>
      <c r="G147" s="2963" t="str">
        <f>CT_tram!G2567</f>
        <v>kg</v>
      </c>
      <c r="H147" s="2964">
        <f>CT_tram!H2567</f>
        <v>3</v>
      </c>
      <c r="I147" s="2964">
        <f>CT_tram!I2567</f>
        <v>3</v>
      </c>
      <c r="J147" s="2965">
        <f>IFERROR(VLOOKUP(B147,DG!A:F,6,0),3000)</f>
        <v>50</v>
      </c>
      <c r="K147" s="2966">
        <f>IF(J147&lt;2000,COUNTIF($B$2:B147,B147),0)</f>
        <v>1</v>
      </c>
      <c r="L147" s="1307"/>
      <c r="M147" s="1382"/>
      <c r="O147" s="1382"/>
    </row>
    <row r="148" spans="1:15" s="1215" customFormat="1" ht="25.2" customHeight="1">
      <c r="A148" s="2957">
        <f>COUNTIF($K$1:K148,1)</f>
        <v>99</v>
      </c>
      <c r="B148" s="2958" t="str">
        <f>CT_tram!B2566</f>
        <v>SATV4</v>
      </c>
      <c r="C148" s="2959">
        <f>CT_tram!C2566</f>
        <v>47.2</v>
      </c>
      <c r="D148" s="2960">
        <f>CT_tram!D2566</f>
        <v>0</v>
      </c>
      <c r="E148" s="2961">
        <f>CT_tram!E2566</f>
        <v>0</v>
      </c>
      <c r="F148" s="2962" t="str">
        <f>CT_tram!F2566</f>
        <v>Thanh sắt V40x40x3-6000 - 17,7kg/thanh</v>
      </c>
      <c r="G148" s="2963" t="str">
        <f>CT_tram!G2566</f>
        <v>kg</v>
      </c>
      <c r="H148" s="2964">
        <f>CT_tram!H2566</f>
        <v>47.2</v>
      </c>
      <c r="I148" s="2964">
        <f>CT_tram!I2566</f>
        <v>47.2</v>
      </c>
      <c r="J148" s="2965">
        <f>IFERROR(VLOOKUP(B148,DG!A:F,6,0),3000)</f>
        <v>50</v>
      </c>
      <c r="K148" s="2966">
        <f>IF(J148&lt;2000,COUNTIF($B$2:B148,B148),0)</f>
        <v>1</v>
      </c>
      <c r="L148" s="1307"/>
      <c r="M148" s="1382"/>
      <c r="O148" s="1382"/>
    </row>
    <row r="149" spans="1:15" s="1215" customFormat="1" ht="25.2" customHeight="1">
      <c r="A149" s="2957">
        <f>COUNTIF($K$1:K149,1)</f>
        <v>100</v>
      </c>
      <c r="B149" s="2958" t="str">
        <f>CT_tram!B2565</f>
        <v>SATV5</v>
      </c>
      <c r="C149" s="2959">
        <f>CT_tram!C2565</f>
        <v>128</v>
      </c>
      <c r="D149" s="2960">
        <f>CT_tram!D2565</f>
        <v>0</v>
      </c>
      <c r="E149" s="2961">
        <f>CT_tram!E2565</f>
        <v>0</v>
      </c>
      <c r="F149" s="2962" t="str">
        <f>CT_tram!F2565</f>
        <v>Thanh sắt V50x50x5-4000 - 16kg/thanh</v>
      </c>
      <c r="G149" s="2963" t="str">
        <f>CT_tram!G2565</f>
        <v>kg</v>
      </c>
      <c r="H149" s="2964">
        <f>CT_tram!H2565</f>
        <v>128</v>
      </c>
      <c r="I149" s="2964">
        <f>CT_tram!I2565</f>
        <v>128</v>
      </c>
      <c r="J149" s="2965">
        <f>IFERROR(VLOOKUP(B149,DG!A:F,6,0),3000)</f>
        <v>50</v>
      </c>
      <c r="K149" s="2966">
        <f>IF(J149&lt;2000,COUNTIF($B$2:B149,B149),0)</f>
        <v>1</v>
      </c>
      <c r="L149" s="1307"/>
      <c r="M149" s="1382"/>
      <c r="O149" s="1382"/>
    </row>
    <row r="150" spans="1:15" s="1215" customFormat="1" ht="25.2" customHeight="1">
      <c r="A150" s="2957">
        <f>COUNTIF($K$1:K150,1)</f>
        <v>101</v>
      </c>
      <c r="B150" s="2972" t="str">
        <f>chitiet!B975</f>
        <v>SL50-1150</v>
      </c>
      <c r="C150" s="2973" t="str">
        <f>chitiet!C975</f>
        <v>x</v>
      </c>
      <c r="D150" s="2974">
        <f>chitiet!D975</f>
        <v>1</v>
      </c>
      <c r="E150" s="2975">
        <f>chitiet!E975</f>
        <v>0</v>
      </c>
      <c r="F150" s="2976" t="str">
        <f>chitiet!F975</f>
        <v>Sắt góc L50 x50 x5 x1150</v>
      </c>
      <c r="G150" s="2970" t="str">
        <f>chitiet!G975</f>
        <v>cái</v>
      </c>
      <c r="H150" s="2971">
        <f>chitiet!H975</f>
        <v>22</v>
      </c>
      <c r="I150" s="2982">
        <f>chitiet!P975</f>
        <v>22</v>
      </c>
      <c r="J150" s="2965">
        <f>IFERROR(VLOOKUP(B150,DG!A:F,6,0),3000)</f>
        <v>50</v>
      </c>
      <c r="K150" s="2966">
        <f>IF(J150&lt;2000,COUNTIF($B$2:B150,B150),0)</f>
        <v>1</v>
      </c>
      <c r="L150" s="1307"/>
      <c r="M150" s="1382"/>
      <c r="O150" s="1382"/>
    </row>
    <row r="151" spans="1:15" s="1215" customFormat="1" ht="25.2" customHeight="1">
      <c r="A151" s="2957">
        <f>COUNTIF($K$1:K151,1)</f>
        <v>101</v>
      </c>
      <c r="B151" s="2958" t="str">
        <f>chitiet!B975</f>
        <v>SL50-1150</v>
      </c>
      <c r="C151" s="2959" t="str">
        <f>chitiet!C975</f>
        <v>x</v>
      </c>
      <c r="D151" s="2960">
        <f>chitiet!D975</f>
        <v>1</v>
      </c>
      <c r="E151" s="2961">
        <f>chitiet!E975</f>
        <v>0</v>
      </c>
      <c r="F151" s="2962" t="str">
        <f>chitiet!F975</f>
        <v>Sắt góc L50 x50 x5 x1150</v>
      </c>
      <c r="G151" s="2963" t="str">
        <f>chitiet!G975</f>
        <v>cái</v>
      </c>
      <c r="H151" s="2964">
        <f>chitiet!H975</f>
        <v>22</v>
      </c>
      <c r="I151" s="2964">
        <f>chitiet!P975</f>
        <v>22</v>
      </c>
      <c r="J151" s="2965">
        <f>IFERROR(VLOOKUP(B151,DG!A:F,6,0),3000)</f>
        <v>50</v>
      </c>
      <c r="K151" s="2966">
        <f>IF(J151&lt;2000,COUNTIF($B$2:B151,B151),0)</f>
        <v>2</v>
      </c>
      <c r="L151" s="1307"/>
      <c r="M151" s="1382"/>
      <c r="O151" s="1382"/>
    </row>
    <row r="152" spans="1:15" s="1215" customFormat="1" ht="25.2" customHeight="1">
      <c r="A152" s="2957">
        <f>COUNTIF($K$1:K152,1)</f>
        <v>101</v>
      </c>
      <c r="B152" s="2977" t="str">
        <f>chitiet!B984</f>
        <v>SL50-1150</v>
      </c>
      <c r="C152" s="2978" t="str">
        <f>chitiet!C984</f>
        <v>x</v>
      </c>
      <c r="D152" s="2979">
        <f>chitiet!D984</f>
        <v>2</v>
      </c>
      <c r="E152" s="2980">
        <f>chitiet!E984</f>
        <v>0</v>
      </c>
      <c r="F152" s="2977" t="str">
        <f>chitiet!F984</f>
        <v>Sắt góc L50 x50 x5 x1150</v>
      </c>
      <c r="G152" s="2969" t="str">
        <f>chitiet!G984</f>
        <v>cái</v>
      </c>
      <c r="H152" s="2969">
        <f>chitiet!H984</f>
        <v>6</v>
      </c>
      <c r="I152" s="2969">
        <f>chitiet!P984</f>
        <v>6</v>
      </c>
      <c r="J152" s="2965">
        <f>IFERROR(VLOOKUP(B152,DG!A:F,6,0),3000)</f>
        <v>50</v>
      </c>
      <c r="K152" s="2966">
        <f>IF(J152&lt;2000,COUNTIF($B$2:B152,B152),0)</f>
        <v>3</v>
      </c>
      <c r="L152" s="1304"/>
      <c r="M152" s="1382"/>
      <c r="O152" s="1382"/>
    </row>
    <row r="153" spans="1:15" s="1215" customFormat="1" ht="25.2" customHeight="1">
      <c r="A153" s="2957">
        <f>COUNTIF($K$1:K153,1)</f>
        <v>102</v>
      </c>
      <c r="B153" s="2958" t="str">
        <f>chitiet!B954</f>
        <v>SL50-1190</v>
      </c>
      <c r="C153" s="2959" t="str">
        <f>chitiet!C954</f>
        <v>x</v>
      </c>
      <c r="D153" s="2960">
        <f>chitiet!D954</f>
        <v>1</v>
      </c>
      <c r="E153" s="2961">
        <f>chitiet!E954</f>
        <v>0</v>
      </c>
      <c r="F153" s="2962" t="str">
        <f>chitiet!F954</f>
        <v>Sắt góc L50 x50 x5 x1190</v>
      </c>
      <c r="G153" s="2963" t="str">
        <f>chitiet!G954</f>
        <v>cái</v>
      </c>
      <c r="H153" s="2964">
        <f>chitiet!H954</f>
        <v>1</v>
      </c>
      <c r="I153" s="2964">
        <f>chitiet!P954</f>
        <v>1</v>
      </c>
      <c r="J153" s="2965">
        <f>IFERROR(VLOOKUP(B153,DG!A:F,6,0),3000)</f>
        <v>50</v>
      </c>
      <c r="K153" s="2966">
        <f>IF(J153&lt;2000,COUNTIF($B$2:B153,B153),0)</f>
        <v>1</v>
      </c>
      <c r="L153" s="1307"/>
      <c r="M153" s="1796"/>
      <c r="N153" s="1797"/>
      <c r="O153" s="1796"/>
    </row>
    <row r="154" spans="1:15" s="1215" customFormat="1" ht="25.2" customHeight="1">
      <c r="A154" s="2957">
        <f>COUNTIF($K$1:K154,1)</f>
        <v>102</v>
      </c>
      <c r="B154" s="2958" t="str">
        <f>chitiet!B964</f>
        <v>SL50-1190</v>
      </c>
      <c r="C154" s="2959" t="str">
        <f>chitiet!C964</f>
        <v>x</v>
      </c>
      <c r="D154" s="2960">
        <f>chitiet!D964</f>
        <v>2</v>
      </c>
      <c r="E154" s="2961">
        <f>chitiet!E964</f>
        <v>0</v>
      </c>
      <c r="F154" s="2962" t="str">
        <f>chitiet!F964</f>
        <v>Sắt góc L50 x50 x5 x1190</v>
      </c>
      <c r="G154" s="2981" t="str">
        <f>chitiet!G964</f>
        <v>cái</v>
      </c>
      <c r="H154" s="2982">
        <f>chitiet!H964</f>
        <v>2</v>
      </c>
      <c r="I154" s="2982">
        <f>chitiet!P964</f>
        <v>2</v>
      </c>
      <c r="J154" s="2965">
        <f>IFERROR(VLOOKUP(B154,DG!A:F,6,0),3000)</f>
        <v>50</v>
      </c>
      <c r="K154" s="2966">
        <f>IF(J154&lt;2000,COUNTIF($B$2:B154,B154),0)</f>
        <v>2</v>
      </c>
      <c r="L154" s="1307"/>
      <c r="M154" s="1382"/>
      <c r="O154" s="1382"/>
    </row>
    <row r="155" spans="1:15" s="1215" customFormat="1" ht="25.2" customHeight="1">
      <c r="A155" s="2957">
        <f>COUNTIF($K$1:K155,1)</f>
        <v>103</v>
      </c>
      <c r="B155" s="2958" t="str">
        <f>chitiet!B865</f>
        <v>SL50-810</v>
      </c>
      <c r="C155" s="2959" t="str">
        <f>chitiet!C865</f>
        <v>x</v>
      </c>
      <c r="D155" s="2960">
        <f>chitiet!D865</f>
        <v>4</v>
      </c>
      <c r="E155" s="2961">
        <f>chitiet!E865</f>
        <v>0</v>
      </c>
      <c r="F155" s="2962" t="str">
        <f>chitiet!F865</f>
        <v>Sắt góc L50 x50 x5 - 810</v>
      </c>
      <c r="G155" s="2963" t="str">
        <f>chitiet!G865</f>
        <v>cái</v>
      </c>
      <c r="H155" s="2964">
        <f>chitiet!H865</f>
        <v>28</v>
      </c>
      <c r="I155" s="2964">
        <f>chitiet!P865</f>
        <v>28</v>
      </c>
      <c r="J155" s="2965">
        <f>IFERROR(VLOOKUP(B155,DG!A:F,6,0),3000)</f>
        <v>50</v>
      </c>
      <c r="K155" s="2966">
        <f>IF(J155&lt;2000,COUNTIF($B$2:B155,B155),0)</f>
        <v>1</v>
      </c>
      <c r="L155" s="1307"/>
      <c r="M155" s="1382"/>
      <c r="O155" s="1382"/>
    </row>
    <row r="156" spans="1:15" s="1215" customFormat="1" ht="25.2" customHeight="1">
      <c r="A156" s="2957">
        <f>COUNTIF($K$1:K156,1)</f>
        <v>103</v>
      </c>
      <c r="B156" s="2958" t="str">
        <f>chitiet!B876</f>
        <v>SL50-810</v>
      </c>
      <c r="C156" s="2959" t="str">
        <f>chitiet!C876</f>
        <v>x</v>
      </c>
      <c r="D156" s="2960">
        <f>chitiet!D876</f>
        <v>4</v>
      </c>
      <c r="E156" s="2961">
        <f>chitiet!E876</f>
        <v>0</v>
      </c>
      <c r="F156" s="2962" t="str">
        <f>chitiet!F876</f>
        <v>Sắt góc L50 x50 x5 - 810</v>
      </c>
      <c r="G156" s="2963" t="str">
        <f>chitiet!G876</f>
        <v>cái</v>
      </c>
      <c r="H156" s="2964">
        <f>chitiet!H876</f>
        <v>40</v>
      </c>
      <c r="I156" s="2964">
        <f>chitiet!P876</f>
        <v>40</v>
      </c>
      <c r="J156" s="2965">
        <f>IFERROR(VLOOKUP(B156,DG!A:F,6,0),3000)</f>
        <v>50</v>
      </c>
      <c r="K156" s="2966">
        <f>IF(J156&lt;2000,COUNTIF($B$2:B156,B156),0)</f>
        <v>2</v>
      </c>
      <c r="L156" s="1307"/>
      <c r="M156" s="1382"/>
      <c r="O156" s="1382"/>
    </row>
    <row r="157" spans="1:15" s="1215" customFormat="1" ht="25.2" customHeight="1">
      <c r="A157" s="2957">
        <f>COUNTIF($K$1:K157,1)</f>
        <v>104</v>
      </c>
      <c r="B157" s="2958" t="str">
        <f>CT_tram!B2435</f>
        <v>sl50-920</v>
      </c>
      <c r="C157" s="2959">
        <f>CT_tram!C2435</f>
        <v>2</v>
      </c>
      <c r="D157" s="2960">
        <f>CT_tram!D2435</f>
        <v>0</v>
      </c>
      <c r="E157" s="2961" t="str">
        <f>CT_tram!E2435</f>
        <v xml:space="preserve">      </v>
      </c>
      <c r="F157" s="2962" t="str">
        <f>CT_tram!F2435</f>
        <v>Sắt góc L50 x50 x5 x920</v>
      </c>
      <c r="G157" s="2963" t="str">
        <f>CT_tram!G2435</f>
        <v>cái</v>
      </c>
      <c r="H157" s="2964">
        <f>CT_tram!H2435</f>
        <v>2</v>
      </c>
      <c r="I157" s="2964">
        <f>CT_tram!I2435</f>
        <v>2</v>
      </c>
      <c r="J157" s="2965">
        <f>IFERROR(VLOOKUP(B157,DG!A:F,6,0),3000)</f>
        <v>50</v>
      </c>
      <c r="K157" s="2966">
        <f>IF(J157&lt;2000,COUNTIF($B$2:B157,B157),0)</f>
        <v>1</v>
      </c>
      <c r="L157" s="1307"/>
      <c r="M157" s="1382"/>
      <c r="O157" s="1382"/>
    </row>
    <row r="158" spans="1:15" s="1215" customFormat="1" ht="25.2" customHeight="1">
      <c r="A158" s="2957">
        <f>COUNTIF($K$1:K158,1)</f>
        <v>105</v>
      </c>
      <c r="B158" s="2958" t="str">
        <f>chitiet!B974</f>
        <v>SL75-2000</v>
      </c>
      <c r="C158" s="2959" t="str">
        <f>chitiet!C974</f>
        <v>x</v>
      </c>
      <c r="D158" s="2960">
        <f>chitiet!D974</f>
        <v>1</v>
      </c>
      <c r="E158" s="2961">
        <f>chitiet!E974</f>
        <v>0</v>
      </c>
      <c r="F158" s="2962" t="str">
        <f>chitiet!F974</f>
        <v>Sắt góc L75 x75 x8-2.200</v>
      </c>
      <c r="G158" s="2963" t="str">
        <f>chitiet!G974</f>
        <v>cái</v>
      </c>
      <c r="H158" s="2964">
        <f>chitiet!H974</f>
        <v>22</v>
      </c>
      <c r="I158" s="2964">
        <f>chitiet!P974</f>
        <v>22</v>
      </c>
      <c r="J158" s="2965">
        <f>IFERROR(VLOOKUP(B158,DG!A:F,6,0),3000)</f>
        <v>50</v>
      </c>
      <c r="K158" s="2966">
        <f>IF(J158&lt;2000,COUNTIF($B$2:B158,B158),0)</f>
        <v>1</v>
      </c>
      <c r="L158" s="1307"/>
      <c r="M158" s="1382"/>
      <c r="O158" s="1382"/>
    </row>
    <row r="159" spans="1:15" s="1215" customFormat="1" ht="25.2" customHeight="1">
      <c r="A159" s="2957">
        <f>COUNTIF($K$1:K159,1)</f>
        <v>105</v>
      </c>
      <c r="B159" s="2972" t="str">
        <f>chitiet!B983</f>
        <v>SL75-2000</v>
      </c>
      <c r="C159" s="2973" t="str">
        <f>chitiet!C983</f>
        <v>x</v>
      </c>
      <c r="D159" s="2974">
        <f>chitiet!D983</f>
        <v>2</v>
      </c>
      <c r="E159" s="2975">
        <f>chitiet!E983</f>
        <v>0</v>
      </c>
      <c r="F159" s="2976" t="str">
        <f>chitiet!F983</f>
        <v>Sắt góc L75 x75 x8-2.200</v>
      </c>
      <c r="G159" s="2970" t="str">
        <f>chitiet!G983</f>
        <v>cái</v>
      </c>
      <c r="H159" s="2971">
        <f>chitiet!H983</f>
        <v>6</v>
      </c>
      <c r="I159" s="2985">
        <f>chitiet!P983</f>
        <v>6</v>
      </c>
      <c r="J159" s="2965">
        <f>IFERROR(VLOOKUP(B159,DG!A:F,6,0),3000)</f>
        <v>50</v>
      </c>
      <c r="K159" s="2966">
        <f>IF(J159&lt;2000,COUNTIF($B$2:B159,B159),0)</f>
        <v>2</v>
      </c>
      <c r="L159" s="1307"/>
      <c r="M159" s="1382"/>
      <c r="O159" s="1382"/>
    </row>
    <row r="160" spans="1:15" s="1215" customFormat="1" ht="25.2" customHeight="1">
      <c r="A160" s="2957">
        <f>COUNTIF($K$1:K160,1)</f>
        <v>106</v>
      </c>
      <c r="B160" s="2958" t="str">
        <f>chitiet!B953</f>
        <v>SL75-2100</v>
      </c>
      <c r="C160" s="2959" t="str">
        <f>chitiet!C953</f>
        <v>x</v>
      </c>
      <c r="D160" s="2960">
        <f>chitiet!D953</f>
        <v>1</v>
      </c>
      <c r="E160" s="2961">
        <f>chitiet!E953</f>
        <v>0</v>
      </c>
      <c r="F160" s="2962" t="str">
        <f>chitiet!F953</f>
        <v>Sắt góc L75 x75 x8-2100</v>
      </c>
      <c r="G160" s="2963" t="str">
        <f>chitiet!G953</f>
        <v>cái</v>
      </c>
      <c r="H160" s="2964">
        <f>chitiet!H953</f>
        <v>1</v>
      </c>
      <c r="I160" s="2988">
        <f>chitiet!P953</f>
        <v>1</v>
      </c>
      <c r="J160" s="2965">
        <f>IFERROR(VLOOKUP(B160,DG!A:F,6,0),3000)</f>
        <v>50</v>
      </c>
      <c r="K160" s="2966">
        <f>IF(J160&lt;2000,COUNTIF($B$2:B160,B160),0)</f>
        <v>1</v>
      </c>
      <c r="L160" s="1307"/>
      <c r="M160" s="1382"/>
      <c r="O160" s="1382"/>
    </row>
    <row r="161" spans="1:15" s="1215" customFormat="1" ht="25.2" customHeight="1">
      <c r="A161" s="2957">
        <f>COUNTIF($K$1:K161,1)</f>
        <v>106</v>
      </c>
      <c r="B161" s="2958" t="str">
        <f>chitiet!B963</f>
        <v>SL75-2100</v>
      </c>
      <c r="C161" s="2959" t="str">
        <f>chitiet!C963</f>
        <v>x</v>
      </c>
      <c r="D161" s="2960">
        <f>chitiet!D963</f>
        <v>2</v>
      </c>
      <c r="E161" s="2961">
        <f>chitiet!E963</f>
        <v>0</v>
      </c>
      <c r="F161" s="2962" t="str">
        <f>chitiet!F963</f>
        <v>Sắt góc L75 x75 x8-2100</v>
      </c>
      <c r="G161" s="2963" t="str">
        <f>chitiet!G963</f>
        <v>cái</v>
      </c>
      <c r="H161" s="2964">
        <f>chitiet!H963</f>
        <v>2</v>
      </c>
      <c r="I161" s="2964">
        <f>chitiet!P963</f>
        <v>2</v>
      </c>
      <c r="J161" s="2965">
        <f>IFERROR(VLOOKUP(B161,DG!A:F,6,0),3000)</f>
        <v>50</v>
      </c>
      <c r="K161" s="2966">
        <f>IF(J161&lt;2000,COUNTIF($B$2:B161,B161),0)</f>
        <v>2</v>
      </c>
      <c r="L161" s="1307"/>
      <c r="M161" s="1382"/>
      <c r="O161" s="1382"/>
    </row>
    <row r="162" spans="1:15" s="1215" customFormat="1" ht="25.2" customHeight="1">
      <c r="A162" s="2957">
        <f>COUNTIF($K$1:K162,1)</f>
        <v>107</v>
      </c>
      <c r="B162" s="2977" t="str">
        <f>chitiet!B864</f>
        <v>SL75-2200</v>
      </c>
      <c r="C162" s="2978" t="str">
        <f>chitiet!C864</f>
        <v>x</v>
      </c>
      <c r="D162" s="2979">
        <f>chitiet!D864</f>
        <v>2</v>
      </c>
      <c r="E162" s="2983">
        <f>chitiet!E864</f>
        <v>0</v>
      </c>
      <c r="F162" s="2984" t="str">
        <f>chitiet!F864</f>
        <v>Sắt góc L75 x75 x8 x2200</v>
      </c>
      <c r="G162" s="2981" t="str">
        <f>chitiet!G864</f>
        <v>cái</v>
      </c>
      <c r="H162" s="2982">
        <f>chitiet!H864</f>
        <v>14</v>
      </c>
      <c r="I162" s="2982">
        <f>chitiet!P864</f>
        <v>14</v>
      </c>
      <c r="J162" s="2965">
        <f>IFERROR(VLOOKUP(B162,DG!A:F,6,0),3000)</f>
        <v>50</v>
      </c>
      <c r="K162" s="2966">
        <f>IF(J162&lt;2000,COUNTIF($B$2:B162,B162),0)</f>
        <v>1</v>
      </c>
      <c r="L162" s="1307"/>
      <c r="M162" s="1382"/>
      <c r="O162" s="1382"/>
    </row>
    <row r="163" spans="1:15" s="1215" customFormat="1" ht="25.2" customHeight="1">
      <c r="A163" s="2957">
        <f>COUNTIF($K$1:K163,1)</f>
        <v>107</v>
      </c>
      <c r="B163" s="2958" t="str">
        <f>chitiet!B875</f>
        <v>SL75-2200</v>
      </c>
      <c r="C163" s="2959" t="str">
        <f>chitiet!C875</f>
        <v>x</v>
      </c>
      <c r="D163" s="2960">
        <f>chitiet!D875</f>
        <v>2</v>
      </c>
      <c r="E163" s="2961">
        <f>chitiet!E875</f>
        <v>0</v>
      </c>
      <c r="F163" s="2962" t="str">
        <f>chitiet!F875</f>
        <v>Sắt góc L75 x75 x8 x2200</v>
      </c>
      <c r="G163" s="2963" t="str">
        <f>chitiet!G875</f>
        <v>cái</v>
      </c>
      <c r="H163" s="2964">
        <f>chitiet!H875</f>
        <v>20</v>
      </c>
      <c r="I163" s="2964">
        <f>chitiet!P875</f>
        <v>20</v>
      </c>
      <c r="J163" s="2965">
        <f>IFERROR(VLOOKUP(B163,DG!A:F,6,0),3000)</f>
        <v>50</v>
      </c>
      <c r="K163" s="2966">
        <f>IF(J163&lt;2000,COUNTIF($B$2:B163,B163),0)</f>
        <v>2</v>
      </c>
      <c r="L163" s="1307"/>
      <c r="M163" s="1382"/>
      <c r="O163" s="1382"/>
    </row>
    <row r="164" spans="1:15" s="1215" customFormat="1" ht="25.2" customHeight="1">
      <c r="A164" s="2957">
        <f>COUNTIF($K$1:K164,1)</f>
        <v>108</v>
      </c>
      <c r="B164" s="2958" t="str">
        <f>CT_tram!B2434</f>
        <v>sl75-2400</v>
      </c>
      <c r="C164" s="2959">
        <f>CT_tram!C2434</f>
        <v>2</v>
      </c>
      <c r="D164" s="2960">
        <f>CT_tram!D2434</f>
        <v>0</v>
      </c>
      <c r="E164" s="2961">
        <f>CT_tram!E2434</f>
        <v>0</v>
      </c>
      <c r="F164" s="2962" t="str">
        <f>CT_tram!F2434</f>
        <v>Sắt góc L75 x75 x8 x2400</v>
      </c>
      <c r="G164" s="2963" t="str">
        <f>CT_tram!G2434</f>
        <v>cái</v>
      </c>
      <c r="H164" s="2964">
        <f>CT_tram!H2434</f>
        <v>2</v>
      </c>
      <c r="I164" s="2964">
        <f>CT_tram!I2434</f>
        <v>2</v>
      </c>
      <c r="J164" s="2965">
        <f>IFERROR(VLOOKUP(B164,DG!A:F,6,0),3000)</f>
        <v>50</v>
      </c>
      <c r="K164" s="2966">
        <f>IF(J164&lt;2000,COUNTIF($B$2:B164,B164),0)</f>
        <v>1</v>
      </c>
      <c r="L164" s="1304"/>
      <c r="M164" s="1382"/>
      <c r="O164" s="1382"/>
    </row>
    <row r="165" spans="1:15" s="1215" customFormat="1" ht="25.2" customHeight="1">
      <c r="A165" s="2957">
        <f>COUNTIF($K$1:K165,1)</f>
        <v>109</v>
      </c>
      <c r="B165" s="2958" t="str">
        <f>CT_tram!B2553</f>
        <v>SO10</v>
      </c>
      <c r="C165" s="2959">
        <f>CT_tram!C2553</f>
        <v>1.1399999999999999</v>
      </c>
      <c r="D165" s="2960">
        <f>CT_tram!D2553</f>
        <v>0</v>
      </c>
      <c r="E165" s="2961">
        <f>CT_tram!E2553</f>
        <v>0</v>
      </c>
      <c r="F165" s="2962" t="str">
        <f>CT_tram!F2553</f>
        <v>Sắt Ø10</v>
      </c>
      <c r="G165" s="2970" t="str">
        <f>CT_tram!G2553</f>
        <v>kg</v>
      </c>
      <c r="H165" s="2971">
        <f>CT_tram!H2553</f>
        <v>1.1399999999999999</v>
      </c>
      <c r="I165" s="2964">
        <f>CT_tram!I2553</f>
        <v>1.1399999999999999</v>
      </c>
      <c r="J165" s="2965">
        <f>IFERROR(VLOOKUP(B165,DG!A:F,6,0),3000)</f>
        <v>50</v>
      </c>
      <c r="K165" s="2966">
        <f>IF(J165&lt;2000,COUNTIF($B$2:B165,B165),0)</f>
        <v>1</v>
      </c>
      <c r="L165" s="1307"/>
      <c r="M165" s="1796"/>
      <c r="N165" s="1797"/>
      <c r="O165" s="1796"/>
    </row>
    <row r="166" spans="1:15" s="1215" customFormat="1" ht="25.2" customHeight="1">
      <c r="A166" s="2957">
        <f>COUNTIF($K$1:K166,1)</f>
        <v>110</v>
      </c>
      <c r="B166" s="2958" t="str">
        <f>CT_tram!B2569</f>
        <v>so8</v>
      </c>
      <c r="C166" s="2959">
        <f>CT_tram!C2569</f>
        <v>16</v>
      </c>
      <c r="D166" s="2960">
        <f>CT_tram!D2569</f>
        <v>0</v>
      </c>
      <c r="E166" s="2961">
        <f>CT_tram!E2569</f>
        <v>0</v>
      </c>
      <c r="F166" s="2962" t="str">
        <f>CT_tram!F2569</f>
        <v>Sắt Ø8</v>
      </c>
      <c r="G166" s="2963" t="str">
        <f>CT_tram!G2569</f>
        <v>kg</v>
      </c>
      <c r="H166" s="2964">
        <f>CT_tram!H2569</f>
        <v>16</v>
      </c>
      <c r="I166" s="2964">
        <f>CT_tram!I2569</f>
        <v>16</v>
      </c>
      <c r="J166" s="2965">
        <f>IFERROR(VLOOKUP(B166,DG!A:F,6,0),3000)</f>
        <v>50</v>
      </c>
      <c r="K166" s="2966">
        <f>IF(J166&lt;2000,COUNTIF($B$2:B166,B166),0)</f>
        <v>1</v>
      </c>
      <c r="L166" s="1795"/>
      <c r="M166" s="1382"/>
      <c r="O166" s="1382"/>
    </row>
    <row r="167" spans="1:15" s="1215" customFormat="1" ht="25.2" customHeight="1">
      <c r="A167" s="2957">
        <f>COUNTIF($K$1:K167,1)</f>
        <v>111</v>
      </c>
      <c r="B167" s="2958" t="str">
        <f>chitiet!B1862</f>
        <v>ssf-95</v>
      </c>
      <c r="C167" s="2959" t="str">
        <f>chitiet!C1862</f>
        <v>x</v>
      </c>
      <c r="D167" s="2960">
        <f>chitiet!D1862</f>
        <v>60</v>
      </c>
      <c r="E167" s="2961">
        <f>chitiet!E1862</f>
        <v>0</v>
      </c>
      <c r="F167" s="2989" t="str">
        <f>chitiet!F1862</f>
        <v>Dây buộc cổ sứ cỡ dây 95mm2</v>
      </c>
      <c r="G167" s="2990" t="str">
        <f>chitiet!G1862</f>
        <v>cái</v>
      </c>
      <c r="H167" s="2990">
        <f>chitiet!H1862</f>
        <v>60</v>
      </c>
      <c r="I167" s="2990">
        <f>chitiet!P1862</f>
        <v>60</v>
      </c>
      <c r="J167" s="2965">
        <f>IFERROR(VLOOKUP(B167,DG!A:F,6,0),3000)</f>
        <v>50</v>
      </c>
      <c r="K167" s="2966">
        <f>IF(J167&lt;2000,COUNTIF($B$2:B167,B167),0)</f>
        <v>1</v>
      </c>
      <c r="L167" s="1307"/>
      <c r="M167" s="1382"/>
      <c r="O167" s="1382"/>
    </row>
    <row r="168" spans="1:15" s="1215" customFormat="1" ht="25.2" customHeight="1">
      <c r="A168" s="2957">
        <f>COUNTIF($K$1:K168,1)</f>
        <v>112</v>
      </c>
      <c r="B168" s="2958" t="str">
        <f>CT_tram!B2563</f>
        <v>stk76</v>
      </c>
      <c r="C168" s="2959">
        <f>CT_tram!C2563</f>
        <v>18</v>
      </c>
      <c r="D168" s="2960">
        <f>CT_tram!D2563</f>
        <v>0</v>
      </c>
      <c r="E168" s="2967" t="str">
        <f>CT_tram!E2563</f>
        <v>D4.1204</v>
      </c>
      <c r="F168" s="2958" t="str">
        <f>CT_tram!F2563</f>
        <v>Ông sắt tráng kẽm D76</v>
      </c>
      <c r="G168" s="2968" t="str">
        <f>CT_tram!G2563</f>
        <v>mét</v>
      </c>
      <c r="H168" s="2968">
        <f>CT_tram!H2563</f>
        <v>18</v>
      </c>
      <c r="I168" s="2968">
        <f>CT_tram!I2563</f>
        <v>18</v>
      </c>
      <c r="J168" s="2965">
        <f>IFERROR(VLOOKUP(B168,DG!A:F,6,0),3000)</f>
        <v>50</v>
      </c>
      <c r="K168" s="2966">
        <f>IF(J168&lt;2000,COUNTIF($B$2:B168,B168),0)</f>
        <v>1</v>
      </c>
      <c r="L168" s="1304"/>
      <c r="M168" s="1382"/>
      <c r="O168" s="1382"/>
    </row>
    <row r="169" spans="1:15" s="1215" customFormat="1" ht="25.2" customHeight="1">
      <c r="A169" s="2957">
        <f>COUNTIF($K$1:K169,1)</f>
        <v>113</v>
      </c>
      <c r="B169" s="2958" t="str">
        <f>chitiet!B1861</f>
        <v>ttf-95</v>
      </c>
      <c r="C169" s="2959" t="str">
        <f>chitiet!C1861</f>
        <v>x</v>
      </c>
      <c r="D169" s="2960">
        <f>chitiet!D1861</f>
        <v>86</v>
      </c>
      <c r="E169" s="2961">
        <f>chitiet!E1861</f>
        <v>0</v>
      </c>
      <c r="F169" s="2962" t="str">
        <f>chitiet!F1861</f>
        <v>Dây buộc đầu sứ cỡ dây 95mm2</v>
      </c>
      <c r="G169" s="2963" t="str">
        <f>chitiet!G1861</f>
        <v>cái</v>
      </c>
      <c r="H169" s="2964">
        <f>chitiet!H1861</f>
        <v>86</v>
      </c>
      <c r="I169" s="2964">
        <f>chitiet!P1861</f>
        <v>86</v>
      </c>
      <c r="J169" s="2965">
        <f>IFERROR(VLOOKUP(B169,DG!A:F,6,0),3000)</f>
        <v>50</v>
      </c>
      <c r="K169" s="2966">
        <f>IF(J169&lt;2000,COUNTIF($B$2:B169,B169),0)</f>
        <v>1</v>
      </c>
      <c r="L169" s="1795"/>
      <c r="M169" s="1382"/>
      <c r="O169" s="1382"/>
    </row>
    <row r="170" spans="1:15" s="1215" customFormat="1" ht="25.2" customHeight="1">
      <c r="A170" s="2957">
        <f>COUNTIF($K$1:K170,1)</f>
        <v>114</v>
      </c>
      <c r="B170" s="2958" t="str">
        <f>CT_tram!B2476</f>
        <v>TUACB1600</v>
      </c>
      <c r="C170" s="2959">
        <f>CT_tram!C2476</f>
        <v>1</v>
      </c>
      <c r="D170" s="2960">
        <f>CT_tram!D2476</f>
        <v>0</v>
      </c>
      <c r="E170" s="2961" t="str">
        <f>CT_tram!E2476</f>
        <v>T5.1002</v>
      </c>
      <c r="F170" s="2962" t="str">
        <f>CT_tram!F2476</f>
        <v>Tủ ACB + thanh cái 1600A</v>
      </c>
      <c r="G170" s="2963" t="str">
        <f>CT_tram!G2476</f>
        <v>cái</v>
      </c>
      <c r="H170" s="2964">
        <f>CT_tram!H2476</f>
        <v>1</v>
      </c>
      <c r="I170" s="2964">
        <f>CT_tram!I2476</f>
        <v>1</v>
      </c>
      <c r="J170" s="2965">
        <f>IFERROR(VLOOKUP(B170,DG!A:F,6,0),3000)</f>
        <v>50</v>
      </c>
      <c r="K170" s="2966">
        <f>IF(J170&lt;2000,COUNTIF($B$2:B170,B170),0)</f>
        <v>1</v>
      </c>
      <c r="L170" s="1795"/>
      <c r="M170" s="1382"/>
      <c r="O170" s="1382"/>
    </row>
    <row r="171" spans="1:15" s="1215" customFormat="1" ht="25.2" customHeight="1">
      <c r="A171" s="2957">
        <f>COUNTIF($K$1:K171,1)</f>
        <v>115</v>
      </c>
      <c r="B171" s="2958" t="str">
        <f>CT_tram!B2597</f>
        <v>TUDKDT</v>
      </c>
      <c r="C171" s="2959">
        <f>CT_tram!C2597</f>
        <v>1</v>
      </c>
      <c r="D171" s="2960">
        <f>CT_tram!D2597</f>
        <v>0</v>
      </c>
      <c r="E171" s="2967" t="str">
        <f>CT_tram!E2597</f>
        <v>05.1101</v>
      </c>
      <c r="F171" s="2958" t="str">
        <f>CT_tram!F2597</f>
        <v>Thùng điện kế 450x300x200mm đo đếm trung thế</v>
      </c>
      <c r="G171" s="2968" t="str">
        <f>CT_tram!G2597</f>
        <v>cái</v>
      </c>
      <c r="H171" s="2968">
        <f>CT_tram!H2597</f>
        <v>1</v>
      </c>
      <c r="I171" s="2968">
        <f>CT_tram!I2597</f>
        <v>1</v>
      </c>
      <c r="J171" s="2965">
        <f>IFERROR(VLOOKUP(B171,DG!A:F,6,0),3000)</f>
        <v>50</v>
      </c>
      <c r="K171" s="2966">
        <f>IF(J171&lt;2000,COUNTIF($B$2:B171,B171),0)</f>
        <v>1</v>
      </c>
      <c r="L171" s="1304"/>
      <c r="M171" s="1382"/>
      <c r="O171" s="1382"/>
    </row>
    <row r="172" spans="1:15" s="1215" customFormat="1" ht="25.2" customHeight="1">
      <c r="A172" s="2957">
        <f>COUNTIF($K$1:K172,1)</f>
        <v>116</v>
      </c>
      <c r="B172" s="2958" t="str">
        <f>CT_tram!B2583</f>
        <v>xAtuti</v>
      </c>
      <c r="C172" s="2959">
        <f>CT_tram!C2583</f>
        <v>24</v>
      </c>
      <c r="D172" s="2960">
        <f>CT_tram!D2583</f>
        <v>0</v>
      </c>
      <c r="E172" s="2961" t="str">
        <f>CT_tram!E2583</f>
        <v>05.6101</v>
      </c>
      <c r="F172" s="2962" t="str">
        <f>CT_tram!F2583</f>
        <v>Xà kẹp TU, TI U50x32x4 350</v>
      </c>
      <c r="G172" s="2963" t="str">
        <f>CT_tram!G2583</f>
        <v>Bộ</v>
      </c>
      <c r="H172" s="2964">
        <f>CT_tram!H2583</f>
        <v>24</v>
      </c>
      <c r="I172" s="2964">
        <f>CT_tram!I2583</f>
        <v>24</v>
      </c>
      <c r="J172" s="2965">
        <f>IFERROR(VLOOKUP(B172,DG!A:F,6,0),3000)</f>
        <v>50</v>
      </c>
      <c r="K172" s="2966">
        <f>IF(J172&lt;2000,COUNTIF($B$2:B172,B172),0)</f>
        <v>1</v>
      </c>
      <c r="L172" s="1307"/>
      <c r="M172" s="1382"/>
      <c r="O172" s="1382"/>
    </row>
    <row r="173" spans="1:15" s="1215" customFormat="1" ht="25.2" customHeight="1">
      <c r="A173" s="2957">
        <f>COUNTIF($K$1:K173,1)</f>
        <v>117</v>
      </c>
      <c r="B173" s="2958" t="str">
        <f>chitiet!B357</f>
        <v>XM</v>
      </c>
      <c r="C173" s="2959" t="str">
        <f>chitiet!C357</f>
        <v>x</v>
      </c>
      <c r="D173" s="2960">
        <f>chitiet!D357</f>
        <v>323.63</v>
      </c>
      <c r="E173" s="2961">
        <f>chitiet!E357</f>
        <v>0</v>
      </c>
      <c r="F173" s="2962" t="str">
        <f>chitiet!F357</f>
        <v>Ximăng (PC40)</v>
      </c>
      <c r="G173" s="2970" t="str">
        <f>chitiet!G357</f>
        <v>kg</v>
      </c>
      <c r="H173" s="2964">
        <f>chitiet!H357</f>
        <v>1941.78</v>
      </c>
      <c r="I173" s="2964">
        <f>chitiet!P357</f>
        <v>1941.78</v>
      </c>
      <c r="J173" s="2965">
        <f>IFERROR(VLOOKUP(B173,DG!A:F,6,0),3000)</f>
        <v>996</v>
      </c>
      <c r="K173" s="2966">
        <f>IF(J173&lt;2000,COUNTIF($B$2:B173,B173),0)</f>
        <v>1</v>
      </c>
      <c r="L173" s="1307"/>
      <c r="M173" s="1382"/>
      <c r="O173" s="1382"/>
    </row>
    <row r="174" spans="1:15" s="1215" customFormat="1" ht="25.2" customHeight="1">
      <c r="A174" s="2957">
        <f>COUNTIF($K$1:K174,1)</f>
        <v>117</v>
      </c>
      <c r="B174" s="2958" t="str">
        <f>chitiet!B432</f>
        <v>XM</v>
      </c>
      <c r="C174" s="2959" t="str">
        <f>chitiet!C432</f>
        <v>x</v>
      </c>
      <c r="D174" s="2960">
        <f>chitiet!D432</f>
        <v>268.94</v>
      </c>
      <c r="E174" s="2961">
        <f>chitiet!E432</f>
        <v>0</v>
      </c>
      <c r="F174" s="2962" t="str">
        <f>chitiet!F432</f>
        <v>Ximăng (PC40)</v>
      </c>
      <c r="G174" s="2963" t="str">
        <f>chitiet!G432</f>
        <v>kg</v>
      </c>
      <c r="H174" s="2964">
        <f>chitiet!H432</f>
        <v>268.94</v>
      </c>
      <c r="I174" s="2964">
        <f>chitiet!P432</f>
        <v>268.94</v>
      </c>
      <c r="J174" s="2965">
        <f>IFERROR(VLOOKUP(B174,DG!A:F,6,0),3000)</f>
        <v>996</v>
      </c>
      <c r="K174" s="2966">
        <f>IF(J174&lt;2000,COUNTIF($B$2:B174,B174),0)</f>
        <v>2</v>
      </c>
      <c r="L174" s="1307"/>
      <c r="M174" s="1382"/>
      <c r="O174" s="1382"/>
    </row>
    <row r="175" spans="1:15" s="1215" customFormat="1" ht="25.2" customHeight="1">
      <c r="A175" s="2957">
        <f>COUNTIF($K$1:K175,1)</f>
        <v>117</v>
      </c>
      <c r="B175" s="2958" t="str">
        <f>chitiet!B449</f>
        <v>XM</v>
      </c>
      <c r="C175" s="2959" t="str">
        <f>chitiet!C449</f>
        <v>x</v>
      </c>
      <c r="D175" s="2960">
        <f>chitiet!D449</f>
        <v>324.31</v>
      </c>
      <c r="E175" s="2961">
        <f>chitiet!E449</f>
        <v>0</v>
      </c>
      <c r="F175" s="2962" t="str">
        <f>chitiet!F449</f>
        <v>Ximăng (PC40)</v>
      </c>
      <c r="G175" s="2963" t="str">
        <f>chitiet!G449</f>
        <v>kg</v>
      </c>
      <c r="H175" s="2964">
        <f>chitiet!H449</f>
        <v>972.93000000000006</v>
      </c>
      <c r="I175" s="2964">
        <f>chitiet!P449</f>
        <v>972.93000000000006</v>
      </c>
      <c r="J175" s="2965">
        <f>IFERROR(VLOOKUP(B175,DG!A:F,6,0),3000)</f>
        <v>996</v>
      </c>
      <c r="K175" s="2966">
        <f>IF(J175&lt;2000,COUNTIF($B$2:B175,B175),0)</f>
        <v>3</v>
      </c>
      <c r="L175" s="1307"/>
      <c r="M175" s="1382"/>
      <c r="O175" s="1382"/>
    </row>
    <row r="176" spans="1:15" s="1215" customFormat="1" ht="25.2" customHeight="1">
      <c r="A176" s="2957">
        <f>COUNTIF($K$1:K176,1)</f>
        <v>118</v>
      </c>
      <c r="B176" s="2972" t="str">
        <f>chitiet!B358</f>
        <v>Cat</v>
      </c>
      <c r="C176" s="2973" t="str">
        <f>chitiet!C358</f>
        <v>x</v>
      </c>
      <c r="D176" s="2974">
        <f>chitiet!D358</f>
        <v>0.75900000000000001</v>
      </c>
      <c r="E176" s="2975">
        <f>chitiet!E358</f>
        <v>0</v>
      </c>
      <c r="F176" s="2976" t="str">
        <f>chitiet!F358</f>
        <v>Cát vàng</v>
      </c>
      <c r="G176" s="2970" t="str">
        <f>chitiet!G358</f>
        <v>m3</v>
      </c>
      <c r="H176" s="2971">
        <f>chitiet!H358</f>
        <v>4.5540000000000003</v>
      </c>
      <c r="I176" s="2985">
        <f>chitiet!P358</f>
        <v>4.5540000000000003</v>
      </c>
      <c r="J176" s="2965">
        <f>IFERROR(VLOOKUP(B176,DG!A:F,6,0),3000)</f>
        <v>997</v>
      </c>
      <c r="K176" s="2966">
        <f>IF(J176&lt;2000,COUNTIF($B$2:B176,B176),0)</f>
        <v>1</v>
      </c>
      <c r="L176" s="1307"/>
      <c r="M176" s="1382"/>
      <c r="O176" s="1382"/>
    </row>
    <row r="177" spans="1:15" s="1215" customFormat="1" ht="25.2" customHeight="1">
      <c r="A177" s="2957">
        <f>COUNTIF($K$1:K177,1)</f>
        <v>118</v>
      </c>
      <c r="B177" s="2958" t="str">
        <f>chitiet!B433</f>
        <v>cat</v>
      </c>
      <c r="C177" s="2959" t="str">
        <f>chitiet!C433</f>
        <v>x</v>
      </c>
      <c r="D177" s="2960">
        <f>chitiet!D433</f>
        <v>0.63100000000000001</v>
      </c>
      <c r="E177" s="2961">
        <f>chitiet!E433</f>
        <v>0</v>
      </c>
      <c r="F177" s="2962" t="str">
        <f>chitiet!F433</f>
        <v>Cát vàng</v>
      </c>
      <c r="G177" s="2963" t="str">
        <f>chitiet!G433</f>
        <v>m3</v>
      </c>
      <c r="H177" s="2964">
        <f>chitiet!H433</f>
        <v>0.63100000000000001</v>
      </c>
      <c r="I177" s="2964">
        <f>chitiet!P433</f>
        <v>0.63100000000000001</v>
      </c>
      <c r="J177" s="2965">
        <f>IFERROR(VLOOKUP(B177,DG!A:F,6,0),3000)</f>
        <v>997</v>
      </c>
      <c r="K177" s="2966">
        <f>IF(J177&lt;2000,COUNTIF($B$2:B177,B177),0)</f>
        <v>2</v>
      </c>
      <c r="L177" s="1307"/>
      <c r="M177" s="1382"/>
      <c r="O177" s="1382"/>
    </row>
    <row r="178" spans="1:15" s="1215" customFormat="1" ht="25.2" customHeight="1">
      <c r="A178" s="2957">
        <f>COUNTIF($K$1:K178,1)</f>
        <v>118</v>
      </c>
      <c r="B178" s="2958" t="str">
        <f>chitiet!B450</f>
        <v>cat</v>
      </c>
      <c r="C178" s="2959" t="str">
        <f>chitiet!C450</f>
        <v>x</v>
      </c>
      <c r="D178" s="2960">
        <f>chitiet!D450</f>
        <v>0.76100000000000001</v>
      </c>
      <c r="E178" s="2961">
        <f>chitiet!E450</f>
        <v>0</v>
      </c>
      <c r="F178" s="2962" t="str">
        <f>chitiet!F450</f>
        <v>Cát vàng</v>
      </c>
      <c r="G178" s="2963" t="str">
        <f>chitiet!G450</f>
        <v>m3</v>
      </c>
      <c r="H178" s="2982">
        <f>chitiet!H450</f>
        <v>2.2829999999999999</v>
      </c>
      <c r="I178" s="2982">
        <f>chitiet!P450</f>
        <v>2.2829999999999999</v>
      </c>
      <c r="J178" s="2965">
        <f>IFERROR(VLOOKUP(B178,DG!A:F,6,0),3000)</f>
        <v>997</v>
      </c>
      <c r="K178" s="2966">
        <f>IF(J178&lt;2000,COUNTIF($B$2:B178,B178),0)</f>
        <v>3</v>
      </c>
      <c r="L178" s="1307"/>
      <c r="M178" s="1382"/>
      <c r="O178" s="1382"/>
    </row>
    <row r="179" spans="1:15" s="1215" customFormat="1" ht="25.2" customHeight="1">
      <c r="A179" s="2957">
        <f>COUNTIF($K$1:K179,1)</f>
        <v>119</v>
      </c>
      <c r="B179" s="2958" t="str">
        <f>chitiet!B359</f>
        <v>D1X2</v>
      </c>
      <c r="C179" s="2959" t="str">
        <f>chitiet!C359</f>
        <v>x</v>
      </c>
      <c r="D179" s="2960">
        <f>chitiet!D359</f>
        <v>1.252</v>
      </c>
      <c r="E179" s="2967">
        <f>chitiet!E359</f>
        <v>0</v>
      </c>
      <c r="F179" s="2958" t="str">
        <f>chitiet!F359</f>
        <v>Đá 1x2</v>
      </c>
      <c r="G179" s="2968" t="str">
        <f>chitiet!G359</f>
        <v>m3</v>
      </c>
      <c r="H179" s="2968">
        <f>chitiet!H359</f>
        <v>7.5120000000000005</v>
      </c>
      <c r="I179" s="2968">
        <f>chitiet!P359</f>
        <v>7.5120000000000005</v>
      </c>
      <c r="J179" s="2965">
        <f>IFERROR(VLOOKUP(B179,DG!A:F,6,0),3000)</f>
        <v>999</v>
      </c>
      <c r="K179" s="2966">
        <f>IF(J179&lt;2000,COUNTIF($B$2:B179,B179),0)</f>
        <v>1</v>
      </c>
      <c r="L179" s="1304"/>
      <c r="M179" s="1382"/>
      <c r="O179" s="1382"/>
    </row>
    <row r="180" spans="1:15" s="1215" customFormat="1" ht="25.2" customHeight="1">
      <c r="A180" s="2957">
        <f>COUNTIF($K$1:K180,1)</f>
        <v>119</v>
      </c>
      <c r="B180" s="2958" t="str">
        <f>chitiet!B434</f>
        <v>D1X2</v>
      </c>
      <c r="C180" s="2959" t="str">
        <f>chitiet!C434</f>
        <v>x</v>
      </c>
      <c r="D180" s="2960">
        <f>chitiet!D434</f>
        <v>1.04</v>
      </c>
      <c r="E180" s="2961">
        <f>chitiet!E434</f>
        <v>0</v>
      </c>
      <c r="F180" s="2962" t="str">
        <f>chitiet!F434</f>
        <v>Đá 1x2</v>
      </c>
      <c r="G180" s="2963" t="str">
        <f>chitiet!G434</f>
        <v>m3</v>
      </c>
      <c r="H180" s="2964">
        <f>chitiet!H434</f>
        <v>1.04</v>
      </c>
      <c r="I180" s="2964">
        <f>chitiet!P434</f>
        <v>1.04</v>
      </c>
      <c r="J180" s="2965">
        <f>IFERROR(VLOOKUP(B180,DG!A:F,6,0),3000)</f>
        <v>999</v>
      </c>
      <c r="K180" s="2966">
        <f>IF(J180&lt;2000,COUNTIF($B$2:B180,B180),0)</f>
        <v>2</v>
      </c>
      <c r="L180" s="1307"/>
      <c r="M180" s="1382"/>
      <c r="O180" s="1382"/>
    </row>
    <row r="181" spans="1:15" s="1215" customFormat="1" ht="25.2" customHeight="1">
      <c r="A181" s="2957">
        <f>COUNTIF($K$1:K181,1)</f>
        <v>119</v>
      </c>
      <c r="B181" s="2958" t="str">
        <f>chitiet!B451</f>
        <v>D1X2</v>
      </c>
      <c r="C181" s="2959" t="str">
        <f>chitiet!C451</f>
        <v>x</v>
      </c>
      <c r="D181" s="2960">
        <f>chitiet!D451</f>
        <v>1.254</v>
      </c>
      <c r="E181" s="2961">
        <f>chitiet!E451</f>
        <v>0</v>
      </c>
      <c r="F181" s="2962" t="str">
        <f>chitiet!F451</f>
        <v>Đá 1x2</v>
      </c>
      <c r="G181" s="2963" t="str">
        <f>chitiet!G451</f>
        <v>m3</v>
      </c>
      <c r="H181" s="2964">
        <f>chitiet!H451</f>
        <v>3.762</v>
      </c>
      <c r="I181" s="2964">
        <f>chitiet!P451</f>
        <v>3.762</v>
      </c>
      <c r="J181" s="2965">
        <f>IFERROR(VLOOKUP(B181,DG!A:F,6,0),3000)</f>
        <v>999</v>
      </c>
      <c r="K181" s="2966">
        <f>IF(J181&lt;2000,COUNTIF($B$2:B181,B181),0)</f>
        <v>3</v>
      </c>
      <c r="L181" s="1307"/>
      <c r="M181" s="1382"/>
      <c r="O181" s="1382"/>
    </row>
    <row r="182" spans="1:15" s="1215" customFormat="1" ht="25.2" customHeight="1">
      <c r="A182" s="2957">
        <f>COUNTIF($K$1:K182,1)</f>
        <v>119</v>
      </c>
      <c r="B182" s="2958" t="str">
        <f>chitiet!B772</f>
        <v>BTLT 12</v>
      </c>
      <c r="C182" s="2959" t="str">
        <f>chitiet!C772</f>
        <v>x</v>
      </c>
      <c r="D182" s="2960">
        <f>chitiet!D772</f>
        <v>0</v>
      </c>
      <c r="E182" s="2967">
        <f>chitiet!E772</f>
        <v>0</v>
      </c>
      <c r="F182" s="2958" t="str">
        <f>chitiet!F772</f>
        <v>Trụ bê tông ly tâm 12m trồng thủ công+cơ giới</v>
      </c>
      <c r="G182" s="2968" t="str">
        <f>chitiet!G772</f>
        <v>Trụ</v>
      </c>
      <c r="H182" s="2968">
        <f>chitiet!H772</f>
        <v>17</v>
      </c>
      <c r="I182" s="2968">
        <f>chitiet!P772</f>
        <v>17</v>
      </c>
      <c r="J182" s="2965">
        <f>IFERROR(VLOOKUP(B182,DG!A:F,6,0),3000)</f>
        <v>2000</v>
      </c>
      <c r="K182" s="2966">
        <f>IF(J182&lt;2000,COUNTIF($B$2:B182,B182),0)</f>
        <v>0</v>
      </c>
      <c r="L182" s="1304"/>
      <c r="M182" s="1382"/>
      <c r="O182" s="1382"/>
    </row>
    <row r="183" spans="1:15" s="1215" customFormat="1" ht="25.2" customHeight="1">
      <c r="A183" s="2957">
        <f>COUNTIF($K$1:K183,1)</f>
        <v>119</v>
      </c>
      <c r="B183" s="2958" t="str">
        <f>chitiet!B783</f>
        <v>BTLT 14</v>
      </c>
      <c r="C183" s="2959" t="str">
        <f>chitiet!C783</f>
        <v>x</v>
      </c>
      <c r="D183" s="2960">
        <f>chitiet!D783</f>
        <v>0</v>
      </c>
      <c r="E183" s="2967">
        <f>chitiet!E783</f>
        <v>0</v>
      </c>
      <c r="F183" s="2958" t="str">
        <f>chitiet!F783</f>
        <v>Trụ bê tông ly tâm 14m</v>
      </c>
      <c r="G183" s="2968" t="str">
        <f>chitiet!G783</f>
        <v>Trụ</v>
      </c>
      <c r="H183" s="2968">
        <f>chitiet!H783</f>
        <v>7</v>
      </c>
      <c r="I183" s="2968">
        <f>chitiet!P783</f>
        <v>7</v>
      </c>
      <c r="J183" s="2965">
        <f>IFERROR(VLOOKUP(B183,DG!A:F,6,0),3000)</f>
        <v>2000</v>
      </c>
      <c r="K183" s="2966">
        <f>IF(J183&lt;2000,COUNTIF($B$2:B183,B183),0)</f>
        <v>0</v>
      </c>
      <c r="L183" s="1304"/>
      <c r="M183" s="1796"/>
      <c r="N183" s="1797"/>
      <c r="O183" s="1796"/>
    </row>
    <row r="184" spans="1:15" s="1215" customFormat="1" ht="25.2" customHeight="1">
      <c r="A184" s="2957">
        <f>COUNTIF($K$1:K184,1)</f>
        <v>119</v>
      </c>
      <c r="B184" s="2958" t="str">
        <f>chitiet!B775</f>
        <v>C12m</v>
      </c>
      <c r="C184" s="2959" t="str">
        <f>chitiet!C775</f>
        <v>x</v>
      </c>
      <c r="D184" s="2960">
        <f>chitiet!D775</f>
        <v>1</v>
      </c>
      <c r="E184" s="2961" t="str">
        <f>chitiet!E775</f>
        <v>05.5402</v>
      </c>
      <c r="F184" s="2962" t="str">
        <f>chitiet!F775</f>
        <v>Dựng trụ BTLT 12m thủ công + cơ giới</v>
      </c>
      <c r="G184" s="2963" t="str">
        <f>chitiet!G775</f>
        <v>trụ</v>
      </c>
      <c r="H184" s="2964">
        <f>chitiet!H775</f>
        <v>17</v>
      </c>
      <c r="I184" s="2964">
        <f>chitiet!$P$775</f>
        <v>17</v>
      </c>
      <c r="J184" s="2965">
        <f>IFERROR(VLOOKUP(B184,DG!A:F,6,0),3000)</f>
        <v>2000</v>
      </c>
      <c r="K184" s="2966">
        <f>IF(J184&lt;2000,COUNTIF($B$2:B184,B184),0)</f>
        <v>0</v>
      </c>
      <c r="L184" s="1307"/>
      <c r="M184" s="1382"/>
      <c r="O184" s="1382"/>
    </row>
    <row r="185" spans="1:15" s="1215" customFormat="1" ht="25.2" customHeight="1">
      <c r="A185" s="2957">
        <f>COUNTIF($K$1:K185,1)</f>
        <v>119</v>
      </c>
      <c r="B185" s="2977" t="str">
        <f>chitiet!B1836</f>
        <v>CĐT ply-X</v>
      </c>
      <c r="C185" s="2978" t="str">
        <f>chitiet!C1836</f>
        <v>x</v>
      </c>
      <c r="D185" s="2979">
        <f>chitiet!D1836</f>
        <v>63</v>
      </c>
      <c r="E185" s="2980">
        <f>chitiet!E1836</f>
        <v>0</v>
      </c>
      <c r="F185" s="2977" t="str">
        <f>chitiet!F1836</f>
        <v>Chuỗi sứ treo Polymer 25kV lắp vào xà : CĐT ply-X</v>
      </c>
      <c r="G185" s="2969" t="str">
        <f>chitiet!G1836</f>
        <v>chuỗi</v>
      </c>
      <c r="H185" s="2969">
        <f>chitiet!H1836</f>
        <v>63</v>
      </c>
      <c r="I185" s="2969">
        <f>chitiet!P1836</f>
        <v>63</v>
      </c>
      <c r="J185" s="2965">
        <f>IFERROR(VLOOKUP(B185,DG!A:F,6,0),3000)</f>
        <v>2000</v>
      </c>
      <c r="K185" s="2966">
        <f>IF(J185&lt;2000,COUNTIF($B$2:B185,B185),0)</f>
        <v>0</v>
      </c>
      <c r="L185" s="1304"/>
      <c r="M185" s="1382"/>
      <c r="O185" s="1382"/>
    </row>
    <row r="186" spans="1:15" s="1215" customFormat="1" ht="25.2" customHeight="1">
      <c r="A186" s="2957">
        <f>COUNTIF($K$1:K186,1)</f>
        <v>119</v>
      </c>
      <c r="B186" s="2958" t="str">
        <f>chitiet!B1843</f>
        <v>CĐT ply-XK</v>
      </c>
      <c r="C186" s="2959" t="str">
        <f>chitiet!C1843</f>
        <v>x</v>
      </c>
      <c r="D186" s="2960">
        <f>chitiet!D1843</f>
        <v>6</v>
      </c>
      <c r="E186" s="2967">
        <f>chitiet!E1843</f>
        <v>0</v>
      </c>
      <c r="F186" s="2958" t="str">
        <f>chitiet!F1843</f>
        <v>Chuỗi sứ treo Polymer kép 25kV lắp vào xà</v>
      </c>
      <c r="G186" s="2968" t="str">
        <f>chitiet!G1843</f>
        <v>chuỗi</v>
      </c>
      <c r="H186" s="2968">
        <f>chitiet!H1843</f>
        <v>6</v>
      </c>
      <c r="I186" s="2968">
        <f>chitiet!P1843</f>
        <v>6</v>
      </c>
      <c r="J186" s="2965">
        <f>IFERROR(VLOOKUP(B186,DG!A:F,6,0),3000)</f>
        <v>2000</v>
      </c>
      <c r="K186" s="2966">
        <f>IF(J186&lt;2000,COUNTIF($B$2:B186,B186),0)</f>
        <v>0</v>
      </c>
      <c r="L186" s="1304"/>
      <c r="M186" s="1382"/>
      <c r="O186" s="1382"/>
    </row>
    <row r="187" spans="1:15" s="1215" customFormat="1" ht="25.2" customHeight="1">
      <c r="A187" s="2957">
        <f>COUNTIF($K$1:K187,1)</f>
        <v>119</v>
      </c>
      <c r="B187" s="2958" t="str">
        <f>CT_tram!B2465</f>
        <v>DATD3</v>
      </c>
      <c r="C187" s="2959">
        <f>CT_tram!C2465</f>
        <v>6.75</v>
      </c>
      <c r="D187" s="2960">
        <f>CT_tram!D2465</f>
        <v>0</v>
      </c>
      <c r="E187" s="2961" t="str">
        <f>CT_tram!E2465</f>
        <v>03.4123</v>
      </c>
      <c r="F187" s="2962" t="str">
        <f>CT_tram!F2465</f>
        <v>Đắp đất rãnh tiếp độ chặt k=0,85</v>
      </c>
      <c r="G187" s="2963" t="str">
        <f>CT_tram!G2465</f>
        <v>m3</v>
      </c>
      <c r="H187" s="2964">
        <f>CT_tram!H2465</f>
        <v>6.75</v>
      </c>
      <c r="I187" s="2964">
        <f>CT_tram!I2465</f>
        <v>6.75</v>
      </c>
      <c r="J187" s="2965">
        <f>IFERROR(VLOOKUP(B187,DG!A:F,6,0),3000)</f>
        <v>2000</v>
      </c>
      <c r="K187" s="2966">
        <f>IF(J187&lt;2000,COUNTIF($B$2:B187,B187),0)</f>
        <v>0</v>
      </c>
      <c r="L187" s="1795"/>
      <c r="M187" s="1382"/>
      <c r="O187" s="1382"/>
    </row>
    <row r="188" spans="1:15" s="1215" customFormat="1" ht="25.2" customHeight="1">
      <c r="A188" s="2957">
        <f>COUNTIF($K$1:K188,1)</f>
        <v>119</v>
      </c>
      <c r="B188" s="2958" t="str">
        <f>CT_tram!B2559</f>
        <v>DBT10046</v>
      </c>
      <c r="C188" s="2959">
        <f>CT_tram!C2559</f>
        <v>0.17</v>
      </c>
      <c r="D188" s="2960">
        <f>CT_tram!D2559</f>
        <v>0</v>
      </c>
      <c r="E188" s="2961" t="str">
        <f>CT_tram!E2559</f>
        <v>04.3112</v>
      </c>
      <c r="F188" s="2962" t="str">
        <f>CT_tram!F2559</f>
        <v>Đổ bê tông mác M100 đá 4x6</v>
      </c>
      <c r="G188" s="2963" t="str">
        <f>CT_tram!G2559</f>
        <v>m3</v>
      </c>
      <c r="H188" s="2964">
        <f>CT_tram!H2559</f>
        <v>0.17</v>
      </c>
      <c r="I188" s="2964">
        <f>CT_tram!I2559</f>
        <v>0.17</v>
      </c>
      <c r="J188" s="2965">
        <f>IFERROR(VLOOKUP(B188,DG!A:F,6,0),3000)</f>
        <v>2000</v>
      </c>
      <c r="K188" s="2966">
        <f>IF(J188&lt;2000,COUNTIF($B$2:B188,B188),0)</f>
        <v>0</v>
      </c>
      <c r="L188" s="1307"/>
      <c r="M188" s="1382"/>
      <c r="O188" s="1382"/>
    </row>
    <row r="189" spans="1:15" s="1215" customFormat="1" ht="25.2" customHeight="1">
      <c r="A189" s="2957">
        <f>COUNTIF($K$1:K189,1)</f>
        <v>119</v>
      </c>
      <c r="B189" s="2972" t="str">
        <f>chitiet!B375</f>
        <v>DBT15012</v>
      </c>
      <c r="C189" s="2973" t="str">
        <f>chitiet!C375</f>
        <v>x</v>
      </c>
      <c r="D189" s="2974">
        <f>chitiet!D375</f>
        <v>1.704</v>
      </c>
      <c r="E189" s="2986" t="str">
        <f>chitiet!E375</f>
        <v>04.1203b</v>
      </c>
      <c r="F189" s="2972" t="str">
        <f>chitiet!F375</f>
        <v>Đổ bê tông mác M150 đá 1x2</v>
      </c>
      <c r="G189" s="2987" t="str">
        <f>chitiet!G375</f>
        <v>m3</v>
      </c>
      <c r="H189" s="2987">
        <f>chitiet!H375</f>
        <v>10.224</v>
      </c>
      <c r="I189" s="2968">
        <f>chitiet!$P$375</f>
        <v>10.224</v>
      </c>
      <c r="J189" s="2965">
        <f>IFERROR(VLOOKUP(B189,DG!A:F,6,0),3000)</f>
        <v>2000</v>
      </c>
      <c r="K189" s="2966">
        <f>IF(J189&lt;2000,COUNTIF($B$2:B189,B189),0)</f>
        <v>0</v>
      </c>
      <c r="L189" s="1304"/>
      <c r="M189" s="1382"/>
      <c r="O189" s="1382"/>
    </row>
    <row r="190" spans="1:15" s="1215" customFormat="1" ht="25.2" customHeight="1">
      <c r="A190" s="2957">
        <f>COUNTIF($K$1:K190,1)</f>
        <v>119</v>
      </c>
      <c r="B190" s="2958" t="str">
        <f>chitiet!B464</f>
        <v>DBT15012</v>
      </c>
      <c r="C190" s="2959" t="str">
        <f>chitiet!C464</f>
        <v>x</v>
      </c>
      <c r="D190" s="2960">
        <f>chitiet!D464</f>
        <v>1.4350000000000001</v>
      </c>
      <c r="E190" s="2961" t="str">
        <f>chitiet!E464</f>
        <v>04.1203b</v>
      </c>
      <c r="F190" s="2962" t="str">
        <f>chitiet!F464</f>
        <v>Đổ bê tông mác M150 đá 1x2</v>
      </c>
      <c r="G190" s="2963" t="str">
        <f>chitiet!G464</f>
        <v>m3</v>
      </c>
      <c r="H190" s="2964">
        <f>chitiet!H464</f>
        <v>4.3049999999999997</v>
      </c>
      <c r="I190" s="2964">
        <f>chitiet!$P$464</f>
        <v>4.3049999999999997</v>
      </c>
      <c r="J190" s="2965">
        <f>IFERROR(VLOOKUP(B190,DG!A:F,6,0),3000)</f>
        <v>2000</v>
      </c>
      <c r="K190" s="2966">
        <f>IF(J190&lt;2000,COUNTIF($B$2:B190,B190),0)</f>
        <v>0</v>
      </c>
      <c r="L190" s="1307"/>
      <c r="M190" s="1382"/>
      <c r="O190" s="1382"/>
    </row>
    <row r="191" spans="1:15" s="1215" customFormat="1" ht="25.2" customHeight="1">
      <c r="A191" s="2957">
        <f>COUNTIF($K$1:K191,1)</f>
        <v>119</v>
      </c>
      <c r="B191" s="2958" t="str">
        <f>CT_tram!B2558</f>
        <v>dbt20012</v>
      </c>
      <c r="C191" s="2959">
        <f>CT_tram!C2558</f>
        <v>1.08</v>
      </c>
      <c r="D191" s="2960">
        <f>CT_tram!D2558</f>
        <v>0</v>
      </c>
      <c r="E191" s="2967" t="str">
        <f>CT_tram!E2558</f>
        <v>04.1203c</v>
      </c>
      <c r="F191" s="2958" t="str">
        <f>CT_tram!F2558</f>
        <v>Đổ bê tông móng trụ &lt;=250cm-M200 đá 1x2</v>
      </c>
      <c r="G191" s="2968" t="str">
        <f>CT_tram!G2558</f>
        <v>m3</v>
      </c>
      <c r="H191" s="2968">
        <f>CT_tram!H2558</f>
        <v>1.08</v>
      </c>
      <c r="I191" s="2968">
        <f>CT_tram!I2558</f>
        <v>1.08</v>
      </c>
      <c r="J191" s="2965">
        <f>IFERROR(VLOOKUP(B191,DG!A:F,6,0),3000)</f>
        <v>2000</v>
      </c>
      <c r="K191" s="2966">
        <f>IF(J191&lt;2000,COUNTIF($B$2:B191,B191),0)</f>
        <v>0</v>
      </c>
      <c r="L191" s="1304"/>
      <c r="M191" s="1382"/>
      <c r="O191" s="1382"/>
    </row>
    <row r="192" spans="1:15" s="1215" customFormat="1" ht="25.2" customHeight="1">
      <c r="A192" s="2957">
        <f>COUNTIF($K$1:K192,1)</f>
        <v>119</v>
      </c>
      <c r="B192" s="2958" t="str">
        <f>CT_tram!B2575</f>
        <v>dbt20012</v>
      </c>
      <c r="C192" s="2959">
        <f>CT_tram!C2575</f>
        <v>0.12</v>
      </c>
      <c r="D192" s="2960">
        <f>CT_tram!D2575</f>
        <v>0</v>
      </c>
      <c r="E192" s="2961" t="str">
        <f>CT_tram!E2575</f>
        <v>04.1203c</v>
      </c>
      <c r="F192" s="2962" t="str">
        <f>CT_tram!F2575</f>
        <v>Đổ bê tông móng trụ &lt;=250cm-M200 đá 1x2</v>
      </c>
      <c r="G192" s="2963" t="str">
        <f>CT_tram!G2575</f>
        <v>m3</v>
      </c>
      <c r="H192" s="2964">
        <f>CT_tram!H2575</f>
        <v>0.12</v>
      </c>
      <c r="I192" s="2964">
        <f>CT_tram!I2575</f>
        <v>0.12</v>
      </c>
      <c r="J192" s="2965">
        <f>IFERROR(VLOOKUP(B192,DG!A:F,6,0),3000)</f>
        <v>2000</v>
      </c>
      <c r="K192" s="2966">
        <f>IF(J192&lt;2000,COUNTIF($B$2:B192,B192),0)</f>
        <v>0</v>
      </c>
      <c r="L192" s="1304"/>
      <c r="M192" s="1382"/>
      <c r="O192" s="1382"/>
    </row>
    <row r="193" spans="1:15" s="1215" customFormat="1" ht="25.2" customHeight="1">
      <c r="A193" s="2957">
        <f>COUNTIF($K$1:K193,1)</f>
        <v>119</v>
      </c>
      <c r="B193" s="2958" t="str">
        <f>chitiet!B648</f>
        <v>DCTD3</v>
      </c>
      <c r="C193" s="2959" t="str">
        <f>chitiet!C648</f>
        <v>x</v>
      </c>
      <c r="D193" s="2960">
        <f>chitiet!D648</f>
        <v>1</v>
      </c>
      <c r="E193" s="2967" t="str">
        <f>chitiet!E648</f>
        <v>05.8103</v>
      </c>
      <c r="F193" s="2958" t="str">
        <f>chitiet!F648</f>
        <v>Đóng cọc tiếp địa đất cấp 3</v>
      </c>
      <c r="G193" s="2968" t="str">
        <f>chitiet!G648</f>
        <v>cọc</v>
      </c>
      <c r="H193" s="2968">
        <f>chitiet!H648</f>
        <v>3</v>
      </c>
      <c r="I193" s="2968">
        <f>chitiet!P648</f>
        <v>3</v>
      </c>
      <c r="J193" s="2965">
        <f>IFERROR(VLOOKUP(B193,DG!A:F,6,0),3000)</f>
        <v>2000</v>
      </c>
      <c r="K193" s="2966">
        <f>IF(J193&lt;2000,COUNTIF($B$2:B193,B193),0)</f>
        <v>0</v>
      </c>
      <c r="L193" s="1304"/>
      <c r="M193" s="1382"/>
      <c r="O193" s="1382"/>
    </row>
    <row r="194" spans="1:15" s="1215" customFormat="1" ht="25.2" customHeight="1">
      <c r="A194" s="2957">
        <f>COUNTIF($K$1:K194,1)</f>
        <v>119</v>
      </c>
      <c r="B194" s="2958" t="str">
        <f>chitiet!B672</f>
        <v>DCTD3</v>
      </c>
      <c r="C194" s="2959" t="str">
        <f>chitiet!C672</f>
        <v>x</v>
      </c>
      <c r="D194" s="2960">
        <f>chitiet!D672</f>
        <v>9</v>
      </c>
      <c r="E194" s="2961" t="str">
        <f>chitiet!E672</f>
        <v>05.8103</v>
      </c>
      <c r="F194" s="2962" t="str">
        <f>chitiet!F672</f>
        <v>Đóng cọc tiếp địa đất cấp 3</v>
      </c>
      <c r="G194" s="2963" t="str">
        <f>chitiet!G672</f>
        <v>cọc</v>
      </c>
      <c r="H194" s="2964">
        <f>chitiet!H672</f>
        <v>9</v>
      </c>
      <c r="I194" s="2964">
        <f>chitiet!P672</f>
        <v>9</v>
      </c>
      <c r="J194" s="2965">
        <f>IFERROR(VLOOKUP(B194,DG!A:F,6,0),3000)</f>
        <v>2000</v>
      </c>
      <c r="K194" s="2966">
        <f>IF(J194&lt;2000,COUNTIF($B$2:B194,B194),0)</f>
        <v>0</v>
      </c>
      <c r="L194" s="1307"/>
      <c r="M194" s="1382"/>
      <c r="O194" s="1382"/>
    </row>
    <row r="195" spans="1:15" s="1215" customFormat="1" ht="25.2" customHeight="1">
      <c r="A195" s="2957">
        <f>COUNTIF($K$1:K195,1)</f>
        <v>119</v>
      </c>
      <c r="B195" s="2958" t="str">
        <f>CT_tram!B2466</f>
        <v>dctdtba</v>
      </c>
      <c r="C195" s="2959">
        <f>CT_tram!C2466</f>
        <v>10</v>
      </c>
      <c r="D195" s="2960">
        <f>CT_tram!D2466</f>
        <v>0</v>
      </c>
      <c r="E195" s="2967" t="str">
        <f>CT_tram!E2466</f>
        <v>04.7001</v>
      </c>
      <c r="F195" s="2958" t="str">
        <f>CT_tram!F2466</f>
        <v>Đóng cọc tiếp địa trong TBA</v>
      </c>
      <c r="G195" s="2968" t="str">
        <f>CT_tram!G2466</f>
        <v>cọc</v>
      </c>
      <c r="H195" s="2968">
        <f>CT_tram!H2466</f>
        <v>10</v>
      </c>
      <c r="I195" s="2968">
        <f>CT_tram!I2466</f>
        <v>10</v>
      </c>
      <c r="J195" s="2965">
        <f>IFERROR(VLOOKUP(B195,DG!A:F,6,0),3000)</f>
        <v>2000</v>
      </c>
      <c r="K195" s="2966">
        <f>IF(J195&lt;2000,COUNTIF($B$2:B195,B195),0)</f>
        <v>0</v>
      </c>
      <c r="L195" s="1304"/>
      <c r="M195" s="1382"/>
      <c r="O195" s="1382"/>
    </row>
    <row r="196" spans="1:15" s="1215" customFormat="1" ht="25.2" customHeight="1">
      <c r="A196" s="2957">
        <f>COUNTIF($K$1:K196,1)</f>
        <v>119</v>
      </c>
      <c r="B196" s="2958" t="str">
        <f>chitiet!B1769</f>
        <v>DDTT3P1m-m</v>
      </c>
      <c r="C196" s="2959" t="str">
        <f>chitiet!C1769</f>
        <v>x</v>
      </c>
      <c r="D196" s="2960">
        <f>chitiet!D1769</f>
        <v>1</v>
      </c>
      <c r="E196" s="2961">
        <f>chitiet!E1769</f>
        <v>1</v>
      </c>
      <c r="F196" s="2962" t="str">
        <f>chitiet!F1769</f>
        <v>Phần trung thế 3 pha xây dựng mới</v>
      </c>
      <c r="G196" s="2963" t="str">
        <f>chitiet!G1769</f>
        <v>Tbộ</v>
      </c>
      <c r="H196" s="2964">
        <f>chitiet!H1769</f>
        <v>0</v>
      </c>
      <c r="I196" s="2964">
        <f>chitiet!$P$1769</f>
        <v>0</v>
      </c>
      <c r="J196" s="2965">
        <f>IFERROR(VLOOKUP(B196,DG!A:F,6,0),3000)</f>
        <v>2000</v>
      </c>
      <c r="K196" s="2966">
        <f>IF(J196&lt;2000,COUNTIF($B$2:B196,B196),0)</f>
        <v>0</v>
      </c>
      <c r="L196" s="1307"/>
      <c r="M196" s="1382"/>
      <c r="O196" s="1382"/>
    </row>
    <row r="197" spans="1:15" s="1215" customFormat="1" ht="25.2" customHeight="1">
      <c r="A197" s="2957">
        <f>COUNTIF($K$1:K197,1)</f>
        <v>119</v>
      </c>
      <c r="B197" s="2958" t="str">
        <f>chitiet!B1511</f>
        <v>DDTT3P-ct</v>
      </c>
      <c r="C197" s="2959" t="str">
        <f>chitiet!C1511</f>
        <v>x</v>
      </c>
      <c r="D197" s="2960">
        <f>chitiet!D1511</f>
        <v>1</v>
      </c>
      <c r="E197" s="2961" t="str">
        <f>chitiet!E1511</f>
        <v>a</v>
      </c>
      <c r="F197" s="2962" t="str">
        <f>chitiet!F1511</f>
        <v>Phần trung thế cải tạo</v>
      </c>
      <c r="G197" s="2963" t="str">
        <f>chitiet!G1511</f>
        <v>Tbộ</v>
      </c>
      <c r="H197" s="2964">
        <f>chitiet!H1511</f>
        <v>0</v>
      </c>
      <c r="I197" s="2964">
        <f>chitiet!P1511</f>
        <v>0</v>
      </c>
      <c r="J197" s="2965">
        <f>IFERROR(VLOOKUP(B197,DG!A:F,6,0),3000)</f>
        <v>2000</v>
      </c>
      <c r="K197" s="2966">
        <f>IF(J197&lt;2000,COUNTIF($B$2:B197,B197),0)</f>
        <v>0</v>
      </c>
      <c r="L197" s="1307"/>
      <c r="M197" s="1382"/>
      <c r="O197" s="1382"/>
    </row>
    <row r="198" spans="1:15" s="1215" customFormat="1" ht="25.2" customHeight="1">
      <c r="A198" s="2957">
        <f>COUNTIF($K$1:K198,1)</f>
        <v>119</v>
      </c>
      <c r="B198" s="2958" t="str">
        <f>CT_tram!B2387</f>
        <v>DK3DT</v>
      </c>
      <c r="C198" s="2959">
        <f>CT_tram!C2387</f>
        <v>1</v>
      </c>
      <c r="D198" s="2960">
        <f>CT_tram!D2387</f>
        <v>8</v>
      </c>
      <c r="E198" s="2967">
        <f>CT_tram!E2387</f>
        <v>0</v>
      </c>
      <c r="F198" s="2958" t="str">
        <f>CT_tram!F2387</f>
        <v>Điện kế 3 pha điện tử 600V-5A</v>
      </c>
      <c r="G198" s="2968" t="str">
        <f>CT_tram!G2387</f>
        <v>cái</v>
      </c>
      <c r="H198" s="2968">
        <f>CT_tram!H2387</f>
        <v>1</v>
      </c>
      <c r="I198" s="2968">
        <f>CT_tram!I2387</f>
        <v>1</v>
      </c>
      <c r="J198" s="2965">
        <f>IFERROR(VLOOKUP(B198,DG!A:F,6,0),3000)</f>
        <v>2000</v>
      </c>
      <c r="K198" s="2966">
        <f>IF(J198&lt;2000,COUNTIF($B$2:B198,B198),0)</f>
        <v>0</v>
      </c>
      <c r="L198" s="1304"/>
      <c r="M198" s="1382"/>
      <c r="O198" s="1382"/>
    </row>
    <row r="199" spans="1:15" s="1215" customFormat="1" ht="25.2" customHeight="1">
      <c r="A199" s="2957">
        <f>COUNTIF($K$1:K199,1)</f>
        <v>119</v>
      </c>
      <c r="B199" s="2972" t="str">
        <f>CT_tram!B2464</f>
        <v>DTD3</v>
      </c>
      <c r="C199" s="2973">
        <f>CT_tram!C2464</f>
        <v>6.75</v>
      </c>
      <c r="D199" s="2974">
        <f>CT_tram!D2464</f>
        <v>0</v>
      </c>
      <c r="E199" s="2975" t="str">
        <f>CT_tram!E2464</f>
        <v>03.3123</v>
      </c>
      <c r="F199" s="2976" t="str">
        <f>CT_tram!F2464</f>
        <v>Đào rãnh tiếp địa đất cấp 3</v>
      </c>
      <c r="G199" s="2970" t="str">
        <f>CT_tram!G2464</f>
        <v>m3</v>
      </c>
      <c r="H199" s="2971">
        <f>CT_tram!H2464</f>
        <v>6.75</v>
      </c>
      <c r="I199" s="2985">
        <f>CT_tram!I2464</f>
        <v>6.75</v>
      </c>
      <c r="J199" s="2965">
        <f>IFERROR(VLOOKUP(B199,DG!A:F,6,0),3000)</f>
        <v>2000</v>
      </c>
      <c r="K199" s="2966">
        <f>IF(J199&lt;2000,COUNTIF($B$2:B199,B199),0)</f>
        <v>0</v>
      </c>
      <c r="L199" s="1307"/>
      <c r="M199" s="1382"/>
      <c r="O199" s="1382"/>
    </row>
    <row r="200" spans="1:15" ht="25.2" customHeight="1">
      <c r="A200" s="2957">
        <f>COUNTIF($K$1:K200,1)</f>
        <v>119</v>
      </c>
      <c r="B200" s="2958" t="str">
        <f>chitiet!B1791</f>
        <v>Đth-U</v>
      </c>
      <c r="C200" s="2959" t="str">
        <f>chitiet!C1791</f>
        <v>x</v>
      </c>
      <c r="D200" s="2960">
        <f>chitiet!D1791</f>
        <v>5</v>
      </c>
      <c r="E200" s="2961">
        <f>chitiet!E1791</f>
        <v>0</v>
      </c>
      <c r="F200" s="2962" t="str">
        <f>chitiet!F1791</f>
        <v>Bộ Uclevis đỡ dây trung hòa: Đth-U (trụ đơn)</v>
      </c>
      <c r="G200" s="2963" t="str">
        <f>chitiet!G1791</f>
        <v>bộ</v>
      </c>
      <c r="H200" s="2964">
        <f>chitiet!H1791</f>
        <v>5</v>
      </c>
      <c r="I200" s="2964">
        <f>chitiet!P1791</f>
        <v>5</v>
      </c>
      <c r="J200" s="2965">
        <f>IFERROR(VLOOKUP(B200,DG!A:F,6,0),3000)</f>
        <v>2000</v>
      </c>
      <c r="K200" s="2966">
        <f>IF(J200&lt;2000,COUNTIF($B$2:B200,B200),0)</f>
        <v>0</v>
      </c>
      <c r="L200" s="1307"/>
      <c r="N200" s="1215"/>
    </row>
    <row r="201" spans="1:15" ht="25.2" customHeight="1">
      <c r="A201" s="2957">
        <f>COUNTIF($K$1:K201,1)</f>
        <v>119</v>
      </c>
      <c r="B201" s="2958" t="str">
        <f>chitiet!B1794</f>
        <v>Đth-U-g</v>
      </c>
      <c r="C201" s="2959" t="str">
        <f>chitiet!C1794</f>
        <v>x</v>
      </c>
      <c r="D201" s="2960">
        <f>chitiet!D1794</f>
        <v>0</v>
      </c>
      <c r="E201" s="2961">
        <f>chitiet!E1794</f>
        <v>0</v>
      </c>
      <c r="F201" s="2962" t="str">
        <f>chitiet!F1794</f>
        <v>Bộ Uclevis đỡ dây trung hòa trụ ghép: Đth-U-g (trụ ghép)</v>
      </c>
      <c r="G201" s="2963" t="str">
        <f>chitiet!G1794</f>
        <v>bộ</v>
      </c>
      <c r="H201" s="2964">
        <f>chitiet!H1794</f>
        <v>1</v>
      </c>
      <c r="I201" s="2964">
        <f>chitiet!P1794</f>
        <v>1</v>
      </c>
      <c r="J201" s="2965">
        <f>IFERROR(VLOOKUP(B201,DG!A:F,6,0),3000)</f>
        <v>2000</v>
      </c>
      <c r="K201" s="2966">
        <f>IF(J201&lt;2000,COUNTIF($B$2:B201,B201),0)</f>
        <v>0</v>
      </c>
      <c r="L201" s="1307"/>
      <c r="M201" s="1796"/>
      <c r="N201" s="1797"/>
      <c r="O201" s="1796"/>
    </row>
    <row r="202" spans="1:15" ht="25.2" customHeight="1">
      <c r="A202" s="2957">
        <f>COUNTIF($K$1:K202,1)</f>
        <v>119</v>
      </c>
      <c r="B202" s="2977" t="str">
        <f>chitiet!B1959</f>
        <v>KDAC50</v>
      </c>
      <c r="C202" s="2978" t="str">
        <f>chitiet!C1959</f>
        <v>x</v>
      </c>
      <c r="D202" s="2979">
        <f>chitiet!D1959</f>
        <v>0.54977999999999994</v>
      </c>
      <c r="E202" s="2980" t="str">
        <f>chitiet!E1959</f>
        <v>06.6114</v>
      </c>
      <c r="F202" s="2977" t="str">
        <f>chitiet!F1959</f>
        <v>Kéo dây nhôm lõi thép cỡ dây 50mm2</v>
      </c>
      <c r="G202" s="2969" t="str">
        <f>chitiet!G1959</f>
        <v>km</v>
      </c>
      <c r="H202" s="2969">
        <f>chitiet!H1959</f>
        <v>0.54977999999999994</v>
      </c>
      <c r="I202" s="3027">
        <f>chitiet!P1959</f>
        <v>0.54977999999999994</v>
      </c>
      <c r="J202" s="2965">
        <f>IFERROR(VLOOKUP(B202,DG!A:F,6,0),3000)</f>
        <v>2000</v>
      </c>
      <c r="K202" s="2966">
        <f>IF(J202&lt;2000,COUNTIF($B$2:B202,B202),0)</f>
        <v>0</v>
      </c>
    </row>
    <row r="203" spans="1:15" ht="25.2" customHeight="1">
      <c r="A203" s="2957">
        <f>COUNTIF($K$1:K203,1)</f>
        <v>119</v>
      </c>
      <c r="B203" s="2977" t="str">
        <f>chitiet!B1960</f>
        <v>KDAC70</v>
      </c>
      <c r="C203" s="2978" t="str">
        <f>chitiet!C1960</f>
        <v>x</v>
      </c>
      <c r="D203" s="2979">
        <f>chitiet!D1960</f>
        <v>0.99011400000000005</v>
      </c>
      <c r="E203" s="2980" t="str">
        <f>chitiet!E1960</f>
        <v>06.6105</v>
      </c>
      <c r="F203" s="2977" t="str">
        <f>chitiet!F1960</f>
        <v>Kéo dây nhôm lõi thép cỡ dây 70mm2</v>
      </c>
      <c r="G203" s="2969" t="str">
        <f>chitiet!G1960</f>
        <v>km</v>
      </c>
      <c r="H203" s="2969">
        <f>chitiet!H1960</f>
        <v>0.99011400000000005</v>
      </c>
      <c r="I203" s="3027">
        <f>chitiet!P1960</f>
        <v>0.99011400000000005</v>
      </c>
      <c r="J203" s="2965">
        <f>IFERROR(VLOOKUP(B203,DG!A:F,6,0),3000)</f>
        <v>2000</v>
      </c>
      <c r="K203" s="2966">
        <f>IF(J203&lt;2000,COUNTIF($B$2:B203,B203),0)</f>
        <v>0</v>
      </c>
      <c r="N203" s="1215"/>
    </row>
    <row r="204" spans="1:15" ht="25.2" customHeight="1">
      <c r="A204" s="2957">
        <f>COUNTIF($K$1:K204,1)</f>
        <v>119</v>
      </c>
      <c r="B204" s="2958" t="str">
        <f>chitiet!B647</f>
        <v>KTD</v>
      </c>
      <c r="C204" s="2959" t="str">
        <f>chitiet!C647</f>
        <v>x</v>
      </c>
      <c r="D204" s="2960">
        <f>chitiet!D647</f>
        <v>2.2400000000000002</v>
      </c>
      <c r="E204" s="2961" t="str">
        <f>chitiet!E647</f>
        <v>05.7001</v>
      </c>
      <c r="F204" s="2962" t="str">
        <f>chitiet!F647</f>
        <v xml:space="preserve">Kéo dây tiếp địa </v>
      </c>
      <c r="G204" s="2963" t="str">
        <f>chitiet!G647</f>
        <v>mét</v>
      </c>
      <c r="H204" s="2964">
        <f>chitiet!H647</f>
        <v>6.7200000000000006</v>
      </c>
      <c r="I204" s="2964">
        <f>chitiet!P647</f>
        <v>6.7200000000000006</v>
      </c>
      <c r="J204" s="2965">
        <f>IFERROR(VLOOKUP(B204,DG!A:F,6,0),3000)</f>
        <v>2000</v>
      </c>
      <c r="K204" s="2966">
        <f>IF(J204&lt;2000,COUNTIF($B$2:B204,B204),0)</f>
        <v>0</v>
      </c>
      <c r="L204" s="1307"/>
      <c r="N204" s="1215"/>
    </row>
    <row r="205" spans="1:15" ht="25.2" customHeight="1">
      <c r="A205" s="2957">
        <f>COUNTIF($K$1:K205,1)</f>
        <v>119</v>
      </c>
      <c r="B205" s="2958" t="str">
        <f>chitiet!B671</f>
        <v>KTD</v>
      </c>
      <c r="C205" s="2959" t="str">
        <f>chitiet!C671</f>
        <v>x</v>
      </c>
      <c r="D205" s="2960">
        <f>chitiet!D671</f>
        <v>11.872</v>
      </c>
      <c r="E205" s="2961" t="str">
        <f>chitiet!E671</f>
        <v>05.7001</v>
      </c>
      <c r="F205" s="2962" t="str">
        <f>chitiet!F671</f>
        <v xml:space="preserve">Kéo dây tiếp địa </v>
      </c>
      <c r="G205" s="2963" t="str">
        <f>chitiet!G671</f>
        <v>mét</v>
      </c>
      <c r="H205" s="2964">
        <f>chitiet!H671</f>
        <v>11.872</v>
      </c>
      <c r="I205" s="2964">
        <f>chitiet!P671</f>
        <v>11.872</v>
      </c>
      <c r="J205" s="2965">
        <f>IFERROR(VLOOKUP(B205,DG!A:F,6,0),3000)</f>
        <v>2000</v>
      </c>
      <c r="K205" s="2966">
        <f>IF(J205&lt;2000,COUNTIF($B$2:B205,B205),0)</f>
        <v>0</v>
      </c>
      <c r="L205" s="1307"/>
      <c r="N205" s="1215"/>
    </row>
    <row r="206" spans="1:15" ht="25.2" customHeight="1">
      <c r="A206" s="2957">
        <f>COUNTIF($K$1:K206,1)</f>
        <v>119</v>
      </c>
      <c r="B206" s="2972" t="str">
        <f>CT_tram!B2467</f>
        <v>ktdTBA</v>
      </c>
      <c r="C206" s="2973">
        <f>CT_tram!C2467</f>
        <v>11.87</v>
      </c>
      <c r="D206" s="2974">
        <f>CT_tram!D2467</f>
        <v>0</v>
      </c>
      <c r="E206" s="2986" t="str">
        <f>CT_tram!E2467</f>
        <v>04.7002</v>
      </c>
      <c r="F206" s="2972" t="str">
        <f>CT_tram!F2467</f>
        <v>Kéo dây tiếp địa trong TBA</v>
      </c>
      <c r="G206" s="2987" t="str">
        <f>CT_tram!G2467</f>
        <v>kg</v>
      </c>
      <c r="H206" s="2987">
        <f>CT_tram!H2467</f>
        <v>11.87</v>
      </c>
      <c r="I206" s="2968">
        <f>CT_tram!I2467</f>
        <v>11.87</v>
      </c>
      <c r="J206" s="2965">
        <f>IFERROR(VLOOKUP(B206,DG!A:F,6,0),3000)</f>
        <v>2000</v>
      </c>
      <c r="K206" s="2966">
        <f>IF(J206&lt;2000,COUNTIF($B$2:B206,B206),0)</f>
        <v>0</v>
      </c>
      <c r="L206" s="1795"/>
      <c r="N206" s="1215"/>
    </row>
    <row r="207" spans="1:15" ht="25.2" customHeight="1">
      <c r="A207" s="2957">
        <f>COUNTIF($K$1:K207,1)</f>
        <v>119</v>
      </c>
      <c r="B207" s="2958" t="str">
        <f>CT_tram!B2549</f>
        <v>lcapdongTB240</v>
      </c>
      <c r="C207" s="2959">
        <f>CT_tram!C2549</f>
        <v>72</v>
      </c>
      <c r="D207" s="2960">
        <f>CT_tram!D2549</f>
        <v>0</v>
      </c>
      <c r="E207" s="2961">
        <f>CT_tram!E2549</f>
        <v>0</v>
      </c>
      <c r="F207" s="2962" t="str">
        <f>CT_tram!F2549</f>
        <v>Lắp cáp đồng xuống thiết bị D &gt; 150mm2:</v>
      </c>
      <c r="G207" s="2963" t="str">
        <f>CT_tram!G2549</f>
        <v>m</v>
      </c>
      <c r="H207" s="2964">
        <f>CT_tram!H2549</f>
        <v>72</v>
      </c>
      <c r="I207" s="2964">
        <f>CT_tram!I2549</f>
        <v>72</v>
      </c>
      <c r="J207" s="2965">
        <f>IFERROR(VLOOKUP(B207,DG!A:F,6,0),3000)</f>
        <v>2000</v>
      </c>
      <c r="K207" s="2966">
        <f>IF(J207&lt;2000,COUNTIF($B$2:B207,B207),0)</f>
        <v>0</v>
      </c>
      <c r="L207" s="1307"/>
    </row>
    <row r="208" spans="1:15" ht="25.2" customHeight="1">
      <c r="A208" s="2957">
        <f>COUNTIF($K$1:K208,1)</f>
        <v>119</v>
      </c>
      <c r="B208" s="2977" t="str">
        <f>chitiet!B1985</f>
        <v>LCHSNply</v>
      </c>
      <c r="C208" s="2978" t="str">
        <f>chitiet!C1985</f>
        <v>x</v>
      </c>
      <c r="D208" s="2979">
        <f>chitiet!D1985</f>
        <v>63</v>
      </c>
      <c r="E208" s="2980" t="str">
        <f>chitiet!E1985</f>
        <v>06.2201</v>
      </c>
      <c r="F208" s="2977" t="str">
        <f>chitiet!F1985</f>
        <v>Lắp chuỗi sứ néo Polymer</v>
      </c>
      <c r="G208" s="2969" t="str">
        <f>chitiet!G1985</f>
        <v>chuỗi</v>
      </c>
      <c r="H208" s="2969">
        <f>chitiet!H1985</f>
        <v>63</v>
      </c>
      <c r="I208" s="2969">
        <f>chitiet!$P$1985</f>
        <v>63</v>
      </c>
      <c r="J208" s="2965">
        <f>IFERROR(VLOOKUP(B208,DG!A:F,6,0),3000)</f>
        <v>2000</v>
      </c>
      <c r="K208" s="2966">
        <f>IF(J208&lt;2000,COUNTIF($B$2:B208,B208),0)</f>
        <v>0</v>
      </c>
    </row>
    <row r="209" spans="1:15" ht="25.2" customHeight="1">
      <c r="A209" s="2957">
        <f>COUNTIF($K$1:K209,1)</f>
        <v>119</v>
      </c>
      <c r="B209" s="2958" t="str">
        <f>CT_tram!B2574</f>
        <v>LCT10</v>
      </c>
      <c r="C209" s="2959">
        <f>CT_tram!C2574</f>
        <v>16</v>
      </c>
      <c r="D209" s="2960">
        <f>CT_tram!D2574</f>
        <v>0</v>
      </c>
      <c r="E209" s="2961" t="str">
        <f>CT_tram!E2574</f>
        <v>04.5101</v>
      </c>
      <c r="F209" s="2962" t="str">
        <f>CT_tram!F2574</f>
        <v>Gia công và lắp dựng cốt thép D&lt;=10</v>
      </c>
      <c r="G209" s="2963" t="str">
        <f>CT_tram!G2574</f>
        <v>kg</v>
      </c>
      <c r="H209" s="2964">
        <f>CT_tram!H2574</f>
        <v>16</v>
      </c>
      <c r="I209" s="2964">
        <f>CT_tram!I2574</f>
        <v>16</v>
      </c>
      <c r="J209" s="2965">
        <f>IFERROR(VLOOKUP(B209,DG!A:F,6,0),3000)</f>
        <v>2000</v>
      </c>
      <c r="K209" s="2966">
        <f>IF(J209&lt;2000,COUNTIF($B$2:B209,B209),0)</f>
        <v>0</v>
      </c>
      <c r="L209" s="1307"/>
      <c r="M209" s="1796"/>
      <c r="N209" s="1797"/>
      <c r="O209" s="1796"/>
    </row>
    <row r="210" spans="1:15" ht="25.2" customHeight="1">
      <c r="A210" s="2957">
        <f>COUNTIF($K$1:K210,1)</f>
        <v>119</v>
      </c>
      <c r="B210" s="2958" t="str">
        <f>CT_tram!B2557</f>
        <v>LCT18</v>
      </c>
      <c r="C210" s="2959">
        <f>CT_tram!C2557</f>
        <v>18.88</v>
      </c>
      <c r="D210" s="2960">
        <f>CT_tram!D2557</f>
        <v>0</v>
      </c>
      <c r="E210" s="2961" t="str">
        <f>CT_tram!E2557</f>
        <v>04.1102</v>
      </c>
      <c r="F210" s="2962" t="str">
        <f>CT_tram!F2557</f>
        <v>Gia công và lắp dựng cốt thép D&lt;=18</v>
      </c>
      <c r="G210" s="2963" t="str">
        <f>CT_tram!G2557</f>
        <v>kg</v>
      </c>
      <c r="H210" s="2964">
        <f>CT_tram!H2557</f>
        <v>18.88</v>
      </c>
      <c r="I210" s="2964">
        <f>CT_tram!I2557</f>
        <v>18.88</v>
      </c>
      <c r="J210" s="2965">
        <f>IFERROR(VLOOKUP(B210,DG!A:F,6,0),3000)</f>
        <v>2000</v>
      </c>
      <c r="K210" s="2966">
        <f>IF(J210&lt;2000,COUNTIF($B$2:B210,B210),0)</f>
        <v>0</v>
      </c>
      <c r="L210" s="1307"/>
    </row>
    <row r="211" spans="1:15" ht="25.2" customHeight="1">
      <c r="A211" s="2957">
        <f>COUNTIF($K$1:K211,1)</f>
        <v>119</v>
      </c>
      <c r="B211" s="2958" t="str">
        <f>CT_tram!B2523</f>
        <v>LSD</v>
      </c>
      <c r="C211" s="2959">
        <f>CT_tram!C2523</f>
        <v>6</v>
      </c>
      <c r="D211" s="2960">
        <f>CT_tram!D2523</f>
        <v>0</v>
      </c>
      <c r="E211" s="2961" t="str">
        <f>CT_tram!E2523</f>
        <v>06.1115</v>
      </c>
      <c r="F211" s="2962" t="str">
        <f>CT_tram!F2523</f>
        <v>Lắp sứ đứng 24KV</v>
      </c>
      <c r="G211" s="2963" t="str">
        <f>CT_tram!G2523</f>
        <v>bộ</v>
      </c>
      <c r="H211" s="2964">
        <f>CT_tram!H2523</f>
        <v>6</v>
      </c>
      <c r="I211" s="2964">
        <f>CT_tram!I2523</f>
        <v>6</v>
      </c>
      <c r="J211" s="2965">
        <f>IFERROR(VLOOKUP(B211,DG!A:F,6,0),3000)</f>
        <v>2000</v>
      </c>
      <c r="K211" s="2966">
        <f>IF(J211&lt;2000,COUNTIF($B$2:B211,B211),0)</f>
        <v>0</v>
      </c>
      <c r="L211" s="1307"/>
      <c r="N211" s="1215"/>
    </row>
    <row r="212" spans="1:15" ht="25.2" customHeight="1">
      <c r="A212" s="2957">
        <f>COUNTIF($K$1:K212,1)</f>
        <v>119</v>
      </c>
      <c r="B212" s="2977" t="str">
        <f>chitiet!B1979</f>
        <v>LSD</v>
      </c>
      <c r="C212" s="2978" t="str">
        <f>chitiet!C1979</f>
        <v>x</v>
      </c>
      <c r="D212" s="2979">
        <f>chitiet!D1979</f>
        <v>154</v>
      </c>
      <c r="E212" s="2980" t="str">
        <f>chitiet!E1979</f>
        <v>06.1115</v>
      </c>
      <c r="F212" s="2977" t="str">
        <f>chitiet!F1979</f>
        <v>Lắp sứ đứng 24KV</v>
      </c>
      <c r="G212" s="2969" t="str">
        <f>chitiet!G1979</f>
        <v>bộ</v>
      </c>
      <c r="H212" s="2969">
        <f>chitiet!H1979</f>
        <v>154</v>
      </c>
      <c r="I212" s="2969">
        <f>chitiet!$P$1979</f>
        <v>154</v>
      </c>
      <c r="J212" s="2965">
        <f>IFERROR(VLOOKUP(B212,DG!A:F,6,0),3000)</f>
        <v>2000</v>
      </c>
      <c r="K212" s="2966">
        <f>IF(J212&lt;2000,COUNTIF($B$2:B212,B212),0)</f>
        <v>0</v>
      </c>
    </row>
    <row r="213" spans="1:15" ht="25.2" customHeight="1">
      <c r="A213" s="2957">
        <f>COUNTIF($K$1:K213,1)</f>
        <v>119</v>
      </c>
      <c r="B213" s="2958" t="str">
        <f>CT_tram!B2424</f>
        <v>LXHN1</v>
      </c>
      <c r="C213" s="2959">
        <f>CT_tram!C2424</f>
        <v>1</v>
      </c>
      <c r="D213" s="2960">
        <f>CT_tram!D2424</f>
        <v>0</v>
      </c>
      <c r="E213" s="2961" t="str">
        <f>CT_tram!E2424</f>
        <v>05.6043</v>
      </c>
      <c r="F213" s="2962" t="str">
        <f>CT_tram!F2424</f>
        <v>Lắp xà cột Pi loại ≤140kg/xà</v>
      </c>
      <c r="G213" s="2963" t="str">
        <f>CT_tram!G2424</f>
        <v>bộ</v>
      </c>
      <c r="H213" s="2964">
        <f>CT_tram!H2424</f>
        <v>1</v>
      </c>
      <c r="I213" s="2964">
        <f>CT_tram!I2424</f>
        <v>1</v>
      </c>
      <c r="J213" s="2965">
        <f>IFERROR(VLOOKUP(B213,DG!A:F,6,0),3000)</f>
        <v>2000</v>
      </c>
      <c r="K213" s="2966">
        <f>IF(J213&lt;2000,COUNTIF($B$2:B213,B213),0)</f>
        <v>0</v>
      </c>
      <c r="L213" s="1307"/>
      <c r="N213" s="1215"/>
    </row>
    <row r="214" spans="1:15" ht="25.2" customHeight="1">
      <c r="A214" s="2957">
        <f>COUNTIF($K$1:K214,1)</f>
        <v>119</v>
      </c>
      <c r="B214" s="2958" t="str">
        <f>chitiet!B989</f>
        <v>LXIN</v>
      </c>
      <c r="C214" s="2959" t="str">
        <f>chitiet!C989</f>
        <v>x</v>
      </c>
      <c r="D214" s="2960">
        <f>chitiet!D989</f>
        <v>1</v>
      </c>
      <c r="E214" s="2961" t="str">
        <f>chitiet!E989</f>
        <v>05.6202</v>
      </c>
      <c r="F214" s="2962" t="str">
        <f>chitiet!F989</f>
        <v>Lắp xà néo ≤ 50kg</v>
      </c>
      <c r="G214" s="2963" t="str">
        <f>chitiet!G989</f>
        <v>bộ</v>
      </c>
      <c r="H214" s="2964">
        <f>chitiet!H989</f>
        <v>3</v>
      </c>
      <c r="I214" s="2964">
        <f>chitiet!P989</f>
        <v>3</v>
      </c>
      <c r="J214" s="2965">
        <f>IFERROR(VLOOKUP(B214,DG!A:F,6,0),3000)</f>
        <v>2000</v>
      </c>
      <c r="K214" s="2966">
        <f>IF(J214&lt;2000,COUNTIF($B$2:B214,B214),0)</f>
        <v>0</v>
      </c>
      <c r="L214" s="1307"/>
      <c r="N214" s="1215"/>
    </row>
    <row r="215" spans="1:15" ht="25.2" customHeight="1">
      <c r="A215" s="2957">
        <f>COUNTIF($K$1:K215,1)</f>
        <v>119</v>
      </c>
      <c r="B215" s="2972" t="str">
        <f>CT_tram!B2440</f>
        <v>LXINL</v>
      </c>
      <c r="C215" s="2973">
        <f>CT_tram!C2440</f>
        <v>1</v>
      </c>
      <c r="D215" s="2974">
        <f>CT_tram!D2440</f>
        <v>0</v>
      </c>
      <c r="E215" s="2975" t="str">
        <f>CT_tram!E2440</f>
        <v>05.6011</v>
      </c>
      <c r="F215" s="2976" t="str">
        <f>CT_tram!F2440</f>
        <v>Lắp xà néo ≤ 100kg</v>
      </c>
      <c r="G215" s="2970" t="str">
        <f>CT_tram!G2440</f>
        <v>bộ</v>
      </c>
      <c r="H215" s="2964">
        <f>CT_tram!H2440</f>
        <v>1</v>
      </c>
      <c r="I215" s="2964">
        <f>CT_tram!I2440</f>
        <v>1</v>
      </c>
      <c r="J215" s="2965">
        <f>IFERROR(VLOOKUP(B215,DG!A:F,6,0),3000)</f>
        <v>2000</v>
      </c>
      <c r="K215" s="2966">
        <f>IF(J215&lt;2000,COUNTIF($B$2:B215,B215),0)</f>
        <v>0</v>
      </c>
      <c r="L215" s="1307"/>
    </row>
    <row r="216" spans="1:15" ht="25.2" customHeight="1">
      <c r="A216" s="2957">
        <f>COUNTIF($K$1:K216,1)</f>
        <v>119</v>
      </c>
      <c r="B216" s="2972" t="str">
        <f>chitiet!B881</f>
        <v>LXINL</v>
      </c>
      <c r="C216" s="2973" t="str">
        <f>chitiet!C881</f>
        <v>x</v>
      </c>
      <c r="D216" s="2974">
        <f>chitiet!D881</f>
        <v>1</v>
      </c>
      <c r="E216" s="2975" t="str">
        <f>chitiet!E881</f>
        <v>05.6203</v>
      </c>
      <c r="F216" s="2976" t="str">
        <f>chitiet!F881</f>
        <v>Lắp xà néo ≤ 100kg</v>
      </c>
      <c r="G216" s="2963" t="str">
        <f>chitiet!G881</f>
        <v>bộ</v>
      </c>
      <c r="H216" s="2964">
        <f>chitiet!H881</f>
        <v>10</v>
      </c>
      <c r="I216" s="2964">
        <f>chitiet!P881</f>
        <v>10</v>
      </c>
      <c r="J216" s="2965">
        <f>IFERROR(VLOOKUP(B216,DG!A:F,6,0),3000)</f>
        <v>2000</v>
      </c>
      <c r="K216" s="2966">
        <f>IF(J216&lt;2000,COUNTIF($B$2:B216,B216),0)</f>
        <v>0</v>
      </c>
      <c r="L216" s="1307"/>
      <c r="N216" s="1215"/>
    </row>
    <row r="217" spans="1:15" ht="25.2" customHeight="1">
      <c r="A217" s="2957">
        <f>COUNTIF($K$1:K217,1)</f>
        <v>119</v>
      </c>
      <c r="B217" s="2958" t="str">
        <f>chitiet!B978</f>
        <v>LXIT</v>
      </c>
      <c r="C217" s="2959" t="str">
        <f>chitiet!C978</f>
        <v>x</v>
      </c>
      <c r="D217" s="2960">
        <f>chitiet!D978</f>
        <v>1</v>
      </c>
      <c r="E217" s="2961" t="str">
        <f>chitiet!E978</f>
        <v>05.6401</v>
      </c>
      <c r="F217" s="2962" t="str">
        <f>chitiet!F978</f>
        <v>Lắp xà đỡ ≤ 25kg</v>
      </c>
      <c r="G217" s="2981" t="str">
        <f>chitiet!G978</f>
        <v>bộ</v>
      </c>
      <c r="H217" s="2982">
        <f>chitiet!H978</f>
        <v>22</v>
      </c>
      <c r="I217" s="2982">
        <f>chitiet!P978</f>
        <v>22</v>
      </c>
      <c r="J217" s="2965">
        <f>IFERROR(VLOOKUP(B217,DG!A:F,6,0),3000)</f>
        <v>2000</v>
      </c>
      <c r="K217" s="2966">
        <f>IF(J217&lt;2000,COUNTIF($B$2:B217,B217),0)</f>
        <v>0</v>
      </c>
      <c r="L217" s="1307"/>
    </row>
    <row r="218" spans="1:15" ht="25.2" customHeight="1">
      <c r="A218" s="2957">
        <f>COUNTIF($K$1:K218,1)</f>
        <v>119</v>
      </c>
      <c r="B218" s="2958" t="str">
        <f>chitiet!B1113</f>
        <v>LXIT</v>
      </c>
      <c r="C218" s="2959" t="str">
        <f>chitiet!C1113</f>
        <v>x</v>
      </c>
      <c r="D218" s="2960">
        <f>chitiet!D1113</f>
        <v>1</v>
      </c>
      <c r="E218" s="2967">
        <f>chitiet!E1113</f>
        <v>0</v>
      </c>
      <c r="F218" s="2958" t="str">
        <f>chitiet!F1113</f>
        <v>Lắp xà đỡ ≤ 25kg</v>
      </c>
      <c r="G218" s="2968" t="str">
        <f>chitiet!G1113</f>
        <v>bộ</v>
      </c>
      <c r="H218" s="2968">
        <f>chitiet!H1113</f>
        <v>1</v>
      </c>
      <c r="I218" s="2968">
        <f>chitiet!P1113</f>
        <v>1</v>
      </c>
      <c r="J218" s="2965">
        <f>IFERROR(VLOOKUP(B218,DG!A:F,6,0),3000)</f>
        <v>2000</v>
      </c>
      <c r="K218" s="2966">
        <f>IF(J218&lt;2000,COUNTIF($B$2:B218,B218),0)</f>
        <v>0</v>
      </c>
    </row>
    <row r="219" spans="1:15" ht="25.2" customHeight="1">
      <c r="A219" s="2957">
        <f>COUNTIF($K$1:K219,1)</f>
        <v>119</v>
      </c>
      <c r="B219" s="2972" t="str">
        <f>chitiet!B244</f>
        <v>M12</v>
      </c>
      <c r="C219" s="2973" t="str">
        <f>chitiet!C244</f>
        <v>x</v>
      </c>
      <c r="D219" s="2974">
        <f>chitiet!D244</f>
        <v>0</v>
      </c>
      <c r="E219" s="2975">
        <f>chitiet!E244</f>
        <v>0</v>
      </c>
      <c r="F219" s="2976" t="str">
        <f>chitiet!F244</f>
        <v>Móng M12</v>
      </c>
      <c r="G219" s="2970" t="str">
        <f>chitiet!G244</f>
        <v>Móng</v>
      </c>
      <c r="H219" s="2964">
        <f>chitiet!H244</f>
        <v>5</v>
      </c>
      <c r="I219" s="2964">
        <f>chitiet!P244</f>
        <v>5</v>
      </c>
      <c r="J219" s="2965">
        <f>IFERROR(VLOOKUP(B219,DG!A:F,6,0),3000)</f>
        <v>2000</v>
      </c>
      <c r="K219" s="2966">
        <f>IF(J219&lt;2000,COUNTIF($B$2:B219,B219),0)</f>
        <v>0</v>
      </c>
      <c r="L219" s="1307"/>
    </row>
    <row r="220" spans="1:15" ht="25.2" customHeight="1">
      <c r="A220" s="2957">
        <f>COUNTIF($K$1:K220,1)</f>
        <v>119</v>
      </c>
      <c r="B220" s="2958" t="str">
        <f>chitiet!B356</f>
        <v>M12BT ĐÔI</v>
      </c>
      <c r="C220" s="2959" t="str">
        <f>chitiet!C356</f>
        <v>x</v>
      </c>
      <c r="D220" s="2960">
        <f>chitiet!D356</f>
        <v>0</v>
      </c>
      <c r="E220" s="2961">
        <f>chitiet!E356</f>
        <v>0</v>
      </c>
      <c r="F220" s="2962" t="str">
        <f>chitiet!F356</f>
        <v>Móng bê tông trụ đôi 12m</v>
      </c>
      <c r="G220" s="2963" t="str">
        <f>chitiet!G356</f>
        <v>Móng</v>
      </c>
      <c r="H220" s="2964">
        <f>chitiet!H356</f>
        <v>6</v>
      </c>
      <c r="I220" s="2964">
        <f>chitiet!P356</f>
        <v>6</v>
      </c>
      <c r="J220" s="2965">
        <f>IFERROR(VLOOKUP(B220,DG!A:F,6,0),3000)</f>
        <v>2000</v>
      </c>
      <c r="K220" s="2966">
        <f>IF(J220&lt;2000,COUNTIF($B$2:B220,B220),0)</f>
        <v>0</v>
      </c>
      <c r="L220" s="1307"/>
      <c r="N220" s="1215"/>
    </row>
    <row r="221" spans="1:15" ht="25.2" customHeight="1">
      <c r="A221" s="2957">
        <f>COUNTIF($K$1:K221,1)</f>
        <v>119</v>
      </c>
      <c r="B221" s="2958" t="str">
        <f>chitiet!B448</f>
        <v>M14BT Đôi</v>
      </c>
      <c r="C221" s="2959" t="str">
        <f>chitiet!C448</f>
        <v>x</v>
      </c>
      <c r="D221" s="2960">
        <f>chitiet!D448</f>
        <v>0</v>
      </c>
      <c r="E221" s="2961">
        <f>chitiet!E448</f>
        <v>0</v>
      </c>
      <c r="F221" s="2962" t="str">
        <f>chitiet!F448</f>
        <v>Móng bê tông trụ đơn 14m</v>
      </c>
      <c r="G221" s="2963" t="str">
        <f>chitiet!G448</f>
        <v>Móng</v>
      </c>
      <c r="H221" s="2964">
        <f>chitiet!H448</f>
        <v>3</v>
      </c>
      <c r="I221" s="2964">
        <f>chitiet!P448</f>
        <v>3</v>
      </c>
      <c r="J221" s="2965">
        <f>IFERROR(VLOOKUP(B221,DG!A:F,6,0),3000)</f>
        <v>2000</v>
      </c>
      <c r="K221" s="2966">
        <f>IF(J221&lt;2000,COUNTIF($B$2:B221,B221),0)</f>
        <v>0</v>
      </c>
      <c r="L221" s="1307"/>
    </row>
    <row r="222" spans="1:15" ht="25.2" customHeight="1">
      <c r="A222" s="2957">
        <f>COUNTIF($K$1:K222,1)</f>
        <v>119</v>
      </c>
      <c r="B222" s="2958" t="str">
        <f>chitiet!B431</f>
        <v>M14BT ĐƠN</v>
      </c>
      <c r="C222" s="2959" t="str">
        <f>chitiet!C431</f>
        <v>x</v>
      </c>
      <c r="D222" s="2960">
        <f>chitiet!D431</f>
        <v>0</v>
      </c>
      <c r="E222" s="2961">
        <f>chitiet!E431</f>
        <v>0</v>
      </c>
      <c r="F222" s="2962" t="str">
        <f>chitiet!F431</f>
        <v>Móng bê tông trụ đơn 14m</v>
      </c>
      <c r="G222" s="2963" t="str">
        <f>chitiet!G431</f>
        <v>Móng</v>
      </c>
      <c r="H222" s="2964">
        <f>chitiet!H431</f>
        <v>1</v>
      </c>
      <c r="I222" s="2964">
        <f>chitiet!P431</f>
        <v>1</v>
      </c>
      <c r="J222" s="2965">
        <f>IFERROR(VLOOKUP(B222,DG!A:F,6,0),3000)</f>
        <v>2000</v>
      </c>
      <c r="K222" s="2966">
        <f>IF(J222&lt;2000,COUNTIF($B$2:B222,B222),0)</f>
        <v>0</v>
      </c>
      <c r="L222" s="1307"/>
    </row>
    <row r="223" spans="1:15" ht="25.2" customHeight="1">
      <c r="A223" s="2957">
        <f>COUNTIF($K$1:K223,1)</f>
        <v>119</v>
      </c>
      <c r="B223" s="2958" t="str">
        <f>chitiet!B246</f>
        <v>MDAP3</v>
      </c>
      <c r="C223" s="2959" t="str">
        <f>chitiet!C246</f>
        <v>x</v>
      </c>
      <c r="D223" s="2960">
        <f>chitiet!D246</f>
        <v>0.18</v>
      </c>
      <c r="E223" s="2961" t="str">
        <f>chitiet!E246</f>
        <v>03.4113</v>
      </c>
      <c r="F223" s="2962" t="str">
        <f>chitiet!F246</f>
        <v>Đắp đất hố móng, độ chặt k=0,95</v>
      </c>
      <c r="G223" s="2963" t="str">
        <f>chitiet!G246</f>
        <v>m3</v>
      </c>
      <c r="H223" s="2964">
        <f>chitiet!H246</f>
        <v>0.89999999999999991</v>
      </c>
      <c r="I223" s="2964">
        <f>chitiet!P246</f>
        <v>0.89999999999999991</v>
      </c>
      <c r="J223" s="2965">
        <f>IFERROR(VLOOKUP(B223,DG!A:F,6,0),3000)</f>
        <v>2000</v>
      </c>
      <c r="K223" s="2966">
        <f>IF(J223&lt;2000,COUNTIF($B$2:B223,B223),0)</f>
        <v>0</v>
      </c>
      <c r="L223" s="1307"/>
    </row>
    <row r="224" spans="1:15" ht="25.2" customHeight="1">
      <c r="A224" s="2957">
        <f>COUNTIF($K$1:K224,1)</f>
        <v>119</v>
      </c>
      <c r="B224" s="2972" t="str">
        <f>chitiet!B369</f>
        <v>MDAP3</v>
      </c>
      <c r="C224" s="2973" t="str">
        <f>chitiet!C369</f>
        <v>x</v>
      </c>
      <c r="D224" s="2974">
        <f>chitiet!D369</f>
        <v>1.8340000000000001</v>
      </c>
      <c r="E224" s="2986" t="str">
        <f>chitiet!E369</f>
        <v>03.4113</v>
      </c>
      <c r="F224" s="2972" t="str">
        <f>chitiet!F369</f>
        <v>Đắp đất hố móng, độ chặt k=0,95</v>
      </c>
      <c r="G224" s="2987" t="str">
        <f>chitiet!G369</f>
        <v>m3</v>
      </c>
      <c r="H224" s="2987">
        <f>chitiet!H369</f>
        <v>11.004000000000001</v>
      </c>
      <c r="I224" s="2969">
        <f>chitiet!P369</f>
        <v>11.004000000000001</v>
      </c>
      <c r="J224" s="2965">
        <f>IFERROR(VLOOKUP(B224,DG!A:F,6,0),3000)</f>
        <v>2000</v>
      </c>
      <c r="K224" s="2966">
        <f>IF(J224&lt;2000,COUNTIF($B$2:B224,B224),0)</f>
        <v>0</v>
      </c>
    </row>
    <row r="225" spans="1:15" ht="25.2" customHeight="1">
      <c r="A225" s="2957">
        <f>COUNTIF($K$1:K225,1)</f>
        <v>119</v>
      </c>
      <c r="B225" s="2958" t="str">
        <f>chitiet!B455</f>
        <v>MDAP3</v>
      </c>
      <c r="C225" s="2959" t="str">
        <f>chitiet!C455</f>
        <v>x</v>
      </c>
      <c r="D225" s="2960">
        <f>chitiet!D455</f>
        <v>0.216</v>
      </c>
      <c r="E225" s="2961" t="str">
        <f>chitiet!E455</f>
        <v>03.4113</v>
      </c>
      <c r="F225" s="2962" t="str">
        <f>chitiet!F455</f>
        <v>Đắp đất hố móng, độ chặt k=0,95</v>
      </c>
      <c r="G225" s="2963" t="str">
        <f>chitiet!G455</f>
        <v>m3</v>
      </c>
      <c r="H225" s="2964">
        <f>chitiet!H455</f>
        <v>0.64800000000000002</v>
      </c>
      <c r="I225" s="2964">
        <f>chitiet!P455</f>
        <v>0.64800000000000002</v>
      </c>
      <c r="J225" s="2965">
        <f>IFERROR(VLOOKUP(B225,DG!A:F,6,0),3000)</f>
        <v>2000</v>
      </c>
      <c r="K225" s="2966">
        <f>IF(J225&lt;2000,COUNTIF($B$2:B225,B225),0)</f>
        <v>0</v>
      </c>
      <c r="L225" s="1307"/>
    </row>
    <row r="226" spans="1:15" ht="25.2" customHeight="1">
      <c r="A226" s="2957">
        <f>COUNTIF($K$1:K226,1)</f>
        <v>119</v>
      </c>
      <c r="B226" s="2958" t="str">
        <f>CT_tram!B2550</f>
        <v>M-TBA</v>
      </c>
      <c r="C226" s="2959">
        <f>CT_tram!C2550</f>
        <v>0</v>
      </c>
      <c r="D226" s="2960">
        <f>CT_tram!D2550</f>
        <v>1</v>
      </c>
      <c r="E226" s="2961">
        <f>CT_tram!E2550</f>
        <v>0</v>
      </c>
      <c r="F226" s="2962" t="str">
        <f>CT_tram!F2550</f>
        <v>Bê tông đỡ máy biến áp + Tủ</v>
      </c>
      <c r="G226" s="2963" t="str">
        <f>CT_tram!G2550</f>
        <v>Bộ</v>
      </c>
      <c r="H226" s="2964">
        <f>CT_tram!H2550</f>
        <v>1</v>
      </c>
      <c r="I226" s="2964">
        <f>CT_tram!I2550</f>
        <v>1</v>
      </c>
      <c r="J226" s="2965">
        <f>IFERROR(VLOOKUP(B226,DG!A:F,6,0),3000)</f>
        <v>2000</v>
      </c>
      <c r="K226" s="2966">
        <f>IF(J226&lt;2000,COUNTIF($B$2:B226,B226),0)</f>
        <v>0</v>
      </c>
      <c r="L226" s="1307"/>
    </row>
    <row r="227" spans="1:15" ht="25.2" customHeight="1">
      <c r="A227" s="2957">
        <f>COUNTIF($K$1:K227,1)</f>
        <v>119</v>
      </c>
      <c r="B227" s="2972" t="str">
        <f>chitiet!B1804</f>
        <v>Nth-T</v>
      </c>
      <c r="C227" s="2973" t="str">
        <f>chitiet!C1804</f>
        <v>x</v>
      </c>
      <c r="D227" s="2974">
        <f>chitiet!D1804</f>
        <v>0</v>
      </c>
      <c r="E227" s="2975">
        <f>chitiet!E1804</f>
        <v>0</v>
      </c>
      <c r="F227" s="2976" t="str">
        <f>chitiet!F1804</f>
        <v>Bộ khóa néo dây trung hòa vào trụ đơn</v>
      </c>
      <c r="G227" s="2970" t="str">
        <f>chitiet!G1804</f>
        <v>bộ</v>
      </c>
      <c r="H227" s="2971">
        <f>chitiet!H1804</f>
        <v>6</v>
      </c>
      <c r="I227" s="2964">
        <f>chitiet!P1804</f>
        <v>6</v>
      </c>
      <c r="J227" s="2965">
        <f>IFERROR(VLOOKUP(B227,DG!A:F,6,0),3000)</f>
        <v>2000</v>
      </c>
      <c r="K227" s="2966">
        <f>IF(J227&lt;2000,COUNTIF($B$2:B227,B227),0)</f>
        <v>0</v>
      </c>
      <c r="L227" s="1307"/>
    </row>
    <row r="228" spans="1:15" ht="25.2" customHeight="1">
      <c r="A228" s="2957">
        <f>COUNTIF($K$1:K228,1)</f>
        <v>119</v>
      </c>
      <c r="B228" s="2958" t="str">
        <f>chitiet!B1808</f>
        <v>Nth-T-g</v>
      </c>
      <c r="C228" s="2959" t="str">
        <f>chitiet!C1808</f>
        <v>x</v>
      </c>
      <c r="D228" s="2960">
        <f>chitiet!D1808</f>
        <v>0</v>
      </c>
      <c r="E228" s="2961">
        <f>chitiet!E1808</f>
        <v>0</v>
      </c>
      <c r="F228" s="2962" t="str">
        <f>chitiet!F1808</f>
        <v>Bộ khóa néo dây trung hòa vào trụ ghép</v>
      </c>
      <c r="G228" s="2963" t="str">
        <f>chitiet!G1808</f>
        <v>bộ</v>
      </c>
      <c r="H228" s="2964">
        <f>chitiet!H1808</f>
        <v>14</v>
      </c>
      <c r="I228" s="2964">
        <f>chitiet!P1808</f>
        <v>14</v>
      </c>
      <c r="J228" s="2965">
        <f>IFERROR(VLOOKUP(B228,DG!A:F,6,0),3000)</f>
        <v>2000</v>
      </c>
      <c r="K228" s="2966">
        <f>IF(J228&lt;2000,COUNTIF($B$2:B228,B228),0)</f>
        <v>0</v>
      </c>
      <c r="L228" s="1307"/>
    </row>
    <row r="229" spans="1:15" ht="25.2" customHeight="1">
      <c r="A229" s="2957">
        <f>COUNTIF($K$1:K229,1)</f>
        <v>119</v>
      </c>
      <c r="B229" s="2958" t="str">
        <f>chitiet!B1816</f>
        <v>SĐU</v>
      </c>
      <c r="C229" s="2959" t="str">
        <f>chitiet!C1816</f>
        <v>x</v>
      </c>
      <c r="D229" s="2960">
        <f>chitiet!D1816</f>
        <v>0</v>
      </c>
      <c r="E229" s="2961">
        <f>chitiet!E1816</f>
        <v>0</v>
      </c>
      <c r="F229" s="2962" t="str">
        <f>chitiet!F1816</f>
        <v>Bộ cách điện đứng+ty sứ : SĐU</v>
      </c>
      <c r="G229" s="2970" t="str">
        <f>chitiet!G1816</f>
        <v>bộ</v>
      </c>
      <c r="H229" s="2971">
        <f>chitiet!H1816</f>
        <v>154</v>
      </c>
      <c r="I229" s="2985">
        <f>chitiet!P1816</f>
        <v>154</v>
      </c>
      <c r="J229" s="2965">
        <f>IFERROR(VLOOKUP(B229,DG!A:F,6,0),3000)</f>
        <v>2000</v>
      </c>
      <c r="K229" s="2966">
        <f>IF(J229&lt;2000,COUNTIF($B$2:B229,B229),0)</f>
        <v>0</v>
      </c>
      <c r="L229" s="1307"/>
    </row>
    <row r="230" spans="1:15" ht="25.2" customHeight="1">
      <c r="A230" s="2957">
        <f>COUNTIF($K$1:K230,1)</f>
        <v>119</v>
      </c>
      <c r="B230" s="2977" t="str">
        <f>chitiet!B2319</f>
        <v>TBDD3p1m</v>
      </c>
      <c r="C230" s="2978" t="str">
        <f>chitiet!C2319</f>
        <v>x</v>
      </c>
      <c r="D230" s="2979">
        <f>chitiet!D2319</f>
        <v>1</v>
      </c>
      <c r="E230" s="2980" t="str">
        <f>chitiet!E2319</f>
        <v>V</v>
      </c>
      <c r="F230" s="2977" t="str">
        <f>chitiet!F2319</f>
        <v>Phần thiết bị đường dây 3 pha 1 mạch</v>
      </c>
      <c r="G230" s="2969">
        <f>chitiet!G2319</f>
        <v>0</v>
      </c>
      <c r="H230" s="2969">
        <f>chitiet!H2319</f>
        <v>0</v>
      </c>
      <c r="I230" s="2969">
        <f>chitiet!P2319</f>
        <v>0</v>
      </c>
      <c r="J230" s="2965">
        <f>IFERROR(VLOOKUP(B230,DG!A:F,6,0),3000)</f>
        <v>2000</v>
      </c>
      <c r="K230" s="2966">
        <f>IF(J230&lt;2000,COUNTIF($B$2:B230,B230),0)</f>
        <v>0</v>
      </c>
    </row>
    <row r="231" spans="1:15" ht="25.2" customHeight="1">
      <c r="A231" s="2957">
        <f>COUNTIF($K$1:K231,1)</f>
        <v>119</v>
      </c>
      <c r="B231" s="2972" t="str">
        <f>chitiet!B640</f>
        <v>TDLL12</v>
      </c>
      <c r="C231" s="2973" t="str">
        <f>chitiet!C640</f>
        <v>x</v>
      </c>
      <c r="D231" s="2974">
        <f>chitiet!D640</f>
        <v>0</v>
      </c>
      <c r="E231" s="2975">
        <f>chitiet!E640</f>
        <v>0</v>
      </c>
      <c r="F231" s="2976" t="str">
        <f>chitiet!F640</f>
        <v>Tiếp địa lặp lại trụ 12m</v>
      </c>
      <c r="G231" s="2970" t="str">
        <f>chitiet!G640</f>
        <v>Bộ</v>
      </c>
      <c r="H231" s="2964">
        <f>chitiet!H640</f>
        <v>3</v>
      </c>
      <c r="I231" s="2964">
        <f>chitiet!P640</f>
        <v>3</v>
      </c>
      <c r="J231" s="2965">
        <f>IFERROR(VLOOKUP(B231,DG!A:F,6,0),3000)</f>
        <v>2000</v>
      </c>
      <c r="K231" s="2966">
        <f>IF(J231&lt;2000,COUNTIF($B$2:B231,B231),0)</f>
        <v>0</v>
      </c>
      <c r="L231" s="1307"/>
    </row>
    <row r="232" spans="1:15" ht="25.2" customHeight="1">
      <c r="A232" s="2957">
        <f>COUNTIF($K$1:K232,1)</f>
        <v>119</v>
      </c>
      <c r="B232" s="2958" t="str">
        <f>chitiet!B663</f>
        <v>TDtb</v>
      </c>
      <c r="C232" s="2959" t="str">
        <f>chitiet!C663</f>
        <v>x</v>
      </c>
      <c r="D232" s="2960">
        <f>chitiet!D663</f>
        <v>0</v>
      </c>
      <c r="E232" s="2961">
        <f>chitiet!E663</f>
        <v>0</v>
      </c>
      <c r="F232" s="2962" t="str">
        <f>chitiet!F663</f>
        <v>Tiếp địa trụ Recloser, LBS</v>
      </c>
      <c r="G232" s="2963" t="str">
        <f>chitiet!G663</f>
        <v>Bộ</v>
      </c>
      <c r="H232" s="2964">
        <f>chitiet!H663</f>
        <v>1</v>
      </c>
      <c r="I232" s="2964">
        <f>chitiet!P663</f>
        <v>1</v>
      </c>
      <c r="J232" s="2965">
        <f>IFERROR(VLOOKUP(B232,DG!A:F,6,0),3000)</f>
        <v>2000</v>
      </c>
      <c r="K232" s="2966">
        <f>IF(J232&lt;2000,COUNTIF($B$2:B232,B232),0)</f>
        <v>0</v>
      </c>
      <c r="L232" s="1307"/>
    </row>
    <row r="233" spans="1:15" ht="25.2" customHeight="1">
      <c r="A233" s="2957">
        <f>COUNTIF($K$1:K233,1)</f>
        <v>119</v>
      </c>
      <c r="B233" s="2958" t="str">
        <f>CT_tram!B2384</f>
        <v>TI30</v>
      </c>
      <c r="C233" s="2959">
        <f>CT_tram!C2384</f>
        <v>3</v>
      </c>
      <c r="D233" s="2960">
        <f>CT_tram!D2384</f>
        <v>6</v>
      </c>
      <c r="E233" s="2961" t="str">
        <f>CT_tram!E2384</f>
        <v>02.1124</v>
      </c>
      <c r="F233" s="2962" t="str">
        <f>CT_tram!F2384</f>
        <v>Biến dòng 24kV  30/5A</v>
      </c>
      <c r="G233" s="2963" t="str">
        <f>CT_tram!G2384</f>
        <v>cái</v>
      </c>
      <c r="H233" s="2964">
        <f>CT_tram!H2384</f>
        <v>3</v>
      </c>
      <c r="I233" s="2964">
        <f>CT_tram!I2384</f>
        <v>3</v>
      </c>
      <c r="J233" s="2965">
        <f>IFERROR(VLOOKUP(B233,DG!A:F,6,0),3000)</f>
        <v>2000</v>
      </c>
      <c r="K233" s="2966">
        <f>IF(J233&lt;2000,COUNTIF($B$2:B233,B233),0)</f>
        <v>0</v>
      </c>
      <c r="L233" s="1307"/>
    </row>
    <row r="234" spans="1:15" ht="25.2" customHeight="1">
      <c r="A234" s="2957">
        <f>COUNTIF($K$1:K234,1)</f>
        <v>119</v>
      </c>
      <c r="B234" s="2958" t="str">
        <f>CT_tram!B2386</f>
        <v>tu22</v>
      </c>
      <c r="C234" s="2959">
        <f>CT_tram!C2386</f>
        <v>3</v>
      </c>
      <c r="D234" s="2960">
        <f>CT_tram!D2386</f>
        <v>7</v>
      </c>
      <c r="E234" s="2961" t="str">
        <f>CT_tram!E2386</f>
        <v>02.1114</v>
      </c>
      <c r="F234" s="2962" t="str">
        <f>CT_tram!F2386</f>
        <v>Biến điện áp 22000/√3/100/√3 V</v>
      </c>
      <c r="G234" s="2963" t="str">
        <f>CT_tram!G2386</f>
        <v>cái</v>
      </c>
      <c r="H234" s="2964">
        <f>CT_tram!H2386</f>
        <v>3</v>
      </c>
      <c r="I234" s="2964">
        <f>CT_tram!I2386</f>
        <v>3</v>
      </c>
      <c r="J234" s="2965">
        <f>IFERROR(VLOOKUP(B234,DG!A:F,6,0),3000)</f>
        <v>2000</v>
      </c>
      <c r="K234" s="2966">
        <f>IF(J234&lt;2000,COUNTIF($B$2:B234,B234),0)</f>
        <v>0</v>
      </c>
      <c r="L234" s="1307"/>
    </row>
    <row r="235" spans="1:15" ht="25.2" customHeight="1">
      <c r="A235" s="2957">
        <f>COUNTIF($K$1:K235,1)</f>
        <v>119</v>
      </c>
      <c r="B235" s="2958" t="str">
        <f>CT_tram!B2383</f>
        <v>tubu400</v>
      </c>
      <c r="C235" s="2959">
        <f>CT_tram!C2383</f>
        <v>1</v>
      </c>
      <c r="D235" s="2960">
        <f>CT_tram!D2383</f>
        <v>6</v>
      </c>
      <c r="E235" s="2961" t="str">
        <f>CT_tram!E2383</f>
        <v>02.8534</v>
      </c>
      <c r="F235" s="2962" t="str">
        <f>CT_tram!F2383</f>
        <v>Tủ tụ bù hạ thế 400kVAr</v>
      </c>
      <c r="G235" s="2963" t="str">
        <f>CT_tram!G2383</f>
        <v>tủ</v>
      </c>
      <c r="H235" s="2964">
        <f>CT_tram!H2383</f>
        <v>1</v>
      </c>
      <c r="I235" s="2982">
        <f>CT_tram!I2383</f>
        <v>1</v>
      </c>
      <c r="J235" s="2965">
        <f>IFERROR(VLOOKUP(B235,DG!A:F,6,0),3000)</f>
        <v>2000</v>
      </c>
      <c r="K235" s="2966">
        <f>IF(J235&lt;2000,COUNTIF($B$2:B235,B235),0)</f>
        <v>0</v>
      </c>
      <c r="L235" s="1307"/>
    </row>
    <row r="236" spans="1:15" ht="25.2" customHeight="1">
      <c r="A236" s="2957">
        <f>COUNTIF($K$1:K236,1)</f>
        <v>119</v>
      </c>
      <c r="B236" s="2958" t="str">
        <f>chitiet!B973</f>
        <v>X-20ĐL2/3</v>
      </c>
      <c r="C236" s="2959" t="str">
        <f>chitiet!C973</f>
        <v>x</v>
      </c>
      <c r="D236" s="2960">
        <f>chitiet!D973</f>
        <v>0</v>
      </c>
      <c r="E236" s="2961">
        <f>chitiet!E973</f>
        <v>0</v>
      </c>
      <c r="F236" s="2962" t="str">
        <f>chitiet!F973</f>
        <v>Bộ xà lệch đơn L75x75x8 dài 2m: X-20ĐL2/3</v>
      </c>
      <c r="G236" s="2963" t="str">
        <f>chitiet!G973</f>
        <v>Bộ</v>
      </c>
      <c r="H236" s="2964">
        <f>chitiet!H973</f>
        <v>22</v>
      </c>
      <c r="I236" s="2982">
        <f>chitiet!P973</f>
        <v>22</v>
      </c>
      <c r="J236" s="2965">
        <f>IFERROR(VLOOKUP(B236,DG!A:F,6,0),3000)</f>
        <v>2000</v>
      </c>
      <c r="K236" s="2966">
        <f>IF(J236&lt;2000,COUNTIF($B$2:B236,B236),0)</f>
        <v>0</v>
      </c>
      <c r="L236" s="1795"/>
    </row>
    <row r="237" spans="1:15" ht="25.2" customHeight="1">
      <c r="A237" s="2957">
        <f>COUNTIF($K$1:K237,1)</f>
        <v>119</v>
      </c>
      <c r="B237" s="2977" t="str">
        <f>chitiet!B982</f>
        <v>X-20KL2/3</v>
      </c>
      <c r="C237" s="2978" t="str">
        <f>chitiet!C982</f>
        <v>x</v>
      </c>
      <c r="D237" s="2979">
        <f>chitiet!D982</f>
        <v>0</v>
      </c>
      <c r="E237" s="2980">
        <f>chitiet!E982</f>
        <v>0</v>
      </c>
      <c r="F237" s="2977" t="str">
        <f>chitiet!F982</f>
        <v>Bộ xà lệch kép L75x75x8 dài 2m: X-20KL2/3</v>
      </c>
      <c r="G237" s="2969" t="str">
        <f>chitiet!G982</f>
        <v>Bộ</v>
      </c>
      <c r="H237" s="2969">
        <f>chitiet!H982</f>
        <v>3</v>
      </c>
      <c r="I237" s="2969">
        <f>chitiet!P982</f>
        <v>3</v>
      </c>
      <c r="J237" s="2965">
        <f>IFERROR(VLOOKUP(B237,DG!A:F,6,0),3000)</f>
        <v>2000</v>
      </c>
      <c r="K237" s="2966">
        <f>IF(J237&lt;2000,COUNTIF($B$2:B237,B237),0)</f>
        <v>0</v>
      </c>
      <c r="L237" s="1997"/>
    </row>
    <row r="238" spans="1:15" ht="25.2" customHeight="1">
      <c r="A238" s="2957">
        <f>COUNTIF($K$1:K238,1)</f>
        <v>119</v>
      </c>
      <c r="B238" s="2958" t="str">
        <f>chitiet!B952</f>
        <v>X-21ĐL</v>
      </c>
      <c r="C238" s="2959" t="str">
        <f>chitiet!C952</f>
        <v>x</v>
      </c>
      <c r="D238" s="2960">
        <f>chitiet!D952</f>
        <v>0</v>
      </c>
      <c r="E238" s="2961">
        <f>chitiet!E952</f>
        <v>0</v>
      </c>
      <c r="F238" s="2962" t="str">
        <f>chitiet!F952</f>
        <v>Bộ xà lệch đơn L75x75x8 dài 2,1m: X-21ĐL</v>
      </c>
      <c r="G238" s="2963" t="str">
        <f>chitiet!G952</f>
        <v>Bộ</v>
      </c>
      <c r="H238" s="2964">
        <f>chitiet!H952</f>
        <v>1</v>
      </c>
      <c r="I238" s="2964">
        <f>chitiet!P952</f>
        <v>1</v>
      </c>
      <c r="J238" s="2965">
        <f>IFERROR(VLOOKUP(B238,DG!A:F,6,0),3000)</f>
        <v>2000</v>
      </c>
      <c r="K238" s="2966">
        <f>IF(J238&lt;2000,COUNTIF($B$2:B238,B238),0)</f>
        <v>0</v>
      </c>
      <c r="L238" s="1307"/>
      <c r="M238" s="1796"/>
      <c r="N238" s="1797"/>
      <c r="O238" s="1796"/>
    </row>
    <row r="239" spans="1:15" ht="25.2" customHeight="1">
      <c r="A239" s="2957">
        <f>COUNTIF($K$1:K239,1)</f>
        <v>119</v>
      </c>
      <c r="B239" s="2958" t="str">
        <f>chitiet!B962</f>
        <v>X-21KL</v>
      </c>
      <c r="C239" s="2959" t="str">
        <f>chitiet!C962</f>
        <v>x</v>
      </c>
      <c r="D239" s="2960">
        <f>chitiet!D962</f>
        <v>0</v>
      </c>
      <c r="E239" s="2961">
        <f>chitiet!E962</f>
        <v>0</v>
      </c>
      <c r="F239" s="2962" t="str">
        <f>chitiet!F962</f>
        <v>Bộ xà lệch kép L75x75x8 dài 2,1m: X-21KL</v>
      </c>
      <c r="G239" s="2963" t="str">
        <f>chitiet!G962</f>
        <v>Bộ</v>
      </c>
      <c r="H239" s="2964">
        <f>chitiet!H962</f>
        <v>1</v>
      </c>
      <c r="I239" s="2964">
        <f>chitiet!P962</f>
        <v>1</v>
      </c>
      <c r="J239" s="2965">
        <f>IFERROR(VLOOKUP(B239,DG!A:F,6,0),3000)</f>
        <v>2000</v>
      </c>
      <c r="K239" s="2966">
        <f>IF(J239&lt;2000,COUNTIF($B$2:B239,B239),0)</f>
        <v>0</v>
      </c>
      <c r="L239" s="1795"/>
    </row>
    <row r="240" spans="1:15" ht="25.2" customHeight="1">
      <c r="A240" s="2957">
        <f>COUNTIF($K$1:K240,1)</f>
        <v>119</v>
      </c>
      <c r="B240" s="2958" t="str">
        <f>chitiet!B863</f>
        <v>X-22K-Đ</v>
      </c>
      <c r="C240" s="2959" t="str">
        <f>chitiet!C863</f>
        <v>x</v>
      </c>
      <c r="D240" s="2960">
        <f>chitiet!D863</f>
        <v>0</v>
      </c>
      <c r="E240" s="2961">
        <f>chitiet!E863</f>
        <v>0</v>
      </c>
      <c r="F240" s="2962" t="str">
        <f>chitiet!F863</f>
        <v>Bộ xà kép L75x75x8 dài 2.2m: X-22K-Đ - C810 (lắp trụ đơn)</v>
      </c>
      <c r="G240" s="2963" t="str">
        <f>chitiet!G863</f>
        <v>Bộ</v>
      </c>
      <c r="H240" s="2964">
        <f>chitiet!H863</f>
        <v>7</v>
      </c>
      <c r="I240" s="2964">
        <f>chitiet!P863</f>
        <v>7</v>
      </c>
      <c r="J240" s="2965">
        <f>IFERROR(VLOOKUP(B240,DG!A:F,6,0),3000)</f>
        <v>2000</v>
      </c>
      <c r="K240" s="2966">
        <f>IF(J240&lt;2000,COUNTIF($B$2:B240,B240),0)</f>
        <v>0</v>
      </c>
      <c r="L240" s="1307"/>
      <c r="N240" s="1215"/>
    </row>
    <row r="241" spans="1:15" ht="25.2" customHeight="1">
      <c r="A241" s="2957">
        <f>COUNTIF($K$1:K241,1)</f>
        <v>119</v>
      </c>
      <c r="B241" s="2977" t="str">
        <f>chitiet!B874</f>
        <v>X-22K-K</v>
      </c>
      <c r="C241" s="2978" t="str">
        <f>chitiet!C874</f>
        <v>x</v>
      </c>
      <c r="D241" s="2979">
        <f>chitiet!D874</f>
        <v>0</v>
      </c>
      <c r="E241" s="2983">
        <f>chitiet!E874</f>
        <v>0</v>
      </c>
      <c r="F241" s="2984" t="str">
        <f>chitiet!F874</f>
        <v>Bộ xà kép L75x75x8 dài 2.2m: X-22K-K - C810 (lắp theo hướng trụ ghép)</v>
      </c>
      <c r="G241" s="2981" t="str">
        <f>chitiet!G874</f>
        <v>Bộ</v>
      </c>
      <c r="H241" s="2982">
        <f>chitiet!H874</f>
        <v>10</v>
      </c>
      <c r="I241" s="2982">
        <f>chitiet!P874</f>
        <v>10</v>
      </c>
      <c r="J241" s="2965">
        <f>IFERROR(VLOOKUP(B241,DG!A:F,6,0),3000)</f>
        <v>2000</v>
      </c>
      <c r="K241" s="2966">
        <f>IF(J241&lt;2000,COUNTIF($B$2:B241,B241),0)</f>
        <v>0</v>
      </c>
      <c r="L241" s="1307"/>
    </row>
    <row r="242" spans="1:15" ht="25.2" customHeight="1">
      <c r="A242" s="2957">
        <f>COUNTIF($K$1:K242,1)</f>
        <v>119</v>
      </c>
      <c r="B242" s="2958" t="str">
        <f>chitiet!B1107</f>
        <v>X-com800</v>
      </c>
      <c r="C242" s="2959" t="str">
        <f>chitiet!C1107</f>
        <v>x</v>
      </c>
      <c r="D242" s="2960">
        <f>chitiet!D1107</f>
        <v>0</v>
      </c>
      <c r="E242" s="2967">
        <f>chitiet!E1107</f>
        <v>0</v>
      </c>
      <c r="F242" s="2958" t="str">
        <f>chitiet!F1107</f>
        <v>Bộ xà composite 0,8m bắt FCO</v>
      </c>
      <c r="G242" s="2968" t="str">
        <f>chitiet!G1107</f>
        <v>Bộ</v>
      </c>
      <c r="H242" s="2968">
        <f>chitiet!H1107</f>
        <v>1</v>
      </c>
      <c r="I242" s="2969">
        <f>chitiet!P1107</f>
        <v>1</v>
      </c>
      <c r="J242" s="2965">
        <f>IFERROR(VLOOKUP(B242,DG!A:F,6,0),3000)</f>
        <v>2000</v>
      </c>
      <c r="K242" s="2966">
        <f>IF(J242&lt;2000,COUNTIF($B$2:B242,B242),0)</f>
        <v>0</v>
      </c>
      <c r="N242" s="1215"/>
    </row>
    <row r="243" spans="1:15" ht="25.2" customHeight="1">
      <c r="A243" s="2957">
        <f>COUNTIF($K$1:K243,1)</f>
        <v>119</v>
      </c>
      <c r="B243" s="2972">
        <f>CT_tram!B2389</f>
        <v>0</v>
      </c>
      <c r="C243" s="2973">
        <f>CT_tram!C2389</f>
        <v>0</v>
      </c>
      <c r="D243" s="2974">
        <f>CT_tram!D2389</f>
        <v>0</v>
      </c>
      <c r="E243" s="2975">
        <f>CT_tram!E2389</f>
        <v>0</v>
      </c>
      <c r="F243" s="2976" t="str">
        <f>CT_tram!F2389</f>
        <v>B. PHẦN VẬT LIỆU</v>
      </c>
      <c r="G243" s="2963">
        <f>CT_tram!G2389</f>
        <v>0</v>
      </c>
      <c r="H243" s="2964">
        <f>CT_tram!H2389</f>
        <v>0</v>
      </c>
      <c r="I243" s="2964">
        <f>CT_tram!I2389</f>
        <v>0</v>
      </c>
      <c r="J243" s="2965">
        <f>IFERROR(VLOOKUP(B243,DG!A:F,6,0),3000)</f>
        <v>3000</v>
      </c>
      <c r="K243" s="2966">
        <f>IF(J243&lt;2000,COUNTIF($B$2:B243,B243),0)</f>
        <v>0</v>
      </c>
      <c r="L243" s="1795"/>
    </row>
    <row r="244" spans="1:15" ht="25.2" customHeight="1">
      <c r="A244" s="2957">
        <f>COUNTIF($K$1:K244,1)</f>
        <v>119</v>
      </c>
      <c r="B244" s="2958">
        <f>CT_tram!B2416</f>
        <v>0</v>
      </c>
      <c r="C244" s="2959">
        <f>CT_tram!C2416</f>
        <v>0</v>
      </c>
      <c r="D244" s="2960">
        <f>CT_tram!D2416</f>
        <v>1</v>
      </c>
      <c r="E244" s="2961">
        <f>CT_tram!E2416</f>
        <v>0</v>
      </c>
      <c r="F244" s="2962" t="str">
        <f>CT_tram!F2416</f>
        <v>Xà composit bắt  LA, FCO</v>
      </c>
      <c r="G244" s="2963" t="str">
        <f>CT_tram!G2416</f>
        <v>Bộ</v>
      </c>
      <c r="H244" s="2964">
        <f>CT_tram!H2416</f>
        <v>1</v>
      </c>
      <c r="I244" s="2964">
        <f>CT_tram!I2416</f>
        <v>1</v>
      </c>
      <c r="J244" s="2965">
        <f>IFERROR(VLOOKUP(B244,DG!A:F,6,0),3000)</f>
        <v>3000</v>
      </c>
      <c r="K244" s="2966">
        <f>IF(J244&lt;2000,COUNTIF($B$2:B244,B244),0)</f>
        <v>0</v>
      </c>
      <c r="L244" s="1795"/>
      <c r="M244" s="1796"/>
      <c r="N244" s="1797"/>
      <c r="O244" s="1796"/>
    </row>
    <row r="245" spans="1:15" ht="25.2" customHeight="1">
      <c r="A245" s="2957">
        <f>COUNTIF($K$1:K245,1)</f>
        <v>119</v>
      </c>
      <c r="B245" s="2958">
        <f>CT_tram!B2432</f>
        <v>0</v>
      </c>
      <c r="C245" s="2959">
        <f>CT_tram!C2432</f>
        <v>0</v>
      </c>
      <c r="D245" s="2960">
        <f>CT_tram!D2432</f>
        <v>2</v>
      </c>
      <c r="E245" s="2961">
        <f>CT_tram!E2432</f>
        <v>0</v>
      </c>
      <c r="F245" s="2962" t="str">
        <f>CT_tram!F2432</f>
        <v xml:space="preserve">Xà kép L75x75x8x2400 (4 ốp) đỡ TU, TI </v>
      </c>
      <c r="G245" s="2963" t="str">
        <f>CT_tram!G2432</f>
        <v>Bộ</v>
      </c>
      <c r="H245" s="2964">
        <f>CT_tram!H2432</f>
        <v>1</v>
      </c>
      <c r="I245" s="2964">
        <f>CT_tram!I2432</f>
        <v>1</v>
      </c>
      <c r="J245" s="2965">
        <f>IFERROR(VLOOKUP(B245,DG!A:F,6,0),3000)</f>
        <v>3000</v>
      </c>
      <c r="K245" s="2966">
        <f>IF(J245&lt;2000,COUNTIF($B$2:B245,B245),0)</f>
        <v>0</v>
      </c>
      <c r="L245" s="1307"/>
    </row>
    <row r="246" spans="1:15" ht="25.2" customHeight="1">
      <c r="A246" s="2957">
        <f>COUNTIF($K$1:K246,1)</f>
        <v>119</v>
      </c>
      <c r="B246" s="2958">
        <f>CT_tram!B2450</f>
        <v>0</v>
      </c>
      <c r="C246" s="2959">
        <f>CT_tram!C2450</f>
        <v>0</v>
      </c>
      <c r="D246" s="2960">
        <f>CT_tram!D2450</f>
        <v>3</v>
      </c>
      <c r="E246" s="2967">
        <f>CT_tram!E2450</f>
        <v>0</v>
      </c>
      <c r="F246" s="2958" t="str">
        <f>CT_tram!F2450</f>
        <v>Bộ tiếp địa Trạm 3 pha</v>
      </c>
      <c r="G246" s="2968" t="str">
        <f>CT_tram!G2450</f>
        <v>Bộ</v>
      </c>
      <c r="H246" s="2968">
        <f>CT_tram!H2450</f>
        <v>1</v>
      </c>
      <c r="I246" s="2968">
        <f>CT_tram!I2450</f>
        <v>1</v>
      </c>
      <c r="J246" s="2965">
        <f>IFERROR(VLOOKUP(B246,DG!A:F,6,0),3000)</f>
        <v>3000</v>
      </c>
      <c r="K246" s="2966">
        <f>IF(J246&lt;2000,COUNTIF($B$2:B246,B246),0)</f>
        <v>0</v>
      </c>
      <c r="L246" s="1997"/>
      <c r="N246" s="1215"/>
    </row>
    <row r="247" spans="1:15" ht="25.2" customHeight="1">
      <c r="A247" s="2957">
        <f>COUNTIF($K$1:K247,1)</f>
        <v>119</v>
      </c>
      <c r="B247" s="2958">
        <f>CT_tram!B2474</f>
        <v>0</v>
      </c>
      <c r="C247" s="2959">
        <f>CT_tram!C2474</f>
        <v>0</v>
      </c>
      <c r="D247" s="2960">
        <f>CT_tram!D2474</f>
        <v>4</v>
      </c>
      <c r="E247" s="2961">
        <f>CT_tram!E2474</f>
        <v>0</v>
      </c>
      <c r="F247" s="2962" t="str">
        <f>CT_tram!F2474</f>
        <v>Tủ đóng cắt hạ thế</v>
      </c>
      <c r="G247" s="2963" t="str">
        <f>CT_tram!G2474</f>
        <v>Bộ</v>
      </c>
      <c r="H247" s="2964">
        <f>CT_tram!H2474</f>
        <v>1</v>
      </c>
      <c r="I247" s="2964">
        <f>CT_tram!I2474</f>
        <v>1</v>
      </c>
      <c r="J247" s="2965">
        <f>IFERROR(VLOOKUP(B247,DG!A:F,6,0),3000)</f>
        <v>3000</v>
      </c>
      <c r="K247" s="2966">
        <f>IF(J247&lt;2000,COUNTIF($B$2:B247,B247),0)</f>
        <v>0</v>
      </c>
      <c r="L247" s="1307"/>
    </row>
    <row r="248" spans="1:15" ht="25.2" customHeight="1">
      <c r="A248" s="2957">
        <f>COUNTIF($K$1:K248,1)</f>
        <v>119</v>
      </c>
      <c r="B248" s="2958">
        <f>CT_tram!B2511</f>
        <v>0</v>
      </c>
      <c r="C248" s="2959">
        <f>CT_tram!C2511</f>
        <v>0</v>
      </c>
      <c r="D248" s="2960">
        <f>CT_tram!D2511</f>
        <v>5</v>
      </c>
      <c r="E248" s="2961">
        <f>CT_tram!E2511</f>
        <v>0</v>
      </c>
      <c r="F248" s="2962" t="str">
        <f>CT_tram!F2511</f>
        <v>Bộ dây dẫn trung thế 24kV 3 pha</v>
      </c>
      <c r="G248" s="2963" t="str">
        <f>CT_tram!G2511</f>
        <v>Bộ</v>
      </c>
      <c r="H248" s="2964">
        <f>CT_tram!H2511</f>
        <v>1</v>
      </c>
      <c r="I248" s="2964">
        <f>CT_tram!I2511</f>
        <v>1</v>
      </c>
      <c r="J248" s="2965">
        <f>IFERROR(VLOOKUP(B248,DG!A:F,6,0),3000)</f>
        <v>3000</v>
      </c>
      <c r="K248" s="2966">
        <f>IF(J248&lt;2000,COUNTIF($B$2:B248,B248),0)</f>
        <v>0</v>
      </c>
      <c r="L248" s="1307"/>
    </row>
    <row r="249" spans="1:15" ht="25.2" customHeight="1">
      <c r="A249" s="2957">
        <f>COUNTIF($K$1:K249,1)</f>
        <v>119</v>
      </c>
      <c r="B249" s="2972">
        <f>CT_tram!B2531</f>
        <v>0</v>
      </c>
      <c r="C249" s="2973">
        <f>CT_tram!C2531</f>
        <v>0</v>
      </c>
      <c r="D249" s="2974">
        <f>CT_tram!D2531</f>
        <v>6</v>
      </c>
      <c r="E249" s="2975">
        <f>CT_tram!E2531</f>
        <v>0</v>
      </c>
      <c r="F249" s="2976" t="str">
        <f>CT_tram!F2531</f>
        <v>Bộ dây dẫn cáp xuất MBA vào tủ CB</v>
      </c>
      <c r="G249" s="2970" t="str">
        <f>CT_tram!G2531</f>
        <v>Bộ</v>
      </c>
      <c r="H249" s="2971">
        <f>CT_tram!H2531</f>
        <v>1</v>
      </c>
      <c r="I249" s="2982">
        <f>CT_tram!I2531</f>
        <v>1</v>
      </c>
      <c r="J249" s="2965">
        <f>IFERROR(VLOOKUP(B249,DG!A:F,6,0),3000)</f>
        <v>3000</v>
      </c>
      <c r="K249" s="2966">
        <f>IF(J249&lt;2000,COUNTIF($B$2:B249,B249),0)</f>
        <v>0</v>
      </c>
      <c r="L249" s="1307"/>
    </row>
    <row r="250" spans="1:15" ht="25.2" customHeight="1">
      <c r="A250" s="2957">
        <f>COUNTIF($K$1:K250,1)</f>
        <v>119</v>
      </c>
      <c r="B250" s="2958">
        <f>CT_tram!B2561</f>
        <v>0</v>
      </c>
      <c r="C250" s="2959">
        <f>CT_tram!C2561</f>
        <v>0</v>
      </c>
      <c r="D250" s="2960">
        <f>CT_tram!D2561</f>
        <v>1</v>
      </c>
      <c r="E250" s="2961">
        <f>CT_tram!E2561</f>
        <v>0</v>
      </c>
      <c r="F250" s="2962" t="str">
        <f>CT_tram!F2561</f>
        <v>Hàng rào TBA</v>
      </c>
      <c r="G250" s="2963" t="str">
        <f>CT_tram!G2561</f>
        <v>Bộ</v>
      </c>
      <c r="H250" s="2964">
        <f>CT_tram!H2561</f>
        <v>1</v>
      </c>
      <c r="I250" s="2964">
        <f>CT_tram!I2561</f>
        <v>1</v>
      </c>
      <c r="J250" s="2965">
        <f>IFERROR(VLOOKUP(B250,DG!A:F,6,0),3000)</f>
        <v>3000</v>
      </c>
      <c r="K250" s="2966">
        <f>IF(J250&lt;2000,COUNTIF($B$2:B250,B250),0)</f>
        <v>0</v>
      </c>
      <c r="L250" s="1307"/>
    </row>
    <row r="251" spans="1:15" ht="25.2" customHeight="1">
      <c r="A251" s="2957">
        <f>COUNTIF($K$1:K251,1)</f>
        <v>119</v>
      </c>
      <c r="B251" s="2958">
        <f>CT_tram!B2578</f>
        <v>0</v>
      </c>
      <c r="C251" s="2959">
        <f>CT_tram!C2578</f>
        <v>0</v>
      </c>
      <c r="D251" s="2960">
        <f>CT_tram!D2578</f>
        <v>7</v>
      </c>
      <c r="E251" s="2961">
        <f>CT_tram!E2578</f>
        <v>0</v>
      </c>
      <c r="F251" s="2962" t="str">
        <f>CT_tram!F2578</f>
        <v>Bộ đo đếm:</v>
      </c>
      <c r="G251" s="2963" t="str">
        <f>CT_tram!G2578</f>
        <v>Bộ</v>
      </c>
      <c r="H251" s="2964">
        <f>CT_tram!H2578</f>
        <v>1</v>
      </c>
      <c r="I251" s="2964">
        <f>CT_tram!I2578</f>
        <v>1</v>
      </c>
      <c r="J251" s="2965">
        <f>IFERROR(VLOOKUP(B251,DG!A:F,6,0),3000)</f>
        <v>3000</v>
      </c>
      <c r="K251" s="2966">
        <f>IF(J251&lt;2000,COUNTIF($B$2:B251,B251),0)</f>
        <v>0</v>
      </c>
      <c r="L251" s="1307"/>
    </row>
    <row r="252" spans="1:15" ht="25.2" customHeight="1">
      <c r="A252" s="2957">
        <f>COUNTIF($K$1:K252,1)</f>
        <v>119</v>
      </c>
      <c r="B252" s="2958">
        <f>chitiet!B797</f>
        <v>0</v>
      </c>
      <c r="C252" s="2959" t="str">
        <f>chitiet!C797</f>
        <v>x</v>
      </c>
      <c r="D252" s="2960">
        <f>chitiet!D797</f>
        <v>395</v>
      </c>
      <c r="E252" s="2961" t="str">
        <f>chitiet!E797</f>
        <v>III</v>
      </c>
      <c r="F252" s="2962" t="str">
        <f>chitiet!F797</f>
        <v>Phần xà, néo</v>
      </c>
      <c r="G252" s="2963">
        <f>chitiet!G797</f>
        <v>0</v>
      </c>
      <c r="H252" s="2964">
        <f>chitiet!H797</f>
        <v>0</v>
      </c>
      <c r="I252" s="2964">
        <f>chitiet!$P$797</f>
        <v>0</v>
      </c>
      <c r="J252" s="2965">
        <f>IFERROR(VLOOKUP(B252,DG!A:F,6,0),3000)</f>
        <v>3000</v>
      </c>
      <c r="K252" s="2966">
        <f>IF(J252&lt;2000,COUNTIF($B$2:B252,B252),0)</f>
        <v>0</v>
      </c>
      <c r="L252" s="1307"/>
    </row>
    <row r="253" spans="1:15" ht="25.2" customHeight="1">
      <c r="A253" s="2957">
        <f>COUNTIF($K$1:K253,1)</f>
        <v>119</v>
      </c>
      <c r="B253" s="2958">
        <f>chitiet!B1510</f>
        <v>0</v>
      </c>
      <c r="C253" s="2959" t="str">
        <f>chitiet!C1510</f>
        <v>X</v>
      </c>
      <c r="D253" s="2960">
        <f>chitiet!D1510</f>
        <v>0</v>
      </c>
      <c r="E253" s="2961" t="str">
        <f>chitiet!E1510</f>
        <v>IV</v>
      </c>
      <c r="F253" s="2962" t="str">
        <f>chitiet!F1510</f>
        <v>Phần dây, sứ và phụ kiện</v>
      </c>
      <c r="G253" s="2963">
        <f>chitiet!G1510</f>
        <v>0</v>
      </c>
      <c r="H253" s="2964">
        <f>chitiet!H1510</f>
        <v>0</v>
      </c>
      <c r="I253" s="2964">
        <f>chitiet!P1510</f>
        <v>0</v>
      </c>
      <c r="J253" s="2965">
        <f>IFERROR(VLOOKUP(B253,DG!A:F,6,0),3000)</f>
        <v>3000</v>
      </c>
      <c r="K253" s="2966">
        <f>IF(J253&lt;2000,COUNTIF($B$2:B253,B253),0)</f>
        <v>0</v>
      </c>
      <c r="L253" s="1307"/>
    </row>
    <row r="254" spans="1:15" ht="25.2" customHeight="1">
      <c r="A254" s="2957">
        <f>COUNTIF($K$1:K254,1)</f>
        <v>119</v>
      </c>
      <c r="B254" s="2958">
        <f>chitiet!B1860</f>
        <v>0</v>
      </c>
      <c r="C254" s="2959" t="str">
        <f>chitiet!C1860</f>
        <v>x</v>
      </c>
      <c r="D254" s="2960">
        <f>chitiet!D1860</f>
        <v>4</v>
      </c>
      <c r="E254" s="2961">
        <f>chitiet!E1860</f>
        <v>0</v>
      </c>
      <c r="F254" s="2962" t="str">
        <f>chitiet!F1860</f>
        <v>Phụ kiện đấu nối đầu đường dây</v>
      </c>
      <c r="G254" s="2963">
        <f>chitiet!G1860</f>
        <v>0</v>
      </c>
      <c r="H254" s="2964">
        <f>chitiet!H1860</f>
        <v>0</v>
      </c>
      <c r="I254" s="2964">
        <f>chitiet!P1860</f>
        <v>0</v>
      </c>
      <c r="J254" s="2965">
        <f>IFERROR(VLOOKUP(B254,DG!A:F,6,0),3000)</f>
        <v>3000</v>
      </c>
      <c r="K254" s="2966">
        <f>IF(J254&lt;2000,COUNTIF($B$2:B254,B254),0)</f>
        <v>0</v>
      </c>
      <c r="L254" s="1307"/>
    </row>
    <row r="255" spans="1:15" ht="25.2" customHeight="1">
      <c r="A255" s="2957">
        <f>COUNTIF($K$1:K255,1)</f>
        <v>119</v>
      </c>
      <c r="B255" s="2958" t="str">
        <f>CT_tram!B2555</f>
        <v>BT10046</v>
      </c>
      <c r="C255" s="2959">
        <f>CT_tram!C2555</f>
        <v>0.17</v>
      </c>
      <c r="D255" s="2960">
        <f>CT_tram!D2555</f>
        <v>0</v>
      </c>
      <c r="E255" s="2961">
        <f>CT_tram!E2555</f>
        <v>0</v>
      </c>
      <c r="F255" s="2962" t="str">
        <f>CT_tram!F2555</f>
        <v>Bêtông đá 4x6 mac 100</v>
      </c>
      <c r="G255" s="2963" t="str">
        <f>CT_tram!G2555</f>
        <v>m3</v>
      </c>
      <c r="H255" s="2964">
        <f>CT_tram!H2555</f>
        <v>0.17</v>
      </c>
      <c r="I255" s="2964">
        <f>CT_tram!I2555</f>
        <v>0.17</v>
      </c>
      <c r="J255" s="2965">
        <f>IFERROR(VLOOKUP(B255,DG!A:F,6,0),3000)</f>
        <v>3000</v>
      </c>
      <c r="K255" s="2966">
        <f>IF(J255&lt;2000,COUNTIF($B$2:B255,B255),0)</f>
        <v>0</v>
      </c>
      <c r="L255" s="1795"/>
    </row>
    <row r="256" spans="1:15" ht="25.2" customHeight="1">
      <c r="A256" s="2957">
        <f>COUNTIF($K$1:K256,1)</f>
        <v>119</v>
      </c>
      <c r="B256" s="2958" t="str">
        <f>CT_tram!B2554</f>
        <v>bt200</v>
      </c>
      <c r="C256" s="2959">
        <f>CT_tram!C2554</f>
        <v>1.08</v>
      </c>
      <c r="D256" s="2960">
        <f>CT_tram!D2554</f>
        <v>0</v>
      </c>
      <c r="E256" s="2961">
        <f>CT_tram!E2554</f>
        <v>0</v>
      </c>
      <c r="F256" s="2962" t="str">
        <f>CT_tram!F2554</f>
        <v>Bêtông đá 1x2 mac 200</v>
      </c>
      <c r="G256" s="2963" t="str">
        <f>CT_tram!G2554</f>
        <v>m3</v>
      </c>
      <c r="H256" s="2964">
        <f>CT_tram!H2554</f>
        <v>1.08</v>
      </c>
      <c r="I256" s="2964">
        <f>CT_tram!I2554</f>
        <v>1.08</v>
      </c>
      <c r="J256" s="2965">
        <f>IFERROR(VLOOKUP(B256,DG!A:F,6,0),3000)</f>
        <v>3000</v>
      </c>
      <c r="K256" s="2966">
        <f>IF(J256&lt;2000,COUNTIF($B$2:B256,B256),0)</f>
        <v>0</v>
      </c>
      <c r="L256" s="1307"/>
    </row>
    <row r="257" spans="1:15" ht="25.2" customHeight="1">
      <c r="A257" s="2957">
        <f>COUNTIF($K$1:K257,1)</f>
        <v>119</v>
      </c>
      <c r="B257" s="2958" t="str">
        <f>CT_tram!B2571</f>
        <v>bt200</v>
      </c>
      <c r="C257" s="2959">
        <f>CT_tram!C2571</f>
        <v>0.12</v>
      </c>
      <c r="D257" s="2960">
        <f>CT_tram!D2571</f>
        <v>0</v>
      </c>
      <c r="E257" s="2967">
        <f>CT_tram!E2571</f>
        <v>0</v>
      </c>
      <c r="F257" s="2958" t="str">
        <f>CT_tram!F2571</f>
        <v>Bêtông đá 1x2 mac 200</v>
      </c>
      <c r="G257" s="2968" t="str">
        <f>CT_tram!G2571</f>
        <v>m3</v>
      </c>
      <c r="H257" s="2968">
        <f>CT_tram!H2571</f>
        <v>0.12</v>
      </c>
      <c r="I257" s="2968">
        <f>CT_tram!I2571</f>
        <v>0.12</v>
      </c>
      <c r="J257" s="2965">
        <f>IFERROR(VLOOKUP(B257,DG!A:F,6,0),3000)</f>
        <v>3000</v>
      </c>
      <c r="K257" s="2966">
        <f>IF(J257&lt;2000,COUNTIF($B$2:B257,B257),0)</f>
        <v>0</v>
      </c>
    </row>
    <row r="258" spans="1:15" ht="25.2" customHeight="1">
      <c r="A258" s="2957">
        <f>COUNTIF($K$1:K258,1)</f>
        <v>119</v>
      </c>
      <c r="B258" s="2958" t="str">
        <f>CT_tram!B2564</f>
        <v>C20mMB</v>
      </c>
      <c r="C258" s="2959">
        <f>CT_tram!C2564</f>
        <v>9</v>
      </c>
      <c r="D258" s="2960">
        <f>CT_tram!D2564</f>
        <v>0</v>
      </c>
      <c r="E258" s="2967" t="str">
        <f>CT_tram!E2564</f>
        <v>AI.53111</v>
      </c>
      <c r="F258" s="2958" t="str">
        <f>CT_tram!F2564</f>
        <v>Mặt bích nối cột bêt tông loại 200x200x5, 04 lỗ D16</v>
      </c>
      <c r="G258" s="2968" t="str">
        <f>CT_tram!G2564</f>
        <v>mối</v>
      </c>
      <c r="H258" s="2968">
        <f>CT_tram!H2564</f>
        <v>9</v>
      </c>
      <c r="I258" s="2968">
        <f>CT_tram!I2564</f>
        <v>9</v>
      </c>
      <c r="J258" s="2965">
        <f>IFERROR(VLOOKUP(B258,DG!A:F,6,0),3000)</f>
        <v>3000</v>
      </c>
      <c r="K258" s="2966">
        <f>IF(J258&lt;2000,COUNTIF($B$2:B258,B258),0)</f>
        <v>0</v>
      </c>
    </row>
    <row r="259" spans="1:15" ht="25.2" customHeight="1">
      <c r="A259" s="2957">
        <f>COUNTIF($K$1:K259,1)</f>
        <v>119</v>
      </c>
      <c r="B259" s="2977" t="str">
        <f>chitiet!B245</f>
        <v>MDD3</v>
      </c>
      <c r="C259" s="2978" t="str">
        <f>chitiet!C245</f>
        <v>x</v>
      </c>
      <c r="D259" s="2979">
        <f>chitiet!D245</f>
        <v>0.35299999999999998</v>
      </c>
      <c r="E259" s="2980">
        <f>chitiet!E245</f>
        <v>0</v>
      </c>
      <c r="F259" s="2977" t="str">
        <f>chitiet!F245</f>
        <v>Đào hố móng đất cấp 3 sâu &gt;1m</v>
      </c>
      <c r="G259" s="2969" t="str">
        <f>chitiet!G245</f>
        <v>m3</v>
      </c>
      <c r="H259" s="2969">
        <f>chitiet!H245</f>
        <v>1.7649999999999999</v>
      </c>
      <c r="I259" s="2969">
        <f>chitiet!P245</f>
        <v>1.7649999999999999</v>
      </c>
      <c r="J259" s="2965">
        <f>IFERROR(VLOOKUP(B259,DG!A:F,6,0),3000)</f>
        <v>3000</v>
      </c>
      <c r="K259" s="2966">
        <f>IF(J259&lt;2000,COUNTIF($B$2:B259,B259),0)</f>
        <v>0</v>
      </c>
    </row>
    <row r="260" spans="1:15" ht="25.2" customHeight="1">
      <c r="A260" s="2957">
        <f>COUNTIF($K$1:K260,1)</f>
        <v>119</v>
      </c>
      <c r="B260" s="2958" t="str">
        <f>chitiet!B370</f>
        <v>MDD3</v>
      </c>
      <c r="C260" s="2959" t="str">
        <f>chitiet!C370</f>
        <v>x</v>
      </c>
      <c r="D260" s="2960">
        <f>chitiet!D370</f>
        <v>0.157</v>
      </c>
      <c r="E260" s="2961" t="str">
        <f>chitiet!E370</f>
        <v>03.1013</v>
      </c>
      <c r="F260" s="2962" t="str">
        <f>chitiet!F370</f>
        <v>Đào hố móng đất cấp 3 sâu &gt;1m</v>
      </c>
      <c r="G260" s="2963" t="str">
        <f>chitiet!G370</f>
        <v>m3</v>
      </c>
      <c r="H260" s="2964">
        <f>chitiet!H370</f>
        <v>0.94199999999999995</v>
      </c>
      <c r="I260" s="2964">
        <f>chitiet!P370</f>
        <v>0.94199999999999995</v>
      </c>
      <c r="J260" s="2965">
        <f>IFERROR(VLOOKUP(B260,DG!A:F,6,0),3000)</f>
        <v>3000</v>
      </c>
      <c r="K260" s="2966">
        <f>IF(J260&lt;2000,COUNTIF($B$2:B260,B260),0)</f>
        <v>0</v>
      </c>
      <c r="L260" s="1307"/>
    </row>
    <row r="261" spans="1:15" ht="25.2" customHeight="1">
      <c r="A261" s="2957">
        <f>COUNTIF($K$1:K261,1)</f>
        <v>119</v>
      </c>
      <c r="B261" s="2958" t="str">
        <f>chitiet!B454</f>
        <v>MDD3</v>
      </c>
      <c r="C261" s="2959" t="str">
        <f>chitiet!C454</f>
        <v>x</v>
      </c>
      <c r="D261" s="2960">
        <f>chitiet!D454</f>
        <v>1.988</v>
      </c>
      <c r="E261" s="2961" t="str">
        <f>chitiet!E454</f>
        <v>03.1013</v>
      </c>
      <c r="F261" s="2962" t="str">
        <f>chitiet!F454</f>
        <v>Đào hố móng đất cấp 3 sâu &gt;1m</v>
      </c>
      <c r="G261" s="2963" t="str">
        <f>chitiet!G454</f>
        <v>m3</v>
      </c>
      <c r="H261" s="2964">
        <f>chitiet!H454</f>
        <v>5.9640000000000004</v>
      </c>
      <c r="I261" s="2964">
        <f>chitiet!P454</f>
        <v>5.9640000000000004</v>
      </c>
      <c r="J261" s="2965">
        <f>IFERROR(VLOOKUP(B261,DG!A:F,6,0),3000)</f>
        <v>3000</v>
      </c>
      <c r="K261" s="2966">
        <f>IF(J261&lt;2000,COUNTIF($B$2:B261,B261),0)</f>
        <v>0</v>
      </c>
      <c r="L261" s="1795"/>
    </row>
    <row r="262" spans="1:15" ht="25.2" customHeight="1">
      <c r="A262" s="2957">
        <f>COUNTIF($K$1:K262,1)</f>
        <v>120</v>
      </c>
      <c r="B262" s="2977" t="str">
        <f>CT_tram!B2524</f>
        <v>ttf-50</v>
      </c>
      <c r="C262" s="2978">
        <f>CT_tram!C2524</f>
        <v>6</v>
      </c>
      <c r="D262" s="2979">
        <f>CT_tram!D2524</f>
        <v>0</v>
      </c>
      <c r="E262" s="2983">
        <f>CT_tram!E2524</f>
        <v>0</v>
      </c>
      <c r="F262" s="2984" t="str">
        <f>CT_tram!F2524</f>
        <v>Dây buộc đầu sứ cỡ dây 50mm2</v>
      </c>
      <c r="G262" s="2981" t="str">
        <f>CT_tram!G2524</f>
        <v>cái</v>
      </c>
      <c r="H262" s="2982">
        <f>CT_tram!H2524</f>
        <v>6</v>
      </c>
      <c r="I262" s="2982">
        <f>CT_tram!I2524</f>
        <v>6</v>
      </c>
      <c r="J262" s="2965">
        <f>IFERROR(VLOOKUP(B262,DG!A:F,6,0),3000)</f>
        <v>50</v>
      </c>
      <c r="K262" s="2966">
        <f>IF(J262&lt;2000,COUNTIF($B$2:B262,B262),0)</f>
        <v>1</v>
      </c>
      <c r="L262" s="1307"/>
    </row>
    <row r="263" spans="1:15" ht="25.2" customHeight="1">
      <c r="A263" s="2957">
        <f>COUNTIF($K$1:K263,1)</f>
        <v>120</v>
      </c>
      <c r="B263" s="2958" t="str">
        <f>CT_tram!B2573</f>
        <v>xaytuong</v>
      </c>
      <c r="C263" s="2959">
        <f>CT_tram!C2573</f>
        <v>1.4</v>
      </c>
      <c r="D263" s="2960">
        <f>CT_tram!D2573</f>
        <v>0</v>
      </c>
      <c r="E263" s="2961" t="str">
        <f>CT_tram!E2573</f>
        <v>AE.61210</v>
      </c>
      <c r="F263" s="2962" t="str">
        <f>CT_tram!F2573</f>
        <v>Xây tường gạch ống bề dày &lt;30cm</v>
      </c>
      <c r="G263" s="2963" t="str">
        <f>CT_tram!G2573</f>
        <v>m3</v>
      </c>
      <c r="H263" s="2964">
        <f>CT_tram!H2573</f>
        <v>1.4</v>
      </c>
      <c r="I263" s="2964">
        <f>CT_tram!I2573</f>
        <v>1.4</v>
      </c>
      <c r="J263" s="2965">
        <f>IFERROR(VLOOKUP(B263,DG!A:F,6,0),3000)</f>
        <v>3000</v>
      </c>
      <c r="K263" s="2966">
        <f>IF(J263&lt;2000,COUNTIF($B$2:B263,B263),0)</f>
        <v>0</v>
      </c>
      <c r="L263" s="1307"/>
    </row>
    <row r="264" spans="1:15" ht="25.2" customHeight="1">
      <c r="A264" s="2957">
        <f>COUNTIF($K$1:K264,1)</f>
        <v>120</v>
      </c>
      <c r="B264" s="2977"/>
      <c r="C264" s="2978"/>
      <c r="D264" s="2979"/>
      <c r="E264" s="2980"/>
      <c r="F264" s="2977"/>
      <c r="G264" s="2969"/>
      <c r="H264" s="2969"/>
      <c r="I264" s="2969"/>
      <c r="J264" s="2965">
        <f>IFERROR(VLOOKUP(B264,DG!A:F,6,0),3000)</f>
        <v>3000</v>
      </c>
      <c r="K264" s="2966">
        <f>IF(J264&lt;2000,COUNTIF($B$2:B264,B264),0)</f>
        <v>0</v>
      </c>
    </row>
    <row r="265" spans="1:15" ht="25.2" customHeight="1">
      <c r="A265" s="2957">
        <f>COUNTIF($K$1:K265,1)</f>
        <v>120</v>
      </c>
      <c r="B265" s="2977"/>
      <c r="C265" s="2978"/>
      <c r="D265" s="2979"/>
      <c r="E265" s="2980"/>
      <c r="F265" s="2977"/>
      <c r="G265" s="2969"/>
      <c r="H265" s="2969"/>
      <c r="I265" s="2969"/>
      <c r="J265" s="2965">
        <f>IFERROR(VLOOKUP(B265,DG!A:F,6,0),3000)</f>
        <v>3000</v>
      </c>
      <c r="K265" s="2966">
        <f>IF(J265&lt;2000,COUNTIF($B$2:B265,B265),0)</f>
        <v>0</v>
      </c>
    </row>
    <row r="266" spans="1:15" ht="25.2" customHeight="1">
      <c r="A266" s="2957">
        <f>COUNTIF($K$1:K266,1)</f>
        <v>120</v>
      </c>
      <c r="B266" s="2977"/>
      <c r="C266" s="2978"/>
      <c r="D266" s="2979"/>
      <c r="E266" s="2980"/>
      <c r="F266" s="2977"/>
      <c r="G266" s="2969"/>
      <c r="H266" s="2969"/>
      <c r="I266" s="2969"/>
      <c r="J266" s="2965">
        <f>IFERROR(VLOOKUP(B266,DG!A:F,6,0),3000)</f>
        <v>3000</v>
      </c>
      <c r="K266" s="2966">
        <f>IF(J266&lt;2000,COUNTIF($B$2:B266,B266),0)</f>
        <v>0</v>
      </c>
    </row>
    <row r="267" spans="1:15" ht="25.2" customHeight="1">
      <c r="A267" s="2957">
        <f>COUNTIF($K$1:K267,1)</f>
        <v>120</v>
      </c>
      <c r="B267" s="2977"/>
      <c r="C267" s="2978"/>
      <c r="D267" s="2979"/>
      <c r="E267" s="2980"/>
      <c r="F267" s="2977"/>
      <c r="G267" s="2969"/>
      <c r="H267" s="2969"/>
      <c r="I267" s="2969"/>
      <c r="J267" s="2965">
        <f>IFERROR(VLOOKUP(B267,DG!A:F,6,0),3000)</f>
        <v>3000</v>
      </c>
      <c r="K267" s="2966">
        <f>IF(J267&lt;2000,COUNTIF($B$2:B267,B267),0)</f>
        <v>0</v>
      </c>
      <c r="M267" s="1796"/>
      <c r="N267" s="1797"/>
      <c r="O267" s="1796"/>
    </row>
    <row r="268" spans="1:15" ht="25.2" customHeight="1">
      <c r="A268" s="2957">
        <f>COUNTIF($K$1:K268,1)</f>
        <v>120</v>
      </c>
      <c r="B268" s="2977"/>
      <c r="C268" s="2978"/>
      <c r="D268" s="2979"/>
      <c r="E268" s="2980"/>
      <c r="F268" s="2977"/>
      <c r="G268" s="2969"/>
      <c r="H268" s="2969"/>
      <c r="I268" s="2969"/>
      <c r="J268" s="2965">
        <f>IFERROR(VLOOKUP(B268,DG!A:F,6,0),3000)</f>
        <v>3000</v>
      </c>
      <c r="K268" s="2966">
        <f>IF(J268&lt;2000,COUNTIF($B$2:B268,B268),0)</f>
        <v>0</v>
      </c>
    </row>
  </sheetData>
  <autoFilter ref="A1:L268" xr:uid="{00000000-0009-0000-0000-000016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47" priority="20" operator="containsText" text="phần">
      <formula>NOT(ISERROR(SEARCH("phần",E2)))</formula>
    </cfRule>
    <cfRule type="containsText" dxfId="46" priority="21" operator="containsText" text="bộ">
      <formula>NOT(ISERROR(SEARCH("bộ",E2)))</formula>
    </cfRule>
    <cfRule type="containsText" dxfId="45" priority="22" operator="containsText" text="đóng">
      <formula>NOT(ISERROR(SEARCH("đóng",E2)))</formula>
    </cfRule>
    <cfRule type="containsText" dxfId="44" priority="23" operator="containsText" text="kéo">
      <formula>NOT(ISERROR(SEARCH("kéo",E2)))</formula>
    </cfRule>
    <cfRule type="cellIs" dxfId="43" priority="24" operator="equal">
      <formula>"đóng"</formula>
    </cfRule>
    <cfRule type="containsText" dxfId="42" priority="25" operator="containsText" text="đổ">
      <formula>NOT(ISERROR(SEARCH("đổ",E2)))</formula>
    </cfRule>
    <cfRule type="containsText" dxfId="41" priority="26" operator="containsText" text="đắp">
      <formula>NOT(ISERROR(SEARCH("đắp",E2)))</formula>
    </cfRule>
    <cfRule type="containsText" dxfId="40" priority="27" operator="containsText" text="Đào">
      <formula>NOT(ISERROR(SEARCH("Đào",E2)))</formula>
    </cfRule>
  </conditionalFormatting>
  <conditionalFormatting sqref="F50:I51">
    <cfRule type="containsText" dxfId="39" priority="1" operator="containsText" text="phần">
      <formula>NOT(ISERROR(SEARCH("phần",F50)))</formula>
    </cfRule>
    <cfRule type="containsText" dxfId="38" priority="2" operator="containsText" text="bộ">
      <formula>NOT(ISERROR(SEARCH("bộ",F50)))</formula>
    </cfRule>
    <cfRule type="containsText" dxfId="37" priority="3" operator="containsText" text="đóng">
      <formula>NOT(ISERROR(SEARCH("đóng",F50)))</formula>
    </cfRule>
    <cfRule type="containsText" dxfId="36" priority="4" operator="containsText" text="kéo">
      <formula>NOT(ISERROR(SEARCH("kéo",F50)))</formula>
    </cfRule>
    <cfRule type="cellIs" dxfId="35" priority="5" operator="equal">
      <formula>"đóng"</formula>
    </cfRule>
    <cfRule type="containsText" dxfId="34" priority="6" operator="containsText" text="đổ">
      <formula>NOT(ISERROR(SEARCH("đổ",F50)))</formula>
    </cfRule>
    <cfRule type="containsText" dxfId="33" priority="7" operator="containsText" text="đắp">
      <formula>NOT(ISERROR(SEARCH("đắp",F50)))</formula>
    </cfRule>
    <cfRule type="containsText" dxfId="32"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
    <tabColor rgb="FF0000FF"/>
  </sheetPr>
  <dimension ref="A1:BP163"/>
  <sheetViews>
    <sheetView zoomScale="90" zoomScaleNormal="90" workbookViewId="0">
      <pane ySplit="1" topLeftCell="A11" activePane="bottomLeft" state="frozen"/>
      <selection activeCell="F8" sqref="F8"/>
      <selection pane="bottomLeft" activeCell="B7" sqref="B7"/>
    </sheetView>
  </sheetViews>
  <sheetFormatPr defaultColWidth="8.90625" defaultRowHeight="35.1" customHeight="1" outlineLevelCol="1"/>
  <cols>
    <col min="1" max="1" width="11.36328125" style="1983" customWidth="1"/>
    <col min="2" max="2" width="15.08984375" style="1983" customWidth="1"/>
    <col min="3" max="3" width="11.6328125" style="1215" customWidth="1"/>
    <col min="4" max="4" width="6.1796875" style="1983" customWidth="1"/>
    <col min="5" max="5" width="16.6328125" style="1983" customWidth="1"/>
    <col min="6" max="6" width="8.1796875" style="1215" customWidth="1"/>
    <col min="7" max="7" width="17.6328125" style="1790" customWidth="1"/>
    <col min="8" max="8" width="23.36328125" style="1880" customWidth="1" outlineLevel="1"/>
    <col min="9" max="9" width="26.81640625" style="1880" customWidth="1" outlineLevel="1"/>
    <col min="10" max="10" width="14.36328125" style="1881" hidden="1" customWidth="1" outlineLevel="1"/>
    <col min="11" max="11" width="11.1796875" style="1881" hidden="1" customWidth="1" outlineLevel="1"/>
    <col min="12" max="12" width="21.08984375" style="1978" customWidth="1"/>
    <col min="13" max="13" width="10.81640625" style="1328" customWidth="1"/>
    <col min="14" max="14" width="10.453125" style="1215" customWidth="1"/>
    <col min="15" max="16" width="13.36328125" style="1790" customWidth="1"/>
    <col min="17" max="17" width="8.90625" style="1983" customWidth="1"/>
    <col min="18" max="19" width="26" style="1210" customWidth="1" outlineLevel="1"/>
    <col min="20" max="20" width="13.90625" style="1215" customWidth="1" outlineLevel="1"/>
    <col min="21" max="21" width="13.90625" style="1368" customWidth="1" outlineLevel="1"/>
    <col min="22" max="23" width="13.08984375" style="1215" customWidth="1" outlineLevel="1"/>
    <col min="24" max="25" width="8.90625" style="1215"/>
    <col min="26" max="26" width="27.6328125" style="1215" customWidth="1"/>
    <col min="27" max="32" width="8.90625" style="1215"/>
    <col min="33" max="33" width="8.90625" style="1983"/>
    <col min="34" max="34" width="45.453125" style="1983" customWidth="1"/>
    <col min="35" max="41" width="8.90625" style="1983"/>
    <col min="42" max="42" width="21.6328125" style="1983" customWidth="1"/>
    <col min="43" max="45" width="8.90625" style="1983"/>
    <col min="46" max="46" width="6" style="1983" customWidth="1"/>
    <col min="47" max="47" width="31.1796875" style="1983" customWidth="1"/>
    <col min="48" max="48" width="7.1796875" style="1983" customWidth="1"/>
    <col min="49" max="54" width="8.90625" style="1983"/>
    <col min="55" max="55" width="22.54296875" style="1983" bestFit="1" customWidth="1"/>
    <col min="56" max="56" width="12.54296875" style="1983" customWidth="1"/>
    <col min="57" max="62" width="8.90625" style="1983"/>
    <col min="63" max="63" width="22.1796875" style="1983" customWidth="1"/>
    <col min="64" max="64" width="20.54296875" style="1983" customWidth="1"/>
    <col min="65" max="72" width="8.90625" style="1983"/>
    <col min="73" max="73" width="28.81640625" style="1983" customWidth="1"/>
    <col min="74" max="74" width="8.90625" style="1983"/>
    <col min="75" max="75" width="14.1796875" style="1983" customWidth="1"/>
    <col min="76" max="16384" width="8.90625" style="1983"/>
  </cols>
  <sheetData>
    <row r="1" spans="1:26" s="1961" customFormat="1" ht="35.1" customHeight="1" thickBot="1">
      <c r="A1" s="2021" t="s">
        <v>4472</v>
      </c>
      <c r="B1" s="2022" t="s">
        <v>4171</v>
      </c>
      <c r="C1" s="2022" t="s">
        <v>4481</v>
      </c>
      <c r="D1" s="2022"/>
      <c r="E1" s="2022" t="s">
        <v>4845</v>
      </c>
      <c r="F1" s="2023"/>
      <c r="G1" s="1962" t="s">
        <v>2603</v>
      </c>
      <c r="H1" s="1963" t="s">
        <v>4179</v>
      </c>
      <c r="I1" s="1963" t="s">
        <v>4180</v>
      </c>
      <c r="J1" s="1964" t="s">
        <v>4485</v>
      </c>
      <c r="K1" s="1964" t="s">
        <v>4185</v>
      </c>
      <c r="L1" s="1965" t="s">
        <v>4483</v>
      </c>
      <c r="M1" s="1966" t="s">
        <v>4185</v>
      </c>
      <c r="N1" s="1966" t="s">
        <v>4186</v>
      </c>
      <c r="O1" s="1992" t="s">
        <v>4781</v>
      </c>
      <c r="P1" s="2006">
        <v>44067</v>
      </c>
      <c r="Q1" s="1882" t="s">
        <v>2603</v>
      </c>
      <c r="R1" s="1967" t="s">
        <v>4179</v>
      </c>
      <c r="S1" s="1967" t="s">
        <v>4180</v>
      </c>
      <c r="T1" s="1968" t="s">
        <v>4485</v>
      </c>
      <c r="U1" s="1969" t="s">
        <v>4185</v>
      </c>
      <c r="V1" s="1970" t="s">
        <v>4483</v>
      </c>
      <c r="W1" s="1971" t="s">
        <v>4185</v>
      </c>
      <c r="Z1" s="1972" t="s">
        <v>4294</v>
      </c>
    </row>
    <row r="2" spans="1:26" ht="66" customHeight="1">
      <c r="A2" s="2039" t="s">
        <v>4846</v>
      </c>
      <c r="B2" s="2040"/>
      <c r="C2" s="2041"/>
      <c r="D2" s="2040">
        <v>1</v>
      </c>
      <c r="E2" s="2042">
        <v>43936</v>
      </c>
      <c r="F2" s="2043"/>
      <c r="G2" s="1974" t="s">
        <v>4506</v>
      </c>
      <c r="H2" s="1975" t="s">
        <v>4535</v>
      </c>
      <c r="I2" s="1975" t="s">
        <v>4535</v>
      </c>
      <c r="J2" s="1976"/>
      <c r="K2" s="1977">
        <v>43965</v>
      </c>
      <c r="L2" s="2011" t="str">
        <f>IF(N2&gt;0,N2&amp;O2,P2&amp;O2&amp;CHAR(10)&amp;P3&amp;O2&amp;IF(P4&lt;&gt;0,CHAR(10)&amp;P4&amp;O2,""))</f>
        <v>/BB-PXTN
/BB-PXTN</v>
      </c>
      <c r="M2" s="1979">
        <v>43796</v>
      </c>
      <c r="N2" s="1883"/>
      <c r="O2" s="1790" t="s">
        <v>4483</v>
      </c>
      <c r="P2" s="1883"/>
      <c r="Q2" s="1980" t="s">
        <v>115</v>
      </c>
      <c r="R2" s="1981" t="s">
        <v>4474</v>
      </c>
      <c r="S2" s="1981" t="s">
        <v>4474</v>
      </c>
      <c r="T2" s="1215" t="s">
        <v>4795</v>
      </c>
      <c r="U2" s="1982">
        <v>43864</v>
      </c>
      <c r="V2" s="1215" t="s">
        <v>4721</v>
      </c>
      <c r="W2" s="1368">
        <v>43462</v>
      </c>
      <c r="Z2" s="1328" t="s">
        <v>4474</v>
      </c>
    </row>
    <row r="3" spans="1:26" ht="35.1" customHeight="1">
      <c r="A3" s="2026" t="s">
        <v>3878</v>
      </c>
      <c r="B3" s="2027" t="s">
        <v>512</v>
      </c>
      <c r="C3" s="2028" t="str">
        <f t="shared" ref="C3:C11" si="0">TEXT(B3,"00")</f>
        <v>x</v>
      </c>
      <c r="D3" s="2029">
        <f t="shared" ref="D3:D11" si="1">IF(B3&lt;&gt;0,D2+1,D2)</f>
        <v>2</v>
      </c>
      <c r="E3" s="2024">
        <f t="shared" ref="E3:E11" si="2">E2+F3</f>
        <v>43936</v>
      </c>
      <c r="F3" s="2025"/>
      <c r="G3" s="1974" t="s">
        <v>1652</v>
      </c>
      <c r="H3" s="1975" t="str">
        <f t="shared" ref="H3:H11" si="3">IFERROR(VLOOKUP(G3,$Q:$U,2,0),"nt")</f>
        <v>Chance</v>
      </c>
      <c r="I3" s="1975" t="str">
        <f t="shared" ref="I3:I11" si="4">IFERROR(VLOOKUP(G3,$Q:$U,3,0),"nt")</f>
        <v>Cty TNHH MTV Đại Thiên An</v>
      </c>
      <c r="J3" s="1984"/>
      <c r="K3" s="1985"/>
      <c r="L3" s="2052" t="str">
        <f t="shared" ref="L3:L11" si="5">IF(N3&gt;0,N3&amp;O3,IFERROR(VLOOKUP(G3,Q:U,4,0),""))</f>
        <v>28239/BB-FCO</v>
      </c>
      <c r="M3" s="2005">
        <f t="shared" ref="M3:M11" si="6">IF(N3&gt;0,$P$1,IFERROR(VLOOKUP(G3,Q:U,5,0),""))</f>
        <v>44067</v>
      </c>
      <c r="N3" s="1215">
        <v>28239</v>
      </c>
      <c r="O3" s="1790" t="str">
        <f t="shared" ref="O3:O11" si="7">VLOOKUP(G3,Q:X,8,0)</f>
        <v>/BB-FCO</v>
      </c>
      <c r="P3" s="1883"/>
      <c r="Q3" s="1980" t="s">
        <v>274</v>
      </c>
      <c r="R3" s="1986" t="s">
        <v>4197</v>
      </c>
      <c r="S3" s="1986" t="s">
        <v>4197</v>
      </c>
      <c r="T3" s="1976" t="s">
        <v>1016</v>
      </c>
      <c r="U3" s="1977" t="s">
        <v>1016</v>
      </c>
      <c r="X3" s="1215" t="s">
        <v>4782</v>
      </c>
      <c r="Z3" s="1987" t="s">
        <v>4519</v>
      </c>
    </row>
    <row r="4" spans="1:26" ht="35.1" customHeight="1">
      <c r="A4" s="2026" t="s">
        <v>2277</v>
      </c>
      <c r="B4" s="2027" t="s">
        <v>512</v>
      </c>
      <c r="C4" s="2028" t="str">
        <f t="shared" si="0"/>
        <v>x</v>
      </c>
      <c r="D4" s="2029">
        <f t="shared" si="1"/>
        <v>3</v>
      </c>
      <c r="E4" s="2024">
        <f t="shared" si="2"/>
        <v>43940</v>
      </c>
      <c r="F4" s="2025">
        <v>4</v>
      </c>
      <c r="G4" s="1974" t="s">
        <v>1653</v>
      </c>
      <c r="H4" s="1975" t="str">
        <f t="shared" si="3"/>
        <v>Chance</v>
      </c>
      <c r="I4" s="1975" t="str">
        <f t="shared" si="4"/>
        <v>Cty TNHH MTV Đại Thiên An</v>
      </c>
      <c r="J4" s="1984" t="s">
        <v>4936</v>
      </c>
      <c r="K4" s="1985">
        <v>43955</v>
      </c>
      <c r="L4" s="2052" t="str">
        <f t="shared" si="5"/>
        <v>28238/BB-FCO</v>
      </c>
      <c r="M4" s="2005">
        <f t="shared" si="6"/>
        <v>44067</v>
      </c>
      <c r="N4" s="1215">
        <v>28238</v>
      </c>
      <c r="O4" s="1790" t="str">
        <f t="shared" si="7"/>
        <v>/BB-FCO</v>
      </c>
      <c r="P4" s="1883"/>
      <c r="Q4" s="1980" t="s">
        <v>1013</v>
      </c>
      <c r="R4" s="1986" t="s">
        <v>4197</v>
      </c>
      <c r="S4" s="1986" t="s">
        <v>4197</v>
      </c>
      <c r="T4" s="1988" t="s">
        <v>4629</v>
      </c>
      <c r="U4" s="1982">
        <v>43525</v>
      </c>
      <c r="X4" s="1215" t="s">
        <v>4782</v>
      </c>
      <c r="Z4" s="1987" t="s">
        <v>4187</v>
      </c>
    </row>
    <row r="5" spans="1:26" ht="35.1" customHeight="1">
      <c r="A5" s="2026" t="s">
        <v>4473</v>
      </c>
      <c r="B5" s="2027" t="s">
        <v>512</v>
      </c>
      <c r="C5" s="2028" t="str">
        <f t="shared" si="0"/>
        <v>x</v>
      </c>
      <c r="D5" s="2029">
        <f t="shared" si="1"/>
        <v>4</v>
      </c>
      <c r="E5" s="2024">
        <f t="shared" si="2"/>
        <v>43940</v>
      </c>
      <c r="F5" s="2025"/>
      <c r="G5" s="1974" t="s">
        <v>1373</v>
      </c>
      <c r="H5" s="1975" t="str">
        <f t="shared" si="3"/>
        <v>Cooper</v>
      </c>
      <c r="I5" s="1975" t="str">
        <f t="shared" si="4"/>
        <v>Cty TNHH MTV Đại Thiên An</v>
      </c>
      <c r="J5" s="1984"/>
      <c r="K5" s="1985"/>
      <c r="L5" s="2052" t="str">
        <f t="shared" si="5"/>
        <v>28240/BB-LA</v>
      </c>
      <c r="M5" s="2005">
        <f t="shared" si="6"/>
        <v>44067</v>
      </c>
      <c r="N5" s="1215">
        <v>28240</v>
      </c>
      <c r="O5" s="1790" t="str">
        <f t="shared" si="7"/>
        <v>/BB-LA</v>
      </c>
      <c r="Q5" s="1980" t="s">
        <v>697</v>
      </c>
      <c r="R5" s="1986" t="s">
        <v>4197</v>
      </c>
      <c r="S5" s="1986" t="s">
        <v>4197</v>
      </c>
      <c r="T5" s="1988" t="s">
        <v>4627</v>
      </c>
      <c r="U5" s="1982">
        <v>43494</v>
      </c>
      <c r="X5" s="1215" t="s">
        <v>4783</v>
      </c>
      <c r="Z5" s="1987" t="s">
        <v>4190</v>
      </c>
    </row>
    <row r="6" spans="1:26" ht="35.1" customHeight="1">
      <c r="A6" s="2030" t="s">
        <v>4475</v>
      </c>
      <c r="B6" s="2027"/>
      <c r="C6" s="2028" t="str">
        <f t="shared" si="0"/>
        <v>00</v>
      </c>
      <c r="D6" s="2029">
        <f t="shared" si="1"/>
        <v>4</v>
      </c>
      <c r="E6" s="2024">
        <f t="shared" si="2"/>
        <v>43940</v>
      </c>
      <c r="F6" s="2025"/>
      <c r="G6" s="1974" t="s">
        <v>696</v>
      </c>
      <c r="H6" s="1975" t="str">
        <f t="shared" si="3"/>
        <v>Minh Long</v>
      </c>
      <c r="I6" s="1975" t="str">
        <f t="shared" si="4"/>
        <v>Minh Long</v>
      </c>
      <c r="J6" s="1984"/>
      <c r="K6" s="1985"/>
      <c r="L6" s="2052" t="str">
        <f t="shared" si="5"/>
        <v>28245/BB-SCĐ</v>
      </c>
      <c r="M6" s="2005">
        <f t="shared" si="6"/>
        <v>44067</v>
      </c>
      <c r="N6" s="1215">
        <v>28245</v>
      </c>
      <c r="O6" s="1790" t="str">
        <f t="shared" si="7"/>
        <v>/BB-SCĐ</v>
      </c>
      <c r="Q6" s="1980" t="s">
        <v>360</v>
      </c>
      <c r="R6" s="1986" t="s">
        <v>4197</v>
      </c>
      <c r="S6" s="1986" t="s">
        <v>4197</v>
      </c>
      <c r="T6" s="1988" t="s">
        <v>4626</v>
      </c>
      <c r="U6" s="1982">
        <v>43665</v>
      </c>
      <c r="X6" s="1215" t="s">
        <v>4783</v>
      </c>
      <c r="Z6" s="1987" t="s">
        <v>4295</v>
      </c>
    </row>
    <row r="7" spans="1:26" ht="35.1" customHeight="1">
      <c r="A7" s="2030" t="s">
        <v>4476</v>
      </c>
      <c r="B7" s="2027" t="s">
        <v>512</v>
      </c>
      <c r="C7" s="2028" t="str">
        <f t="shared" si="0"/>
        <v>x</v>
      </c>
      <c r="D7" s="2029">
        <f t="shared" si="1"/>
        <v>5</v>
      </c>
      <c r="E7" s="2024">
        <f t="shared" si="2"/>
        <v>43943</v>
      </c>
      <c r="F7" s="2025">
        <v>3</v>
      </c>
      <c r="G7" s="1974" t="s">
        <v>1506</v>
      </c>
      <c r="H7" s="1975" t="str">
        <f t="shared" si="3"/>
        <v>DTR</v>
      </c>
      <c r="I7" s="1975" t="str">
        <f t="shared" si="4"/>
        <v>Cty TNHH MTV Đại Thiên An</v>
      </c>
      <c r="J7" s="1984" t="s">
        <v>4937</v>
      </c>
      <c r="K7" s="1985">
        <v>43957</v>
      </c>
      <c r="L7" s="2052" t="str">
        <f t="shared" si="5"/>
        <v>28246/BB-SCĐ</v>
      </c>
      <c r="M7" s="2005">
        <f t="shared" si="6"/>
        <v>44067</v>
      </c>
      <c r="N7" s="1215">
        <v>28246</v>
      </c>
      <c r="O7" s="1790" t="str">
        <f t="shared" si="7"/>
        <v>/BB-SCĐ</v>
      </c>
      <c r="Q7" s="1980" t="s">
        <v>103</v>
      </c>
      <c r="R7" s="1986" t="s">
        <v>4197</v>
      </c>
      <c r="S7" s="1986" t="s">
        <v>4197</v>
      </c>
      <c r="T7" s="1988" t="s">
        <v>6412</v>
      </c>
      <c r="U7" s="1982">
        <v>43721</v>
      </c>
      <c r="V7" s="1215" t="s">
        <v>4725</v>
      </c>
      <c r="W7" s="1368">
        <v>43522</v>
      </c>
      <c r="Z7" s="1987" t="s">
        <v>4193</v>
      </c>
    </row>
    <row r="8" spans="1:26" ht="35.1" customHeight="1">
      <c r="A8" s="2026" t="s">
        <v>4853</v>
      </c>
      <c r="B8" s="2027" t="s">
        <v>512</v>
      </c>
      <c r="C8" s="2028" t="str">
        <f t="shared" si="0"/>
        <v>x</v>
      </c>
      <c r="D8" s="2029">
        <f t="shared" si="1"/>
        <v>6</v>
      </c>
      <c r="E8" s="2024">
        <f t="shared" si="2"/>
        <v>43943</v>
      </c>
      <c r="F8" s="2025"/>
      <c r="G8" s="1974" t="s">
        <v>1571</v>
      </c>
      <c r="H8" s="1975" t="str">
        <f t="shared" si="3"/>
        <v>Cty TNHHSX-TM Dây &amp; Cáp Điện Tài Trường Thành</v>
      </c>
      <c r="I8" s="1975" t="str">
        <f t="shared" si="4"/>
        <v>Cty TNHHSX-TM Dây &amp; Cáp Điện Tài Trường Thành</v>
      </c>
      <c r="J8" s="1984"/>
      <c r="K8" s="1985"/>
      <c r="L8" s="2052" t="str">
        <f t="shared" si="5"/>
        <v>28242/BB-LVC</v>
      </c>
      <c r="M8" s="2005">
        <f t="shared" si="6"/>
        <v>44067</v>
      </c>
      <c r="N8" s="1215">
        <v>28242</v>
      </c>
      <c r="O8" s="1790" t="str">
        <f t="shared" si="7"/>
        <v>/BB-LVC</v>
      </c>
      <c r="Q8" s="1983" t="s">
        <v>2276</v>
      </c>
      <c r="R8" s="1986" t="s">
        <v>4197</v>
      </c>
      <c r="S8" s="1986" t="s">
        <v>4197</v>
      </c>
      <c r="T8" s="1988" t="s">
        <v>4628</v>
      </c>
      <c r="U8" s="1982">
        <v>43494</v>
      </c>
      <c r="X8" s="1215" t="s">
        <v>4782</v>
      </c>
      <c r="Z8" s="1987" t="s">
        <v>4199</v>
      </c>
    </row>
    <row r="9" spans="1:26" ht="35.1" customHeight="1">
      <c r="A9" s="2031" t="s">
        <v>4127</v>
      </c>
      <c r="B9" s="2027" t="s">
        <v>512</v>
      </c>
      <c r="C9" s="2028" t="str">
        <f t="shared" si="0"/>
        <v>x</v>
      </c>
      <c r="D9" s="2029">
        <f t="shared" si="1"/>
        <v>7</v>
      </c>
      <c r="E9" s="2024">
        <f t="shared" si="2"/>
        <v>43943</v>
      </c>
      <c r="F9" s="2025"/>
      <c r="G9" s="1974" t="s">
        <v>4906</v>
      </c>
      <c r="H9" s="1975" t="str">
        <f t="shared" si="3"/>
        <v>Cty TNHHSX-TM Dây &amp; Cáp Điện Tài Trường Thành</v>
      </c>
      <c r="I9" s="1975" t="str">
        <f t="shared" si="4"/>
        <v>Cty TNHHSX-TM Dây &amp; Cáp Điện Tài Trường Thành</v>
      </c>
      <c r="J9" s="1984" t="s">
        <v>4941</v>
      </c>
      <c r="K9" s="1985">
        <v>43959</v>
      </c>
      <c r="L9" s="2052" t="str">
        <f t="shared" si="5"/>
        <v>28241/BB-MVC</v>
      </c>
      <c r="M9" s="2005">
        <f t="shared" si="6"/>
        <v>44067</v>
      </c>
      <c r="N9" s="1215">
        <v>28241</v>
      </c>
      <c r="O9" s="1790" t="str">
        <f t="shared" si="7"/>
        <v>/BB-MVC</v>
      </c>
      <c r="Q9" s="1980" t="s">
        <v>88</v>
      </c>
      <c r="R9" s="1986" t="s">
        <v>4197</v>
      </c>
      <c r="S9" s="1986" t="s">
        <v>4197</v>
      </c>
      <c r="T9" s="1988" t="s">
        <v>4723</v>
      </c>
      <c r="U9" s="1982">
        <v>43665</v>
      </c>
      <c r="V9" s="1215" t="s">
        <v>4722</v>
      </c>
      <c r="W9" s="1368">
        <v>42387</v>
      </c>
      <c r="Z9" s="1987" t="s">
        <v>4469</v>
      </c>
    </row>
    <row r="10" spans="1:26" ht="35.1" customHeight="1">
      <c r="A10" s="2031" t="s">
        <v>4480</v>
      </c>
      <c r="B10" s="2027" t="s">
        <v>512</v>
      </c>
      <c r="C10" s="2028" t="str">
        <f t="shared" si="0"/>
        <v>x</v>
      </c>
      <c r="D10" s="2029">
        <f t="shared" si="1"/>
        <v>8</v>
      </c>
      <c r="E10" s="2024">
        <f t="shared" si="2"/>
        <v>43943</v>
      </c>
      <c r="F10" s="2025"/>
      <c r="G10" s="1974" t="s">
        <v>6528</v>
      </c>
      <c r="H10" s="1975" t="str">
        <f t="shared" si="3"/>
        <v>Cty TNHHSX-TM Dây &amp; Cáp Điện Tài Trường Thành</v>
      </c>
      <c r="I10" s="1975" t="str">
        <f t="shared" si="4"/>
        <v>Cty TNHHSX-TM Dây &amp; Cáp Điện Tài Trường Thành</v>
      </c>
      <c r="J10" s="1984" t="s">
        <v>4940</v>
      </c>
      <c r="K10" s="1985">
        <v>43959</v>
      </c>
      <c r="L10" s="2052">
        <f t="shared" si="5"/>
        <v>0</v>
      </c>
      <c r="M10" s="2005">
        <f t="shared" si="6"/>
        <v>0</v>
      </c>
      <c r="O10" s="1790" t="str">
        <f t="shared" si="7"/>
        <v>/BB-MVC</v>
      </c>
      <c r="Q10" s="1980" t="s">
        <v>1359</v>
      </c>
      <c r="R10" s="1986" t="s">
        <v>4197</v>
      </c>
      <c r="S10" s="1986" t="s">
        <v>4197</v>
      </c>
      <c r="T10" s="1988" t="s">
        <v>4625</v>
      </c>
      <c r="U10" s="1982">
        <v>43665</v>
      </c>
      <c r="V10" s="1215" t="s">
        <v>4724</v>
      </c>
      <c r="W10" s="1368">
        <v>42445</v>
      </c>
      <c r="Z10" s="1987" t="s">
        <v>4197</v>
      </c>
    </row>
    <row r="11" spans="1:26" ht="35.1" customHeight="1" thickBot="1">
      <c r="A11" s="2032" t="s">
        <v>4492</v>
      </c>
      <c r="B11" s="2033" t="s">
        <v>512</v>
      </c>
      <c r="C11" s="2034" t="str">
        <f t="shared" si="0"/>
        <v>x</v>
      </c>
      <c r="D11" s="2035">
        <f t="shared" si="1"/>
        <v>9</v>
      </c>
      <c r="E11" s="2036">
        <f t="shared" si="2"/>
        <v>43948</v>
      </c>
      <c r="F11" s="2037">
        <v>5</v>
      </c>
      <c r="G11" s="1974" t="s">
        <v>2276</v>
      </c>
      <c r="H11" s="1975" t="str">
        <f t="shared" si="3"/>
        <v>Cty TNHHSX-TM Dây &amp; Cáp Điện Tài Trường Thành</v>
      </c>
      <c r="I11" s="1975" t="str">
        <f t="shared" si="4"/>
        <v>Cty TNHHSX-TM Dây &amp; Cáp Điện Tài Trường Thành</v>
      </c>
      <c r="J11" s="1984"/>
      <c r="K11" s="1985"/>
      <c r="L11" s="2052" t="str">
        <f t="shared" si="5"/>
        <v>28243/BB-LVC</v>
      </c>
      <c r="M11" s="2005">
        <f t="shared" si="6"/>
        <v>44067</v>
      </c>
      <c r="N11" s="1215">
        <v>28243</v>
      </c>
      <c r="O11" s="1790" t="str">
        <f t="shared" si="7"/>
        <v>/BB-LVC</v>
      </c>
      <c r="Q11" s="3037" t="s">
        <v>4695</v>
      </c>
      <c r="R11" s="1986" t="s">
        <v>4190</v>
      </c>
      <c r="S11" s="1986" t="s">
        <v>4190</v>
      </c>
      <c r="T11" s="1976" t="s">
        <v>4622</v>
      </c>
      <c r="U11" s="1977">
        <v>43525</v>
      </c>
      <c r="Z11" s="1987" t="s">
        <v>4196</v>
      </c>
    </row>
    <row r="12" spans="1:26" ht="35.1" customHeight="1">
      <c r="A12"/>
      <c r="B12"/>
      <c r="C12"/>
      <c r="D12"/>
      <c r="E12"/>
      <c r="F12"/>
      <c r="G12" s="1974" t="s">
        <v>6570</v>
      </c>
      <c r="H12" s="1975" t="str">
        <f t="shared" ref="H12" si="8">IFERROR(VLOOKUP(G12,$Q:$U,2,0),"nt")</f>
        <v>Cty TNHHSX-TM Dây &amp; Cáp Điện Tài Trường Thành</v>
      </c>
      <c r="I12" s="1975" t="str">
        <f t="shared" ref="I12" si="9">IFERROR(VLOOKUP(G12,$Q:$U,3,0),"nt")</f>
        <v>Cty TNHHSX-TM Dây &amp; Cáp Điện Tài Trường Thành</v>
      </c>
      <c r="J12" s="1984"/>
      <c r="K12" s="1985"/>
      <c r="L12" s="2052" t="str">
        <f t="shared" ref="L12" si="10">IF(N12&gt;0,N12&amp;O12,IFERROR(VLOOKUP(G12,Q:U,4,0),""))</f>
        <v>28241/BB-MVC</v>
      </c>
      <c r="M12" s="2005">
        <f t="shared" ref="M12" si="11">IF(N12&gt;0,$P$1,IFERROR(VLOOKUP(G12,Q:U,5,0),""))</f>
        <v>44067</v>
      </c>
      <c r="N12" s="1215">
        <v>28241</v>
      </c>
      <c r="O12" s="1790" t="str">
        <f t="shared" ref="O12" si="12">VLOOKUP(G12,Q:X,8,0)</f>
        <v>/BB-MVC</v>
      </c>
      <c r="Q12" s="1983" t="s">
        <v>751</v>
      </c>
      <c r="R12" s="1990" t="s">
        <v>4388</v>
      </c>
      <c r="S12" s="1990" t="s">
        <v>4388</v>
      </c>
      <c r="T12" s="1215" t="s">
        <v>1016</v>
      </c>
      <c r="U12" s="1368" t="s">
        <v>1016</v>
      </c>
      <c r="Z12" s="1987" t="s">
        <v>4194</v>
      </c>
    </row>
    <row r="13" spans="1:26" ht="35.1" customHeight="1">
      <c r="A13" s="1989"/>
      <c r="D13" s="1973"/>
      <c r="E13" s="1215"/>
      <c r="G13" s="1974" t="s">
        <v>6569</v>
      </c>
      <c r="H13" s="1975" t="str">
        <f t="shared" ref="H13:H44" si="13">IFERROR(VLOOKUP(G13,$Q:$U,2,0),"nt")</f>
        <v>Cty TNHHSX-TM Dây &amp; Cáp Điện Tài Trường Thành</v>
      </c>
      <c r="I13" s="1975" t="str">
        <f t="shared" ref="I13:I44" si="14">IFERROR(VLOOKUP(G13,$Q:$U,3,0),"nt")</f>
        <v>Cty TNHHSX-TM Dây &amp; Cáp Điện Tài Trường Thành</v>
      </c>
      <c r="J13" s="1984" t="s">
        <v>4938</v>
      </c>
      <c r="K13" s="1985">
        <v>43959</v>
      </c>
      <c r="L13" s="2052">
        <f t="shared" ref="L13:L19" si="15">IF(N13&gt;0,N13&amp;O13,IFERROR(VLOOKUP(G13,Q:U,4,0),""))</f>
        <v>0</v>
      </c>
      <c r="M13" s="2005">
        <f t="shared" ref="M13:M44" si="16">IF(N13&gt;0,$P$1,IFERROR(VLOOKUP(G13,Q:U,5,0),""))</f>
        <v>0</v>
      </c>
      <c r="O13" s="1790" t="str">
        <f t="shared" ref="O13:O44" si="17">VLOOKUP(G13,Q:X,8,0)</f>
        <v>/BB-MVC</v>
      </c>
      <c r="Q13" s="1983" t="s">
        <v>4414</v>
      </c>
      <c r="R13" s="1990" t="s">
        <v>4623</v>
      </c>
      <c r="S13" s="1990" t="s">
        <v>4623</v>
      </c>
      <c r="T13" s="1215" t="s">
        <v>1016</v>
      </c>
      <c r="U13" s="1368" t="s">
        <v>1016</v>
      </c>
      <c r="Z13" s="1987" t="s">
        <v>4192</v>
      </c>
    </row>
    <row r="14" spans="1:26" ht="35.1" customHeight="1">
      <c r="A14" s="1989"/>
      <c r="D14" s="1973"/>
      <c r="E14" s="1215"/>
      <c r="G14" s="1974" t="str">
        <f>'NT-VT'!A18</f>
        <v>M25</v>
      </c>
      <c r="H14" s="1975" t="str">
        <f t="shared" si="13"/>
        <v>Cty TNHHSX-TM Dây &amp; Cáp Điện Tài Trường Thành</v>
      </c>
      <c r="I14" s="1975" t="str">
        <f t="shared" si="14"/>
        <v>Cty TNHHSX-TM Dây &amp; Cáp Điện Tài Trường Thành</v>
      </c>
      <c r="J14" s="1984" t="s">
        <v>4939</v>
      </c>
      <c r="K14" s="1985">
        <v>43959</v>
      </c>
      <c r="L14" s="2052" t="str">
        <f t="shared" si="15"/>
        <v>TTT - 061KCS0718/112</v>
      </c>
      <c r="M14" s="2005">
        <f t="shared" si="16"/>
        <v>43721</v>
      </c>
      <c r="O14" s="1790">
        <f t="shared" si="17"/>
        <v>0</v>
      </c>
      <c r="Q14" s="1983" t="s">
        <v>867</v>
      </c>
      <c r="R14" s="1990" t="s">
        <v>4623</v>
      </c>
      <c r="S14" s="1990" t="s">
        <v>4623</v>
      </c>
      <c r="T14" s="1215" t="s">
        <v>1016</v>
      </c>
      <c r="U14" s="1368" t="s">
        <v>1016</v>
      </c>
      <c r="Z14" s="1987" t="s">
        <v>4621</v>
      </c>
    </row>
    <row r="15" spans="1:26" ht="35.1" customHeight="1">
      <c r="A15" s="1328"/>
      <c r="D15" s="1973"/>
      <c r="E15" s="1215"/>
      <c r="G15" s="1974" t="str">
        <f>'NT-VT'!A19</f>
        <v>AC50</v>
      </c>
      <c r="H15" s="1975" t="str">
        <f t="shared" si="13"/>
        <v>Cty TNHHSX-TM Dây &amp; Cáp Điện Tài Trường Thành</v>
      </c>
      <c r="I15" s="1975" t="str">
        <f t="shared" si="14"/>
        <v>Cty TNHHSX-TM Dây &amp; Cáp Điện Tài Trường Thành</v>
      </c>
      <c r="J15" s="1984"/>
      <c r="K15" s="1985"/>
      <c r="L15" s="2052" t="str">
        <f t="shared" si="15"/>
        <v>TTT-056KCS0719/16</v>
      </c>
      <c r="M15" s="2005">
        <f t="shared" si="16"/>
        <v>43665</v>
      </c>
      <c r="O15" s="1790">
        <f t="shared" si="17"/>
        <v>0</v>
      </c>
      <c r="Q15" s="1983" t="s">
        <v>953</v>
      </c>
      <c r="R15" s="1986" t="s">
        <v>4192</v>
      </c>
      <c r="S15" s="1986" t="s">
        <v>4193</v>
      </c>
      <c r="T15" s="1215" t="s">
        <v>1016</v>
      </c>
      <c r="U15" s="1368">
        <v>43525</v>
      </c>
      <c r="X15" s="1215" t="s">
        <v>4784</v>
      </c>
      <c r="Z15" s="1987" t="s">
        <v>4195</v>
      </c>
    </row>
    <row r="16" spans="1:26" ht="35.1" customHeight="1">
      <c r="A16" s="1328"/>
      <c r="D16" s="1973"/>
      <c r="E16" s="1215"/>
      <c r="G16" s="1974" t="str">
        <f>'NT-VT'!A20</f>
        <v>AC70</v>
      </c>
      <c r="H16" s="1975" t="str">
        <f t="shared" si="13"/>
        <v>Cty TNHHSX-TM Dây &amp; Cáp Điện Tài Trường Thành</v>
      </c>
      <c r="I16" s="1975" t="str">
        <f t="shared" si="14"/>
        <v>Cty TNHHSX-TM Dây &amp; Cáp Điện Tài Trường Thành</v>
      </c>
      <c r="J16" s="1984"/>
      <c r="K16" s="1985"/>
      <c r="L16" s="2052">
        <f t="shared" si="15"/>
        <v>0</v>
      </c>
      <c r="M16" s="2005">
        <f t="shared" si="16"/>
        <v>0</v>
      </c>
      <c r="O16" s="1790">
        <f t="shared" si="17"/>
        <v>0</v>
      </c>
      <c r="Q16" s="1983" t="s">
        <v>696</v>
      </c>
      <c r="R16" s="1986" t="s">
        <v>4195</v>
      </c>
      <c r="S16" s="1986" t="s">
        <v>4195</v>
      </c>
      <c r="T16" s="1215" t="s">
        <v>4720</v>
      </c>
      <c r="U16" s="1368">
        <v>43525</v>
      </c>
      <c r="X16" s="1215" t="s">
        <v>4785</v>
      </c>
      <c r="Z16" s="1987" t="s">
        <v>4191</v>
      </c>
    </row>
    <row r="17" spans="1:26" ht="35.1" customHeight="1">
      <c r="A17" s="1989"/>
      <c r="D17" s="1973"/>
      <c r="E17" s="1991"/>
      <c r="G17" s="1974" t="str">
        <f>'NT-VT'!A21</f>
        <v>T12</v>
      </c>
      <c r="H17" s="1975" t="str">
        <f t="shared" si="13"/>
        <v>Cty Cổ phần Bê tông ly tâm Thủ Đức</v>
      </c>
      <c r="I17" s="1975" t="str">
        <f t="shared" si="14"/>
        <v>Cty Cổ phần Bê tông ly tâm Thủ Đức</v>
      </c>
      <c r="J17" s="1984" t="s">
        <v>4942</v>
      </c>
      <c r="K17" s="1985">
        <v>43954</v>
      </c>
      <c r="L17" s="2052" t="str">
        <f t="shared" si="15"/>
        <v>136/NTXX-KHKD/TDC</v>
      </c>
      <c r="M17" s="2005">
        <f t="shared" si="16"/>
        <v>43864</v>
      </c>
      <c r="O17" s="1790">
        <f t="shared" si="17"/>
        <v>0</v>
      </c>
      <c r="Q17" s="1983" t="s">
        <v>1222</v>
      </c>
      <c r="R17" s="1986" t="s">
        <v>4197</v>
      </c>
      <c r="S17" s="1986" t="s">
        <v>4197</v>
      </c>
      <c r="T17" s="1988" t="s">
        <v>4726</v>
      </c>
      <c r="U17" s="1368">
        <v>43626</v>
      </c>
      <c r="X17" s="1215" t="s">
        <v>4782</v>
      </c>
      <c r="Z17" s="1987" t="s">
        <v>4535</v>
      </c>
    </row>
    <row r="18" spans="1:26" ht="35.1" customHeight="1">
      <c r="A18" s="1989"/>
      <c r="D18" s="1973"/>
      <c r="G18" s="1974" t="str">
        <f>'NT-VT'!A22</f>
        <v>T14</v>
      </c>
      <c r="H18" s="1975" t="str">
        <f t="shared" si="13"/>
        <v>Cty Cổ phần Bê tông ly tâm Thủ Đức</v>
      </c>
      <c r="I18" s="1975" t="str">
        <f t="shared" si="14"/>
        <v>Cty Cổ phần Bê tông ly tâm Thủ Đức</v>
      </c>
      <c r="J18" s="1984"/>
      <c r="K18" s="1985"/>
      <c r="L18" s="2052" t="str">
        <f t="shared" si="15"/>
        <v>136/NTXX-KHKD/TDC</v>
      </c>
      <c r="M18" s="2005">
        <f t="shared" si="16"/>
        <v>43864</v>
      </c>
      <c r="O18" s="1790">
        <f t="shared" si="17"/>
        <v>0</v>
      </c>
      <c r="Q18" s="1983" t="s">
        <v>1560</v>
      </c>
      <c r="R18" s="1210" t="s">
        <v>4192</v>
      </c>
      <c r="S18" s="1210" t="s">
        <v>4193</v>
      </c>
      <c r="T18" s="1215" t="s">
        <v>1016</v>
      </c>
      <c r="X18" s="1215" t="s">
        <v>4784</v>
      </c>
      <c r="Z18" s="1987" t="s">
        <v>4769</v>
      </c>
    </row>
    <row r="19" spans="1:26" ht="35.1" customHeight="1">
      <c r="A19" s="1989"/>
      <c r="D19" s="1973"/>
      <c r="E19" s="1215"/>
      <c r="G19" s="1974" t="str">
        <f>'NT-VT'!A23</f>
        <v>com800</v>
      </c>
      <c r="H19" s="1975" t="str">
        <f t="shared" si="13"/>
        <v>Cty TNHH MTV Đại Thiên An</v>
      </c>
      <c r="I19" s="1975" t="str">
        <f t="shared" si="14"/>
        <v>Cty TNHH MTV Đại Thiên An</v>
      </c>
      <c r="J19" s="1984"/>
      <c r="K19" s="1985"/>
      <c r="L19" s="2052" t="str">
        <f t="shared" si="15"/>
        <v>01.2019/BBXX/DTA-TL</v>
      </c>
      <c r="M19" s="2005">
        <f t="shared" si="16"/>
        <v>43525</v>
      </c>
      <c r="O19" s="1790">
        <f t="shared" si="17"/>
        <v>0</v>
      </c>
      <c r="Q19" s="1983" t="s">
        <v>1406</v>
      </c>
      <c r="R19" s="1986" t="s">
        <v>4197</v>
      </c>
      <c r="S19" s="1986" t="s">
        <v>4197</v>
      </c>
      <c r="T19" s="1215" t="s">
        <v>4786</v>
      </c>
      <c r="U19" s="1368">
        <v>43356</v>
      </c>
      <c r="X19" s="1215" t="s">
        <v>4782</v>
      </c>
      <c r="Z19" s="1987" t="s">
        <v>4189</v>
      </c>
    </row>
    <row r="20" spans="1:26" s="1215" customFormat="1" ht="35.1" customHeight="1">
      <c r="D20" s="1973"/>
      <c r="E20" s="1983"/>
      <c r="G20" s="1974" t="str">
        <f>'NT-VT'!A24</f>
        <v>acb1600</v>
      </c>
      <c r="H20" s="1975" t="str">
        <f t="shared" si="13"/>
        <v>nt</v>
      </c>
      <c r="I20" s="1975" t="str">
        <f t="shared" si="14"/>
        <v>nt</v>
      </c>
      <c r="J20" s="1984"/>
      <c r="K20" s="1985"/>
      <c r="L20" s="1881"/>
      <c r="M20" s="2005" t="str">
        <f t="shared" si="16"/>
        <v/>
      </c>
      <c r="O20" s="1790" t="e">
        <f t="shared" si="17"/>
        <v>#N/A</v>
      </c>
      <c r="P20" s="1790"/>
      <c r="Q20" s="1983" t="s">
        <v>1506</v>
      </c>
      <c r="R20" s="1986" t="s">
        <v>4196</v>
      </c>
      <c r="S20" s="1986" t="s">
        <v>4190</v>
      </c>
      <c r="T20" s="1215" t="s">
        <v>1016</v>
      </c>
      <c r="U20" s="1368" t="s">
        <v>1016</v>
      </c>
      <c r="X20" s="1215" t="s">
        <v>4785</v>
      </c>
    </row>
    <row r="21" spans="1:26" s="1215" customFormat="1" ht="35.1" customHeight="1">
      <c r="D21" s="1973"/>
      <c r="E21" s="1983"/>
      <c r="G21" s="1974" t="str">
        <f>'NT-VT'!A25</f>
        <v>b1050</v>
      </c>
      <c r="H21" s="1975" t="str">
        <f t="shared" si="13"/>
        <v>nt</v>
      </c>
      <c r="I21" s="1975" t="str">
        <f t="shared" si="14"/>
        <v>nt</v>
      </c>
      <c r="J21" s="1984" t="str">
        <f t="shared" ref="J21:J52" si="18">IFERROR(VLOOKUP(G21,$Q:$U,4,0),"nt")</f>
        <v>nt</v>
      </c>
      <c r="K21" s="1985" t="str">
        <f t="shared" ref="K21:K52" si="19">IFERROR(VLOOKUP(G21,$Q:$U,5,0),"nt")</f>
        <v>nt</v>
      </c>
      <c r="L21" s="1881"/>
      <c r="M21" s="2005" t="str">
        <f t="shared" si="16"/>
        <v/>
      </c>
      <c r="O21" s="1790" t="e">
        <f t="shared" si="17"/>
        <v>#N/A</v>
      </c>
      <c r="P21" s="1790"/>
      <c r="Q21" s="1983" t="s">
        <v>4757</v>
      </c>
      <c r="R21" s="1986" t="s">
        <v>4197</v>
      </c>
      <c r="S21" s="1986" t="s">
        <v>4197</v>
      </c>
      <c r="T21" s="1215" t="s">
        <v>1016</v>
      </c>
      <c r="U21" s="1368" t="s">
        <v>1016</v>
      </c>
      <c r="X21" s="1215" t="s">
        <v>4782</v>
      </c>
    </row>
    <row r="22" spans="1:26" s="1215" customFormat="1" ht="35.1" customHeight="1">
      <c r="E22" s="1983"/>
      <c r="G22" s="1974" t="str">
        <f>'NT-VT'!A26</f>
        <v>B14350</v>
      </c>
      <c r="H22" s="1975" t="str">
        <f t="shared" si="13"/>
        <v>nt</v>
      </c>
      <c r="I22" s="1975" t="str">
        <f t="shared" si="14"/>
        <v>nt</v>
      </c>
      <c r="J22" s="1984" t="str">
        <f t="shared" si="18"/>
        <v>nt</v>
      </c>
      <c r="K22" s="1985" t="str">
        <f t="shared" si="19"/>
        <v>nt</v>
      </c>
      <c r="L22" s="1881"/>
      <c r="M22" s="2005" t="str">
        <f t="shared" si="16"/>
        <v/>
      </c>
      <c r="O22" s="1790" t="e">
        <f t="shared" si="17"/>
        <v>#N/A</v>
      </c>
      <c r="P22" s="1790"/>
      <c r="Q22" s="1983" t="s">
        <v>4773</v>
      </c>
      <c r="R22" s="1986" t="s">
        <v>4197</v>
      </c>
      <c r="S22" s="1986" t="s">
        <v>4197</v>
      </c>
      <c r="T22" s="1215" t="s">
        <v>1016</v>
      </c>
      <c r="U22" s="1368" t="s">
        <v>4774</v>
      </c>
      <c r="X22" s="1215" t="s">
        <v>4782</v>
      </c>
    </row>
    <row r="23" spans="1:26" s="1215" customFormat="1" ht="35.1" customHeight="1">
      <c r="E23" s="1983"/>
      <c r="G23" s="1974" t="str">
        <f>'NT-VT'!A27</f>
        <v>B16150</v>
      </c>
      <c r="H23" s="1975" t="str">
        <f t="shared" si="13"/>
        <v>nt</v>
      </c>
      <c r="I23" s="1975" t="str">
        <f t="shared" si="14"/>
        <v>nt</v>
      </c>
      <c r="J23" s="1984" t="str">
        <f t="shared" si="18"/>
        <v>nt</v>
      </c>
      <c r="K23" s="1985" t="str">
        <f t="shared" si="19"/>
        <v>nt</v>
      </c>
      <c r="L23" s="1881"/>
      <c r="M23" s="2005" t="str">
        <f t="shared" si="16"/>
        <v/>
      </c>
      <c r="O23" s="1790" t="e">
        <f t="shared" si="17"/>
        <v>#N/A</v>
      </c>
      <c r="P23" s="1790"/>
      <c r="Q23" s="1983" t="s">
        <v>4787</v>
      </c>
      <c r="R23" s="1986" t="s">
        <v>4197</v>
      </c>
      <c r="S23" s="1986" t="s">
        <v>4197</v>
      </c>
      <c r="T23" s="1215" t="s">
        <v>4788</v>
      </c>
      <c r="U23" s="1368">
        <v>43721</v>
      </c>
      <c r="X23" s="1215" t="s">
        <v>4782</v>
      </c>
    </row>
    <row r="24" spans="1:26" s="1215" customFormat="1" ht="35.1" customHeight="1">
      <c r="E24" s="1983"/>
      <c r="G24" s="1974" t="str">
        <f>'NT-VT'!A28</f>
        <v>B16250</v>
      </c>
      <c r="H24" s="1975" t="str">
        <f t="shared" si="13"/>
        <v>nt</v>
      </c>
      <c r="I24" s="1975" t="str">
        <f t="shared" si="14"/>
        <v>nt</v>
      </c>
      <c r="J24" s="1984" t="str">
        <f t="shared" si="18"/>
        <v>nt</v>
      </c>
      <c r="K24" s="1985" t="str">
        <f t="shared" si="19"/>
        <v>nt</v>
      </c>
      <c r="L24" s="1881"/>
      <c r="M24" s="2005" t="str">
        <f t="shared" si="16"/>
        <v/>
      </c>
      <c r="O24" s="1790" t="e">
        <f t="shared" si="17"/>
        <v>#N/A</v>
      </c>
      <c r="P24" s="1790"/>
      <c r="Q24" s="1983" t="s">
        <v>4517</v>
      </c>
      <c r="R24" s="1986" t="s">
        <v>4197</v>
      </c>
      <c r="S24" s="1986" t="s">
        <v>4197</v>
      </c>
      <c r="T24" s="1215" t="s">
        <v>4789</v>
      </c>
      <c r="U24" s="1368">
        <v>43805</v>
      </c>
      <c r="X24" s="1215" t="s">
        <v>4782</v>
      </c>
    </row>
    <row r="25" spans="1:26" s="1215" customFormat="1" ht="35.1" customHeight="1">
      <c r="E25" s="1983"/>
      <c r="G25" s="1974" t="str">
        <f>'NT-VT'!A29</f>
        <v>B16300</v>
      </c>
      <c r="H25" s="1975" t="str">
        <f t="shared" si="13"/>
        <v>nt</v>
      </c>
      <c r="I25" s="1975" t="str">
        <f t="shared" si="14"/>
        <v>nt</v>
      </c>
      <c r="J25" s="1984" t="str">
        <f t="shared" si="18"/>
        <v>nt</v>
      </c>
      <c r="K25" s="1985" t="str">
        <f t="shared" si="19"/>
        <v>nt</v>
      </c>
      <c r="L25" s="1881"/>
      <c r="M25" s="2005" t="str">
        <f t="shared" si="16"/>
        <v/>
      </c>
      <c r="O25" s="1790" t="e">
        <f t="shared" si="17"/>
        <v>#N/A</v>
      </c>
      <c r="P25" s="1790"/>
      <c r="Q25" s="1983" t="s">
        <v>4790</v>
      </c>
      <c r="R25" s="1986" t="s">
        <v>4197</v>
      </c>
      <c r="S25" s="1986" t="s">
        <v>4197</v>
      </c>
      <c r="T25" s="1215" t="s">
        <v>4791</v>
      </c>
      <c r="U25" s="1368">
        <v>43668</v>
      </c>
      <c r="X25" s="1215" t="s">
        <v>4782</v>
      </c>
    </row>
    <row r="26" spans="1:26" s="1215" customFormat="1" ht="35.1" customHeight="1">
      <c r="E26" s="1983"/>
      <c r="G26" s="1974" t="str">
        <f>'NT-VT'!A30</f>
        <v>B16300V</v>
      </c>
      <c r="H26" s="1975" t="str">
        <f t="shared" si="13"/>
        <v>nt</v>
      </c>
      <c r="I26" s="1975" t="str">
        <f t="shared" si="14"/>
        <v>nt</v>
      </c>
      <c r="J26" s="1984" t="str">
        <f t="shared" si="18"/>
        <v>nt</v>
      </c>
      <c r="K26" s="1985" t="str">
        <f t="shared" si="19"/>
        <v>nt</v>
      </c>
      <c r="L26" s="1881"/>
      <c r="M26" s="2005" t="str">
        <f t="shared" si="16"/>
        <v/>
      </c>
      <c r="O26" s="1790" t="e">
        <f t="shared" si="17"/>
        <v>#N/A</v>
      </c>
      <c r="P26" s="1790"/>
      <c r="Q26" s="1983" t="s">
        <v>32</v>
      </c>
      <c r="R26" s="1986" t="s">
        <v>4197</v>
      </c>
      <c r="S26" s="1986" t="s">
        <v>4197</v>
      </c>
      <c r="T26" s="1215" t="s">
        <v>4792</v>
      </c>
      <c r="U26" s="1368">
        <v>43356</v>
      </c>
      <c r="X26" s="1215" t="s">
        <v>4782</v>
      </c>
    </row>
    <row r="27" spans="1:26" s="1215" customFormat="1" ht="35.1" customHeight="1">
      <c r="E27" s="1983"/>
      <c r="G27" s="1974" t="str">
        <f>'NT-VT'!A31</f>
        <v>B1635</v>
      </c>
      <c r="H27" s="1975" t="str">
        <f t="shared" si="13"/>
        <v>nt</v>
      </c>
      <c r="I27" s="1975" t="str">
        <f t="shared" si="14"/>
        <v>nt</v>
      </c>
      <c r="J27" s="1984" t="str">
        <f t="shared" si="18"/>
        <v>nt</v>
      </c>
      <c r="K27" s="1985" t="str">
        <f t="shared" si="19"/>
        <v>nt</v>
      </c>
      <c r="L27" s="1881"/>
      <c r="M27" s="2005" t="str">
        <f t="shared" si="16"/>
        <v/>
      </c>
      <c r="O27" s="1790" t="e">
        <f t="shared" si="17"/>
        <v>#N/A</v>
      </c>
      <c r="P27" s="1790"/>
      <c r="Q27" s="1980" t="s">
        <v>107</v>
      </c>
      <c r="R27" s="1210" t="s">
        <v>4474</v>
      </c>
      <c r="S27" s="1210" t="s">
        <v>4474</v>
      </c>
      <c r="T27" s="1215" t="s">
        <v>4795</v>
      </c>
      <c r="U27" s="1982">
        <v>43864</v>
      </c>
      <c r="V27" s="1215" t="s">
        <v>4721</v>
      </c>
      <c r="W27" s="1368">
        <v>43462</v>
      </c>
    </row>
    <row r="28" spans="1:26" s="1215" customFormat="1" ht="35.1" customHeight="1">
      <c r="E28" s="1983"/>
      <c r="G28" s="1974" t="str">
        <f>'NT-VT'!A32</f>
        <v>B16350</v>
      </c>
      <c r="H28" s="1975" t="str">
        <f t="shared" si="13"/>
        <v>nt</v>
      </c>
      <c r="I28" s="1975" t="str">
        <f t="shared" si="14"/>
        <v>nt</v>
      </c>
      <c r="J28" s="1984" t="str">
        <f t="shared" si="18"/>
        <v>nt</v>
      </c>
      <c r="K28" s="1985" t="str">
        <f t="shared" si="19"/>
        <v>nt</v>
      </c>
      <c r="L28" s="1881"/>
      <c r="M28" s="2005" t="str">
        <f t="shared" si="16"/>
        <v/>
      </c>
      <c r="O28" s="1790" t="e">
        <f t="shared" si="17"/>
        <v>#N/A</v>
      </c>
      <c r="P28" s="1790"/>
      <c r="Q28" s="1983" t="s">
        <v>1652</v>
      </c>
      <c r="R28" s="1975" t="s">
        <v>4189</v>
      </c>
      <c r="S28" s="1986" t="s">
        <v>4190</v>
      </c>
      <c r="T28" s="1215" t="s">
        <v>1016</v>
      </c>
      <c r="U28" s="1368" t="s">
        <v>1016</v>
      </c>
      <c r="X28" s="1215" t="s">
        <v>4793</v>
      </c>
    </row>
    <row r="29" spans="1:26" s="1215" customFormat="1" ht="35.1" customHeight="1">
      <c r="E29" s="1983"/>
      <c r="G29" s="1974" t="str">
        <f>'NT-VT'!A33</f>
        <v>B16400</v>
      </c>
      <c r="H29" s="1975" t="str">
        <f t="shared" si="13"/>
        <v>nt</v>
      </c>
      <c r="I29" s="1975" t="str">
        <f t="shared" si="14"/>
        <v>nt</v>
      </c>
      <c r="J29" s="1984" t="str">
        <f t="shared" si="18"/>
        <v>nt</v>
      </c>
      <c r="K29" s="1985" t="str">
        <f t="shared" si="19"/>
        <v>nt</v>
      </c>
      <c r="L29" s="1881"/>
      <c r="M29" s="2005" t="str">
        <f t="shared" si="16"/>
        <v/>
      </c>
      <c r="O29" s="1790" t="e">
        <f t="shared" si="17"/>
        <v>#N/A</v>
      </c>
      <c r="P29" s="1790"/>
      <c r="Q29" s="1983" t="s">
        <v>1373</v>
      </c>
      <c r="R29" s="1975" t="s">
        <v>4621</v>
      </c>
      <c r="S29" s="1986" t="s">
        <v>4190</v>
      </c>
      <c r="T29" s="1215" t="s">
        <v>1016</v>
      </c>
      <c r="U29" s="1368" t="s">
        <v>1016</v>
      </c>
      <c r="X29" s="1215" t="s">
        <v>4794</v>
      </c>
    </row>
    <row r="30" spans="1:26" s="1215" customFormat="1" ht="35.1" customHeight="1">
      <c r="E30" s="1983"/>
      <c r="G30" s="1974" t="str">
        <f>'NT-VT'!A34</f>
        <v>B1650</v>
      </c>
      <c r="H30" s="1975" t="str">
        <f t="shared" si="13"/>
        <v>nt</v>
      </c>
      <c r="I30" s="1975" t="str">
        <f t="shared" si="14"/>
        <v>nt</v>
      </c>
      <c r="J30" s="1984" t="str">
        <f t="shared" si="18"/>
        <v>nt</v>
      </c>
      <c r="K30" s="1985" t="str">
        <f t="shared" si="19"/>
        <v>nt</v>
      </c>
      <c r="L30" s="1881"/>
      <c r="M30" s="2005" t="str">
        <f t="shared" si="16"/>
        <v/>
      </c>
      <c r="O30" s="1790" t="e">
        <f t="shared" si="17"/>
        <v>#N/A</v>
      </c>
      <c r="P30" s="1790"/>
      <c r="Q30" s="1983" t="s">
        <v>1419</v>
      </c>
      <c r="R30" s="1986" t="s">
        <v>4192</v>
      </c>
      <c r="S30" s="1986" t="s">
        <v>4193</v>
      </c>
      <c r="T30" s="1215" t="s">
        <v>1016</v>
      </c>
      <c r="U30" s="1368">
        <v>43525</v>
      </c>
      <c r="X30" s="1215" t="s">
        <v>4784</v>
      </c>
    </row>
    <row r="31" spans="1:26" s="1215" customFormat="1" ht="35.1" customHeight="1">
      <c r="E31" s="1983"/>
      <c r="G31" s="1974" t="str">
        <f>'NT-VT'!A35</f>
        <v>B16500</v>
      </c>
      <c r="H31" s="1975" t="str">
        <f t="shared" si="13"/>
        <v>nt</v>
      </c>
      <c r="I31" s="1975" t="str">
        <f t="shared" si="14"/>
        <v>nt</v>
      </c>
      <c r="J31" s="1984" t="str">
        <f t="shared" si="18"/>
        <v>nt</v>
      </c>
      <c r="K31" s="1985" t="str">
        <f t="shared" si="19"/>
        <v>nt</v>
      </c>
      <c r="L31" s="1881"/>
      <c r="M31" s="2005" t="str">
        <f t="shared" si="16"/>
        <v/>
      </c>
      <c r="O31" s="1790" t="e">
        <f t="shared" si="17"/>
        <v>#N/A</v>
      </c>
      <c r="P31" s="1790"/>
      <c r="Q31" s="1983" t="s">
        <v>237</v>
      </c>
      <c r="R31" s="1986" t="s">
        <v>4197</v>
      </c>
      <c r="S31" s="1986" t="s">
        <v>4197</v>
      </c>
      <c r="T31" s="1215" t="s">
        <v>4796</v>
      </c>
      <c r="U31" s="1368">
        <v>43805</v>
      </c>
      <c r="X31" s="1215" t="s">
        <v>4782</v>
      </c>
    </row>
    <row r="32" spans="1:26" s="1215" customFormat="1" ht="35.1" customHeight="1">
      <c r="E32" s="1983"/>
      <c r="G32" s="1974" t="str">
        <f>'NT-VT'!A36</f>
        <v>B16550</v>
      </c>
      <c r="H32" s="1975" t="str">
        <f t="shared" si="13"/>
        <v>nt</v>
      </c>
      <c r="I32" s="1975" t="str">
        <f t="shared" si="14"/>
        <v>nt</v>
      </c>
      <c r="J32" s="1984" t="str">
        <f t="shared" si="18"/>
        <v>nt</v>
      </c>
      <c r="K32" s="1985" t="str">
        <f t="shared" si="19"/>
        <v>nt</v>
      </c>
      <c r="L32" s="1881"/>
      <c r="M32" s="2005" t="str">
        <f t="shared" si="16"/>
        <v/>
      </c>
      <c r="O32" s="1790" t="e">
        <f t="shared" si="17"/>
        <v>#N/A</v>
      </c>
      <c r="P32" s="1790"/>
      <c r="Q32" s="1983" t="s">
        <v>1459</v>
      </c>
      <c r="R32" s="1986" t="s">
        <v>4192</v>
      </c>
      <c r="S32" s="1986" t="s">
        <v>4193</v>
      </c>
      <c r="T32" s="1215" t="s">
        <v>1016</v>
      </c>
      <c r="U32" s="1368">
        <v>43525</v>
      </c>
      <c r="X32" s="1215" t="s">
        <v>4784</v>
      </c>
    </row>
    <row r="33" spans="5:24" s="1215" customFormat="1" ht="35.1" customHeight="1">
      <c r="E33" s="1983"/>
      <c r="G33" s="1974" t="str">
        <f>'NT-VT'!A37</f>
        <v>B16550v</v>
      </c>
      <c r="H33" s="1975" t="str">
        <f t="shared" si="13"/>
        <v>nt</v>
      </c>
      <c r="I33" s="1975" t="str">
        <f t="shared" si="14"/>
        <v>nt</v>
      </c>
      <c r="J33" s="1984" t="str">
        <f t="shared" si="18"/>
        <v>nt</v>
      </c>
      <c r="K33" s="1985" t="str">
        <f t="shared" si="19"/>
        <v>nt</v>
      </c>
      <c r="L33" s="1881"/>
      <c r="M33" s="2005" t="str">
        <f t="shared" si="16"/>
        <v/>
      </c>
      <c r="O33" s="1790" t="e">
        <f t="shared" si="17"/>
        <v>#N/A</v>
      </c>
      <c r="P33" s="1790"/>
      <c r="Q33" s="1983" t="s">
        <v>4645</v>
      </c>
      <c r="R33" s="1981" t="s">
        <v>4474</v>
      </c>
      <c r="S33" s="1981" t="s">
        <v>4474</v>
      </c>
      <c r="U33" s="1368"/>
    </row>
    <row r="34" spans="5:24" s="1215" customFormat="1" ht="35.1" customHeight="1">
      <c r="E34" s="1983"/>
      <c r="G34" s="1974" t="str">
        <f>'NT-VT'!A38</f>
        <v>B16600</v>
      </c>
      <c r="H34" s="1975" t="str">
        <f t="shared" si="13"/>
        <v>nt</v>
      </c>
      <c r="I34" s="1975" t="str">
        <f t="shared" si="14"/>
        <v>nt</v>
      </c>
      <c r="J34" s="1984" t="str">
        <f t="shared" si="18"/>
        <v>nt</v>
      </c>
      <c r="K34" s="1985" t="str">
        <f t="shared" si="19"/>
        <v>nt</v>
      </c>
      <c r="L34" s="1881"/>
      <c r="M34" s="2005" t="str">
        <f t="shared" si="16"/>
        <v/>
      </c>
      <c r="O34" s="1790" t="e">
        <f t="shared" si="17"/>
        <v>#N/A</v>
      </c>
      <c r="P34" s="1790"/>
      <c r="Q34" s="1983" t="s">
        <v>874</v>
      </c>
      <c r="R34" s="1981" t="s">
        <v>4474</v>
      </c>
      <c r="S34" s="1981" t="s">
        <v>4474</v>
      </c>
      <c r="U34" s="1368"/>
    </row>
    <row r="35" spans="5:24" s="1215" customFormat="1" ht="35.1" customHeight="1">
      <c r="E35" s="1983"/>
      <c r="G35" s="1974" t="str">
        <f>'NT-VT'!A39</f>
        <v>B16650v</v>
      </c>
      <c r="H35" s="1975" t="str">
        <f t="shared" si="13"/>
        <v>nt</v>
      </c>
      <c r="I35" s="1975" t="str">
        <f t="shared" si="14"/>
        <v>nt</v>
      </c>
      <c r="J35" s="1984" t="str">
        <f t="shared" si="18"/>
        <v>nt</v>
      </c>
      <c r="K35" s="1985" t="str">
        <f t="shared" si="19"/>
        <v>nt</v>
      </c>
      <c r="L35" s="1881"/>
      <c r="M35" s="2005" t="str">
        <f t="shared" si="16"/>
        <v/>
      </c>
      <c r="O35" s="1790" t="e">
        <f t="shared" si="17"/>
        <v>#N/A</v>
      </c>
      <c r="P35" s="1790"/>
      <c r="Q35" s="1983" t="s">
        <v>1427</v>
      </c>
      <c r="R35" s="1986" t="s">
        <v>4192</v>
      </c>
      <c r="S35" s="1986" t="s">
        <v>4193</v>
      </c>
      <c r="U35" s="1368"/>
    </row>
    <row r="36" spans="5:24" s="1215" customFormat="1" ht="35.1" customHeight="1">
      <c r="E36" s="1983"/>
      <c r="G36" s="1974" t="str">
        <f>'NT-VT'!A40</f>
        <v>B16750v</v>
      </c>
      <c r="H36" s="1975" t="str">
        <f t="shared" si="13"/>
        <v>nt</v>
      </c>
      <c r="I36" s="1975" t="str">
        <f t="shared" si="14"/>
        <v>nt</v>
      </c>
      <c r="J36" s="1984" t="str">
        <f t="shared" si="18"/>
        <v>nt</v>
      </c>
      <c r="K36" s="1985" t="str">
        <f t="shared" si="19"/>
        <v>nt</v>
      </c>
      <c r="L36" s="1881"/>
      <c r="M36" s="2005" t="str">
        <f t="shared" si="16"/>
        <v/>
      </c>
      <c r="O36" s="1790" t="e">
        <f t="shared" si="17"/>
        <v>#N/A</v>
      </c>
      <c r="P36" s="1790"/>
      <c r="Q36" s="1983" t="s">
        <v>1151</v>
      </c>
      <c r="R36" s="1986" t="s">
        <v>4197</v>
      </c>
      <c r="S36" s="1986" t="s">
        <v>4197</v>
      </c>
      <c r="U36" s="1368"/>
    </row>
    <row r="37" spans="5:24" s="1215" customFormat="1" ht="35.1" customHeight="1">
      <c r="E37" s="1983"/>
      <c r="G37" s="1974" t="str">
        <f>'NT-VT'!A41</f>
        <v>b1680</v>
      </c>
      <c r="H37" s="1975" t="str">
        <f t="shared" si="13"/>
        <v>nt</v>
      </c>
      <c r="I37" s="1975" t="str">
        <f t="shared" si="14"/>
        <v>nt</v>
      </c>
      <c r="J37" s="1984" t="str">
        <f t="shared" si="18"/>
        <v>nt</v>
      </c>
      <c r="K37" s="1985" t="str">
        <f t="shared" si="19"/>
        <v>nt</v>
      </c>
      <c r="L37" s="1881"/>
      <c r="M37" s="2005" t="str">
        <f t="shared" si="16"/>
        <v/>
      </c>
      <c r="O37" s="1790" t="e">
        <f t="shared" si="17"/>
        <v>#N/A</v>
      </c>
      <c r="P37" s="1790"/>
      <c r="Q37" s="1983" t="s">
        <v>4662</v>
      </c>
      <c r="R37" s="1986" t="s">
        <v>4197</v>
      </c>
      <c r="S37" s="1986" t="s">
        <v>4197</v>
      </c>
      <c r="U37" s="1368"/>
    </row>
    <row r="38" spans="5:24" s="1215" customFormat="1" ht="35.1" customHeight="1">
      <c r="E38" s="1983"/>
      <c r="G38" s="1974" t="str">
        <f>'NT-VT'!A42</f>
        <v>b40</v>
      </c>
      <c r="H38" s="1975" t="str">
        <f t="shared" si="13"/>
        <v>nt</v>
      </c>
      <c r="I38" s="1975" t="str">
        <f t="shared" si="14"/>
        <v>nt</v>
      </c>
      <c r="J38" s="1984" t="str">
        <f t="shared" si="18"/>
        <v>nt</v>
      </c>
      <c r="K38" s="1985" t="str">
        <f t="shared" si="19"/>
        <v>nt</v>
      </c>
      <c r="L38" s="1881"/>
      <c r="M38" s="2005" t="str">
        <f t="shared" si="16"/>
        <v/>
      </c>
      <c r="O38" s="1790" t="e">
        <f t="shared" si="17"/>
        <v>#N/A</v>
      </c>
      <c r="P38" s="1790"/>
      <c r="Q38" s="1983" t="s">
        <v>5092</v>
      </c>
      <c r="R38" s="1986" t="s">
        <v>4197</v>
      </c>
      <c r="S38" s="1986" t="s">
        <v>4197</v>
      </c>
      <c r="U38" s="1368"/>
      <c r="X38" s="1215" t="s">
        <v>4783</v>
      </c>
    </row>
    <row r="39" spans="5:24" s="1215" customFormat="1" ht="35.1" customHeight="1">
      <c r="E39" s="1983"/>
      <c r="G39" s="1974" t="str">
        <f>'NT-VT'!A43</f>
        <v>BAKE</v>
      </c>
      <c r="H39" s="1975" t="str">
        <f t="shared" si="13"/>
        <v>nt</v>
      </c>
      <c r="I39" s="1975" t="str">
        <f t="shared" si="14"/>
        <v>nt</v>
      </c>
      <c r="J39" s="1984" t="str">
        <f t="shared" si="18"/>
        <v>nt</v>
      </c>
      <c r="K39" s="1985" t="str">
        <f t="shared" si="19"/>
        <v>nt</v>
      </c>
      <c r="L39" s="1881"/>
      <c r="M39" s="2005" t="str">
        <f t="shared" si="16"/>
        <v/>
      </c>
      <c r="O39" s="1790" t="e">
        <f t="shared" si="17"/>
        <v>#N/A</v>
      </c>
      <c r="P39" s="1790"/>
      <c r="Q39" s="1983" t="s">
        <v>6274</v>
      </c>
      <c r="R39" s="1210" t="s">
        <v>6410</v>
      </c>
      <c r="S39" s="1210" t="s">
        <v>6410</v>
      </c>
      <c r="U39" s="1368"/>
      <c r="X39" s="1215" t="s">
        <v>6411</v>
      </c>
    </row>
    <row r="40" spans="5:24" s="1215" customFormat="1" ht="35.1" customHeight="1">
      <c r="E40" s="1983"/>
      <c r="G40" s="1974" t="str">
        <f>'NT-VT'!A44</f>
        <v>BANG</v>
      </c>
      <c r="H40" s="1975" t="str">
        <f t="shared" si="13"/>
        <v>nt</v>
      </c>
      <c r="I40" s="1975" t="str">
        <f t="shared" si="14"/>
        <v>nt</v>
      </c>
      <c r="J40" s="1984" t="str">
        <f t="shared" si="18"/>
        <v>nt</v>
      </c>
      <c r="K40" s="1985" t="str">
        <f t="shared" si="19"/>
        <v>nt</v>
      </c>
      <c r="L40" s="1881"/>
      <c r="M40" s="2005" t="str">
        <f t="shared" si="16"/>
        <v/>
      </c>
      <c r="O40" s="1790" t="e">
        <f t="shared" si="17"/>
        <v>#N/A</v>
      </c>
      <c r="P40" s="1790"/>
      <c r="Q40" s="1983" t="s">
        <v>6432</v>
      </c>
      <c r="R40" s="1986" t="s">
        <v>4197</v>
      </c>
      <c r="S40" s="1986" t="s">
        <v>4197</v>
      </c>
      <c r="U40" s="1368"/>
      <c r="X40" s="1215" t="s">
        <v>4783</v>
      </c>
    </row>
    <row r="41" spans="5:24" s="1215" customFormat="1" ht="35.1" customHeight="1">
      <c r="E41" s="1983"/>
      <c r="G41" s="1974" t="str">
        <f>'NT-VT'!A45</f>
        <v>BANGKEO</v>
      </c>
      <c r="H41" s="1975" t="str">
        <f t="shared" si="13"/>
        <v>nt</v>
      </c>
      <c r="I41" s="1975" t="str">
        <f t="shared" si="14"/>
        <v>nt</v>
      </c>
      <c r="J41" s="1984" t="str">
        <f t="shared" si="18"/>
        <v>nt</v>
      </c>
      <c r="K41" s="1985" t="str">
        <f t="shared" si="19"/>
        <v>nt</v>
      </c>
      <c r="L41" s="1881"/>
      <c r="M41" s="2005" t="str">
        <f t="shared" si="16"/>
        <v/>
      </c>
      <c r="O41" s="1790" t="e">
        <f t="shared" si="17"/>
        <v>#N/A</v>
      </c>
      <c r="P41" s="1790"/>
      <c r="Q41" s="1983" t="s">
        <v>656</v>
      </c>
      <c r="R41" s="1986" t="s">
        <v>4192</v>
      </c>
      <c r="S41" s="1986" t="s">
        <v>4193</v>
      </c>
      <c r="U41" s="1368"/>
      <c r="X41" s="1215" t="s">
        <v>4784</v>
      </c>
    </row>
    <row r="42" spans="5:24" s="1215" customFormat="1" ht="35.1" customHeight="1">
      <c r="E42" s="1983"/>
      <c r="G42" s="1974" t="str">
        <f>'NT-VT'!A46</f>
        <v>BANGKEOTT</v>
      </c>
      <c r="H42" s="1975" t="str">
        <f t="shared" si="13"/>
        <v>nt</v>
      </c>
      <c r="I42" s="1975" t="str">
        <f t="shared" si="14"/>
        <v>nt</v>
      </c>
      <c r="J42" s="1984" t="str">
        <f t="shared" si="18"/>
        <v>nt</v>
      </c>
      <c r="K42" s="1985" t="str">
        <f t="shared" si="19"/>
        <v>nt</v>
      </c>
      <c r="L42" s="1881"/>
      <c r="M42" s="2005" t="str">
        <f t="shared" si="16"/>
        <v/>
      </c>
      <c r="O42" s="1790" t="e">
        <f t="shared" si="17"/>
        <v>#N/A</v>
      </c>
      <c r="P42" s="1790"/>
      <c r="Q42" s="1983" t="s">
        <v>6570</v>
      </c>
      <c r="R42" s="1986" t="s">
        <v>4197</v>
      </c>
      <c r="S42" s="1986" t="s">
        <v>4197</v>
      </c>
      <c r="U42" s="1368"/>
      <c r="X42" s="1215" t="s">
        <v>4783</v>
      </c>
    </row>
    <row r="43" spans="5:24" s="1215" customFormat="1" ht="35.1" customHeight="1">
      <c r="E43" s="1983"/>
      <c r="G43" s="1974" t="str">
        <f>'NT-VT'!A47</f>
        <v>BATLi</v>
      </c>
      <c r="H43" s="1975" t="str">
        <f t="shared" si="13"/>
        <v>nt</v>
      </c>
      <c r="I43" s="1975" t="str">
        <f t="shared" si="14"/>
        <v>nt</v>
      </c>
      <c r="J43" s="1984" t="str">
        <f t="shared" si="18"/>
        <v>nt</v>
      </c>
      <c r="K43" s="1985" t="str">
        <f t="shared" si="19"/>
        <v>nt</v>
      </c>
      <c r="L43" s="1881"/>
      <c r="M43" s="2005" t="str">
        <f t="shared" si="16"/>
        <v/>
      </c>
      <c r="O43" s="1790" t="e">
        <f t="shared" si="17"/>
        <v>#N/A</v>
      </c>
      <c r="P43" s="1790"/>
      <c r="Q43" s="1983" t="s">
        <v>6569</v>
      </c>
      <c r="R43" s="1986" t="s">
        <v>4197</v>
      </c>
      <c r="S43" s="1986" t="s">
        <v>4197</v>
      </c>
      <c r="U43" s="1368"/>
      <c r="X43" s="1215" t="s">
        <v>4783</v>
      </c>
    </row>
    <row r="44" spans="5:24" s="1215" customFormat="1" ht="35.1" customHeight="1">
      <c r="E44" s="1983"/>
      <c r="G44" s="1974" t="str">
        <f>'NT-VT'!A48</f>
        <v>BATLL</v>
      </c>
      <c r="H44" s="1975" t="str">
        <f t="shared" si="13"/>
        <v>nt</v>
      </c>
      <c r="I44" s="1975" t="str">
        <f t="shared" si="14"/>
        <v>nt</v>
      </c>
      <c r="J44" s="1984" t="str">
        <f t="shared" si="18"/>
        <v>nt</v>
      </c>
      <c r="K44" s="1985" t="str">
        <f t="shared" si="19"/>
        <v>nt</v>
      </c>
      <c r="L44" s="1881"/>
      <c r="M44" s="2005" t="str">
        <f t="shared" si="16"/>
        <v/>
      </c>
      <c r="O44" s="1790" t="e">
        <f t="shared" si="17"/>
        <v>#N/A</v>
      </c>
      <c r="P44" s="1790"/>
      <c r="Q44" s="1983" t="s">
        <v>4906</v>
      </c>
      <c r="R44" s="1986" t="s">
        <v>4197</v>
      </c>
      <c r="S44" s="1986" t="s">
        <v>4197</v>
      </c>
      <c r="U44" s="1368"/>
      <c r="X44" s="1215" t="s">
        <v>4783</v>
      </c>
    </row>
    <row r="45" spans="5:24" s="1215" customFormat="1" ht="35.1" customHeight="1">
      <c r="E45" s="1983"/>
      <c r="G45" s="1974" t="str">
        <f>'NT-VT'!A49</f>
        <v>BM16300</v>
      </c>
      <c r="H45" s="1975" t="str">
        <f t="shared" ref="H45:H76" si="20">IFERROR(VLOOKUP(G45,$Q:$U,2,0),"nt")</f>
        <v>nt</v>
      </c>
      <c r="I45" s="1975" t="str">
        <f t="shared" ref="I45:I76" si="21">IFERROR(VLOOKUP(G45,$Q:$U,3,0),"nt")</f>
        <v>nt</v>
      </c>
      <c r="J45" s="1984" t="str">
        <f t="shared" si="18"/>
        <v>nt</v>
      </c>
      <c r="K45" s="1985" t="str">
        <f t="shared" si="19"/>
        <v>nt</v>
      </c>
      <c r="L45" s="1881"/>
      <c r="M45" s="2005" t="str">
        <f t="shared" ref="M45:M76" si="22">IF(N45&gt;0,$P$1,IFERROR(VLOOKUP(G45,Q:U,5,0),""))</f>
        <v/>
      </c>
      <c r="O45" s="1790" t="e">
        <f t="shared" ref="O45:O76" si="23">VLOOKUP(G45,Q:X,8,0)</f>
        <v>#N/A</v>
      </c>
      <c r="P45" s="1790"/>
      <c r="Q45" s="1983" t="s">
        <v>6528</v>
      </c>
      <c r="R45" s="1986" t="s">
        <v>4197</v>
      </c>
      <c r="S45" s="1986" t="s">
        <v>4197</v>
      </c>
      <c r="U45" s="1368"/>
      <c r="X45" s="1215" t="s">
        <v>4783</v>
      </c>
    </row>
    <row r="46" spans="5:24" s="1215" customFormat="1" ht="35.1" customHeight="1">
      <c r="E46" s="1983"/>
      <c r="G46" s="1974" t="str">
        <f>'NT-VT'!A50</f>
        <v>BM16550</v>
      </c>
      <c r="H46" s="1975" t="str">
        <f t="shared" si="20"/>
        <v>nt</v>
      </c>
      <c r="I46" s="1975" t="str">
        <f t="shared" si="21"/>
        <v>nt</v>
      </c>
      <c r="J46" s="1984" t="str">
        <f t="shared" si="18"/>
        <v>nt</v>
      </c>
      <c r="K46" s="1985" t="str">
        <f t="shared" si="19"/>
        <v>nt</v>
      </c>
      <c r="L46" s="1881"/>
      <c r="M46" s="2005" t="str">
        <f t="shared" si="22"/>
        <v/>
      </c>
      <c r="O46" s="1790" t="e">
        <f t="shared" si="23"/>
        <v>#N/A</v>
      </c>
      <c r="P46" s="1790"/>
      <c r="Q46" s="1983" t="s">
        <v>1653</v>
      </c>
      <c r="R46" s="1975" t="s">
        <v>4189</v>
      </c>
      <c r="S46" s="1986" t="s">
        <v>4190</v>
      </c>
      <c r="T46" s="1215" t="s">
        <v>1016</v>
      </c>
      <c r="U46" s="1368" t="s">
        <v>1016</v>
      </c>
      <c r="X46" s="1215" t="s">
        <v>4793</v>
      </c>
    </row>
    <row r="47" spans="5:24" s="1215" customFormat="1" ht="35.1" customHeight="1">
      <c r="E47" s="1983"/>
      <c r="G47" s="1974" t="str">
        <f>'NT-VT'!A51</f>
        <v>CD25x2</v>
      </c>
      <c r="H47" s="1975" t="str">
        <f t="shared" si="20"/>
        <v>nt</v>
      </c>
      <c r="I47" s="1975" t="str">
        <f t="shared" si="21"/>
        <v>nt</v>
      </c>
      <c r="J47" s="1984" t="str">
        <f t="shared" si="18"/>
        <v>nt</v>
      </c>
      <c r="K47" s="1985" t="str">
        <f t="shared" si="19"/>
        <v>nt</v>
      </c>
      <c r="L47" s="1881"/>
      <c r="M47" s="2005" t="str">
        <f t="shared" si="22"/>
        <v/>
      </c>
      <c r="O47" s="1790" t="e">
        <f t="shared" si="23"/>
        <v>#N/A</v>
      </c>
      <c r="P47" s="1790"/>
      <c r="Q47" s="1983" t="s">
        <v>1239</v>
      </c>
      <c r="R47" s="1210" t="s">
        <v>4197</v>
      </c>
      <c r="S47" s="1210" t="s">
        <v>4197</v>
      </c>
      <c r="U47" s="1368"/>
    </row>
    <row r="48" spans="5:24" ht="35.1" customHeight="1">
      <c r="G48" s="1974" t="str">
        <f>'NT-VT'!A52</f>
        <v>CD320</v>
      </c>
      <c r="H48" s="1975" t="str">
        <f t="shared" si="20"/>
        <v>nt</v>
      </c>
      <c r="I48" s="1975" t="str">
        <f t="shared" si="21"/>
        <v>nt</v>
      </c>
      <c r="J48" s="1984" t="str">
        <f t="shared" si="18"/>
        <v>nt</v>
      </c>
      <c r="K48" s="1985" t="str">
        <f t="shared" si="19"/>
        <v>nt</v>
      </c>
      <c r="L48" s="1881"/>
      <c r="M48" s="2005" t="str">
        <f t="shared" si="22"/>
        <v/>
      </c>
      <c r="O48" s="1790" t="e">
        <f t="shared" si="23"/>
        <v>#N/A</v>
      </c>
    </row>
    <row r="49" spans="5:21" ht="35.1" customHeight="1">
      <c r="G49" s="1974" t="str">
        <f>'NT-VT'!A53</f>
        <v>CD60</v>
      </c>
      <c r="H49" s="1975" t="str">
        <f t="shared" si="20"/>
        <v>nt</v>
      </c>
      <c r="I49" s="1975" t="str">
        <f t="shared" si="21"/>
        <v>nt</v>
      </c>
      <c r="J49" s="1984" t="str">
        <f t="shared" si="18"/>
        <v>nt</v>
      </c>
      <c r="K49" s="1985" t="str">
        <f t="shared" si="19"/>
        <v>nt</v>
      </c>
      <c r="L49" s="1881"/>
      <c r="M49" s="2005" t="str">
        <f t="shared" si="22"/>
        <v/>
      </c>
      <c r="O49" s="1790" t="e">
        <f t="shared" si="23"/>
        <v>#N/A</v>
      </c>
    </row>
    <row r="50" spans="5:21" s="1215" customFormat="1" ht="35.1" customHeight="1">
      <c r="E50" s="1983"/>
      <c r="G50" s="1974" t="str">
        <f>'NT-VT'!A54</f>
        <v>CD6x60</v>
      </c>
      <c r="H50" s="1975" t="str">
        <f t="shared" si="20"/>
        <v>nt</v>
      </c>
      <c r="I50" s="1975" t="str">
        <f t="shared" si="21"/>
        <v>nt</v>
      </c>
      <c r="J50" s="1984" t="str">
        <f t="shared" si="18"/>
        <v>nt</v>
      </c>
      <c r="K50" s="1985" t="str">
        <f t="shared" si="19"/>
        <v>nt</v>
      </c>
      <c r="L50" s="1881"/>
      <c r="M50" s="2005" t="str">
        <f t="shared" si="22"/>
        <v/>
      </c>
      <c r="O50" s="1790" t="e">
        <f t="shared" si="23"/>
        <v>#N/A</v>
      </c>
      <c r="P50" s="1790"/>
      <c r="Q50" s="1983"/>
      <c r="R50" s="1210"/>
      <c r="S50" s="1210"/>
      <c r="U50" s="1368"/>
    </row>
    <row r="51" spans="5:21" s="1215" customFormat="1" ht="35.1" customHeight="1">
      <c r="E51" s="1983"/>
      <c r="G51" s="1974" t="str">
        <f>'NT-VT'!A55</f>
        <v>CHCOS240</v>
      </c>
      <c r="H51" s="1975" t="str">
        <f t="shared" si="20"/>
        <v>nt</v>
      </c>
      <c r="I51" s="1975" t="str">
        <f t="shared" si="21"/>
        <v>nt</v>
      </c>
      <c r="J51" s="1984" t="str">
        <f t="shared" si="18"/>
        <v>nt</v>
      </c>
      <c r="K51" s="1985" t="str">
        <f t="shared" si="19"/>
        <v>nt</v>
      </c>
      <c r="L51" s="1881"/>
      <c r="M51" s="2005" t="str">
        <f t="shared" si="22"/>
        <v/>
      </c>
      <c r="O51" s="1790" t="e">
        <f t="shared" si="23"/>
        <v>#N/A</v>
      </c>
      <c r="P51" s="1790"/>
      <c r="Q51" s="1983"/>
      <c r="R51" s="1210"/>
      <c r="S51" s="1210"/>
      <c r="U51" s="1368"/>
    </row>
    <row r="52" spans="5:21" s="1215" customFormat="1" ht="35.1" customHeight="1">
      <c r="E52" s="1983"/>
      <c r="G52" s="1974" t="str">
        <f>'NT-VT'!A56</f>
        <v>chfco</v>
      </c>
      <c r="H52" s="1975" t="str">
        <f t="shared" si="20"/>
        <v>nt</v>
      </c>
      <c r="I52" s="1975" t="str">
        <f t="shared" si="21"/>
        <v>nt</v>
      </c>
      <c r="J52" s="1984" t="str">
        <f t="shared" si="18"/>
        <v>nt</v>
      </c>
      <c r="K52" s="1985" t="str">
        <f t="shared" si="19"/>
        <v>nt</v>
      </c>
      <c r="L52" s="1978"/>
      <c r="M52" s="2005" t="str">
        <f t="shared" si="22"/>
        <v/>
      </c>
      <c r="O52" s="1790" t="e">
        <f t="shared" si="23"/>
        <v>#N/A</v>
      </c>
      <c r="P52" s="1790"/>
      <c r="Q52" s="1983"/>
      <c r="R52" s="1210"/>
      <c r="S52" s="1210"/>
      <c r="U52" s="1368"/>
    </row>
    <row r="53" spans="5:21" s="1215" customFormat="1" ht="35.1" customHeight="1">
      <c r="E53" s="1983"/>
      <c r="G53" s="1974" t="str">
        <f>'NT-VT'!A57</f>
        <v>chi140k</v>
      </c>
      <c r="H53" s="1975" t="str">
        <f t="shared" si="20"/>
        <v>nt</v>
      </c>
      <c r="I53" s="1975" t="str">
        <f t="shared" si="21"/>
        <v>nt</v>
      </c>
      <c r="J53" s="1984" t="str">
        <f t="shared" ref="J53:J84" si="24">IFERROR(VLOOKUP(G53,$Q:$U,4,0),"nt")</f>
        <v>nt</v>
      </c>
      <c r="K53" s="1985" t="str">
        <f t="shared" ref="K53:K84" si="25">IFERROR(VLOOKUP(G53,$Q:$U,5,0),"nt")</f>
        <v>nt</v>
      </c>
      <c r="L53" s="1881"/>
      <c r="M53" s="2005" t="str">
        <f t="shared" si="22"/>
        <v/>
      </c>
      <c r="O53" s="1790" t="e">
        <f t="shared" si="23"/>
        <v>#N/A</v>
      </c>
      <c r="P53" s="1790"/>
      <c r="Q53" s="1983"/>
      <c r="R53" s="1210"/>
      <c r="S53" s="1210"/>
      <c r="U53" s="1368"/>
    </row>
    <row r="54" spans="5:21" s="1215" customFormat="1" ht="35.1" customHeight="1">
      <c r="E54" s="1983"/>
      <c r="G54" s="1974" t="str">
        <f>'NT-VT'!A58</f>
        <v>chi3k</v>
      </c>
      <c r="H54" s="1975" t="str">
        <f t="shared" si="20"/>
        <v>nt</v>
      </c>
      <c r="I54" s="1975" t="str">
        <f t="shared" si="21"/>
        <v>nt</v>
      </c>
      <c r="J54" s="1984" t="str">
        <f t="shared" si="24"/>
        <v>nt</v>
      </c>
      <c r="K54" s="1985" t="str">
        <f t="shared" si="25"/>
        <v>nt</v>
      </c>
      <c r="L54" s="1881"/>
      <c r="M54" s="2005" t="str">
        <f t="shared" si="22"/>
        <v/>
      </c>
      <c r="O54" s="1790" t="e">
        <f t="shared" si="23"/>
        <v>#N/A</v>
      </c>
      <c r="P54" s="1790"/>
      <c r="Q54" s="1983"/>
      <c r="R54" s="1210"/>
      <c r="S54" s="1210"/>
      <c r="U54" s="1368"/>
    </row>
    <row r="55" spans="5:21" s="1215" customFormat="1" ht="35.1" customHeight="1">
      <c r="E55" s="1983"/>
      <c r="G55" s="1974" t="str">
        <f>'NT-VT'!A59</f>
        <v>CHI40K</v>
      </c>
      <c r="H55" s="1975" t="str">
        <f t="shared" si="20"/>
        <v>nt</v>
      </c>
      <c r="I55" s="1975" t="str">
        <f t="shared" si="21"/>
        <v>nt</v>
      </c>
      <c r="J55" s="1984" t="str">
        <f t="shared" si="24"/>
        <v>nt</v>
      </c>
      <c r="K55" s="1985" t="str">
        <f t="shared" si="25"/>
        <v>nt</v>
      </c>
      <c r="L55" s="1881"/>
      <c r="M55" s="2005" t="str">
        <f t="shared" si="22"/>
        <v/>
      </c>
      <c r="O55" s="1790" t="e">
        <f t="shared" si="23"/>
        <v>#N/A</v>
      </c>
      <c r="P55" s="1790"/>
      <c r="Q55" s="1983"/>
      <c r="R55" s="1210"/>
      <c r="S55" s="1210"/>
      <c r="U55" s="1368"/>
    </row>
    <row r="56" spans="5:21" s="1215" customFormat="1" ht="35.1" customHeight="1">
      <c r="E56" s="1983"/>
      <c r="G56" s="1974" t="str">
        <f>'NT-VT'!A60</f>
        <v>chla</v>
      </c>
      <c r="H56" s="1975" t="str">
        <f t="shared" si="20"/>
        <v>nt</v>
      </c>
      <c r="I56" s="1975" t="str">
        <f t="shared" si="21"/>
        <v>nt</v>
      </c>
      <c r="J56" s="1984" t="str">
        <f t="shared" si="24"/>
        <v>nt</v>
      </c>
      <c r="K56" s="1985" t="str">
        <f t="shared" si="25"/>
        <v>nt</v>
      </c>
      <c r="L56" s="1881"/>
      <c r="M56" s="2005" t="str">
        <f t="shared" si="22"/>
        <v/>
      </c>
      <c r="O56" s="1790" t="e">
        <f t="shared" si="23"/>
        <v>#N/A</v>
      </c>
      <c r="P56" s="1790"/>
      <c r="Q56" s="1983"/>
      <c r="R56" s="1210"/>
      <c r="S56" s="1210"/>
      <c r="U56" s="1368"/>
    </row>
    <row r="57" spans="5:21" s="1215" customFormat="1" ht="35.1" customHeight="1">
      <c r="E57" s="1983"/>
      <c r="G57" s="1974" t="str">
        <f>'NT-VT'!A61</f>
        <v>CHLBS-REC</v>
      </c>
      <c r="H57" s="1975" t="str">
        <f t="shared" si="20"/>
        <v>nt</v>
      </c>
      <c r="I57" s="1975" t="str">
        <f t="shared" si="21"/>
        <v>nt</v>
      </c>
      <c r="J57" s="1984" t="str">
        <f t="shared" si="24"/>
        <v>nt</v>
      </c>
      <c r="K57" s="1985" t="str">
        <f t="shared" si="25"/>
        <v>nt</v>
      </c>
      <c r="L57" s="1881"/>
      <c r="M57" s="2005" t="str">
        <f t="shared" si="22"/>
        <v/>
      </c>
      <c r="O57" s="1790" t="e">
        <f t="shared" si="23"/>
        <v>#N/A</v>
      </c>
      <c r="P57" s="1790"/>
      <c r="Q57" s="1983"/>
      <c r="R57" s="1210"/>
      <c r="S57" s="1210"/>
      <c r="U57" s="1368"/>
    </row>
    <row r="58" spans="5:21" s="1215" customFormat="1" ht="35.1" customHeight="1">
      <c r="E58" s="1983"/>
      <c r="G58" s="1974" t="str">
        <f>'NT-VT'!A62</f>
        <v>chmba</v>
      </c>
      <c r="H58" s="1975" t="str">
        <f t="shared" si="20"/>
        <v>nt</v>
      </c>
      <c r="I58" s="1975" t="str">
        <f t="shared" si="21"/>
        <v>nt</v>
      </c>
      <c r="J58" s="1984" t="str">
        <f t="shared" si="24"/>
        <v>nt</v>
      </c>
      <c r="K58" s="1985" t="str">
        <f t="shared" si="25"/>
        <v>nt</v>
      </c>
      <c r="L58" s="1881"/>
      <c r="M58" s="2005" t="str">
        <f t="shared" si="22"/>
        <v/>
      </c>
      <c r="O58" s="1790" t="e">
        <f t="shared" si="23"/>
        <v>#N/A</v>
      </c>
      <c r="P58" s="1790"/>
      <c r="Q58" s="1983"/>
      <c r="R58" s="1210"/>
      <c r="S58" s="1210"/>
      <c r="U58" s="1368"/>
    </row>
    <row r="59" spans="5:21" s="1215" customFormat="1" ht="35.1" customHeight="1">
      <c r="E59" s="1983"/>
      <c r="G59" s="1974" t="str">
        <f>'NT-VT'!A63</f>
        <v>CHQ-H</v>
      </c>
      <c r="H59" s="1975" t="str">
        <f t="shared" si="20"/>
        <v>nt</v>
      </c>
      <c r="I59" s="1975" t="str">
        <f t="shared" si="21"/>
        <v>nt</v>
      </c>
      <c r="J59" s="1984" t="str">
        <f t="shared" si="24"/>
        <v>nt</v>
      </c>
      <c r="K59" s="1985" t="str">
        <f t="shared" si="25"/>
        <v>nt</v>
      </c>
      <c r="L59" s="1881"/>
      <c r="M59" s="2005" t="str">
        <f t="shared" si="22"/>
        <v/>
      </c>
      <c r="O59" s="1790" t="e">
        <f t="shared" si="23"/>
        <v>#N/A</v>
      </c>
      <c r="P59" s="1790"/>
      <c r="Q59" s="1983"/>
      <c r="R59" s="1210"/>
      <c r="S59" s="1210"/>
      <c r="U59" s="1368"/>
    </row>
    <row r="60" spans="5:21" s="1215" customFormat="1" ht="35.1" customHeight="1">
      <c r="E60" s="1983"/>
      <c r="G60" s="1974" t="str">
        <f>'NT-VT'!A64</f>
        <v>chupTuTi</v>
      </c>
      <c r="H60" s="1975" t="str">
        <f t="shared" si="20"/>
        <v>nt</v>
      </c>
      <c r="I60" s="1975" t="str">
        <f t="shared" si="21"/>
        <v>nt</v>
      </c>
      <c r="J60" s="1984" t="str">
        <f t="shared" si="24"/>
        <v>nt</v>
      </c>
      <c r="K60" s="1985" t="str">
        <f t="shared" si="25"/>
        <v>nt</v>
      </c>
      <c r="L60" s="1881"/>
      <c r="M60" s="2005" t="str">
        <f t="shared" si="22"/>
        <v/>
      </c>
      <c r="O60" s="1790" t="e">
        <f t="shared" si="23"/>
        <v>#N/A</v>
      </c>
      <c r="P60" s="1790"/>
      <c r="Q60" s="1983"/>
      <c r="R60" s="1210"/>
      <c r="S60" s="1210"/>
      <c r="U60" s="1368"/>
    </row>
    <row r="61" spans="5:21" s="1215" customFormat="1" ht="35.1" customHeight="1">
      <c r="E61" s="1983"/>
      <c r="G61" s="1974" t="str">
        <f>'NT-VT'!A65</f>
        <v>COM110x800x5-2,4</v>
      </c>
      <c r="H61" s="1975" t="str">
        <f t="shared" si="20"/>
        <v>nt</v>
      </c>
      <c r="I61" s="1975" t="str">
        <f t="shared" si="21"/>
        <v>nt</v>
      </c>
      <c r="J61" s="1984" t="str">
        <f t="shared" si="24"/>
        <v>nt</v>
      </c>
      <c r="K61" s="1985" t="str">
        <f t="shared" si="25"/>
        <v>nt</v>
      </c>
      <c r="L61" s="1881"/>
      <c r="M61" s="2005" t="str">
        <f t="shared" si="22"/>
        <v/>
      </c>
      <c r="O61" s="1790" t="e">
        <f t="shared" si="23"/>
        <v>#N/A</v>
      </c>
      <c r="P61" s="1790"/>
      <c r="Q61" s="1983"/>
      <c r="R61" s="1210"/>
      <c r="S61" s="1210"/>
      <c r="U61" s="1368"/>
    </row>
    <row r="62" spans="5:21" s="1215" customFormat="1" ht="35.1" customHeight="1">
      <c r="E62" s="1983"/>
      <c r="G62" s="1974" t="str">
        <f>'NT-VT'!A66</f>
        <v>com40x10x720</v>
      </c>
      <c r="H62" s="1975" t="str">
        <f t="shared" si="20"/>
        <v>nt</v>
      </c>
      <c r="I62" s="1975" t="str">
        <f t="shared" si="21"/>
        <v>nt</v>
      </c>
      <c r="J62" s="1984" t="str">
        <f t="shared" si="24"/>
        <v>nt</v>
      </c>
      <c r="K62" s="1985" t="str">
        <f t="shared" si="25"/>
        <v>nt</v>
      </c>
      <c r="L62" s="1881"/>
      <c r="M62" s="2005" t="str">
        <f t="shared" si="22"/>
        <v/>
      </c>
      <c r="O62" s="1790" t="e">
        <f t="shared" si="23"/>
        <v>#N/A</v>
      </c>
      <c r="P62" s="1790"/>
      <c r="Q62" s="1983"/>
      <c r="R62" s="1210"/>
      <c r="S62" s="1210"/>
      <c r="U62" s="1368"/>
    </row>
    <row r="63" spans="5:21" s="1215" customFormat="1" ht="35.1" customHeight="1">
      <c r="E63" s="1983"/>
      <c r="G63" s="1974" t="str">
        <f>'NT-VT'!A67</f>
        <v>COM40X10X920</v>
      </c>
      <c r="H63" s="1975" t="str">
        <f t="shared" si="20"/>
        <v>nt</v>
      </c>
      <c r="I63" s="1975" t="str">
        <f t="shared" si="21"/>
        <v>nt</v>
      </c>
      <c r="J63" s="1984" t="str">
        <f t="shared" si="24"/>
        <v>nt</v>
      </c>
      <c r="K63" s="1985" t="str">
        <f t="shared" si="25"/>
        <v>nt</v>
      </c>
      <c r="L63" s="1881"/>
      <c r="M63" s="2005" t="str">
        <f t="shared" si="22"/>
        <v/>
      </c>
      <c r="O63" s="1790" t="e">
        <f t="shared" si="23"/>
        <v>#N/A</v>
      </c>
      <c r="P63" s="1790"/>
      <c r="Q63" s="1983"/>
      <c r="R63" s="1210"/>
      <c r="S63" s="1210"/>
      <c r="U63" s="1368"/>
    </row>
    <row r="64" spans="5:21" s="1215" customFormat="1" ht="35.1" customHeight="1">
      <c r="E64" s="1983"/>
      <c r="G64" s="1974" t="str">
        <f>'NT-VT'!A68</f>
        <v>COS240</v>
      </c>
      <c r="H64" s="1975" t="str">
        <f t="shared" si="20"/>
        <v>nt</v>
      </c>
      <c r="I64" s="1975" t="str">
        <f t="shared" si="21"/>
        <v>nt</v>
      </c>
      <c r="J64" s="1984" t="str">
        <f t="shared" si="24"/>
        <v>nt</v>
      </c>
      <c r="K64" s="1985" t="str">
        <f t="shared" si="25"/>
        <v>nt</v>
      </c>
      <c r="L64" s="1881"/>
      <c r="M64" s="2005" t="str">
        <f t="shared" si="22"/>
        <v/>
      </c>
      <c r="O64" s="1790" t="e">
        <f t="shared" si="23"/>
        <v>#N/A</v>
      </c>
      <c r="P64" s="1790"/>
      <c r="Q64" s="1983"/>
      <c r="R64" s="1210"/>
      <c r="S64" s="1210"/>
      <c r="U64" s="1368"/>
    </row>
    <row r="65" spans="5:21" s="1215" customFormat="1" ht="35.1" customHeight="1">
      <c r="E65" s="1983"/>
      <c r="G65" s="1974" t="str">
        <f>'NT-VT'!A69</f>
        <v>COS4</v>
      </c>
      <c r="H65" s="1975" t="str">
        <f t="shared" si="20"/>
        <v>nt</v>
      </c>
      <c r="I65" s="1975" t="str">
        <f t="shared" si="21"/>
        <v>nt</v>
      </c>
      <c r="J65" s="1984" t="str">
        <f t="shared" si="24"/>
        <v>nt</v>
      </c>
      <c r="K65" s="1985" t="str">
        <f t="shared" si="25"/>
        <v>nt</v>
      </c>
      <c r="L65" s="1881"/>
      <c r="M65" s="2005" t="str">
        <f t="shared" si="22"/>
        <v/>
      </c>
      <c r="O65" s="1790" t="e">
        <f t="shared" si="23"/>
        <v>#N/A</v>
      </c>
      <c r="P65" s="1790"/>
      <c r="Q65" s="1983"/>
      <c r="R65" s="1210"/>
      <c r="S65" s="1210"/>
      <c r="U65" s="1368"/>
    </row>
    <row r="66" spans="5:21" s="1215" customFormat="1" ht="35.1" customHeight="1">
      <c r="E66" s="1983"/>
      <c r="G66" s="1974" t="str">
        <f>'NT-VT'!A70</f>
        <v>CSD</v>
      </c>
      <c r="H66" s="1975" t="str">
        <f t="shared" si="20"/>
        <v>nt</v>
      </c>
      <c r="I66" s="1975" t="str">
        <f t="shared" si="21"/>
        <v>nt</v>
      </c>
      <c r="J66" s="1984" t="str">
        <f t="shared" si="24"/>
        <v>nt</v>
      </c>
      <c r="K66" s="1985" t="str">
        <f t="shared" si="25"/>
        <v>nt</v>
      </c>
      <c r="L66" s="1881"/>
      <c r="M66" s="2005" t="str">
        <f t="shared" si="22"/>
        <v/>
      </c>
      <c r="O66" s="1790" t="e">
        <f t="shared" si="23"/>
        <v>#N/A</v>
      </c>
      <c r="P66" s="1790"/>
      <c r="Q66" s="1983"/>
      <c r="R66" s="1210"/>
      <c r="S66" s="1210"/>
      <c r="U66" s="1368"/>
    </row>
    <row r="67" spans="5:21" s="1215" customFormat="1" ht="35.1" customHeight="1">
      <c r="E67" s="1983"/>
      <c r="G67" s="1974" t="str">
        <f>'NT-VT'!A71</f>
        <v>CTD+K</v>
      </c>
      <c r="H67" s="1975" t="str">
        <f t="shared" si="20"/>
        <v>nt</v>
      </c>
      <c r="I67" s="1975" t="str">
        <f t="shared" si="21"/>
        <v>nt</v>
      </c>
      <c r="J67" s="1984" t="str">
        <f t="shared" si="24"/>
        <v>nt</v>
      </c>
      <c r="K67" s="1985" t="str">
        <f t="shared" si="25"/>
        <v>nt</v>
      </c>
      <c r="L67" s="1881"/>
      <c r="M67" s="2005" t="str">
        <f t="shared" si="22"/>
        <v/>
      </c>
      <c r="O67" s="1790" t="e">
        <f t="shared" si="23"/>
        <v>#N/A</v>
      </c>
      <c r="P67" s="1790"/>
      <c r="Q67" s="1983"/>
      <c r="R67" s="1210"/>
      <c r="S67" s="1210"/>
      <c r="U67" s="1368"/>
    </row>
    <row r="68" spans="5:21" s="1215" customFormat="1" ht="35.1" customHeight="1">
      <c r="E68" s="1983"/>
      <c r="G68" s="1974" t="str">
        <f>'NT-VT'!A72</f>
        <v>cut42</v>
      </c>
      <c r="H68" s="1975" t="str">
        <f t="shared" si="20"/>
        <v>nt</v>
      </c>
      <c r="I68" s="1975" t="str">
        <f t="shared" si="21"/>
        <v>nt</v>
      </c>
      <c r="J68" s="1984" t="str">
        <f t="shared" si="24"/>
        <v>nt</v>
      </c>
      <c r="K68" s="1985" t="str">
        <f t="shared" si="25"/>
        <v>nt</v>
      </c>
      <c r="L68" s="1881"/>
      <c r="M68" s="2005" t="str">
        <f t="shared" si="22"/>
        <v/>
      </c>
      <c r="O68" s="1790" t="e">
        <f t="shared" si="23"/>
        <v>#N/A</v>
      </c>
      <c r="P68" s="1790"/>
      <c r="Q68" s="1983"/>
      <c r="R68" s="1210"/>
      <c r="S68" s="1210"/>
      <c r="U68" s="1368"/>
    </row>
    <row r="69" spans="5:21" s="1215" customFormat="1" ht="35.1" customHeight="1">
      <c r="E69" s="1983"/>
      <c r="G69" s="1974" t="str">
        <f>'NT-VT'!A73</f>
        <v>CUT60</v>
      </c>
      <c r="H69" s="1975" t="str">
        <f t="shared" si="20"/>
        <v>nt</v>
      </c>
      <c r="I69" s="1975" t="str">
        <f t="shared" si="21"/>
        <v>nt</v>
      </c>
      <c r="J69" s="1984" t="str">
        <f t="shared" si="24"/>
        <v>nt</v>
      </c>
      <c r="K69" s="1985" t="str">
        <f t="shared" si="25"/>
        <v>nt</v>
      </c>
      <c r="L69" s="1881"/>
      <c r="M69" s="2005" t="str">
        <f t="shared" si="22"/>
        <v/>
      </c>
      <c r="O69" s="1790" t="e">
        <f t="shared" si="23"/>
        <v>#N/A</v>
      </c>
      <c r="P69" s="1790"/>
      <c r="Q69" s="1983"/>
      <c r="R69" s="1210"/>
      <c r="S69" s="1210"/>
      <c r="U69" s="1368"/>
    </row>
    <row r="70" spans="5:21" s="1215" customFormat="1" ht="35.1" customHeight="1">
      <c r="E70" s="1983"/>
      <c r="G70" s="1974" t="str">
        <f>'NT-VT'!A74</f>
        <v>drc</v>
      </c>
      <c r="H70" s="1975" t="str">
        <f t="shared" si="20"/>
        <v>nt</v>
      </c>
      <c r="I70" s="1975" t="str">
        <f t="shared" si="21"/>
        <v>nt</v>
      </c>
      <c r="J70" s="1984" t="str">
        <f t="shared" si="24"/>
        <v>nt</v>
      </c>
      <c r="K70" s="1985" t="str">
        <f t="shared" si="25"/>
        <v>nt</v>
      </c>
      <c r="L70" s="1881"/>
      <c r="M70" s="2005" t="str">
        <f t="shared" si="22"/>
        <v/>
      </c>
      <c r="O70" s="1790" t="e">
        <f t="shared" si="23"/>
        <v>#N/A</v>
      </c>
      <c r="P70" s="1790"/>
      <c r="Q70" s="1983"/>
      <c r="R70" s="1210"/>
      <c r="S70" s="1210"/>
      <c r="U70" s="1368"/>
    </row>
    <row r="71" spans="5:21" s="1215" customFormat="1" ht="35.1" customHeight="1">
      <c r="E71" s="1983"/>
      <c r="G71" s="1974" t="str">
        <f>'NT-VT'!A75</f>
        <v>gachong</v>
      </c>
      <c r="H71" s="1975" t="str">
        <f t="shared" si="20"/>
        <v>nt</v>
      </c>
      <c r="I71" s="1975" t="str">
        <f t="shared" si="21"/>
        <v>nt</v>
      </c>
      <c r="J71" s="1984" t="str">
        <f t="shared" si="24"/>
        <v>nt</v>
      </c>
      <c r="K71" s="1985" t="str">
        <f t="shared" si="25"/>
        <v>nt</v>
      </c>
      <c r="L71" s="1881"/>
      <c r="M71" s="2005" t="str">
        <f t="shared" si="22"/>
        <v/>
      </c>
      <c r="O71" s="1790" t="e">
        <f t="shared" si="23"/>
        <v>#N/A</v>
      </c>
      <c r="P71" s="1790"/>
      <c r="Q71" s="1983"/>
      <c r="R71" s="1210"/>
      <c r="S71" s="1210"/>
      <c r="U71" s="1368"/>
    </row>
    <row r="72" spans="5:21" s="1215" customFormat="1" ht="35.1" customHeight="1">
      <c r="E72" s="1983"/>
      <c r="G72" s="1974" t="str">
        <f>'NT-VT'!A76</f>
        <v>GNIU95b</v>
      </c>
      <c r="H72" s="1975" t="str">
        <f t="shared" si="20"/>
        <v>nt</v>
      </c>
      <c r="I72" s="1975" t="str">
        <f t="shared" si="21"/>
        <v>nt</v>
      </c>
      <c r="J72" s="1984" t="str">
        <f t="shared" si="24"/>
        <v>nt</v>
      </c>
      <c r="K72" s="1985" t="str">
        <f t="shared" si="25"/>
        <v>nt</v>
      </c>
      <c r="L72" s="1881"/>
      <c r="M72" s="2005" t="str">
        <f t="shared" si="22"/>
        <v/>
      </c>
      <c r="O72" s="1790" t="e">
        <f t="shared" si="23"/>
        <v>#N/A</v>
      </c>
      <c r="P72" s="1790"/>
      <c r="Q72" s="1983"/>
      <c r="R72" s="1210"/>
      <c r="S72" s="1210"/>
      <c r="U72" s="1368"/>
    </row>
    <row r="73" spans="5:21" s="1215" customFormat="1" ht="35.1" customHeight="1">
      <c r="E73" s="1983"/>
      <c r="G73" s="1974" t="str">
        <f>'NT-VT'!A77</f>
        <v>Ke185</v>
      </c>
      <c r="H73" s="1975" t="str">
        <f t="shared" si="20"/>
        <v>nt</v>
      </c>
      <c r="I73" s="1975" t="str">
        <f t="shared" si="21"/>
        <v>nt</v>
      </c>
      <c r="J73" s="1984" t="str">
        <f t="shared" si="24"/>
        <v>nt</v>
      </c>
      <c r="K73" s="1985" t="str">
        <f t="shared" si="25"/>
        <v>nt</v>
      </c>
      <c r="L73" s="1881"/>
      <c r="M73" s="2005" t="str">
        <f t="shared" si="22"/>
        <v/>
      </c>
      <c r="O73" s="1790" t="e">
        <f t="shared" si="23"/>
        <v>#N/A</v>
      </c>
      <c r="P73" s="1790"/>
      <c r="Q73" s="1983"/>
      <c r="R73" s="1210"/>
      <c r="S73" s="1210"/>
      <c r="U73" s="1368"/>
    </row>
    <row r="74" spans="5:21" s="1215" customFormat="1" ht="35.1" customHeight="1">
      <c r="E74" s="1983"/>
      <c r="G74" s="1974" t="str">
        <f>'NT-VT'!A78</f>
        <v>KE50</v>
      </c>
      <c r="H74" s="1975" t="str">
        <f t="shared" si="20"/>
        <v>nt</v>
      </c>
      <c r="I74" s="1975" t="str">
        <f t="shared" si="21"/>
        <v>nt</v>
      </c>
      <c r="J74" s="1984" t="str">
        <f t="shared" si="24"/>
        <v>nt</v>
      </c>
      <c r="K74" s="1985" t="str">
        <f t="shared" si="25"/>
        <v>nt</v>
      </c>
      <c r="L74" s="1881"/>
      <c r="M74" s="2005" t="str">
        <f t="shared" si="22"/>
        <v/>
      </c>
      <c r="O74" s="1790" t="e">
        <f t="shared" si="23"/>
        <v>#N/A</v>
      </c>
      <c r="P74" s="1790"/>
      <c r="Q74" s="1983"/>
      <c r="R74" s="1210"/>
      <c r="S74" s="1210"/>
      <c r="U74" s="1368"/>
    </row>
    <row r="75" spans="5:21" s="1215" customFormat="1" ht="35.1" customHeight="1">
      <c r="E75" s="1983"/>
      <c r="G75" s="1974" t="str">
        <f>'NT-VT'!A79</f>
        <v>KE70</v>
      </c>
      <c r="H75" s="1975" t="str">
        <f t="shared" si="20"/>
        <v>nt</v>
      </c>
      <c r="I75" s="1975" t="str">
        <f t="shared" si="21"/>
        <v>nt</v>
      </c>
      <c r="J75" s="1984" t="str">
        <f t="shared" si="24"/>
        <v>nt</v>
      </c>
      <c r="K75" s="1985" t="str">
        <f t="shared" si="25"/>
        <v>nt</v>
      </c>
      <c r="L75" s="1881"/>
      <c r="M75" s="2005" t="str">
        <f t="shared" si="22"/>
        <v/>
      </c>
      <c r="O75" s="1790" t="e">
        <f t="shared" si="23"/>
        <v>#N/A</v>
      </c>
      <c r="P75" s="1790"/>
      <c r="Q75" s="1983"/>
      <c r="R75" s="1210"/>
      <c r="S75" s="1210"/>
      <c r="U75" s="1368"/>
    </row>
    <row r="76" spans="5:21" s="1215" customFormat="1" ht="35.1" customHeight="1">
      <c r="E76" s="1983"/>
      <c r="G76" s="1974" t="str">
        <f>'NT-VT'!A80</f>
        <v>KE95</v>
      </c>
      <c r="H76" s="1975" t="str">
        <f t="shared" si="20"/>
        <v>nt</v>
      </c>
      <c r="I76" s="1975" t="str">
        <f t="shared" si="21"/>
        <v>nt</v>
      </c>
      <c r="J76" s="1984" t="str">
        <f t="shared" si="24"/>
        <v>nt</v>
      </c>
      <c r="K76" s="1985" t="str">
        <f t="shared" si="25"/>
        <v>nt</v>
      </c>
      <c r="L76" s="1881"/>
      <c r="M76" s="2005" t="str">
        <f t="shared" si="22"/>
        <v/>
      </c>
      <c r="O76" s="1790" t="e">
        <f t="shared" si="23"/>
        <v>#N/A</v>
      </c>
      <c r="P76" s="1790"/>
      <c r="Q76" s="1983"/>
      <c r="R76" s="1210"/>
      <c r="S76" s="1210"/>
      <c r="U76" s="1368"/>
    </row>
    <row r="77" spans="5:21" s="1215" customFormat="1" ht="35.1" customHeight="1">
      <c r="E77" s="1983"/>
      <c r="G77" s="1974" t="str">
        <f>'NT-VT'!A81</f>
        <v>KEO</v>
      </c>
      <c r="H77" s="1975" t="str">
        <f t="shared" ref="H77:H108" si="26">IFERROR(VLOOKUP(G77,$Q:$U,2,0),"nt")</f>
        <v>nt</v>
      </c>
      <c r="I77" s="1975" t="str">
        <f t="shared" ref="I77:I108" si="27">IFERROR(VLOOKUP(G77,$Q:$U,3,0),"nt")</f>
        <v>nt</v>
      </c>
      <c r="J77" s="1984" t="str">
        <f t="shared" si="24"/>
        <v>nt</v>
      </c>
      <c r="K77" s="1985" t="str">
        <f t="shared" si="25"/>
        <v>nt</v>
      </c>
      <c r="L77" s="1881"/>
      <c r="M77" s="2005" t="str">
        <f t="shared" ref="M77:M108" si="28">IF(N77&gt;0,$P$1,IFERROR(VLOOKUP(G77,Q:U,5,0),""))</f>
        <v/>
      </c>
      <c r="O77" s="1790" t="e">
        <f t="shared" ref="O77:O82" si="29">VLOOKUP(G77,Q:X,8,0)</f>
        <v>#N/A</v>
      </c>
      <c r="P77" s="1790"/>
      <c r="Q77" s="1983"/>
      <c r="R77" s="1210"/>
      <c r="S77" s="1210"/>
      <c r="U77" s="1368"/>
    </row>
    <row r="78" spans="5:21" s="1215" customFormat="1" ht="35.1" customHeight="1">
      <c r="E78" s="1983"/>
      <c r="G78" s="1974" t="str">
        <f>'NT-VT'!A82</f>
        <v>keobit</v>
      </c>
      <c r="H78" s="1975" t="str">
        <f t="shared" si="26"/>
        <v>nt</v>
      </c>
      <c r="I78" s="1975" t="str">
        <f t="shared" si="27"/>
        <v>nt</v>
      </c>
      <c r="J78" s="1984" t="str">
        <f t="shared" si="24"/>
        <v>nt</v>
      </c>
      <c r="K78" s="1985" t="str">
        <f t="shared" si="25"/>
        <v>nt</v>
      </c>
      <c r="L78" s="1881"/>
      <c r="M78" s="2005" t="str">
        <f t="shared" si="28"/>
        <v/>
      </c>
      <c r="O78" s="1790" t="e">
        <f t="shared" si="29"/>
        <v>#N/A</v>
      </c>
      <c r="P78" s="1790"/>
      <c r="Q78" s="1983"/>
      <c r="R78" s="1210"/>
      <c r="S78" s="1210"/>
      <c r="U78" s="1368"/>
    </row>
    <row r="79" spans="5:21" s="1215" customFormat="1" ht="35.1" customHeight="1">
      <c r="E79" s="1983"/>
      <c r="G79" s="1974" t="str">
        <f>'NT-VT'!A83</f>
        <v>KH4/0</v>
      </c>
      <c r="H79" s="1975" t="str">
        <f t="shared" si="26"/>
        <v>nt</v>
      </c>
      <c r="I79" s="1975" t="str">
        <f t="shared" si="27"/>
        <v>nt</v>
      </c>
      <c r="J79" s="1984" t="str">
        <f t="shared" si="24"/>
        <v>nt</v>
      </c>
      <c r="K79" s="1985" t="str">
        <f t="shared" si="25"/>
        <v>nt</v>
      </c>
      <c r="L79" s="1881"/>
      <c r="M79" s="2005" t="str">
        <f t="shared" si="28"/>
        <v/>
      </c>
      <c r="O79" s="1790" t="e">
        <f t="shared" si="29"/>
        <v>#N/A</v>
      </c>
      <c r="P79" s="1790"/>
      <c r="Q79" s="1983"/>
      <c r="R79" s="1210"/>
      <c r="S79" s="1210"/>
      <c r="U79" s="1368"/>
    </row>
    <row r="80" spans="5:21" s="1215" customFormat="1" ht="35.1" customHeight="1">
      <c r="E80" s="1983"/>
      <c r="G80" s="1974" t="str">
        <f>'NT-VT'!A84</f>
        <v>khanhkep</v>
      </c>
      <c r="H80" s="1975" t="str">
        <f t="shared" si="26"/>
        <v>nt</v>
      </c>
      <c r="I80" s="1975" t="str">
        <f t="shared" si="27"/>
        <v>nt</v>
      </c>
      <c r="J80" s="1984" t="str">
        <f t="shared" si="24"/>
        <v>nt</v>
      </c>
      <c r="K80" s="1985" t="str">
        <f t="shared" si="25"/>
        <v>nt</v>
      </c>
      <c r="L80" s="1881"/>
      <c r="M80" s="2005" t="str">
        <f t="shared" si="28"/>
        <v/>
      </c>
      <c r="O80" s="1790" t="e">
        <f t="shared" si="29"/>
        <v>#N/A</v>
      </c>
      <c r="P80" s="1790"/>
      <c r="Q80" s="1983"/>
      <c r="R80" s="1210"/>
      <c r="S80" s="1210"/>
      <c r="U80" s="1368"/>
    </row>
    <row r="81" spans="5:21" s="1215" customFormat="1" ht="35.1" customHeight="1">
      <c r="E81" s="1983"/>
      <c r="G81" s="1974" t="str">
        <f>'NT-VT'!A85</f>
        <v>kn50</v>
      </c>
      <c r="H81" s="1975" t="str">
        <f t="shared" si="26"/>
        <v>nt</v>
      </c>
      <c r="I81" s="1975" t="str">
        <f t="shared" si="27"/>
        <v>nt</v>
      </c>
      <c r="J81" s="1984" t="str">
        <f t="shared" si="24"/>
        <v>nt</v>
      </c>
      <c r="K81" s="1985" t="str">
        <f t="shared" si="25"/>
        <v>nt</v>
      </c>
      <c r="L81" s="1881"/>
      <c r="M81" s="2005" t="str">
        <f t="shared" si="28"/>
        <v/>
      </c>
      <c r="O81" s="1790" t="e">
        <f t="shared" si="29"/>
        <v>#N/A</v>
      </c>
      <c r="P81" s="1790"/>
      <c r="Q81" s="1983"/>
      <c r="R81" s="1210"/>
      <c r="S81" s="1210"/>
      <c r="U81" s="1368"/>
    </row>
    <row r="82" spans="5:21" s="1215" customFormat="1" ht="35.1" customHeight="1">
      <c r="E82" s="1983"/>
      <c r="G82" s="1974" t="str">
        <f>'NT-VT'!A86</f>
        <v>kn70</v>
      </c>
      <c r="H82" s="1975" t="str">
        <f t="shared" si="26"/>
        <v>nt</v>
      </c>
      <c r="I82" s="1975" t="str">
        <f t="shared" si="27"/>
        <v>nt</v>
      </c>
      <c r="J82" s="1984" t="str">
        <f t="shared" si="24"/>
        <v>nt</v>
      </c>
      <c r="K82" s="1985" t="str">
        <f t="shared" si="25"/>
        <v>nt</v>
      </c>
      <c r="L82" s="1881"/>
      <c r="M82" s="2005" t="str">
        <f t="shared" si="28"/>
        <v/>
      </c>
      <c r="O82" s="1790" t="e">
        <f t="shared" si="29"/>
        <v>#N/A</v>
      </c>
      <c r="P82" s="1790"/>
      <c r="Q82" s="1983"/>
      <c r="R82" s="1210"/>
      <c r="S82" s="1210"/>
      <c r="U82" s="1368"/>
    </row>
    <row r="83" spans="5:21" s="1215" customFormat="1" ht="35.1" customHeight="1">
      <c r="E83" s="1983"/>
      <c r="G83" s="1974" t="str">
        <f>'NT-VT'!A87</f>
        <v>KQ4/0</v>
      </c>
      <c r="H83" s="1975" t="str">
        <f t="shared" si="26"/>
        <v>nt</v>
      </c>
      <c r="I83" s="1975" t="str">
        <f t="shared" si="27"/>
        <v>nt</v>
      </c>
      <c r="J83" s="1984" t="str">
        <f t="shared" si="24"/>
        <v>nt</v>
      </c>
      <c r="K83" s="1985" t="str">
        <f t="shared" si="25"/>
        <v>nt</v>
      </c>
      <c r="L83" s="1881"/>
      <c r="M83" s="2005" t="str">
        <f t="shared" si="28"/>
        <v/>
      </c>
      <c r="O83" s="1790"/>
      <c r="P83" s="1790"/>
      <c r="Q83" s="1983"/>
      <c r="R83" s="1210"/>
      <c r="S83" s="1210"/>
      <c r="U83" s="1368"/>
    </row>
    <row r="84" spans="5:21" s="1215" customFormat="1" ht="35.1" customHeight="1">
      <c r="E84" s="1983"/>
      <c r="G84" s="1974" t="str">
        <f>'NT-VT'!A88</f>
        <v>KVRN60</v>
      </c>
      <c r="H84" s="1975" t="str">
        <f t="shared" si="26"/>
        <v>nt</v>
      </c>
      <c r="I84" s="1975" t="str">
        <f t="shared" si="27"/>
        <v>nt</v>
      </c>
      <c r="J84" s="1984" t="str">
        <f t="shared" si="24"/>
        <v>nt</v>
      </c>
      <c r="K84" s="1985" t="str">
        <f t="shared" si="25"/>
        <v>nt</v>
      </c>
      <c r="L84" s="1881"/>
      <c r="M84" s="2005" t="str">
        <f t="shared" si="28"/>
        <v/>
      </c>
      <c r="O84" s="1790"/>
      <c r="P84" s="1790"/>
      <c r="Q84" s="1983"/>
      <c r="R84" s="1210"/>
      <c r="S84" s="1210"/>
      <c r="U84" s="1368"/>
    </row>
    <row r="85" spans="5:21" s="1215" customFormat="1" ht="35.1" customHeight="1">
      <c r="E85" s="1983"/>
      <c r="G85" s="1974" t="str">
        <f>'NT-VT'!A89</f>
        <v>KVRT60</v>
      </c>
      <c r="H85" s="1975" t="str">
        <f t="shared" si="26"/>
        <v>nt</v>
      </c>
      <c r="I85" s="1975" t="str">
        <f t="shared" si="27"/>
        <v>nt</v>
      </c>
      <c r="J85" s="1984" t="str">
        <f t="shared" ref="J85:J116" si="30">IFERROR(VLOOKUP(G85,$Q:$U,4,0),"nt")</f>
        <v>nt</v>
      </c>
      <c r="K85" s="1985" t="str">
        <f t="shared" ref="K85:K116" si="31">IFERROR(VLOOKUP(G85,$Q:$U,5,0),"nt")</f>
        <v>nt</v>
      </c>
      <c r="L85" s="1881"/>
      <c r="M85" s="2005" t="str">
        <f t="shared" si="28"/>
        <v/>
      </c>
      <c r="O85" s="1790"/>
      <c r="P85" s="1790"/>
      <c r="Q85" s="1983"/>
      <c r="R85" s="1210"/>
      <c r="S85" s="1210"/>
      <c r="U85" s="1368"/>
    </row>
    <row r="86" spans="5:21" s="1215" customFormat="1" ht="35.1" customHeight="1">
      <c r="E86" s="1983"/>
      <c r="G86" s="1974" t="str">
        <f>'NT-VT'!A90</f>
        <v>LDKhungcua</v>
      </c>
      <c r="H86" s="1975" t="str">
        <f t="shared" si="26"/>
        <v>nt</v>
      </c>
      <c r="I86" s="1975" t="str">
        <f t="shared" si="27"/>
        <v>nt</v>
      </c>
      <c r="J86" s="1984" t="str">
        <f t="shared" si="30"/>
        <v>nt</v>
      </c>
      <c r="K86" s="1985" t="str">
        <f t="shared" si="31"/>
        <v>nt</v>
      </c>
      <c r="L86" s="1881"/>
      <c r="M86" s="2005" t="str">
        <f t="shared" si="28"/>
        <v/>
      </c>
      <c r="O86" s="1790"/>
      <c r="P86" s="1790"/>
      <c r="Q86" s="1983"/>
      <c r="R86" s="1210"/>
      <c r="S86" s="1210"/>
      <c r="U86" s="1368"/>
    </row>
    <row r="87" spans="5:21" s="1215" customFormat="1" ht="35.1" customHeight="1">
      <c r="E87" s="1983"/>
      <c r="G87" s="1974" t="str">
        <f>'NT-VT'!A91</f>
        <v>LTD</v>
      </c>
      <c r="H87" s="1975" t="str">
        <f t="shared" si="26"/>
        <v>nt</v>
      </c>
      <c r="I87" s="1975" t="str">
        <f t="shared" si="27"/>
        <v>nt</v>
      </c>
      <c r="J87" s="1984" t="str">
        <f t="shared" si="30"/>
        <v>nt</v>
      </c>
      <c r="K87" s="1985" t="str">
        <f t="shared" si="31"/>
        <v>nt</v>
      </c>
      <c r="L87" s="1881"/>
      <c r="M87" s="2005" t="str">
        <f t="shared" si="28"/>
        <v/>
      </c>
      <c r="O87" s="1790"/>
      <c r="P87" s="1790"/>
      <c r="Q87" s="1983"/>
      <c r="R87" s="1210"/>
      <c r="S87" s="1210"/>
      <c r="U87" s="1368"/>
    </row>
    <row r="88" spans="5:21" s="1215" customFormat="1" ht="35.1" customHeight="1">
      <c r="E88" s="1983"/>
      <c r="G88" s="1974" t="str">
        <f>'NT-VT'!A92</f>
        <v>M5M</v>
      </c>
      <c r="H88" s="1975" t="str">
        <f t="shared" si="26"/>
        <v>nt</v>
      </c>
      <c r="I88" s="1975" t="str">
        <f t="shared" si="27"/>
        <v>nt</v>
      </c>
      <c r="J88" s="1984" t="str">
        <f t="shared" si="30"/>
        <v>nt</v>
      </c>
      <c r="K88" s="1985" t="str">
        <f t="shared" si="31"/>
        <v>nt</v>
      </c>
      <c r="L88" s="1881"/>
      <c r="M88" s="2005" t="str">
        <f t="shared" si="28"/>
        <v/>
      </c>
      <c r="O88" s="1790"/>
      <c r="P88" s="1790"/>
      <c r="Q88" s="1983"/>
      <c r="R88" s="1210"/>
      <c r="S88" s="1210"/>
      <c r="U88" s="1368"/>
    </row>
    <row r="89" spans="5:21" s="1215" customFormat="1" ht="35.1" customHeight="1">
      <c r="E89" s="1983"/>
      <c r="G89" s="1974" t="str">
        <f>'NT-VT'!A93</f>
        <v>MT</v>
      </c>
      <c r="H89" s="1975" t="str">
        <f t="shared" si="26"/>
        <v>nt</v>
      </c>
      <c r="I89" s="1975" t="str">
        <f t="shared" si="27"/>
        <v>nt</v>
      </c>
      <c r="J89" s="1984" t="str">
        <f t="shared" si="30"/>
        <v>nt</v>
      </c>
      <c r="K89" s="1985" t="str">
        <f t="shared" si="31"/>
        <v>nt</v>
      </c>
      <c r="L89" s="1881"/>
      <c r="M89" s="2005" t="str">
        <f t="shared" si="28"/>
        <v/>
      </c>
      <c r="O89" s="1790"/>
      <c r="P89" s="1790"/>
      <c r="Q89" s="1983"/>
      <c r="R89" s="1210"/>
      <c r="S89" s="1210"/>
      <c r="U89" s="1368"/>
    </row>
    <row r="90" spans="5:21" s="1215" customFormat="1" ht="35.1" customHeight="1">
      <c r="E90" s="1983"/>
      <c r="G90" s="1974" t="str">
        <f>'NT-VT'!A94</f>
        <v>Noi60</v>
      </c>
      <c r="H90" s="1975" t="str">
        <f t="shared" si="26"/>
        <v>nt</v>
      </c>
      <c r="I90" s="1975" t="str">
        <f t="shared" si="27"/>
        <v>nt</v>
      </c>
      <c r="J90" s="1984" t="str">
        <f t="shared" si="30"/>
        <v>nt</v>
      </c>
      <c r="K90" s="1985" t="str">
        <f t="shared" si="31"/>
        <v>nt</v>
      </c>
      <c r="L90" s="1881"/>
      <c r="M90" s="2005" t="str">
        <f t="shared" si="28"/>
        <v/>
      </c>
      <c r="O90" s="1790"/>
      <c r="P90" s="1790"/>
      <c r="Q90" s="1983"/>
      <c r="R90" s="1210"/>
      <c r="S90" s="1210"/>
      <c r="U90" s="1368"/>
    </row>
    <row r="91" spans="5:21" s="1215" customFormat="1" ht="35.1" customHeight="1">
      <c r="E91" s="1983"/>
      <c r="G91" s="1974" t="str">
        <f>'NT-VT'!A95</f>
        <v>OCN</v>
      </c>
      <c r="H91" s="1975" t="str">
        <f t="shared" si="26"/>
        <v>nt</v>
      </c>
      <c r="I91" s="1975" t="str">
        <f t="shared" si="27"/>
        <v>nt</v>
      </c>
      <c r="J91" s="1984" t="str">
        <f t="shared" si="30"/>
        <v>nt</v>
      </c>
      <c r="K91" s="1985" t="str">
        <f t="shared" si="31"/>
        <v>nt</v>
      </c>
      <c r="L91" s="1881"/>
      <c r="M91" s="2005" t="str">
        <f t="shared" si="28"/>
        <v/>
      </c>
      <c r="O91" s="1790"/>
      <c r="P91" s="1790"/>
      <c r="Q91" s="1983"/>
      <c r="R91" s="1210"/>
      <c r="S91" s="1210"/>
      <c r="U91" s="1368"/>
    </row>
    <row r="92" spans="5:21" s="1215" customFormat="1" ht="35.1" customHeight="1">
      <c r="E92" s="1983"/>
      <c r="G92" s="1974" t="str">
        <f>'NT-VT'!A96</f>
        <v>ON-AC-185</v>
      </c>
      <c r="H92" s="1975" t="str">
        <f t="shared" si="26"/>
        <v>nt</v>
      </c>
      <c r="I92" s="1975" t="str">
        <f t="shared" si="27"/>
        <v>nt</v>
      </c>
      <c r="J92" s="1984" t="str">
        <f t="shared" si="30"/>
        <v>nt</v>
      </c>
      <c r="K92" s="1985" t="str">
        <f t="shared" si="31"/>
        <v>nt</v>
      </c>
      <c r="L92" s="1881"/>
      <c r="M92" s="2005" t="str">
        <f t="shared" si="28"/>
        <v/>
      </c>
      <c r="O92" s="1790"/>
      <c r="P92" s="1790"/>
      <c r="Q92" s="1983"/>
      <c r="R92" s="1210"/>
      <c r="S92" s="1210"/>
      <c r="U92" s="1368"/>
    </row>
    <row r="93" spans="5:21" s="1215" customFormat="1" ht="35.1" customHeight="1">
      <c r="E93" s="1983"/>
      <c r="G93" s="1974" t="str">
        <f>'NT-VT'!A97</f>
        <v>oxc25</v>
      </c>
      <c r="H93" s="1975" t="str">
        <f t="shared" si="26"/>
        <v>nt</v>
      </c>
      <c r="I93" s="1975" t="str">
        <f t="shared" si="27"/>
        <v>nt</v>
      </c>
      <c r="J93" s="1984" t="str">
        <f t="shared" si="30"/>
        <v>nt</v>
      </c>
      <c r="K93" s="1985" t="str">
        <f t="shared" si="31"/>
        <v>nt</v>
      </c>
      <c r="L93" s="1881"/>
      <c r="M93" s="2005" t="str">
        <f t="shared" si="28"/>
        <v/>
      </c>
      <c r="O93" s="1790"/>
      <c r="P93" s="1790"/>
      <c r="Q93" s="1983"/>
      <c r="R93" s="1210"/>
      <c r="S93" s="1210"/>
      <c r="U93" s="1368"/>
    </row>
    <row r="94" spans="5:21" s="1215" customFormat="1" ht="35.1" customHeight="1">
      <c r="E94" s="1983"/>
      <c r="G94" s="1974" t="str">
        <f>'NT-VT'!A98</f>
        <v>PVC114</v>
      </c>
      <c r="H94" s="1975" t="str">
        <f t="shared" si="26"/>
        <v>nt</v>
      </c>
      <c r="I94" s="1975" t="str">
        <f t="shared" si="27"/>
        <v>nt</v>
      </c>
      <c r="J94" s="1984" t="str">
        <f t="shared" si="30"/>
        <v>nt</v>
      </c>
      <c r="K94" s="1985" t="str">
        <f t="shared" si="31"/>
        <v>nt</v>
      </c>
      <c r="L94" s="1881"/>
      <c r="M94" s="2005" t="str">
        <f t="shared" si="28"/>
        <v/>
      </c>
      <c r="O94" s="1790"/>
      <c r="P94" s="1790"/>
      <c r="Q94" s="1983"/>
      <c r="R94" s="1210"/>
      <c r="S94" s="1210"/>
      <c r="U94" s="1368"/>
    </row>
    <row r="95" spans="5:21" s="1215" customFormat="1" ht="35.1" customHeight="1">
      <c r="E95" s="1983"/>
      <c r="G95" s="1974" t="str">
        <f>'NT-VT'!A99</f>
        <v>pvc42</v>
      </c>
      <c r="H95" s="1975" t="str">
        <f t="shared" si="26"/>
        <v>nt</v>
      </c>
      <c r="I95" s="1975" t="str">
        <f t="shared" si="27"/>
        <v>nt</v>
      </c>
      <c r="J95" s="1984" t="str">
        <f t="shared" si="30"/>
        <v>nt</v>
      </c>
      <c r="K95" s="1985" t="str">
        <f t="shared" si="31"/>
        <v>nt</v>
      </c>
      <c r="L95" s="1881"/>
      <c r="M95" s="2005" t="str">
        <f t="shared" si="28"/>
        <v/>
      </c>
      <c r="O95" s="1790"/>
      <c r="P95" s="1790"/>
      <c r="Q95" s="1983"/>
      <c r="R95" s="1210"/>
      <c r="S95" s="1210"/>
      <c r="U95" s="1368"/>
    </row>
    <row r="96" spans="5:21" s="1215" customFormat="1" ht="35.1" customHeight="1">
      <c r="E96" s="1983"/>
      <c r="G96" s="1974" t="str">
        <f>'NT-VT'!A100</f>
        <v>PVC60</v>
      </c>
      <c r="H96" s="1975" t="str">
        <f t="shared" si="26"/>
        <v>nt</v>
      </c>
      <c r="I96" s="1975" t="str">
        <f t="shared" si="27"/>
        <v>nt</v>
      </c>
      <c r="J96" s="1984" t="str">
        <f t="shared" si="30"/>
        <v>nt</v>
      </c>
      <c r="K96" s="1985" t="str">
        <f t="shared" si="31"/>
        <v>nt</v>
      </c>
      <c r="L96" s="1881"/>
      <c r="M96" s="2005" t="str">
        <f t="shared" si="28"/>
        <v/>
      </c>
      <c r="O96" s="1790"/>
      <c r="P96" s="1790"/>
      <c r="Q96" s="1983"/>
      <c r="R96" s="1210"/>
      <c r="S96" s="1210"/>
      <c r="U96" s="1368"/>
    </row>
    <row r="97" spans="5:21" s="1215" customFormat="1" ht="35.1" customHeight="1">
      <c r="E97" s="1983"/>
      <c r="G97" s="1974" t="str">
        <f>'NT-VT'!A101</f>
        <v>R1</v>
      </c>
      <c r="H97" s="1975" t="str">
        <f t="shared" si="26"/>
        <v>nt</v>
      </c>
      <c r="I97" s="1975" t="str">
        <f t="shared" si="27"/>
        <v>nt</v>
      </c>
      <c r="J97" s="1984" t="str">
        <f t="shared" si="30"/>
        <v>nt</v>
      </c>
      <c r="K97" s="1985" t="str">
        <f t="shared" si="31"/>
        <v>nt</v>
      </c>
      <c r="L97" s="1881"/>
      <c r="M97" s="2005" t="str">
        <f t="shared" si="28"/>
        <v/>
      </c>
      <c r="O97" s="1790"/>
      <c r="P97" s="1790"/>
      <c r="Q97" s="1983"/>
      <c r="R97" s="1210"/>
      <c r="S97" s="1210"/>
      <c r="U97" s="1368"/>
    </row>
    <row r="98" spans="5:21" s="1215" customFormat="1" ht="35.1" customHeight="1">
      <c r="E98" s="1983"/>
      <c r="G98" s="1974" t="str">
        <f>'NT-VT'!A102</f>
        <v>Rec</v>
      </c>
      <c r="H98" s="1975" t="str">
        <f t="shared" si="26"/>
        <v>nt</v>
      </c>
      <c r="I98" s="1975" t="str">
        <f t="shared" si="27"/>
        <v>nt</v>
      </c>
      <c r="J98" s="1984" t="str">
        <f t="shared" si="30"/>
        <v>nt</v>
      </c>
      <c r="K98" s="1985" t="str">
        <f t="shared" si="31"/>
        <v>nt</v>
      </c>
      <c r="L98" s="1881"/>
      <c r="M98" s="2005" t="str">
        <f t="shared" si="28"/>
        <v/>
      </c>
      <c r="O98" s="1790"/>
      <c r="P98" s="1790"/>
      <c r="Q98" s="1983"/>
      <c r="R98" s="1210"/>
      <c r="S98" s="1210"/>
      <c r="U98" s="1368"/>
    </row>
    <row r="99" spans="5:21" s="1215" customFormat="1" ht="35.1" customHeight="1">
      <c r="E99" s="1983"/>
      <c r="G99" s="1974" t="str">
        <f>'NT-VT'!A103</f>
        <v>S60</v>
      </c>
      <c r="H99" s="1975" t="str">
        <f t="shared" si="26"/>
        <v>nt</v>
      </c>
      <c r="I99" s="1975" t="str">
        <f t="shared" si="27"/>
        <v>nt</v>
      </c>
      <c r="J99" s="1984" t="str">
        <f t="shared" si="30"/>
        <v>nt</v>
      </c>
      <c r="K99" s="1985" t="str">
        <f t="shared" si="31"/>
        <v>nt</v>
      </c>
      <c r="L99" s="1881"/>
      <c r="M99" s="2005" t="str">
        <f t="shared" si="28"/>
        <v/>
      </c>
      <c r="O99" s="1790"/>
      <c r="P99" s="1790"/>
      <c r="Q99" s="1983"/>
      <c r="R99" s="1210"/>
      <c r="S99" s="1210"/>
      <c r="U99" s="1368"/>
    </row>
    <row r="100" spans="5:21" s="1215" customFormat="1" ht="35.1" customHeight="1">
      <c r="E100" s="1983"/>
      <c r="G100" s="1974" t="str">
        <f>'NT-VT'!A104</f>
        <v>SATV4</v>
      </c>
      <c r="H100" s="1975" t="str">
        <f t="shared" si="26"/>
        <v>nt</v>
      </c>
      <c r="I100" s="1975" t="str">
        <f t="shared" si="27"/>
        <v>nt</v>
      </c>
      <c r="J100" s="1984" t="str">
        <f t="shared" si="30"/>
        <v>nt</v>
      </c>
      <c r="K100" s="1985" t="str">
        <f t="shared" si="31"/>
        <v>nt</v>
      </c>
      <c r="L100" s="1881"/>
      <c r="M100" s="2005" t="str">
        <f t="shared" si="28"/>
        <v/>
      </c>
      <c r="O100" s="1790"/>
      <c r="P100" s="1790"/>
      <c r="Q100" s="1983"/>
      <c r="R100" s="1210"/>
      <c r="S100" s="1210"/>
      <c r="U100" s="1368"/>
    </row>
    <row r="101" spans="5:21" s="1215" customFormat="1" ht="35.1" customHeight="1">
      <c r="E101" s="1983"/>
      <c r="G101" s="1974" t="str">
        <f>'NT-VT'!A105</f>
        <v>SATV5</v>
      </c>
      <c r="H101" s="1975" t="str">
        <f t="shared" si="26"/>
        <v>nt</v>
      </c>
      <c r="I101" s="1975" t="str">
        <f t="shared" si="27"/>
        <v>nt</v>
      </c>
      <c r="J101" s="1984" t="str">
        <f t="shared" si="30"/>
        <v>nt</v>
      </c>
      <c r="K101" s="1985" t="str">
        <f t="shared" si="31"/>
        <v>nt</v>
      </c>
      <c r="L101" s="1881"/>
      <c r="M101" s="2005" t="str">
        <f t="shared" si="28"/>
        <v/>
      </c>
      <c r="O101" s="1790"/>
      <c r="P101" s="1790"/>
      <c r="Q101" s="1983"/>
      <c r="R101" s="1210"/>
      <c r="S101" s="1210"/>
      <c r="U101" s="1368"/>
    </row>
    <row r="102" spans="5:21" s="1215" customFormat="1" ht="35.1" customHeight="1">
      <c r="E102" s="1983"/>
      <c r="G102" s="1974" t="str">
        <f>'NT-VT'!A106</f>
        <v>SL50-1150</v>
      </c>
      <c r="H102" s="1975" t="str">
        <f t="shared" si="26"/>
        <v>nt</v>
      </c>
      <c r="I102" s="1975" t="str">
        <f t="shared" si="27"/>
        <v>nt</v>
      </c>
      <c r="J102" s="1984" t="str">
        <f t="shared" si="30"/>
        <v>nt</v>
      </c>
      <c r="K102" s="1985" t="str">
        <f t="shared" si="31"/>
        <v>nt</v>
      </c>
      <c r="L102" s="1881"/>
      <c r="M102" s="2005" t="str">
        <f t="shared" si="28"/>
        <v/>
      </c>
      <c r="O102" s="1790"/>
      <c r="P102" s="1790"/>
      <c r="Q102" s="1983"/>
      <c r="R102" s="1210"/>
      <c r="S102" s="1210"/>
      <c r="U102" s="1368"/>
    </row>
    <row r="103" spans="5:21" s="1215" customFormat="1" ht="35.1" customHeight="1">
      <c r="E103" s="1983"/>
      <c r="G103" s="1974" t="str">
        <f>'NT-VT'!A107</f>
        <v>SL50-1190</v>
      </c>
      <c r="H103" s="1975" t="str">
        <f t="shared" si="26"/>
        <v>nt</v>
      </c>
      <c r="I103" s="1975" t="str">
        <f t="shared" si="27"/>
        <v>nt</v>
      </c>
      <c r="J103" s="1984" t="str">
        <f t="shared" si="30"/>
        <v>nt</v>
      </c>
      <c r="K103" s="1985" t="str">
        <f t="shared" si="31"/>
        <v>nt</v>
      </c>
      <c r="L103" s="1881"/>
      <c r="M103" s="2005" t="str">
        <f t="shared" si="28"/>
        <v/>
      </c>
      <c r="O103" s="1790"/>
      <c r="P103" s="1790"/>
      <c r="Q103" s="1983"/>
      <c r="R103" s="1210"/>
      <c r="S103" s="1210"/>
      <c r="U103" s="1368"/>
    </row>
    <row r="104" spans="5:21" s="1215" customFormat="1" ht="35.1" customHeight="1">
      <c r="E104" s="1983"/>
      <c r="G104" s="1974" t="str">
        <f>'NT-VT'!A108</f>
        <v>SL50-810</v>
      </c>
      <c r="H104" s="1975" t="str">
        <f t="shared" si="26"/>
        <v>nt</v>
      </c>
      <c r="I104" s="1975" t="str">
        <f t="shared" si="27"/>
        <v>nt</v>
      </c>
      <c r="J104" s="1984" t="str">
        <f t="shared" si="30"/>
        <v>nt</v>
      </c>
      <c r="K104" s="1985" t="str">
        <f t="shared" si="31"/>
        <v>nt</v>
      </c>
      <c r="L104" s="1881"/>
      <c r="M104" s="2005" t="str">
        <f t="shared" si="28"/>
        <v/>
      </c>
      <c r="O104" s="1790"/>
      <c r="P104" s="1790"/>
      <c r="Q104" s="1983"/>
      <c r="R104" s="1210"/>
      <c r="S104" s="1210"/>
      <c r="U104" s="1368"/>
    </row>
    <row r="105" spans="5:21" s="1215" customFormat="1" ht="35.1" customHeight="1">
      <c r="E105" s="1983"/>
      <c r="G105" s="1974" t="str">
        <f>'NT-VT'!A109</f>
        <v>sl50-920</v>
      </c>
      <c r="H105" s="1975" t="str">
        <f t="shared" si="26"/>
        <v>nt</v>
      </c>
      <c r="I105" s="1975" t="str">
        <f t="shared" si="27"/>
        <v>nt</v>
      </c>
      <c r="J105" s="1984" t="str">
        <f t="shared" si="30"/>
        <v>nt</v>
      </c>
      <c r="K105" s="1985" t="str">
        <f t="shared" si="31"/>
        <v>nt</v>
      </c>
      <c r="L105" s="1881"/>
      <c r="M105" s="2005" t="str">
        <f t="shared" si="28"/>
        <v/>
      </c>
      <c r="O105" s="1790"/>
      <c r="P105" s="1790"/>
      <c r="Q105" s="1983"/>
      <c r="R105" s="1210"/>
      <c r="S105" s="1210"/>
      <c r="U105" s="1368"/>
    </row>
    <row r="106" spans="5:21" s="1215" customFormat="1" ht="35.1" customHeight="1">
      <c r="E106" s="1983"/>
      <c r="G106" s="1974" t="str">
        <f>'NT-VT'!A110</f>
        <v>SL75-2000</v>
      </c>
      <c r="H106" s="1975" t="str">
        <f t="shared" si="26"/>
        <v>nt</v>
      </c>
      <c r="I106" s="1975" t="str">
        <f t="shared" si="27"/>
        <v>nt</v>
      </c>
      <c r="J106" s="1984" t="str">
        <f t="shared" si="30"/>
        <v>nt</v>
      </c>
      <c r="K106" s="1985" t="str">
        <f t="shared" si="31"/>
        <v>nt</v>
      </c>
      <c r="L106" s="1881"/>
      <c r="M106" s="2005" t="str">
        <f t="shared" si="28"/>
        <v/>
      </c>
      <c r="O106" s="1790"/>
      <c r="P106" s="1790"/>
      <c r="Q106" s="1983"/>
      <c r="R106" s="1210"/>
      <c r="S106" s="1210"/>
      <c r="U106" s="1368"/>
    </row>
    <row r="107" spans="5:21" s="1215" customFormat="1" ht="35.1" customHeight="1">
      <c r="E107" s="1983"/>
      <c r="G107" s="1974" t="str">
        <f>'NT-VT'!A111</f>
        <v>SL75-2100</v>
      </c>
      <c r="H107" s="1975" t="str">
        <f t="shared" si="26"/>
        <v>nt</v>
      </c>
      <c r="I107" s="1975" t="str">
        <f t="shared" si="27"/>
        <v>nt</v>
      </c>
      <c r="J107" s="1984" t="str">
        <f t="shared" si="30"/>
        <v>nt</v>
      </c>
      <c r="K107" s="1985" t="str">
        <f t="shared" si="31"/>
        <v>nt</v>
      </c>
      <c r="L107" s="1881"/>
      <c r="M107" s="2005" t="str">
        <f t="shared" si="28"/>
        <v/>
      </c>
      <c r="O107" s="1790"/>
      <c r="P107" s="1790"/>
      <c r="Q107" s="1983"/>
      <c r="R107" s="1210"/>
      <c r="S107" s="1210"/>
      <c r="U107" s="1368"/>
    </row>
    <row r="108" spans="5:21" s="1215" customFormat="1" ht="35.1" customHeight="1">
      <c r="E108" s="1983"/>
      <c r="G108" s="1974" t="str">
        <f>'NT-VT'!A112</f>
        <v>SL75-2200</v>
      </c>
      <c r="H108" s="1975" t="str">
        <f t="shared" si="26"/>
        <v>nt</v>
      </c>
      <c r="I108" s="1975" t="str">
        <f t="shared" si="27"/>
        <v>nt</v>
      </c>
      <c r="J108" s="1984" t="str">
        <f t="shared" si="30"/>
        <v>nt</v>
      </c>
      <c r="K108" s="1985" t="str">
        <f t="shared" si="31"/>
        <v>nt</v>
      </c>
      <c r="L108" s="1881"/>
      <c r="M108" s="2005" t="str">
        <f t="shared" si="28"/>
        <v/>
      </c>
      <c r="O108" s="1790"/>
      <c r="P108" s="1790"/>
      <c r="Q108" s="1983"/>
      <c r="R108" s="1210"/>
      <c r="S108" s="1210"/>
      <c r="U108" s="1368"/>
    </row>
    <row r="109" spans="5:21" s="1215" customFormat="1" ht="35.1" customHeight="1">
      <c r="E109" s="1983"/>
      <c r="G109" s="1974" t="str">
        <f>'NT-VT'!A113</f>
        <v>sl75-2400</v>
      </c>
      <c r="H109" s="1975" t="str">
        <f t="shared" ref="H109:H134" si="32">IFERROR(VLOOKUP(G109,$Q:$U,2,0),"nt")</f>
        <v>nt</v>
      </c>
      <c r="I109" s="1975" t="str">
        <f t="shared" ref="I109:I134" si="33">IFERROR(VLOOKUP(G109,$Q:$U,3,0),"nt")</f>
        <v>nt</v>
      </c>
      <c r="J109" s="1984" t="str">
        <f t="shared" si="30"/>
        <v>nt</v>
      </c>
      <c r="K109" s="1985" t="str">
        <f t="shared" si="31"/>
        <v>nt</v>
      </c>
      <c r="L109" s="1881"/>
      <c r="M109" s="2005" t="str">
        <f t="shared" ref="M109:M134" si="34">IF(N109&gt;0,$P$1,IFERROR(VLOOKUP(G109,Q:U,5,0),""))</f>
        <v/>
      </c>
      <c r="O109" s="1790"/>
      <c r="P109" s="1790"/>
      <c r="Q109" s="1983"/>
      <c r="R109" s="1210"/>
      <c r="S109" s="1210"/>
      <c r="U109" s="1368"/>
    </row>
    <row r="110" spans="5:21" s="1215" customFormat="1" ht="35.1" customHeight="1">
      <c r="E110" s="1983"/>
      <c r="G110" s="1974" t="str">
        <f>'NT-VT'!A114</f>
        <v>SO10</v>
      </c>
      <c r="H110" s="1975" t="str">
        <f t="shared" si="32"/>
        <v>nt</v>
      </c>
      <c r="I110" s="1975" t="str">
        <f t="shared" si="33"/>
        <v>nt</v>
      </c>
      <c r="J110" s="1984" t="str">
        <f t="shared" si="30"/>
        <v>nt</v>
      </c>
      <c r="K110" s="1985" t="str">
        <f t="shared" si="31"/>
        <v>nt</v>
      </c>
      <c r="L110" s="1881"/>
      <c r="M110" s="2005" t="str">
        <f t="shared" si="34"/>
        <v/>
      </c>
      <c r="O110" s="1790"/>
      <c r="P110" s="1790"/>
      <c r="Q110" s="1983"/>
      <c r="R110" s="1210"/>
      <c r="S110" s="1210"/>
      <c r="U110" s="1368"/>
    </row>
    <row r="111" spans="5:21" s="1215" customFormat="1" ht="35.1" customHeight="1">
      <c r="E111" s="1983"/>
      <c r="G111" s="1974" t="str">
        <f>'NT-VT'!A115</f>
        <v>so8</v>
      </c>
      <c r="H111" s="1975" t="str">
        <f t="shared" si="32"/>
        <v>nt</v>
      </c>
      <c r="I111" s="1975" t="str">
        <f t="shared" si="33"/>
        <v>nt</v>
      </c>
      <c r="J111" s="1984" t="str">
        <f t="shared" si="30"/>
        <v>nt</v>
      </c>
      <c r="K111" s="1985" t="str">
        <f t="shared" si="31"/>
        <v>nt</v>
      </c>
      <c r="L111" s="1881"/>
      <c r="M111" s="2005" t="str">
        <f t="shared" si="34"/>
        <v/>
      </c>
      <c r="O111" s="1790"/>
      <c r="P111" s="1790"/>
      <c r="Q111" s="1983"/>
      <c r="R111" s="1210"/>
      <c r="S111" s="1210"/>
      <c r="U111" s="1368"/>
    </row>
    <row r="112" spans="5:21" s="1215" customFormat="1" ht="35.1" customHeight="1">
      <c r="E112" s="1983"/>
      <c r="G112" s="1974" t="str">
        <f>'NT-VT'!A116</f>
        <v>ssf-95</v>
      </c>
      <c r="H112" s="1975" t="str">
        <f t="shared" si="32"/>
        <v>nt</v>
      </c>
      <c r="I112" s="1975" t="str">
        <f t="shared" si="33"/>
        <v>nt</v>
      </c>
      <c r="J112" s="1984" t="str">
        <f t="shared" si="30"/>
        <v>nt</v>
      </c>
      <c r="K112" s="1985" t="str">
        <f t="shared" si="31"/>
        <v>nt</v>
      </c>
      <c r="L112" s="1881"/>
      <c r="M112" s="2005" t="str">
        <f t="shared" si="34"/>
        <v/>
      </c>
      <c r="O112" s="1790"/>
      <c r="P112" s="1790"/>
      <c r="Q112" s="1983"/>
      <c r="R112" s="1210"/>
      <c r="S112" s="1210"/>
      <c r="U112" s="1368"/>
    </row>
    <row r="113" spans="5:21" s="1215" customFormat="1" ht="35.1" customHeight="1">
      <c r="E113" s="1983"/>
      <c r="G113" s="1974" t="str">
        <f>'NT-VT'!A117</f>
        <v>stk76</v>
      </c>
      <c r="H113" s="1975" t="str">
        <f t="shared" si="32"/>
        <v>nt</v>
      </c>
      <c r="I113" s="1975" t="str">
        <f t="shared" si="33"/>
        <v>nt</v>
      </c>
      <c r="J113" s="1984" t="str">
        <f t="shared" si="30"/>
        <v>nt</v>
      </c>
      <c r="K113" s="1985" t="str">
        <f t="shared" si="31"/>
        <v>nt</v>
      </c>
      <c r="L113" s="1881"/>
      <c r="M113" s="2005" t="str">
        <f t="shared" si="34"/>
        <v/>
      </c>
      <c r="O113" s="1790"/>
      <c r="P113" s="1790"/>
      <c r="Q113" s="1983"/>
      <c r="R113" s="1210"/>
      <c r="S113" s="1210"/>
      <c r="U113" s="1368"/>
    </row>
    <row r="114" spans="5:21" s="1215" customFormat="1" ht="35.1" customHeight="1">
      <c r="E114" s="1983"/>
      <c r="G114" s="1974" t="str">
        <f>'NT-VT'!A118</f>
        <v>ttf-95</v>
      </c>
      <c r="H114" s="1975" t="str">
        <f t="shared" si="32"/>
        <v>nt</v>
      </c>
      <c r="I114" s="1975" t="str">
        <f t="shared" si="33"/>
        <v>nt</v>
      </c>
      <c r="J114" s="1984" t="str">
        <f t="shared" si="30"/>
        <v>nt</v>
      </c>
      <c r="K114" s="1985" t="str">
        <f t="shared" si="31"/>
        <v>nt</v>
      </c>
      <c r="L114" s="1881"/>
      <c r="M114" s="2005" t="str">
        <f t="shared" si="34"/>
        <v/>
      </c>
      <c r="O114" s="1790"/>
      <c r="P114" s="1790"/>
      <c r="Q114" s="1983"/>
      <c r="R114" s="1210"/>
      <c r="S114" s="1210"/>
      <c r="U114" s="1368"/>
    </row>
    <row r="115" spans="5:21" s="1215" customFormat="1" ht="35.1" customHeight="1">
      <c r="E115" s="1983"/>
      <c r="G115" s="1974" t="str">
        <f>'NT-VT'!A119</f>
        <v>TUACB1600</v>
      </c>
      <c r="H115" s="1975" t="str">
        <f t="shared" si="32"/>
        <v>nt</v>
      </c>
      <c r="I115" s="1975" t="str">
        <f t="shared" si="33"/>
        <v>nt</v>
      </c>
      <c r="J115" s="1984" t="str">
        <f t="shared" si="30"/>
        <v>nt</v>
      </c>
      <c r="K115" s="1985" t="str">
        <f t="shared" si="31"/>
        <v>nt</v>
      </c>
      <c r="L115" s="1881"/>
      <c r="M115" s="2005" t="str">
        <f t="shared" si="34"/>
        <v/>
      </c>
      <c r="O115" s="1790"/>
      <c r="P115" s="1790"/>
      <c r="Q115" s="1983"/>
      <c r="R115" s="1210"/>
      <c r="S115" s="1210"/>
      <c r="U115" s="1368"/>
    </row>
    <row r="116" spans="5:21" s="1215" customFormat="1" ht="35.1" customHeight="1">
      <c r="E116" s="1983"/>
      <c r="G116" s="1974" t="str">
        <f>'NT-VT'!A120</f>
        <v>TUDKDT</v>
      </c>
      <c r="H116" s="1975" t="str">
        <f t="shared" si="32"/>
        <v>nt</v>
      </c>
      <c r="I116" s="1975" t="str">
        <f t="shared" si="33"/>
        <v>nt</v>
      </c>
      <c r="J116" s="1984" t="str">
        <f t="shared" si="30"/>
        <v>nt</v>
      </c>
      <c r="K116" s="1985" t="str">
        <f t="shared" si="31"/>
        <v>nt</v>
      </c>
      <c r="L116" s="1881"/>
      <c r="M116" s="2005" t="str">
        <f t="shared" si="34"/>
        <v/>
      </c>
      <c r="O116" s="1790"/>
      <c r="P116" s="1790"/>
      <c r="Q116" s="1983"/>
      <c r="R116" s="1210"/>
      <c r="S116" s="1210"/>
      <c r="U116" s="1368"/>
    </row>
    <row r="117" spans="5:21" s="1215" customFormat="1" ht="35.1" customHeight="1">
      <c r="E117" s="1983"/>
      <c r="G117" s="1974" t="str">
        <f>'NT-VT'!A121</f>
        <v>xAtuti</v>
      </c>
      <c r="H117" s="1975" t="str">
        <f t="shared" si="32"/>
        <v>nt</v>
      </c>
      <c r="I117" s="1975" t="str">
        <f t="shared" si="33"/>
        <v>nt</v>
      </c>
      <c r="J117" s="1984" t="str">
        <f t="shared" ref="J117:J134" si="35">IFERROR(VLOOKUP(G117,$Q:$U,4,0),"nt")</f>
        <v>nt</v>
      </c>
      <c r="K117" s="1985" t="str">
        <f t="shared" ref="K117:K134" si="36">IFERROR(VLOOKUP(G117,$Q:$U,5,0),"nt")</f>
        <v>nt</v>
      </c>
      <c r="L117" s="1881"/>
      <c r="M117" s="2005" t="str">
        <f t="shared" si="34"/>
        <v/>
      </c>
      <c r="O117" s="1790"/>
      <c r="P117" s="1790"/>
      <c r="Q117" s="1983"/>
      <c r="R117" s="1210"/>
      <c r="S117" s="1210"/>
      <c r="U117" s="1368"/>
    </row>
    <row r="118" spans="5:21" s="1215" customFormat="1" ht="35.1" customHeight="1">
      <c r="E118" s="1983"/>
      <c r="G118" s="1974" t="str">
        <f>'NT-VT'!A122</f>
        <v>XM</v>
      </c>
      <c r="H118" s="1975" t="str">
        <f t="shared" si="32"/>
        <v>Địa phương</v>
      </c>
      <c r="I118" s="1975" t="str">
        <f t="shared" si="33"/>
        <v>Địa phương</v>
      </c>
      <c r="J118" s="1984" t="str">
        <f t="shared" si="35"/>
        <v xml:space="preserve"> </v>
      </c>
      <c r="K118" s="1985" t="str">
        <f t="shared" si="36"/>
        <v xml:space="preserve"> </v>
      </c>
      <c r="L118" s="1881"/>
      <c r="M118" s="2005" t="str">
        <f t="shared" si="34"/>
        <v xml:space="preserve"> </v>
      </c>
      <c r="O118" s="1790"/>
      <c r="P118" s="1790"/>
      <c r="Q118" s="1983"/>
      <c r="R118" s="1210"/>
      <c r="S118" s="1210"/>
      <c r="U118" s="1368"/>
    </row>
    <row r="119" spans="5:21" s="1215" customFormat="1" ht="35.1" customHeight="1">
      <c r="E119" s="1983"/>
      <c r="G119" s="1974" t="str">
        <f>'NT-VT'!A123</f>
        <v>Cat</v>
      </c>
      <c r="H119" s="1975" t="str">
        <f t="shared" si="32"/>
        <v>nt</v>
      </c>
      <c r="I119" s="1975" t="str">
        <f t="shared" si="33"/>
        <v>nt</v>
      </c>
      <c r="J119" s="1984" t="str">
        <f t="shared" si="35"/>
        <v xml:space="preserve"> </v>
      </c>
      <c r="K119" s="1985" t="str">
        <f t="shared" si="36"/>
        <v xml:space="preserve"> </v>
      </c>
      <c r="L119" s="1881"/>
      <c r="M119" s="2005" t="str">
        <f t="shared" si="34"/>
        <v xml:space="preserve"> </v>
      </c>
      <c r="O119" s="1790"/>
      <c r="P119" s="1790"/>
      <c r="Q119" s="1983"/>
      <c r="R119" s="1210"/>
      <c r="S119" s="1210"/>
      <c r="U119" s="1368"/>
    </row>
    <row r="120" spans="5:21" s="1215" customFormat="1" ht="35.1" customHeight="1">
      <c r="E120" s="1983"/>
      <c r="G120" s="1974" t="str">
        <f>'NT-VT'!A124</f>
        <v>D1X2</v>
      </c>
      <c r="H120" s="1975" t="str">
        <f t="shared" si="32"/>
        <v>nt</v>
      </c>
      <c r="I120" s="1975" t="str">
        <f t="shared" si="33"/>
        <v>nt</v>
      </c>
      <c r="J120" s="1984" t="str">
        <f t="shared" si="35"/>
        <v xml:space="preserve"> </v>
      </c>
      <c r="K120" s="1985" t="str">
        <f t="shared" si="36"/>
        <v xml:space="preserve"> </v>
      </c>
      <c r="L120" s="1881"/>
      <c r="M120" s="2005" t="str">
        <f t="shared" si="34"/>
        <v xml:space="preserve"> </v>
      </c>
      <c r="O120" s="1790"/>
      <c r="P120" s="1790"/>
      <c r="Q120" s="1983"/>
      <c r="R120" s="1210"/>
      <c r="S120" s="1210"/>
      <c r="U120" s="1368"/>
    </row>
    <row r="121" spans="5:21" s="1215" customFormat="1" ht="35.1" customHeight="1">
      <c r="E121" s="1983"/>
      <c r="G121" s="1974" t="str">
        <f>'NT-VT'!A125</f>
        <v>ttf-50</v>
      </c>
      <c r="H121" s="1975" t="str">
        <f t="shared" si="32"/>
        <v>nt</v>
      </c>
      <c r="I121" s="1975" t="str">
        <f t="shared" si="33"/>
        <v>nt</v>
      </c>
      <c r="J121" s="1984" t="str">
        <f t="shared" si="35"/>
        <v>nt</v>
      </c>
      <c r="K121" s="1985" t="str">
        <f t="shared" si="36"/>
        <v>nt</v>
      </c>
      <c r="L121" s="1881"/>
      <c r="M121" s="2005" t="str">
        <f t="shared" si="34"/>
        <v/>
      </c>
      <c r="O121" s="1790"/>
      <c r="P121" s="1790"/>
      <c r="Q121" s="1983"/>
      <c r="R121" s="1210"/>
      <c r="S121" s="1210"/>
      <c r="U121" s="1368"/>
    </row>
    <row r="122" spans="5:21" s="1215" customFormat="1" ht="35.1" customHeight="1">
      <c r="E122" s="1983"/>
      <c r="G122" s="1974" t="e">
        <f>'NT-VT'!A126</f>
        <v>#N/A</v>
      </c>
      <c r="H122" s="1975" t="str">
        <f t="shared" si="32"/>
        <v>nt</v>
      </c>
      <c r="I122" s="1975" t="str">
        <f t="shared" si="33"/>
        <v>nt</v>
      </c>
      <c r="J122" s="1984" t="str">
        <f t="shared" si="35"/>
        <v>nt</v>
      </c>
      <c r="K122" s="1985" t="str">
        <f t="shared" si="36"/>
        <v>nt</v>
      </c>
      <c r="L122" s="1881"/>
      <c r="M122" s="2005" t="str">
        <f t="shared" si="34"/>
        <v/>
      </c>
      <c r="O122" s="1790"/>
      <c r="P122" s="1790"/>
      <c r="Q122" s="1983"/>
      <c r="R122" s="1210"/>
      <c r="S122" s="1210"/>
      <c r="U122" s="1368"/>
    </row>
    <row r="123" spans="5:21" s="1215" customFormat="1" ht="35.1" customHeight="1">
      <c r="E123" s="1983"/>
      <c r="G123" s="1974" t="e">
        <f>'NT-VT'!A127</f>
        <v>#N/A</v>
      </c>
      <c r="H123" s="1975" t="str">
        <f t="shared" si="32"/>
        <v>nt</v>
      </c>
      <c r="I123" s="1975" t="str">
        <f t="shared" si="33"/>
        <v>nt</v>
      </c>
      <c r="J123" s="1984" t="str">
        <f t="shared" si="35"/>
        <v>nt</v>
      </c>
      <c r="K123" s="1985" t="str">
        <f t="shared" si="36"/>
        <v>nt</v>
      </c>
      <c r="L123" s="1881"/>
      <c r="M123" s="2005" t="str">
        <f t="shared" si="34"/>
        <v/>
      </c>
      <c r="O123" s="1790"/>
      <c r="P123" s="1790"/>
      <c r="Q123" s="1983"/>
      <c r="R123" s="1210"/>
      <c r="S123" s="1210"/>
      <c r="U123" s="1368"/>
    </row>
    <row r="124" spans="5:21" s="1215" customFormat="1" ht="35.1" customHeight="1">
      <c r="E124" s="1983"/>
      <c r="G124" s="1974">
        <f>'NT-VT'!A128</f>
        <v>0</v>
      </c>
      <c r="H124" s="1975" t="str">
        <f t="shared" si="32"/>
        <v>nt</v>
      </c>
      <c r="I124" s="1975" t="str">
        <f t="shared" si="33"/>
        <v>nt</v>
      </c>
      <c r="J124" s="1984" t="str">
        <f t="shared" si="35"/>
        <v>nt</v>
      </c>
      <c r="K124" s="1985" t="str">
        <f t="shared" si="36"/>
        <v>nt</v>
      </c>
      <c r="L124" s="1881"/>
      <c r="M124" s="2005" t="str">
        <f t="shared" si="34"/>
        <v/>
      </c>
      <c r="O124" s="1790"/>
      <c r="P124" s="1790"/>
      <c r="Q124" s="1983"/>
      <c r="R124" s="1210"/>
      <c r="S124" s="1210"/>
      <c r="U124" s="1368"/>
    </row>
    <row r="125" spans="5:21" s="1215" customFormat="1" ht="35.1" customHeight="1">
      <c r="E125" s="1983"/>
      <c r="G125" s="1974">
        <f>'NT-VT'!A129</f>
        <v>0</v>
      </c>
      <c r="H125" s="1975" t="str">
        <f t="shared" si="32"/>
        <v>nt</v>
      </c>
      <c r="I125" s="1975" t="str">
        <f t="shared" si="33"/>
        <v>nt</v>
      </c>
      <c r="J125" s="1984" t="str">
        <f t="shared" si="35"/>
        <v>nt</v>
      </c>
      <c r="K125" s="1985" t="str">
        <f t="shared" si="36"/>
        <v>nt</v>
      </c>
      <c r="L125" s="1881"/>
      <c r="M125" s="2005" t="str">
        <f t="shared" si="34"/>
        <v/>
      </c>
      <c r="O125" s="1790"/>
      <c r="P125" s="1790"/>
      <c r="Q125" s="1983"/>
      <c r="R125" s="1210"/>
      <c r="S125" s="1210"/>
      <c r="U125" s="1368"/>
    </row>
    <row r="126" spans="5:21" s="1215" customFormat="1" ht="35.1" customHeight="1">
      <c r="E126" s="1983"/>
      <c r="G126" s="1974">
        <f>'NT-VT'!A130</f>
        <v>0</v>
      </c>
      <c r="H126" s="1975" t="str">
        <f t="shared" si="32"/>
        <v>nt</v>
      </c>
      <c r="I126" s="1975" t="str">
        <f t="shared" si="33"/>
        <v>nt</v>
      </c>
      <c r="J126" s="1984" t="str">
        <f t="shared" si="35"/>
        <v>nt</v>
      </c>
      <c r="K126" s="1985" t="str">
        <f t="shared" si="36"/>
        <v>nt</v>
      </c>
      <c r="L126" s="1881"/>
      <c r="M126" s="2005" t="str">
        <f t="shared" si="34"/>
        <v/>
      </c>
      <c r="O126" s="1790"/>
      <c r="P126" s="1790"/>
      <c r="Q126" s="1983"/>
      <c r="R126" s="1210"/>
      <c r="S126" s="1210"/>
      <c r="U126" s="1368"/>
    </row>
    <row r="127" spans="5:21" s="1215" customFormat="1" ht="35.1" customHeight="1">
      <c r="E127" s="1983"/>
      <c r="G127" s="1974">
        <f>'NT-VT'!A131</f>
        <v>0</v>
      </c>
      <c r="H127" s="1975" t="str">
        <f t="shared" si="32"/>
        <v>nt</v>
      </c>
      <c r="I127" s="1975" t="str">
        <f t="shared" si="33"/>
        <v>nt</v>
      </c>
      <c r="J127" s="1984" t="str">
        <f t="shared" si="35"/>
        <v>nt</v>
      </c>
      <c r="K127" s="1985" t="str">
        <f t="shared" si="36"/>
        <v>nt</v>
      </c>
      <c r="L127" s="1881"/>
      <c r="M127" s="2005" t="str">
        <f t="shared" si="34"/>
        <v/>
      </c>
      <c r="O127" s="1790"/>
      <c r="P127" s="1790"/>
      <c r="Q127" s="1983"/>
      <c r="R127" s="1210"/>
      <c r="S127" s="1210"/>
      <c r="U127" s="1368"/>
    </row>
    <row r="128" spans="5:21" s="1215" customFormat="1" ht="35.1" customHeight="1">
      <c r="E128" s="1983"/>
      <c r="G128" s="1974">
        <f>'NT-VT'!A132</f>
        <v>0</v>
      </c>
      <c r="H128" s="1975" t="str">
        <f t="shared" si="32"/>
        <v>nt</v>
      </c>
      <c r="I128" s="1975" t="str">
        <f t="shared" si="33"/>
        <v>nt</v>
      </c>
      <c r="J128" s="1984" t="str">
        <f t="shared" si="35"/>
        <v>nt</v>
      </c>
      <c r="K128" s="1985" t="str">
        <f t="shared" si="36"/>
        <v>nt</v>
      </c>
      <c r="L128" s="1881"/>
      <c r="M128" s="2005" t="str">
        <f t="shared" si="34"/>
        <v/>
      </c>
      <c r="O128" s="1790"/>
      <c r="P128" s="1790"/>
      <c r="Q128" s="1983"/>
      <c r="R128" s="1210"/>
      <c r="S128" s="1210"/>
      <c r="U128" s="1368"/>
    </row>
    <row r="129" spans="5:21" s="1215" customFormat="1" ht="35.1" customHeight="1">
      <c r="E129" s="1983"/>
      <c r="G129" s="1974">
        <f>'NT-VT'!A133</f>
        <v>0</v>
      </c>
      <c r="H129" s="1975" t="str">
        <f t="shared" si="32"/>
        <v>nt</v>
      </c>
      <c r="I129" s="1975" t="str">
        <f t="shared" si="33"/>
        <v>nt</v>
      </c>
      <c r="J129" s="1984" t="str">
        <f t="shared" si="35"/>
        <v>nt</v>
      </c>
      <c r="K129" s="1985" t="str">
        <f t="shared" si="36"/>
        <v>nt</v>
      </c>
      <c r="L129" s="1881"/>
      <c r="M129" s="2005" t="str">
        <f t="shared" si="34"/>
        <v/>
      </c>
      <c r="O129" s="1790"/>
      <c r="P129" s="1790"/>
      <c r="Q129" s="1983"/>
      <c r="R129" s="1210"/>
      <c r="S129" s="1210"/>
      <c r="U129" s="1368"/>
    </row>
    <row r="130" spans="5:21" s="1215" customFormat="1" ht="35.1" customHeight="1">
      <c r="E130" s="1983"/>
      <c r="G130" s="1974">
        <f>'NT-VT'!A134</f>
        <v>0</v>
      </c>
      <c r="H130" s="1975" t="str">
        <f t="shared" si="32"/>
        <v>nt</v>
      </c>
      <c r="I130" s="1975" t="str">
        <f t="shared" si="33"/>
        <v>nt</v>
      </c>
      <c r="J130" s="1984" t="str">
        <f t="shared" si="35"/>
        <v>nt</v>
      </c>
      <c r="K130" s="1985" t="str">
        <f t="shared" si="36"/>
        <v>nt</v>
      </c>
      <c r="L130" s="1881"/>
      <c r="M130" s="2005" t="str">
        <f t="shared" si="34"/>
        <v/>
      </c>
      <c r="O130" s="1790"/>
      <c r="P130" s="1790"/>
      <c r="Q130" s="1983"/>
      <c r="R130" s="1210"/>
      <c r="S130" s="1210"/>
      <c r="U130" s="1368"/>
    </row>
    <row r="131" spans="5:21" s="1215" customFormat="1" ht="35.1" customHeight="1">
      <c r="E131" s="1983"/>
      <c r="G131" s="1974">
        <f>'NT-VT'!A135</f>
        <v>0</v>
      </c>
      <c r="H131" s="1975" t="str">
        <f t="shared" si="32"/>
        <v>nt</v>
      </c>
      <c r="I131" s="1975" t="str">
        <f t="shared" si="33"/>
        <v>nt</v>
      </c>
      <c r="J131" s="1984" t="str">
        <f t="shared" si="35"/>
        <v>nt</v>
      </c>
      <c r="K131" s="1985" t="str">
        <f t="shared" si="36"/>
        <v>nt</v>
      </c>
      <c r="L131" s="1881"/>
      <c r="M131" s="2005" t="str">
        <f t="shared" si="34"/>
        <v/>
      </c>
      <c r="O131" s="1790"/>
      <c r="P131" s="1790"/>
      <c r="Q131" s="1983"/>
      <c r="R131" s="1210"/>
      <c r="S131" s="1210"/>
      <c r="U131" s="1368"/>
    </row>
    <row r="132" spans="5:21" s="1215" customFormat="1" ht="35.1" customHeight="1">
      <c r="E132" s="1983"/>
      <c r="G132" s="1974">
        <f>'NT-VT'!A136</f>
        <v>0</v>
      </c>
      <c r="H132" s="1975" t="str">
        <f t="shared" si="32"/>
        <v>nt</v>
      </c>
      <c r="I132" s="1975" t="str">
        <f t="shared" si="33"/>
        <v>nt</v>
      </c>
      <c r="J132" s="1984" t="str">
        <f t="shared" si="35"/>
        <v>nt</v>
      </c>
      <c r="K132" s="1985" t="str">
        <f t="shared" si="36"/>
        <v>nt</v>
      </c>
      <c r="L132" s="1881"/>
      <c r="M132" s="2005" t="str">
        <f t="shared" si="34"/>
        <v/>
      </c>
      <c r="O132" s="1790"/>
      <c r="P132" s="1790"/>
      <c r="Q132" s="1983"/>
      <c r="R132" s="1210"/>
      <c r="S132" s="1210"/>
      <c r="U132" s="1368"/>
    </row>
    <row r="133" spans="5:21" s="1215" customFormat="1" ht="35.1" customHeight="1">
      <c r="E133" s="1983"/>
      <c r="G133" s="1974">
        <f>'NT-VT'!A137</f>
        <v>0</v>
      </c>
      <c r="H133" s="1975" t="str">
        <f t="shared" si="32"/>
        <v>nt</v>
      </c>
      <c r="I133" s="1975" t="str">
        <f t="shared" si="33"/>
        <v>nt</v>
      </c>
      <c r="J133" s="1984" t="str">
        <f t="shared" si="35"/>
        <v>nt</v>
      </c>
      <c r="K133" s="1985" t="str">
        <f t="shared" si="36"/>
        <v>nt</v>
      </c>
      <c r="L133" s="1881"/>
      <c r="M133" s="2005" t="str">
        <f t="shared" si="34"/>
        <v/>
      </c>
      <c r="O133" s="1790"/>
      <c r="P133" s="1790"/>
      <c r="Q133" s="1983"/>
      <c r="R133" s="1210"/>
      <c r="S133" s="1210"/>
      <c r="U133" s="1368"/>
    </row>
    <row r="134" spans="5:21" s="1215" customFormat="1" ht="35.1" customHeight="1">
      <c r="E134" s="1983"/>
      <c r="G134" s="1974">
        <f>'NT-VT'!A138</f>
        <v>0</v>
      </c>
      <c r="H134" s="1975" t="str">
        <f t="shared" si="32"/>
        <v>nt</v>
      </c>
      <c r="I134" s="1975" t="str">
        <f t="shared" si="33"/>
        <v>nt</v>
      </c>
      <c r="J134" s="1984" t="str">
        <f t="shared" si="35"/>
        <v>nt</v>
      </c>
      <c r="K134" s="1985" t="str">
        <f t="shared" si="36"/>
        <v>nt</v>
      </c>
      <c r="L134" s="1881"/>
      <c r="M134" s="2005" t="str">
        <f t="shared" si="34"/>
        <v/>
      </c>
      <c r="O134" s="1790"/>
      <c r="P134" s="1790"/>
      <c r="Q134" s="1983"/>
      <c r="R134" s="1210"/>
      <c r="S134" s="1210"/>
      <c r="U134" s="1368"/>
    </row>
    <row r="135" spans="5:21" s="1215" customFormat="1" ht="35.1" customHeight="1">
      <c r="E135" s="1983"/>
      <c r="G135" s="1790"/>
      <c r="H135" s="1880"/>
      <c r="I135" s="1880"/>
      <c r="J135" s="1881"/>
      <c r="K135" s="1881"/>
      <c r="L135" s="1881"/>
      <c r="M135" s="1328"/>
      <c r="O135" s="1790"/>
      <c r="P135" s="1790"/>
      <c r="Q135" s="1983"/>
      <c r="R135" s="1210"/>
      <c r="S135" s="1210"/>
      <c r="U135" s="1368"/>
    </row>
    <row r="136" spans="5:21" s="1215" customFormat="1" ht="35.1" customHeight="1">
      <c r="E136" s="1983"/>
      <c r="G136" s="1790"/>
      <c r="H136" s="1880"/>
      <c r="I136" s="1880"/>
      <c r="J136" s="1881"/>
      <c r="K136" s="1881"/>
      <c r="L136" s="1881"/>
      <c r="M136" s="1328"/>
      <c r="O136" s="1790"/>
      <c r="P136" s="1790"/>
      <c r="Q136" s="1983"/>
      <c r="R136" s="1210"/>
      <c r="S136" s="1210"/>
      <c r="U136" s="1368"/>
    </row>
    <row r="137" spans="5:21" s="1215" customFormat="1" ht="35.1" customHeight="1">
      <c r="E137" s="1983"/>
      <c r="G137" s="1790"/>
      <c r="H137" s="1880"/>
      <c r="I137" s="1880"/>
      <c r="J137" s="1881"/>
      <c r="K137" s="1881"/>
      <c r="L137" s="1881"/>
      <c r="M137" s="1328"/>
      <c r="O137" s="1790"/>
      <c r="P137" s="1790"/>
      <c r="Q137" s="1983"/>
      <c r="R137" s="1210"/>
      <c r="S137" s="1210"/>
      <c r="U137" s="1368"/>
    </row>
    <row r="138" spans="5:21" s="1215" customFormat="1" ht="35.1" customHeight="1">
      <c r="E138" s="1983"/>
      <c r="G138" s="1790"/>
      <c r="H138" s="1880"/>
      <c r="I138" s="1880"/>
      <c r="J138" s="1881"/>
      <c r="K138" s="1881"/>
      <c r="L138" s="1881"/>
      <c r="M138" s="1328"/>
      <c r="O138" s="1790"/>
      <c r="P138" s="1790"/>
      <c r="Q138" s="1983"/>
      <c r="R138" s="1210"/>
      <c r="S138" s="1210"/>
      <c r="U138" s="1368"/>
    </row>
    <row r="139" spans="5:21" s="1215" customFormat="1" ht="35.1" customHeight="1">
      <c r="E139" s="1983"/>
      <c r="G139" s="1790"/>
      <c r="H139" s="1880"/>
      <c r="I139" s="1880"/>
      <c r="J139" s="1881"/>
      <c r="K139" s="1881"/>
      <c r="L139" s="1881"/>
      <c r="M139" s="1328"/>
      <c r="O139" s="1790"/>
      <c r="P139" s="1790"/>
      <c r="Q139" s="1983"/>
      <c r="R139" s="1210"/>
      <c r="S139" s="1210"/>
      <c r="U139" s="1368"/>
    </row>
    <row r="140" spans="5:21" s="1215" customFormat="1" ht="35.1" customHeight="1">
      <c r="E140" s="1983"/>
      <c r="G140" s="1790"/>
      <c r="H140" s="1880"/>
      <c r="I140" s="1880"/>
      <c r="J140" s="1881"/>
      <c r="K140" s="1881"/>
      <c r="L140" s="1881"/>
      <c r="M140" s="1328"/>
      <c r="O140" s="1790"/>
      <c r="P140" s="1790"/>
      <c r="Q140" s="1983"/>
      <c r="R140" s="1210"/>
      <c r="S140" s="1210"/>
      <c r="U140" s="1368"/>
    </row>
    <row r="141" spans="5:21" s="1215" customFormat="1" ht="35.1" customHeight="1">
      <c r="E141" s="1983"/>
      <c r="G141" s="1790"/>
      <c r="H141" s="1880"/>
      <c r="I141" s="1880"/>
      <c r="J141" s="1881"/>
      <c r="K141" s="1881"/>
      <c r="L141" s="1881"/>
      <c r="M141" s="1328"/>
      <c r="O141" s="1790"/>
      <c r="P141" s="1790"/>
      <c r="Q141" s="1983"/>
      <c r="R141" s="1210"/>
      <c r="S141" s="1210"/>
      <c r="U141" s="1368"/>
    </row>
    <row r="142" spans="5:21" s="1215" customFormat="1" ht="35.1" customHeight="1">
      <c r="E142" s="1983"/>
      <c r="G142" s="1790"/>
      <c r="H142" s="1880"/>
      <c r="I142" s="1880"/>
      <c r="J142" s="1881"/>
      <c r="K142" s="1881"/>
      <c r="L142" s="1881"/>
      <c r="M142" s="1328"/>
      <c r="O142" s="1790"/>
      <c r="P142" s="1790"/>
      <c r="Q142" s="1983"/>
      <c r="R142" s="1210"/>
      <c r="S142" s="1210"/>
      <c r="U142" s="1368"/>
    </row>
    <row r="143" spans="5:21" s="1215" customFormat="1" ht="35.1" customHeight="1">
      <c r="E143" s="1983"/>
      <c r="G143" s="1790"/>
      <c r="H143" s="1880"/>
      <c r="I143" s="1880"/>
      <c r="J143" s="1881"/>
      <c r="K143" s="1881"/>
      <c r="L143" s="1881"/>
      <c r="M143" s="1328"/>
      <c r="O143" s="1790"/>
      <c r="P143" s="1790"/>
      <c r="Q143" s="1983"/>
      <c r="R143" s="1210"/>
      <c r="S143" s="1210"/>
      <c r="U143" s="1368"/>
    </row>
    <row r="144" spans="5:21" s="1215" customFormat="1" ht="35.1" customHeight="1">
      <c r="E144" s="1983"/>
      <c r="G144" s="1790"/>
      <c r="H144" s="1880"/>
      <c r="I144" s="1880"/>
      <c r="J144" s="1881"/>
      <c r="K144" s="1881"/>
      <c r="L144" s="1881"/>
      <c r="M144" s="1328"/>
      <c r="O144" s="1790"/>
      <c r="P144" s="1790"/>
      <c r="Q144" s="1983"/>
      <c r="R144" s="1210"/>
      <c r="S144" s="1210"/>
      <c r="U144" s="1368"/>
    </row>
    <row r="145" spans="5:68" s="1215" customFormat="1" ht="35.1" customHeight="1">
      <c r="E145" s="1983"/>
      <c r="G145" s="1790"/>
      <c r="H145" s="1880"/>
      <c r="I145" s="1880"/>
      <c r="J145" s="1881"/>
      <c r="K145" s="1881"/>
      <c r="L145" s="1881"/>
      <c r="M145" s="1328"/>
      <c r="O145" s="1790"/>
      <c r="P145" s="1790"/>
      <c r="Q145" s="1983"/>
      <c r="R145" s="1210"/>
      <c r="S145" s="1210"/>
      <c r="U145" s="1368"/>
    </row>
    <row r="146" spans="5:68" s="1215" customFormat="1" ht="35.1" customHeight="1">
      <c r="E146" s="1983"/>
      <c r="G146" s="1790"/>
      <c r="H146" s="1790"/>
      <c r="I146" s="1790"/>
      <c r="J146" s="1881"/>
      <c r="K146" s="1881"/>
      <c r="L146" s="1881"/>
      <c r="M146" s="1328"/>
      <c r="O146" s="1790"/>
      <c r="P146" s="1790"/>
      <c r="Q146" s="1983"/>
      <c r="R146" s="1210"/>
      <c r="S146" s="1210"/>
      <c r="U146" s="1368"/>
    </row>
    <row r="147" spans="5:68" s="1215" customFormat="1" ht="35.1" customHeight="1">
      <c r="E147" s="1983"/>
      <c r="G147" s="1790"/>
      <c r="H147" s="1790"/>
      <c r="I147" s="1790"/>
      <c r="J147" s="1881"/>
      <c r="K147" s="1881"/>
      <c r="L147" s="1881"/>
      <c r="M147" s="1328"/>
      <c r="O147" s="1790"/>
      <c r="P147" s="1790"/>
      <c r="Q147" s="1983"/>
      <c r="R147" s="1210"/>
      <c r="S147" s="1210"/>
      <c r="U147" s="1368"/>
    </row>
    <row r="148" spans="5:68" s="1215" customFormat="1" ht="35.1" customHeight="1">
      <c r="E148" s="1983"/>
      <c r="G148" s="1790"/>
      <c r="H148" s="1790"/>
      <c r="I148" s="1790"/>
      <c r="J148" s="1881"/>
      <c r="K148" s="1881"/>
      <c r="L148" s="1881"/>
      <c r="M148" s="1328"/>
      <c r="O148" s="1790"/>
      <c r="P148" s="1790"/>
      <c r="Q148" s="1983"/>
      <c r="R148" s="1210"/>
      <c r="S148" s="1210"/>
      <c r="U148" s="1368"/>
    </row>
    <row r="149" spans="5:68" s="1215" customFormat="1" ht="35.1" customHeight="1">
      <c r="E149" s="1983"/>
      <c r="G149" s="1790"/>
      <c r="H149" s="1880"/>
      <c r="I149" s="1880"/>
      <c r="J149" s="1881"/>
      <c r="K149" s="1881"/>
      <c r="L149" s="1881"/>
      <c r="M149" s="1328"/>
      <c r="O149" s="1790"/>
      <c r="P149" s="1790"/>
      <c r="Q149" s="1983"/>
      <c r="R149" s="1210"/>
      <c r="S149" s="1210"/>
      <c r="U149" s="1368"/>
    </row>
    <row r="150" spans="5:68" ht="35.1" customHeight="1">
      <c r="BJ150" s="963"/>
      <c r="BK150" s="1330" t="s">
        <v>4394</v>
      </c>
      <c r="BL150" s="1331"/>
      <c r="BM150" s="963"/>
      <c r="BN150" s="965"/>
      <c r="BP150" s="1973"/>
    </row>
    <row r="151" spans="5:68" ht="35.1" customHeight="1">
      <c r="BJ151" s="958">
        <v>6</v>
      </c>
      <c r="BK151" s="1330" t="s">
        <v>4208</v>
      </c>
      <c r="BL151" s="1331"/>
      <c r="BM151" s="958"/>
      <c r="BN151" s="943" t="s">
        <v>4188</v>
      </c>
      <c r="BP151" s="1973"/>
    </row>
    <row r="152" spans="5:68" ht="35.1" customHeight="1">
      <c r="BJ152" s="960"/>
      <c r="BK152" s="1330" t="s">
        <v>4395</v>
      </c>
      <c r="BL152" s="1331"/>
      <c r="BM152" s="960"/>
      <c r="BN152" s="962"/>
      <c r="BP152" s="1973"/>
    </row>
    <row r="153" spans="5:68" ht="35.1" customHeight="1">
      <c r="BJ153" s="960"/>
      <c r="BK153" s="1330" t="s">
        <v>4396</v>
      </c>
      <c r="BL153" s="1331"/>
      <c r="BM153" s="960"/>
      <c r="BN153" s="962"/>
      <c r="BP153" s="1973"/>
    </row>
    <row r="154" spans="5:68" ht="35.1" customHeight="1">
      <c r="BJ154" s="960"/>
      <c r="BK154" s="1330" t="s">
        <v>4397</v>
      </c>
      <c r="BL154" s="1331"/>
      <c r="BM154" s="960"/>
      <c r="BN154" s="962"/>
      <c r="BP154" s="1973"/>
    </row>
    <row r="155" spans="5:68" ht="35.1" customHeight="1">
      <c r="BJ155" s="963"/>
      <c r="BK155" s="1330" t="s">
        <v>4398</v>
      </c>
      <c r="BL155" s="1331"/>
      <c r="BM155" s="963"/>
      <c r="BN155" s="965"/>
      <c r="BP155" s="1973"/>
    </row>
    <row r="156" spans="5:68" ht="35.1" customHeight="1">
      <c r="BJ156" s="951" t="s">
        <v>501</v>
      </c>
      <c r="BK156" s="1332" t="s">
        <v>4399</v>
      </c>
      <c r="BL156" s="1333"/>
      <c r="BM156" s="853" t="e">
        <v>#N/A</v>
      </c>
      <c r="BN156" s="858"/>
      <c r="BP156" s="1973"/>
    </row>
    <row r="157" spans="5:68" ht="35.1" customHeight="1">
      <c r="BJ157" s="958">
        <v>1</v>
      </c>
      <c r="BK157" s="1330" t="s">
        <v>4394</v>
      </c>
      <c r="BL157" s="1331"/>
      <c r="BM157" s="959"/>
      <c r="BN157" s="943" t="s">
        <v>4188</v>
      </c>
      <c r="BP157" s="1973"/>
    </row>
    <row r="158" spans="5:68" ht="35.1" customHeight="1">
      <c r="BJ158" s="960"/>
      <c r="BK158" s="1330" t="s">
        <v>4394</v>
      </c>
      <c r="BL158" s="1331"/>
      <c r="BM158" s="961"/>
      <c r="BN158" s="962"/>
      <c r="BP158" s="1973"/>
    </row>
    <row r="159" spans="5:68" ht="35.1" customHeight="1">
      <c r="BJ159" s="960"/>
      <c r="BK159" s="1330" t="s">
        <v>4394</v>
      </c>
      <c r="BL159" s="1331"/>
      <c r="BM159" s="961"/>
      <c r="BN159" s="962"/>
      <c r="BP159" s="1973"/>
    </row>
    <row r="160" spans="5:68" ht="35.1" customHeight="1">
      <c r="BJ160" s="960"/>
      <c r="BK160" s="1330" t="s">
        <v>4394</v>
      </c>
      <c r="BL160" s="1331"/>
      <c r="BM160" s="961"/>
      <c r="BN160" s="962"/>
      <c r="BP160" s="1973"/>
    </row>
    <row r="161" spans="62:68" ht="35.1" customHeight="1">
      <c r="BJ161" s="960"/>
      <c r="BK161" s="1330" t="s">
        <v>4394</v>
      </c>
      <c r="BL161" s="1331"/>
      <c r="BM161" s="961"/>
      <c r="BN161" s="962"/>
      <c r="BP161" s="1973"/>
    </row>
    <row r="162" spans="62:68" ht="35.1" customHeight="1">
      <c r="BJ162" s="960"/>
      <c r="BK162" s="1330" t="s">
        <v>4394</v>
      </c>
      <c r="BL162" s="1331"/>
      <c r="BM162" s="961"/>
      <c r="BN162" s="962"/>
      <c r="BP162" s="1973"/>
    </row>
    <row r="163" spans="62:68" ht="35.1" customHeight="1">
      <c r="BJ163" s="963"/>
      <c r="BK163" s="1330" t="s">
        <v>4394</v>
      </c>
      <c r="BL163" s="1331"/>
      <c r="BM163" s="964"/>
      <c r="BN163" s="965"/>
      <c r="BP163" s="1973"/>
    </row>
  </sheetData>
  <phoneticPr fontId="0" type="noConversion"/>
  <conditionalFormatting sqref="G2:G134">
    <cfRule type="duplicateValues" dxfId="31" priority="20"/>
  </conditionalFormatting>
  <conditionalFormatting sqref="G44">
    <cfRule type="duplicateValues" dxfId="30" priority="19"/>
  </conditionalFormatting>
  <conditionalFormatting sqref="G47">
    <cfRule type="duplicateValues" dxfId="29" priority="18"/>
  </conditionalFormatting>
  <conditionalFormatting sqref="G52">
    <cfRule type="duplicateValues" dxfId="28" priority="17"/>
  </conditionalFormatting>
  <conditionalFormatting sqref="G53:G55">
    <cfRule type="duplicateValues" dxfId="27" priority="16"/>
  </conditionalFormatting>
  <conditionalFormatting sqref="G56:G57">
    <cfRule type="duplicateValues" dxfId="26" priority="15"/>
  </conditionalFormatting>
  <conditionalFormatting sqref="G43">
    <cfRule type="duplicateValues" dxfId="25" priority="14"/>
  </conditionalFormatting>
  <conditionalFormatting sqref="G203:G1048576 G149:G193 G1:G145">
    <cfRule type="duplicateValues" dxfId="24" priority="13"/>
  </conditionalFormatting>
  <conditionalFormatting sqref="Q23 Q33 Q1:Q10 Q35:Q39 Q42:Q45 Q47:Q1048576 Q25:Q30 Q12:Q21">
    <cfRule type="duplicateValues" dxfId="23" priority="12"/>
  </conditionalFormatting>
  <conditionalFormatting sqref="Q22">
    <cfRule type="duplicateValues" dxfId="22" priority="11"/>
  </conditionalFormatting>
  <conditionalFormatting sqref="Q24">
    <cfRule type="duplicateValues" dxfId="21" priority="10"/>
  </conditionalFormatting>
  <conditionalFormatting sqref="Q31">
    <cfRule type="duplicateValues" dxfId="20" priority="9"/>
  </conditionalFormatting>
  <conditionalFormatting sqref="Q32">
    <cfRule type="duplicateValues" dxfId="19" priority="8"/>
  </conditionalFormatting>
  <conditionalFormatting sqref="Q34">
    <cfRule type="duplicateValues" dxfId="18" priority="7"/>
  </conditionalFormatting>
  <conditionalFormatting sqref="Q41">
    <cfRule type="duplicateValues" dxfId="17" priority="5"/>
  </conditionalFormatting>
  <conditionalFormatting sqref="Q40">
    <cfRule type="duplicateValues" dxfId="16" priority="4"/>
  </conditionalFormatting>
  <conditionalFormatting sqref="Q46">
    <cfRule type="duplicateValues" dxfId="15" priority="3"/>
  </conditionalFormatting>
  <conditionalFormatting sqref="Q11">
    <cfRule type="duplicateValues" dxfId="14" priority="2"/>
  </conditionalFormatting>
  <conditionalFormatting sqref="Q11">
    <cfRule type="duplicateValues" dxfId="13" priority="1"/>
  </conditionalFormatting>
  <dataValidations count="3">
    <dataValidation allowBlank="1" showInputMessage="1" sqref="U2:U11 T3:T7 T9:T11 J2:K134 U27" xr:uid="{00000000-0002-0000-1700-000000000000}"/>
    <dataValidation type="list" allowBlank="1" showInputMessage="1" showErrorMessage="1" sqref="O2" xr:uid="{00000000-0002-0000-1700-000001000000}">
      <formula1>"/BB-PECJC,/BB-TNĐ,/BB-PXTN"</formula1>
    </dataValidation>
    <dataValidation type="list" allowBlank="1" showInputMessage="1" sqref="R15:S17 R28:S38 R19:S26 H2:I134 R2:S11 R40:S46" xr:uid="{00000000-0002-0000-17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tabColor rgb="FFFFFF00"/>
  </sheetPr>
  <dimension ref="A1:AA140"/>
  <sheetViews>
    <sheetView showZeros="0" topLeftCell="A115" zoomScale="85" zoomScaleNormal="85" workbookViewId="0">
      <selection activeCell="L124" sqref="L124"/>
    </sheetView>
  </sheetViews>
  <sheetFormatPr defaultColWidth="8.90625" defaultRowHeight="24.9" customHeight="1"/>
  <cols>
    <col min="1" max="1" width="12.90625" style="822" customWidth="1"/>
    <col min="2" max="2" width="6.81640625" style="826" customWidth="1"/>
    <col min="3" max="3" width="27.453125" style="844" customWidth="1"/>
    <col min="4" max="4" width="8.08984375" style="844" customWidth="1"/>
    <col min="5" max="5" width="7.1796875" style="826" customWidth="1"/>
    <col min="6" max="6" width="28.6328125" style="826" customWidth="1"/>
    <col min="7" max="7" width="23.6328125" style="826" customWidth="1"/>
    <col min="8" max="8" width="18.36328125" style="826" hidden="1" customWidth="1"/>
    <col min="9" max="9" width="1" style="826" hidden="1" customWidth="1"/>
    <col min="10" max="10" width="16.6328125" style="826" hidden="1" customWidth="1"/>
    <col min="11" max="11" width="4.6328125" style="845" hidden="1" customWidth="1"/>
    <col min="12" max="12" width="17.90625" style="826" customWidth="1"/>
    <col min="13" max="13" width="11.81640625" style="846" customWidth="1"/>
    <col min="14" max="14" width="11.453125" style="826" customWidth="1"/>
    <col min="15" max="15" width="8.90625" style="826"/>
    <col min="16" max="16" width="12.81640625" style="841" customWidth="1"/>
    <col min="17" max="17" width="12.81640625" style="1314" customWidth="1"/>
    <col min="18" max="18" width="10.81640625" style="827" customWidth="1"/>
    <col min="19" max="19" width="5.36328125" style="827" customWidth="1"/>
    <col min="20" max="20" width="54.36328125" style="827" customWidth="1"/>
    <col min="21" max="27" width="8.90625" style="827"/>
    <col min="28" max="16384" width="8.90625" style="814"/>
  </cols>
  <sheetData>
    <row r="1" spans="1:27" s="820" customFormat="1" ht="27" customHeight="1">
      <c r="A1" s="1933"/>
      <c r="B1" s="3249" t="s">
        <v>4174</v>
      </c>
      <c r="C1" s="3249"/>
      <c r="D1" s="3249"/>
      <c r="E1" s="3249"/>
      <c r="F1" s="3249"/>
      <c r="G1" s="3249"/>
      <c r="H1" s="3249"/>
      <c r="I1" s="3249"/>
      <c r="J1" s="3249"/>
      <c r="K1" s="3250"/>
      <c r="L1" s="3249"/>
      <c r="M1" s="3249"/>
      <c r="N1" s="3249"/>
      <c r="O1" s="1201"/>
      <c r="P1" s="1362"/>
      <c r="Q1" s="1363" t="s">
        <v>4175</v>
      </c>
      <c r="R1" s="1203">
        <v>42358</v>
      </c>
      <c r="S1" s="1204"/>
      <c r="T1" s="1204"/>
      <c r="U1" s="1204"/>
      <c r="V1" s="1204"/>
      <c r="W1" s="1204"/>
      <c r="X1" s="1204"/>
      <c r="Y1" s="1204"/>
      <c r="Z1" s="1204"/>
      <c r="AA1" s="1204"/>
    </row>
    <row r="2" spans="1:27" s="820" customFormat="1" ht="20.25" customHeight="1">
      <c r="A2" s="1933"/>
      <c r="B2" s="1201"/>
      <c r="C2" s="1202" t="str">
        <f>chitiet!E7</f>
        <v>Công trình: Đường dây 22kV &amp; TBA 3P-1000kVA Công ty TNHH Đầu tư Đồng Tâm Solar</v>
      </c>
      <c r="D2" s="1202"/>
      <c r="E2" s="1202"/>
      <c r="F2" s="1202"/>
      <c r="G2" s="1202"/>
      <c r="H2" s="1364"/>
      <c r="I2" s="1364"/>
      <c r="J2" s="1202"/>
      <c r="K2" s="1202"/>
      <c r="L2" s="1202"/>
      <c r="M2" s="1202"/>
      <c r="N2" s="1205"/>
      <c r="O2" s="1201"/>
      <c r="P2" s="1201"/>
      <c r="Q2" s="1365"/>
      <c r="R2" s="1206">
        <v>42362</v>
      </c>
      <c r="S2" s="1204"/>
      <c r="T2" s="1204"/>
      <c r="U2" s="1204"/>
      <c r="V2" s="1204"/>
      <c r="W2" s="1204"/>
      <c r="X2" s="1204"/>
      <c r="Y2" s="1204"/>
      <c r="Z2" s="1204"/>
      <c r="AA2" s="1204"/>
    </row>
    <row r="3" spans="1:27" s="1208" customFormat="1" ht="22.5" customHeight="1">
      <c r="A3" s="1934"/>
      <c r="B3" s="3251" t="str">
        <f>WORD!Z2&amp;", ngày            tháng           năm 2020"</f>
        <v>Xuân Hưng, ngày            tháng           năm 2020</v>
      </c>
      <c r="C3" s="3251"/>
      <c r="D3" s="3251"/>
      <c r="E3" s="3251"/>
      <c r="F3" s="3251"/>
      <c r="G3" s="3251"/>
      <c r="H3" s="3252"/>
      <c r="I3" s="3252"/>
      <c r="J3" s="3251"/>
      <c r="K3" s="3253"/>
      <c r="L3" s="3251"/>
      <c r="M3" s="3251"/>
      <c r="N3" s="3251"/>
      <c r="O3" s="942"/>
      <c r="P3" s="942"/>
      <c r="Q3" s="1366"/>
      <c r="R3" s="1207"/>
      <c r="S3" s="1207"/>
      <c r="T3" s="1207"/>
      <c r="U3" s="1207"/>
      <c r="V3" s="1207"/>
      <c r="W3" s="1207"/>
      <c r="X3" s="1207"/>
      <c r="Y3" s="1207"/>
      <c r="Z3" s="1207"/>
      <c r="AA3" s="1207"/>
    </row>
    <row r="4" spans="1:27" s="829" customFormat="1" ht="44.25" customHeight="1">
      <c r="A4" s="1353"/>
      <c r="B4" s="3248" t="s">
        <v>1708</v>
      </c>
      <c r="C4" s="3248" t="s">
        <v>4176</v>
      </c>
      <c r="D4" s="3248" t="s">
        <v>4177</v>
      </c>
      <c r="E4" s="3248" t="s">
        <v>4178</v>
      </c>
      <c r="F4" s="3248" t="s">
        <v>4179</v>
      </c>
      <c r="G4" s="3248" t="s">
        <v>4180</v>
      </c>
      <c r="H4" s="3248" t="s">
        <v>4484</v>
      </c>
      <c r="I4" s="3248"/>
      <c r="J4" s="3248" t="s">
        <v>4181</v>
      </c>
      <c r="K4" s="3254"/>
      <c r="L4" s="3248" t="s">
        <v>4182</v>
      </c>
      <c r="M4" s="3248"/>
      <c r="N4" s="1349" t="s">
        <v>4183</v>
      </c>
      <c r="O4" s="1355"/>
      <c r="P4" s="1316" t="s">
        <v>4471</v>
      </c>
      <c r="Q4" s="1317"/>
      <c r="R4" s="1354"/>
      <c r="S4" s="828"/>
      <c r="T4" s="828"/>
      <c r="U4" s="828"/>
      <c r="V4" s="828"/>
      <c r="W4" s="828"/>
      <c r="X4" s="828"/>
      <c r="Y4" s="828"/>
      <c r="Z4" s="828"/>
      <c r="AA4" s="828"/>
    </row>
    <row r="5" spans="1:27" s="829" customFormat="1" ht="24.9" customHeight="1">
      <c r="A5" s="1353"/>
      <c r="B5" s="3248"/>
      <c r="C5" s="3248"/>
      <c r="D5" s="3248"/>
      <c r="E5" s="3248"/>
      <c r="F5" s="3248"/>
      <c r="G5" s="3248"/>
      <c r="H5" s="1198" t="s">
        <v>4184</v>
      </c>
      <c r="I5" s="1198" t="s">
        <v>4185</v>
      </c>
      <c r="J5" s="1349" t="s">
        <v>4184</v>
      </c>
      <c r="K5" s="1351" t="s">
        <v>4185</v>
      </c>
      <c r="L5" s="1349" t="s">
        <v>4186</v>
      </c>
      <c r="M5" s="1313" t="s">
        <v>4185</v>
      </c>
      <c r="N5" s="1198"/>
      <c r="O5" s="1199">
        <v>1</v>
      </c>
      <c r="P5" s="1319"/>
      <c r="Q5" s="1315"/>
      <c r="R5" s="1354"/>
      <c r="S5" s="828"/>
      <c r="T5" s="828"/>
      <c r="U5" s="828"/>
      <c r="V5" s="828"/>
      <c r="W5" s="828"/>
      <c r="X5" s="828"/>
      <c r="Y5" s="828"/>
      <c r="Z5" s="828"/>
      <c r="AA5" s="828"/>
    </row>
    <row r="6" spans="1:27" s="829" customFormat="1" ht="39.6" customHeight="1">
      <c r="A6" s="1960" t="str">
        <f>VLOOKUP(ROW()-ROW($A$5),TongHopKL!A:B,2,0)</f>
        <v>tr10001</v>
      </c>
      <c r="B6" s="1600">
        <f>SUM($O$6:O6)</f>
        <v>1</v>
      </c>
      <c r="C6" s="1601" t="str">
        <f>(VLOOKUP(A6,TongHopKL!B:F,5,0))</f>
        <v>Máy biến áp 22/0,4kV- 1000kVA</v>
      </c>
      <c r="D6" s="1602" t="str">
        <f>IFERROR(VLOOKUP(A6,DG!A:D,4,0),0)</f>
        <v>máy</v>
      </c>
      <c r="E6" s="1603">
        <f>SUMIF(TongHopKL!B:B,'NT-VT'!A6,ThiCong)</f>
        <v>1</v>
      </c>
      <c r="F6" s="1600"/>
      <c r="G6" s="1600"/>
      <c r="H6" s="1600"/>
      <c r="I6" s="1604"/>
      <c r="J6" s="1605">
        <f>IFERROR(VLOOKUP(A6,Solieu!G:M,4,0),"")</f>
        <v>0</v>
      </c>
      <c r="K6" s="1606">
        <f>IFERROR(VLOOKUP(A6,Solieu!G:M,5,0),"")</f>
        <v>43965</v>
      </c>
      <c r="L6" s="1778"/>
      <c r="M6" s="1604"/>
      <c r="N6" s="1198" t="s">
        <v>4188</v>
      </c>
      <c r="O6" s="1356">
        <f>IF(ISERROR(C6),"",1)</f>
        <v>1</v>
      </c>
      <c r="P6" s="52" t="e">
        <f>VLOOKUP(A6,TongHopKL!D:M,8,0)</f>
        <v>#N/A</v>
      </c>
      <c r="Q6" s="1318"/>
      <c r="R6" s="1357"/>
      <c r="S6" s="830"/>
      <c r="T6" s="830"/>
      <c r="U6" s="828"/>
      <c r="V6" s="828"/>
      <c r="W6" s="828"/>
      <c r="X6" s="828"/>
      <c r="Y6" s="828"/>
      <c r="Z6" s="828"/>
      <c r="AA6" s="828"/>
    </row>
    <row r="7" spans="1:27" s="829" customFormat="1" ht="34.950000000000003" customHeight="1">
      <c r="A7" s="1960" t="str">
        <f>VLOOKUP(ROW()-ROW($A$5),TongHopKL!A:B,2,0)</f>
        <v>FCO100-22</v>
      </c>
      <c r="B7" s="1600">
        <f>SUM($O$6:O7)</f>
        <v>2</v>
      </c>
      <c r="C7" s="1601" t="str">
        <f>(VLOOKUP(A7,TongHopKL!B:F,5,0))</f>
        <v>FCO 24kV - 100A</v>
      </c>
      <c r="D7" s="1602" t="str">
        <f>IFERROR(VLOOKUP(A7,DG!A:D,4,0),0)</f>
        <v>cái</v>
      </c>
      <c r="E7" s="1603">
        <f>SUMIF(TongHopKL!B:B,'NT-VT'!A7,ThiCong)</f>
        <v>4</v>
      </c>
      <c r="F7" s="1600" t="str">
        <f>IFERROR(VLOOKUP(A7,Solieu!G:M,2,0),"")</f>
        <v>Chance</v>
      </c>
      <c r="G7" s="1600" t="str">
        <f>IFERROR(VLOOKUP(A7,Solieu!G:M,3,0),"")</f>
        <v>Cty TNHH MTV Đại Thiên An</v>
      </c>
      <c r="H7" s="1600"/>
      <c r="I7" s="1604"/>
      <c r="J7" s="1605">
        <f>IFERROR(VLOOKUP(A7,Solieu!G:M,4,0),"")</f>
        <v>0</v>
      </c>
      <c r="K7" s="1606">
        <f>IFERROR(VLOOKUP(A7,Solieu!G:M,5,0),"")</f>
        <v>0</v>
      </c>
      <c r="L7" s="1778" t="str">
        <f>IFERROR(VLOOKUP(A7,Solieu!G:M,6,0),"")</f>
        <v>28239/BB-FCO</v>
      </c>
      <c r="M7" s="1604">
        <f>IFERROR(VLOOKUP(A7,Solieu!G:M,7,0),"")</f>
        <v>44067</v>
      </c>
      <c r="N7" s="1198" t="s">
        <v>4188</v>
      </c>
      <c r="O7" s="1356">
        <f t="shared" ref="O7:O70" si="0">IF(ISERROR(C7),"",1)</f>
        <v>1</v>
      </c>
      <c r="P7" s="52" t="e">
        <f>VLOOKUP(A7,TongHopKL!D:M,8,0)</f>
        <v>#N/A</v>
      </c>
      <c r="Q7" s="1318"/>
      <c r="R7" s="1357"/>
      <c r="S7" s="830"/>
      <c r="T7" s="831"/>
      <c r="U7" s="828"/>
      <c r="V7" s="828"/>
      <c r="W7" s="828"/>
      <c r="X7" s="828"/>
      <c r="Y7" s="828"/>
      <c r="Z7" s="828"/>
      <c r="AA7" s="828"/>
    </row>
    <row r="8" spans="1:27" s="829" customFormat="1" ht="34.950000000000003" customHeight="1">
      <c r="A8" s="1960" t="str">
        <f>VLOOKUP(ROW()-ROW($A$5),TongHopKL!A:B,2,0)</f>
        <v>FCO200-22</v>
      </c>
      <c r="B8" s="1600">
        <f>SUM($O$6:O8)</f>
        <v>3</v>
      </c>
      <c r="C8" s="1601" t="str">
        <f>(VLOOKUP(A8,TongHopKL!B:F,5,0))</f>
        <v xml:space="preserve">FCO 24KV - 200A </v>
      </c>
      <c r="D8" s="1602" t="str">
        <f>IFERROR(VLOOKUP(A8,DG!A:D,4,0),0)</f>
        <v>cái</v>
      </c>
      <c r="E8" s="1603">
        <f>SUMIF(TongHopKL!B:B,'NT-VT'!A8,ThiCong)</f>
        <v>3</v>
      </c>
      <c r="F8" s="1600" t="str">
        <f>IFERROR(VLOOKUP(A8,Solieu!G:M,2,0),"")</f>
        <v>Chance</v>
      </c>
      <c r="G8" s="1600" t="str">
        <f>IFERROR(VLOOKUP(A8,Solieu!G:M,3,0),"")</f>
        <v>Cty TNHH MTV Đại Thiên An</v>
      </c>
      <c r="H8" s="1600"/>
      <c r="I8" s="1604"/>
      <c r="J8" s="1605" t="str">
        <f>IFERROR(VLOOKUP(A8,Solieu!G:M,4,0),"")</f>
        <v>13FCO/XXTA</v>
      </c>
      <c r="K8" s="1606">
        <f>IFERROR(VLOOKUP(A8,Solieu!G:M,5,0),"")</f>
        <v>43955</v>
      </c>
      <c r="L8" s="1778" t="str">
        <f>IFERROR(VLOOKUP(A8,Solieu!G:M,6,0),"")</f>
        <v>28238/BB-FCO</v>
      </c>
      <c r="M8" s="1604">
        <f>IFERROR(VLOOKUP(A8,Solieu!G:M,7,0),"")</f>
        <v>44067</v>
      </c>
      <c r="N8" s="1198" t="s">
        <v>4188</v>
      </c>
      <c r="O8" s="1356">
        <f t="shared" si="0"/>
        <v>1</v>
      </c>
      <c r="P8" s="52" t="e">
        <f>VLOOKUP(A8,TongHopKL!D:M,8,0)</f>
        <v>#N/A</v>
      </c>
      <c r="Q8" s="1318"/>
      <c r="R8" s="1357"/>
      <c r="S8" s="830"/>
      <c r="T8" s="831"/>
      <c r="U8" s="828"/>
      <c r="V8" s="828"/>
      <c r="W8" s="828"/>
      <c r="X8" s="828"/>
      <c r="Y8" s="828"/>
      <c r="Z8" s="828"/>
      <c r="AA8" s="828"/>
    </row>
    <row r="9" spans="1:27" s="829" customFormat="1" ht="34.950000000000003" customHeight="1">
      <c r="A9" s="1960" t="str">
        <f>VLOOKUP(ROW()-ROW($A$5),TongHopKL!A:B,2,0)</f>
        <v>LA18</v>
      </c>
      <c r="B9" s="1600">
        <f>SUM($O$6:O9)</f>
        <v>4</v>
      </c>
      <c r="C9" s="1601" t="str">
        <f>(VLOOKUP(A9,TongHopKL!B:F,5,0))</f>
        <v>Chống sét van LA-18KV-10KA</v>
      </c>
      <c r="D9" s="1602" t="str">
        <f>IFERROR(VLOOKUP(A9,DG!A:D,4,0),0)</f>
        <v>cái</v>
      </c>
      <c r="E9" s="1603">
        <f>SUMIF(TongHopKL!B:B,'NT-VT'!A9,ThiCong)</f>
        <v>12</v>
      </c>
      <c r="F9" s="1600" t="str">
        <f>IFERROR(VLOOKUP(A9,Solieu!G:M,2,0),"")</f>
        <v>Cooper</v>
      </c>
      <c r="G9" s="1600" t="str">
        <f>IFERROR(VLOOKUP(A9,Solieu!G:M,3,0),"")</f>
        <v>Cty TNHH MTV Đại Thiên An</v>
      </c>
      <c r="H9" s="1600"/>
      <c r="I9" s="1604"/>
      <c r="J9" s="1605">
        <f>IFERROR(VLOOKUP(A9,Solieu!G:M,4,0),"")</f>
        <v>0</v>
      </c>
      <c r="K9" s="1606">
        <f>IFERROR(VLOOKUP(A9,Solieu!G:M,5,0),"")</f>
        <v>0</v>
      </c>
      <c r="L9" s="1778" t="str">
        <f>IFERROR(VLOOKUP(A9,Solieu!G:M,6,0),"")</f>
        <v>28240/BB-LA</v>
      </c>
      <c r="M9" s="1604">
        <f>IFERROR(VLOOKUP(A9,Solieu!G:M,7,0),"")</f>
        <v>44067</v>
      </c>
      <c r="N9" s="1198" t="s">
        <v>4188</v>
      </c>
      <c r="O9" s="1356">
        <f t="shared" si="0"/>
        <v>1</v>
      </c>
      <c r="P9" s="52" t="e">
        <f>VLOOKUP(A9,TongHopKL!D:M,8,0)</f>
        <v>#N/A</v>
      </c>
      <c r="Q9" s="1318"/>
      <c r="R9" s="1354"/>
      <c r="S9" s="828"/>
      <c r="T9" s="831"/>
      <c r="U9" s="828"/>
      <c r="V9" s="828"/>
      <c r="W9" s="828"/>
      <c r="X9" s="828"/>
      <c r="Y9" s="828"/>
      <c r="Z9" s="828"/>
      <c r="AA9" s="828"/>
    </row>
    <row r="10" spans="1:27" s="829" customFormat="1" ht="34.950000000000003" customHeight="1">
      <c r="A10" s="1960" t="str">
        <f>VLOOKUP(ROW()-ROW($A$5),TongHopKL!A:B,2,0)</f>
        <v>SD</v>
      </c>
      <c r="B10" s="1600">
        <f>SUM($O$6:O10)</f>
        <v>5</v>
      </c>
      <c r="C10" s="1601" t="str">
        <f>(VLOOKUP(A10,TongHopKL!B:F,5,0))</f>
        <v xml:space="preserve">Sứ đứng 24KV </v>
      </c>
      <c r="D10" s="1602" t="str">
        <f>IFERROR(VLOOKUP(A10,DG!A:D,4,0),0)</f>
        <v>cái</v>
      </c>
      <c r="E10" s="1603">
        <f>SUMIF(TongHopKL!B:B,'NT-VT'!A10,ThiCong)</f>
        <v>160</v>
      </c>
      <c r="F10" s="1600" t="str">
        <f>IFERROR(VLOOKUP(A10,Solieu!G:M,2,0),"")</f>
        <v>Minh Long</v>
      </c>
      <c r="G10" s="1600" t="str">
        <f>IFERROR(VLOOKUP(A10,Solieu!G:M,3,0),"")</f>
        <v>Minh Long</v>
      </c>
      <c r="H10" s="1600"/>
      <c r="I10" s="1604"/>
      <c r="J10" s="1605">
        <f>IFERROR(VLOOKUP(A10,Solieu!G:M,4,0),"")</f>
        <v>0</v>
      </c>
      <c r="K10" s="1606">
        <f>IFERROR(VLOOKUP(A10,Solieu!G:M,5,0),"")</f>
        <v>0</v>
      </c>
      <c r="L10" s="1778" t="str">
        <f>IFERROR(VLOOKUP(A10,Solieu!G:M,6,0),"")</f>
        <v>28245/BB-SCĐ</v>
      </c>
      <c r="M10" s="1604">
        <f>IFERROR(VLOOKUP(A10,Solieu!G:M,7,0),"")</f>
        <v>44067</v>
      </c>
      <c r="N10" s="1198" t="s">
        <v>4188</v>
      </c>
      <c r="O10" s="1356">
        <f t="shared" si="0"/>
        <v>1</v>
      </c>
      <c r="P10" s="52" t="e">
        <f>VLOOKUP(A10,TongHopKL!D:M,8,0)</f>
        <v>#N/A</v>
      </c>
      <c r="Q10" s="1318"/>
      <c r="R10" s="1354"/>
      <c r="S10" s="828"/>
      <c r="T10" s="831"/>
      <c r="U10" s="828"/>
      <c r="V10" s="828"/>
      <c r="W10" s="828"/>
      <c r="X10" s="828"/>
      <c r="Y10" s="828"/>
      <c r="Z10" s="828"/>
      <c r="AA10" s="828"/>
    </row>
    <row r="11" spans="1:27" s="1197" customFormat="1" ht="34.950000000000003" customHeight="1">
      <c r="A11" s="1960" t="str">
        <f>VLOOKUP(ROW()-ROW($A$5),TongHopKL!A:B,2,0)</f>
        <v>Stply</v>
      </c>
      <c r="B11" s="1600">
        <f>SUM($O$6:O11)</f>
        <v>6</v>
      </c>
      <c r="C11" s="1601" t="str">
        <f>(VLOOKUP(A11,TongHopKL!B:F,5,0))</f>
        <v>Sứ treo polymer</v>
      </c>
      <c r="D11" s="1602" t="str">
        <f>IFERROR(VLOOKUP(A11,DG!A:D,4,0),0)</f>
        <v>chuỗi</v>
      </c>
      <c r="E11" s="1603">
        <f>SUMIF(TongHopKL!B:B,'NT-VT'!A11,ThiCong)</f>
        <v>75</v>
      </c>
      <c r="F11" s="1600" t="str">
        <f>IFERROR(VLOOKUP(A11,Solieu!G:M,2,0),"")</f>
        <v>DTR</v>
      </c>
      <c r="G11" s="1600" t="str">
        <f>IFERROR(VLOOKUP(A11,Solieu!G:M,3,0),"")</f>
        <v>Cty TNHH MTV Đại Thiên An</v>
      </c>
      <c r="H11" s="1600"/>
      <c r="I11" s="1604"/>
      <c r="J11" s="1605" t="str">
        <f>IFERROR(VLOOKUP(A11,Solieu!G:M,4,0),"")</f>
        <v>0213.XLDQA.20</v>
      </c>
      <c r="K11" s="1606">
        <f>IFERROR(VLOOKUP(A11,Solieu!G:M,5,0),"")</f>
        <v>43957</v>
      </c>
      <c r="L11" s="1778" t="str">
        <f>IFERROR(VLOOKUP(A11,Solieu!G:M,6,0),"")</f>
        <v>28246/BB-SCĐ</v>
      </c>
      <c r="M11" s="1604">
        <f>IFERROR(VLOOKUP(A11,Solieu!G:M,7,0),"")</f>
        <v>44067</v>
      </c>
      <c r="N11" s="1198" t="s">
        <v>4188</v>
      </c>
      <c r="O11" s="1356">
        <f t="shared" si="0"/>
        <v>1</v>
      </c>
      <c r="P11" s="52" t="e">
        <f>VLOOKUP(A11,TongHopKL!D:M,8,0)</f>
        <v>#N/A</v>
      </c>
      <c r="Q11" s="1318"/>
      <c r="R11" s="1196"/>
      <c r="S11" s="1195"/>
      <c r="T11" s="1195"/>
      <c r="U11" s="1195"/>
      <c r="V11" s="1195"/>
      <c r="W11" s="1195"/>
      <c r="X11" s="1195"/>
      <c r="Y11" s="1195"/>
      <c r="Z11" s="1195"/>
      <c r="AA11" s="1195"/>
    </row>
    <row r="12" spans="1:27" s="1197" customFormat="1" ht="34.950000000000003" customHeight="1">
      <c r="A12" s="1960" t="str">
        <f>VLOOKUP(ROW()-ROW($A$5),TongHopKL!A:B,2,0)</f>
        <v>cv240</v>
      </c>
      <c r="B12" s="1600">
        <f>SUM($O$6:O12)</f>
        <v>7</v>
      </c>
      <c r="C12" s="1601" t="str">
        <f>(VLOOKUP(A12,TongHopKL!B:F,5,0))</f>
        <v>Cáp đồng bọc CV240</v>
      </c>
      <c r="D12" s="1602" t="str">
        <f>IFERROR(VLOOKUP(A12,DG!A:D,4,0),0)</f>
        <v>mét</v>
      </c>
      <c r="E12" s="1603">
        <f>SUMIF(TongHopKL!B:B,'NT-VT'!A12,ThiCong)</f>
        <v>72</v>
      </c>
      <c r="F12" s="1600" t="str">
        <f>IFERROR(VLOOKUP(A12,Solieu!G:M,2,0),"")</f>
        <v>Cty TNHHSX-TM Dây &amp; Cáp Điện Tài Trường Thành</v>
      </c>
      <c r="G12" s="1600" t="str">
        <f>IFERROR(VLOOKUP(A12,Solieu!G:M,3,0),"")</f>
        <v>Cty TNHHSX-TM Dây &amp; Cáp Điện Tài Trường Thành</v>
      </c>
      <c r="H12" s="1600"/>
      <c r="I12" s="1604"/>
      <c r="J12" s="1605">
        <f>IFERROR(VLOOKUP(A12,Solieu!G:M,4,0),"")</f>
        <v>0</v>
      </c>
      <c r="K12" s="1606">
        <f>IFERROR(VLOOKUP(A12,Solieu!G:M,5,0),"")</f>
        <v>0</v>
      </c>
      <c r="L12" s="1778" t="str">
        <f>IFERROR(VLOOKUP(A12,Solieu!G:M,6,0),"")</f>
        <v>28242/BB-LVC</v>
      </c>
      <c r="M12" s="1604">
        <f>IFERROR(VLOOKUP(A12,Solieu!G:M,7,0),"")</f>
        <v>44067</v>
      </c>
      <c r="N12" s="1198" t="s">
        <v>4188</v>
      </c>
      <c r="O12" s="1356">
        <f t="shared" si="0"/>
        <v>1</v>
      </c>
      <c r="P12" s="52" t="e">
        <f>VLOOKUP(A12,TongHopKL!D:M,8,0)</f>
        <v>#N/A</v>
      </c>
      <c r="Q12" s="1318"/>
      <c r="R12" s="1196"/>
      <c r="S12" s="1195"/>
      <c r="T12" s="1195"/>
      <c r="U12" s="1195"/>
      <c r="V12" s="1195"/>
      <c r="W12" s="1195"/>
      <c r="X12" s="1195"/>
      <c r="Y12" s="1195"/>
      <c r="Z12" s="1195"/>
      <c r="AA12" s="1195"/>
    </row>
    <row r="13" spans="1:27" s="1197" customFormat="1" ht="34.950000000000003" customHeight="1">
      <c r="A13" s="1960" t="str">
        <f>VLOOKUP(ROW()-ROW($A$5),TongHopKL!A:B,2,0)</f>
        <v>cxv25</v>
      </c>
      <c r="B13" s="1600">
        <f>SUM($O$6:O13)</f>
        <v>8</v>
      </c>
      <c r="C13" s="1601" t="str">
        <f>(VLOOKUP(A13,TongHopKL!B:F,5,0))</f>
        <v>Cáp đồng bọc 24KV-CXV-25</v>
      </c>
      <c r="D13" s="1602" t="str">
        <f>IFERROR(VLOOKUP(A13,DG!A:D,4,0),0)</f>
        <v>mét</v>
      </c>
      <c r="E13" s="1603">
        <f>SUMIF(TongHopKL!B:B,'NT-VT'!A13,ThiCong)</f>
        <v>46</v>
      </c>
      <c r="F13" s="1600" t="str">
        <f>IFERROR(VLOOKUP(A13,Solieu!G:M,2,0),"")</f>
        <v>Cty TNHHSX-TM Dây &amp; Cáp Điện Tài Trường Thành</v>
      </c>
      <c r="G13" s="1600" t="str">
        <f>IFERROR(VLOOKUP(A13,Solieu!G:M,3,0),"")</f>
        <v>Cty TNHHSX-TM Dây &amp; Cáp Điện Tài Trường Thành</v>
      </c>
      <c r="H13" s="1600"/>
      <c r="I13" s="1604"/>
      <c r="J13" s="1605" t="str">
        <f>IFERROR(VLOOKUP(A13,Solieu!G:M,4,0),"")</f>
        <v>TTT-084LA.KCS0420/06</v>
      </c>
      <c r="K13" s="1606">
        <f>IFERROR(VLOOKUP(A13,Solieu!G:M,5,0),"")</f>
        <v>43959</v>
      </c>
      <c r="L13" s="1778" t="str">
        <f>IFERROR(VLOOKUP(A13,Solieu!G:M,6,0),"")</f>
        <v>28241/BB-MVC</v>
      </c>
      <c r="M13" s="1604">
        <f>IFERROR(VLOOKUP(A13,Solieu!G:M,7,0),"")</f>
        <v>44067</v>
      </c>
      <c r="N13" s="1198" t="s">
        <v>4188</v>
      </c>
      <c r="O13" s="1356">
        <f t="shared" si="0"/>
        <v>1</v>
      </c>
      <c r="P13" s="52" t="e">
        <f>VLOOKUP(A13,TongHopKL!D:M,8,0)</f>
        <v>#N/A</v>
      </c>
      <c r="Q13" s="1318"/>
      <c r="R13" s="1319"/>
      <c r="S13" s="1319"/>
      <c r="T13" s="1200"/>
      <c r="U13" s="1195"/>
      <c r="V13" s="1195"/>
      <c r="W13" s="1195"/>
      <c r="X13" s="1195"/>
      <c r="Y13" s="1195"/>
      <c r="Z13" s="1195"/>
      <c r="AA13" s="1195"/>
    </row>
    <row r="14" spans="1:27" s="829" customFormat="1" ht="34.950000000000003" customHeight="1">
      <c r="A14" s="1960" t="str">
        <f>VLOOKUP(ROW()-ROW($A$5),TongHopKL!A:B,2,0)</f>
        <v>cxv95</v>
      </c>
      <c r="B14" s="1600">
        <f>SUM($O$6:O14)</f>
        <v>9</v>
      </c>
      <c r="C14" s="1601" t="str">
        <f>(VLOOKUP(A14,TongHopKL!B:F,5,0))</f>
        <v>Cáp đồng bọc 24KV-CXV-95</v>
      </c>
      <c r="D14" s="1602" t="str">
        <f>IFERROR(VLOOKUP(A14,DG!A:D,4,0),0)</f>
        <v>mét</v>
      </c>
      <c r="E14" s="1603">
        <f>SUMIF(TongHopKL!B:B,'NT-VT'!A14,ThiCong)</f>
        <v>15</v>
      </c>
      <c r="F14" s="1600" t="str">
        <f>IFERROR(VLOOKUP(A14,Solieu!G:M,2,0),"")</f>
        <v>Cty TNHHSX-TM Dây &amp; Cáp Điện Tài Trường Thành</v>
      </c>
      <c r="G14" s="1600" t="str">
        <f>IFERROR(VLOOKUP(A14,Solieu!G:M,3,0),"")</f>
        <v>Cty TNHHSX-TM Dây &amp; Cáp Điện Tài Trường Thành</v>
      </c>
      <c r="H14" s="1600"/>
      <c r="I14" s="1604"/>
      <c r="J14" s="1605" t="str">
        <f>IFERROR(VLOOKUP(A14,Solieu!G:M,4,0),"")</f>
        <v>TTT-030KCS0220/11</v>
      </c>
      <c r="K14" s="1606">
        <f>IFERROR(VLOOKUP(A14,Solieu!G:M,5,0),"")</f>
        <v>43959</v>
      </c>
      <c r="L14" s="1778">
        <f>IFERROR(VLOOKUP(A14,Solieu!G:M,6,0),"")</f>
        <v>0</v>
      </c>
      <c r="M14" s="1604">
        <f>IFERROR(VLOOKUP(A14,Solieu!G:M,7,0),"")</f>
        <v>0</v>
      </c>
      <c r="N14" s="1198" t="s">
        <v>4188</v>
      </c>
      <c r="O14" s="1356">
        <f t="shared" si="0"/>
        <v>1</v>
      </c>
      <c r="P14" s="52" t="e">
        <f>VLOOKUP(A14,TongHopKL!D:M,8,0)</f>
        <v>#N/A</v>
      </c>
      <c r="Q14" s="1318"/>
      <c r="R14" s="1357"/>
      <c r="S14" s="830"/>
      <c r="T14" s="831"/>
      <c r="U14" s="828"/>
      <c r="V14" s="828"/>
      <c r="W14" s="828"/>
      <c r="X14" s="828"/>
      <c r="Y14" s="828"/>
      <c r="Z14" s="828"/>
      <c r="AA14" s="828"/>
    </row>
    <row r="15" spans="1:27" s="829" customFormat="1" ht="34.950000000000003" customHeight="1">
      <c r="A15" s="1960" t="str">
        <f>VLOOKUP(ROW()-ROW($A$5),TongHopKL!A:B,2,0)</f>
        <v>CVV4X4</v>
      </c>
      <c r="B15" s="1600">
        <f>SUM($O$6:O15)</f>
        <v>10</v>
      </c>
      <c r="C15" s="1601" t="str">
        <f>(VLOOKUP(A15,TongHopKL!B:F,5,0))</f>
        <v xml:space="preserve">Cáp CVV 4x4mm2  </v>
      </c>
      <c r="D15" s="1602" t="str">
        <f>IFERROR(VLOOKUP(A15,DG!A:D,4,0),0)</f>
        <v>mét</v>
      </c>
      <c r="E15" s="1603">
        <f>SUMIF(TongHopKL!B:B,'NT-VT'!A15,ThiCong)</f>
        <v>33</v>
      </c>
      <c r="F15" s="1600" t="str">
        <f>IFERROR(VLOOKUP(A15,Solieu!G:M,2,0),"")</f>
        <v>Cty TNHHSX-TM Dây &amp; Cáp Điện Tài Trường Thành</v>
      </c>
      <c r="G15" s="1600" t="str">
        <f>IFERROR(VLOOKUP(A15,Solieu!G:M,3,0),"")</f>
        <v>Cty TNHHSX-TM Dây &amp; Cáp Điện Tài Trường Thành</v>
      </c>
      <c r="H15" s="1600"/>
      <c r="I15" s="1604"/>
      <c r="J15" s="1605">
        <f>IFERROR(VLOOKUP(A15,Solieu!G:M,4,0),"")</f>
        <v>0</v>
      </c>
      <c r="K15" s="1606">
        <f>IFERROR(VLOOKUP(A15,Solieu!G:M,5,0),"")</f>
        <v>0</v>
      </c>
      <c r="L15" s="1778" t="str">
        <f>IFERROR(VLOOKUP(A15,Solieu!G:M,6,0),"")</f>
        <v>28243/BB-LVC</v>
      </c>
      <c r="M15" s="1604">
        <f>IFERROR(VLOOKUP(A15,Solieu!G:M,7,0),"")</f>
        <v>44067</v>
      </c>
      <c r="N15" s="1198" t="s">
        <v>4188</v>
      </c>
      <c r="O15" s="1356">
        <f t="shared" si="0"/>
        <v>1</v>
      </c>
      <c r="P15" s="52" t="e">
        <f>VLOOKUP(A15,TongHopKL!D:M,8,0)</f>
        <v>#N/A</v>
      </c>
      <c r="Q15" s="1318"/>
      <c r="R15" s="1319"/>
      <c r="S15" s="1320"/>
      <c r="T15" s="828"/>
      <c r="U15" s="828"/>
      <c r="V15" s="828"/>
      <c r="W15" s="828"/>
      <c r="X15" s="828"/>
      <c r="Y15" s="828"/>
      <c r="Z15" s="828"/>
      <c r="AA15" s="828"/>
    </row>
    <row r="16" spans="1:27" s="829" customFormat="1" ht="34.950000000000003" customHeight="1">
      <c r="A16" s="1960" t="str">
        <f>VLOOKUP(ROW()-ROW($A$5),TongHopKL!A:B,2,0)</f>
        <v>acxh70</v>
      </c>
      <c r="B16" s="1600">
        <f>SUM($O$6:O16)</f>
        <v>11</v>
      </c>
      <c r="C16" s="1601" t="str">
        <f>(VLOOKUP(A16,TongHopKL!B:F,5,0))</f>
        <v>Cáp 24KV ACXH 70mm2</v>
      </c>
      <c r="D16" s="1602" t="str">
        <f>IFERROR(VLOOKUP(A16,DG!A:D,4,0),0)</f>
        <v>mét</v>
      </c>
      <c r="E16" s="1603">
        <f>SUMIF(TongHopKL!B:B,'NT-VT'!A16,ThiCong)</f>
        <v>1649.34</v>
      </c>
      <c r="F16" s="1600" t="str">
        <f>IFERROR(VLOOKUP(A16,Solieu!G:M,2,0),"")</f>
        <v>Cty TNHHSX-TM Dây &amp; Cáp Điện Tài Trường Thành</v>
      </c>
      <c r="G16" s="1600" t="str">
        <f>IFERROR(VLOOKUP(A16,Solieu!G:M,3,0),"")</f>
        <v>Cty TNHHSX-TM Dây &amp; Cáp Điện Tài Trường Thành</v>
      </c>
      <c r="H16" s="1600"/>
      <c r="I16" s="1604"/>
      <c r="J16" s="1605">
        <f>IFERROR(VLOOKUP(A16,Solieu!G:M,4,0),"")</f>
        <v>0</v>
      </c>
      <c r="K16" s="1606">
        <f>IFERROR(VLOOKUP(A16,Solieu!G:M,5,0),"")</f>
        <v>0</v>
      </c>
      <c r="L16" s="1778" t="str">
        <f>IFERROR(VLOOKUP(A16,Solieu!G:M,6,0),"")</f>
        <v>28241/BB-MVC</v>
      </c>
      <c r="M16" s="1604">
        <f>IFERROR(VLOOKUP(A16,Solieu!G:M,7,0),"")</f>
        <v>44067</v>
      </c>
      <c r="N16" s="1198" t="s">
        <v>4188</v>
      </c>
      <c r="O16" s="1356">
        <f t="shared" si="0"/>
        <v>1</v>
      </c>
      <c r="P16" s="52" t="e">
        <f>VLOOKUP(A16,TongHopKL!D:M,8,0)</f>
        <v>#N/A</v>
      </c>
      <c r="Q16" s="1318"/>
      <c r="R16" s="1357"/>
      <c r="S16" s="828"/>
      <c r="T16" s="828"/>
      <c r="U16" s="828"/>
      <c r="V16" s="828"/>
      <c r="W16" s="828"/>
      <c r="X16" s="828"/>
      <c r="Y16" s="828"/>
      <c r="Z16" s="828"/>
      <c r="AA16" s="828"/>
    </row>
    <row r="17" spans="1:27" s="829" customFormat="1" ht="34.950000000000003" customHeight="1">
      <c r="A17" s="1960" t="str">
        <f>VLOOKUP(ROW()-ROW($A$5),TongHopKL!A:B,2,0)</f>
        <v>acxh95</v>
      </c>
      <c r="B17" s="1600">
        <f>SUM($O$6:O17)</f>
        <v>12</v>
      </c>
      <c r="C17" s="1601" t="str">
        <f>(VLOOKUP(A17,TongHopKL!B:F,5,0))</f>
        <v>Cáp 24KV ACXH 95mm2</v>
      </c>
      <c r="D17" s="1602" t="str">
        <f>IFERROR(VLOOKUP(A17,DG!A:D,4,0),0)</f>
        <v>mét</v>
      </c>
      <c r="E17" s="1603">
        <f>SUMIF(TongHopKL!B:B,'NT-VT'!A17,ThiCong)</f>
        <v>2970.3420000000006</v>
      </c>
      <c r="F17" s="1600" t="str">
        <f>IFERROR(VLOOKUP(A17,Solieu!G:M,2,0),"")</f>
        <v>Cty TNHHSX-TM Dây &amp; Cáp Điện Tài Trường Thành</v>
      </c>
      <c r="G17" s="1600" t="str">
        <f>IFERROR(VLOOKUP(A17,Solieu!G:M,3,0),"")</f>
        <v>Cty TNHHSX-TM Dây &amp; Cáp Điện Tài Trường Thành</v>
      </c>
      <c r="H17" s="1600"/>
      <c r="I17" s="1604"/>
      <c r="J17" s="1605" t="str">
        <f>IFERROR(VLOOKUP(A17,Solieu!G:M,4,0),"")</f>
        <v>TTT-014LAKCS0520/03</v>
      </c>
      <c r="K17" s="1606">
        <f>IFERROR(VLOOKUP(A17,Solieu!G:M,5,0),"")</f>
        <v>43959</v>
      </c>
      <c r="L17" s="1778">
        <f>IFERROR(VLOOKUP(A17,Solieu!G:M,6,0),"")</f>
        <v>0</v>
      </c>
      <c r="M17" s="1604">
        <f>IFERROR(VLOOKUP(A17,Solieu!G:M,7,0),"")</f>
        <v>0</v>
      </c>
      <c r="N17" s="1198" t="s">
        <v>4188</v>
      </c>
      <c r="O17" s="1356">
        <f t="shared" si="0"/>
        <v>1</v>
      </c>
      <c r="P17" s="52" t="e">
        <f>VLOOKUP(A17,TongHopKL!D:M,8,0)</f>
        <v>#N/A</v>
      </c>
      <c r="Q17" s="1315"/>
      <c r="R17" s="1357"/>
      <c r="S17" s="828"/>
      <c r="T17" s="828"/>
      <c r="U17" s="828"/>
      <c r="V17" s="828"/>
      <c r="W17" s="828"/>
      <c r="X17" s="828"/>
      <c r="Y17" s="828"/>
      <c r="Z17" s="828"/>
      <c r="AA17" s="828"/>
    </row>
    <row r="18" spans="1:27" s="829" customFormat="1" ht="34.950000000000003" customHeight="1">
      <c r="A18" s="1960" t="str">
        <f>VLOOKUP(ROW()-ROW($A$5),TongHopKL!A:B,2,0)</f>
        <v>M25</v>
      </c>
      <c r="B18" s="1600">
        <f>SUM($O$6:O18)</f>
        <v>13</v>
      </c>
      <c r="C18" s="1601" t="str">
        <f>(VLOOKUP(A18,TongHopKL!B:F,5,0))</f>
        <v>Cáp đồng trần M25mm2: 10m noái leân voû caùc thieát bò</v>
      </c>
      <c r="D18" s="1602" t="str">
        <f>IFERROR(VLOOKUP(A18,DG!A:D,4,0),0)</f>
        <v>kg</v>
      </c>
      <c r="E18" s="1603">
        <f>SUMIF(TongHopKL!B:B,'NT-VT'!A18,ThiCong)</f>
        <v>30.462</v>
      </c>
      <c r="F18" s="1600" t="str">
        <f>IFERROR(VLOOKUP(A18,Solieu!G:M,2,0),"")</f>
        <v>Cty TNHHSX-TM Dây &amp; Cáp Điện Tài Trường Thành</v>
      </c>
      <c r="G18" s="1600" t="str">
        <f>IFERROR(VLOOKUP(A18,Solieu!G:M,3,0),"")</f>
        <v>Cty TNHHSX-TM Dây &amp; Cáp Điện Tài Trường Thành</v>
      </c>
      <c r="H18" s="1600"/>
      <c r="I18" s="1604"/>
      <c r="J18" s="1605" t="str">
        <f>IFERROR(VLOOKUP(A18,Solieu!G:M,4,0),"")</f>
        <v>TTT-021KCS0320/63</v>
      </c>
      <c r="K18" s="1606">
        <f>IFERROR(VLOOKUP(A18,Solieu!G:M,5,0),"")</f>
        <v>43959</v>
      </c>
      <c r="L18" s="1778" t="str">
        <f>IFERROR(VLOOKUP(A18,Solieu!G:M,6,0),"")</f>
        <v>TTT - 061KCS0718/112</v>
      </c>
      <c r="M18" s="1604">
        <f>IFERROR(VLOOKUP(A18,Solieu!G:M,7,0),"")</f>
        <v>43721</v>
      </c>
      <c r="N18" s="1198" t="s">
        <v>4188</v>
      </c>
      <c r="O18" s="1356">
        <f t="shared" si="0"/>
        <v>1</v>
      </c>
      <c r="P18" s="52" t="e">
        <f>VLOOKUP(A18,TongHopKL!D:M,8,0)</f>
        <v>#N/A</v>
      </c>
      <c r="Q18" s="1315"/>
      <c r="R18" s="1357"/>
      <c r="S18" s="828"/>
      <c r="T18" s="828"/>
      <c r="U18" s="828"/>
      <c r="V18" s="828"/>
      <c r="W18" s="828"/>
      <c r="X18" s="828"/>
      <c r="Y18" s="828"/>
      <c r="Z18" s="828"/>
      <c r="AA18" s="828"/>
    </row>
    <row r="19" spans="1:27" s="829" customFormat="1" ht="34.950000000000003" customHeight="1">
      <c r="A19" s="1960" t="str">
        <f>VLOOKUP(ROW()-ROW($A$5),TongHopKL!A:B,2,0)</f>
        <v>AC50</v>
      </c>
      <c r="B19" s="1600">
        <f>SUM($O$6:O19)</f>
        <v>14</v>
      </c>
      <c r="C19" s="1601" t="str">
        <f>(VLOOKUP(A19,TongHopKL!B:F,5,0))</f>
        <v>Cáp nhôm lõi thép AC-50/8</v>
      </c>
      <c r="D19" s="1602" t="str">
        <f>IFERROR(VLOOKUP(A19,DG!A:D,4,0),0)</f>
        <v>kg</v>
      </c>
      <c r="E19" s="1603">
        <f>SUMIF(TongHopKL!B:B,'NT-VT'!A19,ThiCong)</f>
        <v>107.2071</v>
      </c>
      <c r="F19" s="1600" t="str">
        <f>IFERROR(VLOOKUP(A19,Solieu!G:M,2,0),"")</f>
        <v>Cty TNHHSX-TM Dây &amp; Cáp Điện Tài Trường Thành</v>
      </c>
      <c r="G19" s="1600" t="str">
        <f>IFERROR(VLOOKUP(A19,Solieu!G:M,3,0),"")</f>
        <v>Cty TNHHSX-TM Dây &amp; Cáp Điện Tài Trường Thành</v>
      </c>
      <c r="H19" s="1600"/>
      <c r="I19" s="1604"/>
      <c r="J19" s="1605">
        <f>IFERROR(VLOOKUP(A19,Solieu!G:M,4,0),"")</f>
        <v>0</v>
      </c>
      <c r="K19" s="1606">
        <f>IFERROR(VLOOKUP(A19,Solieu!G:M,5,0),"")</f>
        <v>0</v>
      </c>
      <c r="L19" s="1778" t="str">
        <f>IFERROR(VLOOKUP(A19,Solieu!G:M,6,0),"")</f>
        <v>TTT-056KCS0719/16</v>
      </c>
      <c r="M19" s="1604">
        <f>IFERROR(VLOOKUP(A19,Solieu!G:M,7,0),"")</f>
        <v>43665</v>
      </c>
      <c r="N19" s="1198" t="s">
        <v>4188</v>
      </c>
      <c r="O19" s="1356">
        <f t="shared" si="0"/>
        <v>1</v>
      </c>
      <c r="P19" s="52" t="e">
        <f>VLOOKUP(A19,TongHopKL!D:M,8,0)</f>
        <v>#N/A</v>
      </c>
      <c r="Q19" s="1315"/>
      <c r="R19" s="1357"/>
      <c r="S19" s="830"/>
      <c r="T19" s="830"/>
      <c r="U19" s="828"/>
      <c r="V19" s="828"/>
      <c r="W19" s="828"/>
      <c r="X19" s="828"/>
      <c r="Y19" s="828"/>
      <c r="Z19" s="828"/>
      <c r="AA19" s="828"/>
    </row>
    <row r="20" spans="1:27" s="829" customFormat="1" ht="34.950000000000003" customHeight="1">
      <c r="A20" s="1960" t="str">
        <f>VLOOKUP(ROW()-ROW($A$5),TongHopKL!A:B,2,0)</f>
        <v>AC70</v>
      </c>
      <c r="B20" s="1600">
        <f>SUM($O$6:O20)</f>
        <v>15</v>
      </c>
      <c r="C20" s="1601" t="str">
        <f>(VLOOKUP(A20,TongHopKL!B:F,5,0))</f>
        <v>Cáp nhôm lõi thép AC-70/11</v>
      </c>
      <c r="D20" s="1602" t="str">
        <f>IFERROR(VLOOKUP(A20,DG!A:D,4,0),0)</f>
        <v>kg</v>
      </c>
      <c r="E20" s="1603">
        <f>SUMIF(TongHopKL!B:B,'NT-VT'!A20,ThiCong)</f>
        <v>271.29123600000003</v>
      </c>
      <c r="F20" s="1600" t="str">
        <f>IFERROR(VLOOKUP(A20,Solieu!G:M,2,0),"")</f>
        <v>Cty TNHHSX-TM Dây &amp; Cáp Điện Tài Trường Thành</v>
      </c>
      <c r="G20" s="1600" t="str">
        <f>IFERROR(VLOOKUP(A20,Solieu!G:M,3,0),"")</f>
        <v>Cty TNHHSX-TM Dây &amp; Cáp Điện Tài Trường Thành</v>
      </c>
      <c r="H20" s="1600"/>
      <c r="I20" s="1604"/>
      <c r="J20" s="1605">
        <f>IFERROR(VLOOKUP(A20,Solieu!G:M,4,0),"")</f>
        <v>0</v>
      </c>
      <c r="K20" s="1606">
        <f>IFERROR(VLOOKUP(A20,Solieu!G:M,5,0),"")</f>
        <v>0</v>
      </c>
      <c r="L20" s="1778">
        <f>IFERROR(VLOOKUP(A20,Solieu!G:M,6,0),"")</f>
        <v>0</v>
      </c>
      <c r="M20" s="1604">
        <f>IFERROR(VLOOKUP(A20,Solieu!G:M,7,0),"")</f>
        <v>0</v>
      </c>
      <c r="N20" s="1198" t="s">
        <v>4188</v>
      </c>
      <c r="O20" s="1356">
        <f t="shared" si="0"/>
        <v>1</v>
      </c>
      <c r="P20" s="1194"/>
      <c r="Q20" s="1315"/>
      <c r="R20" s="1357"/>
      <c r="S20" s="830"/>
      <c r="T20" s="831"/>
      <c r="U20" s="828"/>
      <c r="V20" s="828"/>
      <c r="W20" s="828"/>
      <c r="X20" s="828"/>
      <c r="Y20" s="828"/>
      <c r="Z20" s="828"/>
      <c r="AA20" s="828"/>
    </row>
    <row r="21" spans="1:27" s="829" customFormat="1" ht="34.950000000000003" customHeight="1">
      <c r="A21" s="1960" t="str">
        <f>VLOOKUP(ROW()-ROW($A$5),TongHopKL!A:B,2,0)</f>
        <v>T12</v>
      </c>
      <c r="B21" s="1600">
        <f>SUM($O$6:O21)</f>
        <v>16</v>
      </c>
      <c r="C21" s="1601" t="str">
        <f>(VLOOKUP(A21,TongHopKL!B:F,5,0))</f>
        <v>Trụ BTLT 12m F540 dự ứng lực</v>
      </c>
      <c r="D21" s="1602" t="str">
        <f>IFERROR(VLOOKUP(A21,DG!A:D,4,0),0)</f>
        <v>trụ</v>
      </c>
      <c r="E21" s="1603">
        <f>SUMIF(TongHopKL!B:B,'NT-VT'!A21,ThiCong)</f>
        <v>17</v>
      </c>
      <c r="F21" s="1600" t="str">
        <f>IFERROR(VLOOKUP(A21,Solieu!G:M,2,0),"")</f>
        <v>Cty Cổ phần Bê tông ly tâm Thủ Đức</v>
      </c>
      <c r="G21" s="1600" t="str">
        <f>IFERROR(VLOOKUP(A21,Solieu!G:M,3,0),"")</f>
        <v>Cty Cổ phần Bê tông ly tâm Thủ Đức</v>
      </c>
      <c r="H21" s="1600"/>
      <c r="I21" s="1604"/>
      <c r="J21" s="1605" t="str">
        <f>IFERROR(VLOOKUP(A21,Solieu!G:M,4,0),"")</f>
        <v>0520/CNXX20</v>
      </c>
      <c r="K21" s="1606">
        <f>IFERROR(VLOOKUP(A21,Solieu!G:M,5,0),"")</f>
        <v>43954</v>
      </c>
      <c r="L21" s="1778" t="str">
        <f>IFERROR(VLOOKUP(A21,Solieu!G:M,6,0),"")</f>
        <v>136/NTXX-KHKD/TDC</v>
      </c>
      <c r="M21" s="1604">
        <f>IFERROR(VLOOKUP(A21,Solieu!G:M,7,0),"")</f>
        <v>43864</v>
      </c>
      <c r="N21" s="1198" t="s">
        <v>4188</v>
      </c>
      <c r="O21" s="1356">
        <f t="shared" si="0"/>
        <v>1</v>
      </c>
      <c r="P21" s="1194"/>
      <c r="Q21" s="1315"/>
      <c r="R21" s="1357"/>
      <c r="S21" s="828"/>
      <c r="T21" s="828"/>
      <c r="U21" s="828"/>
      <c r="V21" s="828"/>
      <c r="W21" s="828"/>
      <c r="X21" s="828"/>
      <c r="Y21" s="828"/>
      <c r="Z21" s="828"/>
      <c r="AA21" s="828"/>
    </row>
    <row r="22" spans="1:27" s="829" customFormat="1" ht="34.950000000000003" customHeight="1">
      <c r="A22" s="1960" t="str">
        <f>VLOOKUP(ROW()-ROW($A$5),TongHopKL!A:B,2,0)</f>
        <v>T14</v>
      </c>
      <c r="B22" s="1600">
        <f>SUM($O$6:O22)</f>
        <v>17</v>
      </c>
      <c r="C22" s="1601" t="str">
        <f>(VLOOKUP(A22,TongHopKL!B:F,5,0))</f>
        <v>Trụ BTLT 14m F650 dự ứng lực</v>
      </c>
      <c r="D22" s="1602" t="str">
        <f>IFERROR(VLOOKUP(A22,DG!A:D,4,0),0)</f>
        <v>trụ</v>
      </c>
      <c r="E22" s="1603">
        <f>SUMIF(TongHopKL!B:B,'NT-VT'!A22,ThiCong)</f>
        <v>7</v>
      </c>
      <c r="F22" s="1600" t="str">
        <f>IFERROR(VLOOKUP(A22,Solieu!G:M,2,0),"")</f>
        <v>Cty Cổ phần Bê tông ly tâm Thủ Đức</v>
      </c>
      <c r="G22" s="1600" t="str">
        <f>IFERROR(VLOOKUP(A22,Solieu!G:M,3,0),"")</f>
        <v>Cty Cổ phần Bê tông ly tâm Thủ Đức</v>
      </c>
      <c r="H22" s="1600"/>
      <c r="I22" s="1604"/>
      <c r="J22" s="1605">
        <f>IFERROR(VLOOKUP(A22,Solieu!G:M,4,0),"")</f>
        <v>0</v>
      </c>
      <c r="K22" s="1606">
        <f>IFERROR(VLOOKUP(A22,Solieu!G:M,5,0),"")</f>
        <v>0</v>
      </c>
      <c r="L22" s="1778" t="str">
        <f>IFERROR(VLOOKUP(A22,Solieu!G:M,6,0),"")</f>
        <v>136/NTXX-KHKD/TDC</v>
      </c>
      <c r="M22" s="1604">
        <f>IFERROR(VLOOKUP(A22,Solieu!G:M,7,0),"")</f>
        <v>43864</v>
      </c>
      <c r="N22" s="1198" t="s">
        <v>4188</v>
      </c>
      <c r="O22" s="1356">
        <f t="shared" si="0"/>
        <v>1</v>
      </c>
      <c r="P22" s="1194"/>
      <c r="Q22" s="1315"/>
      <c r="R22" s="1357"/>
      <c r="S22" s="828"/>
      <c r="T22" s="828"/>
      <c r="U22" s="828"/>
      <c r="V22" s="828"/>
      <c r="W22" s="828"/>
      <c r="X22" s="828"/>
      <c r="Y22" s="828"/>
      <c r="Z22" s="828"/>
      <c r="AA22" s="828"/>
    </row>
    <row r="23" spans="1:27" s="829" customFormat="1" ht="34.950000000000003" customHeight="1">
      <c r="A23" s="1960" t="str">
        <f>VLOOKUP(ROW()-ROW($A$5),TongHopKL!A:B,2,0)</f>
        <v>com800</v>
      </c>
      <c r="B23" s="1600">
        <f>SUM($O$6:O23)</f>
        <v>18</v>
      </c>
      <c r="C23" s="1601" t="str">
        <f>(VLOOKUP(A23,TongHopKL!B:F,5,0))</f>
        <v>Đà composite 0,8m</v>
      </c>
      <c r="D23" s="1602" t="str">
        <f>IFERROR(VLOOKUP(A23,DG!A:D,4,0),0)</f>
        <v>cây</v>
      </c>
      <c r="E23" s="1603">
        <f>SUMIF(TongHopKL!B:B,'NT-VT'!A23,ThiCong)</f>
        <v>1</v>
      </c>
      <c r="F23" s="1600" t="str">
        <f>IFERROR(VLOOKUP(A23,Solieu!G:M,2,0),"")</f>
        <v>Cty TNHH MTV Đại Thiên An</v>
      </c>
      <c r="G23" s="1600" t="str">
        <f>IFERROR(VLOOKUP(A23,Solieu!G:M,3,0),"")</f>
        <v>Cty TNHH MTV Đại Thiên An</v>
      </c>
      <c r="H23" s="1600"/>
      <c r="I23" s="1604"/>
      <c r="J23" s="1605">
        <f>IFERROR(VLOOKUP(A23,Solieu!G:M,4,0),"")</f>
        <v>0</v>
      </c>
      <c r="K23" s="1606">
        <f>IFERROR(VLOOKUP(A23,Solieu!G:M,5,0),"")</f>
        <v>0</v>
      </c>
      <c r="L23" s="1778" t="str">
        <f>IFERROR(VLOOKUP(A23,Solieu!G:M,6,0),"")</f>
        <v>01.2019/BBXX/DTA-TL</v>
      </c>
      <c r="M23" s="1604">
        <f>IFERROR(VLOOKUP(A23,Solieu!G:M,7,0),"")</f>
        <v>43525</v>
      </c>
      <c r="N23" s="1198" t="s">
        <v>4188</v>
      </c>
      <c r="O23" s="1356">
        <f t="shared" si="0"/>
        <v>1</v>
      </c>
      <c r="P23" s="1194"/>
      <c r="Q23" s="1315"/>
      <c r="R23" s="1357"/>
      <c r="S23" s="828"/>
      <c r="T23" s="828"/>
      <c r="U23" s="828"/>
      <c r="V23" s="828"/>
      <c r="W23" s="828"/>
      <c r="X23" s="828"/>
      <c r="Y23" s="828"/>
      <c r="Z23" s="828"/>
      <c r="AA23" s="828"/>
    </row>
    <row r="24" spans="1:27" s="829" customFormat="1" ht="34.950000000000003" customHeight="1">
      <c r="A24" s="1960" t="str">
        <f>VLOOKUP(ROW()-ROW($A$5),TongHopKL!A:B,2,0)</f>
        <v>acb1600</v>
      </c>
      <c r="B24" s="1600">
        <f>SUM($O$6:O24)</f>
        <v>19</v>
      </c>
      <c r="C24" s="1601" t="str">
        <f>(VLOOKUP(A24,TongHopKL!B:F,5,0))</f>
        <v>ACB 3P - 1600A - 65KA (nạp lò xo bằng tay)</v>
      </c>
      <c r="D24" s="1602" t="str">
        <f>IFERROR(VLOOKUP(A24,DG!A:D,4,0),0)</f>
        <v>cái</v>
      </c>
      <c r="E24" s="1603">
        <f>SUMIF(TongHopKL!B:B,'NT-VT'!A24,ThiCong)</f>
        <v>1</v>
      </c>
      <c r="F24" s="1600" t="str">
        <f>IFERROR(VLOOKUP(A24,Solieu!G:M,2,0),"")</f>
        <v>nt</v>
      </c>
      <c r="G24" s="1600" t="str">
        <f>IFERROR(VLOOKUP(A24,Solieu!G:M,3,0),"")</f>
        <v>nt</v>
      </c>
      <c r="H24" s="1600"/>
      <c r="I24" s="1604"/>
      <c r="J24" s="1605">
        <f>IFERROR(VLOOKUP(A24,Solieu!G:M,4,0),"")</f>
        <v>0</v>
      </c>
      <c r="K24" s="1606">
        <f>IFERROR(VLOOKUP(A24,Solieu!G:M,5,0),"")</f>
        <v>0</v>
      </c>
      <c r="L24" s="1778">
        <f>IFERROR(VLOOKUP(A24,Solieu!G:M,6,0),"")</f>
        <v>0</v>
      </c>
      <c r="M24" s="1604" t="str">
        <f>IFERROR(VLOOKUP(A24,Solieu!G:M,7,0),"")</f>
        <v/>
      </c>
      <c r="N24" s="1198" t="s">
        <v>4188</v>
      </c>
      <c r="O24" s="1356">
        <f t="shared" si="0"/>
        <v>1</v>
      </c>
      <c r="P24" s="1194"/>
      <c r="Q24" s="1315"/>
      <c r="R24" s="1357"/>
      <c r="S24" s="828"/>
      <c r="T24" s="828"/>
      <c r="U24" s="828"/>
      <c r="V24" s="828"/>
      <c r="W24" s="828"/>
      <c r="X24" s="828"/>
      <c r="Y24" s="828"/>
      <c r="Z24" s="828"/>
      <c r="AA24" s="828"/>
    </row>
    <row r="25" spans="1:27" s="829" customFormat="1" ht="34.950000000000003" customHeight="1">
      <c r="A25" s="1960" t="str">
        <f>VLOOKUP(ROW()-ROW($A$5),TongHopKL!A:B,2,0)</f>
        <v>b1050</v>
      </c>
      <c r="B25" s="1600">
        <f>SUM($O$6:O25)</f>
        <v>20</v>
      </c>
      <c r="C25" s="1601" t="str">
        <f>(VLOOKUP(A25,TongHopKL!B:F,5,0))</f>
        <v>Boulon 10x50+ 2 long đền vuông D12-50x50x3/Zn</v>
      </c>
      <c r="D25" s="1602" t="str">
        <f>IFERROR(VLOOKUP(A25,DG!A:D,4,0),0)</f>
        <v>bộ</v>
      </c>
      <c r="E25" s="1603">
        <f>SUMIF(TongHopKL!B:B,'NT-VT'!A25,ThiCong)</f>
        <v>24</v>
      </c>
      <c r="F25" s="1600" t="str">
        <f>IFERROR(VLOOKUP(A25,Solieu!G:M,2,0),"")</f>
        <v>nt</v>
      </c>
      <c r="G25" s="1600" t="str">
        <f>IFERROR(VLOOKUP(A25,Solieu!G:M,3,0),"")</f>
        <v>nt</v>
      </c>
      <c r="H25" s="1600"/>
      <c r="I25" s="1604"/>
      <c r="J25" s="1605" t="str">
        <f>IFERROR(VLOOKUP(A25,Solieu!G:M,4,0),"")</f>
        <v>nt</v>
      </c>
      <c r="K25" s="1606" t="str">
        <f>IFERROR(VLOOKUP(A25,Solieu!G:M,5,0),"")</f>
        <v>nt</v>
      </c>
      <c r="L25" s="1778">
        <f>IFERROR(VLOOKUP(A25,Solieu!G:M,6,0),"")</f>
        <v>0</v>
      </c>
      <c r="M25" s="1604" t="str">
        <f>IFERROR(VLOOKUP(A25,Solieu!G:M,7,0),"")</f>
        <v/>
      </c>
      <c r="N25" s="1198" t="s">
        <v>4188</v>
      </c>
      <c r="O25" s="1356">
        <f t="shared" si="0"/>
        <v>1</v>
      </c>
      <c r="P25" s="1194"/>
      <c r="Q25" s="1315"/>
      <c r="R25" s="1357"/>
      <c r="S25" s="828"/>
      <c r="T25" s="828"/>
      <c r="U25" s="828"/>
      <c r="V25" s="828"/>
      <c r="W25" s="828"/>
      <c r="X25" s="828"/>
      <c r="Y25" s="828"/>
      <c r="Z25" s="828"/>
      <c r="AA25" s="828"/>
    </row>
    <row r="26" spans="1:27" s="829" customFormat="1" ht="34.950000000000003" customHeight="1">
      <c r="A26" s="1960" t="str">
        <f>VLOOKUP(ROW()-ROW($A$5),TongHopKL!A:B,2,0)</f>
        <v>B14350</v>
      </c>
      <c r="B26" s="1600">
        <f>SUM($O$6:O26)</f>
        <v>21</v>
      </c>
      <c r="C26" s="1601" t="str">
        <f>(VLOOKUP(A26,TongHopKL!B:F,5,0))</f>
        <v>Boulon 14x350+ 2 long đền vuông D16-50x50x3/Zn</v>
      </c>
      <c r="D26" s="1602" t="str">
        <f>IFERROR(VLOOKUP(A26,DG!A:D,4,0),0)</f>
        <v>bộ</v>
      </c>
      <c r="E26" s="1603">
        <f>SUMIF(TongHopKL!B:B,'NT-VT'!A26,ThiCong)</f>
        <v>36</v>
      </c>
      <c r="F26" s="1600" t="str">
        <f>IFERROR(VLOOKUP(A26,Solieu!G:M,2,0),"")</f>
        <v>nt</v>
      </c>
      <c r="G26" s="1600" t="str">
        <f>IFERROR(VLOOKUP(A26,Solieu!G:M,3,0),"")</f>
        <v>nt</v>
      </c>
      <c r="H26" s="1600"/>
      <c r="I26" s="1604"/>
      <c r="J26" s="1605" t="str">
        <f>IFERROR(VLOOKUP(A26,Solieu!G:M,4,0),"")</f>
        <v>nt</v>
      </c>
      <c r="K26" s="1606" t="str">
        <f>IFERROR(VLOOKUP(A26,Solieu!G:M,5,0),"")</f>
        <v>nt</v>
      </c>
      <c r="L26" s="1778">
        <f>IFERROR(VLOOKUP(A26,Solieu!G:M,6,0),"")</f>
        <v>0</v>
      </c>
      <c r="M26" s="1604" t="str">
        <f>IFERROR(VLOOKUP(A26,Solieu!G:M,7,0),"")</f>
        <v/>
      </c>
      <c r="N26" s="1198" t="s">
        <v>4188</v>
      </c>
      <c r="O26" s="1356">
        <f t="shared" si="0"/>
        <v>1</v>
      </c>
      <c r="P26" s="1194"/>
      <c r="Q26" s="1315"/>
      <c r="R26" s="1357"/>
      <c r="S26" s="828"/>
      <c r="T26" s="828"/>
      <c r="U26" s="828"/>
      <c r="V26" s="828"/>
      <c r="W26" s="828"/>
      <c r="X26" s="828"/>
      <c r="Y26" s="828"/>
      <c r="Z26" s="828"/>
      <c r="AA26" s="828"/>
    </row>
    <row r="27" spans="1:27" s="829" customFormat="1" ht="34.950000000000003" customHeight="1">
      <c r="A27" s="1960" t="str">
        <f>VLOOKUP(ROW()-ROW($A$5),TongHopKL!A:B,2,0)</f>
        <v>B16150</v>
      </c>
      <c r="B27" s="1600">
        <f>SUM($O$6:O27)</f>
        <v>22</v>
      </c>
      <c r="C27" s="1601" t="str">
        <f>(VLOOKUP(A27,TongHopKL!B:F,5,0))</f>
        <v>Boulon 16x150+ 2 long đền vuông D18-50x50x3/Zn</v>
      </c>
      <c r="D27" s="1602" t="str">
        <f>IFERROR(VLOOKUP(A27,DG!A:D,4,0),0)</f>
        <v>bộ</v>
      </c>
      <c r="E27" s="1603">
        <f>SUMIF(TongHopKL!B:B,'NT-VT'!A27,ThiCong)</f>
        <v>2</v>
      </c>
      <c r="F27" s="1600" t="str">
        <f>IFERROR(VLOOKUP(A27,Solieu!G:M,2,0),"")</f>
        <v>nt</v>
      </c>
      <c r="G27" s="1600" t="str">
        <f>IFERROR(VLOOKUP(A27,Solieu!G:M,3,0),"")</f>
        <v>nt</v>
      </c>
      <c r="H27" s="1600"/>
      <c r="I27" s="1604"/>
      <c r="J27" s="1605" t="str">
        <f>IFERROR(VLOOKUP(A27,Solieu!G:M,4,0),"")</f>
        <v>nt</v>
      </c>
      <c r="K27" s="1606" t="str">
        <f>IFERROR(VLOOKUP(A27,Solieu!G:M,5,0),"")</f>
        <v>nt</v>
      </c>
      <c r="L27" s="1778">
        <f>IFERROR(VLOOKUP(A27,Solieu!G:M,6,0),"")</f>
        <v>0</v>
      </c>
      <c r="M27" s="1604" t="str">
        <f>IFERROR(VLOOKUP(A27,Solieu!G:M,7,0),"")</f>
        <v/>
      </c>
      <c r="N27" s="1198" t="s">
        <v>4188</v>
      </c>
      <c r="O27" s="1356">
        <f t="shared" si="0"/>
        <v>1</v>
      </c>
      <c r="P27" s="1194"/>
      <c r="Q27" s="1315"/>
      <c r="R27" s="1357"/>
      <c r="S27" s="828"/>
      <c r="T27" s="828"/>
      <c r="U27" s="828"/>
      <c r="V27" s="828"/>
      <c r="W27" s="828"/>
      <c r="X27" s="828"/>
      <c r="Y27" s="828"/>
      <c r="Z27" s="828"/>
      <c r="AA27" s="828"/>
    </row>
    <row r="28" spans="1:27" s="829" customFormat="1" ht="34.950000000000003" customHeight="1">
      <c r="A28" s="1960" t="str">
        <f>VLOOKUP(ROW()-ROW($A$5),TongHopKL!A:B,2,0)</f>
        <v>B16250</v>
      </c>
      <c r="B28" s="1600">
        <f>SUM($O$6:O28)</f>
        <v>23</v>
      </c>
      <c r="C28" s="1601" t="str">
        <f>(VLOOKUP(A28,TongHopKL!B:F,5,0))</f>
        <v>Boulon 16x250+ 2 long đền vuông D18-50x50x3/Zn</v>
      </c>
      <c r="D28" s="1602" t="str">
        <f>IFERROR(VLOOKUP(A28,DG!A:D,4,0),0)</f>
        <v>bộ</v>
      </c>
      <c r="E28" s="1603">
        <f>SUMIF(TongHopKL!B:B,'NT-VT'!A28,ThiCong)</f>
        <v>46</v>
      </c>
      <c r="F28" s="1600" t="str">
        <f>IFERROR(VLOOKUP(A28,Solieu!G:M,2,0),"")</f>
        <v>nt</v>
      </c>
      <c r="G28" s="1600" t="str">
        <f>IFERROR(VLOOKUP(A28,Solieu!G:M,3,0),"")</f>
        <v>nt</v>
      </c>
      <c r="H28" s="1600"/>
      <c r="I28" s="1604"/>
      <c r="J28" s="1605" t="str">
        <f>IFERROR(VLOOKUP(A28,Solieu!G:M,4,0),"")</f>
        <v>nt</v>
      </c>
      <c r="K28" s="1606" t="str">
        <f>IFERROR(VLOOKUP(A28,Solieu!G:M,5,0),"")</f>
        <v>nt</v>
      </c>
      <c r="L28" s="1778">
        <f>IFERROR(VLOOKUP(A28,Solieu!G:M,6,0),"")</f>
        <v>0</v>
      </c>
      <c r="M28" s="1604" t="str">
        <f>IFERROR(VLOOKUP(A28,Solieu!G:M,7,0),"")</f>
        <v/>
      </c>
      <c r="N28" s="1198" t="s">
        <v>4188</v>
      </c>
      <c r="O28" s="1356">
        <f t="shared" si="0"/>
        <v>1</v>
      </c>
      <c r="P28" s="1194"/>
      <c r="Q28" s="1315"/>
      <c r="R28" s="1357"/>
      <c r="S28" s="828"/>
      <c r="T28" s="828"/>
      <c r="U28" s="828"/>
      <c r="V28" s="828"/>
      <c r="W28" s="828"/>
      <c r="X28" s="828"/>
      <c r="Y28" s="828"/>
      <c r="Z28" s="828"/>
      <c r="AA28" s="828"/>
    </row>
    <row r="29" spans="1:27" s="829" customFormat="1" ht="34.950000000000003" customHeight="1">
      <c r="A29" s="1960" t="str">
        <f>VLOOKUP(ROW()-ROW($A$5),TongHopKL!A:B,2,0)</f>
        <v>B16300</v>
      </c>
      <c r="B29" s="1600">
        <f>SUM($O$6:O29)</f>
        <v>24</v>
      </c>
      <c r="C29" s="1601" t="str">
        <f>(VLOOKUP(A29,TongHopKL!B:F,5,0))</f>
        <v>Boulon 16x300+ 2 long đền vuông D18-50x50x3/Zn</v>
      </c>
      <c r="D29" s="1602" t="str">
        <f>IFERROR(VLOOKUP(A29,DG!A:D,4,0),0)</f>
        <v>bộ</v>
      </c>
      <c r="E29" s="1603">
        <f>SUMIF(TongHopKL!B:B,'NT-VT'!A29,ThiCong)</f>
        <v>19</v>
      </c>
      <c r="F29" s="1600" t="str">
        <f>IFERROR(VLOOKUP(A29,Solieu!G:M,2,0),"")</f>
        <v>nt</v>
      </c>
      <c r="G29" s="1600" t="str">
        <f>IFERROR(VLOOKUP(A29,Solieu!G:M,3,0),"")</f>
        <v>nt</v>
      </c>
      <c r="H29" s="1600"/>
      <c r="I29" s="1604"/>
      <c r="J29" s="1605" t="str">
        <f>IFERROR(VLOOKUP(A29,Solieu!G:M,4,0),"")</f>
        <v>nt</v>
      </c>
      <c r="K29" s="1606" t="str">
        <f>IFERROR(VLOOKUP(A29,Solieu!G:M,5,0),"")</f>
        <v>nt</v>
      </c>
      <c r="L29" s="1778">
        <f>IFERROR(VLOOKUP(A29,Solieu!G:M,6,0),"")</f>
        <v>0</v>
      </c>
      <c r="M29" s="1604" t="str">
        <f>IFERROR(VLOOKUP(A29,Solieu!G:M,7,0),"")</f>
        <v/>
      </c>
      <c r="N29" s="1198" t="s">
        <v>4188</v>
      </c>
      <c r="O29" s="1356">
        <f t="shared" si="0"/>
        <v>1</v>
      </c>
      <c r="P29" s="1194"/>
      <c r="Q29" s="1315"/>
      <c r="R29" s="1357"/>
      <c r="S29" s="828"/>
      <c r="T29" s="828"/>
      <c r="U29" s="828"/>
      <c r="V29" s="828"/>
      <c r="W29" s="828"/>
      <c r="X29" s="828"/>
      <c r="Y29" s="828"/>
      <c r="Z29" s="828"/>
      <c r="AA29" s="828"/>
    </row>
    <row r="30" spans="1:27" s="829" customFormat="1" ht="34.950000000000003" customHeight="1">
      <c r="A30" s="1960" t="str">
        <f>VLOOKUP(ROW()-ROW($A$5),TongHopKL!A:B,2,0)</f>
        <v>B16300V</v>
      </c>
      <c r="B30" s="1600">
        <f>SUM($O$6:O30)</f>
        <v>25</v>
      </c>
      <c r="C30" s="1601" t="str">
        <f>(VLOOKUP(A30,TongHopKL!B:F,5,0))</f>
        <v>Boulon 16x300VRS+ 4 long đền vuông D18-50x50x3/Zn</v>
      </c>
      <c r="D30" s="1602" t="str">
        <f>IFERROR(VLOOKUP(A30,DG!A:D,4,0),0)</f>
        <v>bộ</v>
      </c>
      <c r="E30" s="1603">
        <f>SUMIF(TongHopKL!B:B,'NT-VT'!A30,ThiCong)</f>
        <v>20</v>
      </c>
      <c r="F30" s="1600" t="str">
        <f>IFERROR(VLOOKUP(A30,Solieu!G:M,2,0),"")</f>
        <v>nt</v>
      </c>
      <c r="G30" s="1600" t="str">
        <f>IFERROR(VLOOKUP(A30,Solieu!G:M,3,0),"")</f>
        <v>nt</v>
      </c>
      <c r="H30" s="1600"/>
      <c r="I30" s="1604"/>
      <c r="J30" s="1605" t="str">
        <f>IFERROR(VLOOKUP(A30,Solieu!G:M,4,0),"")</f>
        <v>nt</v>
      </c>
      <c r="K30" s="1606" t="str">
        <f>IFERROR(VLOOKUP(A30,Solieu!G:M,5,0),"")</f>
        <v>nt</v>
      </c>
      <c r="L30" s="1778">
        <f>IFERROR(VLOOKUP(A30,Solieu!G:M,6,0),"")</f>
        <v>0</v>
      </c>
      <c r="M30" s="1604" t="str">
        <f>IFERROR(VLOOKUP(A30,Solieu!G:M,7,0),"")</f>
        <v/>
      </c>
      <c r="N30" s="1198" t="s">
        <v>4188</v>
      </c>
      <c r="O30" s="1356">
        <f t="shared" si="0"/>
        <v>1</v>
      </c>
      <c r="P30" s="1194"/>
      <c r="Q30" s="1315"/>
      <c r="R30" s="1357"/>
      <c r="S30" s="828"/>
      <c r="T30" s="828"/>
      <c r="U30" s="828"/>
      <c r="V30" s="828"/>
      <c r="W30" s="828"/>
      <c r="X30" s="828"/>
      <c r="Y30" s="828"/>
      <c r="Z30" s="828"/>
      <c r="AA30" s="828"/>
    </row>
    <row r="31" spans="1:27" s="829" customFormat="1" ht="34.950000000000003" customHeight="1">
      <c r="A31" s="1960" t="str">
        <f>VLOOKUP(ROW()-ROW($A$5),TongHopKL!A:B,2,0)</f>
        <v>B1635</v>
      </c>
      <c r="B31" s="1600">
        <f>SUM($O$6:O31)</f>
        <v>26</v>
      </c>
      <c r="C31" s="1601" t="str">
        <f>(VLOOKUP(A31,TongHopKL!B:F,5,0))</f>
        <v>Boulon 16x35+ 2 long đền vuông D18-50x50x3/Zn</v>
      </c>
      <c r="D31" s="1602" t="str">
        <f>IFERROR(VLOOKUP(A31,DG!A:D,4,0),0)</f>
        <v>bộ</v>
      </c>
      <c r="E31" s="1603">
        <f>SUMIF(TongHopKL!B:B,'NT-VT'!A31,ThiCong)</f>
        <v>24</v>
      </c>
      <c r="F31" s="1600" t="str">
        <f>IFERROR(VLOOKUP(A31,Solieu!G:M,2,0),"")</f>
        <v>nt</v>
      </c>
      <c r="G31" s="1600" t="str">
        <f>IFERROR(VLOOKUP(A31,Solieu!G:M,3,0),"")</f>
        <v>nt</v>
      </c>
      <c r="H31" s="1600"/>
      <c r="I31" s="1604"/>
      <c r="J31" s="1605" t="str">
        <f>IFERROR(VLOOKUP(A31,Solieu!G:M,4,0),"")</f>
        <v>nt</v>
      </c>
      <c r="K31" s="1606" t="str">
        <f>IFERROR(VLOOKUP(A31,Solieu!G:M,5,0),"")</f>
        <v>nt</v>
      </c>
      <c r="L31" s="1778">
        <f>IFERROR(VLOOKUP(A31,Solieu!G:M,6,0),"")</f>
        <v>0</v>
      </c>
      <c r="M31" s="1604" t="str">
        <f>IFERROR(VLOOKUP(A31,Solieu!G:M,7,0),"")</f>
        <v/>
      </c>
      <c r="N31" s="1198" t="s">
        <v>4188</v>
      </c>
      <c r="O31" s="1356">
        <f t="shared" si="0"/>
        <v>1</v>
      </c>
      <c r="P31" s="1194"/>
      <c r="Q31" s="1315"/>
      <c r="R31" s="1357"/>
      <c r="S31" s="828"/>
      <c r="T31" s="828"/>
      <c r="U31" s="828"/>
      <c r="V31" s="828"/>
      <c r="W31" s="828"/>
      <c r="X31" s="828"/>
      <c r="Y31" s="828"/>
      <c r="Z31" s="828"/>
      <c r="AA31" s="828"/>
    </row>
    <row r="32" spans="1:27" s="829" customFormat="1" ht="34.950000000000003" customHeight="1">
      <c r="A32" s="1960" t="str">
        <f>VLOOKUP(ROW()-ROW($A$5),TongHopKL!A:B,2,0)</f>
        <v>B16350</v>
      </c>
      <c r="B32" s="1600">
        <f>SUM($O$6:O32)</f>
        <v>27</v>
      </c>
      <c r="C32" s="1601" t="str">
        <f>(VLOOKUP(A32,TongHopKL!B:F,5,0))</f>
        <v>Boulon 16x350+ 2 long đền vuông D18-50x50x3/Zn</v>
      </c>
      <c r="D32" s="1602" t="str">
        <f>IFERROR(VLOOKUP(A32,DG!A:D,4,0),0)</f>
        <v>bộ</v>
      </c>
      <c r="E32" s="1603">
        <f>SUMIF(TongHopKL!B:B,'NT-VT'!A32,ThiCong)</f>
        <v>7</v>
      </c>
      <c r="F32" s="1600" t="str">
        <f>IFERROR(VLOOKUP(A32,Solieu!G:M,2,0),"")</f>
        <v>nt</v>
      </c>
      <c r="G32" s="1600" t="str">
        <f>IFERROR(VLOOKUP(A32,Solieu!G:M,3,0),"")</f>
        <v>nt</v>
      </c>
      <c r="H32" s="1600"/>
      <c r="I32" s="1604"/>
      <c r="J32" s="1605" t="str">
        <f>IFERROR(VLOOKUP(A32,Solieu!G:M,4,0),"")</f>
        <v>nt</v>
      </c>
      <c r="K32" s="1606" t="str">
        <f>IFERROR(VLOOKUP(A32,Solieu!G:M,5,0),"")</f>
        <v>nt</v>
      </c>
      <c r="L32" s="1778">
        <f>IFERROR(VLOOKUP(A32,Solieu!G:M,6,0),"")</f>
        <v>0</v>
      </c>
      <c r="M32" s="1604" t="str">
        <f>IFERROR(VLOOKUP(A32,Solieu!G:M,7,0),"")</f>
        <v/>
      </c>
      <c r="N32" s="1198" t="s">
        <v>4188</v>
      </c>
      <c r="O32" s="1356">
        <f t="shared" si="0"/>
        <v>1</v>
      </c>
      <c r="P32" s="1194"/>
      <c r="Q32" s="1315"/>
      <c r="R32" s="1357"/>
      <c r="S32" s="828"/>
      <c r="T32" s="828"/>
      <c r="U32" s="828"/>
      <c r="V32" s="828"/>
      <c r="W32" s="828"/>
      <c r="X32" s="828"/>
      <c r="Y32" s="828"/>
      <c r="Z32" s="828"/>
      <c r="AA32" s="828"/>
    </row>
    <row r="33" spans="1:27" s="829" customFormat="1" ht="34.950000000000003" customHeight="1">
      <c r="A33" s="1960" t="str">
        <f>VLOOKUP(ROW()-ROW($A$5),TongHopKL!A:B,2,0)</f>
        <v>B16400</v>
      </c>
      <c r="B33" s="1600">
        <f>SUM($O$6:O33)</f>
        <v>28</v>
      </c>
      <c r="C33" s="1601" t="str">
        <f>(VLOOKUP(A33,TongHopKL!B:F,5,0))</f>
        <v>Boulon 16x400+ 2 long đền vuông D18-50x50x3/Zn</v>
      </c>
      <c r="D33" s="1602" t="str">
        <f>IFERROR(VLOOKUP(A33,DG!A:D,4,0),0)</f>
        <v>bộ</v>
      </c>
      <c r="E33" s="1603">
        <f>SUMIF(TongHopKL!B:B,'NT-VT'!A33,ThiCong)</f>
        <v>2</v>
      </c>
      <c r="F33" s="1600" t="str">
        <f>IFERROR(VLOOKUP(A33,Solieu!G:M,2,0),"")</f>
        <v>nt</v>
      </c>
      <c r="G33" s="1600" t="str">
        <f>IFERROR(VLOOKUP(A33,Solieu!G:M,3,0),"")</f>
        <v>nt</v>
      </c>
      <c r="H33" s="1600"/>
      <c r="I33" s="1604"/>
      <c r="J33" s="1605" t="str">
        <f>IFERROR(VLOOKUP(A33,Solieu!G:M,4,0),"")</f>
        <v>nt</v>
      </c>
      <c r="K33" s="1606" t="str">
        <f>IFERROR(VLOOKUP(A33,Solieu!G:M,5,0),"")</f>
        <v>nt</v>
      </c>
      <c r="L33" s="1778">
        <f>IFERROR(VLOOKUP(A33,Solieu!G:M,6,0),"")</f>
        <v>0</v>
      </c>
      <c r="M33" s="1604" t="str">
        <f>IFERROR(VLOOKUP(A33,Solieu!G:M,7,0),"")</f>
        <v/>
      </c>
      <c r="N33" s="1198" t="s">
        <v>4188</v>
      </c>
      <c r="O33" s="1356">
        <f t="shared" si="0"/>
        <v>1</v>
      </c>
      <c r="P33" s="1194"/>
      <c r="Q33" s="1315"/>
      <c r="R33" s="1357"/>
      <c r="S33" s="828"/>
      <c r="T33" s="828"/>
      <c r="U33" s="828"/>
      <c r="V33" s="828"/>
      <c r="W33" s="828"/>
      <c r="X33" s="828"/>
      <c r="Y33" s="828"/>
      <c r="Z33" s="828"/>
      <c r="AA33" s="828"/>
    </row>
    <row r="34" spans="1:27" s="829" customFormat="1" ht="34.950000000000003" customHeight="1">
      <c r="A34" s="1960" t="str">
        <f>VLOOKUP(ROW()-ROW($A$5),TongHopKL!A:B,2,0)</f>
        <v>B1650</v>
      </c>
      <c r="B34" s="1600">
        <f>SUM($O$6:O34)</f>
        <v>29</v>
      </c>
      <c r="C34" s="1601" t="str">
        <f>(VLOOKUP(A34,TongHopKL!B:F,5,0))</f>
        <v>Boulon 16x50+ 2 long đền vuông D18-50x50x3/Zn</v>
      </c>
      <c r="D34" s="1602" t="str">
        <f>IFERROR(VLOOKUP(A34,DG!A:D,4,0),0)</f>
        <v>bộ</v>
      </c>
      <c r="E34" s="1603">
        <f>SUMIF(TongHopKL!B:B,'NT-VT'!A34,ThiCong)</f>
        <v>61</v>
      </c>
      <c r="F34" s="1600" t="str">
        <f>IFERROR(VLOOKUP(A34,Solieu!G:M,2,0),"")</f>
        <v>nt</v>
      </c>
      <c r="G34" s="1600" t="str">
        <f>IFERROR(VLOOKUP(A34,Solieu!G:M,3,0),"")</f>
        <v>nt</v>
      </c>
      <c r="H34" s="1600"/>
      <c r="I34" s="1604"/>
      <c r="J34" s="1605" t="str">
        <f>IFERROR(VLOOKUP(A34,Solieu!G:M,4,0),"")</f>
        <v>nt</v>
      </c>
      <c r="K34" s="1606" t="str">
        <f>IFERROR(VLOOKUP(A34,Solieu!G:M,5,0),"")</f>
        <v>nt</v>
      </c>
      <c r="L34" s="1778">
        <f>IFERROR(VLOOKUP(A34,Solieu!G:M,6,0),"")</f>
        <v>0</v>
      </c>
      <c r="M34" s="1604" t="str">
        <f>IFERROR(VLOOKUP(A34,Solieu!G:M,7,0),"")</f>
        <v/>
      </c>
      <c r="N34" s="1198" t="s">
        <v>4188</v>
      </c>
      <c r="O34" s="1356">
        <f t="shared" si="0"/>
        <v>1</v>
      </c>
      <c r="P34" s="1194"/>
      <c r="Q34" s="1315"/>
      <c r="R34" s="1357"/>
      <c r="S34" s="828"/>
      <c r="T34" s="828"/>
      <c r="U34" s="828"/>
      <c r="V34" s="828"/>
      <c r="W34" s="828"/>
      <c r="X34" s="828"/>
      <c r="Y34" s="828"/>
      <c r="Z34" s="828"/>
      <c r="AA34" s="828"/>
    </row>
    <row r="35" spans="1:27" s="829" customFormat="1" ht="34.950000000000003" customHeight="1">
      <c r="A35" s="1960" t="str">
        <f>VLOOKUP(ROW()-ROW($A$5),TongHopKL!A:B,2,0)</f>
        <v>B16500</v>
      </c>
      <c r="B35" s="1600">
        <f>SUM($O$6:O35)</f>
        <v>30</v>
      </c>
      <c r="C35" s="1601" t="str">
        <f>(VLOOKUP(A35,TongHopKL!B:F,5,0))</f>
        <v>Boulon 16x500+ 2 long đền vuông D18-50x50x3/Zn</v>
      </c>
      <c r="D35" s="1602" t="str">
        <f>IFERROR(VLOOKUP(A35,DG!A:D,4,0),0)</f>
        <v>bộ</v>
      </c>
      <c r="E35" s="1603">
        <f>SUMIF(TongHopKL!B:B,'NT-VT'!A35,ThiCong)</f>
        <v>10</v>
      </c>
      <c r="F35" s="1600" t="str">
        <f>IFERROR(VLOOKUP(A35,Solieu!G:M,2,0),"")</f>
        <v>nt</v>
      </c>
      <c r="G35" s="1600" t="str">
        <f>IFERROR(VLOOKUP(A35,Solieu!G:M,3,0),"")</f>
        <v>nt</v>
      </c>
      <c r="H35" s="1600"/>
      <c r="I35" s="1604"/>
      <c r="J35" s="1605" t="str">
        <f>IFERROR(VLOOKUP(A35,Solieu!G:M,4,0),"")</f>
        <v>nt</v>
      </c>
      <c r="K35" s="1606" t="str">
        <f>IFERROR(VLOOKUP(A35,Solieu!G:M,5,0),"")</f>
        <v>nt</v>
      </c>
      <c r="L35" s="1778">
        <f>IFERROR(VLOOKUP(A35,Solieu!G:M,6,0),"")</f>
        <v>0</v>
      </c>
      <c r="M35" s="1604" t="str">
        <f>IFERROR(VLOOKUP(A35,Solieu!G:M,7,0),"")</f>
        <v/>
      </c>
      <c r="N35" s="1198" t="s">
        <v>4188</v>
      </c>
      <c r="O35" s="1356">
        <f t="shared" si="0"/>
        <v>1</v>
      </c>
      <c r="P35" s="1194"/>
      <c r="Q35" s="1315"/>
      <c r="R35" s="1357"/>
      <c r="S35" s="828"/>
      <c r="T35" s="828"/>
      <c r="U35" s="828"/>
      <c r="V35" s="828"/>
      <c r="W35" s="828"/>
      <c r="X35" s="828"/>
      <c r="Y35" s="828"/>
      <c r="Z35" s="828"/>
      <c r="AA35" s="828"/>
    </row>
    <row r="36" spans="1:27" s="829" customFormat="1" ht="34.950000000000003" customHeight="1">
      <c r="A36" s="1960" t="str">
        <f>VLOOKUP(ROW()-ROW($A$5),TongHopKL!A:B,2,0)</f>
        <v>B16550</v>
      </c>
      <c r="B36" s="1600">
        <f>SUM($O$6:O36)</f>
        <v>31</v>
      </c>
      <c r="C36" s="1601" t="str">
        <f>(VLOOKUP(A36,TongHopKL!B:F,5,0))</f>
        <v>Boulon 16x550+ long đền vuông D18-50x50x3/Zn</v>
      </c>
      <c r="D36" s="1602" t="str">
        <f>IFERROR(VLOOKUP(A36,DG!A:D,4,0),0)</f>
        <v>bộ</v>
      </c>
      <c r="E36" s="1603">
        <f>SUMIF(TongHopKL!B:B,'NT-VT'!A36,ThiCong)</f>
        <v>1</v>
      </c>
      <c r="F36" s="1600" t="str">
        <f>IFERROR(VLOOKUP(A36,Solieu!G:M,2,0),"")</f>
        <v>nt</v>
      </c>
      <c r="G36" s="1600" t="str">
        <f>IFERROR(VLOOKUP(A36,Solieu!G:M,3,0),"")</f>
        <v>nt</v>
      </c>
      <c r="H36" s="1600"/>
      <c r="I36" s="1604"/>
      <c r="J36" s="1605" t="str">
        <f>IFERROR(VLOOKUP(A36,Solieu!G:M,4,0),"")</f>
        <v>nt</v>
      </c>
      <c r="K36" s="1606" t="str">
        <f>IFERROR(VLOOKUP(A36,Solieu!G:M,5,0),"")</f>
        <v>nt</v>
      </c>
      <c r="L36" s="1778">
        <f>IFERROR(VLOOKUP(A36,Solieu!G:M,6,0),"")</f>
        <v>0</v>
      </c>
      <c r="M36" s="1604" t="str">
        <f>IFERROR(VLOOKUP(A36,Solieu!G:M,7,0),"")</f>
        <v/>
      </c>
      <c r="N36" s="1198" t="s">
        <v>4188</v>
      </c>
      <c r="O36" s="1356">
        <f t="shared" si="0"/>
        <v>1</v>
      </c>
      <c r="P36" s="1194"/>
      <c r="Q36" s="1315"/>
      <c r="R36" s="1357"/>
      <c r="S36" s="828"/>
      <c r="T36" s="828"/>
      <c r="U36" s="828"/>
      <c r="V36" s="828"/>
      <c r="W36" s="828"/>
      <c r="X36" s="828"/>
      <c r="Y36" s="828"/>
      <c r="Z36" s="828"/>
      <c r="AA36" s="828"/>
    </row>
    <row r="37" spans="1:27" s="829" customFormat="1" ht="34.950000000000003" customHeight="1">
      <c r="A37" s="1960" t="str">
        <f>VLOOKUP(ROW()-ROW($A$5),TongHopKL!A:B,2,0)</f>
        <v>B16550v</v>
      </c>
      <c r="B37" s="1600">
        <f>SUM($O$6:O37)</f>
        <v>32</v>
      </c>
      <c r="C37" s="1601" t="str">
        <f>(VLOOKUP(A37,TongHopKL!B:F,5,0))</f>
        <v>Boulon 16x550VRS+ 4 long đền vuông D18-50x50x3/Zn</v>
      </c>
      <c r="D37" s="1602" t="str">
        <f>IFERROR(VLOOKUP(A37,DG!A:D,4,0),0)</f>
        <v>bộ</v>
      </c>
      <c r="E37" s="1603">
        <f>SUMIF(TongHopKL!B:B,'NT-VT'!A37,ThiCong)</f>
        <v>20</v>
      </c>
      <c r="F37" s="1600" t="str">
        <f>IFERROR(VLOOKUP(A37,Solieu!G:M,2,0),"")</f>
        <v>nt</v>
      </c>
      <c r="G37" s="1600" t="str">
        <f>IFERROR(VLOOKUP(A37,Solieu!G:M,3,0),"")</f>
        <v>nt</v>
      </c>
      <c r="H37" s="1600"/>
      <c r="I37" s="1604"/>
      <c r="J37" s="1605" t="str">
        <f>IFERROR(VLOOKUP(A37,Solieu!G:M,4,0),"")</f>
        <v>nt</v>
      </c>
      <c r="K37" s="1606" t="str">
        <f>IFERROR(VLOOKUP(A37,Solieu!G:M,5,0),"")</f>
        <v>nt</v>
      </c>
      <c r="L37" s="1778">
        <f>IFERROR(VLOOKUP(A37,Solieu!G:M,6,0),"")</f>
        <v>0</v>
      </c>
      <c r="M37" s="1604" t="str">
        <f>IFERROR(VLOOKUP(A37,Solieu!G:M,7,0),"")</f>
        <v/>
      </c>
      <c r="N37" s="1198" t="s">
        <v>4188</v>
      </c>
      <c r="O37" s="1356">
        <f t="shared" si="0"/>
        <v>1</v>
      </c>
      <c r="P37" s="1194"/>
      <c r="Q37" s="1315"/>
      <c r="R37" s="1357"/>
      <c r="S37" s="828"/>
      <c r="T37" s="828"/>
      <c r="U37" s="828"/>
      <c r="V37" s="828"/>
      <c r="W37" s="828"/>
      <c r="X37" s="828"/>
      <c r="Y37" s="828"/>
      <c r="Z37" s="828"/>
      <c r="AA37" s="828"/>
    </row>
    <row r="38" spans="1:27" s="829" customFormat="1" ht="34.950000000000003" customHeight="1">
      <c r="A38" s="1960" t="str">
        <f>VLOOKUP(ROW()-ROW($A$5),TongHopKL!A:B,2,0)</f>
        <v>B16600</v>
      </c>
      <c r="B38" s="1600">
        <f>SUM($O$6:O38)</f>
        <v>33</v>
      </c>
      <c r="C38" s="1601" t="str">
        <f>(VLOOKUP(A38,TongHopKL!B:F,5,0))</f>
        <v>Boulon 16x600+ 2 long đền vuông D18-50x50x3/Zn</v>
      </c>
      <c r="D38" s="1602" t="str">
        <f>IFERROR(VLOOKUP(A38,DG!A:D,4,0),0)</f>
        <v>bộ</v>
      </c>
      <c r="E38" s="1603">
        <f>SUMIF(TongHopKL!B:B,'NT-VT'!A38,ThiCong)</f>
        <v>10</v>
      </c>
      <c r="F38" s="1600" t="str">
        <f>IFERROR(VLOOKUP(A38,Solieu!G:M,2,0),"")</f>
        <v>nt</v>
      </c>
      <c r="G38" s="1600" t="str">
        <f>IFERROR(VLOOKUP(A38,Solieu!G:M,3,0),"")</f>
        <v>nt</v>
      </c>
      <c r="H38" s="1600"/>
      <c r="I38" s="1604"/>
      <c r="J38" s="1605" t="str">
        <f>IFERROR(VLOOKUP(A38,Solieu!G:M,4,0),"")</f>
        <v>nt</v>
      </c>
      <c r="K38" s="1606" t="str">
        <f>IFERROR(VLOOKUP(A38,Solieu!G:M,5,0),"")</f>
        <v>nt</v>
      </c>
      <c r="L38" s="1778">
        <f>IFERROR(VLOOKUP(A38,Solieu!G:M,6,0),"")</f>
        <v>0</v>
      </c>
      <c r="M38" s="1604" t="str">
        <f>IFERROR(VLOOKUP(A38,Solieu!G:M,7,0),"")</f>
        <v/>
      </c>
      <c r="N38" s="1198" t="s">
        <v>4188</v>
      </c>
      <c r="O38" s="1356">
        <f t="shared" si="0"/>
        <v>1</v>
      </c>
      <c r="P38" s="1194"/>
      <c r="Q38" s="1315"/>
      <c r="R38" s="1357"/>
      <c r="S38" s="828"/>
      <c r="T38" s="828"/>
      <c r="U38" s="828"/>
      <c r="V38" s="828"/>
      <c r="W38" s="828"/>
      <c r="X38" s="828"/>
      <c r="Y38" s="828"/>
      <c r="Z38" s="828"/>
      <c r="AA38" s="828"/>
    </row>
    <row r="39" spans="1:27" s="829" customFormat="1" ht="34.950000000000003" customHeight="1">
      <c r="A39" s="1960" t="str">
        <f>VLOOKUP(ROW()-ROW($A$5),TongHopKL!A:B,2,0)</f>
        <v>B16650v</v>
      </c>
      <c r="B39" s="1600">
        <f>SUM($O$6:O39)</f>
        <v>34</v>
      </c>
      <c r="C39" s="1601" t="str">
        <f>(VLOOKUP(A39,TongHopKL!B:F,5,0))</f>
        <v>Boulon 16x650VRS+ 4 long đền vuông D18-50x50x3/Zn</v>
      </c>
      <c r="D39" s="1602" t="str">
        <f>IFERROR(VLOOKUP(A39,DG!A:D,4,0),0)</f>
        <v>bộ</v>
      </c>
      <c r="E39" s="1603">
        <f>SUMIF(TongHopKL!B:B,'NT-VT'!A39,ThiCong)</f>
        <v>6</v>
      </c>
      <c r="F39" s="1600" t="str">
        <f>IFERROR(VLOOKUP(A39,Solieu!G:M,2,0),"")</f>
        <v>nt</v>
      </c>
      <c r="G39" s="1600" t="str">
        <f>IFERROR(VLOOKUP(A39,Solieu!G:M,3,0),"")</f>
        <v>nt</v>
      </c>
      <c r="H39" s="1600"/>
      <c r="I39" s="1604"/>
      <c r="J39" s="1605" t="str">
        <f>IFERROR(VLOOKUP(A39,Solieu!G:M,4,0),"")</f>
        <v>nt</v>
      </c>
      <c r="K39" s="1606" t="str">
        <f>IFERROR(VLOOKUP(A39,Solieu!G:M,5,0),"")</f>
        <v>nt</v>
      </c>
      <c r="L39" s="1778">
        <f>IFERROR(VLOOKUP(A39,Solieu!G:M,6,0),"")</f>
        <v>0</v>
      </c>
      <c r="M39" s="1604" t="str">
        <f>IFERROR(VLOOKUP(A39,Solieu!G:M,7,0),"")</f>
        <v/>
      </c>
      <c r="N39" s="1198" t="s">
        <v>4188</v>
      </c>
      <c r="O39" s="1356">
        <f t="shared" si="0"/>
        <v>1</v>
      </c>
      <c r="P39" s="1194"/>
      <c r="Q39" s="1315"/>
      <c r="R39" s="1357"/>
      <c r="S39" s="828"/>
      <c r="T39" s="828"/>
      <c r="U39" s="828"/>
      <c r="V39" s="828"/>
      <c r="W39" s="828"/>
      <c r="X39" s="828"/>
      <c r="Y39" s="828"/>
      <c r="Z39" s="828"/>
      <c r="AA39" s="828"/>
    </row>
    <row r="40" spans="1:27" s="829" customFormat="1" ht="34.950000000000003" customHeight="1">
      <c r="A40" s="1960" t="str">
        <f>VLOOKUP(ROW()-ROW($A$5),TongHopKL!A:B,2,0)</f>
        <v>B16750v</v>
      </c>
      <c r="B40" s="1600">
        <f>SUM($O$6:O40)</f>
        <v>35</v>
      </c>
      <c r="C40" s="1601" t="str">
        <f>(VLOOKUP(A40,TongHopKL!B:F,5,0))</f>
        <v>Boulon 16x750VRS+ 4 long đền vuông D18-50x50x3/Zn</v>
      </c>
      <c r="D40" s="1602" t="str">
        <f>IFERROR(VLOOKUP(A40,DG!A:D,4,0),0)</f>
        <v>bộ</v>
      </c>
      <c r="E40" s="1603">
        <f>SUMIF(TongHopKL!B:B,'NT-VT'!A40,ThiCong)</f>
        <v>6</v>
      </c>
      <c r="F40" s="1600" t="str">
        <f>IFERROR(VLOOKUP(A40,Solieu!G:M,2,0),"")</f>
        <v>nt</v>
      </c>
      <c r="G40" s="1600" t="str">
        <f>IFERROR(VLOOKUP(A40,Solieu!G:M,3,0),"")</f>
        <v>nt</v>
      </c>
      <c r="H40" s="1600"/>
      <c r="I40" s="1604"/>
      <c r="J40" s="1605" t="str">
        <f>IFERROR(VLOOKUP(A40,Solieu!G:M,4,0),"")</f>
        <v>nt</v>
      </c>
      <c r="K40" s="1606" t="str">
        <f>IFERROR(VLOOKUP(A40,Solieu!G:M,5,0),"")</f>
        <v>nt</v>
      </c>
      <c r="L40" s="1778">
        <f>IFERROR(VLOOKUP(A40,Solieu!G:M,6,0),"")</f>
        <v>0</v>
      </c>
      <c r="M40" s="1604" t="str">
        <f>IFERROR(VLOOKUP(A40,Solieu!G:M,7,0),"")</f>
        <v/>
      </c>
      <c r="N40" s="1198" t="s">
        <v>4188</v>
      </c>
      <c r="O40" s="1356">
        <f t="shared" si="0"/>
        <v>1</v>
      </c>
      <c r="P40" s="1194"/>
      <c r="Q40" s="1315"/>
      <c r="R40" s="1357"/>
      <c r="S40" s="828"/>
      <c r="T40" s="828"/>
      <c r="U40" s="828"/>
      <c r="V40" s="828"/>
      <c r="W40" s="828"/>
      <c r="X40" s="828"/>
      <c r="Y40" s="828"/>
      <c r="Z40" s="828"/>
      <c r="AA40" s="828"/>
    </row>
    <row r="41" spans="1:27" s="829" customFormat="1" ht="34.950000000000003" customHeight="1">
      <c r="A41" s="1960" t="str">
        <f>VLOOKUP(ROW()-ROW($A$5),TongHopKL!A:B,2,0)</f>
        <v>b1680</v>
      </c>
      <c r="B41" s="1600">
        <f>SUM($O$6:O41)</f>
        <v>36</v>
      </c>
      <c r="C41" s="1601" t="str">
        <f>(VLOOKUP(A41,TongHopKL!B:F,5,0))</f>
        <v>Boulon 16x80+ 2 long đền vuông D18-50x50x3/Zn</v>
      </c>
      <c r="D41" s="1602" t="str">
        <f>IFERROR(VLOOKUP(A41,DG!A:D,4,0),0)</f>
        <v>bộ</v>
      </c>
      <c r="E41" s="1603">
        <f>SUMIF(TongHopKL!B:B,'NT-VT'!A41,ThiCong)</f>
        <v>6</v>
      </c>
      <c r="F41" s="1600" t="str">
        <f>IFERROR(VLOOKUP(A41,Solieu!G:M,2,0),"")</f>
        <v>nt</v>
      </c>
      <c r="G41" s="1600" t="str">
        <f>IFERROR(VLOOKUP(A41,Solieu!G:M,3,0),"")</f>
        <v>nt</v>
      </c>
      <c r="H41" s="1600"/>
      <c r="I41" s="1604"/>
      <c r="J41" s="1605" t="str">
        <f>IFERROR(VLOOKUP(A41,Solieu!G:M,4,0),"")</f>
        <v>nt</v>
      </c>
      <c r="K41" s="1606" t="str">
        <f>IFERROR(VLOOKUP(A41,Solieu!G:M,5,0),"")</f>
        <v>nt</v>
      </c>
      <c r="L41" s="1778">
        <f>IFERROR(VLOOKUP(A41,Solieu!G:M,6,0),"")</f>
        <v>0</v>
      </c>
      <c r="M41" s="1604" t="str">
        <f>IFERROR(VLOOKUP(A41,Solieu!G:M,7,0),"")</f>
        <v/>
      </c>
      <c r="N41" s="1198" t="s">
        <v>4188</v>
      </c>
      <c r="O41" s="1356">
        <f t="shared" si="0"/>
        <v>1</v>
      </c>
      <c r="P41" s="1194"/>
      <c r="Q41" s="1315"/>
      <c r="R41" s="1357"/>
      <c r="S41" s="828"/>
      <c r="T41" s="828"/>
      <c r="U41" s="828"/>
      <c r="V41" s="828"/>
      <c r="W41" s="828"/>
      <c r="X41" s="828"/>
      <c r="Y41" s="828"/>
      <c r="Z41" s="828"/>
      <c r="AA41" s="828"/>
    </row>
    <row r="42" spans="1:27" s="829" customFormat="1" ht="34.950000000000003" customHeight="1">
      <c r="A42" s="1960" t="str">
        <f>VLOOKUP(ROW()-ROW($A$5),TongHopKL!A:B,2,0)</f>
        <v>b40</v>
      </c>
      <c r="B42" s="1600">
        <f>SUM($O$6:O42)</f>
        <v>37</v>
      </c>
      <c r="C42" s="1601" t="str">
        <f>(VLOOKUP(A42,TongHopKL!B:F,5,0))</f>
        <v>Lưới B40 - 1800-3/Zn</v>
      </c>
      <c r="D42" s="1602" t="str">
        <f>IFERROR(VLOOKUP(A42,DG!A:D,4,0),0)</f>
        <v>mét</v>
      </c>
      <c r="E42" s="1603">
        <f>SUMIF(TongHopKL!B:B,'NT-VT'!A42,ThiCong)</f>
        <v>14.2</v>
      </c>
      <c r="F42" s="1600" t="str">
        <f>IFERROR(VLOOKUP(A42,Solieu!G:M,2,0),"")</f>
        <v>nt</v>
      </c>
      <c r="G42" s="1600" t="str">
        <f>IFERROR(VLOOKUP(A42,Solieu!G:M,3,0),"")</f>
        <v>nt</v>
      </c>
      <c r="H42" s="1600"/>
      <c r="I42" s="1604"/>
      <c r="J42" s="1605" t="str">
        <f>IFERROR(VLOOKUP(A42,Solieu!G:M,4,0),"")</f>
        <v>nt</v>
      </c>
      <c r="K42" s="1606" t="str">
        <f>IFERROR(VLOOKUP(A42,Solieu!G:M,5,0),"")</f>
        <v>nt</v>
      </c>
      <c r="L42" s="1778">
        <f>IFERROR(VLOOKUP(A42,Solieu!G:M,6,0),"")</f>
        <v>0</v>
      </c>
      <c r="M42" s="1604" t="str">
        <f>IFERROR(VLOOKUP(A42,Solieu!G:M,7,0),"")</f>
        <v/>
      </c>
      <c r="N42" s="1198" t="s">
        <v>4188</v>
      </c>
      <c r="O42" s="1356">
        <f t="shared" si="0"/>
        <v>1</v>
      </c>
      <c r="P42" s="1194"/>
      <c r="Q42" s="1315"/>
      <c r="R42" s="1357"/>
      <c r="S42" s="828"/>
      <c r="T42" s="828"/>
      <c r="U42" s="828"/>
      <c r="V42" s="828"/>
      <c r="W42" s="828"/>
      <c r="X42" s="828"/>
      <c r="Y42" s="828"/>
      <c r="Z42" s="828"/>
      <c r="AA42" s="828"/>
    </row>
    <row r="43" spans="1:27" s="829" customFormat="1" ht="34.950000000000003" customHeight="1">
      <c r="A43" s="1960" t="str">
        <f>VLOOKUP(ROW()-ROW($A$5),TongHopKL!A:B,2,0)</f>
        <v>BAKE</v>
      </c>
      <c r="B43" s="1600">
        <f>SUM($O$6:O43)</f>
        <v>38</v>
      </c>
      <c r="C43" s="1601" t="str">
        <f>(VLOOKUP(A43,TongHopKL!B:F,5,0))</f>
        <v xml:space="preserve">Bakelit 550x450 dầy 10mm </v>
      </c>
      <c r="D43" s="1602" t="str">
        <f>IFERROR(VLOOKUP(A43,DG!A:D,4,0),0)</f>
        <v>cái</v>
      </c>
      <c r="E43" s="1603">
        <f>SUMIF(TongHopKL!B:B,'NT-VT'!A43,ThiCong)</f>
        <v>1</v>
      </c>
      <c r="F43" s="1600" t="str">
        <f>IFERROR(VLOOKUP(A43,Solieu!G:M,2,0),"")</f>
        <v>nt</v>
      </c>
      <c r="G43" s="1600" t="str">
        <f>IFERROR(VLOOKUP(A43,Solieu!G:M,3,0),"")</f>
        <v>nt</v>
      </c>
      <c r="H43" s="1600"/>
      <c r="I43" s="1604"/>
      <c r="J43" s="1605" t="str">
        <f>IFERROR(VLOOKUP(A43,Solieu!G:M,4,0),"")</f>
        <v>nt</v>
      </c>
      <c r="K43" s="1606" t="str">
        <f>IFERROR(VLOOKUP(A43,Solieu!G:M,5,0),"")</f>
        <v>nt</v>
      </c>
      <c r="L43" s="1778">
        <f>IFERROR(VLOOKUP(A43,Solieu!G:M,6,0),"")</f>
        <v>0</v>
      </c>
      <c r="M43" s="1604" t="str">
        <f>IFERROR(VLOOKUP(A43,Solieu!G:M,7,0),"")</f>
        <v/>
      </c>
      <c r="N43" s="1198" t="s">
        <v>4188</v>
      </c>
      <c r="O43" s="1356">
        <f t="shared" si="0"/>
        <v>1</v>
      </c>
      <c r="P43" s="1194"/>
      <c r="Q43" s="1315"/>
      <c r="R43" s="1357"/>
      <c r="S43" s="828"/>
      <c r="T43" s="828"/>
      <c r="U43" s="828"/>
      <c r="V43" s="828"/>
      <c r="W43" s="828"/>
      <c r="X43" s="828"/>
      <c r="Y43" s="828"/>
      <c r="Z43" s="828"/>
      <c r="AA43" s="828"/>
    </row>
    <row r="44" spans="1:27" s="829" customFormat="1" ht="34.950000000000003" customHeight="1">
      <c r="A44" s="1960" t="str">
        <f>VLOOKUP(ROW()-ROW($A$5),TongHopKL!A:B,2,0)</f>
        <v>BANG</v>
      </c>
      <c r="B44" s="1600">
        <f>SUM($O$6:O44)</f>
        <v>39</v>
      </c>
      <c r="C44" s="1601" t="str">
        <f>(VLOOKUP(A44,TongHopKL!B:F,5,0))</f>
        <v>Bảng tên trạm, bảng báo nguy hiểm + đinh vít</v>
      </c>
      <c r="D44" s="1602" t="str">
        <f>IFERROR(VLOOKUP(A44,DG!A:D,4,0),0)</f>
        <v>bộ</v>
      </c>
      <c r="E44" s="1603">
        <f>SUMIF(TongHopKL!B:B,'NT-VT'!A44,ThiCong)</f>
        <v>1</v>
      </c>
      <c r="F44" s="1600" t="str">
        <f>IFERROR(VLOOKUP(A44,Solieu!G:M,2,0),"")</f>
        <v>nt</v>
      </c>
      <c r="G44" s="1600" t="str">
        <f>IFERROR(VLOOKUP(A44,Solieu!G:M,3,0),"")</f>
        <v>nt</v>
      </c>
      <c r="H44" s="1600"/>
      <c r="I44" s="1604"/>
      <c r="J44" s="1605" t="str">
        <f>IFERROR(VLOOKUP(A44,Solieu!G:M,4,0),"")</f>
        <v>nt</v>
      </c>
      <c r="K44" s="1606" t="str">
        <f>IFERROR(VLOOKUP(A44,Solieu!G:M,5,0),"")</f>
        <v>nt</v>
      </c>
      <c r="L44" s="1778">
        <f>IFERROR(VLOOKUP(A44,Solieu!G:M,6,0),"")</f>
        <v>0</v>
      </c>
      <c r="M44" s="1604" t="str">
        <f>IFERROR(VLOOKUP(A44,Solieu!G:M,7,0),"")</f>
        <v/>
      </c>
      <c r="N44" s="1198" t="s">
        <v>4188</v>
      </c>
      <c r="O44" s="1356">
        <f t="shared" si="0"/>
        <v>1</v>
      </c>
      <c r="P44" s="1194"/>
      <c r="Q44" s="1315"/>
      <c r="R44" s="1357"/>
      <c r="S44" s="828"/>
      <c r="T44" s="828"/>
      <c r="U44" s="828"/>
      <c r="V44" s="828"/>
      <c r="W44" s="828"/>
      <c r="X44" s="828"/>
      <c r="Y44" s="828"/>
      <c r="Z44" s="828"/>
      <c r="AA44" s="828"/>
    </row>
    <row r="45" spans="1:27" s="829" customFormat="1" ht="34.950000000000003" customHeight="1">
      <c r="A45" s="1960" t="str">
        <f>VLOOKUP(ROW()-ROW($A$5),TongHopKL!A:B,2,0)</f>
        <v>BANGKEO</v>
      </c>
      <c r="B45" s="1600">
        <f>SUM($O$6:O45)</f>
        <v>40</v>
      </c>
      <c r="C45" s="1601" t="str">
        <f>(VLOOKUP(A45,TongHopKL!B:F,5,0))</f>
        <v>Băng keo cách điện</v>
      </c>
      <c r="D45" s="1602" t="str">
        <f>IFERROR(VLOOKUP(A45,DG!A:D,4,0),0)</f>
        <v>cuộn</v>
      </c>
      <c r="E45" s="1603">
        <f>SUMIF(TongHopKL!B:B,'NT-VT'!A45,ThiCong)</f>
        <v>2</v>
      </c>
      <c r="F45" s="1600" t="str">
        <f>IFERROR(VLOOKUP(A45,Solieu!G:M,2,0),"")</f>
        <v>nt</v>
      </c>
      <c r="G45" s="1600" t="str">
        <f>IFERROR(VLOOKUP(A45,Solieu!G:M,3,0),"")</f>
        <v>nt</v>
      </c>
      <c r="H45" s="1600"/>
      <c r="I45" s="1604"/>
      <c r="J45" s="1605" t="str">
        <f>IFERROR(VLOOKUP(A45,Solieu!G:M,4,0),"")</f>
        <v>nt</v>
      </c>
      <c r="K45" s="1606" t="str">
        <f>IFERROR(VLOOKUP(A45,Solieu!G:M,5,0),"")</f>
        <v>nt</v>
      </c>
      <c r="L45" s="1778">
        <f>IFERROR(VLOOKUP(A45,Solieu!G:M,6,0),"")</f>
        <v>0</v>
      </c>
      <c r="M45" s="1604" t="str">
        <f>IFERROR(VLOOKUP(A45,Solieu!G:M,7,0),"")</f>
        <v/>
      </c>
      <c r="N45" s="1198" t="s">
        <v>4188</v>
      </c>
      <c r="O45" s="1356">
        <f t="shared" si="0"/>
        <v>1</v>
      </c>
      <c r="P45" s="1194"/>
      <c r="Q45" s="1315"/>
      <c r="R45" s="1357"/>
      <c r="S45" s="828"/>
      <c r="T45" s="828"/>
      <c r="U45" s="828"/>
      <c r="V45" s="828"/>
      <c r="W45" s="828"/>
      <c r="X45" s="828"/>
      <c r="Y45" s="828"/>
      <c r="Z45" s="828"/>
      <c r="AA45" s="828"/>
    </row>
    <row r="46" spans="1:27" s="829" customFormat="1" ht="34.950000000000003" customHeight="1">
      <c r="A46" s="1960" t="str">
        <f>VLOOKUP(ROW()-ROW($A$5),TongHopKL!A:B,2,0)</f>
        <v>BANGKEOTT</v>
      </c>
      <c r="B46" s="1600">
        <f>SUM($O$6:O46)</f>
        <v>41</v>
      </c>
      <c r="C46" s="1601" t="str">
        <f>(VLOOKUP(A46,TongHopKL!B:F,5,0))</f>
        <v>Băng keo cách điện trung thế</v>
      </c>
      <c r="D46" s="1602" t="str">
        <f>IFERROR(VLOOKUP(A46,DG!A:D,4,0),0)</f>
        <v>cuộn</v>
      </c>
      <c r="E46" s="1603">
        <f>SUMIF(TongHopKL!B:B,'NT-VT'!A46,ThiCong)</f>
        <v>8</v>
      </c>
      <c r="F46" s="1600" t="str">
        <f>IFERROR(VLOOKUP(A46,Solieu!G:M,2,0),"")</f>
        <v>nt</v>
      </c>
      <c r="G46" s="1600" t="str">
        <f>IFERROR(VLOOKUP(A46,Solieu!G:M,3,0),"")</f>
        <v>nt</v>
      </c>
      <c r="H46" s="1600"/>
      <c r="I46" s="1604"/>
      <c r="J46" s="1605" t="str">
        <f>IFERROR(VLOOKUP(A46,Solieu!G:M,4,0),"")</f>
        <v>nt</v>
      </c>
      <c r="K46" s="1606" t="str">
        <f>IFERROR(VLOOKUP(A46,Solieu!G:M,5,0),"")</f>
        <v>nt</v>
      </c>
      <c r="L46" s="1778">
        <f>IFERROR(VLOOKUP(A46,Solieu!G:M,6,0),"")</f>
        <v>0</v>
      </c>
      <c r="M46" s="1604" t="str">
        <f>IFERROR(VLOOKUP(A46,Solieu!G:M,7,0),"")</f>
        <v/>
      </c>
      <c r="N46" s="1198" t="s">
        <v>4188</v>
      </c>
      <c r="O46" s="1356">
        <f t="shared" si="0"/>
        <v>1</v>
      </c>
      <c r="P46" s="1194"/>
      <c r="Q46" s="1315"/>
      <c r="R46" s="1357"/>
      <c r="S46" s="828"/>
      <c r="T46" s="828"/>
      <c r="U46" s="828"/>
      <c r="V46" s="828"/>
      <c r="W46" s="828"/>
      <c r="X46" s="828"/>
      <c r="Y46" s="828"/>
      <c r="Z46" s="828"/>
      <c r="AA46" s="828"/>
    </row>
    <row r="47" spans="1:27" s="829" customFormat="1" ht="34.950000000000003" customHeight="1">
      <c r="A47" s="1960" t="str">
        <f>VLOOKUP(ROW()-ROW($A$5),TongHopKL!A:B,2,0)</f>
        <v>BATLi</v>
      </c>
      <c r="B47" s="1600">
        <f>SUM($O$6:O47)</f>
        <v>42</v>
      </c>
      <c r="C47" s="1601" t="str">
        <f>(VLOOKUP(A47,TongHopKL!B:F,5,0))</f>
        <v>Bass LI bắt FCO</v>
      </c>
      <c r="D47" s="1602" t="str">
        <f>IFERROR(VLOOKUP(A47,DG!A:D,4,0),0)</f>
        <v>Bộ</v>
      </c>
      <c r="E47" s="1603">
        <f>SUMIF(TongHopKL!B:B,'NT-VT'!A47,ThiCong)</f>
        <v>6</v>
      </c>
      <c r="F47" s="1600" t="str">
        <f>IFERROR(VLOOKUP(A47,Solieu!G:M,2,0),"")</f>
        <v>nt</v>
      </c>
      <c r="G47" s="1600" t="str">
        <f>IFERROR(VLOOKUP(A47,Solieu!G:M,3,0),"")</f>
        <v>nt</v>
      </c>
      <c r="H47" s="1600"/>
      <c r="I47" s="1604"/>
      <c r="J47" s="1605" t="str">
        <f>IFERROR(VLOOKUP(A47,Solieu!G:M,4,0),"")</f>
        <v>nt</v>
      </c>
      <c r="K47" s="1606" t="str">
        <f>IFERROR(VLOOKUP(A47,Solieu!G:M,5,0),"")</f>
        <v>nt</v>
      </c>
      <c r="L47" s="1778">
        <f>IFERROR(VLOOKUP(A47,Solieu!G:M,6,0),"")</f>
        <v>0</v>
      </c>
      <c r="M47" s="1604" t="str">
        <f>IFERROR(VLOOKUP(A47,Solieu!G:M,7,0),"")</f>
        <v/>
      </c>
      <c r="N47" s="1198" t="s">
        <v>4188</v>
      </c>
      <c r="O47" s="1356">
        <f t="shared" si="0"/>
        <v>1</v>
      </c>
      <c r="P47" s="1194"/>
      <c r="Q47" s="1315"/>
      <c r="R47" s="1357"/>
      <c r="S47" s="828"/>
      <c r="T47" s="828"/>
      <c r="U47" s="828"/>
      <c r="V47" s="828"/>
      <c r="W47" s="828"/>
      <c r="X47" s="828"/>
      <c r="Y47" s="828"/>
      <c r="Z47" s="828"/>
      <c r="AA47" s="828"/>
    </row>
    <row r="48" spans="1:27" s="829" customFormat="1" ht="34.950000000000003" customHeight="1">
      <c r="A48" s="1960" t="str">
        <f>VLOOKUP(ROW()-ROW($A$5),TongHopKL!A:B,2,0)</f>
        <v>BATLL</v>
      </c>
      <c r="B48" s="1600">
        <f>SUM($O$6:O48)</f>
        <v>43</v>
      </c>
      <c r="C48" s="1601" t="str">
        <f>(VLOOKUP(A48,TongHopKL!B:F,5,0))</f>
        <v>Bass LL bắt FCO, LA</v>
      </c>
      <c r="D48" s="1602" t="str">
        <f>IFERROR(VLOOKUP(A48,DG!A:D,4,0),0)</f>
        <v>bộ</v>
      </c>
      <c r="E48" s="1603">
        <f>SUMIF(TongHopKL!B:B,'NT-VT'!A48,ThiCong)</f>
        <v>6</v>
      </c>
      <c r="F48" s="1600" t="str">
        <f>IFERROR(VLOOKUP(A48,Solieu!G:M,2,0),"")</f>
        <v>nt</v>
      </c>
      <c r="G48" s="1600" t="str">
        <f>IFERROR(VLOOKUP(A48,Solieu!G:M,3,0),"")</f>
        <v>nt</v>
      </c>
      <c r="H48" s="1600"/>
      <c r="I48" s="1604"/>
      <c r="J48" s="1605" t="str">
        <f>IFERROR(VLOOKUP(A48,Solieu!G:M,4,0),"")</f>
        <v>nt</v>
      </c>
      <c r="K48" s="1606" t="str">
        <f>IFERROR(VLOOKUP(A48,Solieu!G:M,5,0),"")</f>
        <v>nt</v>
      </c>
      <c r="L48" s="1778">
        <f>IFERROR(VLOOKUP(A48,Solieu!G:M,6,0),"")</f>
        <v>0</v>
      </c>
      <c r="M48" s="1604" t="str">
        <f>IFERROR(VLOOKUP(A48,Solieu!G:M,7,0),"")</f>
        <v/>
      </c>
      <c r="N48" s="1198" t="s">
        <v>4188</v>
      </c>
      <c r="O48" s="1356">
        <f t="shared" si="0"/>
        <v>1</v>
      </c>
      <c r="P48" s="1194"/>
      <c r="Q48" s="1315"/>
      <c r="R48" s="1357"/>
      <c r="S48" s="828"/>
      <c r="T48" s="828"/>
      <c r="U48" s="828"/>
      <c r="V48" s="828"/>
      <c r="W48" s="828"/>
      <c r="X48" s="828"/>
      <c r="Y48" s="828"/>
      <c r="Z48" s="828"/>
      <c r="AA48" s="828"/>
    </row>
    <row r="49" spans="1:27" s="829" customFormat="1" ht="34.950000000000003" customHeight="1">
      <c r="A49" s="1960" t="str">
        <f>VLOOKUP(ROW()-ROW($A$5),TongHopKL!A:B,2,0)</f>
        <v>BM16300</v>
      </c>
      <c r="B49" s="1600">
        <f>SUM($O$6:O49)</f>
        <v>44</v>
      </c>
      <c r="C49" s="1601" t="str">
        <f>(VLOOKUP(A49,TongHopKL!B:F,5,0))</f>
        <v>Boulon mắt 16x300+ 2 long đền vuông D18-50x50x3/Zn</v>
      </c>
      <c r="D49" s="1602" t="str">
        <f>IFERROR(VLOOKUP(A49,DG!A:D,4,0),0)</f>
        <v>bộ</v>
      </c>
      <c r="E49" s="1603">
        <f>SUMIF(TongHopKL!B:B,'NT-VT'!A49,ThiCong)</f>
        <v>6</v>
      </c>
      <c r="F49" s="1600" t="str">
        <f>IFERROR(VLOOKUP(A49,Solieu!G:M,2,0),"")</f>
        <v>nt</v>
      </c>
      <c r="G49" s="1600" t="str">
        <f>IFERROR(VLOOKUP(A49,Solieu!G:M,3,0),"")</f>
        <v>nt</v>
      </c>
      <c r="H49" s="1600"/>
      <c r="I49" s="1604"/>
      <c r="J49" s="1605" t="str">
        <f>IFERROR(VLOOKUP(A49,Solieu!G:M,4,0),"")</f>
        <v>nt</v>
      </c>
      <c r="K49" s="1606" t="str">
        <f>IFERROR(VLOOKUP(A49,Solieu!G:M,5,0),"")</f>
        <v>nt</v>
      </c>
      <c r="L49" s="1778">
        <f>IFERROR(VLOOKUP(A49,Solieu!G:M,6,0),"")</f>
        <v>0</v>
      </c>
      <c r="M49" s="1604" t="str">
        <f>IFERROR(VLOOKUP(A49,Solieu!G:M,7,0),"")</f>
        <v/>
      </c>
      <c r="N49" s="1198" t="s">
        <v>4188</v>
      </c>
      <c r="O49" s="1356">
        <f t="shared" si="0"/>
        <v>1</v>
      </c>
      <c r="P49" s="1194"/>
      <c r="Q49" s="1315"/>
      <c r="R49" s="1357"/>
      <c r="S49" s="828"/>
      <c r="T49" s="828"/>
      <c r="U49" s="828"/>
      <c r="V49" s="828"/>
      <c r="W49" s="828"/>
      <c r="X49" s="828"/>
      <c r="Y49" s="828"/>
      <c r="Z49" s="828"/>
      <c r="AA49" s="828"/>
    </row>
    <row r="50" spans="1:27" s="829" customFormat="1" ht="34.950000000000003" customHeight="1">
      <c r="A50" s="1960" t="str">
        <f>VLOOKUP(ROW()-ROW($A$5),TongHopKL!A:B,2,0)</f>
        <v>BM16550</v>
      </c>
      <c r="B50" s="1600">
        <f>SUM($O$6:O50)</f>
        <v>45</v>
      </c>
      <c r="C50" s="1601" t="str">
        <f>(VLOOKUP(A50,TongHopKL!B:F,5,0))</f>
        <v>Boulon mắt 16x550+ 1 long đền vuông D18-50x50x3/Zn</v>
      </c>
      <c r="D50" s="1602" t="str">
        <f>IFERROR(VLOOKUP(A50,DG!A:D,4,0),0)</f>
        <v>bộ</v>
      </c>
      <c r="E50" s="1603">
        <f>SUMIF(TongHopKL!B:B,'NT-VT'!A50,ThiCong)</f>
        <v>1</v>
      </c>
      <c r="F50" s="1600" t="str">
        <f>IFERROR(VLOOKUP(A50,Solieu!G:M,2,0),"")</f>
        <v>nt</v>
      </c>
      <c r="G50" s="1600" t="str">
        <f>IFERROR(VLOOKUP(A50,Solieu!G:M,3,0),"")</f>
        <v>nt</v>
      </c>
      <c r="H50" s="1600"/>
      <c r="I50" s="1604"/>
      <c r="J50" s="1605" t="str">
        <f>IFERROR(VLOOKUP(A50,Solieu!G:M,4,0),"")</f>
        <v>nt</v>
      </c>
      <c r="K50" s="1606" t="str">
        <f>IFERROR(VLOOKUP(A50,Solieu!G:M,5,0),"")</f>
        <v>nt</v>
      </c>
      <c r="L50" s="1778">
        <f>IFERROR(VLOOKUP(A50,Solieu!G:M,6,0),"")</f>
        <v>0</v>
      </c>
      <c r="M50" s="1604" t="str">
        <f>IFERROR(VLOOKUP(A50,Solieu!G:M,7,0),"")</f>
        <v/>
      </c>
      <c r="N50" s="1198" t="s">
        <v>4188</v>
      </c>
      <c r="O50" s="1356">
        <f t="shared" si="0"/>
        <v>1</v>
      </c>
      <c r="P50" s="1194"/>
      <c r="Q50" s="1315"/>
      <c r="R50" s="1357"/>
      <c r="S50" s="828"/>
      <c r="T50" s="828"/>
      <c r="U50" s="828"/>
      <c r="V50" s="828"/>
      <c r="W50" s="828"/>
      <c r="X50" s="828"/>
      <c r="Y50" s="828"/>
      <c r="Z50" s="828"/>
      <c r="AA50" s="828"/>
    </row>
    <row r="51" spans="1:27" s="829" customFormat="1" ht="34.950000000000003" customHeight="1">
      <c r="A51" s="1960" t="str">
        <f>VLOOKUP(ROW()-ROW($A$5),TongHopKL!A:B,2,0)</f>
        <v>CD25x2</v>
      </c>
      <c r="B51" s="1600">
        <f>SUM($O$6:O51)</f>
        <v>46</v>
      </c>
      <c r="C51" s="1601" t="str">
        <f>(VLOOKUP(A51,TongHopKL!B:F,5,0))</f>
        <v>Côllier 25x2</v>
      </c>
      <c r="D51" s="1602" t="str">
        <f>IFERROR(VLOOKUP(A51,DG!A:D,4,0),0)</f>
        <v>bộ</v>
      </c>
      <c r="E51" s="1603">
        <f>SUMIF(TongHopKL!B:B,'NT-VT'!A51,ThiCong)</f>
        <v>4</v>
      </c>
      <c r="F51" s="1600" t="str">
        <f>IFERROR(VLOOKUP(A51,Solieu!G:M,2,0),"")</f>
        <v>nt</v>
      </c>
      <c r="G51" s="1600" t="str">
        <f>IFERROR(VLOOKUP(A51,Solieu!G:M,3,0),"")</f>
        <v>nt</v>
      </c>
      <c r="H51" s="1600"/>
      <c r="I51" s="1604"/>
      <c r="J51" s="1605" t="str">
        <f>IFERROR(VLOOKUP(A51,Solieu!G:M,4,0),"")</f>
        <v>nt</v>
      </c>
      <c r="K51" s="1606" t="str">
        <f>IFERROR(VLOOKUP(A51,Solieu!G:M,5,0),"")</f>
        <v>nt</v>
      </c>
      <c r="L51" s="1778">
        <f>IFERROR(VLOOKUP(A51,Solieu!G:M,6,0),"")</f>
        <v>0</v>
      </c>
      <c r="M51" s="1604" t="str">
        <f>IFERROR(VLOOKUP(A51,Solieu!G:M,7,0),"")</f>
        <v/>
      </c>
      <c r="N51" s="1198" t="s">
        <v>4188</v>
      </c>
      <c r="O51" s="1356">
        <f t="shared" si="0"/>
        <v>1</v>
      </c>
      <c r="P51" s="1194"/>
      <c r="Q51" s="1315"/>
      <c r="R51" s="1357"/>
      <c r="S51" s="828"/>
      <c r="T51" s="828"/>
      <c r="U51" s="828"/>
      <c r="V51" s="828"/>
      <c r="W51" s="828"/>
      <c r="X51" s="828"/>
      <c r="Y51" s="828"/>
      <c r="Z51" s="828"/>
      <c r="AA51" s="828"/>
    </row>
    <row r="52" spans="1:27" s="829" customFormat="1" ht="34.950000000000003" customHeight="1">
      <c r="A52" s="1960" t="str">
        <f>VLOOKUP(ROW()-ROW($A$5),TongHopKL!A:B,2,0)</f>
        <v>CD320</v>
      </c>
      <c r="B52" s="1600">
        <f>SUM($O$6:O52)</f>
        <v>47</v>
      </c>
      <c r="C52" s="1601" t="str">
        <f>(VLOOKUP(A52,TongHopKL!B:F,5,0))</f>
        <v>Cổ dê CDĐKĐT( bắt thùng điện kế)</v>
      </c>
      <c r="D52" s="1602" t="str">
        <f>IFERROR(VLOOKUP(A52,DG!A:D,4,0),0)</f>
        <v>bộ</v>
      </c>
      <c r="E52" s="1603">
        <f>SUMIF(TongHopKL!B:B,'NT-VT'!A52,ThiCong)</f>
        <v>1</v>
      </c>
      <c r="F52" s="1600" t="str">
        <f>IFERROR(VLOOKUP(A52,Solieu!G:M,2,0),"")</f>
        <v>nt</v>
      </c>
      <c r="G52" s="1600" t="str">
        <f>IFERROR(VLOOKUP(A52,Solieu!G:M,3,0),"")</f>
        <v>nt</v>
      </c>
      <c r="H52" s="1600"/>
      <c r="I52" s="1604"/>
      <c r="J52" s="1605" t="str">
        <f>IFERROR(VLOOKUP(A52,Solieu!G:M,4,0),"")</f>
        <v>nt</v>
      </c>
      <c r="K52" s="1606" t="str">
        <f>IFERROR(VLOOKUP(A52,Solieu!G:M,5,0),"")</f>
        <v>nt</v>
      </c>
      <c r="L52" s="1778">
        <f>IFERROR(VLOOKUP(A52,Solieu!G:M,6,0),"")</f>
        <v>0</v>
      </c>
      <c r="M52" s="1604" t="str">
        <f>IFERROR(VLOOKUP(A52,Solieu!G:M,7,0),"")</f>
        <v/>
      </c>
      <c r="N52" s="1198" t="s">
        <v>4188</v>
      </c>
      <c r="O52" s="1356">
        <f t="shared" si="0"/>
        <v>1</v>
      </c>
      <c r="P52" s="1194"/>
      <c r="Q52" s="1315"/>
      <c r="R52" s="1357"/>
      <c r="S52" s="828"/>
      <c r="T52" s="828"/>
      <c r="U52" s="828"/>
      <c r="V52" s="828"/>
      <c r="W52" s="828"/>
      <c r="X52" s="828"/>
      <c r="Y52" s="828"/>
      <c r="Z52" s="828"/>
      <c r="AA52" s="828"/>
    </row>
    <row r="53" spans="1:27" s="829" customFormat="1" ht="34.950000000000003" customHeight="1">
      <c r="A53" s="1960" t="str">
        <f>VLOOKUP(ROW()-ROW($A$5),TongHopKL!A:B,2,0)</f>
        <v>CD60</v>
      </c>
      <c r="B53" s="1600">
        <f>SUM($O$6:O53)</f>
        <v>48</v>
      </c>
      <c r="C53" s="1601" t="str">
        <f>(VLOOKUP(A53,TongHopKL!B:F,5,0))</f>
        <v>Cổ dê kẹp ống PVC Ø 60</v>
      </c>
      <c r="D53" s="1602" t="str">
        <f>IFERROR(VLOOKUP(A53,DG!A:D,4,0),0)</f>
        <v>bộ</v>
      </c>
      <c r="E53" s="1603">
        <f>SUMIF(TongHopKL!B:B,'NT-VT'!A53,ThiCong)</f>
        <v>4</v>
      </c>
      <c r="F53" s="1600" t="str">
        <f>IFERROR(VLOOKUP(A53,Solieu!G:M,2,0),"")</f>
        <v>nt</v>
      </c>
      <c r="G53" s="1600" t="str">
        <f>IFERROR(VLOOKUP(A53,Solieu!G:M,3,0),"")</f>
        <v>nt</v>
      </c>
      <c r="H53" s="1600"/>
      <c r="I53" s="1604"/>
      <c r="J53" s="1605" t="str">
        <f>IFERROR(VLOOKUP(A53,Solieu!G:M,4,0),"")</f>
        <v>nt</v>
      </c>
      <c r="K53" s="1606" t="str">
        <f>IFERROR(VLOOKUP(A53,Solieu!G:M,5,0),"")</f>
        <v>nt</v>
      </c>
      <c r="L53" s="1778">
        <f>IFERROR(VLOOKUP(A53,Solieu!G:M,6,0),"")</f>
        <v>0</v>
      </c>
      <c r="M53" s="1604" t="str">
        <f>IFERROR(VLOOKUP(A53,Solieu!G:M,7,0),"")</f>
        <v/>
      </c>
      <c r="N53" s="1198" t="s">
        <v>4188</v>
      </c>
      <c r="O53" s="1356">
        <f t="shared" si="0"/>
        <v>1</v>
      </c>
      <c r="P53" s="1194"/>
      <c r="Q53" s="1315"/>
      <c r="R53" s="1357"/>
      <c r="S53" s="828"/>
      <c r="T53" s="828"/>
      <c r="U53" s="828"/>
      <c r="V53" s="828"/>
      <c r="W53" s="828"/>
      <c r="X53" s="828"/>
      <c r="Y53" s="828"/>
      <c r="Z53" s="828"/>
      <c r="AA53" s="828"/>
    </row>
    <row r="54" spans="1:27" s="829" customFormat="1" ht="34.950000000000003" customHeight="1">
      <c r="A54" s="1960" t="str">
        <f>VLOOKUP(ROW()-ROW($A$5),TongHopKL!A:B,2,0)</f>
        <v>CD6x60</v>
      </c>
      <c r="B54" s="1600">
        <f>SUM($O$6:O54)</f>
        <v>49</v>
      </c>
      <c r="C54" s="1601" t="str">
        <f>(VLOOKUP(A54,TongHopKL!B:F,5,0))</f>
        <v>Cổ dê bắt tủ trạm trụ ghép D320/60x6</v>
      </c>
      <c r="D54" s="1602" t="str">
        <f>IFERROR(VLOOKUP(A54,DG!A:D,4,0),0)</f>
        <v>bộ</v>
      </c>
      <c r="E54" s="1603">
        <f>SUMIF(TongHopKL!B:B,'NT-VT'!A54,ThiCong)</f>
        <v>1</v>
      </c>
      <c r="F54" s="1600" t="str">
        <f>IFERROR(VLOOKUP(A54,Solieu!G:M,2,0),"")</f>
        <v>nt</v>
      </c>
      <c r="G54" s="1600" t="str">
        <f>IFERROR(VLOOKUP(A54,Solieu!G:M,3,0),"")</f>
        <v>nt</v>
      </c>
      <c r="H54" s="1600"/>
      <c r="I54" s="1604"/>
      <c r="J54" s="1605" t="str">
        <f>IFERROR(VLOOKUP(A54,Solieu!G:M,4,0),"")</f>
        <v>nt</v>
      </c>
      <c r="K54" s="1606" t="str">
        <f>IFERROR(VLOOKUP(A54,Solieu!G:M,5,0),"")</f>
        <v>nt</v>
      </c>
      <c r="L54" s="1778">
        <f>IFERROR(VLOOKUP(A54,Solieu!G:M,6,0),"")</f>
        <v>0</v>
      </c>
      <c r="M54" s="1604" t="str">
        <f>IFERROR(VLOOKUP(A54,Solieu!G:M,7,0),"")</f>
        <v/>
      </c>
      <c r="N54" s="1198" t="s">
        <v>4188</v>
      </c>
      <c r="O54" s="1356">
        <f t="shared" si="0"/>
        <v>1</v>
      </c>
      <c r="P54" s="1194"/>
      <c r="Q54" s="1315"/>
      <c r="R54" s="1357"/>
      <c r="S54" s="828"/>
      <c r="T54" s="828"/>
      <c r="U54" s="828"/>
      <c r="V54" s="828"/>
      <c r="W54" s="828"/>
      <c r="X54" s="828"/>
      <c r="Y54" s="828"/>
      <c r="Z54" s="828"/>
      <c r="AA54" s="828"/>
    </row>
    <row r="55" spans="1:27" s="829" customFormat="1" ht="34.950000000000003" customHeight="1">
      <c r="A55" s="1960" t="str">
        <f>VLOOKUP(ROW()-ROW($A$5),TongHopKL!A:B,2,0)</f>
        <v>CHCOS240</v>
      </c>
      <c r="B55" s="1600">
        <f>SUM($O$6:O55)</f>
        <v>50</v>
      </c>
      <c r="C55" s="1601" t="str">
        <f>(VLOOKUP(A55,TongHopKL!B:F,5,0))</f>
        <v>Chụp đầu cosse  240mm2</v>
      </c>
      <c r="D55" s="1602" t="str">
        <f>IFERROR(VLOOKUP(A55,DG!A:D,4,0),0)</f>
        <v>cái</v>
      </c>
      <c r="E55" s="1603">
        <f>SUMIF(TongHopKL!B:B,'NT-VT'!A55,ThiCong)</f>
        <v>28</v>
      </c>
      <c r="F55" s="1600" t="str">
        <f>IFERROR(VLOOKUP(A55,Solieu!G:M,2,0),"")</f>
        <v>nt</v>
      </c>
      <c r="G55" s="1600" t="str">
        <f>IFERROR(VLOOKUP(A55,Solieu!G:M,3,0),"")</f>
        <v>nt</v>
      </c>
      <c r="H55" s="1600"/>
      <c r="I55" s="1604"/>
      <c r="J55" s="1605" t="str">
        <f>IFERROR(VLOOKUP(A55,Solieu!G:M,4,0),"")</f>
        <v>nt</v>
      </c>
      <c r="K55" s="1606" t="str">
        <f>IFERROR(VLOOKUP(A55,Solieu!G:M,5,0),"")</f>
        <v>nt</v>
      </c>
      <c r="L55" s="1778">
        <f>IFERROR(VLOOKUP(A55,Solieu!G:M,6,0),"")</f>
        <v>0</v>
      </c>
      <c r="M55" s="1604" t="str">
        <f>IFERROR(VLOOKUP(A55,Solieu!G:M,7,0),"")</f>
        <v/>
      </c>
      <c r="N55" s="1198" t="s">
        <v>4188</v>
      </c>
      <c r="O55" s="1356">
        <f t="shared" si="0"/>
        <v>1</v>
      </c>
      <c r="P55" s="1194"/>
      <c r="Q55" s="1315"/>
      <c r="R55" s="1357"/>
      <c r="S55" s="828"/>
      <c r="T55" s="828"/>
      <c r="U55" s="828"/>
      <c r="V55" s="828"/>
      <c r="W55" s="828"/>
      <c r="X55" s="828"/>
      <c r="Y55" s="828"/>
      <c r="Z55" s="828"/>
      <c r="AA55" s="828"/>
    </row>
    <row r="56" spans="1:27" s="829" customFormat="1" ht="34.950000000000003" customHeight="1">
      <c r="A56" s="1960" t="str">
        <f>VLOOKUP(ROW()-ROW($A$5),TongHopKL!A:B,2,0)</f>
        <v>chfco</v>
      </c>
      <c r="B56" s="1600">
        <f>SUM($O$6:O56)</f>
        <v>51</v>
      </c>
      <c r="C56" s="1601" t="str">
        <f>(VLOOKUP(A56,TongHopKL!B:F,5,0))</f>
        <v>Chụp đầu cực FCO (bộ 2 cái)</v>
      </c>
      <c r="D56" s="1602" t="str">
        <f>IFERROR(VLOOKUP(A56,DG!A:D,4,0),0)</f>
        <v>bộ</v>
      </c>
      <c r="E56" s="1603">
        <f>SUMIF(TongHopKL!B:B,'NT-VT'!A56,ThiCong)</f>
        <v>7</v>
      </c>
      <c r="F56" s="1600" t="str">
        <f>IFERROR(VLOOKUP(A56,Solieu!G:M,2,0),"")</f>
        <v>nt</v>
      </c>
      <c r="G56" s="1600" t="str">
        <f>IFERROR(VLOOKUP(A56,Solieu!G:M,3,0),"")</f>
        <v>nt</v>
      </c>
      <c r="H56" s="1600"/>
      <c r="I56" s="1604"/>
      <c r="J56" s="1605" t="str">
        <f>IFERROR(VLOOKUP(A56,Solieu!G:M,4,0),"")</f>
        <v>nt</v>
      </c>
      <c r="K56" s="1606" t="str">
        <f>IFERROR(VLOOKUP(A56,Solieu!G:M,5,0),"")</f>
        <v>nt</v>
      </c>
      <c r="L56" s="1778">
        <f>IFERROR(VLOOKUP(A56,Solieu!G:M,6,0),"")</f>
        <v>0</v>
      </c>
      <c r="M56" s="1604" t="str">
        <f>IFERROR(VLOOKUP(A56,Solieu!G:M,7,0),"")</f>
        <v/>
      </c>
      <c r="N56" s="1198" t="s">
        <v>4188</v>
      </c>
      <c r="O56" s="1356">
        <f t="shared" si="0"/>
        <v>1</v>
      </c>
      <c r="P56" s="1194"/>
      <c r="Q56" s="1315"/>
      <c r="R56" s="1357"/>
      <c r="S56" s="828"/>
      <c r="T56" s="828"/>
      <c r="U56" s="828"/>
      <c r="V56" s="828"/>
      <c r="W56" s="828"/>
      <c r="X56" s="828"/>
      <c r="Y56" s="828"/>
      <c r="Z56" s="828"/>
      <c r="AA56" s="828"/>
    </row>
    <row r="57" spans="1:27" s="829" customFormat="1" ht="34.950000000000003" customHeight="1">
      <c r="A57" s="1960" t="str">
        <f>VLOOKUP(ROW()-ROW($A$5),TongHopKL!A:B,2,0)</f>
        <v>chi140k</v>
      </c>
      <c r="B57" s="1600">
        <f>SUM($O$6:O57)</f>
        <v>52</v>
      </c>
      <c r="C57" s="1601" t="str">
        <f>(VLOOKUP(A57,TongHopKL!B:F,5,0))</f>
        <v>Dây chảy 140K</v>
      </c>
      <c r="D57" s="1602" t="str">
        <f>IFERROR(VLOOKUP(A57,DG!A:D,4,0),0)</f>
        <v>Sợi</v>
      </c>
      <c r="E57" s="1603">
        <f>SUMIF(TongHopKL!B:B,'NT-VT'!A57,ThiCong)</f>
        <v>3</v>
      </c>
      <c r="F57" s="1600" t="str">
        <f>IFERROR(VLOOKUP(A57,Solieu!G:M,2,0),"")</f>
        <v>nt</v>
      </c>
      <c r="G57" s="1600" t="str">
        <f>IFERROR(VLOOKUP(A57,Solieu!G:M,3,0),"")</f>
        <v>nt</v>
      </c>
      <c r="H57" s="1600"/>
      <c r="I57" s="1604"/>
      <c r="J57" s="1605" t="str">
        <f>IFERROR(VLOOKUP(A57,Solieu!G:M,4,0),"")</f>
        <v>nt</v>
      </c>
      <c r="K57" s="1606" t="str">
        <f>IFERROR(VLOOKUP(A57,Solieu!G:M,5,0),"")</f>
        <v>nt</v>
      </c>
      <c r="L57" s="1778">
        <f>IFERROR(VLOOKUP(A57,Solieu!G:M,6,0),"")</f>
        <v>0</v>
      </c>
      <c r="M57" s="1604" t="str">
        <f>IFERROR(VLOOKUP(A57,Solieu!G:M,7,0),"")</f>
        <v/>
      </c>
      <c r="N57" s="1198" t="s">
        <v>4188</v>
      </c>
      <c r="O57" s="1356">
        <f t="shared" si="0"/>
        <v>1</v>
      </c>
      <c r="P57" s="1194"/>
      <c r="Q57" s="1315"/>
      <c r="R57" s="1357"/>
      <c r="S57" s="828"/>
      <c r="T57" s="828"/>
      <c r="U57" s="828"/>
      <c r="V57" s="828"/>
      <c r="W57" s="828"/>
      <c r="X57" s="828"/>
      <c r="Y57" s="828"/>
      <c r="Z57" s="828"/>
      <c r="AA57" s="828"/>
    </row>
    <row r="58" spans="1:27" s="829" customFormat="1" ht="34.950000000000003" customHeight="1">
      <c r="A58" s="1960" t="str">
        <f>VLOOKUP(ROW()-ROW($A$5),TongHopKL!A:B,2,0)</f>
        <v>chi3k</v>
      </c>
      <c r="B58" s="1600">
        <f>SUM($O$6:O58)</f>
        <v>53</v>
      </c>
      <c r="C58" s="1601" t="str">
        <f>(VLOOKUP(A58,TongHopKL!B:F,5,0))</f>
        <v>Dây chảy 3K</v>
      </c>
      <c r="D58" s="1602" t="str">
        <f>IFERROR(VLOOKUP(A58,DG!A:D,4,0),0)</f>
        <v>Sợi</v>
      </c>
      <c r="E58" s="1603">
        <f>SUMIF(TongHopKL!B:B,'NT-VT'!A58,ThiCong)</f>
        <v>1</v>
      </c>
      <c r="F58" s="1600" t="str">
        <f>IFERROR(VLOOKUP(A58,Solieu!G:M,2,0),"")</f>
        <v>nt</v>
      </c>
      <c r="G58" s="1600" t="str">
        <f>IFERROR(VLOOKUP(A58,Solieu!G:M,3,0),"")</f>
        <v>nt</v>
      </c>
      <c r="H58" s="1600"/>
      <c r="I58" s="1604"/>
      <c r="J58" s="1605" t="str">
        <f>IFERROR(VLOOKUP(A58,Solieu!G:M,4,0),"")</f>
        <v>nt</v>
      </c>
      <c r="K58" s="1606" t="str">
        <f>IFERROR(VLOOKUP(A58,Solieu!G:M,5,0),"")</f>
        <v>nt</v>
      </c>
      <c r="L58" s="1778">
        <f>IFERROR(VLOOKUP(A58,Solieu!G:M,6,0),"")</f>
        <v>0</v>
      </c>
      <c r="M58" s="1604" t="str">
        <f>IFERROR(VLOOKUP(A58,Solieu!G:M,7,0),"")</f>
        <v/>
      </c>
      <c r="N58" s="1198" t="s">
        <v>4188</v>
      </c>
      <c r="O58" s="1356">
        <f t="shared" si="0"/>
        <v>1</v>
      </c>
      <c r="P58" s="1194"/>
      <c r="Q58" s="1315"/>
      <c r="R58" s="1357"/>
      <c r="S58" s="828"/>
      <c r="T58" s="828"/>
      <c r="U58" s="828"/>
      <c r="V58" s="828"/>
      <c r="W58" s="828"/>
      <c r="X58" s="828"/>
      <c r="Y58" s="828"/>
      <c r="Z58" s="828"/>
      <c r="AA58" s="828"/>
    </row>
    <row r="59" spans="1:27" s="829" customFormat="1" ht="34.950000000000003" customHeight="1">
      <c r="A59" s="1960" t="str">
        <f>VLOOKUP(ROW()-ROW($A$5),TongHopKL!A:B,2,0)</f>
        <v>CHI40K</v>
      </c>
      <c r="B59" s="1600">
        <f>SUM($O$6:O59)</f>
        <v>54</v>
      </c>
      <c r="C59" s="1601" t="str">
        <f>(VLOOKUP(A59,TongHopKL!B:F,5,0))</f>
        <v>Dây chảy 40K</v>
      </c>
      <c r="D59" s="1602" t="str">
        <f>IFERROR(VLOOKUP(A59,DG!A:D,4,0),0)</f>
        <v>Sợi</v>
      </c>
      <c r="E59" s="1603">
        <f>SUMIF(TongHopKL!B:B,'NT-VT'!A59,ThiCong)</f>
        <v>3</v>
      </c>
      <c r="F59" s="1600" t="str">
        <f>IFERROR(VLOOKUP(A59,Solieu!G:M,2,0),"")</f>
        <v>nt</v>
      </c>
      <c r="G59" s="1600" t="str">
        <f>IFERROR(VLOOKUP(A59,Solieu!G:M,3,0),"")</f>
        <v>nt</v>
      </c>
      <c r="H59" s="1600"/>
      <c r="I59" s="1604"/>
      <c r="J59" s="1605" t="str">
        <f>IFERROR(VLOOKUP(A59,Solieu!G:M,4,0),"")</f>
        <v>nt</v>
      </c>
      <c r="K59" s="1606" t="str">
        <f>IFERROR(VLOOKUP(A59,Solieu!G:M,5,0),"")</f>
        <v>nt</v>
      </c>
      <c r="L59" s="1778">
        <f>IFERROR(VLOOKUP(A59,Solieu!G:M,6,0),"")</f>
        <v>0</v>
      </c>
      <c r="M59" s="1604" t="str">
        <f>IFERROR(VLOOKUP(A59,Solieu!G:M,7,0),"")</f>
        <v/>
      </c>
      <c r="N59" s="1198" t="s">
        <v>4188</v>
      </c>
      <c r="O59" s="1356">
        <f t="shared" si="0"/>
        <v>1</v>
      </c>
      <c r="P59" s="1194"/>
      <c r="Q59" s="1315"/>
      <c r="R59" s="1357"/>
      <c r="S59" s="828"/>
      <c r="T59" s="828"/>
      <c r="U59" s="828"/>
      <c r="V59" s="828"/>
      <c r="W59" s="828"/>
      <c r="X59" s="828"/>
      <c r="Y59" s="828"/>
      <c r="Z59" s="828"/>
      <c r="AA59" s="828"/>
    </row>
    <row r="60" spans="1:27" s="829" customFormat="1" ht="34.950000000000003" customHeight="1">
      <c r="A60" s="1960" t="str">
        <f>VLOOKUP(ROW()-ROW($A$5),TongHopKL!A:B,2,0)</f>
        <v>chla</v>
      </c>
      <c r="B60" s="1600">
        <f>SUM($O$6:O60)</f>
        <v>55</v>
      </c>
      <c r="C60" s="1601" t="str">
        <f>(VLOOKUP(A60,TongHopKL!B:F,5,0))</f>
        <v>Chụp đầu cực LA</v>
      </c>
      <c r="D60" s="1602" t="str">
        <f>IFERROR(VLOOKUP(A60,DG!A:D,4,0),0)</f>
        <v>cái</v>
      </c>
      <c r="E60" s="1603">
        <f>SUMIF(TongHopKL!B:B,'NT-VT'!A60,ThiCong)</f>
        <v>12</v>
      </c>
      <c r="F60" s="1600" t="str">
        <f>IFERROR(VLOOKUP(A60,Solieu!G:M,2,0),"")</f>
        <v>nt</v>
      </c>
      <c r="G60" s="1600" t="str">
        <f>IFERROR(VLOOKUP(A60,Solieu!G:M,3,0),"")</f>
        <v>nt</v>
      </c>
      <c r="H60" s="1600"/>
      <c r="I60" s="1604"/>
      <c r="J60" s="1605" t="str">
        <f>IFERROR(VLOOKUP(A60,Solieu!G:M,4,0),"")</f>
        <v>nt</v>
      </c>
      <c r="K60" s="1606" t="str">
        <f>IFERROR(VLOOKUP(A60,Solieu!G:M,5,0),"")</f>
        <v>nt</v>
      </c>
      <c r="L60" s="1778">
        <f>IFERROR(VLOOKUP(A60,Solieu!G:M,6,0),"")</f>
        <v>0</v>
      </c>
      <c r="M60" s="1604" t="str">
        <f>IFERROR(VLOOKUP(A60,Solieu!G:M,7,0),"")</f>
        <v/>
      </c>
      <c r="N60" s="1198" t="s">
        <v>4188</v>
      </c>
      <c r="O60" s="1356">
        <f t="shared" si="0"/>
        <v>1</v>
      </c>
      <c r="P60" s="1194"/>
      <c r="Q60" s="1315"/>
      <c r="R60" s="1357"/>
      <c r="S60" s="828"/>
      <c r="T60" s="828"/>
      <c r="U60" s="828"/>
      <c r="V60" s="828"/>
      <c r="W60" s="828"/>
      <c r="X60" s="828"/>
      <c r="Y60" s="828"/>
      <c r="Z60" s="828"/>
      <c r="AA60" s="828"/>
    </row>
    <row r="61" spans="1:27" s="829" customFormat="1" ht="34.950000000000003" customHeight="1">
      <c r="A61" s="1960" t="str">
        <f>VLOOKUP(ROW()-ROW($A$5),TongHopKL!A:B,2,0)</f>
        <v>CHLBS-REC</v>
      </c>
      <c r="B61" s="1600">
        <f>SUM($O$6:O61)</f>
        <v>56</v>
      </c>
      <c r="C61" s="1601" t="str">
        <f>(VLOOKUP(A61,TongHopKL!B:F,5,0))</f>
        <v>Chụp đầu cực LBS, Recloser</v>
      </c>
      <c r="D61" s="1602" t="str">
        <f>IFERROR(VLOOKUP(A61,DG!A:D,4,0),0)</f>
        <v>cái</v>
      </c>
      <c r="E61" s="1603">
        <f>SUMIF(TongHopKL!B:B,'NT-VT'!A61,ThiCong)</f>
        <v>6</v>
      </c>
      <c r="F61" s="1600" t="str">
        <f>IFERROR(VLOOKUP(A61,Solieu!G:M,2,0),"")</f>
        <v>nt</v>
      </c>
      <c r="G61" s="1600" t="str">
        <f>IFERROR(VLOOKUP(A61,Solieu!G:M,3,0),"")</f>
        <v>nt</v>
      </c>
      <c r="H61" s="1600"/>
      <c r="I61" s="1604"/>
      <c r="J61" s="1605" t="str">
        <f>IFERROR(VLOOKUP(A61,Solieu!G:M,4,0),"")</f>
        <v>nt</v>
      </c>
      <c r="K61" s="1606" t="str">
        <f>IFERROR(VLOOKUP(A61,Solieu!G:M,5,0),"")</f>
        <v>nt</v>
      </c>
      <c r="L61" s="1778">
        <f>IFERROR(VLOOKUP(A61,Solieu!G:M,6,0),"")</f>
        <v>0</v>
      </c>
      <c r="M61" s="1604" t="str">
        <f>IFERROR(VLOOKUP(A61,Solieu!G:M,7,0),"")</f>
        <v/>
      </c>
      <c r="N61" s="1198" t="s">
        <v>4188</v>
      </c>
      <c r="O61" s="1356">
        <f t="shared" si="0"/>
        <v>1</v>
      </c>
      <c r="P61" s="1194"/>
      <c r="Q61" s="1315"/>
      <c r="R61" s="1357"/>
      <c r="S61" s="828"/>
      <c r="T61" s="828"/>
      <c r="U61" s="828"/>
      <c r="V61" s="828"/>
      <c r="W61" s="828"/>
      <c r="X61" s="828"/>
      <c r="Y61" s="828"/>
      <c r="Z61" s="828"/>
      <c r="AA61" s="828"/>
    </row>
    <row r="62" spans="1:27" s="829" customFormat="1" ht="34.950000000000003" customHeight="1">
      <c r="A62" s="1960" t="str">
        <f>VLOOKUP(ROW()-ROW($A$5),TongHopKL!A:B,2,0)</f>
        <v>chmba</v>
      </c>
      <c r="B62" s="1600">
        <f>SUM($O$6:O62)</f>
        <v>57</v>
      </c>
      <c r="C62" s="1601" t="str">
        <f>(VLOOKUP(A62,TongHopKL!B:F,5,0))</f>
        <v>Chụp đầu MBA</v>
      </c>
      <c r="D62" s="1602" t="str">
        <f>IFERROR(VLOOKUP(A62,DG!A:D,4,0),0)</f>
        <v>cái</v>
      </c>
      <c r="E62" s="1603">
        <f>SUMIF(TongHopKL!B:B,'NT-VT'!A62,ThiCong)</f>
        <v>3</v>
      </c>
      <c r="F62" s="1600" t="str">
        <f>IFERROR(VLOOKUP(A62,Solieu!G:M,2,0),"")</f>
        <v>nt</v>
      </c>
      <c r="G62" s="1600" t="str">
        <f>IFERROR(VLOOKUP(A62,Solieu!G:M,3,0),"")</f>
        <v>nt</v>
      </c>
      <c r="H62" s="1600"/>
      <c r="I62" s="1604"/>
      <c r="J62" s="1605" t="str">
        <f>IFERROR(VLOOKUP(A62,Solieu!G:M,4,0),"")</f>
        <v>nt</v>
      </c>
      <c r="K62" s="1606" t="str">
        <f>IFERROR(VLOOKUP(A62,Solieu!G:M,5,0),"")</f>
        <v>nt</v>
      </c>
      <c r="L62" s="1778">
        <f>IFERROR(VLOOKUP(A62,Solieu!G:M,6,0),"")</f>
        <v>0</v>
      </c>
      <c r="M62" s="1604" t="str">
        <f>IFERROR(VLOOKUP(A62,Solieu!G:M,7,0),"")</f>
        <v/>
      </c>
      <c r="N62" s="1198" t="s">
        <v>4188</v>
      </c>
      <c r="O62" s="1356">
        <f t="shared" si="0"/>
        <v>1</v>
      </c>
      <c r="P62" s="1194"/>
      <c r="Q62" s="1315"/>
      <c r="R62" s="1357"/>
      <c r="S62" s="828"/>
      <c r="T62" s="828"/>
      <c r="U62" s="828"/>
      <c r="V62" s="828"/>
      <c r="W62" s="828"/>
      <c r="X62" s="828"/>
      <c r="Y62" s="828"/>
      <c r="Z62" s="828"/>
      <c r="AA62" s="828"/>
    </row>
    <row r="63" spans="1:27" s="829" customFormat="1" ht="34.950000000000003" customHeight="1">
      <c r="A63" s="1960" t="str">
        <f>VLOOKUP(ROW()-ROW($A$5),TongHopKL!A:B,2,0)</f>
        <v>CHQ-H</v>
      </c>
      <c r="B63" s="1600">
        <f>SUM($O$6:O63)</f>
        <v>58</v>
      </c>
      <c r="C63" s="1601" t="str">
        <f>(VLOOKUP(A63,TongHopKL!B:F,5,0))</f>
        <v>Nắp chụp kẹp quai + hotline</v>
      </c>
      <c r="D63" s="1602" t="str">
        <f>IFERROR(VLOOKUP(A63,DG!A:D,4,0),0)</f>
        <v>bộ</v>
      </c>
      <c r="E63" s="1603">
        <f>SUMIF(TongHopKL!B:B,'NT-VT'!A63,ThiCong)</f>
        <v>9</v>
      </c>
      <c r="F63" s="1600" t="str">
        <f>IFERROR(VLOOKUP(A63,Solieu!G:M,2,0),"")</f>
        <v>nt</v>
      </c>
      <c r="G63" s="1600" t="str">
        <f>IFERROR(VLOOKUP(A63,Solieu!G:M,3,0),"")</f>
        <v>nt</v>
      </c>
      <c r="H63" s="1600"/>
      <c r="I63" s="1604"/>
      <c r="J63" s="1605" t="str">
        <f>IFERROR(VLOOKUP(A63,Solieu!G:M,4,0),"")</f>
        <v>nt</v>
      </c>
      <c r="K63" s="1606" t="str">
        <f>IFERROR(VLOOKUP(A63,Solieu!G:M,5,0),"")</f>
        <v>nt</v>
      </c>
      <c r="L63" s="1778">
        <f>IFERROR(VLOOKUP(A63,Solieu!G:M,6,0),"")</f>
        <v>0</v>
      </c>
      <c r="M63" s="1604" t="str">
        <f>IFERROR(VLOOKUP(A63,Solieu!G:M,7,0),"")</f>
        <v/>
      </c>
      <c r="N63" s="1198" t="s">
        <v>4188</v>
      </c>
      <c r="O63" s="1356">
        <f t="shared" si="0"/>
        <v>1</v>
      </c>
      <c r="P63" s="1194"/>
      <c r="Q63" s="1315"/>
      <c r="R63" s="1357"/>
      <c r="S63" s="828"/>
      <c r="T63" s="828"/>
      <c r="U63" s="828"/>
      <c r="V63" s="828"/>
      <c r="W63" s="828"/>
      <c r="X63" s="828"/>
      <c r="Y63" s="828"/>
      <c r="Z63" s="828"/>
      <c r="AA63" s="828"/>
    </row>
    <row r="64" spans="1:27" s="829" customFormat="1" ht="34.950000000000003" customHeight="1">
      <c r="A64" s="1960" t="str">
        <f>VLOOKUP(ROW()-ROW($A$5),TongHopKL!A:B,2,0)</f>
        <v>chupTuTi</v>
      </c>
      <c r="B64" s="1600">
        <f>SUM($O$6:O64)</f>
        <v>59</v>
      </c>
      <c r="C64" s="1601" t="str">
        <f>(VLOOKUP(A64,TongHopKL!B:F,5,0))</f>
        <v>Chụp đầu cực TI, TU</v>
      </c>
      <c r="D64" s="1602" t="str">
        <f>IFERROR(VLOOKUP(A64,DG!A:D,4,0),0)</f>
        <v>Cái</v>
      </c>
      <c r="E64" s="1603">
        <f>SUMIF(TongHopKL!B:B,'NT-VT'!A64,ThiCong)</f>
        <v>9</v>
      </c>
      <c r="F64" s="1600" t="str">
        <f>IFERROR(VLOOKUP(A64,Solieu!G:M,2,0),"")</f>
        <v>nt</v>
      </c>
      <c r="G64" s="1600" t="str">
        <f>IFERROR(VLOOKUP(A64,Solieu!G:M,3,0),"")</f>
        <v>nt</v>
      </c>
      <c r="H64" s="1600"/>
      <c r="I64" s="1604"/>
      <c r="J64" s="1605" t="str">
        <f>IFERROR(VLOOKUP(A64,Solieu!G:M,4,0),"")</f>
        <v>nt</v>
      </c>
      <c r="K64" s="1606" t="str">
        <f>IFERROR(VLOOKUP(A64,Solieu!G:M,5,0),"")</f>
        <v>nt</v>
      </c>
      <c r="L64" s="1778">
        <f>IFERROR(VLOOKUP(A64,Solieu!G:M,6,0),"")</f>
        <v>0</v>
      </c>
      <c r="M64" s="1604" t="str">
        <f>IFERROR(VLOOKUP(A64,Solieu!G:M,7,0),"")</f>
        <v/>
      </c>
      <c r="N64" s="1198" t="s">
        <v>4188</v>
      </c>
      <c r="O64" s="1356">
        <f t="shared" si="0"/>
        <v>1</v>
      </c>
      <c r="P64" s="1194"/>
      <c r="Q64" s="1315"/>
      <c r="R64" s="1357"/>
      <c r="S64" s="828"/>
      <c r="T64" s="828"/>
      <c r="U64" s="828"/>
      <c r="V64" s="828"/>
      <c r="W64" s="828"/>
      <c r="X64" s="828"/>
      <c r="Y64" s="828"/>
      <c r="Z64" s="828"/>
      <c r="AA64" s="828"/>
    </row>
    <row r="65" spans="1:27" s="829" customFormat="1" ht="34.950000000000003" customHeight="1">
      <c r="A65" s="1960" t="str">
        <f>VLOOKUP(ROW()-ROW($A$5),TongHopKL!A:B,2,0)</f>
        <v>COM110x800x5-2,4</v>
      </c>
      <c r="B65" s="1600">
        <f>SUM($O$6:O65)</f>
        <v>60</v>
      </c>
      <c r="C65" s="1601" t="str">
        <f>(VLOOKUP(A65,TongHopKL!B:F,5,0))</f>
        <v>Xà composite 110x800x5 dài 2,4m</v>
      </c>
      <c r="D65" s="1602" t="str">
        <f>IFERROR(VLOOKUP(A65,DG!A:D,4,0),0)</f>
        <v>cái</v>
      </c>
      <c r="E65" s="1603">
        <f>SUMIF(TongHopKL!B:B,'NT-VT'!A65,ThiCong)</f>
        <v>1</v>
      </c>
      <c r="F65" s="1600" t="str">
        <f>IFERROR(VLOOKUP(A65,Solieu!G:M,2,0),"")</f>
        <v>nt</v>
      </c>
      <c r="G65" s="1600" t="str">
        <f>IFERROR(VLOOKUP(A65,Solieu!G:M,3,0),"")</f>
        <v>nt</v>
      </c>
      <c r="H65" s="1600"/>
      <c r="I65" s="1604"/>
      <c r="J65" s="1605" t="str">
        <f>IFERROR(VLOOKUP(A65,Solieu!G:M,4,0),"")</f>
        <v>nt</v>
      </c>
      <c r="K65" s="1606" t="str">
        <f>IFERROR(VLOOKUP(A65,Solieu!G:M,5,0),"")</f>
        <v>nt</v>
      </c>
      <c r="L65" s="1778">
        <f>IFERROR(VLOOKUP(A65,Solieu!G:M,6,0),"")</f>
        <v>0</v>
      </c>
      <c r="M65" s="1604" t="str">
        <f>IFERROR(VLOOKUP(A65,Solieu!G:M,7,0),"")</f>
        <v/>
      </c>
      <c r="N65" s="1198" t="s">
        <v>4188</v>
      </c>
      <c r="O65" s="1356">
        <f t="shared" si="0"/>
        <v>1</v>
      </c>
      <c r="P65" s="1194"/>
      <c r="Q65" s="1315"/>
      <c r="R65" s="1357"/>
      <c r="S65" s="828"/>
      <c r="T65" s="828"/>
      <c r="U65" s="828"/>
      <c r="V65" s="828"/>
      <c r="W65" s="828"/>
      <c r="X65" s="828"/>
      <c r="Y65" s="828"/>
      <c r="Z65" s="828"/>
      <c r="AA65" s="828"/>
    </row>
    <row r="66" spans="1:27" s="829" customFormat="1" ht="34.950000000000003" customHeight="1">
      <c r="A66" s="1960" t="str">
        <f>VLOOKUP(ROW()-ROW($A$5),TongHopKL!A:B,2,0)</f>
        <v>com40x10x720</v>
      </c>
      <c r="B66" s="1600">
        <f>SUM($O$6:O66)</f>
        <v>61</v>
      </c>
      <c r="C66" s="1601" t="str">
        <f>(VLOOKUP(A66,TongHopKL!B:F,5,0))</f>
        <v>Thanh chống Composite 10x40x720</v>
      </c>
      <c r="D66" s="1602" t="str">
        <f>IFERROR(VLOOKUP(A66,DG!A:D,4,0),0)</f>
        <v>cái</v>
      </c>
      <c r="E66" s="1603">
        <f>SUMIF(TongHopKL!B:B,'NT-VT'!A66,ThiCong)</f>
        <v>2</v>
      </c>
      <c r="F66" s="1600" t="str">
        <f>IFERROR(VLOOKUP(A66,Solieu!G:M,2,0),"")</f>
        <v>nt</v>
      </c>
      <c r="G66" s="1600" t="str">
        <f>IFERROR(VLOOKUP(A66,Solieu!G:M,3,0),"")</f>
        <v>nt</v>
      </c>
      <c r="H66" s="1600"/>
      <c r="I66" s="1604"/>
      <c r="J66" s="1605" t="str">
        <f>IFERROR(VLOOKUP(A66,Solieu!G:M,4,0),"")</f>
        <v>nt</v>
      </c>
      <c r="K66" s="1606" t="str">
        <f>IFERROR(VLOOKUP(A66,Solieu!G:M,5,0),"")</f>
        <v>nt</v>
      </c>
      <c r="L66" s="1778">
        <f>IFERROR(VLOOKUP(A66,Solieu!G:M,6,0),"")</f>
        <v>0</v>
      </c>
      <c r="M66" s="1604" t="str">
        <f>IFERROR(VLOOKUP(A66,Solieu!G:M,7,0),"")</f>
        <v/>
      </c>
      <c r="N66" s="1198" t="s">
        <v>4188</v>
      </c>
      <c r="O66" s="1356">
        <f t="shared" si="0"/>
        <v>1</v>
      </c>
      <c r="P66" s="1194"/>
      <c r="Q66" s="1315"/>
      <c r="R66" s="1357"/>
      <c r="S66" s="828"/>
      <c r="T66" s="828"/>
      <c r="U66" s="828"/>
      <c r="V66" s="828"/>
      <c r="W66" s="828"/>
      <c r="X66" s="828"/>
      <c r="Y66" s="828"/>
      <c r="Z66" s="828"/>
      <c r="AA66" s="828"/>
    </row>
    <row r="67" spans="1:27" s="829" customFormat="1" ht="34.950000000000003" customHeight="1">
      <c r="A67" s="1960" t="str">
        <f>VLOOKUP(ROW()-ROW($A$5),TongHopKL!A:B,2,0)</f>
        <v>COM40X10X920</v>
      </c>
      <c r="B67" s="1600">
        <f>SUM($O$6:O67)</f>
        <v>62</v>
      </c>
      <c r="C67" s="1601" t="str">
        <f>(VLOOKUP(A67,TongHopKL!B:F,5,0))</f>
        <v>Chống composite 40x10x920</v>
      </c>
      <c r="D67" s="1602" t="str">
        <f>IFERROR(VLOOKUP(A67,DG!A:D,4,0),0)</f>
        <v>cái</v>
      </c>
      <c r="E67" s="1603">
        <f>SUMIF(TongHopKL!B:B,'NT-VT'!A67,ThiCong)</f>
        <v>2</v>
      </c>
      <c r="F67" s="1600" t="str">
        <f>IFERROR(VLOOKUP(A67,Solieu!G:M,2,0),"")</f>
        <v>nt</v>
      </c>
      <c r="G67" s="1600" t="str">
        <f>IFERROR(VLOOKUP(A67,Solieu!G:M,3,0),"")</f>
        <v>nt</v>
      </c>
      <c r="H67" s="1600"/>
      <c r="I67" s="1604"/>
      <c r="J67" s="1605" t="str">
        <f>IFERROR(VLOOKUP(A67,Solieu!G:M,4,0),"")</f>
        <v>nt</v>
      </c>
      <c r="K67" s="1606" t="str">
        <f>IFERROR(VLOOKUP(A67,Solieu!G:M,5,0),"")</f>
        <v>nt</v>
      </c>
      <c r="L67" s="1778">
        <f>IFERROR(VLOOKUP(A67,Solieu!G:M,6,0),"")</f>
        <v>0</v>
      </c>
      <c r="M67" s="1604" t="str">
        <f>IFERROR(VLOOKUP(A67,Solieu!G:M,7,0),"")</f>
        <v/>
      </c>
      <c r="N67" s="1198" t="s">
        <v>4188</v>
      </c>
      <c r="O67" s="1356">
        <f t="shared" si="0"/>
        <v>1</v>
      </c>
      <c r="P67" s="1194"/>
      <c r="Q67" s="1315"/>
      <c r="R67" s="1357"/>
      <c r="S67" s="828"/>
      <c r="T67" s="828"/>
      <c r="U67" s="828"/>
      <c r="V67" s="828"/>
      <c r="W67" s="828"/>
      <c r="X67" s="828"/>
      <c r="Y67" s="828"/>
      <c r="Z67" s="828"/>
      <c r="AA67" s="828"/>
    </row>
    <row r="68" spans="1:27" s="829" customFormat="1" ht="34.950000000000003" customHeight="1">
      <c r="A68" s="1960" t="str">
        <f>VLOOKUP(ROW()-ROW($A$5),TongHopKL!A:B,2,0)</f>
        <v>COS240</v>
      </c>
      <c r="B68" s="1600">
        <f>SUM($O$6:O68)</f>
        <v>63</v>
      </c>
      <c r="C68" s="1601" t="str">
        <f>(VLOOKUP(A68,TongHopKL!B:F,5,0))</f>
        <v>Đầu cosse ép Cu 240mm2</v>
      </c>
      <c r="D68" s="1602" t="str">
        <f>IFERROR(VLOOKUP(A68,DG!A:D,4,0),0)</f>
        <v>cái</v>
      </c>
      <c r="E68" s="1603">
        <f>SUMIF(TongHopKL!B:B,'NT-VT'!A68,ThiCong)</f>
        <v>28</v>
      </c>
      <c r="F68" s="1600" t="str">
        <f>IFERROR(VLOOKUP(A68,Solieu!G:M,2,0),"")</f>
        <v>nt</v>
      </c>
      <c r="G68" s="1600" t="str">
        <f>IFERROR(VLOOKUP(A68,Solieu!G:M,3,0),"")</f>
        <v>nt</v>
      </c>
      <c r="H68" s="1600"/>
      <c r="I68" s="1604"/>
      <c r="J68" s="1605" t="str">
        <f>IFERROR(VLOOKUP(A68,Solieu!G:M,4,0),"")</f>
        <v>nt</v>
      </c>
      <c r="K68" s="1606" t="str">
        <f>IFERROR(VLOOKUP(A68,Solieu!G:M,5,0),"")</f>
        <v>nt</v>
      </c>
      <c r="L68" s="1778">
        <f>IFERROR(VLOOKUP(A68,Solieu!G:M,6,0),"")</f>
        <v>0</v>
      </c>
      <c r="M68" s="1604" t="str">
        <f>IFERROR(VLOOKUP(A68,Solieu!G:M,7,0),"")</f>
        <v/>
      </c>
      <c r="N68" s="1198" t="s">
        <v>4188</v>
      </c>
      <c r="O68" s="1356">
        <f t="shared" si="0"/>
        <v>1</v>
      </c>
      <c r="P68" s="1194"/>
      <c r="Q68" s="1315"/>
      <c r="R68" s="1357"/>
      <c r="S68" s="828"/>
      <c r="T68" s="828"/>
      <c r="U68" s="828"/>
      <c r="V68" s="828"/>
      <c r="W68" s="828"/>
      <c r="X68" s="828"/>
      <c r="Y68" s="828"/>
      <c r="Z68" s="828"/>
      <c r="AA68" s="828"/>
    </row>
    <row r="69" spans="1:27" s="829" customFormat="1" ht="34.950000000000003" customHeight="1">
      <c r="A69" s="1960" t="str">
        <f>VLOOKUP(ROW()-ROW($A$5),TongHopKL!A:B,2,0)</f>
        <v>COS4</v>
      </c>
      <c r="B69" s="1600">
        <f>SUM($O$6:O69)</f>
        <v>64</v>
      </c>
      <c r="C69" s="1601" t="str">
        <f>(VLOOKUP(A69,TongHopKL!B:F,5,0))</f>
        <v>Đầu cosse ép Cu 4mm2 + bao PVC  (ñaáu TU)</v>
      </c>
      <c r="D69" s="1602" t="str">
        <f>IFERROR(VLOOKUP(A69,DG!A:D,4,0),0)</f>
        <v>cái</v>
      </c>
      <c r="E69" s="1603">
        <f>SUMIF(TongHopKL!B:B,'NT-VT'!A69,ThiCong)</f>
        <v>16</v>
      </c>
      <c r="F69" s="1600" t="str">
        <f>IFERROR(VLOOKUP(A69,Solieu!G:M,2,0),"")</f>
        <v>nt</v>
      </c>
      <c r="G69" s="1600" t="str">
        <f>IFERROR(VLOOKUP(A69,Solieu!G:M,3,0),"")</f>
        <v>nt</v>
      </c>
      <c r="H69" s="1600"/>
      <c r="I69" s="1604"/>
      <c r="J69" s="1605" t="str">
        <f>IFERROR(VLOOKUP(A69,Solieu!G:M,4,0),"")</f>
        <v>nt</v>
      </c>
      <c r="K69" s="1606" t="str">
        <f>IFERROR(VLOOKUP(A69,Solieu!G:M,5,0),"")</f>
        <v>nt</v>
      </c>
      <c r="L69" s="1778">
        <f>IFERROR(VLOOKUP(A69,Solieu!G:M,6,0),"")</f>
        <v>0</v>
      </c>
      <c r="M69" s="1604" t="str">
        <f>IFERROR(VLOOKUP(A69,Solieu!G:M,7,0),"")</f>
        <v/>
      </c>
      <c r="N69" s="1198" t="s">
        <v>4188</v>
      </c>
      <c r="O69" s="1356">
        <f t="shared" si="0"/>
        <v>1</v>
      </c>
      <c r="P69" s="1194"/>
      <c r="Q69" s="1315"/>
      <c r="R69" s="1357"/>
      <c r="S69" s="828"/>
      <c r="T69" s="828"/>
      <c r="U69" s="828"/>
      <c r="V69" s="828"/>
      <c r="W69" s="828"/>
      <c r="X69" s="828"/>
      <c r="Y69" s="828"/>
      <c r="Z69" s="828"/>
      <c r="AA69" s="828"/>
    </row>
    <row r="70" spans="1:27" s="829" customFormat="1" ht="34.950000000000003" customHeight="1">
      <c r="A70" s="1960" t="str">
        <f>VLOOKUP(ROW()-ROW($A$5),TongHopKL!A:B,2,0)</f>
        <v>CSD</v>
      </c>
      <c r="B70" s="1600">
        <f>SUM($O$6:O70)</f>
        <v>65</v>
      </c>
      <c r="C70" s="1601" t="str">
        <f>(VLOOKUP(A70,TongHopKL!B:F,5,0))</f>
        <v>Chân sứ đứng D20</v>
      </c>
      <c r="D70" s="1602" t="str">
        <f>IFERROR(VLOOKUP(A70,DG!A:D,4,0),0)</f>
        <v>cái</v>
      </c>
      <c r="E70" s="1603">
        <f>SUMIF(TongHopKL!B:B,'NT-VT'!A70,ThiCong)</f>
        <v>160</v>
      </c>
      <c r="F70" s="1600" t="str">
        <f>IFERROR(VLOOKUP(A70,Solieu!G:M,2,0),"")</f>
        <v>nt</v>
      </c>
      <c r="G70" s="1600" t="str">
        <f>IFERROR(VLOOKUP(A70,Solieu!G:M,3,0),"")</f>
        <v>nt</v>
      </c>
      <c r="H70" s="1600"/>
      <c r="I70" s="1604"/>
      <c r="J70" s="1605" t="str">
        <f>IFERROR(VLOOKUP(A70,Solieu!G:M,4,0),"")</f>
        <v>nt</v>
      </c>
      <c r="K70" s="1606" t="str">
        <f>IFERROR(VLOOKUP(A70,Solieu!G:M,5,0),"")</f>
        <v>nt</v>
      </c>
      <c r="L70" s="1778">
        <f>IFERROR(VLOOKUP(A70,Solieu!G:M,6,0),"")</f>
        <v>0</v>
      </c>
      <c r="M70" s="1604" t="str">
        <f>IFERROR(VLOOKUP(A70,Solieu!G:M,7,0),"")</f>
        <v/>
      </c>
      <c r="N70" s="1198" t="s">
        <v>4188</v>
      </c>
      <c r="O70" s="1356">
        <f t="shared" si="0"/>
        <v>1</v>
      </c>
      <c r="P70" s="1194"/>
      <c r="Q70" s="1315"/>
      <c r="R70" s="1357"/>
      <c r="S70" s="828"/>
      <c r="T70" s="828"/>
      <c r="U70" s="828"/>
      <c r="V70" s="828"/>
      <c r="W70" s="828"/>
      <c r="X70" s="828"/>
      <c r="Y70" s="828"/>
      <c r="Z70" s="828"/>
      <c r="AA70" s="828"/>
    </row>
    <row r="71" spans="1:27" s="829" customFormat="1" ht="34.950000000000003" customHeight="1">
      <c r="A71" s="1960" t="str">
        <f>VLOOKUP(ROW()-ROW($A$5),TongHopKL!A:B,2,0)</f>
        <v>CTD+K</v>
      </c>
      <c r="B71" s="1600">
        <f>SUM($O$6:O71)</f>
        <v>66</v>
      </c>
      <c r="C71" s="1601" t="str">
        <f>(VLOOKUP(A71,TongHopKL!B:F,5,0))</f>
        <v>Cọc tiếp đất Þ 16- 2,4m + kẹp cọc mạ đồng</v>
      </c>
      <c r="D71" s="1602" t="str">
        <f>IFERROR(VLOOKUP(A71,DG!A:D,4,0),0)</f>
        <v>bộ</v>
      </c>
      <c r="E71" s="1603">
        <f>SUMIF(TongHopKL!B:B,'NT-VT'!A71,ThiCong)</f>
        <v>22</v>
      </c>
      <c r="F71" s="1600" t="str">
        <f>IFERROR(VLOOKUP(A71,Solieu!G:M,2,0),"")</f>
        <v>nt</v>
      </c>
      <c r="G71" s="1600" t="str">
        <f>IFERROR(VLOOKUP(A71,Solieu!G:M,3,0),"")</f>
        <v>nt</v>
      </c>
      <c r="H71" s="1600"/>
      <c r="I71" s="1604"/>
      <c r="J71" s="1605" t="str">
        <f>IFERROR(VLOOKUP(A71,Solieu!G:M,4,0),"")</f>
        <v>nt</v>
      </c>
      <c r="K71" s="1606" t="str">
        <f>IFERROR(VLOOKUP(A71,Solieu!G:M,5,0),"")</f>
        <v>nt</v>
      </c>
      <c r="L71" s="1778">
        <f>IFERROR(VLOOKUP(A71,Solieu!G:M,6,0),"")</f>
        <v>0</v>
      </c>
      <c r="M71" s="1604" t="str">
        <f>IFERROR(VLOOKUP(A71,Solieu!G:M,7,0),"")</f>
        <v/>
      </c>
      <c r="N71" s="1198" t="s">
        <v>4188</v>
      </c>
      <c r="O71" s="1356">
        <f t="shared" ref="O71:O127" si="1">IF(ISERROR(C71),"",1)</f>
        <v>1</v>
      </c>
      <c r="P71" s="1194"/>
      <c r="Q71" s="1315"/>
      <c r="R71" s="1357"/>
      <c r="S71" s="828"/>
      <c r="T71" s="828"/>
      <c r="U71" s="828"/>
      <c r="V71" s="828"/>
      <c r="W71" s="828"/>
      <c r="X71" s="828"/>
      <c r="Y71" s="828"/>
      <c r="Z71" s="828"/>
      <c r="AA71" s="828"/>
    </row>
    <row r="72" spans="1:27" s="829" customFormat="1" ht="34.950000000000003" customHeight="1">
      <c r="A72" s="1960" t="str">
        <f>VLOOKUP(ROW()-ROW($A$5),TongHopKL!A:B,2,0)</f>
        <v>cut42</v>
      </c>
      <c r="B72" s="1600">
        <f>SUM($O$6:O72)</f>
        <v>67</v>
      </c>
      <c r="C72" s="1601" t="str">
        <f>(VLOOKUP(A72,TongHopKL!B:F,5,0))</f>
        <v>Co 90 độ PVC 42</v>
      </c>
      <c r="D72" s="1602" t="str">
        <f>IFERROR(VLOOKUP(A72,DG!A:D,4,0),0)</f>
        <v>cái</v>
      </c>
      <c r="E72" s="1603">
        <f>SUMIF(TongHopKL!B:B,'NT-VT'!A72,ThiCong)</f>
        <v>2</v>
      </c>
      <c r="F72" s="1600" t="str">
        <f>IFERROR(VLOOKUP(A72,Solieu!G:M,2,0),"")</f>
        <v>nt</v>
      </c>
      <c r="G72" s="1600" t="str">
        <f>IFERROR(VLOOKUP(A72,Solieu!G:M,3,0),"")</f>
        <v>nt</v>
      </c>
      <c r="H72" s="1600"/>
      <c r="I72" s="1604"/>
      <c r="J72" s="1605" t="str">
        <f>IFERROR(VLOOKUP(A72,Solieu!G:M,4,0),"")</f>
        <v>nt</v>
      </c>
      <c r="K72" s="1606" t="str">
        <f>IFERROR(VLOOKUP(A72,Solieu!G:M,5,0),"")</f>
        <v>nt</v>
      </c>
      <c r="L72" s="1778">
        <f>IFERROR(VLOOKUP(A72,Solieu!G:M,6,0),"")</f>
        <v>0</v>
      </c>
      <c r="M72" s="1604" t="str">
        <f>IFERROR(VLOOKUP(A72,Solieu!G:M,7,0),"")</f>
        <v/>
      </c>
      <c r="N72" s="1198" t="s">
        <v>4188</v>
      </c>
      <c r="O72" s="1356">
        <f t="shared" si="1"/>
        <v>1</v>
      </c>
      <c r="P72" s="1194"/>
      <c r="Q72" s="1315"/>
      <c r="R72" s="1357"/>
      <c r="S72" s="828"/>
      <c r="T72" s="828"/>
      <c r="U72" s="828"/>
      <c r="V72" s="828"/>
      <c r="W72" s="828"/>
      <c r="X72" s="828"/>
      <c r="Y72" s="828"/>
      <c r="Z72" s="828"/>
      <c r="AA72" s="828"/>
    </row>
    <row r="73" spans="1:27" s="829" customFormat="1" ht="34.950000000000003" customHeight="1">
      <c r="A73" s="1960" t="str">
        <f>VLOOKUP(ROW()-ROW($A$5),TongHopKL!A:B,2,0)</f>
        <v>CUT60</v>
      </c>
      <c r="B73" s="1600">
        <f>SUM($O$6:O73)</f>
        <v>68</v>
      </c>
      <c r="C73" s="1601" t="str">
        <f>(VLOOKUP(A73,TongHopKL!B:F,5,0))</f>
        <v>Co 90 độ PVC 60</v>
      </c>
      <c r="D73" s="1602" t="str">
        <f>IFERROR(VLOOKUP(A73,DG!A:D,4,0),0)</f>
        <v>cái</v>
      </c>
      <c r="E73" s="1603">
        <f>SUMIF(TongHopKL!B:B,'NT-VT'!A73,ThiCong)</f>
        <v>8</v>
      </c>
      <c r="F73" s="1600" t="str">
        <f>IFERROR(VLOOKUP(A73,Solieu!G:M,2,0),"")</f>
        <v>nt</v>
      </c>
      <c r="G73" s="1600" t="str">
        <f>IFERROR(VLOOKUP(A73,Solieu!G:M,3,0),"")</f>
        <v>nt</v>
      </c>
      <c r="H73" s="1600"/>
      <c r="I73" s="1604"/>
      <c r="J73" s="1605" t="str">
        <f>IFERROR(VLOOKUP(A73,Solieu!G:M,4,0),"")</f>
        <v>nt</v>
      </c>
      <c r="K73" s="1606" t="str">
        <f>IFERROR(VLOOKUP(A73,Solieu!G:M,5,0),"")</f>
        <v>nt</v>
      </c>
      <c r="L73" s="1778">
        <f>IFERROR(VLOOKUP(A73,Solieu!G:M,6,0),"")</f>
        <v>0</v>
      </c>
      <c r="M73" s="1604" t="str">
        <f>IFERROR(VLOOKUP(A73,Solieu!G:M,7,0),"")</f>
        <v/>
      </c>
      <c r="N73" s="1198" t="s">
        <v>4188</v>
      </c>
      <c r="O73" s="1356">
        <f t="shared" si="1"/>
        <v>1</v>
      </c>
      <c r="P73" s="1194"/>
      <c r="Q73" s="1315"/>
      <c r="R73" s="1357"/>
      <c r="S73" s="828"/>
      <c r="T73" s="828"/>
      <c r="U73" s="828"/>
      <c r="V73" s="828"/>
      <c r="W73" s="828"/>
      <c r="X73" s="828"/>
      <c r="Y73" s="828"/>
      <c r="Z73" s="828"/>
      <c r="AA73" s="828"/>
    </row>
    <row r="74" spans="1:27" s="829" customFormat="1" ht="34.950000000000003" customHeight="1">
      <c r="A74" s="1960" t="str">
        <f>VLOOKUP(ROW()-ROW($A$5),TongHopKL!A:B,2,0)</f>
        <v>drc</v>
      </c>
      <c r="B74" s="1600">
        <f>SUM($O$6:O74)</f>
        <v>69</v>
      </c>
      <c r="C74" s="1601" t="str">
        <f>(VLOOKUP(A74,TongHopKL!B:F,5,0))</f>
        <v>Dây rút cáp</v>
      </c>
      <c r="D74" s="1602" t="str">
        <f>IFERROR(VLOOKUP(A74,DG!A:D,4,0),0)</f>
        <v>bọc</v>
      </c>
      <c r="E74" s="1603">
        <f>SUMIF(TongHopKL!B:B,'NT-VT'!A74,ThiCong)</f>
        <v>3</v>
      </c>
      <c r="F74" s="1600" t="str">
        <f>IFERROR(VLOOKUP(A74,Solieu!G:M,2,0),"")</f>
        <v>nt</v>
      </c>
      <c r="G74" s="1600" t="str">
        <f>IFERROR(VLOOKUP(A74,Solieu!G:M,3,0),"")</f>
        <v>nt</v>
      </c>
      <c r="H74" s="1600"/>
      <c r="I74" s="1604"/>
      <c r="J74" s="1605" t="str">
        <f>IFERROR(VLOOKUP(A74,Solieu!G:M,4,0),"")</f>
        <v>nt</v>
      </c>
      <c r="K74" s="1606" t="str">
        <f>IFERROR(VLOOKUP(A74,Solieu!G:M,5,0),"")</f>
        <v>nt</v>
      </c>
      <c r="L74" s="1778">
        <f>IFERROR(VLOOKUP(A74,Solieu!G:M,6,0),"")</f>
        <v>0</v>
      </c>
      <c r="M74" s="1604" t="str">
        <f>IFERROR(VLOOKUP(A74,Solieu!G:M,7,0),"")</f>
        <v/>
      </c>
      <c r="N74" s="1198" t="s">
        <v>4188</v>
      </c>
      <c r="O74" s="1356">
        <f t="shared" si="1"/>
        <v>1</v>
      </c>
      <c r="P74" s="1194"/>
      <c r="Q74" s="1315"/>
      <c r="R74" s="1357"/>
      <c r="S74" s="828"/>
      <c r="T74" s="828"/>
      <c r="U74" s="828"/>
      <c r="V74" s="828"/>
      <c r="W74" s="828"/>
      <c r="X74" s="828"/>
      <c r="Y74" s="828"/>
      <c r="Z74" s="828"/>
      <c r="AA74" s="828"/>
    </row>
    <row r="75" spans="1:27" s="829" customFormat="1" ht="34.950000000000003" customHeight="1">
      <c r="A75" s="1960" t="str">
        <f>VLOOKUP(ROW()-ROW($A$5),TongHopKL!A:B,2,0)</f>
        <v>gachong</v>
      </c>
      <c r="B75" s="1600">
        <f>SUM($O$6:O75)</f>
        <v>70</v>
      </c>
      <c r="C75" s="1601" t="str">
        <f>(VLOOKUP(A75,TongHopKL!B:F,5,0))</f>
        <v>Gạch ống</v>
      </c>
      <c r="D75" s="1602" t="str">
        <f>IFERROR(VLOOKUP(A75,DG!A:D,4,0),0)</f>
        <v>viên</v>
      </c>
      <c r="E75" s="1603">
        <f>SUMIF(TongHopKL!B:B,'NT-VT'!A75,ThiCong)</f>
        <v>350</v>
      </c>
      <c r="F75" s="1600" t="str">
        <f>IFERROR(VLOOKUP(A75,Solieu!G:M,2,0),"")</f>
        <v>nt</v>
      </c>
      <c r="G75" s="1600" t="str">
        <f>IFERROR(VLOOKUP(A75,Solieu!G:M,3,0),"")</f>
        <v>nt</v>
      </c>
      <c r="H75" s="1600"/>
      <c r="I75" s="1604"/>
      <c r="J75" s="1605" t="str">
        <f>IFERROR(VLOOKUP(A75,Solieu!G:M,4,0),"")</f>
        <v>nt</v>
      </c>
      <c r="K75" s="1606" t="str">
        <f>IFERROR(VLOOKUP(A75,Solieu!G:M,5,0),"")</f>
        <v>nt</v>
      </c>
      <c r="L75" s="1778">
        <f>IFERROR(VLOOKUP(A75,Solieu!G:M,6,0),"")</f>
        <v>0</v>
      </c>
      <c r="M75" s="1604" t="str">
        <f>IFERROR(VLOOKUP(A75,Solieu!G:M,7,0),"")</f>
        <v/>
      </c>
      <c r="N75" s="1198" t="s">
        <v>4188</v>
      </c>
      <c r="O75" s="1356">
        <f t="shared" si="1"/>
        <v>1</v>
      </c>
      <c r="P75" s="1194"/>
      <c r="Q75" s="1315"/>
      <c r="R75" s="1357"/>
      <c r="S75" s="828"/>
      <c r="T75" s="828"/>
      <c r="U75" s="828"/>
      <c r="V75" s="828"/>
      <c r="W75" s="828"/>
      <c r="X75" s="828"/>
      <c r="Y75" s="828"/>
      <c r="Z75" s="828"/>
      <c r="AA75" s="828"/>
    </row>
    <row r="76" spans="1:27" s="829" customFormat="1" ht="34.950000000000003" customHeight="1">
      <c r="A76" s="1960" t="str">
        <f>VLOOKUP(ROW()-ROW($A$5),TongHopKL!A:B,2,0)</f>
        <v>GNIU95b</v>
      </c>
      <c r="B76" s="1600">
        <f>SUM($O$6:O76)</f>
        <v>71</v>
      </c>
      <c r="C76" s="1601" t="str">
        <f>(VLOOKUP(A76,TongHopKL!B:F,5,0))</f>
        <v>Giáp níu dừng dây bọc (70-95mm2)</v>
      </c>
      <c r="D76" s="1602" t="str">
        <f>IFERROR(VLOOKUP(A76,DG!A:D,4,0),0)</f>
        <v>cái</v>
      </c>
      <c r="E76" s="1603">
        <f>SUMIF(TongHopKL!B:B,'NT-VT'!A76,ThiCong)</f>
        <v>69</v>
      </c>
      <c r="F76" s="1600" t="str">
        <f>IFERROR(VLOOKUP(A76,Solieu!G:M,2,0),"")</f>
        <v>nt</v>
      </c>
      <c r="G76" s="1600" t="str">
        <f>IFERROR(VLOOKUP(A76,Solieu!G:M,3,0),"")</f>
        <v>nt</v>
      </c>
      <c r="H76" s="1600"/>
      <c r="I76" s="1604"/>
      <c r="J76" s="1605" t="str">
        <f>IFERROR(VLOOKUP(A76,Solieu!G:M,4,0),"")</f>
        <v>nt</v>
      </c>
      <c r="K76" s="1606" t="str">
        <f>IFERROR(VLOOKUP(A76,Solieu!G:M,5,0),"")</f>
        <v>nt</v>
      </c>
      <c r="L76" s="1778">
        <f>IFERROR(VLOOKUP(A76,Solieu!G:M,6,0),"")</f>
        <v>0</v>
      </c>
      <c r="M76" s="1604" t="str">
        <f>IFERROR(VLOOKUP(A76,Solieu!G:M,7,0),"")</f>
        <v/>
      </c>
      <c r="N76" s="1198" t="s">
        <v>4188</v>
      </c>
      <c r="O76" s="1356">
        <f t="shared" si="1"/>
        <v>1</v>
      </c>
      <c r="P76" s="1194"/>
      <c r="Q76" s="1315"/>
      <c r="R76" s="1357"/>
      <c r="S76" s="828"/>
      <c r="T76" s="828"/>
      <c r="U76" s="828"/>
      <c r="V76" s="828"/>
      <c r="W76" s="828"/>
      <c r="X76" s="828"/>
      <c r="Y76" s="828"/>
      <c r="Z76" s="828"/>
      <c r="AA76" s="828"/>
    </row>
    <row r="77" spans="1:27" s="829" customFormat="1" ht="34.950000000000003" customHeight="1">
      <c r="A77" s="1960" t="str">
        <f>VLOOKUP(ROW()-ROW($A$5),TongHopKL!A:B,2,0)</f>
        <v>Ke185</v>
      </c>
      <c r="B77" s="1600">
        <f>SUM($O$6:O77)</f>
        <v>72</v>
      </c>
      <c r="C77" s="1601" t="str">
        <f>(VLOOKUP(A77,TongHopKL!B:F,5,0))</f>
        <v>Kẹp ép WR cỡ dây 185mm2</v>
      </c>
      <c r="D77" s="1602" t="str">
        <f>IFERROR(VLOOKUP(A77,DG!A:D,4,0),0)</f>
        <v>cái</v>
      </c>
      <c r="E77" s="1603">
        <f>SUMIF(TongHopKL!B:B,'NT-VT'!A77,ThiCong)</f>
        <v>2</v>
      </c>
      <c r="F77" s="1600" t="str">
        <f>IFERROR(VLOOKUP(A77,Solieu!G:M,2,0),"")</f>
        <v>nt</v>
      </c>
      <c r="G77" s="1600" t="str">
        <f>IFERROR(VLOOKUP(A77,Solieu!G:M,3,0),"")</f>
        <v>nt</v>
      </c>
      <c r="H77" s="1600"/>
      <c r="I77" s="1604"/>
      <c r="J77" s="1605" t="str">
        <f>IFERROR(VLOOKUP(A77,Solieu!G:M,4,0),"")</f>
        <v>nt</v>
      </c>
      <c r="K77" s="1606" t="str">
        <f>IFERROR(VLOOKUP(A77,Solieu!G:M,5,0),"")</f>
        <v>nt</v>
      </c>
      <c r="L77" s="1778">
        <f>IFERROR(VLOOKUP(A77,Solieu!G:M,6,0),"")</f>
        <v>0</v>
      </c>
      <c r="M77" s="1604" t="str">
        <f>IFERROR(VLOOKUP(A77,Solieu!G:M,7,0),"")</f>
        <v/>
      </c>
      <c r="N77" s="1198" t="s">
        <v>4188</v>
      </c>
      <c r="O77" s="1356">
        <f t="shared" si="1"/>
        <v>1</v>
      </c>
      <c r="P77" s="1194"/>
      <c r="Q77" s="1315"/>
      <c r="R77" s="1358"/>
    </row>
    <row r="78" spans="1:27" s="829" customFormat="1" ht="34.950000000000003" customHeight="1">
      <c r="A78" s="1960" t="str">
        <f>VLOOKUP(ROW()-ROW($A$5),TongHopKL!A:B,2,0)</f>
        <v>KE50</v>
      </c>
      <c r="B78" s="1600">
        <f>SUM($O$6:O78)</f>
        <v>73</v>
      </c>
      <c r="C78" s="1601" t="str">
        <f>(VLOOKUP(A78,TongHopKL!B:F,5,0))</f>
        <v>Kẹp ép WR cỡ dây 50mm2</v>
      </c>
      <c r="D78" s="1602" t="str">
        <f>IFERROR(VLOOKUP(A78,DG!A:D,4,0),0)</f>
        <v>cái</v>
      </c>
      <c r="E78" s="1603">
        <f>SUMIF(TongHopKL!B:B,'NT-VT'!A78,ThiCong)</f>
        <v>8</v>
      </c>
      <c r="F78" s="1600" t="str">
        <f>IFERROR(VLOOKUP(A78,Solieu!G:M,2,0),"")</f>
        <v>nt</v>
      </c>
      <c r="G78" s="1600" t="str">
        <f>IFERROR(VLOOKUP(A78,Solieu!G:M,3,0),"")</f>
        <v>nt</v>
      </c>
      <c r="H78" s="1600"/>
      <c r="I78" s="1604"/>
      <c r="J78" s="1605" t="str">
        <f>IFERROR(VLOOKUP(A78,Solieu!G:M,4,0),"")</f>
        <v>nt</v>
      </c>
      <c r="K78" s="1606" t="str">
        <f>IFERROR(VLOOKUP(A78,Solieu!G:M,5,0),"")</f>
        <v>nt</v>
      </c>
      <c r="L78" s="1778">
        <f>IFERROR(VLOOKUP(A78,Solieu!G:M,6,0),"")</f>
        <v>0</v>
      </c>
      <c r="M78" s="1604" t="str">
        <f>IFERROR(VLOOKUP(A78,Solieu!G:M,7,0),"")</f>
        <v/>
      </c>
      <c r="N78" s="1198" t="s">
        <v>4188</v>
      </c>
      <c r="O78" s="1356">
        <f t="shared" si="1"/>
        <v>1</v>
      </c>
      <c r="P78" s="1194"/>
      <c r="Q78" s="1315"/>
      <c r="R78" s="1358"/>
    </row>
    <row r="79" spans="1:27" s="829" customFormat="1" ht="34.950000000000003" customHeight="1">
      <c r="A79" s="1960" t="str">
        <f>VLOOKUP(ROW()-ROW($A$5),TongHopKL!A:B,2,0)</f>
        <v>KE70</v>
      </c>
      <c r="B79" s="1600">
        <f>SUM($O$6:O79)</f>
        <v>74</v>
      </c>
      <c r="C79" s="1601" t="str">
        <f>(VLOOKUP(A79,TongHopKL!B:F,5,0))</f>
        <v>Kẹp ép WR cỡ dây 70mm2</v>
      </c>
      <c r="D79" s="1602" t="str">
        <f>IFERROR(VLOOKUP(A79,DG!A:D,4,0),0)</f>
        <v>cái</v>
      </c>
      <c r="E79" s="1603">
        <f>SUMIF(TongHopKL!B:B,'NT-VT'!A79,ThiCong)</f>
        <v>4</v>
      </c>
      <c r="F79" s="1600" t="str">
        <f>IFERROR(VLOOKUP(A79,Solieu!G:M,2,0),"")</f>
        <v>nt</v>
      </c>
      <c r="G79" s="1600" t="str">
        <f>IFERROR(VLOOKUP(A79,Solieu!G:M,3,0),"")</f>
        <v>nt</v>
      </c>
      <c r="H79" s="1600"/>
      <c r="I79" s="1604"/>
      <c r="J79" s="1605" t="str">
        <f>IFERROR(VLOOKUP(A79,Solieu!G:M,4,0),"")</f>
        <v>nt</v>
      </c>
      <c r="K79" s="1606" t="str">
        <f>IFERROR(VLOOKUP(A79,Solieu!G:M,5,0),"")</f>
        <v>nt</v>
      </c>
      <c r="L79" s="1778">
        <f>IFERROR(VLOOKUP(A79,Solieu!G:M,6,0),"")</f>
        <v>0</v>
      </c>
      <c r="M79" s="1604" t="str">
        <f>IFERROR(VLOOKUP(A79,Solieu!G:M,7,0),"")</f>
        <v/>
      </c>
      <c r="N79" s="1198" t="s">
        <v>4188</v>
      </c>
      <c r="O79" s="1356">
        <f t="shared" si="1"/>
        <v>1</v>
      </c>
      <c r="P79" s="1194"/>
      <c r="Q79" s="1315"/>
      <c r="R79" s="1358"/>
    </row>
    <row r="80" spans="1:27" s="829" customFormat="1" ht="34.950000000000003" customHeight="1">
      <c r="A80" s="1960" t="str">
        <f>VLOOKUP(ROW()-ROW($A$5),TongHopKL!A:B,2,0)</f>
        <v>KE95</v>
      </c>
      <c r="B80" s="1600">
        <f>SUM($O$6:O80)</f>
        <v>75</v>
      </c>
      <c r="C80" s="1601" t="str">
        <f>(VLOOKUP(A80,TongHopKL!B:F,5,0))</f>
        <v>Kẹp ép WR cỡ dây 95mm2</v>
      </c>
      <c r="D80" s="1602" t="str">
        <f>IFERROR(VLOOKUP(A80,DG!A:D,4,0),0)</f>
        <v>cái</v>
      </c>
      <c r="E80" s="1603">
        <f>SUMIF(TongHopKL!B:B,'NT-VT'!A80,ThiCong)</f>
        <v>42</v>
      </c>
      <c r="F80" s="1600" t="str">
        <f>IFERROR(VLOOKUP(A80,Solieu!G:M,2,0),"")</f>
        <v>nt</v>
      </c>
      <c r="G80" s="1600" t="str">
        <f>IFERROR(VLOOKUP(A80,Solieu!G:M,3,0),"")</f>
        <v>nt</v>
      </c>
      <c r="H80" s="1600"/>
      <c r="I80" s="1604"/>
      <c r="J80" s="1605" t="str">
        <f>IFERROR(VLOOKUP(A80,Solieu!G:M,4,0),"")</f>
        <v>nt</v>
      </c>
      <c r="K80" s="1606" t="str">
        <f>IFERROR(VLOOKUP(A80,Solieu!G:M,5,0),"")</f>
        <v>nt</v>
      </c>
      <c r="L80" s="1778">
        <f>IFERROR(VLOOKUP(A80,Solieu!G:M,6,0),"")</f>
        <v>0</v>
      </c>
      <c r="M80" s="1604" t="str">
        <f>IFERROR(VLOOKUP(A80,Solieu!G:M,7,0),"")</f>
        <v/>
      </c>
      <c r="N80" s="1198" t="s">
        <v>4188</v>
      </c>
      <c r="O80" s="1356">
        <f t="shared" si="1"/>
        <v>1</v>
      </c>
      <c r="P80" s="1194"/>
      <c r="Q80" s="1315"/>
      <c r="R80" s="1358"/>
    </row>
    <row r="81" spans="1:18" s="829" customFormat="1" ht="34.950000000000003" customHeight="1">
      <c r="A81" s="1960" t="str">
        <f>VLOOKUP(ROW()-ROW($A$5),TongHopKL!A:B,2,0)</f>
        <v>KEO</v>
      </c>
      <c r="B81" s="1600">
        <f>SUM($O$6:O81)</f>
        <v>76</v>
      </c>
      <c r="C81" s="1601" t="str">
        <f>(VLOOKUP(A81,TongHopKL!B:F,5,0))</f>
        <v>Keo dán ống PVC (500gr)</v>
      </c>
      <c r="D81" s="1602" t="str">
        <f>IFERROR(VLOOKUP(A81,DG!A:D,4,0),0)</f>
        <v>lon</v>
      </c>
      <c r="E81" s="1603">
        <f>SUMIF(TongHopKL!B:B,'NT-VT'!A81,ThiCong)</f>
        <v>1</v>
      </c>
      <c r="F81" s="1600" t="str">
        <f>IFERROR(VLOOKUP(A81,Solieu!G:M,2,0),"")</f>
        <v>nt</v>
      </c>
      <c r="G81" s="1600" t="str">
        <f>IFERROR(VLOOKUP(A81,Solieu!G:M,3,0),"")</f>
        <v>nt</v>
      </c>
      <c r="H81" s="1600"/>
      <c r="I81" s="1604"/>
      <c r="J81" s="1605" t="str">
        <f>IFERROR(VLOOKUP(A81,Solieu!G:M,4,0),"")</f>
        <v>nt</v>
      </c>
      <c r="K81" s="1606" t="str">
        <f>IFERROR(VLOOKUP(A81,Solieu!G:M,5,0),"")</f>
        <v>nt</v>
      </c>
      <c r="L81" s="1778">
        <f>IFERROR(VLOOKUP(A81,Solieu!G:M,6,0),"")</f>
        <v>0</v>
      </c>
      <c r="M81" s="1604" t="str">
        <f>IFERROR(VLOOKUP(A81,Solieu!G:M,7,0),"")</f>
        <v/>
      </c>
      <c r="N81" s="1198" t="s">
        <v>4188</v>
      </c>
      <c r="O81" s="1356">
        <f t="shared" si="1"/>
        <v>1</v>
      </c>
      <c r="P81" s="1194"/>
      <c r="Q81" s="1315"/>
      <c r="R81" s="1358"/>
    </row>
    <row r="82" spans="1:18" s="829" customFormat="1" ht="34.950000000000003" customHeight="1">
      <c r="A82" s="1960" t="str">
        <f>VLOOKUP(ROW()-ROW($A$5),TongHopKL!A:B,2,0)</f>
        <v>keobit</v>
      </c>
      <c r="B82" s="1600">
        <f>SUM($O$6:O82)</f>
        <v>77</v>
      </c>
      <c r="C82" s="1601" t="str">
        <f>(VLOOKUP(A82,TongHopKL!B:F,5,0))</f>
        <v>Keo silicon bít miệng ống:</v>
      </c>
      <c r="D82" s="1602" t="str">
        <f>IFERROR(VLOOKUP(A82,DG!A:D,4,0),0)</f>
        <v>ống</v>
      </c>
      <c r="E82" s="1603">
        <f>SUMIF(TongHopKL!B:B,'NT-VT'!A82,ThiCong)</f>
        <v>7</v>
      </c>
      <c r="F82" s="1600" t="str">
        <f>IFERROR(VLOOKUP(A82,Solieu!G:M,2,0),"")</f>
        <v>nt</v>
      </c>
      <c r="G82" s="1600" t="str">
        <f>IFERROR(VLOOKUP(A82,Solieu!G:M,3,0),"")</f>
        <v>nt</v>
      </c>
      <c r="H82" s="1600"/>
      <c r="I82" s="1604"/>
      <c r="J82" s="1605" t="str">
        <f>IFERROR(VLOOKUP(A82,Solieu!G:M,4,0),"")</f>
        <v>nt</v>
      </c>
      <c r="K82" s="1606" t="str">
        <f>IFERROR(VLOOKUP(A82,Solieu!G:M,5,0),"")</f>
        <v>nt</v>
      </c>
      <c r="L82" s="1778">
        <f>IFERROR(VLOOKUP(A82,Solieu!G:M,6,0),"")</f>
        <v>0</v>
      </c>
      <c r="M82" s="1604" t="str">
        <f>IFERROR(VLOOKUP(A82,Solieu!G:M,7,0),"")</f>
        <v/>
      </c>
      <c r="N82" s="1198" t="s">
        <v>4188</v>
      </c>
      <c r="O82" s="1356">
        <f t="shared" si="1"/>
        <v>1</v>
      </c>
      <c r="P82" s="1194"/>
      <c r="Q82" s="1354"/>
      <c r="R82" s="1358"/>
    </row>
    <row r="83" spans="1:18" s="829" customFormat="1" ht="34.950000000000003" customHeight="1">
      <c r="A83" s="1960" t="str">
        <f>VLOOKUP(ROW()-ROW($A$5),TongHopKL!A:B,2,0)</f>
        <v>KH4/0</v>
      </c>
      <c r="B83" s="1600">
        <f>SUM($O$6:O83)</f>
        <v>78</v>
      </c>
      <c r="C83" s="1601" t="str">
        <f>(VLOOKUP(A83,TongHopKL!B:F,5,0))</f>
        <v xml:space="preserve">Kẹp hotline 4/0: </v>
      </c>
      <c r="D83" s="1602" t="str">
        <f>IFERROR(VLOOKUP(A83,DG!A:D,4,0),0)</f>
        <v>cái</v>
      </c>
      <c r="E83" s="1603">
        <f>SUMIF(TongHopKL!B:B,'NT-VT'!A83,ThiCong)</f>
        <v>12</v>
      </c>
      <c r="F83" s="1600" t="str">
        <f>IFERROR(VLOOKUP(A83,Solieu!G:M,2,0),"")</f>
        <v>nt</v>
      </c>
      <c r="G83" s="1600" t="str">
        <f>IFERROR(VLOOKUP(A83,Solieu!G:M,3,0),"")</f>
        <v>nt</v>
      </c>
      <c r="H83" s="1600"/>
      <c r="I83" s="1604"/>
      <c r="J83" s="1605" t="str">
        <f>IFERROR(VLOOKUP(A83,Solieu!G:M,4,0),"")</f>
        <v>nt</v>
      </c>
      <c r="K83" s="1606" t="str">
        <f>IFERROR(VLOOKUP(A83,Solieu!G:M,5,0),"")</f>
        <v>nt</v>
      </c>
      <c r="L83" s="1778">
        <f>IFERROR(VLOOKUP(A83,Solieu!G:M,6,0),"")</f>
        <v>0</v>
      </c>
      <c r="M83" s="1604" t="str">
        <f>IFERROR(VLOOKUP(A83,Solieu!G:M,7,0),"")</f>
        <v/>
      </c>
      <c r="N83" s="1198" t="s">
        <v>4188</v>
      </c>
      <c r="O83" s="1356">
        <f t="shared" si="1"/>
        <v>1</v>
      </c>
      <c r="P83" s="1194"/>
      <c r="Q83" s="1354"/>
      <c r="R83" s="1358"/>
    </row>
    <row r="84" spans="1:18" s="829" customFormat="1" ht="34.950000000000003" customHeight="1">
      <c r="A84" s="1960" t="str">
        <f>VLOOKUP(ROW()-ROW($A$5),TongHopKL!A:B,2,0)</f>
        <v>khanhkep</v>
      </c>
      <c r="B84" s="1600">
        <f>SUM($O$6:O84)</f>
        <v>79</v>
      </c>
      <c r="C84" s="1601" t="str">
        <f>(VLOOKUP(A84,TongHopKL!B:F,5,0))</f>
        <v>Khánh lắp chuỗi sứ polymer kép</v>
      </c>
      <c r="D84" s="1602" t="str">
        <f>IFERROR(VLOOKUP(A84,DG!A:D,4,0),0)</f>
        <v>cái</v>
      </c>
      <c r="E84" s="1603">
        <f>SUMIF(TongHopKL!B:B,'NT-VT'!A84,ThiCong)</f>
        <v>12</v>
      </c>
      <c r="F84" s="1600" t="str">
        <f>IFERROR(VLOOKUP(A84,Solieu!G:M,2,0),"")</f>
        <v>nt</v>
      </c>
      <c r="G84" s="1600" t="str">
        <f>IFERROR(VLOOKUP(A84,Solieu!G:M,3,0),"")</f>
        <v>nt</v>
      </c>
      <c r="H84" s="1600"/>
      <c r="I84" s="1604"/>
      <c r="J84" s="1605" t="str">
        <f>IFERROR(VLOOKUP(A84,Solieu!G:M,4,0),"")</f>
        <v>nt</v>
      </c>
      <c r="K84" s="1606" t="str">
        <f>IFERROR(VLOOKUP(A84,Solieu!G:M,5,0),"")</f>
        <v>nt</v>
      </c>
      <c r="L84" s="1778">
        <f>IFERROR(VLOOKUP(A84,Solieu!G:M,6,0),"")</f>
        <v>0</v>
      </c>
      <c r="M84" s="1604" t="str">
        <f>IFERROR(VLOOKUP(A84,Solieu!G:M,7,0),"")</f>
        <v/>
      </c>
      <c r="N84" s="1198" t="s">
        <v>4188</v>
      </c>
      <c r="O84" s="1356">
        <f t="shared" si="1"/>
        <v>1</v>
      </c>
      <c r="P84" s="1194"/>
      <c r="Q84" s="1354"/>
      <c r="R84" s="1358"/>
    </row>
    <row r="85" spans="1:18" s="829" customFormat="1" ht="34.950000000000003" customHeight="1">
      <c r="A85" s="1960" t="str">
        <f>VLOOKUP(ROW()-ROW($A$5),TongHopKL!A:B,2,0)</f>
        <v>kn50</v>
      </c>
      <c r="B85" s="1600">
        <f>SUM($O$6:O85)</f>
        <v>80</v>
      </c>
      <c r="C85" s="1601" t="str">
        <f>(VLOOKUP(A85,TongHopKL!B:F,5,0))</f>
        <v>Khóa néo dây cỡ dây 50</v>
      </c>
      <c r="D85" s="1602" t="str">
        <f>IFERROR(VLOOKUP(A85,DG!A:D,4,0),0)</f>
        <v>cái</v>
      </c>
      <c r="E85" s="1603">
        <f>SUMIF(TongHopKL!B:B,'NT-VT'!A85,ThiCong)</f>
        <v>6</v>
      </c>
      <c r="F85" s="1600" t="str">
        <f>IFERROR(VLOOKUP(A85,Solieu!G:M,2,0),"")</f>
        <v>nt</v>
      </c>
      <c r="G85" s="1600" t="str">
        <f>IFERROR(VLOOKUP(A85,Solieu!G:M,3,0),"")</f>
        <v>nt</v>
      </c>
      <c r="H85" s="1600"/>
      <c r="I85" s="1604"/>
      <c r="J85" s="1605" t="str">
        <f>IFERROR(VLOOKUP(A85,Solieu!G:M,4,0),"")</f>
        <v>nt</v>
      </c>
      <c r="K85" s="1606" t="str">
        <f>IFERROR(VLOOKUP(A85,Solieu!G:M,5,0),"")</f>
        <v>nt</v>
      </c>
      <c r="L85" s="1778">
        <f>IFERROR(VLOOKUP(A85,Solieu!G:M,6,0),"")</f>
        <v>0</v>
      </c>
      <c r="M85" s="1604" t="str">
        <f>IFERROR(VLOOKUP(A85,Solieu!G:M,7,0),"")</f>
        <v/>
      </c>
      <c r="N85" s="1198" t="s">
        <v>4188</v>
      </c>
      <c r="O85" s="1356">
        <f t="shared" si="1"/>
        <v>1</v>
      </c>
      <c r="P85" s="1194"/>
      <c r="Q85" s="1354"/>
      <c r="R85" s="1358"/>
    </row>
    <row r="86" spans="1:18" s="829" customFormat="1" ht="34.950000000000003" customHeight="1">
      <c r="A86" s="1960" t="str">
        <f>VLOOKUP(ROW()-ROW($A$5),TongHopKL!A:B,2,0)</f>
        <v>kn70</v>
      </c>
      <c r="B86" s="1600">
        <f>SUM($O$6:O86)</f>
        <v>81</v>
      </c>
      <c r="C86" s="1601" t="str">
        <f>(VLOOKUP(A86,TongHopKL!B:F,5,0))</f>
        <v>Khóa néo dây cỡ dây 70</v>
      </c>
      <c r="D86" s="1602" t="str">
        <f>IFERROR(VLOOKUP(A86,DG!A:D,4,0),0)</f>
        <v>cái</v>
      </c>
      <c r="E86" s="1603">
        <f>SUMIF(TongHopKL!B:B,'NT-VT'!A86,ThiCong)</f>
        <v>28</v>
      </c>
      <c r="F86" s="1600" t="str">
        <f>IFERROR(VLOOKUP(A86,Solieu!G:M,2,0),"")</f>
        <v>nt</v>
      </c>
      <c r="G86" s="1600" t="str">
        <f>IFERROR(VLOOKUP(A86,Solieu!G:M,3,0),"")</f>
        <v>nt</v>
      </c>
      <c r="H86" s="1600"/>
      <c r="I86" s="1604"/>
      <c r="J86" s="1605" t="str">
        <f>IFERROR(VLOOKUP(A86,Solieu!G:M,4,0),"")</f>
        <v>nt</v>
      </c>
      <c r="K86" s="1606" t="str">
        <f>IFERROR(VLOOKUP(A86,Solieu!G:M,5,0),"")</f>
        <v>nt</v>
      </c>
      <c r="L86" s="1778">
        <f>IFERROR(VLOOKUP(A86,Solieu!G:M,6,0),"")</f>
        <v>0</v>
      </c>
      <c r="M86" s="1604" t="str">
        <f>IFERROR(VLOOKUP(A86,Solieu!G:M,7,0),"")</f>
        <v/>
      </c>
      <c r="N86" s="1198" t="s">
        <v>4188</v>
      </c>
      <c r="O86" s="1356">
        <f t="shared" si="1"/>
        <v>1</v>
      </c>
      <c r="P86" s="1194"/>
      <c r="Q86" s="1354"/>
      <c r="R86" s="1358"/>
    </row>
    <row r="87" spans="1:18" s="829" customFormat="1" ht="34.950000000000003" customHeight="1">
      <c r="A87" s="1960" t="str">
        <f>VLOOKUP(ROW()-ROW($A$5),TongHopKL!A:B,2,0)</f>
        <v>KQ4/0</v>
      </c>
      <c r="B87" s="1600">
        <f>SUM($O$6:O87)</f>
        <v>82</v>
      </c>
      <c r="C87" s="1601" t="str">
        <f>(VLOOKUP(A87,TongHopKL!B:F,5,0))</f>
        <v>Kẹp quai 4/0</v>
      </c>
      <c r="D87" s="1602" t="str">
        <f>IFERROR(VLOOKUP(A87,DG!A:D,4,0),0)</f>
        <v>cái</v>
      </c>
      <c r="E87" s="1603">
        <f>SUMIF(TongHopKL!B:B,'NT-VT'!A87,ThiCong)</f>
        <v>12</v>
      </c>
      <c r="F87" s="1600" t="str">
        <f>IFERROR(VLOOKUP(A87,Solieu!G:M,2,0),"")</f>
        <v>nt</v>
      </c>
      <c r="G87" s="1600" t="str">
        <f>IFERROR(VLOOKUP(A87,Solieu!G:M,3,0),"")</f>
        <v>nt</v>
      </c>
      <c r="H87" s="1600"/>
      <c r="I87" s="1604"/>
      <c r="J87" s="1605" t="str">
        <f>IFERROR(VLOOKUP(A87,Solieu!G:M,4,0),"")</f>
        <v>nt</v>
      </c>
      <c r="K87" s="1606" t="str">
        <f>IFERROR(VLOOKUP(A87,Solieu!G:M,5,0),"")</f>
        <v>nt</v>
      </c>
      <c r="L87" s="1778">
        <f>IFERROR(VLOOKUP(A87,Solieu!G:M,6,0),"")</f>
        <v>0</v>
      </c>
      <c r="M87" s="1604" t="str">
        <f>IFERROR(VLOOKUP(A87,Solieu!G:M,7,0),"")</f>
        <v/>
      </c>
      <c r="N87" s="1198" t="s">
        <v>4188</v>
      </c>
      <c r="O87" s="1356">
        <f t="shared" si="1"/>
        <v>1</v>
      </c>
      <c r="P87" s="1194"/>
      <c r="Q87" s="1354"/>
      <c r="R87" s="1358"/>
    </row>
    <row r="88" spans="1:18" s="829" customFormat="1" ht="35.1" customHeight="1">
      <c r="A88" s="1960" t="str">
        <f>VLOOKUP(ROW()-ROW($A$5),TongHopKL!A:B,2,0)</f>
        <v>KVRN60</v>
      </c>
      <c r="B88" s="1600">
        <f>SUM($O$6:O88)</f>
        <v>83</v>
      </c>
      <c r="C88" s="1601" t="str">
        <f>(VLOOKUP(A88,TongHopKL!B:F,5,0))</f>
        <v>Khâu ven răng ngoài D60</v>
      </c>
      <c r="D88" s="1602" t="str">
        <f>IFERROR(VLOOKUP(A88,DG!A:D,4,0),0)</f>
        <v>cái</v>
      </c>
      <c r="E88" s="1603">
        <f>SUMIF(TongHopKL!B:B,'NT-VT'!A88,ThiCong)</f>
        <v>1</v>
      </c>
      <c r="F88" s="1600" t="str">
        <f>IFERROR(VLOOKUP(A88,Solieu!G:M,2,0),"")</f>
        <v>nt</v>
      </c>
      <c r="G88" s="1600" t="str">
        <f>IFERROR(VLOOKUP(A88,Solieu!G:M,3,0),"")</f>
        <v>nt</v>
      </c>
      <c r="H88" s="1600"/>
      <c r="I88" s="1604"/>
      <c r="J88" s="1605" t="str">
        <f>IFERROR(VLOOKUP(A88,Solieu!G:M,4,0),"")</f>
        <v>nt</v>
      </c>
      <c r="K88" s="1606" t="str">
        <f>IFERROR(VLOOKUP(A88,Solieu!G:M,5,0),"")</f>
        <v>nt</v>
      </c>
      <c r="L88" s="1778">
        <f>IFERROR(VLOOKUP(A88,Solieu!G:M,6,0),"")</f>
        <v>0</v>
      </c>
      <c r="M88" s="1604" t="str">
        <f>IFERROR(VLOOKUP(A88,Solieu!G:M,7,0),"")</f>
        <v/>
      </c>
      <c r="N88" s="1198" t="s">
        <v>4188</v>
      </c>
      <c r="O88" s="1356">
        <f t="shared" si="1"/>
        <v>1</v>
      </c>
      <c r="P88" s="1194"/>
      <c r="Q88" s="1354"/>
      <c r="R88" s="1358"/>
    </row>
    <row r="89" spans="1:18" s="829" customFormat="1" ht="35.1" customHeight="1">
      <c r="A89" s="1960" t="str">
        <f>VLOOKUP(ROW()-ROW($A$5),TongHopKL!A:B,2,0)</f>
        <v>KVRT60</v>
      </c>
      <c r="B89" s="1600">
        <f>SUM($O$6:O89)</f>
        <v>84</v>
      </c>
      <c r="C89" s="1601" t="str">
        <f>(VLOOKUP(A89,TongHopKL!B:F,5,0))</f>
        <v>Khâu ven răng trong D60</v>
      </c>
      <c r="D89" s="1602" t="str">
        <f>IFERROR(VLOOKUP(A89,DG!A:D,4,0),0)</f>
        <v>cái</v>
      </c>
      <c r="E89" s="1603">
        <f>SUMIF(TongHopKL!B:B,'NT-VT'!A89,ThiCong)</f>
        <v>1</v>
      </c>
      <c r="F89" s="1600" t="str">
        <f>IFERROR(VLOOKUP(A89,Solieu!G:M,2,0),"")</f>
        <v>nt</v>
      </c>
      <c r="G89" s="1600" t="str">
        <f>IFERROR(VLOOKUP(A89,Solieu!G:M,3,0),"")</f>
        <v>nt</v>
      </c>
      <c r="H89" s="1600"/>
      <c r="I89" s="1604"/>
      <c r="J89" s="1605" t="str">
        <f>IFERROR(VLOOKUP(A89,Solieu!G:M,4,0),"")</f>
        <v>nt</v>
      </c>
      <c r="K89" s="1606" t="str">
        <f>IFERROR(VLOOKUP(A89,Solieu!G:M,5,0),"")</f>
        <v>nt</v>
      </c>
      <c r="L89" s="1778">
        <f>IFERROR(VLOOKUP(A89,Solieu!G:M,6,0),"")</f>
        <v>0</v>
      </c>
      <c r="M89" s="1604" t="str">
        <f>IFERROR(VLOOKUP(A89,Solieu!G:M,7,0),"")</f>
        <v/>
      </c>
      <c r="N89" s="1198" t="s">
        <v>4188</v>
      </c>
      <c r="O89" s="1356">
        <f t="shared" si="1"/>
        <v>1</v>
      </c>
      <c r="P89" s="1194"/>
      <c r="Q89" s="1354"/>
      <c r="R89" s="1358"/>
    </row>
    <row r="90" spans="1:18" s="829" customFormat="1" ht="35.1" customHeight="1">
      <c r="A90" s="1960" t="str">
        <f>VLOOKUP(ROW()-ROW($A$5),TongHopKL!A:B,2,0)</f>
        <v>LDKhungcua</v>
      </c>
      <c r="B90" s="1600">
        <f>SUM($O$6:O90)</f>
        <v>85</v>
      </c>
      <c r="C90" s="1601" t="str">
        <f>(VLOOKUP(A90,TongHopKL!B:F,5,0))</f>
        <v>Gia công và lắp dựng khung cửa sắt</v>
      </c>
      <c r="D90" s="1602" t="str">
        <f>IFERROR(VLOOKUP(A90,DG!A:D,4,0),0)</f>
        <v>m2</v>
      </c>
      <c r="E90" s="1603">
        <f>SUMIF(TongHopKL!B:B,'NT-VT'!A90,ThiCong)</f>
        <v>24</v>
      </c>
      <c r="F90" s="1600" t="str">
        <f>IFERROR(VLOOKUP(A90,Solieu!G:M,2,0),"")</f>
        <v>nt</v>
      </c>
      <c r="G90" s="1600" t="str">
        <f>IFERROR(VLOOKUP(A90,Solieu!G:M,3,0),"")</f>
        <v>nt</v>
      </c>
      <c r="H90" s="1600"/>
      <c r="I90" s="1604"/>
      <c r="J90" s="1605" t="str">
        <f>IFERROR(VLOOKUP(A90,Solieu!G:M,4,0),"")</f>
        <v>nt</v>
      </c>
      <c r="K90" s="1606" t="str">
        <f>IFERROR(VLOOKUP(A90,Solieu!G:M,5,0),"")</f>
        <v>nt</v>
      </c>
      <c r="L90" s="1778">
        <f>IFERROR(VLOOKUP(A90,Solieu!G:M,6,0),"")</f>
        <v>0</v>
      </c>
      <c r="M90" s="1604" t="str">
        <f>IFERROR(VLOOKUP(A90,Solieu!G:M,7,0),"")</f>
        <v/>
      </c>
      <c r="N90" s="1198" t="s">
        <v>4188</v>
      </c>
      <c r="O90" s="1356">
        <f t="shared" si="1"/>
        <v>1</v>
      </c>
      <c r="P90" s="1194"/>
      <c r="Q90" s="1354"/>
      <c r="R90" s="1358"/>
    </row>
    <row r="91" spans="1:18" s="829" customFormat="1" ht="35.1" customHeight="1">
      <c r="A91" s="1960" t="str">
        <f>VLOOKUP(ROW()-ROW($A$5),TongHopKL!A:B,2,0)</f>
        <v>LTD</v>
      </c>
      <c r="B91" s="1600">
        <f>SUM($O$6:O91)</f>
        <v>86</v>
      </c>
      <c r="C91" s="1601" t="str">
        <f>(VLOOKUP(A91,TongHopKL!B:F,5,0))</f>
        <v>LTD 1P 24KV - 800A</v>
      </c>
      <c r="D91" s="1602" t="str">
        <f>IFERROR(VLOOKUP(A91,DG!A:D,4,0),0)</f>
        <v>cái</v>
      </c>
      <c r="E91" s="1603">
        <f>SUMIF(TongHopKL!B:B,'NT-VT'!A91,ThiCong)</f>
        <v>3</v>
      </c>
      <c r="F91" s="1600" t="str">
        <f>IFERROR(VLOOKUP(A91,Solieu!G:M,2,0),"")</f>
        <v>nt</v>
      </c>
      <c r="G91" s="1600" t="str">
        <f>IFERROR(VLOOKUP(A91,Solieu!G:M,3,0),"")</f>
        <v>nt</v>
      </c>
      <c r="H91" s="1600"/>
      <c r="I91" s="1604"/>
      <c r="J91" s="1605" t="str">
        <f>IFERROR(VLOOKUP(A91,Solieu!G:M,4,0),"")</f>
        <v>nt</v>
      </c>
      <c r="K91" s="1606" t="str">
        <f>IFERROR(VLOOKUP(A91,Solieu!G:M,5,0),"")</f>
        <v>nt</v>
      </c>
      <c r="L91" s="1778">
        <f>IFERROR(VLOOKUP(A91,Solieu!G:M,6,0),"")</f>
        <v>0</v>
      </c>
      <c r="M91" s="1604" t="str">
        <f>IFERROR(VLOOKUP(A91,Solieu!G:M,7,0),"")</f>
        <v/>
      </c>
      <c r="N91" s="1198" t="s">
        <v>4188</v>
      </c>
      <c r="O91" s="1356">
        <f t="shared" si="1"/>
        <v>1</v>
      </c>
      <c r="P91" s="1194"/>
      <c r="Q91" s="1354"/>
      <c r="R91" s="1358"/>
    </row>
    <row r="92" spans="1:18" s="829" customFormat="1" ht="35.1" customHeight="1">
      <c r="A92" s="1960" t="str">
        <f>VLOOKUP(ROW()-ROW($A$5),TongHopKL!A:B,2,0)</f>
        <v>M5M</v>
      </c>
      <c r="B92" s="1600">
        <f>SUM($O$6:O92)</f>
        <v>87</v>
      </c>
      <c r="C92" s="1601" t="str">
        <f>(VLOOKUP(A92,TongHopKL!B:F,5,0))</f>
        <v>Dây đồng trần mềm dẹt</v>
      </c>
      <c r="D92" s="1602" t="str">
        <f>IFERROR(VLOOKUP(A92,DG!A:D,4,0),0)</f>
        <v>mét</v>
      </c>
      <c r="E92" s="1603">
        <f>SUMIF(TongHopKL!B:B,'NT-VT'!A92,ThiCong)</f>
        <v>4</v>
      </c>
      <c r="F92" s="1600" t="str">
        <f>IFERROR(VLOOKUP(A92,Solieu!G:M,2,0),"")</f>
        <v>nt</v>
      </c>
      <c r="G92" s="1600" t="str">
        <f>IFERROR(VLOOKUP(A92,Solieu!G:M,3,0),"")</f>
        <v>nt</v>
      </c>
      <c r="H92" s="1600"/>
      <c r="I92" s="1604"/>
      <c r="J92" s="1605" t="str">
        <f>IFERROR(VLOOKUP(A92,Solieu!G:M,4,0),"")</f>
        <v>nt</v>
      </c>
      <c r="K92" s="1606" t="str">
        <f>IFERROR(VLOOKUP(A92,Solieu!G:M,5,0),"")</f>
        <v>nt</v>
      </c>
      <c r="L92" s="1778">
        <f>IFERROR(VLOOKUP(A92,Solieu!G:M,6,0),"")</f>
        <v>0</v>
      </c>
      <c r="M92" s="1604" t="str">
        <f>IFERROR(VLOOKUP(A92,Solieu!G:M,7,0),"")</f>
        <v/>
      </c>
      <c r="N92" s="1198" t="s">
        <v>4188</v>
      </c>
      <c r="O92" s="1356">
        <f t="shared" si="1"/>
        <v>1</v>
      </c>
      <c r="P92" s="1194"/>
      <c r="Q92" s="1354"/>
      <c r="R92" s="1358"/>
    </row>
    <row r="93" spans="1:18" s="829" customFormat="1" ht="35.1" customHeight="1">
      <c r="A93" s="1960" t="str">
        <f>VLOOKUP(ROW()-ROW($A$5),TongHopKL!A:B,2,0)</f>
        <v>MT</v>
      </c>
      <c r="B93" s="1600">
        <f>SUM($O$6:O93)</f>
        <v>88</v>
      </c>
      <c r="C93" s="1601" t="str">
        <f>(VLOOKUP(A93,TongHopKL!B:F,5,0))</f>
        <v xml:space="preserve">Móc treo chữ U </v>
      </c>
      <c r="D93" s="1602" t="str">
        <f>IFERROR(VLOOKUP(A93,DG!A:D,4,0),0)</f>
        <v>cái</v>
      </c>
      <c r="E93" s="1603">
        <f>SUMIF(TongHopKL!B:B,'NT-VT'!A93,ThiCong)</f>
        <v>150</v>
      </c>
      <c r="F93" s="1600" t="str">
        <f>IFERROR(VLOOKUP(A93,Solieu!G:M,2,0),"")</f>
        <v>nt</v>
      </c>
      <c r="G93" s="1600" t="str">
        <f>IFERROR(VLOOKUP(A93,Solieu!G:M,3,0),"")</f>
        <v>nt</v>
      </c>
      <c r="H93" s="1600"/>
      <c r="I93" s="1604"/>
      <c r="J93" s="1605" t="str">
        <f>IFERROR(VLOOKUP(A93,Solieu!G:M,4,0),"")</f>
        <v>nt</v>
      </c>
      <c r="K93" s="1606" t="str">
        <f>IFERROR(VLOOKUP(A93,Solieu!G:M,5,0),"")</f>
        <v>nt</v>
      </c>
      <c r="L93" s="1778">
        <f>IFERROR(VLOOKUP(A93,Solieu!G:M,6,0),"")</f>
        <v>0</v>
      </c>
      <c r="M93" s="1604" t="str">
        <f>IFERROR(VLOOKUP(A93,Solieu!G:M,7,0),"")</f>
        <v/>
      </c>
      <c r="N93" s="1198" t="s">
        <v>4188</v>
      </c>
      <c r="O93" s="1356">
        <f t="shared" si="1"/>
        <v>1</v>
      </c>
      <c r="P93" s="1194"/>
      <c r="Q93" s="1354"/>
      <c r="R93" s="1358"/>
    </row>
    <row r="94" spans="1:18" s="829" customFormat="1" ht="35.1" customHeight="1">
      <c r="A94" s="1960" t="str">
        <f>VLOOKUP(ROW()-ROW($A$5),TongHopKL!A:B,2,0)</f>
        <v>Noi60</v>
      </c>
      <c r="B94" s="1600">
        <f>SUM($O$6:O94)</f>
        <v>89</v>
      </c>
      <c r="C94" s="1601" t="str">
        <f>(VLOOKUP(A94,TongHopKL!B:F,5,0))</f>
        <v>Nối ống PVC 60</v>
      </c>
      <c r="D94" s="1602" t="str">
        <f>IFERROR(VLOOKUP(A94,DG!A:D,4,0),0)</f>
        <v>cái</v>
      </c>
      <c r="E94" s="1603">
        <f>SUMIF(TongHopKL!B:B,'NT-VT'!A94,ThiCong)</f>
        <v>5</v>
      </c>
      <c r="F94" s="1600" t="str">
        <f>IFERROR(VLOOKUP(A94,Solieu!G:M,2,0),"")</f>
        <v>nt</v>
      </c>
      <c r="G94" s="1600" t="str">
        <f>IFERROR(VLOOKUP(A94,Solieu!G:M,3,0),"")</f>
        <v>nt</v>
      </c>
      <c r="H94" s="1600"/>
      <c r="I94" s="1604"/>
      <c r="J94" s="1605" t="str">
        <f>IFERROR(VLOOKUP(A94,Solieu!G:M,4,0),"")</f>
        <v>nt</v>
      </c>
      <c r="K94" s="1606" t="str">
        <f>IFERROR(VLOOKUP(A94,Solieu!G:M,5,0),"")</f>
        <v>nt</v>
      </c>
      <c r="L94" s="1778">
        <f>IFERROR(VLOOKUP(A94,Solieu!G:M,6,0),"")</f>
        <v>0</v>
      </c>
      <c r="M94" s="1604" t="str">
        <f>IFERROR(VLOOKUP(A94,Solieu!G:M,7,0),"")</f>
        <v/>
      </c>
      <c r="N94" s="1198" t="s">
        <v>4188</v>
      </c>
      <c r="O94" s="1356">
        <f t="shared" si="1"/>
        <v>1</v>
      </c>
      <c r="P94" s="1194"/>
      <c r="Q94" s="1354"/>
      <c r="R94" s="1358"/>
    </row>
    <row r="95" spans="1:18" s="829" customFormat="1" ht="35.1" customHeight="1">
      <c r="A95" s="1960" t="str">
        <f>VLOOKUP(ROW()-ROW($A$5),TongHopKL!A:B,2,0)</f>
        <v>OCN</v>
      </c>
      <c r="B95" s="1600">
        <f>SUM($O$6:O95)</f>
        <v>90</v>
      </c>
      <c r="C95" s="1601" t="str">
        <f>(VLOOKUP(A95,TongHopKL!B:F,5,0))</f>
        <v>Ong co nhiệt</v>
      </c>
      <c r="D95" s="1602" t="str">
        <f>IFERROR(VLOOKUP(A95,DG!A:D,4,0),0)</f>
        <v>m</v>
      </c>
      <c r="E95" s="1603">
        <f>SUMIF(TongHopKL!B:B,'NT-VT'!A95,ThiCong)</f>
        <v>27</v>
      </c>
      <c r="F95" s="1600" t="str">
        <f>IFERROR(VLOOKUP(A95,Solieu!G:M,2,0),"")</f>
        <v>nt</v>
      </c>
      <c r="G95" s="1600" t="str">
        <f>IFERROR(VLOOKUP(A95,Solieu!G:M,3,0),"")</f>
        <v>nt</v>
      </c>
      <c r="H95" s="1600"/>
      <c r="I95" s="1604"/>
      <c r="J95" s="1605" t="str">
        <f>IFERROR(VLOOKUP(A95,Solieu!G:M,4,0),"")</f>
        <v>nt</v>
      </c>
      <c r="K95" s="1606" t="str">
        <f>IFERROR(VLOOKUP(A95,Solieu!G:M,5,0),"")</f>
        <v>nt</v>
      </c>
      <c r="L95" s="1778">
        <f>IFERROR(VLOOKUP(A95,Solieu!G:M,6,0),"")</f>
        <v>0</v>
      </c>
      <c r="M95" s="1604" t="str">
        <f>IFERROR(VLOOKUP(A95,Solieu!G:M,7,0),"")</f>
        <v/>
      </c>
      <c r="N95" s="1198" t="s">
        <v>4188</v>
      </c>
      <c r="O95" s="1356">
        <f t="shared" si="1"/>
        <v>1</v>
      </c>
      <c r="P95" s="1194"/>
      <c r="Q95" s="1354"/>
      <c r="R95" s="1358"/>
    </row>
    <row r="96" spans="1:18" s="829" customFormat="1" ht="35.1" customHeight="1">
      <c r="A96" s="1960" t="str">
        <f>VLOOKUP(ROW()-ROW($A$5),TongHopKL!A:B,2,0)</f>
        <v>ON-AC-185</v>
      </c>
      <c r="B96" s="1600">
        <f>SUM($O$6:O96)</f>
        <v>91</v>
      </c>
      <c r="C96" s="1601" t="str">
        <f>(VLOOKUP(A96,TongHopKL!B:F,5,0))</f>
        <v>Ống nối dây AC-185</v>
      </c>
      <c r="D96" s="1602" t="str">
        <f>IFERROR(VLOOKUP(A96,DG!A:D,4,0),0)</f>
        <v>cái</v>
      </c>
      <c r="E96" s="1603">
        <f>SUMIF(TongHopKL!B:B,'NT-VT'!A96,ThiCong)</f>
        <v>84</v>
      </c>
      <c r="F96" s="1600" t="str">
        <f>IFERROR(VLOOKUP(A96,Solieu!G:M,2,0),"")</f>
        <v>nt</v>
      </c>
      <c r="G96" s="1600" t="str">
        <f>IFERROR(VLOOKUP(A96,Solieu!G:M,3,0),"")</f>
        <v>nt</v>
      </c>
      <c r="H96" s="1600"/>
      <c r="I96" s="1604"/>
      <c r="J96" s="1605" t="str">
        <f>IFERROR(VLOOKUP(A96,Solieu!G:M,4,0),"")</f>
        <v>nt</v>
      </c>
      <c r="K96" s="1606" t="str">
        <f>IFERROR(VLOOKUP(A96,Solieu!G:M,5,0),"")</f>
        <v>nt</v>
      </c>
      <c r="L96" s="1778">
        <f>IFERROR(VLOOKUP(A96,Solieu!G:M,6,0),"")</f>
        <v>0</v>
      </c>
      <c r="M96" s="1604" t="str">
        <f>IFERROR(VLOOKUP(A96,Solieu!G:M,7,0),"")</f>
        <v/>
      </c>
      <c r="N96" s="1198" t="s">
        <v>4188</v>
      </c>
      <c r="O96" s="1356">
        <f t="shared" si="1"/>
        <v>1</v>
      </c>
      <c r="P96" s="1194"/>
      <c r="Q96" s="1354"/>
      <c r="R96" s="1358"/>
    </row>
    <row r="97" spans="1:18" s="829" customFormat="1" ht="35.1" customHeight="1">
      <c r="A97" s="1960" t="str">
        <f>VLOOKUP(ROW()-ROW($A$5),TongHopKL!A:B,2,0)</f>
        <v>oxc25</v>
      </c>
      <c r="B97" s="1600">
        <f>SUM($O$6:O97)</f>
        <v>92</v>
      </c>
      <c r="C97" s="1601" t="str">
        <f>(VLOOKUP(A97,TongHopKL!B:F,5,0))</f>
        <v>Ốc siết cáp cỡ 25mm2</v>
      </c>
      <c r="D97" s="1602" t="str">
        <f>IFERROR(VLOOKUP(A97,DG!A:D,4,0),0)</f>
        <v>cái</v>
      </c>
      <c r="E97" s="1603">
        <f>SUMIF(TongHopKL!B:B,'NT-VT'!A97,ThiCong)</f>
        <v>25</v>
      </c>
      <c r="F97" s="1600" t="str">
        <f>IFERROR(VLOOKUP(A97,Solieu!G:M,2,0),"")</f>
        <v>nt</v>
      </c>
      <c r="G97" s="1600" t="str">
        <f>IFERROR(VLOOKUP(A97,Solieu!G:M,3,0),"")</f>
        <v>nt</v>
      </c>
      <c r="H97" s="1600"/>
      <c r="I97" s="1604"/>
      <c r="J97" s="1605" t="str">
        <f>IFERROR(VLOOKUP(A97,Solieu!G:M,4,0),"")</f>
        <v>nt</v>
      </c>
      <c r="K97" s="1606" t="str">
        <f>IFERROR(VLOOKUP(A97,Solieu!G:M,5,0),"")</f>
        <v>nt</v>
      </c>
      <c r="L97" s="1778">
        <f>IFERROR(VLOOKUP(A97,Solieu!G:M,6,0),"")</f>
        <v>0</v>
      </c>
      <c r="M97" s="1604" t="str">
        <f>IFERROR(VLOOKUP(A97,Solieu!G:M,7,0),"")</f>
        <v/>
      </c>
      <c r="N97" s="1198" t="s">
        <v>4188</v>
      </c>
      <c r="O97" s="1356">
        <f t="shared" si="1"/>
        <v>1</v>
      </c>
      <c r="P97" s="1194"/>
      <c r="Q97" s="1354"/>
      <c r="R97" s="1358"/>
    </row>
    <row r="98" spans="1:18" s="829" customFormat="1" ht="35.1" customHeight="1">
      <c r="A98" s="1960" t="str">
        <f>VLOOKUP(ROW()-ROW($A$5),TongHopKL!A:B,2,0)</f>
        <v>PVC114</v>
      </c>
      <c r="B98" s="1600">
        <f>SUM($O$6:O98)</f>
        <v>93</v>
      </c>
      <c r="C98" s="1601" t="str">
        <f>(VLOOKUP(A98,TongHopKL!B:F,5,0))</f>
        <v xml:space="preserve">Ống PVC D114x4,9mm </v>
      </c>
      <c r="D98" s="1602" t="str">
        <f>IFERROR(VLOOKUP(A98,DG!A:D,4,0),0)</f>
        <v>m</v>
      </c>
      <c r="E98" s="1603">
        <f>SUMIF(TongHopKL!B:B,'NT-VT'!A98,ThiCong)</f>
        <v>8</v>
      </c>
      <c r="F98" s="1600" t="str">
        <f>IFERROR(VLOOKUP(A98,Solieu!G:M,2,0),"")</f>
        <v>nt</v>
      </c>
      <c r="G98" s="1600" t="str">
        <f>IFERROR(VLOOKUP(A98,Solieu!G:M,3,0),"")</f>
        <v>nt</v>
      </c>
      <c r="H98" s="1600"/>
      <c r="I98" s="1604"/>
      <c r="J98" s="1605" t="str">
        <f>IFERROR(VLOOKUP(A98,Solieu!G:M,4,0),"")</f>
        <v>nt</v>
      </c>
      <c r="K98" s="1606" t="str">
        <f>IFERROR(VLOOKUP(A98,Solieu!G:M,5,0),"")</f>
        <v>nt</v>
      </c>
      <c r="L98" s="1778">
        <f>IFERROR(VLOOKUP(A98,Solieu!G:M,6,0),"")</f>
        <v>0</v>
      </c>
      <c r="M98" s="1604" t="str">
        <f>IFERROR(VLOOKUP(A98,Solieu!G:M,7,0),"")</f>
        <v/>
      </c>
      <c r="N98" s="1198" t="s">
        <v>4188</v>
      </c>
      <c r="O98" s="1356">
        <f t="shared" si="1"/>
        <v>1</v>
      </c>
      <c r="P98" s="1194"/>
      <c r="Q98" s="1354"/>
      <c r="R98" s="1358"/>
    </row>
    <row r="99" spans="1:18" s="829" customFormat="1" ht="35.1" customHeight="1">
      <c r="A99" s="1960" t="str">
        <f>VLOOKUP(ROW()-ROW($A$5),TongHopKL!A:B,2,0)</f>
        <v>pvc42</v>
      </c>
      <c r="B99" s="1600">
        <f>SUM($O$6:O99)</f>
        <v>94</v>
      </c>
      <c r="C99" s="1601" t="str">
        <f>(VLOOKUP(A99,TongHopKL!B:F,5,0))</f>
        <v>Ống PVC D42x2,1mm</v>
      </c>
      <c r="D99" s="1602" t="str">
        <f>IFERROR(VLOOKUP(A99,DG!A:D,4,0),0)</f>
        <v>m</v>
      </c>
      <c r="E99" s="1603">
        <f>SUMIF(TongHopKL!B:B,'NT-VT'!A99,ThiCong)</f>
        <v>7</v>
      </c>
      <c r="F99" s="1600" t="str">
        <f>IFERROR(VLOOKUP(A99,Solieu!G:M,2,0),"")</f>
        <v>nt</v>
      </c>
      <c r="G99" s="1600" t="str">
        <f>IFERROR(VLOOKUP(A99,Solieu!G:M,3,0),"")</f>
        <v>nt</v>
      </c>
      <c r="H99" s="1600"/>
      <c r="I99" s="1604"/>
      <c r="J99" s="1605" t="str">
        <f>IFERROR(VLOOKUP(A99,Solieu!G:M,4,0),"")</f>
        <v>nt</v>
      </c>
      <c r="K99" s="1606" t="str">
        <f>IFERROR(VLOOKUP(A99,Solieu!G:M,5,0),"")</f>
        <v>nt</v>
      </c>
      <c r="L99" s="1778">
        <f>IFERROR(VLOOKUP(A99,Solieu!G:M,6,0),"")</f>
        <v>0</v>
      </c>
      <c r="M99" s="1604" t="str">
        <f>IFERROR(VLOOKUP(A99,Solieu!G:M,7,0),"")</f>
        <v/>
      </c>
      <c r="N99" s="1198" t="s">
        <v>4188</v>
      </c>
      <c r="O99" s="1356">
        <f t="shared" si="1"/>
        <v>1</v>
      </c>
      <c r="P99" s="1194"/>
      <c r="Q99" s="1354"/>
      <c r="R99" s="1358"/>
    </row>
    <row r="100" spans="1:18" s="829" customFormat="1" ht="35.1" customHeight="1">
      <c r="A100" s="1960" t="str">
        <f>VLOOKUP(ROW()-ROW($A$5),TongHopKL!A:B,2,0)</f>
        <v>PVC60</v>
      </c>
      <c r="B100" s="1600">
        <f>SUM($O$6:O100)</f>
        <v>95</v>
      </c>
      <c r="C100" s="1601" t="str">
        <f>(VLOOKUP(A100,TongHopKL!B:F,5,0))</f>
        <v>Ống PVC D60x2,8mm</v>
      </c>
      <c r="D100" s="1602" t="str">
        <f>IFERROR(VLOOKUP(A100,DG!A:D,4,0),0)</f>
        <v>m</v>
      </c>
      <c r="E100" s="1603">
        <f>SUMIF(TongHopKL!B:B,'NT-VT'!A100,ThiCong)</f>
        <v>25</v>
      </c>
      <c r="F100" s="1600" t="str">
        <f>IFERROR(VLOOKUP(A100,Solieu!G:M,2,0),"")</f>
        <v>nt</v>
      </c>
      <c r="G100" s="1600" t="str">
        <f>IFERROR(VLOOKUP(A100,Solieu!G:M,3,0),"")</f>
        <v>nt</v>
      </c>
      <c r="H100" s="1600"/>
      <c r="I100" s="1604"/>
      <c r="J100" s="1605" t="str">
        <f>IFERROR(VLOOKUP(A100,Solieu!G:M,4,0),"")</f>
        <v>nt</v>
      </c>
      <c r="K100" s="1606" t="str">
        <f>IFERROR(VLOOKUP(A100,Solieu!G:M,5,0),"")</f>
        <v>nt</v>
      </c>
      <c r="L100" s="1778">
        <f>IFERROR(VLOOKUP(A100,Solieu!G:M,6,0),"")</f>
        <v>0</v>
      </c>
      <c r="M100" s="1604" t="str">
        <f>IFERROR(VLOOKUP(A100,Solieu!G:M,7,0),"")</f>
        <v/>
      </c>
      <c r="N100" s="1198" t="s">
        <v>4188</v>
      </c>
      <c r="O100" s="1356">
        <f t="shared" si="1"/>
        <v>1</v>
      </c>
      <c r="P100" s="1194"/>
      <c r="Q100" s="1354"/>
      <c r="R100" s="1358"/>
    </row>
    <row r="101" spans="1:18" s="829" customFormat="1" ht="35.1" customHeight="1">
      <c r="A101" s="1960" t="str">
        <f>VLOOKUP(ROW()-ROW($A$5),TongHopKL!A:B,2,0)</f>
        <v>R1</v>
      </c>
      <c r="B101" s="1600">
        <f>SUM($O$6:O101)</f>
        <v>96</v>
      </c>
      <c r="C101" s="1601" t="str">
        <f>(VLOOKUP(A101,TongHopKL!B:F,5,0))</f>
        <v>Uclevis + sứ ống chỉ</v>
      </c>
      <c r="D101" s="1602" t="str">
        <f>IFERROR(VLOOKUP(A101,DG!A:D,4,0),0)</f>
        <v>bộ</v>
      </c>
      <c r="E101" s="1603">
        <f>SUMIF(TongHopKL!B:B,'NT-VT'!A101,TongHopKL!H:H)</f>
        <v>6</v>
      </c>
      <c r="F101" s="1600" t="str">
        <f>IFERROR(VLOOKUP(A101,Solieu!G:M,2,0),"")</f>
        <v>nt</v>
      </c>
      <c r="G101" s="1600" t="str">
        <f>IFERROR(VLOOKUP(A101,Solieu!G:M,3,0),"")</f>
        <v>nt</v>
      </c>
      <c r="H101" s="1600"/>
      <c r="I101" s="1604"/>
      <c r="J101" s="1605" t="str">
        <f>IFERROR(VLOOKUP(A101,Solieu!G:M,4,0),"")</f>
        <v>nt</v>
      </c>
      <c r="K101" s="1606" t="str">
        <f>IFERROR(VLOOKUP(A101,Solieu!G:M,5,0),"")</f>
        <v>nt</v>
      </c>
      <c r="L101" s="1778">
        <f>IFERROR(VLOOKUP(A101,Solieu!G:M,6,0),"")</f>
        <v>0</v>
      </c>
      <c r="M101" s="1604" t="str">
        <f>IFERROR(VLOOKUP(A101,Solieu!G:M,7,0),"")</f>
        <v/>
      </c>
      <c r="N101" s="1198" t="s">
        <v>4188</v>
      </c>
      <c r="O101" s="1356">
        <f t="shared" si="1"/>
        <v>1</v>
      </c>
      <c r="P101" s="1194"/>
      <c r="Q101" s="1354"/>
      <c r="R101" s="1358"/>
    </row>
    <row r="102" spans="1:18" s="829" customFormat="1" ht="35.1" customHeight="1">
      <c r="A102" s="1960" t="str">
        <f>VLOOKUP(ROW()-ROW($A$5),TongHopKL!A:B,2,0)</f>
        <v>Rec</v>
      </c>
      <c r="B102" s="1600">
        <f>SUM($O$6:O102)</f>
        <v>97</v>
      </c>
      <c r="C102" s="1601" t="str">
        <f>(VLOOKUP(A102,TongHopKL!B:F,5,0))</f>
        <v>Recloser 24kV 630A - 800A (MBA cấp nguồn + Phụ kiện)</v>
      </c>
      <c r="D102" s="1602" t="str">
        <f>IFERROR(VLOOKUP(A102,DG!A:D,4,0),0)</f>
        <v>bộ</v>
      </c>
      <c r="E102" s="1603">
        <f>SUMIF(TongHopKL!B:B,'NT-VT'!A102,TongHopKL!H:H)</f>
        <v>1</v>
      </c>
      <c r="F102" s="1600" t="str">
        <f>IFERROR(VLOOKUP(A102,Solieu!G:M,2,0),"")</f>
        <v>nt</v>
      </c>
      <c r="G102" s="1600" t="str">
        <f>IFERROR(VLOOKUP(A102,Solieu!G:M,3,0),"")</f>
        <v>nt</v>
      </c>
      <c r="H102" s="1600"/>
      <c r="I102" s="1604"/>
      <c r="J102" s="1605" t="str">
        <f>IFERROR(VLOOKUP(A102,Solieu!G:M,4,0),"")</f>
        <v>nt</v>
      </c>
      <c r="K102" s="1606" t="str">
        <f>IFERROR(VLOOKUP(A102,Solieu!G:M,5,0),"")</f>
        <v>nt</v>
      </c>
      <c r="L102" s="1778">
        <f>IFERROR(VLOOKUP(A102,Solieu!G:M,6,0),"")</f>
        <v>0</v>
      </c>
      <c r="M102" s="1604" t="str">
        <f>IFERROR(VLOOKUP(A102,Solieu!G:M,7,0),"")</f>
        <v/>
      </c>
      <c r="N102" s="1198" t="s">
        <v>4188</v>
      </c>
      <c r="O102" s="1356">
        <f t="shared" si="1"/>
        <v>1</v>
      </c>
      <c r="P102" s="1194"/>
      <c r="Q102" s="1354"/>
      <c r="R102" s="1358"/>
    </row>
    <row r="103" spans="1:18" s="829" customFormat="1" ht="35.1" customHeight="1">
      <c r="A103" s="1960" t="str">
        <f>VLOOKUP(ROW()-ROW($A$5),TongHopKL!A:B,2,0)</f>
        <v>S60</v>
      </c>
      <c r="B103" s="1600">
        <f>SUM($O$6:O103)</f>
        <v>98</v>
      </c>
      <c r="C103" s="1601" t="str">
        <f>(VLOOKUP(A103,TongHopKL!B:F,5,0))</f>
        <v>Sắt dẹt 60 x 6</v>
      </c>
      <c r="D103" s="1602" t="str">
        <f>IFERROR(VLOOKUP(A103,DG!A:D,4,0),0)</f>
        <v>kg</v>
      </c>
      <c r="E103" s="1603">
        <f>SUMIF(TongHopKL!B:B,'NT-VT'!A103,TongHopKL!H:H)</f>
        <v>3</v>
      </c>
      <c r="F103" s="1600" t="str">
        <f>IFERROR(VLOOKUP(A103,Solieu!G:M,2,0),"")</f>
        <v>nt</v>
      </c>
      <c r="G103" s="1600" t="str">
        <f>IFERROR(VLOOKUP(A103,Solieu!G:M,3,0),"")</f>
        <v>nt</v>
      </c>
      <c r="H103" s="1600"/>
      <c r="I103" s="1604"/>
      <c r="J103" s="1605" t="str">
        <f>IFERROR(VLOOKUP(A103,Solieu!G:M,4,0),"")</f>
        <v>nt</v>
      </c>
      <c r="K103" s="1606" t="str">
        <f>IFERROR(VLOOKUP(A103,Solieu!G:M,5,0),"")</f>
        <v>nt</v>
      </c>
      <c r="L103" s="1778">
        <f>IFERROR(VLOOKUP(A103,Solieu!G:M,6,0),"")</f>
        <v>0</v>
      </c>
      <c r="M103" s="1604" t="str">
        <f>IFERROR(VLOOKUP(A103,Solieu!G:M,7,0),"")</f>
        <v/>
      </c>
      <c r="N103" s="1198" t="s">
        <v>4188</v>
      </c>
      <c r="O103" s="1356">
        <f t="shared" si="1"/>
        <v>1</v>
      </c>
      <c r="P103" s="1194"/>
      <c r="Q103" s="1354"/>
      <c r="R103" s="1358"/>
    </row>
    <row r="104" spans="1:18" s="829" customFormat="1" ht="35.1" customHeight="1">
      <c r="A104" s="1960" t="str">
        <f>VLOOKUP(ROW()-ROW($A$5),TongHopKL!A:B,2,0)</f>
        <v>SATV4</v>
      </c>
      <c r="B104" s="1600">
        <f>SUM($O$6:O104)</f>
        <v>99</v>
      </c>
      <c r="C104" s="1601" t="str">
        <f>(VLOOKUP(A104,TongHopKL!B:F,5,0))</f>
        <v>Thanh sắt V40x40x3-6000 - 17,7kg/thanh</v>
      </c>
      <c r="D104" s="1602" t="str">
        <f>IFERROR(VLOOKUP(A104,DG!A:D,4,0),0)</f>
        <v>kg</v>
      </c>
      <c r="E104" s="1603">
        <f>SUMIF(TongHopKL!B:B,'NT-VT'!A104,TongHopKL!H:H)</f>
        <v>47.2</v>
      </c>
      <c r="F104" s="1600" t="str">
        <f>IFERROR(VLOOKUP(A104,Solieu!G:M,2,0),"")</f>
        <v>nt</v>
      </c>
      <c r="G104" s="1600" t="str">
        <f>IFERROR(VLOOKUP(A104,Solieu!G:M,3,0),"")</f>
        <v>nt</v>
      </c>
      <c r="H104" s="1600"/>
      <c r="I104" s="1604"/>
      <c r="J104" s="1605" t="str">
        <f>IFERROR(VLOOKUP(A104,Solieu!G:M,4,0),"")</f>
        <v>nt</v>
      </c>
      <c r="K104" s="1606" t="str">
        <f>IFERROR(VLOOKUP(A104,Solieu!G:M,5,0),"")</f>
        <v>nt</v>
      </c>
      <c r="L104" s="1778">
        <f>IFERROR(VLOOKUP(A104,Solieu!G:M,6,0),"")</f>
        <v>0</v>
      </c>
      <c r="M104" s="1604" t="str">
        <f>IFERROR(VLOOKUP(A104,Solieu!G:M,7,0),"")</f>
        <v/>
      </c>
      <c r="N104" s="1198" t="s">
        <v>4188</v>
      </c>
      <c r="O104" s="1356">
        <f t="shared" si="1"/>
        <v>1</v>
      </c>
      <c r="P104" s="1194"/>
      <c r="Q104" s="1354"/>
      <c r="R104" s="1358"/>
    </row>
    <row r="105" spans="1:18" s="829" customFormat="1" ht="35.1" customHeight="1">
      <c r="A105" s="1960" t="str">
        <f>VLOOKUP(ROW()-ROW($A$5),TongHopKL!A:B,2,0)</f>
        <v>SATV5</v>
      </c>
      <c r="B105" s="1600">
        <f>SUM($O$6:O105)</f>
        <v>100</v>
      </c>
      <c r="C105" s="1601" t="str">
        <f>(VLOOKUP(A105,TongHopKL!B:F,5,0))</f>
        <v>Thanh sắt V50x50x5-4000 - 16kg/thanh</v>
      </c>
      <c r="D105" s="1602" t="str">
        <f>IFERROR(VLOOKUP(A105,DG!A:D,4,0),0)</f>
        <v>kg</v>
      </c>
      <c r="E105" s="1603">
        <f>SUMIF(TongHopKL!B:B,'NT-VT'!A105,TongHopKL!H:H)</f>
        <v>128</v>
      </c>
      <c r="F105" s="1600" t="str">
        <f>IFERROR(VLOOKUP(A105,Solieu!G:M,2,0),"")</f>
        <v>nt</v>
      </c>
      <c r="G105" s="1600" t="str">
        <f>IFERROR(VLOOKUP(A105,Solieu!G:M,3,0),"")</f>
        <v>nt</v>
      </c>
      <c r="H105" s="1600"/>
      <c r="I105" s="1604"/>
      <c r="J105" s="1605" t="str">
        <f>IFERROR(VLOOKUP(A105,Solieu!G:M,4,0),"")</f>
        <v>nt</v>
      </c>
      <c r="K105" s="1606" t="str">
        <f>IFERROR(VLOOKUP(A105,Solieu!G:M,5,0),"")</f>
        <v>nt</v>
      </c>
      <c r="L105" s="1778">
        <f>IFERROR(VLOOKUP(A105,Solieu!G:M,6,0),"")</f>
        <v>0</v>
      </c>
      <c r="M105" s="1604" t="str">
        <f>IFERROR(VLOOKUP(A105,Solieu!G:M,7,0),"")</f>
        <v/>
      </c>
      <c r="N105" s="1198" t="s">
        <v>4188</v>
      </c>
      <c r="O105" s="1356">
        <f t="shared" si="1"/>
        <v>1</v>
      </c>
      <c r="P105" s="1194"/>
      <c r="Q105" s="1354"/>
      <c r="R105" s="1358"/>
    </row>
    <row r="106" spans="1:18" s="829" customFormat="1" ht="35.1" customHeight="1">
      <c r="A106" s="1960" t="str">
        <f>VLOOKUP(ROW()-ROW($A$5),TongHopKL!A:B,2,0)</f>
        <v>SL50-1150</v>
      </c>
      <c r="B106" s="1600">
        <f>SUM($O$6:O106)</f>
        <v>101</v>
      </c>
      <c r="C106" s="1601" t="str">
        <f>(VLOOKUP(A106,TongHopKL!B:F,5,0))</f>
        <v>Sắt góc L50 x50 x5 x1150</v>
      </c>
      <c r="D106" s="1602" t="str">
        <f>IFERROR(VLOOKUP(A106,DG!A:D,4,0),0)</f>
        <v>cái</v>
      </c>
      <c r="E106" s="1603">
        <f>SUMIF(TongHopKL!B:B,'NT-VT'!A106,TongHopKL!H:H)</f>
        <v>50</v>
      </c>
      <c r="F106" s="1600" t="str">
        <f>IFERROR(VLOOKUP(A106,Solieu!G:M,2,0),"")</f>
        <v>nt</v>
      </c>
      <c r="G106" s="1600" t="str">
        <f>IFERROR(VLOOKUP(A106,Solieu!G:M,3,0),"")</f>
        <v>nt</v>
      </c>
      <c r="H106" s="1600"/>
      <c r="I106" s="1604"/>
      <c r="J106" s="1605" t="str">
        <f>IFERROR(VLOOKUP(A106,Solieu!G:M,4,0),"")</f>
        <v>nt</v>
      </c>
      <c r="K106" s="1606" t="str">
        <f>IFERROR(VLOOKUP(A106,Solieu!G:M,5,0),"")</f>
        <v>nt</v>
      </c>
      <c r="L106" s="1778">
        <f>IFERROR(VLOOKUP(A106,Solieu!G:M,6,0),"")</f>
        <v>0</v>
      </c>
      <c r="M106" s="1604" t="str">
        <f>IFERROR(VLOOKUP(A106,Solieu!G:M,7,0),"")</f>
        <v/>
      </c>
      <c r="N106" s="1198" t="s">
        <v>4188</v>
      </c>
      <c r="O106" s="1356">
        <f t="shared" si="1"/>
        <v>1</v>
      </c>
      <c r="P106" s="1194"/>
      <c r="Q106" s="1354"/>
      <c r="R106" s="1358"/>
    </row>
    <row r="107" spans="1:18" s="829" customFormat="1" ht="35.1" customHeight="1">
      <c r="A107" s="1960" t="str">
        <f>VLOOKUP(ROW()-ROW($A$5),TongHopKL!A:B,2,0)</f>
        <v>SL50-1190</v>
      </c>
      <c r="B107" s="1600">
        <f>SUM($O$6:O107)</f>
        <v>102</v>
      </c>
      <c r="C107" s="1601" t="str">
        <f>(VLOOKUP(A107,DG!A:C,3,0))</f>
        <v>Sắt góc L50 x50 x5 x1190</v>
      </c>
      <c r="D107" s="1602" t="str">
        <f>IFERROR(VLOOKUP(A107,DG!A:D,4,0),0)</f>
        <v>cái</v>
      </c>
      <c r="E107" s="1603">
        <f>SUMIF(TongHopKL!B:B,'NT-VT'!A107,TongHopKL!H:H)</f>
        <v>3</v>
      </c>
      <c r="F107" s="1600" t="str">
        <f>IFERROR(VLOOKUP(A107,Solieu!G:M,2,0),"")</f>
        <v>nt</v>
      </c>
      <c r="G107" s="1600" t="str">
        <f>IFERROR(VLOOKUP(A107,Solieu!G:M,3,0),"")</f>
        <v>nt</v>
      </c>
      <c r="H107" s="1600"/>
      <c r="I107" s="1604"/>
      <c r="J107" s="1605" t="str">
        <f>IFERROR(VLOOKUP(A107,Solieu!G:M,4,0),"")</f>
        <v>nt</v>
      </c>
      <c r="K107" s="1606" t="str">
        <f>IFERROR(VLOOKUP(A107,Solieu!G:M,5,0),"")</f>
        <v>nt</v>
      </c>
      <c r="L107" s="1778">
        <f>IFERROR(VLOOKUP(A107,Solieu!G:M,6,0),"")</f>
        <v>0</v>
      </c>
      <c r="M107" s="1604" t="str">
        <f>IFERROR(VLOOKUP(A107,Solieu!G:M,7,0),"")</f>
        <v/>
      </c>
      <c r="N107" s="1198" t="s">
        <v>4188</v>
      </c>
      <c r="O107" s="1356">
        <f t="shared" si="1"/>
        <v>1</v>
      </c>
      <c r="P107" s="1194"/>
      <c r="Q107" s="1354"/>
      <c r="R107" s="1358"/>
    </row>
    <row r="108" spans="1:18" s="829" customFormat="1" ht="35.1" customHeight="1">
      <c r="A108" s="1960" t="str">
        <f>VLOOKUP(ROW()-ROW($A$5),TongHopKL!A:B,2,0)</f>
        <v>SL50-810</v>
      </c>
      <c r="B108" s="1600">
        <f>SUM($O$6:O108)</f>
        <v>103</v>
      </c>
      <c r="C108" s="1601" t="str">
        <f>(VLOOKUP(A108,DG!A:C,3,0))</f>
        <v>Sắt góc L50 x50 x5 - 810</v>
      </c>
      <c r="D108" s="1602" t="str">
        <f>IFERROR(VLOOKUP(A108,DG!A:D,4,0),0)</f>
        <v>cái</v>
      </c>
      <c r="E108" s="1603">
        <f>SUMIF(TongHopKL!B:B,'NT-VT'!A108,TongHopKL!H:H)</f>
        <v>68</v>
      </c>
      <c r="F108" s="1600" t="str">
        <f>IFERROR(VLOOKUP(A108,Solieu!G:M,2,0),"")</f>
        <v>nt</v>
      </c>
      <c r="G108" s="1600" t="str">
        <f>IFERROR(VLOOKUP(A108,Solieu!G:M,3,0),"")</f>
        <v>nt</v>
      </c>
      <c r="H108" s="1600"/>
      <c r="I108" s="1604"/>
      <c r="J108" s="1605" t="str">
        <f>IFERROR(VLOOKUP(A108,Solieu!G:M,4,0),"")</f>
        <v>nt</v>
      </c>
      <c r="K108" s="1606" t="str">
        <f>IFERROR(VLOOKUP(A108,Solieu!G:M,5,0),"")</f>
        <v>nt</v>
      </c>
      <c r="L108" s="1778">
        <f>IFERROR(VLOOKUP(A108,Solieu!G:M,6,0),"")</f>
        <v>0</v>
      </c>
      <c r="M108" s="1604" t="str">
        <f>IFERROR(VLOOKUP(A108,Solieu!G:M,7,0),"")</f>
        <v/>
      </c>
      <c r="N108" s="1198" t="s">
        <v>4188</v>
      </c>
      <c r="O108" s="1356">
        <f t="shared" si="1"/>
        <v>1</v>
      </c>
      <c r="P108" s="1194"/>
      <c r="Q108" s="1354"/>
      <c r="R108" s="1358"/>
    </row>
    <row r="109" spans="1:18" s="829" customFormat="1" ht="35.1" customHeight="1">
      <c r="A109" s="1960" t="str">
        <f>VLOOKUP(ROW()-ROW($A$5),TongHopKL!A:B,2,0)</f>
        <v>sl50-920</v>
      </c>
      <c r="B109" s="1600">
        <f>SUM($O$6:O109)</f>
        <v>104</v>
      </c>
      <c r="C109" s="1601" t="str">
        <f>(VLOOKUP(A109,DG!A:C,3,0))</f>
        <v>Sắt góc L50 x50 x5 x920</v>
      </c>
      <c r="D109" s="1602" t="str">
        <f>IFERROR(VLOOKUP(A109,DG!A:D,4,0),0)</f>
        <v>cái</v>
      </c>
      <c r="E109" s="1603">
        <f>SUMIF(TongHopKL!B:B,'NT-VT'!A109,TongHopKL!H:H)</f>
        <v>2</v>
      </c>
      <c r="F109" s="1600" t="str">
        <f>IFERROR(VLOOKUP(A109,Solieu!G:M,2,0),"")</f>
        <v>nt</v>
      </c>
      <c r="G109" s="1600" t="str">
        <f>IFERROR(VLOOKUP(A109,Solieu!G:M,3,0),"")</f>
        <v>nt</v>
      </c>
      <c r="H109" s="1600"/>
      <c r="I109" s="1604"/>
      <c r="J109" s="1605" t="str">
        <f>IFERROR(VLOOKUP(A109,Solieu!G:M,4,0),"")</f>
        <v>nt</v>
      </c>
      <c r="K109" s="1606" t="str">
        <f>IFERROR(VLOOKUP(A109,Solieu!G:M,5,0),"")</f>
        <v>nt</v>
      </c>
      <c r="L109" s="1778">
        <f>IFERROR(VLOOKUP(A109,Solieu!G:M,6,0),"")</f>
        <v>0</v>
      </c>
      <c r="M109" s="1604" t="str">
        <f>IFERROR(VLOOKUP(A109,Solieu!G:M,7,0),"")</f>
        <v/>
      </c>
      <c r="N109" s="1198" t="s">
        <v>4188</v>
      </c>
      <c r="O109" s="1356">
        <f t="shared" si="1"/>
        <v>1</v>
      </c>
      <c r="P109" s="1194"/>
      <c r="Q109" s="1354"/>
      <c r="R109" s="1358"/>
    </row>
    <row r="110" spans="1:18" s="829" customFormat="1" ht="35.1" customHeight="1">
      <c r="A110" s="1960" t="str">
        <f>VLOOKUP(ROW()-ROW($A$5),TongHopKL!A:B,2,0)</f>
        <v>SL75-2000</v>
      </c>
      <c r="B110" s="1600">
        <f>SUM($O$6:O110)</f>
        <v>105</v>
      </c>
      <c r="C110" s="1601" t="str">
        <f>(VLOOKUP(A110,DG!A:C,3,0))</f>
        <v>Sắt góc L75 x75 x8-2.200</v>
      </c>
      <c r="D110" s="1602" t="str">
        <f>IFERROR(VLOOKUP(A110,DG!A:D,4,0),0)</f>
        <v>cái</v>
      </c>
      <c r="E110" s="1603">
        <f>SUMIF(TongHopKL!B:B,'NT-VT'!A110,TongHopKL!H:H)</f>
        <v>28</v>
      </c>
      <c r="F110" s="1600" t="str">
        <f>IFERROR(VLOOKUP(A110,Solieu!G:M,2,0),"")</f>
        <v>nt</v>
      </c>
      <c r="G110" s="1600" t="str">
        <f>IFERROR(VLOOKUP(A110,Solieu!G:M,3,0),"")</f>
        <v>nt</v>
      </c>
      <c r="H110" s="1600"/>
      <c r="I110" s="1604"/>
      <c r="J110" s="1605" t="str">
        <f>IFERROR(VLOOKUP(A110,Solieu!G:M,4,0),"")</f>
        <v>nt</v>
      </c>
      <c r="K110" s="1606" t="str">
        <f>IFERROR(VLOOKUP(A110,Solieu!G:M,5,0),"")</f>
        <v>nt</v>
      </c>
      <c r="L110" s="1778">
        <f>IFERROR(VLOOKUP(A110,Solieu!G:M,6,0),"")</f>
        <v>0</v>
      </c>
      <c r="M110" s="1604" t="str">
        <f>IFERROR(VLOOKUP(A110,Solieu!G:M,7,0),"")</f>
        <v/>
      </c>
      <c r="N110" s="1198" t="s">
        <v>4188</v>
      </c>
      <c r="O110" s="1356">
        <f t="shared" si="1"/>
        <v>1</v>
      </c>
      <c r="P110" s="1194"/>
      <c r="Q110" s="1354"/>
      <c r="R110" s="1358"/>
    </row>
    <row r="111" spans="1:18" s="829" customFormat="1" ht="35.1" customHeight="1">
      <c r="A111" s="1960" t="str">
        <f>VLOOKUP(ROW()-ROW($A$5),TongHopKL!A:B,2,0)</f>
        <v>SL75-2100</v>
      </c>
      <c r="B111" s="1600">
        <f>SUM($O$6:O111)</f>
        <v>106</v>
      </c>
      <c r="C111" s="1601" t="str">
        <f>(VLOOKUP(A111,DG!A:C,3,0))</f>
        <v>Sắt góc L75 x75 x8-2100</v>
      </c>
      <c r="D111" s="1602" t="str">
        <f>IFERROR(VLOOKUP(A111,DG!A:D,4,0),0)</f>
        <v>cái</v>
      </c>
      <c r="E111" s="1603">
        <f>SUMIF(TongHopKL!B:B,'NT-VT'!A111,TongHopKL!H:H)</f>
        <v>3</v>
      </c>
      <c r="F111" s="1600" t="str">
        <f>IFERROR(VLOOKUP(A111,Solieu!G:M,2,0),"")</f>
        <v>nt</v>
      </c>
      <c r="G111" s="1600" t="str">
        <f>IFERROR(VLOOKUP(A111,Solieu!G:M,3,0),"")</f>
        <v>nt</v>
      </c>
      <c r="H111" s="1600"/>
      <c r="I111" s="1604"/>
      <c r="J111" s="1605" t="str">
        <f>IFERROR(VLOOKUP(A111,Solieu!G:M,4,0),"")</f>
        <v>nt</v>
      </c>
      <c r="K111" s="1606" t="str">
        <f>IFERROR(VLOOKUP(A111,Solieu!G:M,5,0),"")</f>
        <v>nt</v>
      </c>
      <c r="L111" s="1778">
        <f>IFERROR(VLOOKUP(A111,Solieu!G:M,6,0),"")</f>
        <v>0</v>
      </c>
      <c r="M111" s="1604" t="str">
        <f>IFERROR(VLOOKUP(A111,Solieu!G:M,7,0),"")</f>
        <v/>
      </c>
      <c r="N111" s="1198" t="s">
        <v>4188</v>
      </c>
      <c r="O111" s="1356">
        <f t="shared" si="1"/>
        <v>1</v>
      </c>
      <c r="P111" s="1194"/>
      <c r="Q111" s="1354"/>
      <c r="R111" s="1358"/>
    </row>
    <row r="112" spans="1:18" s="829" customFormat="1" ht="35.1" customHeight="1">
      <c r="A112" s="1960" t="str">
        <f>VLOOKUP(ROW()-ROW($A$5),TongHopKL!A:B,2,0)</f>
        <v>SL75-2200</v>
      </c>
      <c r="B112" s="1600">
        <f>SUM($O$6:O112)</f>
        <v>107</v>
      </c>
      <c r="C112" s="1601" t="str">
        <f>(VLOOKUP(A112,DG!A:C,3,0))</f>
        <v>Sắt góc L75 x75 x8 x2200</v>
      </c>
      <c r="D112" s="1602" t="str">
        <f>IFERROR(VLOOKUP(A112,DG!A:D,4,0),0)</f>
        <v>cái</v>
      </c>
      <c r="E112" s="1603">
        <f>SUMIF(TongHopKL!B:B,'NT-VT'!A112,TongHopKL!H:H)</f>
        <v>34</v>
      </c>
      <c r="F112" s="1600" t="str">
        <f>IFERROR(VLOOKUP(A112,Solieu!G:M,2,0),"")</f>
        <v>nt</v>
      </c>
      <c r="G112" s="1600" t="str">
        <f>IFERROR(VLOOKUP(A112,Solieu!G:M,3,0),"")</f>
        <v>nt</v>
      </c>
      <c r="H112" s="1600"/>
      <c r="I112" s="1604"/>
      <c r="J112" s="1605" t="str">
        <f>IFERROR(VLOOKUP(A112,Solieu!G:M,4,0),"")</f>
        <v>nt</v>
      </c>
      <c r="K112" s="1606" t="str">
        <f>IFERROR(VLOOKUP(A112,Solieu!G:M,5,0),"")</f>
        <v>nt</v>
      </c>
      <c r="L112" s="1778">
        <f>IFERROR(VLOOKUP(A112,Solieu!G:M,6,0),"")</f>
        <v>0</v>
      </c>
      <c r="M112" s="1604" t="str">
        <f>IFERROR(VLOOKUP(A112,Solieu!G:M,7,0),"")</f>
        <v/>
      </c>
      <c r="N112" s="1198" t="s">
        <v>4188</v>
      </c>
      <c r="O112" s="1356">
        <f t="shared" si="1"/>
        <v>1</v>
      </c>
      <c r="P112" s="1194"/>
      <c r="Q112" s="1354"/>
      <c r="R112" s="1358"/>
    </row>
    <row r="113" spans="1:18" s="829" customFormat="1" ht="35.1" customHeight="1">
      <c r="A113" s="1960" t="str">
        <f>VLOOKUP(ROW()-ROW($A$5),TongHopKL!A:B,2,0)</f>
        <v>sl75-2400</v>
      </c>
      <c r="B113" s="1600">
        <f>SUM($O$6:O113)</f>
        <v>108</v>
      </c>
      <c r="C113" s="1601" t="str">
        <f>(VLOOKUP(A113,DG!A:C,3,0))</f>
        <v>Sắt góc L75 x75 x8 x2400</v>
      </c>
      <c r="D113" s="1602" t="str">
        <f>IFERROR(VLOOKUP(A113,DG!A:D,4,0),0)</f>
        <v>cái</v>
      </c>
      <c r="E113" s="1603">
        <f>SUMIF(TongHopKL!B:B,'NT-VT'!A113,TongHopKL!H:H)</f>
        <v>2</v>
      </c>
      <c r="F113" s="1600" t="str">
        <f>IFERROR(VLOOKUP(A113,Solieu!G:M,2,0),"")</f>
        <v>nt</v>
      </c>
      <c r="G113" s="1600" t="str">
        <f>IFERROR(VLOOKUP(A113,Solieu!G:M,3,0),"")</f>
        <v>nt</v>
      </c>
      <c r="H113" s="1600"/>
      <c r="I113" s="1604"/>
      <c r="J113" s="1605" t="str">
        <f>IFERROR(VLOOKUP(A113,Solieu!G:M,4,0),"")</f>
        <v>nt</v>
      </c>
      <c r="K113" s="1606" t="str">
        <f>IFERROR(VLOOKUP(A113,Solieu!G:M,5,0),"")</f>
        <v>nt</v>
      </c>
      <c r="L113" s="1778">
        <f>IFERROR(VLOOKUP(A113,Solieu!G:M,6,0),"")</f>
        <v>0</v>
      </c>
      <c r="M113" s="1604" t="str">
        <f>IFERROR(VLOOKUP(A113,Solieu!G:M,7,0),"")</f>
        <v/>
      </c>
      <c r="N113" s="1198" t="s">
        <v>4188</v>
      </c>
      <c r="O113" s="1356">
        <f t="shared" si="1"/>
        <v>1</v>
      </c>
      <c r="P113" s="1194"/>
      <c r="Q113" s="1354"/>
      <c r="R113" s="1358"/>
    </row>
    <row r="114" spans="1:18" s="829" customFormat="1" ht="35.1" customHeight="1">
      <c r="A114" s="1960" t="str">
        <f>VLOOKUP(ROW()-ROW($A$5),TongHopKL!A:B,2,0)</f>
        <v>SO10</v>
      </c>
      <c r="B114" s="1600">
        <f>SUM($O$6:O114)</f>
        <v>109</v>
      </c>
      <c r="C114" s="1601" t="str">
        <f>(VLOOKUP(A114,DG!A:C,3,0))</f>
        <v>Sắt Ø10</v>
      </c>
      <c r="D114" s="1602" t="str">
        <f>IFERROR(VLOOKUP(A114,DG!A:D,4,0),0)</f>
        <v>kg</v>
      </c>
      <c r="E114" s="1603">
        <f>SUMIF(TongHopKL!B:B,'NT-VT'!A114,TongHopKL!H:H)</f>
        <v>1.1399999999999999</v>
      </c>
      <c r="F114" s="1600" t="str">
        <f>IFERROR(VLOOKUP(A114,Solieu!G:M,2,0),"")</f>
        <v>nt</v>
      </c>
      <c r="G114" s="1600" t="str">
        <f>IFERROR(VLOOKUP(A114,Solieu!G:M,3,0),"")</f>
        <v>nt</v>
      </c>
      <c r="H114" s="1600"/>
      <c r="I114" s="1604"/>
      <c r="J114" s="1605" t="str">
        <f>IFERROR(VLOOKUP(A114,Solieu!G:M,4,0),"")</f>
        <v>nt</v>
      </c>
      <c r="K114" s="1606" t="str">
        <f>IFERROR(VLOOKUP(A114,Solieu!G:M,5,0),"")</f>
        <v>nt</v>
      </c>
      <c r="L114" s="1778">
        <f>IFERROR(VLOOKUP(A114,Solieu!G:M,6,0),"")</f>
        <v>0</v>
      </c>
      <c r="M114" s="1604" t="str">
        <f>IFERROR(VLOOKUP(A114,Solieu!G:M,7,0),"")</f>
        <v/>
      </c>
      <c r="N114" s="1198" t="s">
        <v>4188</v>
      </c>
      <c r="O114" s="1356">
        <f t="shared" si="1"/>
        <v>1</v>
      </c>
      <c r="P114" s="1194"/>
      <c r="Q114" s="1354"/>
      <c r="R114" s="1358"/>
    </row>
    <row r="115" spans="1:18" s="829" customFormat="1" ht="35.1" customHeight="1">
      <c r="A115" s="1960" t="str">
        <f>VLOOKUP(ROW()-ROW($A$5),TongHopKL!A:B,2,0)</f>
        <v>so8</v>
      </c>
      <c r="B115" s="1600">
        <f>SUM($O$6:O115)</f>
        <v>110</v>
      </c>
      <c r="C115" s="1601" t="str">
        <f>(VLOOKUP(A115,DG!A:C,3,0))</f>
        <v>Sắt Ø8</v>
      </c>
      <c r="D115" s="1602" t="str">
        <f>IFERROR(VLOOKUP(A115,DG!A:D,4,0),0)</f>
        <v>kg</v>
      </c>
      <c r="E115" s="1603">
        <f>SUMIF(TongHopKL!B:B,'NT-VT'!A115,TongHopKL!H:H)</f>
        <v>16</v>
      </c>
      <c r="F115" s="1600" t="str">
        <f>IFERROR(VLOOKUP(A115,Solieu!G:M,2,0),"")</f>
        <v>nt</v>
      </c>
      <c r="G115" s="1600" t="str">
        <f>IFERROR(VLOOKUP(A115,Solieu!G:M,3,0),"")</f>
        <v>nt</v>
      </c>
      <c r="H115" s="1600"/>
      <c r="I115" s="1604"/>
      <c r="J115" s="1605" t="str">
        <f>IFERROR(VLOOKUP(A115,Solieu!G:M,4,0),"")</f>
        <v>nt</v>
      </c>
      <c r="K115" s="1606" t="str">
        <f>IFERROR(VLOOKUP(A115,Solieu!G:M,5,0),"")</f>
        <v>nt</v>
      </c>
      <c r="L115" s="1778">
        <f>IFERROR(VLOOKUP(A115,Solieu!G:M,6,0),"")</f>
        <v>0</v>
      </c>
      <c r="M115" s="1604" t="str">
        <f>IFERROR(VLOOKUP(A115,Solieu!G:M,7,0),"")</f>
        <v/>
      </c>
      <c r="N115" s="1198" t="s">
        <v>4188</v>
      </c>
      <c r="O115" s="1356">
        <f t="shared" si="1"/>
        <v>1</v>
      </c>
      <c r="P115" s="1194"/>
      <c r="Q115" s="1354"/>
      <c r="R115" s="1358"/>
    </row>
    <row r="116" spans="1:18" s="829" customFormat="1" ht="35.1" customHeight="1">
      <c r="A116" s="1960" t="str">
        <f>VLOOKUP(ROW()-ROW($A$5),TongHopKL!A:B,2,0)</f>
        <v>ssf-95</v>
      </c>
      <c r="B116" s="1600">
        <f>SUM($O$6:O116)</f>
        <v>111</v>
      </c>
      <c r="C116" s="1601" t="str">
        <f>(VLOOKUP(A116,DG!A:C,3,0))</f>
        <v>Dây buộc cổ sứ cỡ dây 95mm2</v>
      </c>
      <c r="D116" s="1602" t="str">
        <f>IFERROR(VLOOKUP(A116,DG!A:D,4,0),0)</f>
        <v>cái</v>
      </c>
      <c r="E116" s="1603">
        <f>SUMIF(TongHopKL!B:B,'NT-VT'!A116,TongHopKL!H:H)</f>
        <v>60</v>
      </c>
      <c r="F116" s="1600" t="str">
        <f>IFERROR(VLOOKUP(A116,Solieu!G:M,2,0),"")</f>
        <v>nt</v>
      </c>
      <c r="G116" s="1600" t="str">
        <f>IFERROR(VLOOKUP(A116,Solieu!G:M,3,0),"")</f>
        <v>nt</v>
      </c>
      <c r="H116" s="1600"/>
      <c r="I116" s="1604"/>
      <c r="J116" s="1605" t="str">
        <f>IFERROR(VLOOKUP(A116,Solieu!G:M,4,0),"")</f>
        <v>nt</v>
      </c>
      <c r="K116" s="1606" t="str">
        <f>IFERROR(VLOOKUP(A116,Solieu!G:M,5,0),"")</f>
        <v>nt</v>
      </c>
      <c r="L116" s="1778">
        <f>IFERROR(VLOOKUP(A116,Solieu!G:M,6,0),"")</f>
        <v>0</v>
      </c>
      <c r="M116" s="1604" t="str">
        <f>IFERROR(VLOOKUP(A116,Solieu!G:M,7,0),"")</f>
        <v/>
      </c>
      <c r="N116" s="1198" t="s">
        <v>4188</v>
      </c>
      <c r="O116" s="1356">
        <f t="shared" si="1"/>
        <v>1</v>
      </c>
      <c r="P116" s="1194"/>
      <c r="Q116" s="1354"/>
      <c r="R116" s="1358"/>
    </row>
    <row r="117" spans="1:18" s="829" customFormat="1" ht="35.1" customHeight="1">
      <c r="A117" s="1960" t="str">
        <f>VLOOKUP(ROW()-ROW($A$5),TongHopKL!A:B,2,0)</f>
        <v>stk76</v>
      </c>
      <c r="B117" s="1600">
        <f>SUM($O$6:O117)</f>
        <v>112</v>
      </c>
      <c r="C117" s="1601" t="str">
        <f>(VLOOKUP(A117,DG!A:C,3,0))</f>
        <v>Ông sắt tráng kẽm D76</v>
      </c>
      <c r="D117" s="1602" t="str">
        <f>IFERROR(VLOOKUP(A117,DG!A:D,4,0),0)</f>
        <v>mét</v>
      </c>
      <c r="E117" s="1603">
        <f>SUMIF(TongHopKL!B:B,'NT-VT'!A117,TongHopKL!H:H)</f>
        <v>18</v>
      </c>
      <c r="F117" s="1600" t="str">
        <f>IFERROR(VLOOKUP(A117,Solieu!G:M,2,0),"")</f>
        <v>nt</v>
      </c>
      <c r="G117" s="1600" t="str">
        <f>IFERROR(VLOOKUP(A117,Solieu!G:M,3,0),"")</f>
        <v>nt</v>
      </c>
      <c r="H117" s="1600"/>
      <c r="I117" s="1604"/>
      <c r="J117" s="1605" t="str">
        <f>IFERROR(VLOOKUP(A117,Solieu!G:M,4,0),"")</f>
        <v>nt</v>
      </c>
      <c r="K117" s="1606" t="str">
        <f>IFERROR(VLOOKUP(A117,Solieu!G:M,5,0),"")</f>
        <v>nt</v>
      </c>
      <c r="L117" s="1778">
        <f>IFERROR(VLOOKUP(A117,Solieu!G:M,6,0),"")</f>
        <v>0</v>
      </c>
      <c r="M117" s="1604" t="str">
        <f>IFERROR(VLOOKUP(A117,Solieu!G:M,7,0),"")</f>
        <v/>
      </c>
      <c r="N117" s="1198" t="s">
        <v>4188</v>
      </c>
      <c r="O117" s="1356">
        <f t="shared" si="1"/>
        <v>1</v>
      </c>
      <c r="P117" s="1194"/>
      <c r="Q117" s="1354"/>
      <c r="R117" s="1358"/>
    </row>
    <row r="118" spans="1:18" s="829" customFormat="1" ht="35.1" customHeight="1">
      <c r="A118" s="1960" t="str">
        <f>VLOOKUP(ROW()-ROW($A$5),TongHopKL!A:B,2,0)</f>
        <v>ttf-95</v>
      </c>
      <c r="B118" s="1600">
        <f>SUM($O$6:O118)</f>
        <v>113</v>
      </c>
      <c r="C118" s="1601" t="str">
        <f>(VLOOKUP(A118,DG!A:C,3,0))</f>
        <v>Dây buộc đầu sứ cỡ dây 95mm2</v>
      </c>
      <c r="D118" s="1602" t="str">
        <f>IFERROR(VLOOKUP(A118,DG!A:D,4,0),0)</f>
        <v>cái</v>
      </c>
      <c r="E118" s="1603">
        <f>SUMIF(TongHopKL!B:B,'NT-VT'!A118,TongHopKL!H:H)</f>
        <v>86</v>
      </c>
      <c r="F118" s="1600" t="str">
        <f>IFERROR(VLOOKUP(A118,Solieu!G:M,2,0),"")</f>
        <v>nt</v>
      </c>
      <c r="G118" s="1600" t="str">
        <f>IFERROR(VLOOKUP(A118,Solieu!G:M,3,0),"")</f>
        <v>nt</v>
      </c>
      <c r="H118" s="1600"/>
      <c r="I118" s="1604"/>
      <c r="J118" s="1605" t="str">
        <f>IFERROR(VLOOKUP(A118,Solieu!G:M,4,0),"")</f>
        <v>nt</v>
      </c>
      <c r="K118" s="1606" t="str">
        <f>IFERROR(VLOOKUP(A118,Solieu!G:M,5,0),"")</f>
        <v>nt</v>
      </c>
      <c r="L118" s="1778">
        <f>IFERROR(VLOOKUP(A118,Solieu!G:M,6,0),"")</f>
        <v>0</v>
      </c>
      <c r="M118" s="1604" t="str">
        <f>IFERROR(VLOOKUP(A118,Solieu!G:M,7,0),"")</f>
        <v/>
      </c>
      <c r="N118" s="1198" t="s">
        <v>4188</v>
      </c>
      <c r="O118" s="1356">
        <f t="shared" si="1"/>
        <v>1</v>
      </c>
      <c r="P118" s="1194"/>
      <c r="Q118" s="1354"/>
      <c r="R118" s="1358"/>
    </row>
    <row r="119" spans="1:18" s="829" customFormat="1" ht="35.1" customHeight="1">
      <c r="A119" s="1960" t="str">
        <f>VLOOKUP(ROW()-ROW($A$5),TongHopKL!A:B,2,0)</f>
        <v>TUACB1600</v>
      </c>
      <c r="B119" s="1600">
        <f>SUM($O$6:O119)</f>
        <v>114</v>
      </c>
      <c r="C119" s="1601" t="str">
        <f>(VLOOKUP(A119,DG!A:C,3,0))</f>
        <v>Tủ ACB + thanh cái 1600A</v>
      </c>
      <c r="D119" s="1602" t="str">
        <f>IFERROR(VLOOKUP(A119,DG!A:D,4,0),0)</f>
        <v>cái</v>
      </c>
      <c r="E119" s="1603">
        <f>SUMIF(TongHopKL!B:B,'NT-VT'!A119,TongHopKL!H:H)</f>
        <v>1</v>
      </c>
      <c r="F119" s="1600" t="str">
        <f>IFERROR(VLOOKUP(A119,Solieu!G:M,2,0),"")</f>
        <v>nt</v>
      </c>
      <c r="G119" s="1600" t="str">
        <f>IFERROR(VLOOKUP(A119,Solieu!G:M,3,0),"")</f>
        <v>nt</v>
      </c>
      <c r="H119" s="1600"/>
      <c r="I119" s="1604"/>
      <c r="J119" s="1605" t="str">
        <f>IFERROR(VLOOKUP(A119,Solieu!G:M,4,0),"")</f>
        <v>nt</v>
      </c>
      <c r="K119" s="1606" t="str">
        <f>IFERROR(VLOOKUP(A119,Solieu!G:M,5,0),"")</f>
        <v>nt</v>
      </c>
      <c r="L119" s="1778">
        <f>IFERROR(VLOOKUP(A119,Solieu!G:M,6,0),"")</f>
        <v>0</v>
      </c>
      <c r="M119" s="1604" t="str">
        <f>IFERROR(VLOOKUP(A119,Solieu!G:M,7,0),"")</f>
        <v/>
      </c>
      <c r="N119" s="1198" t="s">
        <v>4188</v>
      </c>
      <c r="O119" s="1356">
        <f t="shared" si="1"/>
        <v>1</v>
      </c>
      <c r="P119" s="1194"/>
      <c r="Q119" s="1354"/>
      <c r="R119" s="1358"/>
    </row>
    <row r="120" spans="1:18" s="829" customFormat="1" ht="35.1" customHeight="1">
      <c r="A120" s="1960" t="str">
        <f>VLOOKUP(ROW()-ROW($A$5),TongHopKL!A:B,2,0)</f>
        <v>TUDKDT</v>
      </c>
      <c r="B120" s="1600">
        <f>SUM($O$6:O120)</f>
        <v>115</v>
      </c>
      <c r="C120" s="1601" t="str">
        <f>(VLOOKUP(A120,DG!A:C,3,0))</f>
        <v>Thùng điện kế 450x300x200mm đo đếm trung thế</v>
      </c>
      <c r="D120" s="1602" t="str">
        <f>IFERROR(VLOOKUP(A120,DG!A:D,4,0),0)</f>
        <v>cái</v>
      </c>
      <c r="E120" s="1603">
        <f>SUMIF(TongHopKL!B:B,'NT-VT'!A120,TongHopKL!H:H)</f>
        <v>1</v>
      </c>
      <c r="F120" s="1600" t="str">
        <f>IFERROR(VLOOKUP(A120,Solieu!G:M,2,0),"")</f>
        <v>nt</v>
      </c>
      <c r="G120" s="1600" t="str">
        <f>IFERROR(VLOOKUP(A120,Solieu!G:M,3,0),"")</f>
        <v>nt</v>
      </c>
      <c r="H120" s="1600"/>
      <c r="I120" s="1604"/>
      <c r="J120" s="1605" t="str">
        <f>IFERROR(VLOOKUP(A120,Solieu!G:M,4,0),"")</f>
        <v>nt</v>
      </c>
      <c r="K120" s="1606" t="str">
        <f>IFERROR(VLOOKUP(A120,Solieu!G:M,5,0),"")</f>
        <v>nt</v>
      </c>
      <c r="L120" s="1778">
        <f>IFERROR(VLOOKUP(A120,Solieu!G:M,6,0),"")</f>
        <v>0</v>
      </c>
      <c r="M120" s="1604" t="str">
        <f>IFERROR(VLOOKUP(A120,Solieu!G:M,7,0),"")</f>
        <v/>
      </c>
      <c r="N120" s="1198" t="s">
        <v>4188</v>
      </c>
      <c r="O120" s="1356">
        <f t="shared" si="1"/>
        <v>1</v>
      </c>
      <c r="P120" s="1194"/>
      <c r="Q120" s="1354"/>
      <c r="R120" s="1358"/>
    </row>
    <row r="121" spans="1:18" s="829" customFormat="1" ht="35.1" customHeight="1">
      <c r="A121" s="1960" t="str">
        <f>VLOOKUP(ROW()-ROW($A$5),TongHopKL!A:B,2,0)</f>
        <v>xAtuti</v>
      </c>
      <c r="B121" s="1600">
        <f>SUM($O$6:O121)</f>
        <v>116</v>
      </c>
      <c r="C121" s="1601" t="str">
        <f>(VLOOKUP(A121,DG!A:C,3,0))</f>
        <v>Xà kẹp TU, TI U50x32x4 350</v>
      </c>
      <c r="D121" s="1602" t="str">
        <f>IFERROR(VLOOKUP(A121,DG!A:D,4,0),0)</f>
        <v>Bộ</v>
      </c>
      <c r="E121" s="1603">
        <f>SUMIF(TongHopKL!B:B,'NT-VT'!A121,TongHopKL!H:H)</f>
        <v>24</v>
      </c>
      <c r="F121" s="1600" t="str">
        <f>IFERROR(VLOOKUP(A121,Solieu!G:M,2,0),"")</f>
        <v>nt</v>
      </c>
      <c r="G121" s="1600" t="str">
        <f>IFERROR(VLOOKUP(A121,Solieu!G:M,3,0),"")</f>
        <v>nt</v>
      </c>
      <c r="H121" s="1600"/>
      <c r="I121" s="1604"/>
      <c r="J121" s="1605" t="str">
        <f>IFERROR(VLOOKUP(A121,Solieu!G:M,4,0),"")</f>
        <v>nt</v>
      </c>
      <c r="K121" s="1606" t="str">
        <f>IFERROR(VLOOKUP(A121,Solieu!G:M,5,0),"")</f>
        <v>nt</v>
      </c>
      <c r="L121" s="1778">
        <f>IFERROR(VLOOKUP(A121,Solieu!G:M,6,0),"")</f>
        <v>0</v>
      </c>
      <c r="M121" s="1604" t="str">
        <f>IFERROR(VLOOKUP(A121,Solieu!G:M,7,0),"")</f>
        <v/>
      </c>
      <c r="N121" s="1198" t="s">
        <v>4188</v>
      </c>
      <c r="O121" s="1356">
        <f t="shared" si="1"/>
        <v>1</v>
      </c>
      <c r="P121" s="1194"/>
      <c r="Q121" s="1354"/>
      <c r="R121" s="1358"/>
    </row>
    <row r="122" spans="1:18" s="829" customFormat="1" ht="35.1" customHeight="1">
      <c r="A122" s="1960" t="str">
        <f>VLOOKUP(ROW()-ROW($A$5),TongHopKL!A:B,2,0)</f>
        <v>XM</v>
      </c>
      <c r="B122" s="1600">
        <f>SUM($O$6:O122)</f>
        <v>117</v>
      </c>
      <c r="C122" s="1601" t="str">
        <f>(VLOOKUP(A122,DG!A:C,3,0))</f>
        <v>Ximăng (PC40)</v>
      </c>
      <c r="D122" s="1602" t="str">
        <f>IFERROR(VLOOKUP(A122,DG!A:D,4,0),0)</f>
        <v>kg</v>
      </c>
      <c r="E122" s="1603">
        <f>SUMIF(TongHopKL!B:B,'NT-VT'!A122,TongHopKL!H:H)</f>
        <v>3183.6499999999996</v>
      </c>
      <c r="F122" s="1600" t="str">
        <f>IFERROR(VLOOKUP(A122,Solieu!G:M,2,0),"")</f>
        <v>Địa phương</v>
      </c>
      <c r="G122" s="1600" t="str">
        <f>IFERROR(VLOOKUP(A122,Solieu!G:M,3,0),"")</f>
        <v>Địa phương</v>
      </c>
      <c r="H122" s="1600"/>
      <c r="I122" s="1604"/>
      <c r="J122" s="1605" t="str">
        <f>IFERROR(VLOOKUP(A122,Solieu!G:M,4,0),"")</f>
        <v xml:space="preserve"> </v>
      </c>
      <c r="K122" s="1606" t="str">
        <f>IFERROR(VLOOKUP(A122,Solieu!G:M,5,0),"")</f>
        <v xml:space="preserve"> </v>
      </c>
      <c r="L122" s="1778">
        <f>IFERROR(VLOOKUP(A122,Solieu!G:M,6,0),"")</f>
        <v>0</v>
      </c>
      <c r="M122" s="1604" t="str">
        <f>IFERROR(VLOOKUP(A122,Solieu!G:M,7,0),"")</f>
        <v xml:space="preserve"> </v>
      </c>
      <c r="N122" s="1198" t="s">
        <v>4188</v>
      </c>
      <c r="O122" s="1356">
        <f t="shared" si="1"/>
        <v>1</v>
      </c>
      <c r="P122" s="1194"/>
      <c r="Q122" s="1354"/>
      <c r="R122" s="1358"/>
    </row>
    <row r="123" spans="1:18" s="829" customFormat="1" ht="35.1" customHeight="1">
      <c r="A123" s="1960" t="str">
        <f>VLOOKUP(ROW()-ROW($A$5),TongHopKL!A:B,2,0)</f>
        <v>Cat</v>
      </c>
      <c r="B123" s="1600">
        <f>SUM($O$6:O123)</f>
        <v>118</v>
      </c>
      <c r="C123" s="1601" t="str">
        <f>(VLOOKUP(A123,DG!A:C,3,0))</f>
        <v>Cát vàng</v>
      </c>
      <c r="D123" s="1602" t="str">
        <f>IFERROR(VLOOKUP(A123,DG!A:D,4,0),0)</f>
        <v>m3</v>
      </c>
      <c r="E123" s="1603">
        <f>SUMIF(TongHopKL!B:B,'NT-VT'!A123,TongHopKL!H:H)</f>
        <v>7.468</v>
      </c>
      <c r="F123" s="1600" t="str">
        <f>IFERROR(VLOOKUP(A123,Solieu!G:M,2,0),"")</f>
        <v>nt</v>
      </c>
      <c r="G123" s="1600" t="str">
        <f>IFERROR(VLOOKUP(A123,Solieu!G:M,3,0),"")</f>
        <v>nt</v>
      </c>
      <c r="H123" s="1600"/>
      <c r="I123" s="1604"/>
      <c r="J123" s="1605" t="str">
        <f>IFERROR(VLOOKUP(A123,Solieu!G:M,4,0),"")</f>
        <v xml:space="preserve"> </v>
      </c>
      <c r="K123" s="1606" t="str">
        <f>IFERROR(VLOOKUP(A123,Solieu!G:M,5,0),"")</f>
        <v xml:space="preserve"> </v>
      </c>
      <c r="L123" s="1778">
        <f>IFERROR(VLOOKUP(A123,Solieu!G:M,6,0),"")</f>
        <v>0</v>
      </c>
      <c r="M123" s="1604" t="str">
        <f>IFERROR(VLOOKUP(A123,Solieu!G:M,7,0),"")</f>
        <v xml:space="preserve"> </v>
      </c>
      <c r="N123" s="1198" t="s">
        <v>4188</v>
      </c>
      <c r="O123" s="1356">
        <f t="shared" si="1"/>
        <v>1</v>
      </c>
      <c r="P123" s="1194"/>
      <c r="Q123" s="1354"/>
      <c r="R123" s="1358"/>
    </row>
    <row r="124" spans="1:18" s="829" customFormat="1" ht="35.1" customHeight="1">
      <c r="A124" s="1960" t="str">
        <f>VLOOKUP(ROW()-ROW($A$5),TongHopKL!A:B,2,0)</f>
        <v>D1X2</v>
      </c>
      <c r="B124" s="1600">
        <f>SUM($O$6:O124)</f>
        <v>119</v>
      </c>
      <c r="C124" s="1601" t="str">
        <f>(VLOOKUP(A124,DG!A:C,3,0))</f>
        <v>Đá 1x2</v>
      </c>
      <c r="D124" s="1602" t="str">
        <f>IFERROR(VLOOKUP(A124,DG!A:D,4,0),0)</f>
        <v>m3</v>
      </c>
      <c r="E124" s="1603">
        <f>SUMIF(TongHopKL!B:B,'NT-VT'!A124,TongHopKL!H:H)</f>
        <v>12.314</v>
      </c>
      <c r="F124" s="1600" t="str">
        <f>IFERROR(VLOOKUP(A124,Solieu!G:M,2,0),"")</f>
        <v>nt</v>
      </c>
      <c r="G124" s="1600" t="str">
        <f>IFERROR(VLOOKUP(A124,Solieu!G:M,3,0),"")</f>
        <v>nt</v>
      </c>
      <c r="H124" s="1600"/>
      <c r="I124" s="1604"/>
      <c r="J124" s="1605" t="str">
        <f>IFERROR(VLOOKUP(A124,Solieu!G:M,4,0),"")</f>
        <v xml:space="preserve"> </v>
      </c>
      <c r="K124" s="1606" t="str">
        <f>IFERROR(VLOOKUP(A124,Solieu!G:M,5,0),"")</f>
        <v xml:space="preserve"> </v>
      </c>
      <c r="L124" s="1778">
        <f>IFERROR(VLOOKUP(A124,Solieu!G:M,6,0),"")</f>
        <v>0</v>
      </c>
      <c r="M124" s="1604" t="str">
        <f>IFERROR(VLOOKUP(A124,Solieu!G:M,7,0),"")</f>
        <v xml:space="preserve"> </v>
      </c>
      <c r="N124" s="1198" t="s">
        <v>4188</v>
      </c>
      <c r="O124" s="1356">
        <f t="shared" si="1"/>
        <v>1</v>
      </c>
      <c r="P124" s="1194"/>
      <c r="Q124" s="1354"/>
      <c r="R124" s="1358"/>
    </row>
    <row r="125" spans="1:18" s="829" customFormat="1" ht="35.1" customHeight="1">
      <c r="A125" s="1960" t="str">
        <f>VLOOKUP(ROW()-ROW($A$5),TongHopKL!A:B,2,0)</f>
        <v>ttf-50</v>
      </c>
      <c r="B125" s="1600">
        <f>SUM($O$6:O125)</f>
        <v>120</v>
      </c>
      <c r="C125" s="1601" t="str">
        <f>(VLOOKUP(A125,DG!A:C,3,0))</f>
        <v>Dây buộc đầu sứ cỡ dây 50mm2</v>
      </c>
      <c r="D125" s="1602" t="str">
        <f>IFERROR(VLOOKUP(A125,DG!A:D,4,0),0)</f>
        <v>cái</v>
      </c>
      <c r="E125" s="1603">
        <f>SUMIF(TongHopKL!B:B,'NT-VT'!A125,TongHopKL!H:H)</f>
        <v>6</v>
      </c>
      <c r="F125" s="1600" t="str">
        <f>IFERROR(VLOOKUP(A125,Solieu!G:M,2,0),"")</f>
        <v>nt</v>
      </c>
      <c r="G125" s="1600" t="str">
        <f>IFERROR(VLOOKUP(A125,Solieu!G:M,3,0),"")</f>
        <v>nt</v>
      </c>
      <c r="H125" s="1600"/>
      <c r="I125" s="1604"/>
      <c r="J125" s="1605" t="str">
        <f>IFERROR(VLOOKUP(A125,Solieu!G:M,4,0),"")</f>
        <v>nt</v>
      </c>
      <c r="K125" s="1606" t="str">
        <f>IFERROR(VLOOKUP(A125,Solieu!G:M,5,0),"")</f>
        <v>nt</v>
      </c>
      <c r="L125" s="1778">
        <f>IFERROR(VLOOKUP(A125,Solieu!G:M,6,0),"")</f>
        <v>0</v>
      </c>
      <c r="M125" s="1604" t="str">
        <f>IFERROR(VLOOKUP(A125,Solieu!G:M,7,0),"")</f>
        <v/>
      </c>
      <c r="N125" s="1198" t="s">
        <v>4188</v>
      </c>
      <c r="O125" s="1356">
        <f t="shared" si="1"/>
        <v>1</v>
      </c>
      <c r="P125" s="1194"/>
      <c r="Q125" s="1354"/>
      <c r="R125" s="1358"/>
    </row>
    <row r="126" spans="1:18" s="829" customFormat="1" ht="35.1" hidden="1" customHeight="1">
      <c r="A126" s="1960" t="e">
        <f>VLOOKUP(ROW()-ROW($A$5),TongHopKL!A:B,2,0)</f>
        <v>#N/A</v>
      </c>
      <c r="B126" s="1600">
        <f>SUM($O$6:O126)</f>
        <v>120</v>
      </c>
      <c r="C126" s="1601" t="e">
        <f>(VLOOKUP(A126,DG!A:C,3,0))</f>
        <v>#N/A</v>
      </c>
      <c r="D126" s="1602">
        <f>IFERROR(VLOOKUP(A126,DG!A:D,4,0),0)</f>
        <v>0</v>
      </c>
      <c r="E126" s="1603">
        <f>SUMIF(TongHopKL!B:B,'NT-VT'!A126,TongHopKL!H:H)</f>
        <v>0</v>
      </c>
      <c r="F126" s="1600" t="str">
        <f>IFERROR(VLOOKUP(A126,Solieu!G:M,2,0),"")</f>
        <v/>
      </c>
      <c r="G126" s="1600" t="str">
        <f>IFERROR(VLOOKUP(A126,Solieu!G:M,3,0),"")</f>
        <v/>
      </c>
      <c r="H126" s="1600"/>
      <c r="I126" s="1604"/>
      <c r="J126" s="1605" t="str">
        <f>IFERROR(VLOOKUP(A126,Solieu!G:M,4,0),"")</f>
        <v/>
      </c>
      <c r="K126" s="1606" t="str">
        <f>IFERROR(VLOOKUP(A126,Solieu!G:M,5,0),"")</f>
        <v/>
      </c>
      <c r="L126" s="1778" t="str">
        <f>IFERROR(VLOOKUP(A126,Solieu!G:M,6,0),"")</f>
        <v/>
      </c>
      <c r="M126" s="1604" t="str">
        <f>IFERROR(VLOOKUP(A126,Solieu!G:M,7,0),"")</f>
        <v/>
      </c>
      <c r="N126" s="1198" t="s">
        <v>4188</v>
      </c>
      <c r="O126" s="1356" t="str">
        <f t="shared" si="1"/>
        <v/>
      </c>
      <c r="P126" s="1194"/>
      <c r="Q126" s="1354"/>
      <c r="R126" s="1358"/>
    </row>
    <row r="127" spans="1:18" s="829" customFormat="1" ht="35.1" hidden="1" customHeight="1">
      <c r="A127" s="1960" t="e">
        <f>VLOOKUP(ROW()-ROW($A$5),TongHopKL!A:B,2,0)</f>
        <v>#N/A</v>
      </c>
      <c r="B127" s="1600">
        <f>SUM($O$6:O127)</f>
        <v>120</v>
      </c>
      <c r="C127" s="1601" t="e">
        <f>(VLOOKUP(A127,DG!A:C,3,0))</f>
        <v>#N/A</v>
      </c>
      <c r="D127" s="1602">
        <f>IFERROR(VLOOKUP(A127,DG!A:D,4,0),0)</f>
        <v>0</v>
      </c>
      <c r="E127" s="1603">
        <f>SUMIF(TongHopKL!B:B,'NT-VT'!A127,TongHopKL!H:H)</f>
        <v>0</v>
      </c>
      <c r="F127" s="1600" t="str">
        <f>IFERROR(VLOOKUP(A127,Solieu!G:M,2,0),"")</f>
        <v/>
      </c>
      <c r="G127" s="1600" t="str">
        <f>IFERROR(VLOOKUP(A127,Solieu!G:M,3,0),"")</f>
        <v/>
      </c>
      <c r="H127" s="1600"/>
      <c r="I127" s="1604"/>
      <c r="J127" s="1605" t="str">
        <f>IFERROR(VLOOKUP(A127,Solieu!G:M,4,0),"")</f>
        <v/>
      </c>
      <c r="K127" s="1606" t="str">
        <f>IFERROR(VLOOKUP(A127,Solieu!G:M,5,0),"")</f>
        <v/>
      </c>
      <c r="L127" s="1778" t="str">
        <f>IFERROR(VLOOKUP(A127,Solieu!G:M,6,0),"")</f>
        <v/>
      </c>
      <c r="M127" s="1604" t="str">
        <f>IFERROR(VLOOKUP(A127,Solieu!G:M,7,0),"")</f>
        <v/>
      </c>
      <c r="N127" s="1198" t="s">
        <v>4188</v>
      </c>
      <c r="O127" s="1356" t="str">
        <f t="shared" si="1"/>
        <v/>
      </c>
      <c r="P127" s="1194"/>
      <c r="Q127" s="1354"/>
      <c r="R127" s="1358"/>
    </row>
    <row r="128" spans="1:18" s="829" customFormat="1" ht="35.1" customHeight="1">
      <c r="A128" s="1353"/>
      <c r="B128" s="1780"/>
      <c r="C128" s="1781"/>
      <c r="D128" s="1782"/>
      <c r="E128" s="1783"/>
      <c r="F128" s="1780"/>
      <c r="G128" s="1780"/>
      <c r="H128" s="1780"/>
      <c r="I128" s="1784"/>
      <c r="J128" s="1785"/>
      <c r="K128" s="1786"/>
      <c r="L128" s="1787"/>
      <c r="M128" s="1784"/>
      <c r="N128" s="1319"/>
      <c r="O128" s="1356"/>
      <c r="P128" s="1194"/>
      <c r="Q128" s="1354"/>
      <c r="R128" s="1358"/>
    </row>
    <row r="129" spans="1:27" s="827" customFormat="1" ht="24.9" customHeight="1">
      <c r="A129" s="1935"/>
      <c r="B129" s="841"/>
      <c r="C129" s="1609"/>
      <c r="D129" s="1209"/>
      <c r="E129" s="1359"/>
      <c r="F129" s="52"/>
      <c r="G129" s="52"/>
      <c r="H129" s="52"/>
      <c r="I129" s="1350"/>
      <c r="J129" s="1360"/>
      <c r="L129" s="1787">
        <f>IFERROR(VLOOKUP(A129,Solieu!G:M,6,0),"")</f>
        <v>0</v>
      </c>
      <c r="M129" s="837"/>
      <c r="N129" s="1350"/>
      <c r="O129" s="841"/>
      <c r="P129" s="841"/>
      <c r="Q129" s="1314"/>
      <c r="R129" s="1361"/>
    </row>
    <row r="130" spans="1:27" s="827" customFormat="1" ht="24.9" customHeight="1">
      <c r="A130" s="822"/>
      <c r="B130" s="835"/>
      <c r="C130" s="1211"/>
      <c r="D130" s="1209"/>
      <c r="E130" s="1210"/>
      <c r="F130"/>
      <c r="G130"/>
      <c r="H130"/>
      <c r="I130" s="836"/>
      <c r="J130" s="832"/>
      <c r="L130" s="834"/>
      <c r="M130" s="839"/>
      <c r="N130" s="838"/>
      <c r="O130" s="835"/>
      <c r="P130" s="841"/>
      <c r="Q130" s="1314"/>
    </row>
    <row r="131" spans="1:27" s="827" customFormat="1" ht="24.9" customHeight="1">
      <c r="A131" s="822"/>
      <c r="B131" s="835"/>
      <c r="C131" s="1211"/>
      <c r="D131" s="1209"/>
      <c r="E131" s="1210"/>
      <c r="F131"/>
      <c r="G131"/>
      <c r="H131"/>
      <c r="I131" s="836"/>
      <c r="J131" s="832"/>
      <c r="L131" s="834"/>
      <c r="M131" s="839"/>
      <c r="N131" s="838"/>
      <c r="O131" s="835"/>
      <c r="P131" s="841"/>
      <c r="Q131" s="1314"/>
    </row>
    <row r="132" spans="1:27" s="827" customFormat="1" ht="24.9" customHeight="1">
      <c r="A132" s="822"/>
      <c r="B132" s="835"/>
      <c r="C132" s="1211"/>
      <c r="D132" s="1209"/>
      <c r="E132" s="1210"/>
      <c r="F132"/>
      <c r="G132"/>
      <c r="H132"/>
      <c r="I132" s="836"/>
      <c r="J132" s="832"/>
      <c r="L132" s="834"/>
      <c r="M132" s="839"/>
      <c r="N132" s="838"/>
      <c r="O132" s="835"/>
      <c r="P132" s="841"/>
      <c r="Q132" s="1314"/>
    </row>
    <row r="133" spans="1:27" s="827" customFormat="1" ht="24.9" customHeight="1">
      <c r="A133" s="822"/>
      <c r="B133" s="826"/>
      <c r="C133" s="944"/>
      <c r="D133" s="1212"/>
      <c r="E133" s="1210"/>
      <c r="F133"/>
      <c r="G133"/>
      <c r="H133"/>
      <c r="I133" s="836"/>
      <c r="J133" s="833"/>
      <c r="L133" s="842"/>
      <c r="M133" s="839"/>
      <c r="N133" s="843"/>
      <c r="O133" s="826"/>
      <c r="P133" s="841"/>
      <c r="Q133" s="1314"/>
    </row>
    <row r="134" spans="1:27" s="827" customFormat="1" ht="24.9" customHeight="1">
      <c r="A134" s="822"/>
      <c r="B134" s="826"/>
      <c r="C134" s="840"/>
      <c r="D134" s="840"/>
      <c r="E134"/>
      <c r="F134"/>
      <c r="G134"/>
      <c r="H134"/>
      <c r="I134" s="841"/>
      <c r="J134" s="832"/>
      <c r="K134" s="834"/>
      <c r="L134" s="833"/>
      <c r="M134" s="839"/>
      <c r="N134" s="826"/>
      <c r="O134" s="826"/>
      <c r="P134" s="841"/>
      <c r="Q134" s="1314"/>
    </row>
    <row r="135" spans="1:27" s="827" customFormat="1" ht="24.9" customHeight="1">
      <c r="A135" s="822"/>
      <c r="B135" s="826"/>
      <c r="C135" s="844"/>
      <c r="D135" s="844"/>
      <c r="E135" s="826"/>
      <c r="F135" s="826"/>
      <c r="G135" s="826"/>
      <c r="H135" s="826"/>
      <c r="I135" s="826"/>
      <c r="J135" s="832"/>
      <c r="K135" s="834"/>
      <c r="L135" s="833"/>
      <c r="M135" s="839"/>
      <c r="N135" s="826"/>
      <c r="O135" s="826"/>
      <c r="P135" s="841"/>
      <c r="Q135" s="1314"/>
    </row>
    <row r="136" spans="1:27" s="827" customFormat="1" ht="24.9" customHeight="1">
      <c r="A136" s="822"/>
      <c r="B136" s="826"/>
      <c r="C136" s="844"/>
      <c r="D136" s="844"/>
      <c r="E136" s="826"/>
      <c r="F136" s="826"/>
      <c r="G136" s="826"/>
      <c r="H136" s="826"/>
      <c r="I136" s="826"/>
      <c r="J136" s="833"/>
      <c r="K136" s="834"/>
      <c r="L136" s="833"/>
      <c r="M136" s="839"/>
      <c r="N136" s="826"/>
      <c r="O136" s="826"/>
      <c r="P136" s="841"/>
      <c r="Q136" s="1314"/>
    </row>
    <row r="137" spans="1:27" s="827" customFormat="1" ht="24.9" customHeight="1">
      <c r="A137" s="822"/>
      <c r="B137" s="826"/>
      <c r="C137" s="844"/>
      <c r="D137" s="844"/>
      <c r="E137" s="826"/>
      <c r="F137" s="826"/>
      <c r="G137" s="826"/>
      <c r="H137" s="826"/>
      <c r="I137" s="826"/>
      <c r="J137" s="833"/>
      <c r="K137" s="834"/>
      <c r="L137" s="833"/>
      <c r="M137" s="839"/>
      <c r="N137" s="826"/>
      <c r="O137" s="826"/>
      <c r="P137" s="841"/>
      <c r="Q137" s="1314"/>
    </row>
    <row r="138" spans="1:27" s="826" customFormat="1" ht="24.9" customHeight="1">
      <c r="A138" s="822"/>
      <c r="C138" s="844"/>
      <c r="D138" s="844"/>
      <c r="J138" s="832"/>
      <c r="K138" s="834"/>
      <c r="L138" s="833"/>
      <c r="M138" s="839"/>
      <c r="P138" s="841"/>
      <c r="Q138" s="1314"/>
      <c r="R138" s="827"/>
      <c r="S138" s="827"/>
      <c r="T138" s="827"/>
      <c r="U138" s="827"/>
      <c r="V138" s="827"/>
      <c r="W138" s="827"/>
      <c r="X138" s="827"/>
      <c r="Y138" s="827"/>
      <c r="Z138" s="827"/>
      <c r="AA138" s="827"/>
    </row>
    <row r="139" spans="1:27" s="826" customFormat="1" ht="24.9" customHeight="1">
      <c r="A139" s="822"/>
      <c r="C139" s="844"/>
      <c r="D139" s="844"/>
      <c r="J139" s="832"/>
      <c r="K139" s="834"/>
      <c r="L139" s="833"/>
      <c r="M139" s="834"/>
      <c r="P139" s="841"/>
      <c r="Q139" s="1314"/>
      <c r="R139" s="827"/>
      <c r="S139" s="827"/>
      <c r="T139" s="827"/>
      <c r="U139" s="827"/>
      <c r="V139" s="827"/>
      <c r="W139" s="827"/>
      <c r="X139" s="827"/>
      <c r="Y139" s="827"/>
      <c r="Z139" s="827"/>
      <c r="AA139" s="827"/>
    </row>
    <row r="140" spans="1:27" s="826" customFormat="1" ht="24.9" customHeight="1">
      <c r="A140" s="822"/>
      <c r="C140" s="844"/>
      <c r="D140" s="844"/>
      <c r="J140" s="832"/>
      <c r="K140" s="834"/>
      <c r="L140" s="833"/>
      <c r="M140" s="834"/>
      <c r="P140" s="841"/>
      <c r="Q140" s="1314"/>
      <c r="R140" s="827"/>
      <c r="S140" s="827"/>
      <c r="T140" s="827"/>
      <c r="U140" s="827"/>
      <c r="V140" s="827"/>
      <c r="W140" s="827"/>
      <c r="X140" s="827"/>
      <c r="Y140" s="827"/>
      <c r="Z140" s="827"/>
      <c r="AA140" s="827"/>
    </row>
  </sheetData>
  <autoFilter ref="A4:T127" xr:uid="{00000000-0009-0000-0000-000018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800-000000000000}"/>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I124"/>
  <sheetViews>
    <sheetView showZeros="0" topLeftCell="A118" workbookViewId="0">
      <selection activeCell="J127" sqref="J127"/>
    </sheetView>
  </sheetViews>
  <sheetFormatPr defaultColWidth="8.90625" defaultRowHeight="30" customHeight="1"/>
  <cols>
    <col min="1" max="1" width="5" style="821" customWidth="1"/>
    <col min="2" max="2" width="19.1796875" style="821" customWidth="1"/>
    <col min="3" max="3" width="6.08984375" style="825" customWidth="1"/>
    <col min="4" max="4" width="6" style="825" customWidth="1"/>
    <col min="5" max="5" width="23.36328125" style="821" customWidth="1"/>
    <col min="6" max="6" width="22.54296875" style="821" customWidth="1"/>
    <col min="7" max="7" width="5.1796875" style="847" bestFit="1" customWidth="1"/>
    <col min="8" max="9" width="8.90625" style="847"/>
    <col min="10" max="16384" width="8.90625" style="814"/>
  </cols>
  <sheetData>
    <row r="1" spans="1:9" ht="36" customHeight="1">
      <c r="A1" s="3255" t="s">
        <v>4624</v>
      </c>
      <c r="B1" s="3255"/>
      <c r="C1" s="3255"/>
      <c r="D1" s="3255"/>
      <c r="E1" s="3255"/>
      <c r="F1" s="3255"/>
      <c r="G1" s="2690"/>
      <c r="H1" s="1215"/>
    </row>
    <row r="2" spans="1:9" s="815" customFormat="1" ht="31.2">
      <c r="A2" s="1308" t="s">
        <v>4198</v>
      </c>
      <c r="B2" s="1308" t="s">
        <v>4176</v>
      </c>
      <c r="C2" s="1308" t="s">
        <v>4177</v>
      </c>
      <c r="D2" s="1308" t="s">
        <v>4178</v>
      </c>
      <c r="E2" s="1308" t="s">
        <v>4179</v>
      </c>
      <c r="F2" s="1308" t="s">
        <v>4180</v>
      </c>
      <c r="G2" s="1350" t="s">
        <v>1956</v>
      </c>
      <c r="H2" s="838"/>
      <c r="I2" s="848"/>
    </row>
    <row r="3" spans="1:9" ht="31.2">
      <c r="A3" s="1309">
        <f>SUM($G$3:G3)</f>
        <v>1</v>
      </c>
      <c r="B3" s="1310" t="str">
        <f>'NT-VT'!C6</f>
        <v>Máy biến áp 22/0,4kV- 1000kVA</v>
      </c>
      <c r="C3" s="1311" t="str">
        <f>'NT-VT'!D6</f>
        <v>máy</v>
      </c>
      <c r="D3" s="1312">
        <f>'NT-VT'!E6</f>
        <v>1</v>
      </c>
      <c r="E3" s="1309">
        <f>'NT-VT'!F6</f>
        <v>0</v>
      </c>
      <c r="F3" s="1309">
        <f>'NT-VT'!G6</f>
        <v>0</v>
      </c>
      <c r="G3" s="841">
        <v>1</v>
      </c>
      <c r="H3" s="849"/>
      <c r="I3" s="825"/>
    </row>
    <row r="4" spans="1:9" ht="31.2">
      <c r="A4" s="1309">
        <f>SUM($G$3:G4)</f>
        <v>2</v>
      </c>
      <c r="B4" s="1310" t="str">
        <f>'NT-VT'!C7</f>
        <v>FCO 24kV - 100A</v>
      </c>
      <c r="C4" s="1311" t="str">
        <f>'NT-VT'!D7</f>
        <v>cái</v>
      </c>
      <c r="D4" s="1312">
        <f>'NT-VT'!E7</f>
        <v>4</v>
      </c>
      <c r="E4" s="1309" t="str">
        <f>'NT-VT'!F7</f>
        <v>Chance</v>
      </c>
      <c r="F4" s="1309" t="str">
        <f>'NT-VT'!G7</f>
        <v>Cty TNHH MTV Đại Thiên An</v>
      </c>
      <c r="G4" s="841">
        <f t="shared" ref="G4:G66" si="0">IF(ISERROR(B4),"",1)</f>
        <v>1</v>
      </c>
      <c r="H4" s="850"/>
    </row>
    <row r="5" spans="1:9" ht="31.2">
      <c r="A5" s="1309">
        <f>SUM($G$3:G5)</f>
        <v>3</v>
      </c>
      <c r="B5" s="1310" t="str">
        <f>'NT-VT'!C8</f>
        <v xml:space="preserve">FCO 24KV - 200A </v>
      </c>
      <c r="C5" s="1311" t="str">
        <f>'NT-VT'!D8</f>
        <v>cái</v>
      </c>
      <c r="D5" s="1312">
        <f>'NT-VT'!E8</f>
        <v>3</v>
      </c>
      <c r="E5" s="1309" t="str">
        <f>'NT-VT'!F8</f>
        <v>Chance</v>
      </c>
      <c r="F5" s="1309" t="str">
        <f>'NT-VT'!G8</f>
        <v>Cty TNHH MTV Đại Thiên An</v>
      </c>
      <c r="G5" s="841">
        <f t="shared" si="0"/>
        <v>1</v>
      </c>
      <c r="H5" s="850"/>
    </row>
    <row r="6" spans="1:9" ht="31.2">
      <c r="A6" s="1309">
        <f>SUM($G$3:G6)</f>
        <v>4</v>
      </c>
      <c r="B6" s="1310" t="str">
        <f>'NT-VT'!C9</f>
        <v>Chống sét van LA-18KV-10KA</v>
      </c>
      <c r="C6" s="1311" t="str">
        <f>'NT-VT'!D9</f>
        <v>cái</v>
      </c>
      <c r="D6" s="1312">
        <f>'NT-VT'!E9</f>
        <v>12</v>
      </c>
      <c r="E6" s="1309" t="str">
        <f>'NT-VT'!F9</f>
        <v>Cooper</v>
      </c>
      <c r="F6" s="1309" t="str">
        <f>'NT-VT'!G9</f>
        <v>Cty TNHH MTV Đại Thiên An</v>
      </c>
      <c r="G6" s="841">
        <f t="shared" si="0"/>
        <v>1</v>
      </c>
      <c r="H6" s="850"/>
    </row>
    <row r="7" spans="1:9" ht="15.6">
      <c r="A7" s="1309">
        <f>SUM($G$3:G7)</f>
        <v>5</v>
      </c>
      <c r="B7" s="1310" t="str">
        <f>'NT-VT'!C10</f>
        <v xml:space="preserve">Sứ đứng 24KV </v>
      </c>
      <c r="C7" s="1311" t="str">
        <f>'NT-VT'!D10</f>
        <v>cái</v>
      </c>
      <c r="D7" s="1312">
        <f>'NT-VT'!E10</f>
        <v>160</v>
      </c>
      <c r="E7" s="1309" t="str">
        <f>'NT-VT'!F10</f>
        <v>Minh Long</v>
      </c>
      <c r="F7" s="1309" t="str">
        <f>'NT-VT'!G10</f>
        <v>Minh Long</v>
      </c>
      <c r="G7" s="841">
        <f t="shared" si="0"/>
        <v>1</v>
      </c>
      <c r="H7" s="849"/>
      <c r="I7" s="825"/>
    </row>
    <row r="8" spans="1:9" ht="31.2">
      <c r="A8" s="1309">
        <f>SUM($G$3:G8)</f>
        <v>6</v>
      </c>
      <c r="B8" s="1310" t="str">
        <f>'NT-VT'!C11</f>
        <v>Sứ treo polymer</v>
      </c>
      <c r="C8" s="1311" t="str">
        <f>'NT-VT'!D11</f>
        <v>chuỗi</v>
      </c>
      <c r="D8" s="1312">
        <f>'NT-VT'!E11</f>
        <v>75</v>
      </c>
      <c r="E8" s="1309" t="str">
        <f>'NT-VT'!F11</f>
        <v>DTR</v>
      </c>
      <c r="F8" s="1309" t="str">
        <f>'NT-VT'!G11</f>
        <v>Cty TNHH MTV Đại Thiên An</v>
      </c>
      <c r="G8" s="841">
        <f t="shared" si="0"/>
        <v>1</v>
      </c>
      <c r="H8" s="849"/>
      <c r="I8" s="825"/>
    </row>
    <row r="9" spans="1:9" ht="31.2">
      <c r="A9" s="1309">
        <f>SUM($G$3:G9)</f>
        <v>7</v>
      </c>
      <c r="B9" s="1310" t="str">
        <f>'NT-VT'!C12</f>
        <v>Cáp đồng bọc CV240</v>
      </c>
      <c r="C9" s="1311" t="str">
        <f>'NT-VT'!D12</f>
        <v>mét</v>
      </c>
      <c r="D9" s="1312">
        <f>'NT-VT'!E12</f>
        <v>72</v>
      </c>
      <c r="E9" s="1309" t="str">
        <f>'NT-VT'!F12</f>
        <v>Cty TNHHSX-TM Dây &amp; Cáp Điện Tài Trường Thành</v>
      </c>
      <c r="F9" s="1309" t="str">
        <f>'NT-VT'!G12</f>
        <v>Cty TNHHSX-TM Dây &amp; Cáp Điện Tài Trường Thành</v>
      </c>
      <c r="G9" s="841">
        <f t="shared" si="0"/>
        <v>1</v>
      </c>
      <c r="H9" s="849"/>
      <c r="I9" s="825"/>
    </row>
    <row r="10" spans="1:9" ht="31.2">
      <c r="A10" s="1309">
        <f>SUM($G$3:G10)</f>
        <v>8</v>
      </c>
      <c r="B10" s="1310" t="str">
        <f>'NT-VT'!C13</f>
        <v>Cáp đồng bọc 24KV-CXV-25</v>
      </c>
      <c r="C10" s="1311" t="str">
        <f>'NT-VT'!D13</f>
        <v>mét</v>
      </c>
      <c r="D10" s="1312">
        <f>'NT-VT'!E13</f>
        <v>46</v>
      </c>
      <c r="E10" s="1309" t="str">
        <f>'NT-VT'!F13</f>
        <v>Cty TNHHSX-TM Dây &amp; Cáp Điện Tài Trường Thành</v>
      </c>
      <c r="F10" s="1309" t="str">
        <f>'NT-VT'!G13</f>
        <v>Cty TNHHSX-TM Dây &amp; Cáp Điện Tài Trường Thành</v>
      </c>
      <c r="G10" s="841">
        <f t="shared" si="0"/>
        <v>1</v>
      </c>
      <c r="H10" s="849"/>
      <c r="I10" s="825"/>
    </row>
    <row r="11" spans="1:9" ht="31.2">
      <c r="A11" s="1309">
        <f>SUM($G$3:G11)</f>
        <v>9</v>
      </c>
      <c r="B11" s="1310" t="str">
        <f>'NT-VT'!C14</f>
        <v>Cáp đồng bọc 24KV-CXV-95</v>
      </c>
      <c r="C11" s="1311" t="str">
        <f>'NT-VT'!D14</f>
        <v>mét</v>
      </c>
      <c r="D11" s="1312">
        <f>'NT-VT'!E14</f>
        <v>15</v>
      </c>
      <c r="E11" s="1309" t="str">
        <f>'NT-VT'!F14</f>
        <v>Cty TNHHSX-TM Dây &amp; Cáp Điện Tài Trường Thành</v>
      </c>
      <c r="F11" s="1309" t="str">
        <f>'NT-VT'!G14</f>
        <v>Cty TNHHSX-TM Dây &amp; Cáp Điện Tài Trường Thành</v>
      </c>
      <c r="G11" s="841">
        <f t="shared" si="0"/>
        <v>1</v>
      </c>
      <c r="H11" s="850"/>
    </row>
    <row r="12" spans="1:9" ht="31.2">
      <c r="A12" s="1309">
        <f>SUM($G$3:G12)</f>
        <v>10</v>
      </c>
      <c r="B12" s="1310" t="str">
        <f>'NT-VT'!C15</f>
        <v xml:space="preserve">Cáp CVV 4x4mm2  </v>
      </c>
      <c r="C12" s="1311" t="str">
        <f>'NT-VT'!D15</f>
        <v>mét</v>
      </c>
      <c r="D12" s="1312">
        <f>'NT-VT'!E15</f>
        <v>33</v>
      </c>
      <c r="E12" s="1309" t="str">
        <f>'NT-VT'!F15</f>
        <v>Cty TNHHSX-TM Dây &amp; Cáp Điện Tài Trường Thành</v>
      </c>
      <c r="F12" s="1309" t="str">
        <f>'NT-VT'!G15</f>
        <v>Cty TNHHSX-TM Dây &amp; Cáp Điện Tài Trường Thành</v>
      </c>
      <c r="G12" s="841">
        <f t="shared" si="0"/>
        <v>1</v>
      </c>
      <c r="H12" s="849"/>
      <c r="I12" s="825"/>
    </row>
    <row r="13" spans="1:9" ht="31.2">
      <c r="A13" s="1309">
        <f>SUM($G$3:G13)</f>
        <v>11</v>
      </c>
      <c r="B13" s="1310" t="str">
        <f>'NT-VT'!C16</f>
        <v>Cáp 24KV ACXH 70mm2</v>
      </c>
      <c r="C13" s="1311" t="str">
        <f>'NT-VT'!D16</f>
        <v>mét</v>
      </c>
      <c r="D13" s="1312">
        <f>'NT-VT'!E16</f>
        <v>1649.34</v>
      </c>
      <c r="E13" s="1309" t="str">
        <f>'NT-VT'!F16</f>
        <v>Cty TNHHSX-TM Dây &amp; Cáp Điện Tài Trường Thành</v>
      </c>
      <c r="F13" s="1309" t="str">
        <f>'NT-VT'!G16</f>
        <v>Cty TNHHSX-TM Dây &amp; Cáp Điện Tài Trường Thành</v>
      </c>
      <c r="G13" s="841">
        <f t="shared" si="0"/>
        <v>1</v>
      </c>
      <c r="H13" s="849"/>
      <c r="I13" s="825"/>
    </row>
    <row r="14" spans="1:9" ht="31.2">
      <c r="A14" s="1309">
        <f>SUM($G$3:G14)</f>
        <v>12</v>
      </c>
      <c r="B14" s="1310" t="str">
        <f>'NT-VT'!C17</f>
        <v>Cáp 24KV ACXH 95mm2</v>
      </c>
      <c r="C14" s="1311" t="str">
        <f>'NT-VT'!D17</f>
        <v>mét</v>
      </c>
      <c r="D14" s="1312">
        <f>'NT-VT'!E17</f>
        <v>2970.3420000000006</v>
      </c>
      <c r="E14" s="1309" t="str">
        <f>'NT-VT'!F17</f>
        <v>Cty TNHHSX-TM Dây &amp; Cáp Điện Tài Trường Thành</v>
      </c>
      <c r="F14" s="1309" t="str">
        <f>'NT-VT'!G17</f>
        <v>Cty TNHHSX-TM Dây &amp; Cáp Điện Tài Trường Thành</v>
      </c>
      <c r="G14" s="841">
        <f t="shared" si="0"/>
        <v>1</v>
      </c>
      <c r="H14" s="849"/>
      <c r="I14" s="825"/>
    </row>
    <row r="15" spans="1:9" ht="46.8">
      <c r="A15" s="1309">
        <f>SUM($G$3:G15)</f>
        <v>13</v>
      </c>
      <c r="B15" s="1310" t="str">
        <f>'NT-VT'!C18</f>
        <v>Cáp đồng trần M25mm2: 10m noái leân voû caùc thieát bò</v>
      </c>
      <c r="C15" s="1311" t="str">
        <f>'NT-VT'!D18</f>
        <v>kg</v>
      </c>
      <c r="D15" s="1312">
        <f>'NT-VT'!E18</f>
        <v>30.462</v>
      </c>
      <c r="E15" s="1309" t="str">
        <f>'NT-VT'!F18</f>
        <v>Cty TNHHSX-TM Dây &amp; Cáp Điện Tài Trường Thành</v>
      </c>
      <c r="F15" s="1309" t="str">
        <f>'NT-VT'!G18</f>
        <v>Cty TNHHSX-TM Dây &amp; Cáp Điện Tài Trường Thành</v>
      </c>
      <c r="G15" s="841">
        <f t="shared" si="0"/>
        <v>1</v>
      </c>
      <c r="H15" s="849"/>
      <c r="I15" s="825"/>
    </row>
    <row r="16" spans="1:9" ht="31.2">
      <c r="A16" s="1309">
        <f>SUM($G$3:G16)</f>
        <v>14</v>
      </c>
      <c r="B16" s="1310" t="str">
        <f>'NT-VT'!C19</f>
        <v>Cáp nhôm lõi thép AC-50/8</v>
      </c>
      <c r="C16" s="1311" t="str">
        <f>'NT-VT'!D19</f>
        <v>kg</v>
      </c>
      <c r="D16" s="1312">
        <f>'NT-VT'!E19</f>
        <v>107.2071</v>
      </c>
      <c r="E16" s="1309" t="str">
        <f>'NT-VT'!F19</f>
        <v>Cty TNHHSX-TM Dây &amp; Cáp Điện Tài Trường Thành</v>
      </c>
      <c r="F16" s="1309" t="str">
        <f>'NT-VT'!G19</f>
        <v>Cty TNHHSX-TM Dây &amp; Cáp Điện Tài Trường Thành</v>
      </c>
      <c r="G16" s="841">
        <f t="shared" si="0"/>
        <v>1</v>
      </c>
      <c r="H16" s="849"/>
      <c r="I16" s="825"/>
    </row>
    <row r="17" spans="1:9" ht="31.2">
      <c r="A17" s="1309">
        <f>SUM($G$3:G17)</f>
        <v>15</v>
      </c>
      <c r="B17" s="1310" t="str">
        <f>'NT-VT'!C20</f>
        <v>Cáp nhôm lõi thép AC-70/11</v>
      </c>
      <c r="C17" s="1311" t="str">
        <f>'NT-VT'!D20</f>
        <v>kg</v>
      </c>
      <c r="D17" s="1312">
        <f>'NT-VT'!E20</f>
        <v>271.29123600000003</v>
      </c>
      <c r="E17" s="1309" t="str">
        <f>'NT-VT'!F20</f>
        <v>Cty TNHHSX-TM Dây &amp; Cáp Điện Tài Trường Thành</v>
      </c>
      <c r="F17" s="1309" t="str">
        <f>'NT-VT'!G20</f>
        <v>Cty TNHHSX-TM Dây &amp; Cáp Điện Tài Trường Thành</v>
      </c>
      <c r="G17" s="841">
        <f t="shared" si="0"/>
        <v>1</v>
      </c>
      <c r="H17" s="849"/>
      <c r="I17" s="851"/>
    </row>
    <row r="18" spans="1:9" ht="31.2">
      <c r="A18" s="1309">
        <f>SUM($G$3:G18)</f>
        <v>16</v>
      </c>
      <c r="B18" s="1310" t="str">
        <f>'NT-VT'!C21</f>
        <v>Trụ BTLT 12m F540 dự ứng lực</v>
      </c>
      <c r="C18" s="1311" t="str">
        <f>'NT-VT'!D21</f>
        <v>trụ</v>
      </c>
      <c r="D18" s="1312">
        <f>'NT-VT'!E21</f>
        <v>17</v>
      </c>
      <c r="E18" s="1309" t="str">
        <f>'NT-VT'!F21</f>
        <v>Cty Cổ phần Bê tông ly tâm Thủ Đức</v>
      </c>
      <c r="F18" s="1309" t="str">
        <f>'NT-VT'!G21</f>
        <v>Cty Cổ phần Bê tông ly tâm Thủ Đức</v>
      </c>
      <c r="G18" s="841">
        <f t="shared" si="0"/>
        <v>1</v>
      </c>
      <c r="H18" s="849"/>
      <c r="I18" s="851"/>
    </row>
    <row r="19" spans="1:9" ht="31.2">
      <c r="A19" s="1309">
        <f>SUM($G$3:G19)</f>
        <v>17</v>
      </c>
      <c r="B19" s="1310" t="str">
        <f>'NT-VT'!C22</f>
        <v>Trụ BTLT 14m F650 dự ứng lực</v>
      </c>
      <c r="C19" s="1311" t="str">
        <f>'NT-VT'!D22</f>
        <v>trụ</v>
      </c>
      <c r="D19" s="1312">
        <f>'NT-VT'!E22</f>
        <v>7</v>
      </c>
      <c r="E19" s="1309" t="str">
        <f>'NT-VT'!F22</f>
        <v>Cty Cổ phần Bê tông ly tâm Thủ Đức</v>
      </c>
      <c r="F19" s="1309" t="str">
        <f>'NT-VT'!G22</f>
        <v>Cty Cổ phần Bê tông ly tâm Thủ Đức</v>
      </c>
      <c r="G19" s="841">
        <f t="shared" si="0"/>
        <v>1</v>
      </c>
      <c r="H19" s="849"/>
      <c r="I19" s="851"/>
    </row>
    <row r="20" spans="1:9" ht="31.2">
      <c r="A20" s="1309">
        <f>SUM($G$3:G20)</f>
        <v>18</v>
      </c>
      <c r="B20" s="1310" t="str">
        <f>'NT-VT'!C23</f>
        <v>Đà composite 0,8m</v>
      </c>
      <c r="C20" s="1311" t="str">
        <f>'NT-VT'!D23</f>
        <v>cây</v>
      </c>
      <c r="D20" s="1312">
        <f>'NT-VT'!E23</f>
        <v>1</v>
      </c>
      <c r="E20" s="1309" t="str">
        <f>'NT-VT'!F23</f>
        <v>Cty TNHH MTV Đại Thiên An</v>
      </c>
      <c r="F20" s="1309" t="str">
        <f>'NT-VT'!G23</f>
        <v>Cty TNHH MTV Đại Thiên An</v>
      </c>
      <c r="G20" s="841">
        <f t="shared" si="0"/>
        <v>1</v>
      </c>
      <c r="H20" s="850"/>
    </row>
    <row r="21" spans="1:9" ht="46.8">
      <c r="A21" s="1309">
        <f>SUM($G$3:G21)</f>
        <v>19</v>
      </c>
      <c r="B21" s="1310" t="str">
        <f>'NT-VT'!C24</f>
        <v>ACB 3P - 1600A - 65KA (nạp lò xo bằng tay)</v>
      </c>
      <c r="C21" s="1311" t="str">
        <f>'NT-VT'!D24</f>
        <v>cái</v>
      </c>
      <c r="D21" s="1312">
        <f>'NT-VT'!E24</f>
        <v>1</v>
      </c>
      <c r="E21" s="1309" t="str">
        <f>'NT-VT'!F24</f>
        <v>nt</v>
      </c>
      <c r="F21" s="1309" t="str">
        <f>'NT-VT'!G24</f>
        <v>nt</v>
      </c>
      <c r="G21" s="841">
        <f t="shared" si="0"/>
        <v>1</v>
      </c>
      <c r="H21" s="849"/>
      <c r="I21" s="825"/>
    </row>
    <row r="22" spans="1:9" ht="46.8">
      <c r="A22" s="1309">
        <f>SUM($G$3:G22)</f>
        <v>20</v>
      </c>
      <c r="B22" s="1310" t="str">
        <f>'NT-VT'!C25</f>
        <v>Boulon 10x50+ 2 long đền vuông D12-50x50x3/Zn</v>
      </c>
      <c r="C22" s="1311" t="str">
        <f>'NT-VT'!D25</f>
        <v>bộ</v>
      </c>
      <c r="D22" s="1312">
        <f>'NT-VT'!E25</f>
        <v>24</v>
      </c>
      <c r="E22" s="1309" t="str">
        <f>'NT-VT'!F25</f>
        <v>nt</v>
      </c>
      <c r="F22" s="1309" t="str">
        <f>'NT-VT'!G25</f>
        <v>nt</v>
      </c>
      <c r="G22" s="841">
        <f t="shared" si="0"/>
        <v>1</v>
      </c>
      <c r="H22" s="849"/>
      <c r="I22" s="825"/>
    </row>
    <row r="23" spans="1:9" ht="46.8">
      <c r="A23" s="1309">
        <f>SUM($G$3:G23)</f>
        <v>21</v>
      </c>
      <c r="B23" s="1310" t="str">
        <f>'NT-VT'!C26</f>
        <v>Boulon 14x350+ 2 long đền vuông D16-50x50x3/Zn</v>
      </c>
      <c r="C23" s="1311" t="str">
        <f>'NT-VT'!D26</f>
        <v>bộ</v>
      </c>
      <c r="D23" s="1312">
        <f>'NT-VT'!E26</f>
        <v>36</v>
      </c>
      <c r="E23" s="1309" t="str">
        <f>'NT-VT'!F26</f>
        <v>nt</v>
      </c>
      <c r="F23" s="1309" t="str">
        <f>'NT-VT'!G26</f>
        <v>nt</v>
      </c>
      <c r="G23" s="841">
        <f t="shared" si="0"/>
        <v>1</v>
      </c>
      <c r="H23" s="849"/>
      <c r="I23" s="851"/>
    </row>
    <row r="24" spans="1:9" ht="46.8">
      <c r="A24" s="1309">
        <f>SUM($G$3:G24)</f>
        <v>22</v>
      </c>
      <c r="B24" s="1310" t="str">
        <f>'NT-VT'!C27</f>
        <v>Boulon 16x150+ 2 long đền vuông D18-50x50x3/Zn</v>
      </c>
      <c r="C24" s="1311" t="str">
        <f>'NT-VT'!D27</f>
        <v>bộ</v>
      </c>
      <c r="D24" s="1312">
        <f>'NT-VT'!E27</f>
        <v>2</v>
      </c>
      <c r="E24" s="1309" t="str">
        <f>'NT-VT'!F27</f>
        <v>nt</v>
      </c>
      <c r="F24" s="1309" t="str">
        <f>'NT-VT'!G27</f>
        <v>nt</v>
      </c>
      <c r="G24" s="841">
        <f t="shared" si="0"/>
        <v>1</v>
      </c>
      <c r="H24" s="849"/>
      <c r="I24" s="851"/>
    </row>
    <row r="25" spans="1:9" ht="46.8">
      <c r="A25" s="1309">
        <f>SUM($G$3:G25)</f>
        <v>23</v>
      </c>
      <c r="B25" s="1310" t="str">
        <f>'NT-VT'!C28</f>
        <v>Boulon 16x250+ 2 long đền vuông D18-50x50x3/Zn</v>
      </c>
      <c r="C25" s="1311" t="str">
        <f>'NT-VT'!D28</f>
        <v>bộ</v>
      </c>
      <c r="D25" s="1312">
        <f>'NT-VT'!E28</f>
        <v>46</v>
      </c>
      <c r="E25" s="1309" t="str">
        <f>'NT-VT'!F28</f>
        <v>nt</v>
      </c>
      <c r="F25" s="1309" t="str">
        <f>'NT-VT'!G28</f>
        <v>nt</v>
      </c>
      <c r="G25" s="841">
        <f t="shared" si="0"/>
        <v>1</v>
      </c>
      <c r="H25" s="849"/>
      <c r="I25" s="825"/>
    </row>
    <row r="26" spans="1:9" ht="46.8">
      <c r="A26" s="1309">
        <f>SUM($G$3:G26)</f>
        <v>24</v>
      </c>
      <c r="B26" s="1310" t="str">
        <f>'NT-VT'!C29</f>
        <v>Boulon 16x300+ 2 long đền vuông D18-50x50x3/Zn</v>
      </c>
      <c r="C26" s="1311" t="str">
        <f>'NT-VT'!D29</f>
        <v>bộ</v>
      </c>
      <c r="D26" s="1312">
        <f>'NT-VT'!E29</f>
        <v>19</v>
      </c>
      <c r="E26" s="1309" t="str">
        <f>'NT-VT'!F29</f>
        <v>nt</v>
      </c>
      <c r="F26" s="1309" t="str">
        <f>'NT-VT'!G29</f>
        <v>nt</v>
      </c>
      <c r="G26" s="841">
        <f t="shared" si="0"/>
        <v>1</v>
      </c>
      <c r="H26" s="849"/>
      <c r="I26" s="825"/>
    </row>
    <row r="27" spans="1:9" ht="46.8">
      <c r="A27" s="1309">
        <f>SUM($G$3:G27)</f>
        <v>25</v>
      </c>
      <c r="B27" s="1310" t="str">
        <f>'NT-VT'!C30</f>
        <v>Boulon 16x300VRS+ 4 long đền vuông D18-50x50x3/Zn</v>
      </c>
      <c r="C27" s="1311" t="str">
        <f>'NT-VT'!D30</f>
        <v>bộ</v>
      </c>
      <c r="D27" s="1312">
        <f>'NT-VT'!E30</f>
        <v>20</v>
      </c>
      <c r="E27" s="1309" t="str">
        <f>'NT-VT'!F30</f>
        <v>nt</v>
      </c>
      <c r="F27" s="1309" t="str">
        <f>'NT-VT'!G30</f>
        <v>nt</v>
      </c>
      <c r="G27" s="841">
        <f t="shared" si="0"/>
        <v>1</v>
      </c>
      <c r="H27" s="849"/>
      <c r="I27" s="825"/>
    </row>
    <row r="28" spans="1:9" ht="46.8">
      <c r="A28" s="1309">
        <f>SUM($G$3:G28)</f>
        <v>26</v>
      </c>
      <c r="B28" s="1310" t="str">
        <f>'NT-VT'!C31</f>
        <v>Boulon 16x35+ 2 long đền vuông D18-50x50x3/Zn</v>
      </c>
      <c r="C28" s="1311" t="str">
        <f>'NT-VT'!D31</f>
        <v>bộ</v>
      </c>
      <c r="D28" s="1312">
        <f>'NT-VT'!E31</f>
        <v>24</v>
      </c>
      <c r="E28" s="1309" t="str">
        <f>'NT-VT'!F31</f>
        <v>nt</v>
      </c>
      <c r="F28" s="1309" t="str">
        <f>'NT-VT'!G31</f>
        <v>nt</v>
      </c>
      <c r="G28" s="841">
        <f t="shared" si="0"/>
        <v>1</v>
      </c>
      <c r="H28" s="849"/>
      <c r="I28" s="825"/>
    </row>
    <row r="29" spans="1:9" ht="46.8">
      <c r="A29" s="1309">
        <f>SUM($G$3:G29)</f>
        <v>27</v>
      </c>
      <c r="B29" s="1310" t="str">
        <f>'NT-VT'!C32</f>
        <v>Boulon 16x350+ 2 long đền vuông D18-50x50x3/Zn</v>
      </c>
      <c r="C29" s="1311" t="str">
        <f>'NT-VT'!D32</f>
        <v>bộ</v>
      </c>
      <c r="D29" s="1312">
        <f>'NT-VT'!E32</f>
        <v>7</v>
      </c>
      <c r="E29" s="1309" t="str">
        <f>'NT-VT'!F32</f>
        <v>nt</v>
      </c>
      <c r="F29" s="1309" t="str">
        <f>'NT-VT'!G32</f>
        <v>nt</v>
      </c>
      <c r="G29" s="841">
        <f t="shared" si="0"/>
        <v>1</v>
      </c>
      <c r="H29" s="849"/>
      <c r="I29" s="851"/>
    </row>
    <row r="30" spans="1:9" ht="46.8">
      <c r="A30" s="1309">
        <f>SUM($G$3:G30)</f>
        <v>28</v>
      </c>
      <c r="B30" s="1310" t="str">
        <f>'NT-VT'!C33</f>
        <v>Boulon 16x400+ 2 long đền vuông D18-50x50x3/Zn</v>
      </c>
      <c r="C30" s="1311" t="str">
        <f>'NT-VT'!D33</f>
        <v>bộ</v>
      </c>
      <c r="D30" s="1312">
        <f>'NT-VT'!E33</f>
        <v>2</v>
      </c>
      <c r="E30" s="1309" t="str">
        <f>'NT-VT'!F33</f>
        <v>nt</v>
      </c>
      <c r="F30" s="1309" t="str">
        <f>'NT-VT'!G33</f>
        <v>nt</v>
      </c>
      <c r="G30" s="841">
        <f t="shared" si="0"/>
        <v>1</v>
      </c>
      <c r="H30" s="850"/>
    </row>
    <row r="31" spans="1:9" ht="46.8">
      <c r="A31" s="1309">
        <f>SUM($G$3:G31)</f>
        <v>29</v>
      </c>
      <c r="B31" s="1310" t="str">
        <f>'NT-VT'!C34</f>
        <v>Boulon 16x50+ 2 long đền vuông D18-50x50x3/Zn</v>
      </c>
      <c r="C31" s="1311" t="str">
        <f>'NT-VT'!D34</f>
        <v>bộ</v>
      </c>
      <c r="D31" s="1312">
        <f>'NT-VT'!E34</f>
        <v>61</v>
      </c>
      <c r="E31" s="1309" t="str">
        <f>'NT-VT'!F34</f>
        <v>nt</v>
      </c>
      <c r="F31" s="1309" t="str">
        <f>'NT-VT'!G34</f>
        <v>nt</v>
      </c>
      <c r="G31" s="841">
        <f t="shared" si="0"/>
        <v>1</v>
      </c>
      <c r="H31" s="849"/>
      <c r="I31" s="851"/>
    </row>
    <row r="32" spans="1:9" ht="46.8">
      <c r="A32" s="1309">
        <f>SUM($G$3:G32)</f>
        <v>30</v>
      </c>
      <c r="B32" s="1310" t="str">
        <f>'NT-VT'!C35</f>
        <v>Boulon 16x500+ 2 long đền vuông D18-50x50x3/Zn</v>
      </c>
      <c r="C32" s="1311" t="str">
        <f>'NT-VT'!D35</f>
        <v>bộ</v>
      </c>
      <c r="D32" s="1312">
        <f>'NT-VT'!E35</f>
        <v>10</v>
      </c>
      <c r="E32" s="1309" t="str">
        <f>'NT-VT'!F35</f>
        <v>nt</v>
      </c>
      <c r="F32" s="1309" t="str">
        <f>'NT-VT'!G35</f>
        <v>nt</v>
      </c>
      <c r="G32" s="841">
        <f t="shared" si="0"/>
        <v>1</v>
      </c>
      <c r="H32" s="849"/>
      <c r="I32" s="851"/>
    </row>
    <row r="33" spans="1:9" ht="46.8">
      <c r="A33" s="1309">
        <f>SUM($G$3:G33)</f>
        <v>31</v>
      </c>
      <c r="B33" s="1310" t="str">
        <f>'NT-VT'!C36</f>
        <v>Boulon 16x550+ long đền vuông D18-50x50x3/Zn</v>
      </c>
      <c r="C33" s="1311" t="str">
        <f>'NT-VT'!D36</f>
        <v>bộ</v>
      </c>
      <c r="D33" s="1312">
        <f>'NT-VT'!E36</f>
        <v>1</v>
      </c>
      <c r="E33" s="1309" t="str">
        <f>'NT-VT'!F36</f>
        <v>nt</v>
      </c>
      <c r="F33" s="1309" t="str">
        <f>'NT-VT'!G36</f>
        <v>nt</v>
      </c>
      <c r="G33" s="841">
        <f t="shared" si="0"/>
        <v>1</v>
      </c>
      <c r="H33" s="850"/>
    </row>
    <row r="34" spans="1:9" ht="46.8">
      <c r="A34" s="1309">
        <f>SUM($G$3:G34)</f>
        <v>32</v>
      </c>
      <c r="B34" s="1310" t="str">
        <f>'NT-VT'!C37</f>
        <v>Boulon 16x550VRS+ 4 long đền vuông D18-50x50x3/Zn</v>
      </c>
      <c r="C34" s="1311" t="str">
        <f>'NT-VT'!D37</f>
        <v>bộ</v>
      </c>
      <c r="D34" s="1312">
        <f>'NT-VT'!E37</f>
        <v>20</v>
      </c>
      <c r="E34" s="1309" t="str">
        <f>'NT-VT'!F37</f>
        <v>nt</v>
      </c>
      <c r="F34" s="1309" t="str">
        <f>'NT-VT'!G37</f>
        <v>nt</v>
      </c>
      <c r="G34" s="841">
        <f t="shared" si="0"/>
        <v>1</v>
      </c>
      <c r="H34" s="849"/>
      <c r="I34" s="851"/>
    </row>
    <row r="35" spans="1:9" ht="46.8">
      <c r="A35" s="1309">
        <f>SUM($G$3:G35)</f>
        <v>33</v>
      </c>
      <c r="B35" s="1310" t="str">
        <f>'NT-VT'!C38</f>
        <v>Boulon 16x600+ 2 long đền vuông D18-50x50x3/Zn</v>
      </c>
      <c r="C35" s="1311" t="str">
        <f>'NT-VT'!D38</f>
        <v>bộ</v>
      </c>
      <c r="D35" s="1312">
        <f>'NT-VT'!E38</f>
        <v>10</v>
      </c>
      <c r="E35" s="1309" t="str">
        <f>'NT-VT'!F38</f>
        <v>nt</v>
      </c>
      <c r="F35" s="1309" t="str">
        <f>'NT-VT'!G38</f>
        <v>nt</v>
      </c>
      <c r="G35" s="841">
        <f t="shared" si="0"/>
        <v>1</v>
      </c>
      <c r="H35" s="849"/>
      <c r="I35" s="851"/>
    </row>
    <row r="36" spans="1:9" ht="46.8">
      <c r="A36" s="1309">
        <f>SUM($G$3:G36)</f>
        <v>34</v>
      </c>
      <c r="B36" s="1310" t="str">
        <f>'NT-VT'!C39</f>
        <v>Boulon 16x650VRS+ 4 long đền vuông D18-50x50x3/Zn</v>
      </c>
      <c r="C36" s="1311" t="str">
        <f>'NT-VT'!D39</f>
        <v>bộ</v>
      </c>
      <c r="D36" s="1312">
        <f>'NT-VT'!E39</f>
        <v>6</v>
      </c>
      <c r="E36" s="1309" t="str">
        <f>'NT-VT'!F39</f>
        <v>nt</v>
      </c>
      <c r="F36" s="1309" t="str">
        <f>'NT-VT'!G39</f>
        <v>nt</v>
      </c>
      <c r="G36" s="841">
        <f t="shared" si="0"/>
        <v>1</v>
      </c>
      <c r="H36" s="849"/>
      <c r="I36" s="851"/>
    </row>
    <row r="37" spans="1:9" ht="46.8">
      <c r="A37" s="1309">
        <f>SUM($G$3:G37)</f>
        <v>35</v>
      </c>
      <c r="B37" s="1310" t="str">
        <f>'NT-VT'!C40</f>
        <v>Boulon 16x750VRS+ 4 long đền vuông D18-50x50x3/Zn</v>
      </c>
      <c r="C37" s="1311" t="str">
        <f>'NT-VT'!D40</f>
        <v>bộ</v>
      </c>
      <c r="D37" s="1312">
        <f>'NT-VT'!E40</f>
        <v>6</v>
      </c>
      <c r="E37" s="1309" t="str">
        <f>'NT-VT'!F40</f>
        <v>nt</v>
      </c>
      <c r="F37" s="1309" t="str">
        <f>'NT-VT'!G40</f>
        <v>nt</v>
      </c>
      <c r="G37" s="841">
        <f t="shared" si="0"/>
        <v>1</v>
      </c>
      <c r="H37" s="849"/>
      <c r="I37" s="851"/>
    </row>
    <row r="38" spans="1:9" ht="46.8">
      <c r="A38" s="1309">
        <f>SUM($G$3:G38)</f>
        <v>36</v>
      </c>
      <c r="B38" s="1310" t="str">
        <f>'NT-VT'!C41</f>
        <v>Boulon 16x80+ 2 long đền vuông D18-50x50x3/Zn</v>
      </c>
      <c r="C38" s="1311" t="str">
        <f>'NT-VT'!D41</f>
        <v>bộ</v>
      </c>
      <c r="D38" s="1312">
        <f>'NT-VT'!E41</f>
        <v>6</v>
      </c>
      <c r="E38" s="1309" t="str">
        <f>'NT-VT'!F41</f>
        <v>nt</v>
      </c>
      <c r="F38" s="1309" t="str">
        <f>'NT-VT'!G41</f>
        <v>nt</v>
      </c>
      <c r="G38" s="841">
        <f t="shared" si="0"/>
        <v>1</v>
      </c>
      <c r="H38" s="849"/>
      <c r="I38" s="825"/>
    </row>
    <row r="39" spans="1:9" ht="17.399999999999999">
      <c r="A39" s="1309">
        <f>SUM($G$3:G39)</f>
        <v>37</v>
      </c>
      <c r="B39" s="1310" t="str">
        <f>'NT-VT'!C42</f>
        <v>Lưới B40 - 1800-3/Zn</v>
      </c>
      <c r="C39" s="1311" t="str">
        <f>'NT-VT'!D42</f>
        <v>mét</v>
      </c>
      <c r="D39" s="1312">
        <f>'NT-VT'!E42</f>
        <v>14.2</v>
      </c>
      <c r="E39" s="1309" t="str">
        <f>'NT-VT'!F42</f>
        <v>nt</v>
      </c>
      <c r="F39" s="1309" t="str">
        <f>'NT-VT'!G42</f>
        <v>nt</v>
      </c>
      <c r="G39" s="841">
        <f t="shared" si="0"/>
        <v>1</v>
      </c>
      <c r="H39" s="850"/>
    </row>
    <row r="40" spans="1:9" ht="31.2">
      <c r="A40" s="1309">
        <f>SUM($G$3:G40)</f>
        <v>38</v>
      </c>
      <c r="B40" s="1310" t="str">
        <f>'NT-VT'!C43</f>
        <v xml:space="preserve">Bakelit 550x450 dầy 10mm </v>
      </c>
      <c r="C40" s="1311" t="str">
        <f>'NT-VT'!D43</f>
        <v>cái</v>
      </c>
      <c r="D40" s="1312">
        <f>'NT-VT'!E43</f>
        <v>1</v>
      </c>
      <c r="E40" s="1309" t="str">
        <f>'NT-VT'!F43</f>
        <v>nt</v>
      </c>
      <c r="F40" s="1309" t="str">
        <f>'NT-VT'!G43</f>
        <v>nt</v>
      </c>
      <c r="G40" s="841">
        <f t="shared" si="0"/>
        <v>1</v>
      </c>
      <c r="H40" s="850"/>
    </row>
    <row r="41" spans="1:9" ht="31.2">
      <c r="A41" s="1309">
        <f>SUM($G$3:G41)</f>
        <v>39</v>
      </c>
      <c r="B41" s="1310" t="str">
        <f>'NT-VT'!C44</f>
        <v>Bảng tên trạm, bảng báo nguy hiểm + đinh vít</v>
      </c>
      <c r="C41" s="1311" t="str">
        <f>'NT-VT'!D44</f>
        <v>bộ</v>
      </c>
      <c r="D41" s="1312">
        <f>'NT-VT'!E44</f>
        <v>1</v>
      </c>
      <c r="E41" s="1309" t="str">
        <f>'NT-VT'!F44</f>
        <v>nt</v>
      </c>
      <c r="F41" s="1309" t="str">
        <f>'NT-VT'!G44</f>
        <v>nt</v>
      </c>
      <c r="G41" s="841">
        <f t="shared" si="0"/>
        <v>1</v>
      </c>
      <c r="H41" s="849"/>
      <c r="I41" s="851"/>
    </row>
    <row r="42" spans="1:9" ht="15.6">
      <c r="A42" s="1309">
        <f>SUM($G$3:G42)</f>
        <v>40</v>
      </c>
      <c r="B42" s="1310" t="str">
        <f>'NT-VT'!C45</f>
        <v>Băng keo cách điện</v>
      </c>
      <c r="C42" s="1311" t="str">
        <f>'NT-VT'!D45</f>
        <v>cuộn</v>
      </c>
      <c r="D42" s="1312">
        <f>'NT-VT'!E45</f>
        <v>2</v>
      </c>
      <c r="E42" s="1309" t="str">
        <f>'NT-VT'!F45</f>
        <v>nt</v>
      </c>
      <c r="F42" s="1309" t="str">
        <f>'NT-VT'!G45</f>
        <v>nt</v>
      </c>
      <c r="G42" s="841">
        <f t="shared" si="0"/>
        <v>1</v>
      </c>
      <c r="H42" s="849"/>
      <c r="I42" s="825"/>
    </row>
    <row r="43" spans="1:9" ht="31.2">
      <c r="A43" s="1309">
        <f>SUM($G$3:G43)</f>
        <v>41</v>
      </c>
      <c r="B43" s="1310" t="str">
        <f>'NT-VT'!C46</f>
        <v>Băng keo cách điện trung thế</v>
      </c>
      <c r="C43" s="1311" t="str">
        <f>'NT-VT'!D46</f>
        <v>cuộn</v>
      </c>
      <c r="D43" s="1312">
        <f>'NT-VT'!E46</f>
        <v>8</v>
      </c>
      <c r="E43" s="1309" t="str">
        <f>'NT-VT'!F46</f>
        <v>nt</v>
      </c>
      <c r="F43" s="1309" t="str">
        <f>'NT-VT'!G46</f>
        <v>nt</v>
      </c>
      <c r="G43" s="841">
        <f t="shared" si="0"/>
        <v>1</v>
      </c>
      <c r="H43" s="849"/>
      <c r="I43" s="851"/>
    </row>
    <row r="44" spans="1:9" ht="15.6">
      <c r="A44" s="1309">
        <f>SUM($G$3:G44)</f>
        <v>42</v>
      </c>
      <c r="B44" s="1310" t="str">
        <f>'NT-VT'!C47</f>
        <v>Bass LI bắt FCO</v>
      </c>
      <c r="C44" s="1311" t="str">
        <f>'NT-VT'!D47</f>
        <v>Bộ</v>
      </c>
      <c r="D44" s="1312">
        <f>'NT-VT'!E47</f>
        <v>6</v>
      </c>
      <c r="E44" s="1309" t="str">
        <f>'NT-VT'!F47</f>
        <v>nt</v>
      </c>
      <c r="F44" s="1309" t="str">
        <f>'NT-VT'!G47</f>
        <v>nt</v>
      </c>
      <c r="G44" s="841">
        <f t="shared" si="0"/>
        <v>1</v>
      </c>
      <c r="H44" s="849"/>
      <c r="I44" s="825"/>
    </row>
    <row r="45" spans="1:9" ht="15.6">
      <c r="A45" s="1309">
        <f>SUM($G$3:G45)</f>
        <v>43</v>
      </c>
      <c r="B45" s="1310" t="str">
        <f>'NT-VT'!C48</f>
        <v>Bass LL bắt FCO, LA</v>
      </c>
      <c r="C45" s="1311" t="str">
        <f>'NT-VT'!D48</f>
        <v>bộ</v>
      </c>
      <c r="D45" s="1312">
        <f>'NT-VT'!E48</f>
        <v>6</v>
      </c>
      <c r="E45" s="1309" t="str">
        <f>'NT-VT'!F48</f>
        <v>nt</v>
      </c>
      <c r="F45" s="1309" t="str">
        <f>'NT-VT'!G48</f>
        <v>nt</v>
      </c>
      <c r="G45" s="841">
        <f t="shared" si="0"/>
        <v>1</v>
      </c>
      <c r="H45" s="849"/>
      <c r="I45" s="825"/>
    </row>
    <row r="46" spans="1:9" ht="46.8">
      <c r="A46" s="1309">
        <f>SUM($G$3:G46)</f>
        <v>44</v>
      </c>
      <c r="B46" s="1310" t="str">
        <f>'NT-VT'!C49</f>
        <v>Boulon mắt 16x300+ 2 long đền vuông D18-50x50x3/Zn</v>
      </c>
      <c r="C46" s="1311" t="str">
        <f>'NT-VT'!D49</f>
        <v>bộ</v>
      </c>
      <c r="D46" s="1312">
        <f>'NT-VT'!E49</f>
        <v>6</v>
      </c>
      <c r="E46" s="1309" t="str">
        <f>'NT-VT'!F49</f>
        <v>nt</v>
      </c>
      <c r="F46" s="1309" t="str">
        <f>'NT-VT'!G49</f>
        <v>nt</v>
      </c>
      <c r="G46" s="841">
        <f t="shared" si="0"/>
        <v>1</v>
      </c>
      <c r="H46" s="849"/>
      <c r="I46" s="825"/>
    </row>
    <row r="47" spans="1:9" ht="46.8">
      <c r="A47" s="1309">
        <f>SUM($G$3:G47)</f>
        <v>45</v>
      </c>
      <c r="B47" s="1310" t="str">
        <f>'NT-VT'!C50</f>
        <v>Boulon mắt 16x550+ 1 long đền vuông D18-50x50x3/Zn</v>
      </c>
      <c r="C47" s="1311" t="str">
        <f>'NT-VT'!D50</f>
        <v>bộ</v>
      </c>
      <c r="D47" s="1312">
        <f>'NT-VT'!E50</f>
        <v>1</v>
      </c>
      <c r="E47" s="1309" t="str">
        <f>'NT-VT'!F50</f>
        <v>nt</v>
      </c>
      <c r="F47" s="1309" t="str">
        <f>'NT-VT'!G50</f>
        <v>nt</v>
      </c>
      <c r="G47" s="841">
        <f t="shared" si="0"/>
        <v>1</v>
      </c>
      <c r="H47" s="849"/>
      <c r="I47" s="825"/>
    </row>
    <row r="48" spans="1:9" ht="15.6">
      <c r="A48" s="1309">
        <f>SUM($G$3:G48)</f>
        <v>46</v>
      </c>
      <c r="B48" s="1310" t="str">
        <f>'NT-VT'!C51</f>
        <v>Côllier 25x2</v>
      </c>
      <c r="C48" s="1311" t="str">
        <f>'NT-VT'!D51</f>
        <v>bộ</v>
      </c>
      <c r="D48" s="1312">
        <f>'NT-VT'!E51</f>
        <v>4</v>
      </c>
      <c r="E48" s="1309" t="str">
        <f>'NT-VT'!F51</f>
        <v>nt</v>
      </c>
      <c r="F48" s="1309" t="str">
        <f>'NT-VT'!G51</f>
        <v>nt</v>
      </c>
      <c r="G48" s="841">
        <f t="shared" si="0"/>
        <v>1</v>
      </c>
      <c r="H48" s="849"/>
      <c r="I48" s="825"/>
    </row>
    <row r="49" spans="1:9" ht="31.2">
      <c r="A49" s="1309">
        <f>SUM($G$3:G49)</f>
        <v>47</v>
      </c>
      <c r="B49" s="1310" t="str">
        <f>'NT-VT'!C52</f>
        <v>Cổ dê CDĐKĐT( bắt thùng điện kế)</v>
      </c>
      <c r="C49" s="1311" t="str">
        <f>'NT-VT'!D52</f>
        <v>bộ</v>
      </c>
      <c r="D49" s="1312">
        <f>'NT-VT'!E52</f>
        <v>1</v>
      </c>
      <c r="E49" s="1309" t="str">
        <f>'NT-VT'!F52</f>
        <v>nt</v>
      </c>
      <c r="F49" s="1309" t="str">
        <f>'NT-VT'!G52</f>
        <v>nt</v>
      </c>
      <c r="G49" s="841">
        <f t="shared" si="0"/>
        <v>1</v>
      </c>
      <c r="H49" s="849"/>
      <c r="I49" s="825"/>
    </row>
    <row r="50" spans="1:9" ht="15.6">
      <c r="A50" s="1309">
        <f>SUM($G$3:G50)</f>
        <v>48</v>
      </c>
      <c r="B50" s="1310" t="str">
        <f>'NT-VT'!C53</f>
        <v>Cổ dê kẹp ống PVC Ø 60</v>
      </c>
      <c r="C50" s="1311" t="str">
        <f>'NT-VT'!D53</f>
        <v>bộ</v>
      </c>
      <c r="D50" s="1312">
        <f>'NT-VT'!E53</f>
        <v>4</v>
      </c>
      <c r="E50" s="1309" t="str">
        <f>'NT-VT'!F53</f>
        <v>nt</v>
      </c>
      <c r="F50" s="1309" t="str">
        <f>'NT-VT'!G53</f>
        <v>nt</v>
      </c>
      <c r="G50" s="841">
        <f t="shared" si="0"/>
        <v>1</v>
      </c>
      <c r="H50" s="849"/>
      <c r="I50" s="825"/>
    </row>
    <row r="51" spans="1:9" ht="31.2">
      <c r="A51" s="1309">
        <f>SUM($G$3:G51)</f>
        <v>49</v>
      </c>
      <c r="B51" s="1310" t="str">
        <f>'NT-VT'!C54</f>
        <v>Cổ dê bắt tủ trạm trụ ghép D320/60x6</v>
      </c>
      <c r="C51" s="1311" t="str">
        <f>'NT-VT'!D54</f>
        <v>bộ</v>
      </c>
      <c r="D51" s="1312">
        <f>'NT-VT'!E54</f>
        <v>1</v>
      </c>
      <c r="E51" s="1309" t="str">
        <f>'NT-VT'!F54</f>
        <v>nt</v>
      </c>
      <c r="F51" s="1309" t="str">
        <f>'NT-VT'!G54</f>
        <v>nt</v>
      </c>
      <c r="G51" s="841">
        <f t="shared" si="0"/>
        <v>1</v>
      </c>
      <c r="H51" s="849"/>
      <c r="I51" s="825"/>
    </row>
    <row r="52" spans="1:9" ht="31.2">
      <c r="A52" s="1309">
        <f>SUM($G$3:G52)</f>
        <v>50</v>
      </c>
      <c r="B52" s="1310" t="str">
        <f>'NT-VT'!C55</f>
        <v>Chụp đầu cosse  240mm2</v>
      </c>
      <c r="C52" s="1311" t="str">
        <f>'NT-VT'!D55</f>
        <v>cái</v>
      </c>
      <c r="D52" s="1312">
        <f>'NT-VT'!E55</f>
        <v>28</v>
      </c>
      <c r="E52" s="1309" t="str">
        <f>'NT-VT'!F55</f>
        <v>nt</v>
      </c>
      <c r="F52" s="1309" t="str">
        <f>'NT-VT'!G55</f>
        <v>nt</v>
      </c>
      <c r="G52" s="841">
        <f t="shared" si="0"/>
        <v>1</v>
      </c>
      <c r="H52" s="849"/>
      <c r="I52" s="825"/>
    </row>
    <row r="53" spans="1:9" ht="31.2">
      <c r="A53" s="1309">
        <f>SUM($G$3:G53)</f>
        <v>51</v>
      </c>
      <c r="B53" s="1310" t="str">
        <f>'NT-VT'!C56</f>
        <v>Chụp đầu cực FCO (bộ 2 cái)</v>
      </c>
      <c r="C53" s="1311" t="str">
        <f>'NT-VT'!D56</f>
        <v>bộ</v>
      </c>
      <c r="D53" s="1312">
        <f>'NT-VT'!E56</f>
        <v>7</v>
      </c>
      <c r="E53" s="1309" t="str">
        <f>'NT-VT'!F56</f>
        <v>nt</v>
      </c>
      <c r="F53" s="1309" t="str">
        <f>'NT-VT'!G56</f>
        <v>nt</v>
      </c>
      <c r="G53" s="841">
        <f t="shared" si="0"/>
        <v>1</v>
      </c>
      <c r="H53" s="849"/>
      <c r="I53" s="825"/>
    </row>
    <row r="54" spans="1:9" ht="15.6">
      <c r="A54" s="1309">
        <f>SUM($G$3:G54)</f>
        <v>52</v>
      </c>
      <c r="B54" s="1310" t="str">
        <f>'NT-VT'!C57</f>
        <v>Dây chảy 140K</v>
      </c>
      <c r="C54" s="1311" t="str">
        <f>'NT-VT'!D57</f>
        <v>Sợi</v>
      </c>
      <c r="D54" s="1312">
        <f>'NT-VT'!E57</f>
        <v>3</v>
      </c>
      <c r="E54" s="1309" t="str">
        <f>'NT-VT'!F57</f>
        <v>nt</v>
      </c>
      <c r="F54" s="1309" t="str">
        <f>'NT-VT'!G57</f>
        <v>nt</v>
      </c>
      <c r="G54" s="841">
        <f t="shared" si="0"/>
        <v>1</v>
      </c>
      <c r="H54" s="849"/>
      <c r="I54" s="825"/>
    </row>
    <row r="55" spans="1:9" ht="15.6">
      <c r="A55" s="1309">
        <f>SUM($G$3:G55)</f>
        <v>53</v>
      </c>
      <c r="B55" s="1310" t="str">
        <f>'NT-VT'!C58</f>
        <v>Dây chảy 3K</v>
      </c>
      <c r="C55" s="1311" t="str">
        <f>'NT-VT'!D58</f>
        <v>Sợi</v>
      </c>
      <c r="D55" s="1312">
        <f>'NT-VT'!E58</f>
        <v>1</v>
      </c>
      <c r="E55" s="1309" t="str">
        <f>'NT-VT'!F58</f>
        <v>nt</v>
      </c>
      <c r="F55" s="1309" t="str">
        <f>'NT-VT'!G58</f>
        <v>nt</v>
      </c>
      <c r="G55" s="841">
        <f t="shared" si="0"/>
        <v>1</v>
      </c>
      <c r="H55" s="849"/>
      <c r="I55" s="825"/>
    </row>
    <row r="56" spans="1:9" ht="15.6">
      <c r="A56" s="1309">
        <f>SUM($G$3:G56)</f>
        <v>54</v>
      </c>
      <c r="B56" s="1310" t="str">
        <f>'NT-VT'!C59</f>
        <v>Dây chảy 40K</v>
      </c>
      <c r="C56" s="1311" t="str">
        <f>'NT-VT'!D59</f>
        <v>Sợi</v>
      </c>
      <c r="D56" s="1312">
        <f>'NT-VT'!E59</f>
        <v>3</v>
      </c>
      <c r="E56" s="1309" t="str">
        <f>'NT-VT'!F59</f>
        <v>nt</v>
      </c>
      <c r="F56" s="1309" t="str">
        <f>'NT-VT'!G59</f>
        <v>nt</v>
      </c>
      <c r="G56" s="841">
        <f t="shared" si="0"/>
        <v>1</v>
      </c>
      <c r="H56" s="849"/>
      <c r="I56" s="825"/>
    </row>
    <row r="57" spans="1:9" ht="15.6">
      <c r="A57" s="1309">
        <f>SUM($G$3:G57)</f>
        <v>55</v>
      </c>
      <c r="B57" s="1310" t="str">
        <f>'NT-VT'!C60</f>
        <v>Chụp đầu cực LA</v>
      </c>
      <c r="C57" s="1311" t="str">
        <f>'NT-VT'!D60</f>
        <v>cái</v>
      </c>
      <c r="D57" s="1312">
        <f>'NT-VT'!E60</f>
        <v>12</v>
      </c>
      <c r="E57" s="1309" t="str">
        <f>'NT-VT'!F60</f>
        <v>nt</v>
      </c>
      <c r="F57" s="1309" t="str">
        <f>'NT-VT'!G60</f>
        <v>nt</v>
      </c>
      <c r="G57" s="841">
        <f t="shared" si="0"/>
        <v>1</v>
      </c>
      <c r="H57" s="849"/>
      <c r="I57" s="825"/>
    </row>
    <row r="58" spans="1:9" ht="31.2">
      <c r="A58" s="1309">
        <f>SUM($G$3:G58)</f>
        <v>56</v>
      </c>
      <c r="B58" s="1310" t="str">
        <f>'NT-VT'!C61</f>
        <v>Chụp đầu cực LBS, Recloser</v>
      </c>
      <c r="C58" s="1311" t="str">
        <f>'NT-VT'!D61</f>
        <v>cái</v>
      </c>
      <c r="D58" s="1312">
        <f>'NT-VT'!E61</f>
        <v>6</v>
      </c>
      <c r="E58" s="1309" t="str">
        <f>'NT-VT'!F61</f>
        <v>nt</v>
      </c>
      <c r="F58" s="1309" t="str">
        <f>'NT-VT'!G61</f>
        <v>nt</v>
      </c>
      <c r="G58" s="841">
        <f t="shared" si="0"/>
        <v>1</v>
      </c>
      <c r="H58" s="849"/>
      <c r="I58" s="825"/>
    </row>
    <row r="59" spans="1:9" ht="15.6">
      <c r="A59" s="1309">
        <f>SUM($G$3:G59)</f>
        <v>57</v>
      </c>
      <c r="B59" s="1310" t="str">
        <f>'NT-VT'!C62</f>
        <v>Chụp đầu MBA</v>
      </c>
      <c r="C59" s="1311" t="str">
        <f>'NT-VT'!D62</f>
        <v>cái</v>
      </c>
      <c r="D59" s="1312">
        <f>'NT-VT'!E62</f>
        <v>3</v>
      </c>
      <c r="E59" s="1309" t="str">
        <f>'NT-VT'!F62</f>
        <v>nt</v>
      </c>
      <c r="F59" s="1309" t="str">
        <f>'NT-VT'!G62</f>
        <v>nt</v>
      </c>
      <c r="G59" s="841">
        <f t="shared" si="0"/>
        <v>1</v>
      </c>
      <c r="H59" s="849"/>
      <c r="I59" s="825"/>
    </row>
    <row r="60" spans="1:9" ht="31.2">
      <c r="A60" s="1309">
        <f>SUM($G$3:G60)</f>
        <v>58</v>
      </c>
      <c r="B60" s="1310" t="str">
        <f>'NT-VT'!C63</f>
        <v>Nắp chụp kẹp quai + hotline</v>
      </c>
      <c r="C60" s="1311" t="str">
        <f>'NT-VT'!D63</f>
        <v>bộ</v>
      </c>
      <c r="D60" s="1312">
        <f>'NT-VT'!E63</f>
        <v>9</v>
      </c>
      <c r="E60" s="1309" t="str">
        <f>'NT-VT'!F63</f>
        <v>nt</v>
      </c>
      <c r="F60" s="1309" t="str">
        <f>'NT-VT'!G63</f>
        <v>nt</v>
      </c>
      <c r="G60" s="841">
        <f t="shared" si="0"/>
        <v>1</v>
      </c>
      <c r="H60" s="849"/>
      <c r="I60" s="825"/>
    </row>
    <row r="61" spans="1:9" ht="15.6">
      <c r="A61" s="1309">
        <f>SUM($G$3:G61)</f>
        <v>59</v>
      </c>
      <c r="B61" s="1310" t="str">
        <f>'NT-VT'!C64</f>
        <v>Chụp đầu cực TI, TU</v>
      </c>
      <c r="C61" s="1311" t="str">
        <f>'NT-VT'!D64</f>
        <v>Cái</v>
      </c>
      <c r="D61" s="1312">
        <f>'NT-VT'!E64</f>
        <v>9</v>
      </c>
      <c r="E61" s="1309" t="str">
        <f>'NT-VT'!F64</f>
        <v>nt</v>
      </c>
      <c r="F61" s="1309" t="str">
        <f>'NT-VT'!G64</f>
        <v>nt</v>
      </c>
      <c r="G61" s="841">
        <f t="shared" si="0"/>
        <v>1</v>
      </c>
      <c r="H61" s="849"/>
      <c r="I61" s="825"/>
    </row>
    <row r="62" spans="1:9" ht="31.2">
      <c r="A62" s="1309">
        <f>SUM($G$3:G62)</f>
        <v>60</v>
      </c>
      <c r="B62" s="1310" t="str">
        <f>'NT-VT'!C65</f>
        <v>Xà composite 110x800x5 dài 2,4m</v>
      </c>
      <c r="C62" s="1311" t="str">
        <f>'NT-VT'!D65</f>
        <v>cái</v>
      </c>
      <c r="D62" s="1312">
        <f>'NT-VT'!E65</f>
        <v>1</v>
      </c>
      <c r="E62" s="1309" t="str">
        <f>'NT-VT'!F65</f>
        <v>nt</v>
      </c>
      <c r="F62" s="1309" t="str">
        <f>'NT-VT'!G65</f>
        <v>nt</v>
      </c>
      <c r="G62" s="841">
        <f t="shared" si="0"/>
        <v>1</v>
      </c>
      <c r="H62" s="849"/>
      <c r="I62" s="825"/>
    </row>
    <row r="63" spans="1:9" ht="31.2">
      <c r="A63" s="1309">
        <f>SUM($G$3:G63)</f>
        <v>61</v>
      </c>
      <c r="B63" s="1310" t="str">
        <f>'NT-VT'!C66</f>
        <v>Thanh chống Composite 10x40x720</v>
      </c>
      <c r="C63" s="1311" t="str">
        <f>'NT-VT'!D66</f>
        <v>cái</v>
      </c>
      <c r="D63" s="1312">
        <f>'NT-VT'!E66</f>
        <v>2</v>
      </c>
      <c r="E63" s="1309" t="str">
        <f>'NT-VT'!F66</f>
        <v>nt</v>
      </c>
      <c r="F63" s="1309" t="str">
        <f>'NT-VT'!G66</f>
        <v>nt</v>
      </c>
      <c r="G63" s="841">
        <f t="shared" si="0"/>
        <v>1</v>
      </c>
      <c r="H63" s="849"/>
      <c r="I63" s="825"/>
    </row>
    <row r="64" spans="1:9" ht="31.2">
      <c r="A64" s="1309">
        <f>SUM($G$3:G64)</f>
        <v>62</v>
      </c>
      <c r="B64" s="1310" t="str">
        <f>'NT-VT'!C67</f>
        <v>Chống composite 40x10x920</v>
      </c>
      <c r="C64" s="1311" t="str">
        <f>'NT-VT'!D67</f>
        <v>cái</v>
      </c>
      <c r="D64" s="1312">
        <f>'NT-VT'!E67</f>
        <v>2</v>
      </c>
      <c r="E64" s="1309" t="str">
        <f>'NT-VT'!F67</f>
        <v>nt</v>
      </c>
      <c r="F64" s="1309" t="str">
        <f>'NT-VT'!G67</f>
        <v>nt</v>
      </c>
      <c r="G64" s="841">
        <f t="shared" si="0"/>
        <v>1</v>
      </c>
      <c r="H64" s="849"/>
      <c r="I64" s="825"/>
    </row>
    <row r="65" spans="1:9" ht="31.2">
      <c r="A65" s="1309">
        <f>SUM($G$3:G65)</f>
        <v>63</v>
      </c>
      <c r="B65" s="1310" t="str">
        <f>'NT-VT'!C68</f>
        <v>Đầu cosse ép Cu 240mm2</v>
      </c>
      <c r="C65" s="1311" t="str">
        <f>'NT-VT'!D68</f>
        <v>cái</v>
      </c>
      <c r="D65" s="1312">
        <f>'NT-VT'!E68</f>
        <v>28</v>
      </c>
      <c r="E65" s="1309" t="str">
        <f>'NT-VT'!F68</f>
        <v>nt</v>
      </c>
      <c r="F65" s="1309" t="str">
        <f>'NT-VT'!G68</f>
        <v>nt</v>
      </c>
      <c r="G65" s="841">
        <f t="shared" si="0"/>
        <v>1</v>
      </c>
      <c r="H65" s="849"/>
      <c r="I65" s="825"/>
    </row>
    <row r="66" spans="1:9" ht="31.2">
      <c r="A66" s="1309">
        <f>SUM($G$3:G66)</f>
        <v>64</v>
      </c>
      <c r="B66" s="1310" t="str">
        <f>'NT-VT'!C69</f>
        <v>Đầu cosse ép Cu 4mm2 + bao PVC  (ñaáu TU)</v>
      </c>
      <c r="C66" s="1311" t="str">
        <f>'NT-VT'!D69</f>
        <v>cái</v>
      </c>
      <c r="D66" s="1312">
        <f>'NT-VT'!E69</f>
        <v>16</v>
      </c>
      <c r="E66" s="1309" t="str">
        <f>'NT-VT'!F69</f>
        <v>nt</v>
      </c>
      <c r="F66" s="1309" t="str">
        <f>'NT-VT'!G69</f>
        <v>nt</v>
      </c>
      <c r="G66" s="841">
        <f t="shared" si="0"/>
        <v>1</v>
      </c>
      <c r="H66" s="849"/>
      <c r="I66" s="825"/>
    </row>
    <row r="67" spans="1:9" ht="15.6">
      <c r="A67" s="1309">
        <f>SUM($G$3:G67)</f>
        <v>65</v>
      </c>
      <c r="B67" s="1310" t="str">
        <f>'NT-VT'!C70</f>
        <v>Chân sứ đứng D20</v>
      </c>
      <c r="C67" s="1311" t="str">
        <f>'NT-VT'!D70</f>
        <v>cái</v>
      </c>
      <c r="D67" s="1312">
        <f>'NT-VT'!E70</f>
        <v>160</v>
      </c>
      <c r="E67" s="1309" t="str">
        <f>'NT-VT'!F70</f>
        <v>nt</v>
      </c>
      <c r="F67" s="1309" t="str">
        <f>'NT-VT'!G70</f>
        <v>nt</v>
      </c>
      <c r="G67" s="841">
        <f t="shared" ref="G67:G93" si="1">IF(ISERROR(B67),"",1)</f>
        <v>1</v>
      </c>
      <c r="H67" s="849"/>
      <c r="I67" s="825"/>
    </row>
    <row r="68" spans="1:9" ht="31.2">
      <c r="A68" s="1309">
        <f>SUM($G$3:G68)</f>
        <v>66</v>
      </c>
      <c r="B68" s="1310" t="str">
        <f>'NT-VT'!C71</f>
        <v>Cọc tiếp đất Þ 16- 2,4m + kẹp cọc mạ đồng</v>
      </c>
      <c r="C68" s="1311" t="str">
        <f>'NT-VT'!D71</f>
        <v>bộ</v>
      </c>
      <c r="D68" s="1312">
        <f>'NT-VT'!E71</f>
        <v>22</v>
      </c>
      <c r="E68" s="1309" t="str">
        <f>'NT-VT'!F71</f>
        <v>nt</v>
      </c>
      <c r="F68" s="1309" t="str">
        <f>'NT-VT'!G71</f>
        <v>nt</v>
      </c>
      <c r="G68" s="841">
        <f t="shared" si="1"/>
        <v>1</v>
      </c>
      <c r="H68" s="849"/>
      <c r="I68" s="825"/>
    </row>
    <row r="69" spans="1:9" ht="15.6">
      <c r="A69" s="1309">
        <f>SUM($G$3:G69)</f>
        <v>67</v>
      </c>
      <c r="B69" s="1310" t="str">
        <f>'NT-VT'!C72</f>
        <v>Co 90 độ PVC 42</v>
      </c>
      <c r="C69" s="1311" t="str">
        <f>'NT-VT'!D72</f>
        <v>cái</v>
      </c>
      <c r="D69" s="1312">
        <f>'NT-VT'!E72</f>
        <v>2</v>
      </c>
      <c r="E69" s="1309" t="str">
        <f>'NT-VT'!F72</f>
        <v>nt</v>
      </c>
      <c r="F69" s="1309" t="str">
        <f>'NT-VT'!G72</f>
        <v>nt</v>
      </c>
      <c r="G69" s="841">
        <f t="shared" si="1"/>
        <v>1</v>
      </c>
      <c r="H69" s="849"/>
      <c r="I69" s="825"/>
    </row>
    <row r="70" spans="1:9" ht="15.6">
      <c r="A70" s="1309">
        <f>SUM($G$3:G70)</f>
        <v>68</v>
      </c>
      <c r="B70" s="1310" t="str">
        <f>'NT-VT'!C73</f>
        <v>Co 90 độ PVC 60</v>
      </c>
      <c r="C70" s="1311" t="str">
        <f>'NT-VT'!D73</f>
        <v>cái</v>
      </c>
      <c r="D70" s="1312">
        <f>'NT-VT'!E73</f>
        <v>8</v>
      </c>
      <c r="E70" s="1309" t="str">
        <f>'NT-VT'!F73</f>
        <v>nt</v>
      </c>
      <c r="F70" s="1309" t="str">
        <f>'NT-VT'!G73</f>
        <v>nt</v>
      </c>
      <c r="G70" s="841">
        <f t="shared" si="1"/>
        <v>1</v>
      </c>
      <c r="H70" s="849"/>
      <c r="I70" s="825"/>
    </row>
    <row r="71" spans="1:9" ht="15.6">
      <c r="A71" s="1309">
        <f>SUM($G$3:G71)</f>
        <v>69</v>
      </c>
      <c r="B71" s="1310" t="str">
        <f>'NT-VT'!C74</f>
        <v>Dây rút cáp</v>
      </c>
      <c r="C71" s="1311" t="str">
        <f>'NT-VT'!D74</f>
        <v>bọc</v>
      </c>
      <c r="D71" s="1312">
        <f>'NT-VT'!E74</f>
        <v>3</v>
      </c>
      <c r="E71" s="1309" t="str">
        <f>'NT-VT'!F74</f>
        <v>nt</v>
      </c>
      <c r="F71" s="1309" t="str">
        <f>'NT-VT'!G74</f>
        <v>nt</v>
      </c>
      <c r="G71" s="841">
        <f t="shared" si="1"/>
        <v>1</v>
      </c>
      <c r="H71" s="849"/>
      <c r="I71" s="825"/>
    </row>
    <row r="72" spans="1:9" ht="15.6">
      <c r="A72" s="1309">
        <f>SUM($G$3:G72)</f>
        <v>70</v>
      </c>
      <c r="B72" s="1310" t="str">
        <f>'NT-VT'!C75</f>
        <v>Gạch ống</v>
      </c>
      <c r="C72" s="1311" t="str">
        <f>'NT-VT'!D75</f>
        <v>viên</v>
      </c>
      <c r="D72" s="1312">
        <f>'NT-VT'!E75</f>
        <v>350</v>
      </c>
      <c r="E72" s="1309" t="str">
        <f>'NT-VT'!F75</f>
        <v>nt</v>
      </c>
      <c r="F72" s="1309" t="str">
        <f>'NT-VT'!G75</f>
        <v>nt</v>
      </c>
      <c r="G72" s="841">
        <f t="shared" si="1"/>
        <v>1</v>
      </c>
      <c r="H72" s="849"/>
      <c r="I72" s="825"/>
    </row>
    <row r="73" spans="1:9" ht="31.2">
      <c r="A73" s="1309">
        <f>SUM($G$3:G73)</f>
        <v>71</v>
      </c>
      <c r="B73" s="1310" t="str">
        <f>'NT-VT'!C76</f>
        <v>Giáp níu dừng dây bọc (70-95mm2)</v>
      </c>
      <c r="C73" s="1311" t="str">
        <f>'NT-VT'!D76</f>
        <v>cái</v>
      </c>
      <c r="D73" s="1312">
        <f>'NT-VT'!E76</f>
        <v>69</v>
      </c>
      <c r="E73" s="1309" t="str">
        <f>'NT-VT'!F76</f>
        <v>nt</v>
      </c>
      <c r="F73" s="1309" t="str">
        <f>'NT-VT'!G76</f>
        <v>nt</v>
      </c>
      <c r="G73" s="841">
        <f t="shared" si="1"/>
        <v>1</v>
      </c>
      <c r="H73" s="849"/>
      <c r="I73" s="825"/>
    </row>
    <row r="74" spans="1:9" ht="31.2">
      <c r="A74" s="1309">
        <f>SUM($G$3:G74)</f>
        <v>72</v>
      </c>
      <c r="B74" s="1310" t="str">
        <f>'NT-VT'!C77</f>
        <v>Kẹp ép WR cỡ dây 185mm2</v>
      </c>
      <c r="C74" s="1311" t="str">
        <f>'NT-VT'!D77</f>
        <v>cái</v>
      </c>
      <c r="D74" s="1312">
        <f>'NT-VT'!E77</f>
        <v>2</v>
      </c>
      <c r="E74" s="1309" t="str">
        <f>'NT-VT'!F77</f>
        <v>nt</v>
      </c>
      <c r="F74" s="1309" t="str">
        <f>'NT-VT'!G77</f>
        <v>nt</v>
      </c>
      <c r="G74" s="841">
        <f t="shared" si="1"/>
        <v>1</v>
      </c>
      <c r="H74" s="849"/>
      <c r="I74" s="825"/>
    </row>
    <row r="75" spans="1:9" ht="31.2">
      <c r="A75" s="1309">
        <f>SUM($G$3:G75)</f>
        <v>73</v>
      </c>
      <c r="B75" s="1310" t="str">
        <f>'NT-VT'!C78</f>
        <v>Kẹp ép WR cỡ dây 50mm2</v>
      </c>
      <c r="C75" s="1311" t="str">
        <f>'NT-VT'!D78</f>
        <v>cái</v>
      </c>
      <c r="D75" s="1312">
        <f>'NT-VT'!E78</f>
        <v>8</v>
      </c>
      <c r="E75" s="1309" t="str">
        <f>'NT-VT'!F78</f>
        <v>nt</v>
      </c>
      <c r="F75" s="1309" t="str">
        <f>'NT-VT'!G78</f>
        <v>nt</v>
      </c>
      <c r="G75" s="841">
        <f t="shared" si="1"/>
        <v>1</v>
      </c>
      <c r="H75" s="849"/>
      <c r="I75" s="825"/>
    </row>
    <row r="76" spans="1:9" ht="31.2">
      <c r="A76" s="1309">
        <f>SUM($G$3:G76)</f>
        <v>74</v>
      </c>
      <c r="B76" s="1310" t="str">
        <f>'NT-VT'!C79</f>
        <v>Kẹp ép WR cỡ dây 70mm2</v>
      </c>
      <c r="C76" s="1311" t="str">
        <f>'NT-VT'!D79</f>
        <v>cái</v>
      </c>
      <c r="D76" s="1312">
        <f>'NT-VT'!E79</f>
        <v>4</v>
      </c>
      <c r="E76" s="1309" t="str">
        <f>'NT-VT'!F79</f>
        <v>nt</v>
      </c>
      <c r="F76" s="1309" t="str">
        <f>'NT-VT'!G79</f>
        <v>nt</v>
      </c>
      <c r="G76" s="841">
        <f t="shared" si="1"/>
        <v>1</v>
      </c>
      <c r="H76" s="849"/>
      <c r="I76" s="825"/>
    </row>
    <row r="77" spans="1:9" ht="31.2">
      <c r="A77" s="1309">
        <f>SUM($G$3:G77)</f>
        <v>75</v>
      </c>
      <c r="B77" s="1310" t="str">
        <f>'NT-VT'!C80</f>
        <v>Kẹp ép WR cỡ dây 95mm2</v>
      </c>
      <c r="C77" s="1311" t="str">
        <f>'NT-VT'!D80</f>
        <v>cái</v>
      </c>
      <c r="D77" s="1312">
        <f>'NT-VT'!E80</f>
        <v>42</v>
      </c>
      <c r="E77" s="1309" t="str">
        <f>'NT-VT'!F80</f>
        <v>nt</v>
      </c>
      <c r="F77" s="1309" t="str">
        <f>'NT-VT'!G80</f>
        <v>nt</v>
      </c>
      <c r="G77" s="841">
        <f t="shared" si="1"/>
        <v>1</v>
      </c>
      <c r="H77" s="849"/>
      <c r="I77" s="825"/>
    </row>
    <row r="78" spans="1:9" ht="31.2">
      <c r="A78" s="1309">
        <f>SUM($G$3:G78)</f>
        <v>76</v>
      </c>
      <c r="B78" s="1310" t="str">
        <f>'NT-VT'!C81</f>
        <v>Keo dán ống PVC (500gr)</v>
      </c>
      <c r="C78" s="1311" t="str">
        <f>'NT-VT'!D81</f>
        <v>lon</v>
      </c>
      <c r="D78" s="1312">
        <f>'NT-VT'!E81</f>
        <v>1</v>
      </c>
      <c r="E78" s="1309" t="str">
        <f>'NT-VT'!F81</f>
        <v>nt</v>
      </c>
      <c r="F78" s="1309" t="str">
        <f>'NT-VT'!G81</f>
        <v>nt</v>
      </c>
      <c r="G78" s="841">
        <f t="shared" si="1"/>
        <v>1</v>
      </c>
      <c r="H78" s="849"/>
      <c r="I78" s="825"/>
    </row>
    <row r="79" spans="1:9" ht="31.2">
      <c r="A79" s="1309">
        <f>SUM($G$3:G79)</f>
        <v>77</v>
      </c>
      <c r="B79" s="1310" t="str">
        <f>'NT-VT'!C82</f>
        <v>Keo silicon bít miệng ống:</v>
      </c>
      <c r="C79" s="1311" t="str">
        <f>'NT-VT'!D82</f>
        <v>ống</v>
      </c>
      <c r="D79" s="1312">
        <f>'NT-VT'!E82</f>
        <v>7</v>
      </c>
      <c r="E79" s="1309" t="str">
        <f>'NT-VT'!F82</f>
        <v>nt</v>
      </c>
      <c r="F79" s="1309" t="str">
        <f>'NT-VT'!G82</f>
        <v>nt</v>
      </c>
      <c r="G79" s="841">
        <f t="shared" si="1"/>
        <v>1</v>
      </c>
      <c r="H79" s="849"/>
      <c r="I79" s="825"/>
    </row>
    <row r="80" spans="1:9" ht="15.6">
      <c r="A80" s="1309">
        <f>SUM($G$3:G80)</f>
        <v>78</v>
      </c>
      <c r="B80" s="1310" t="str">
        <f>'NT-VT'!C83</f>
        <v xml:space="preserve">Kẹp hotline 4/0: </v>
      </c>
      <c r="C80" s="1311" t="str">
        <f>'NT-VT'!D83</f>
        <v>cái</v>
      </c>
      <c r="D80" s="1312">
        <f>'NT-VT'!E83</f>
        <v>12</v>
      </c>
      <c r="E80" s="1309" t="str">
        <f>'NT-VT'!F83</f>
        <v>nt</v>
      </c>
      <c r="F80" s="1309" t="str">
        <f>'NT-VT'!G83</f>
        <v>nt</v>
      </c>
      <c r="G80" s="841">
        <f t="shared" si="1"/>
        <v>1</v>
      </c>
      <c r="H80" s="849"/>
      <c r="I80" s="825"/>
    </row>
    <row r="81" spans="1:9" ht="31.2">
      <c r="A81" s="1309">
        <f>SUM($G$3:G81)</f>
        <v>79</v>
      </c>
      <c r="B81" s="1310" t="str">
        <f>'NT-VT'!C84</f>
        <v>Khánh lắp chuỗi sứ polymer kép</v>
      </c>
      <c r="C81" s="1311" t="str">
        <f>'NT-VT'!D84</f>
        <v>cái</v>
      </c>
      <c r="D81" s="1312">
        <f>'NT-VT'!E84</f>
        <v>12</v>
      </c>
      <c r="E81" s="1309" t="str">
        <f>'NT-VT'!F84</f>
        <v>nt</v>
      </c>
      <c r="F81" s="1309" t="str">
        <f>'NT-VT'!G84</f>
        <v>nt</v>
      </c>
      <c r="G81" s="841">
        <f t="shared" si="1"/>
        <v>1</v>
      </c>
      <c r="H81" s="849"/>
      <c r="I81" s="825"/>
    </row>
    <row r="82" spans="1:9" ht="15.6">
      <c r="A82" s="1309">
        <f>SUM($G$3:G82)</f>
        <v>80</v>
      </c>
      <c r="B82" s="1310" t="str">
        <f>'NT-VT'!C85</f>
        <v>Khóa néo dây cỡ dây 50</v>
      </c>
      <c r="C82" s="1311" t="str">
        <f>'NT-VT'!D85</f>
        <v>cái</v>
      </c>
      <c r="D82" s="1312">
        <f>'NT-VT'!E85</f>
        <v>6</v>
      </c>
      <c r="E82" s="1309" t="str">
        <f>'NT-VT'!F85</f>
        <v>nt</v>
      </c>
      <c r="F82" s="1309" t="str">
        <f>'NT-VT'!G85</f>
        <v>nt</v>
      </c>
      <c r="G82" s="841">
        <f t="shared" si="1"/>
        <v>1</v>
      </c>
      <c r="H82" s="849"/>
      <c r="I82" s="825"/>
    </row>
    <row r="83" spans="1:9" ht="15.6">
      <c r="A83" s="1309">
        <f>SUM($G$3:G83)</f>
        <v>81</v>
      </c>
      <c r="B83" s="1310" t="str">
        <f>'NT-VT'!C86</f>
        <v>Khóa néo dây cỡ dây 70</v>
      </c>
      <c r="C83" s="1311" t="str">
        <f>'NT-VT'!D86</f>
        <v>cái</v>
      </c>
      <c r="D83" s="1312">
        <f>'NT-VT'!E86</f>
        <v>28</v>
      </c>
      <c r="E83" s="1309" t="str">
        <f>'NT-VT'!F86</f>
        <v>nt</v>
      </c>
      <c r="F83" s="1309" t="str">
        <f>'NT-VT'!G86</f>
        <v>nt</v>
      </c>
      <c r="G83" s="841">
        <f t="shared" si="1"/>
        <v>1</v>
      </c>
      <c r="H83" s="849"/>
      <c r="I83" s="825"/>
    </row>
    <row r="84" spans="1:9" ht="15.6">
      <c r="A84" s="1309">
        <f>SUM($G$3:G84)</f>
        <v>82</v>
      </c>
      <c r="B84" s="1310" t="str">
        <f>'NT-VT'!C87</f>
        <v>Kẹp quai 4/0</v>
      </c>
      <c r="C84" s="1311" t="str">
        <f>'NT-VT'!D87</f>
        <v>cái</v>
      </c>
      <c r="D84" s="1312">
        <f>'NT-VT'!E87</f>
        <v>12</v>
      </c>
      <c r="E84" s="1309" t="str">
        <f>'NT-VT'!F87</f>
        <v>nt</v>
      </c>
      <c r="F84" s="1309" t="str">
        <f>'NT-VT'!G87</f>
        <v>nt</v>
      </c>
      <c r="G84" s="841">
        <f t="shared" si="1"/>
        <v>1</v>
      </c>
      <c r="H84" s="849"/>
      <c r="I84" s="825"/>
    </row>
    <row r="85" spans="1:9" ht="15.6">
      <c r="A85" s="1309">
        <f>SUM($G$3:G85)</f>
        <v>83</v>
      </c>
      <c r="B85" s="1310" t="str">
        <f>'NT-VT'!C88</f>
        <v>Khâu ven răng ngoài D60</v>
      </c>
      <c r="C85" s="1311" t="str">
        <f>'NT-VT'!D88</f>
        <v>cái</v>
      </c>
      <c r="D85" s="1312">
        <f>'NT-VT'!E88</f>
        <v>1</v>
      </c>
      <c r="E85" s="1309" t="str">
        <f>'NT-VT'!F88</f>
        <v>nt</v>
      </c>
      <c r="F85" s="1309" t="str">
        <f>'NT-VT'!G88</f>
        <v>nt</v>
      </c>
      <c r="G85" s="841">
        <f t="shared" si="1"/>
        <v>1</v>
      </c>
      <c r="H85" s="849"/>
      <c r="I85" s="825"/>
    </row>
    <row r="86" spans="1:9" ht="15.6">
      <c r="A86" s="1309">
        <f>SUM($G$3:G86)</f>
        <v>84</v>
      </c>
      <c r="B86" s="1310" t="str">
        <f>'NT-VT'!C89</f>
        <v>Khâu ven răng trong D60</v>
      </c>
      <c r="C86" s="1311" t="str">
        <f>'NT-VT'!D89</f>
        <v>cái</v>
      </c>
      <c r="D86" s="1312">
        <f>'NT-VT'!E89</f>
        <v>1</v>
      </c>
      <c r="E86" s="1309" t="str">
        <f>'NT-VT'!F89</f>
        <v>nt</v>
      </c>
      <c r="F86" s="1309" t="str">
        <f>'NT-VT'!G89</f>
        <v>nt</v>
      </c>
      <c r="G86" s="841">
        <f t="shared" si="1"/>
        <v>1</v>
      </c>
      <c r="H86" s="849"/>
      <c r="I86" s="825"/>
    </row>
    <row r="87" spans="1:9" ht="31.2">
      <c r="A87" s="1309">
        <f>SUM($G$3:G87)</f>
        <v>85</v>
      </c>
      <c r="B87" s="1310" t="str">
        <f>'NT-VT'!C90</f>
        <v>Gia công và lắp dựng khung cửa sắt</v>
      </c>
      <c r="C87" s="1311" t="str">
        <f>'NT-VT'!D90</f>
        <v>m2</v>
      </c>
      <c r="D87" s="1312">
        <f>'NT-VT'!E90</f>
        <v>24</v>
      </c>
      <c r="E87" s="1309" t="str">
        <f>'NT-VT'!F90</f>
        <v>nt</v>
      </c>
      <c r="F87" s="1309" t="str">
        <f>'NT-VT'!G90</f>
        <v>nt</v>
      </c>
      <c r="G87" s="841">
        <f t="shared" si="1"/>
        <v>1</v>
      </c>
      <c r="H87" s="849"/>
      <c r="I87" s="825"/>
    </row>
    <row r="88" spans="1:9" ht="15.6">
      <c r="A88" s="1309">
        <f>SUM($G$3:G88)</f>
        <v>86</v>
      </c>
      <c r="B88" s="1310" t="str">
        <f>'NT-VT'!C91</f>
        <v>LTD 1P 24KV - 800A</v>
      </c>
      <c r="C88" s="1311" t="str">
        <f>'NT-VT'!D91</f>
        <v>cái</v>
      </c>
      <c r="D88" s="1312">
        <f>'NT-VT'!E91</f>
        <v>3</v>
      </c>
      <c r="E88" s="1309" t="str">
        <f>'NT-VT'!F91</f>
        <v>nt</v>
      </c>
      <c r="F88" s="1309" t="str">
        <f>'NT-VT'!G91</f>
        <v>nt</v>
      </c>
      <c r="G88" s="841">
        <f t="shared" si="1"/>
        <v>1</v>
      </c>
      <c r="H88" s="849"/>
      <c r="I88" s="825"/>
    </row>
    <row r="89" spans="1:9" ht="15.6">
      <c r="A89" s="1309">
        <f>SUM($G$3:G89)</f>
        <v>87</v>
      </c>
      <c r="B89" s="1310" t="str">
        <f>'NT-VT'!C92</f>
        <v>Dây đồng trần mềm dẹt</v>
      </c>
      <c r="C89" s="1311" t="str">
        <f>'NT-VT'!D92</f>
        <v>mét</v>
      </c>
      <c r="D89" s="1312">
        <f>'NT-VT'!E92</f>
        <v>4</v>
      </c>
      <c r="E89" s="1309" t="str">
        <f>'NT-VT'!F92</f>
        <v>nt</v>
      </c>
      <c r="F89" s="1309" t="str">
        <f>'NT-VT'!G92</f>
        <v>nt</v>
      </c>
      <c r="G89" s="841">
        <f t="shared" si="1"/>
        <v>1</v>
      </c>
      <c r="H89" s="849"/>
      <c r="I89" s="825"/>
    </row>
    <row r="90" spans="1:9" ht="15.6">
      <c r="A90" s="1309">
        <f>SUM($G$3:G90)</f>
        <v>88</v>
      </c>
      <c r="B90" s="1310" t="str">
        <f>'NT-VT'!C93</f>
        <v xml:space="preserve">Móc treo chữ U </v>
      </c>
      <c r="C90" s="1311" t="str">
        <f>'NT-VT'!D93</f>
        <v>cái</v>
      </c>
      <c r="D90" s="1312">
        <f>'NT-VT'!E93</f>
        <v>150</v>
      </c>
      <c r="E90" s="1309" t="str">
        <f>'NT-VT'!F93</f>
        <v>nt</v>
      </c>
      <c r="F90" s="1309" t="str">
        <f>'NT-VT'!G93</f>
        <v>nt</v>
      </c>
      <c r="G90" s="841">
        <f t="shared" si="1"/>
        <v>1</v>
      </c>
      <c r="H90" s="849"/>
      <c r="I90" s="825"/>
    </row>
    <row r="91" spans="1:9" ht="15.6">
      <c r="A91" s="1309">
        <f>SUM($G$3:G91)</f>
        <v>89</v>
      </c>
      <c r="B91" s="1310" t="str">
        <f>'NT-VT'!C94</f>
        <v>Nối ống PVC 60</v>
      </c>
      <c r="C91" s="1311" t="str">
        <f>'NT-VT'!D94</f>
        <v>cái</v>
      </c>
      <c r="D91" s="1312">
        <f>'NT-VT'!E94</f>
        <v>5</v>
      </c>
      <c r="E91" s="1309" t="str">
        <f>'NT-VT'!F94</f>
        <v>nt</v>
      </c>
      <c r="F91" s="1309" t="str">
        <f>'NT-VT'!G94</f>
        <v>nt</v>
      </c>
      <c r="G91" s="841">
        <f t="shared" si="1"/>
        <v>1</v>
      </c>
      <c r="H91" s="849"/>
      <c r="I91" s="825"/>
    </row>
    <row r="92" spans="1:9" ht="15.6">
      <c r="A92" s="1309">
        <f>SUM($G$3:G92)</f>
        <v>90</v>
      </c>
      <c r="B92" s="1310" t="str">
        <f>'NT-VT'!C95</f>
        <v>Ong co nhiệt</v>
      </c>
      <c r="C92" s="1311" t="str">
        <f>'NT-VT'!D95</f>
        <v>m</v>
      </c>
      <c r="D92" s="2691">
        <f>'NT-VT'!E95</f>
        <v>27</v>
      </c>
      <c r="E92" s="1309" t="str">
        <f>'NT-VT'!F95</f>
        <v>nt</v>
      </c>
      <c r="F92" s="1309" t="str">
        <f>'NT-VT'!G95</f>
        <v>nt</v>
      </c>
      <c r="G92" s="841">
        <f t="shared" si="1"/>
        <v>1</v>
      </c>
      <c r="H92" s="849"/>
      <c r="I92" s="825"/>
    </row>
    <row r="93" spans="1:9" ht="15.6">
      <c r="A93" s="1309">
        <f>SUM($G$3:G93)</f>
        <v>91</v>
      </c>
      <c r="B93" s="1310" t="str">
        <f>'NT-VT'!C96</f>
        <v>Ống nối dây AC-185</v>
      </c>
      <c r="C93" s="1311" t="str">
        <f>'NT-VT'!D96</f>
        <v>cái</v>
      </c>
      <c r="D93" s="2691">
        <f>'NT-VT'!E96</f>
        <v>84</v>
      </c>
      <c r="E93" s="1309" t="str">
        <f>'NT-VT'!F96</f>
        <v>nt</v>
      </c>
      <c r="F93" s="1309" t="str">
        <f>'NT-VT'!G96</f>
        <v>nt</v>
      </c>
      <c r="G93" s="841">
        <f t="shared" si="1"/>
        <v>1</v>
      </c>
      <c r="H93" s="849"/>
      <c r="I93" s="825"/>
    </row>
    <row r="94" spans="1:9" ht="15.6">
      <c r="A94" s="1309">
        <f>SUM($G$3:G94)</f>
        <v>92</v>
      </c>
      <c r="B94" s="1310" t="str">
        <f>'NT-VT'!C97</f>
        <v>Ốc siết cáp cỡ 25mm2</v>
      </c>
      <c r="C94" s="1311" t="str">
        <f>'NT-VT'!D97</f>
        <v>cái</v>
      </c>
      <c r="D94" s="2691">
        <f>'NT-VT'!E97</f>
        <v>25</v>
      </c>
      <c r="E94" s="1309" t="str">
        <f>'NT-VT'!F97</f>
        <v>nt</v>
      </c>
      <c r="F94" s="1309" t="str">
        <f>'NT-VT'!G97</f>
        <v>nt</v>
      </c>
      <c r="G94" s="841">
        <f t="shared" ref="G94:G124" si="2">IF(ISERROR(B94),"",1)</f>
        <v>1</v>
      </c>
      <c r="H94" s="849"/>
      <c r="I94" s="825"/>
    </row>
    <row r="95" spans="1:9" ht="15.6">
      <c r="A95" s="1309">
        <f>SUM($G$3:G95)</f>
        <v>93</v>
      </c>
      <c r="B95" s="1310" t="str">
        <f>'NT-VT'!C98</f>
        <v xml:space="preserve">Ống PVC D114x4,9mm </v>
      </c>
      <c r="C95" s="1311" t="str">
        <f>'NT-VT'!D98</f>
        <v>m</v>
      </c>
      <c r="D95" s="2085">
        <f>'NT-VT'!E98</f>
        <v>8</v>
      </c>
      <c r="E95" s="1309" t="str">
        <f>'NT-VT'!F98</f>
        <v>nt</v>
      </c>
      <c r="F95" s="1309" t="str">
        <f>'NT-VT'!G98</f>
        <v>nt</v>
      </c>
      <c r="G95" s="841">
        <f t="shared" si="2"/>
        <v>1</v>
      </c>
      <c r="H95" s="849"/>
      <c r="I95" s="825"/>
    </row>
    <row r="96" spans="1:9" ht="15.6">
      <c r="A96" s="1309">
        <f>SUM($G$3:G96)</f>
        <v>94</v>
      </c>
      <c r="B96" s="1310" t="str">
        <f>'NT-VT'!C99</f>
        <v>Ống PVC D42x2,1mm</v>
      </c>
      <c r="C96" s="1311" t="str">
        <f>'NT-VT'!D99</f>
        <v>m</v>
      </c>
      <c r="D96" s="2085">
        <f>'NT-VT'!E99</f>
        <v>7</v>
      </c>
      <c r="E96" s="1309" t="str">
        <f>'NT-VT'!F99</f>
        <v>nt</v>
      </c>
      <c r="F96" s="1309" t="str">
        <f>'NT-VT'!G99</f>
        <v>nt</v>
      </c>
      <c r="G96" s="841">
        <f t="shared" si="2"/>
        <v>1</v>
      </c>
      <c r="H96" s="849"/>
      <c r="I96" s="825"/>
    </row>
    <row r="97" spans="1:9" ht="15.6">
      <c r="A97" s="1309">
        <f>SUM($G$3:G97)</f>
        <v>95</v>
      </c>
      <c r="B97" s="1310" t="str">
        <f>'NT-VT'!C100</f>
        <v>Ống PVC D60x2,8mm</v>
      </c>
      <c r="C97" s="1311" t="str">
        <f>'NT-VT'!D100</f>
        <v>m</v>
      </c>
      <c r="D97" s="1312">
        <f>'NT-VT'!E100</f>
        <v>25</v>
      </c>
      <c r="E97" s="1309" t="str">
        <f>'NT-VT'!F100</f>
        <v>nt</v>
      </c>
      <c r="F97" s="1309" t="str">
        <f>'NT-VT'!G100</f>
        <v>nt</v>
      </c>
      <c r="G97" s="841">
        <f t="shared" si="2"/>
        <v>1</v>
      </c>
      <c r="H97" s="849"/>
      <c r="I97" s="825"/>
    </row>
    <row r="98" spans="1:9" ht="15.6">
      <c r="A98" s="1309">
        <f>SUM($G$3:G98)</f>
        <v>96</v>
      </c>
      <c r="B98" s="1310" t="str">
        <f>'NT-VT'!C101</f>
        <v>Uclevis + sứ ống chỉ</v>
      </c>
      <c r="C98" s="1311" t="str">
        <f>'NT-VT'!D101</f>
        <v>bộ</v>
      </c>
      <c r="D98" s="1312">
        <f>'NT-VT'!E101</f>
        <v>6</v>
      </c>
      <c r="E98" s="1309" t="str">
        <f>'NT-VT'!F101</f>
        <v>nt</v>
      </c>
      <c r="F98" s="1309" t="str">
        <f>'NT-VT'!G101</f>
        <v>nt</v>
      </c>
      <c r="G98" s="835">
        <f t="shared" si="2"/>
        <v>1</v>
      </c>
      <c r="H98" s="849"/>
      <c r="I98" s="825"/>
    </row>
    <row r="99" spans="1:9" ht="46.8">
      <c r="A99" s="1309">
        <f>SUM($G$3:G99)</f>
        <v>97</v>
      </c>
      <c r="B99" s="1310" t="str">
        <f>'NT-VT'!C102</f>
        <v>Recloser 24kV 630A - 800A (MBA cấp nguồn + Phụ kiện)</v>
      </c>
      <c r="C99" s="1311" t="str">
        <f>'NT-VT'!D102</f>
        <v>bộ</v>
      </c>
      <c r="D99" s="1312">
        <f>'NT-VT'!E102</f>
        <v>1</v>
      </c>
      <c r="E99" s="1309" t="str">
        <f>'NT-VT'!F102</f>
        <v>nt</v>
      </c>
      <c r="F99" s="1309" t="str">
        <f>'NT-VT'!G102</f>
        <v>nt</v>
      </c>
      <c r="G99" s="835">
        <f t="shared" si="2"/>
        <v>1</v>
      </c>
      <c r="H99" s="849"/>
      <c r="I99" s="825"/>
    </row>
    <row r="100" spans="1:9" ht="15.6">
      <c r="A100" s="1309">
        <f>SUM($G$3:G100)</f>
        <v>98</v>
      </c>
      <c r="B100" s="1310" t="str">
        <f>'NT-VT'!C103</f>
        <v>Sắt dẹt 60 x 6</v>
      </c>
      <c r="C100" s="1311" t="str">
        <f>'NT-VT'!D103</f>
        <v>kg</v>
      </c>
      <c r="D100" s="1312">
        <f>'NT-VT'!E103</f>
        <v>3</v>
      </c>
      <c r="E100" s="1309" t="str">
        <f>'NT-VT'!F103</f>
        <v>nt</v>
      </c>
      <c r="F100" s="1309" t="str">
        <f>'NT-VT'!G103</f>
        <v>nt</v>
      </c>
      <c r="G100" s="835">
        <f t="shared" si="2"/>
        <v>1</v>
      </c>
      <c r="H100" s="849"/>
      <c r="I100" s="825"/>
    </row>
    <row r="101" spans="1:9" ht="31.2">
      <c r="A101" s="1309">
        <f>SUM($G$3:G101)</f>
        <v>99</v>
      </c>
      <c r="B101" s="1310" t="str">
        <f>'NT-VT'!C104</f>
        <v>Thanh sắt V40x40x3-6000 - 17,7kg/thanh</v>
      </c>
      <c r="C101" s="1311" t="str">
        <f>'NT-VT'!D104</f>
        <v>kg</v>
      </c>
      <c r="D101" s="1312">
        <f>'NT-VT'!E104</f>
        <v>47.2</v>
      </c>
      <c r="E101" s="1309" t="str">
        <f>'NT-VT'!F104</f>
        <v>nt</v>
      </c>
      <c r="F101" s="1309" t="str">
        <f>'NT-VT'!G104</f>
        <v>nt</v>
      </c>
      <c r="G101" s="835">
        <f t="shared" si="2"/>
        <v>1</v>
      </c>
      <c r="H101" s="849"/>
      <c r="I101" s="825"/>
    </row>
    <row r="102" spans="1:9" ht="31.2">
      <c r="A102" s="1309">
        <f>SUM($G$3:G102)</f>
        <v>100</v>
      </c>
      <c r="B102" s="1310" t="str">
        <f>'NT-VT'!C105</f>
        <v>Thanh sắt V50x50x5-4000 - 16kg/thanh</v>
      </c>
      <c r="C102" s="1311" t="str">
        <f>'NT-VT'!D105</f>
        <v>kg</v>
      </c>
      <c r="D102" s="1312">
        <f>'NT-VT'!E105</f>
        <v>128</v>
      </c>
      <c r="E102" s="1309" t="str">
        <f>'NT-VT'!F105</f>
        <v>nt</v>
      </c>
      <c r="F102" s="1309" t="str">
        <f>'NT-VT'!G105</f>
        <v>nt</v>
      </c>
      <c r="G102" s="835">
        <f t="shared" si="2"/>
        <v>1</v>
      </c>
      <c r="H102" s="849"/>
      <c r="I102" s="825"/>
    </row>
    <row r="103" spans="1:9" ht="31.2">
      <c r="A103" s="1309">
        <f>SUM($G$3:G103)</f>
        <v>101</v>
      </c>
      <c r="B103" s="1310" t="str">
        <f>'NT-VT'!C106</f>
        <v>Sắt góc L50 x50 x5 x1150</v>
      </c>
      <c r="C103" s="1311" t="str">
        <f>'NT-VT'!D106</f>
        <v>cái</v>
      </c>
      <c r="D103" s="1312">
        <f>'NT-VT'!E106</f>
        <v>50</v>
      </c>
      <c r="E103" s="1309" t="str">
        <f>'NT-VT'!F106</f>
        <v>nt</v>
      </c>
      <c r="F103" s="1309" t="str">
        <f>'NT-VT'!G106</f>
        <v>nt</v>
      </c>
      <c r="G103" s="835">
        <f t="shared" si="2"/>
        <v>1</v>
      </c>
      <c r="H103" s="849"/>
      <c r="I103" s="825"/>
    </row>
    <row r="104" spans="1:9" ht="31.2">
      <c r="A104" s="1309">
        <f>SUM($G$3:G104)</f>
        <v>102</v>
      </c>
      <c r="B104" s="1310" t="str">
        <f>'NT-VT'!C107</f>
        <v>Sắt góc L50 x50 x5 x1190</v>
      </c>
      <c r="C104" s="1311" t="str">
        <f>'NT-VT'!D107</f>
        <v>cái</v>
      </c>
      <c r="D104" s="1312">
        <f>'NT-VT'!E107</f>
        <v>3</v>
      </c>
      <c r="E104" s="1309" t="str">
        <f>'NT-VT'!F107</f>
        <v>nt</v>
      </c>
      <c r="F104" s="1309" t="str">
        <f>'NT-VT'!G107</f>
        <v>nt</v>
      </c>
      <c r="G104" s="835">
        <f t="shared" si="2"/>
        <v>1</v>
      </c>
      <c r="H104" s="849"/>
      <c r="I104" s="825"/>
    </row>
    <row r="105" spans="1:9" ht="15.6">
      <c r="A105" s="1309">
        <f>SUM($G$3:G105)</f>
        <v>103</v>
      </c>
      <c r="B105" s="1310" t="str">
        <f>'NT-VT'!C108</f>
        <v>Sắt góc L50 x50 x5 - 810</v>
      </c>
      <c r="C105" s="1311" t="str">
        <f>'NT-VT'!D108</f>
        <v>cái</v>
      </c>
      <c r="D105" s="1312">
        <f>'NT-VT'!E108</f>
        <v>68</v>
      </c>
      <c r="E105" s="1309" t="str">
        <f>'NT-VT'!F108</f>
        <v>nt</v>
      </c>
      <c r="F105" s="1309" t="str">
        <f>'NT-VT'!G108</f>
        <v>nt</v>
      </c>
      <c r="G105" s="835">
        <f t="shared" si="2"/>
        <v>1</v>
      </c>
      <c r="H105" s="849"/>
      <c r="I105" s="825"/>
    </row>
    <row r="106" spans="1:9" ht="15.6">
      <c r="A106" s="1309">
        <f>SUM($G$3:G106)</f>
        <v>104</v>
      </c>
      <c r="B106" s="1310" t="str">
        <f>'NT-VT'!C109</f>
        <v>Sắt góc L50 x50 x5 x920</v>
      </c>
      <c r="C106" s="1311" t="str">
        <f>'NT-VT'!D109</f>
        <v>cái</v>
      </c>
      <c r="D106" s="1312">
        <f>'NT-VT'!E109</f>
        <v>2</v>
      </c>
      <c r="E106" s="1309" t="str">
        <f>'NT-VT'!F109</f>
        <v>nt</v>
      </c>
      <c r="F106" s="1309" t="str">
        <f>'NT-VT'!G109</f>
        <v>nt</v>
      </c>
      <c r="G106" s="835">
        <f t="shared" si="2"/>
        <v>1</v>
      </c>
      <c r="H106" s="849"/>
      <c r="I106" s="825"/>
    </row>
    <row r="107" spans="1:9" ht="31.2">
      <c r="A107" s="1309">
        <f>SUM($G$3:G107)</f>
        <v>105</v>
      </c>
      <c r="B107" s="1310" t="str">
        <f>'NT-VT'!C110</f>
        <v>Sắt góc L75 x75 x8-2.200</v>
      </c>
      <c r="C107" s="1311" t="str">
        <f>'NT-VT'!D110</f>
        <v>cái</v>
      </c>
      <c r="D107" s="1312">
        <f>'NT-VT'!E110</f>
        <v>28</v>
      </c>
      <c r="E107" s="1309" t="str">
        <f>'NT-VT'!F110</f>
        <v>nt</v>
      </c>
      <c r="F107" s="1309" t="str">
        <f>'NT-VT'!G110</f>
        <v>nt</v>
      </c>
      <c r="G107" s="835">
        <f t="shared" si="2"/>
        <v>1</v>
      </c>
      <c r="H107" s="849"/>
      <c r="I107" s="825"/>
    </row>
    <row r="108" spans="1:9" ht="15.6">
      <c r="A108" s="1309">
        <f>SUM($G$3:G108)</f>
        <v>106</v>
      </c>
      <c r="B108" s="1310" t="str">
        <f>'NT-VT'!C111</f>
        <v>Sắt góc L75 x75 x8-2100</v>
      </c>
      <c r="C108" s="1311" t="str">
        <f>'NT-VT'!D111</f>
        <v>cái</v>
      </c>
      <c r="D108" s="1312">
        <f>'NT-VT'!E111</f>
        <v>3</v>
      </c>
      <c r="E108" s="1309" t="str">
        <f>'NT-VT'!F111</f>
        <v>nt</v>
      </c>
      <c r="F108" s="1309" t="str">
        <f>'NT-VT'!G111</f>
        <v>nt</v>
      </c>
      <c r="G108" s="835">
        <f t="shared" si="2"/>
        <v>1</v>
      </c>
      <c r="H108" s="849"/>
      <c r="I108" s="825"/>
    </row>
    <row r="109" spans="1:9" ht="31.2">
      <c r="A109" s="1309">
        <f>SUM($G$3:G109)</f>
        <v>107</v>
      </c>
      <c r="B109" s="1310" t="str">
        <f>'NT-VT'!C112</f>
        <v>Sắt góc L75 x75 x8 x2200</v>
      </c>
      <c r="C109" s="1311" t="str">
        <f>'NT-VT'!D112</f>
        <v>cái</v>
      </c>
      <c r="D109" s="1312">
        <f>'NT-VT'!E112</f>
        <v>34</v>
      </c>
      <c r="E109" s="1309" t="str">
        <f>'NT-VT'!F112</f>
        <v>nt</v>
      </c>
      <c r="F109" s="1309" t="str">
        <f>'NT-VT'!G112</f>
        <v>nt</v>
      </c>
      <c r="G109" s="835">
        <f t="shared" si="2"/>
        <v>1</v>
      </c>
      <c r="H109" s="849"/>
      <c r="I109" s="825"/>
    </row>
    <row r="110" spans="1:9" ht="31.2">
      <c r="A110" s="1309">
        <f>SUM($G$3:G110)</f>
        <v>108</v>
      </c>
      <c r="B110" s="1310" t="str">
        <f>'NT-VT'!C113</f>
        <v>Sắt góc L75 x75 x8 x2400</v>
      </c>
      <c r="C110" s="1311" t="str">
        <f>'NT-VT'!D113</f>
        <v>cái</v>
      </c>
      <c r="D110" s="1312">
        <f>'NT-VT'!E113</f>
        <v>2</v>
      </c>
      <c r="E110" s="1309" t="str">
        <f>'NT-VT'!F113</f>
        <v>nt</v>
      </c>
      <c r="F110" s="1309" t="str">
        <f>'NT-VT'!G113</f>
        <v>nt</v>
      </c>
      <c r="G110" s="835">
        <f t="shared" si="2"/>
        <v>1</v>
      </c>
      <c r="H110" s="849"/>
      <c r="I110" s="825"/>
    </row>
    <row r="111" spans="1:9" ht="15.6">
      <c r="A111" s="1309">
        <f>SUM($G$3:G111)</f>
        <v>109</v>
      </c>
      <c r="B111" s="1310" t="str">
        <f>'NT-VT'!C114</f>
        <v>Sắt Ø10</v>
      </c>
      <c r="C111" s="1311" t="str">
        <f>'NT-VT'!D114</f>
        <v>kg</v>
      </c>
      <c r="D111" s="1312">
        <f>'NT-VT'!E114</f>
        <v>1.1399999999999999</v>
      </c>
      <c r="E111" s="1309" t="str">
        <f>'NT-VT'!F114</f>
        <v>nt</v>
      </c>
      <c r="F111" s="1309" t="str">
        <f>'NT-VT'!G114</f>
        <v>nt</v>
      </c>
      <c r="G111" s="835">
        <f t="shared" si="2"/>
        <v>1</v>
      </c>
      <c r="H111" s="849"/>
      <c r="I111" s="825"/>
    </row>
    <row r="112" spans="1:9" ht="15.6">
      <c r="A112" s="1309">
        <f>SUM($G$3:G112)</f>
        <v>110</v>
      </c>
      <c r="B112" s="1310" t="str">
        <f>'NT-VT'!C115</f>
        <v>Sắt Ø8</v>
      </c>
      <c r="C112" s="1311" t="str">
        <f>'NT-VT'!D115</f>
        <v>kg</v>
      </c>
      <c r="D112" s="1312">
        <f>'NT-VT'!E115</f>
        <v>16</v>
      </c>
      <c r="E112" s="1309" t="str">
        <f>'NT-VT'!F115</f>
        <v>nt</v>
      </c>
      <c r="F112" s="1309" t="str">
        <f>'NT-VT'!G115</f>
        <v>nt</v>
      </c>
      <c r="G112" s="835">
        <f t="shared" si="2"/>
        <v>1</v>
      </c>
      <c r="H112" s="849"/>
      <c r="I112" s="825"/>
    </row>
    <row r="113" spans="1:9" ht="31.2">
      <c r="A113" s="1309">
        <f>SUM($G$3:G113)</f>
        <v>111</v>
      </c>
      <c r="B113" s="1310" t="str">
        <f>'NT-VT'!C116</f>
        <v>Dây buộc cổ sứ cỡ dây 95mm2</v>
      </c>
      <c r="C113" s="1311" t="str">
        <f>'NT-VT'!D116</f>
        <v>cái</v>
      </c>
      <c r="D113" s="1312">
        <f>'NT-VT'!E116</f>
        <v>60</v>
      </c>
      <c r="E113" s="1309" t="str">
        <f>'NT-VT'!F116</f>
        <v>nt</v>
      </c>
      <c r="F113" s="1309" t="str">
        <f>'NT-VT'!G116</f>
        <v>nt</v>
      </c>
      <c r="G113" s="835">
        <f t="shared" si="2"/>
        <v>1</v>
      </c>
      <c r="H113" s="849"/>
      <c r="I113" s="825"/>
    </row>
    <row r="114" spans="1:9" ht="15.6">
      <c r="A114" s="1309">
        <f>SUM($G$3:G114)</f>
        <v>112</v>
      </c>
      <c r="B114" s="1310" t="str">
        <f>'NT-VT'!C117</f>
        <v>Ông sắt tráng kẽm D76</v>
      </c>
      <c r="C114" s="1311" t="str">
        <f>'NT-VT'!D117</f>
        <v>mét</v>
      </c>
      <c r="D114" s="1312">
        <f>'NT-VT'!E117</f>
        <v>18</v>
      </c>
      <c r="E114" s="1309" t="str">
        <f>'NT-VT'!F117</f>
        <v>nt</v>
      </c>
      <c r="F114" s="1309" t="str">
        <f>'NT-VT'!G117</f>
        <v>nt</v>
      </c>
      <c r="G114" s="835">
        <f t="shared" si="2"/>
        <v>1</v>
      </c>
      <c r="H114" s="849"/>
      <c r="I114" s="825"/>
    </row>
    <row r="115" spans="1:9" ht="31.2">
      <c r="A115" s="1309">
        <f>SUM($G$3:G115)</f>
        <v>113</v>
      </c>
      <c r="B115" s="1310" t="str">
        <f>'NT-VT'!C118</f>
        <v>Dây buộc đầu sứ cỡ dây 95mm2</v>
      </c>
      <c r="C115" s="1311" t="str">
        <f>'NT-VT'!D118</f>
        <v>cái</v>
      </c>
      <c r="D115" s="1312">
        <f>'NT-VT'!E118</f>
        <v>86</v>
      </c>
      <c r="E115" s="1309" t="str">
        <f>'NT-VT'!F118</f>
        <v>nt</v>
      </c>
      <c r="F115" s="1309" t="str">
        <f>'NT-VT'!G118</f>
        <v>nt</v>
      </c>
      <c r="G115" s="835">
        <f t="shared" si="2"/>
        <v>1</v>
      </c>
      <c r="H115" s="849"/>
      <c r="I115" s="825"/>
    </row>
    <row r="116" spans="1:9" ht="31.2">
      <c r="A116" s="1309">
        <f>SUM($G$3:G116)</f>
        <v>114</v>
      </c>
      <c r="B116" s="1310" t="str">
        <f>'NT-VT'!C119</f>
        <v>Tủ ACB + thanh cái 1600A</v>
      </c>
      <c r="C116" s="1311" t="str">
        <f>'NT-VT'!D119</f>
        <v>cái</v>
      </c>
      <c r="D116" s="1312">
        <f>'NT-VT'!E119</f>
        <v>1</v>
      </c>
      <c r="E116" s="1309" t="str">
        <f>'NT-VT'!F119</f>
        <v>nt</v>
      </c>
      <c r="F116" s="1309" t="str">
        <f>'NT-VT'!G119</f>
        <v>nt</v>
      </c>
      <c r="G116" s="835">
        <f t="shared" si="2"/>
        <v>1</v>
      </c>
      <c r="H116" s="849"/>
      <c r="I116" s="825"/>
    </row>
    <row r="117" spans="1:9" ht="46.8">
      <c r="A117" s="1309">
        <f>SUM($G$3:G117)</f>
        <v>115</v>
      </c>
      <c r="B117" s="1310" t="str">
        <f>'NT-VT'!C120</f>
        <v>Thùng điện kế 450x300x200mm đo đếm trung thế</v>
      </c>
      <c r="C117" s="1311" t="str">
        <f>'NT-VT'!D120</f>
        <v>cái</v>
      </c>
      <c r="D117" s="1312">
        <f>'NT-VT'!E120</f>
        <v>1</v>
      </c>
      <c r="E117" s="1309" t="str">
        <f>'NT-VT'!F120</f>
        <v>nt</v>
      </c>
      <c r="F117" s="1309" t="str">
        <f>'NT-VT'!G120</f>
        <v>nt</v>
      </c>
      <c r="G117" s="835">
        <f t="shared" si="2"/>
        <v>1</v>
      </c>
      <c r="H117" s="849"/>
      <c r="I117" s="825"/>
    </row>
    <row r="118" spans="1:9" ht="31.2">
      <c r="A118" s="1309">
        <f>SUM($G$3:G118)</f>
        <v>116</v>
      </c>
      <c r="B118" s="1310" t="str">
        <f>'NT-VT'!C121</f>
        <v>Xà kẹp TU, TI U50x32x4 350</v>
      </c>
      <c r="C118" s="1311" t="str">
        <f>'NT-VT'!D121</f>
        <v>Bộ</v>
      </c>
      <c r="D118" s="1312">
        <f>'NT-VT'!E121</f>
        <v>24</v>
      </c>
      <c r="E118" s="1309" t="str">
        <f>'NT-VT'!F121</f>
        <v>nt</v>
      </c>
      <c r="F118" s="1309" t="str">
        <f>'NT-VT'!G121</f>
        <v>nt</v>
      </c>
      <c r="G118" s="835">
        <f t="shared" si="2"/>
        <v>1</v>
      </c>
      <c r="H118" s="849"/>
      <c r="I118" s="825"/>
    </row>
    <row r="119" spans="1:9" ht="15.6">
      <c r="A119" s="1309">
        <f>SUM($G$3:G119)</f>
        <v>117</v>
      </c>
      <c r="B119" s="1310" t="str">
        <f>'NT-VT'!C122</f>
        <v>Ximăng (PC40)</v>
      </c>
      <c r="C119" s="1311" t="str">
        <f>'NT-VT'!D122</f>
        <v>kg</v>
      </c>
      <c r="D119" s="1312">
        <f>'NT-VT'!E122</f>
        <v>3183.6499999999996</v>
      </c>
      <c r="E119" s="1309" t="str">
        <f>'NT-VT'!F122</f>
        <v>Địa phương</v>
      </c>
      <c r="F119" s="1309" t="str">
        <f>'NT-VT'!G122</f>
        <v>Địa phương</v>
      </c>
      <c r="G119" s="835">
        <f t="shared" si="2"/>
        <v>1</v>
      </c>
      <c r="H119" s="849"/>
      <c r="I119" s="825"/>
    </row>
    <row r="120" spans="1:9" ht="15.6">
      <c r="A120" s="1309">
        <f>SUM($G$3:G120)</f>
        <v>118</v>
      </c>
      <c r="B120" s="1310" t="str">
        <f>'NT-VT'!C123</f>
        <v>Cát vàng</v>
      </c>
      <c r="C120" s="1311" t="str">
        <f>'NT-VT'!D123</f>
        <v>m3</v>
      </c>
      <c r="D120" s="1312">
        <f>'NT-VT'!E123</f>
        <v>7.468</v>
      </c>
      <c r="E120" s="1309" t="str">
        <f>'NT-VT'!F123</f>
        <v>nt</v>
      </c>
      <c r="F120" s="1309" t="str">
        <f>'NT-VT'!G123</f>
        <v>nt</v>
      </c>
      <c r="G120" s="835">
        <f t="shared" si="2"/>
        <v>1</v>
      </c>
      <c r="H120" s="849"/>
      <c r="I120" s="825"/>
    </row>
    <row r="121" spans="1:9" ht="15.6">
      <c r="A121" s="1309">
        <f>SUM($G$3:G121)</f>
        <v>119</v>
      </c>
      <c r="B121" s="1310" t="str">
        <f>'NT-VT'!C124</f>
        <v>Đá 1x2</v>
      </c>
      <c r="C121" s="1311" t="str">
        <f>'NT-VT'!D124</f>
        <v>m3</v>
      </c>
      <c r="D121" s="1312">
        <f>'NT-VT'!E124</f>
        <v>12.314</v>
      </c>
      <c r="E121" s="1309" t="str">
        <f>'NT-VT'!F124</f>
        <v>nt</v>
      </c>
      <c r="F121" s="1309" t="str">
        <f>'NT-VT'!G124</f>
        <v>nt</v>
      </c>
      <c r="G121" s="835">
        <f t="shared" si="2"/>
        <v>1</v>
      </c>
      <c r="H121" s="849"/>
      <c r="I121" s="825"/>
    </row>
    <row r="122" spans="1:9" ht="31.2">
      <c r="A122" s="1309">
        <f>SUM($G$3:G122)</f>
        <v>120</v>
      </c>
      <c r="B122" s="1310" t="str">
        <f>'NT-VT'!C125</f>
        <v>Dây buộc đầu sứ cỡ dây 50mm2</v>
      </c>
      <c r="C122" s="1311" t="str">
        <f>'NT-VT'!D125</f>
        <v>cái</v>
      </c>
      <c r="D122" s="1312">
        <f>'NT-VT'!E125</f>
        <v>6</v>
      </c>
      <c r="E122" s="1309" t="str">
        <f>'NT-VT'!F125</f>
        <v>nt</v>
      </c>
      <c r="F122" s="1309" t="str">
        <f>'NT-VT'!G125</f>
        <v>nt</v>
      </c>
      <c r="G122" s="835">
        <f t="shared" si="2"/>
        <v>1</v>
      </c>
      <c r="H122" s="849"/>
      <c r="I122" s="825"/>
    </row>
    <row r="123" spans="1:9" ht="15.6">
      <c r="A123" s="1309">
        <f>SUM($G$3:G123)</f>
        <v>120</v>
      </c>
      <c r="B123" s="1310" t="e">
        <f>'NT-VT'!C126</f>
        <v>#N/A</v>
      </c>
      <c r="C123" s="1311">
        <f>'NT-VT'!D126</f>
        <v>0</v>
      </c>
      <c r="D123" s="1312">
        <f>'NT-VT'!E126</f>
        <v>0</v>
      </c>
      <c r="E123" s="1309" t="str">
        <f>'NT-VT'!F126</f>
        <v/>
      </c>
      <c r="F123" s="1309" t="str">
        <f>'NT-VT'!G126</f>
        <v/>
      </c>
      <c r="G123" s="835" t="str">
        <f t="shared" si="2"/>
        <v/>
      </c>
      <c r="H123" s="849"/>
      <c r="I123" s="825"/>
    </row>
    <row r="124" spans="1:9" ht="35.1" hidden="1" customHeight="1">
      <c r="A124" s="1309">
        <f>SUM($G$3:G124)</f>
        <v>120</v>
      </c>
      <c r="B124" s="1310" t="e">
        <f>'NT-VT'!C127</f>
        <v>#N/A</v>
      </c>
      <c r="C124" s="1311">
        <f>'NT-VT'!D127</f>
        <v>0</v>
      </c>
      <c r="D124" s="1312">
        <f>'NT-VT'!E127</f>
        <v>0</v>
      </c>
      <c r="E124" s="1309" t="str">
        <f>'NT-VT'!F127</f>
        <v/>
      </c>
      <c r="F124" s="1309" t="str">
        <f>'NT-VT'!G127</f>
        <v/>
      </c>
      <c r="G124" s="835" t="str">
        <f t="shared" si="2"/>
        <v/>
      </c>
      <c r="H124" s="849"/>
      <c r="I124" s="825"/>
    </row>
  </sheetData>
  <autoFilter ref="A2:I124" xr:uid="{00000000-0009-0000-0000-000019000000}">
    <filterColumn colId="6">
      <customFilters>
        <customFilter operator="notEqual" val=" "/>
      </customFilters>
    </filterColumn>
  </autoFilter>
  <mergeCells count="1">
    <mergeCell ref="A1:F1"/>
  </mergeCells>
  <pageMargins left="0.55118110236220497" right="0.27559055118110198" top="0.55000000000000004" bottom="0.4" header="0.31496062992126" footer="0.36"/>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C1:H53"/>
  <sheetViews>
    <sheetView showZeros="0" workbookViewId="0">
      <selection activeCell="J5" sqref="J5"/>
    </sheetView>
  </sheetViews>
  <sheetFormatPr defaultRowHeight="16.8"/>
  <cols>
    <col min="3" max="3" width="4.6328125" style="1614" customWidth="1"/>
    <col min="4" max="4" width="28.08984375" style="1328" customWidth="1"/>
  </cols>
  <sheetData>
    <row r="1" spans="3:8" s="2683" customFormat="1" ht="34.5" customHeight="1">
      <c r="C1" s="2684" t="s">
        <v>1708</v>
      </c>
      <c r="D1" s="2684" t="s">
        <v>2281</v>
      </c>
      <c r="E1" s="2684" t="s">
        <v>2593</v>
      </c>
      <c r="F1" s="2684" t="s">
        <v>4285</v>
      </c>
      <c r="G1" s="2684" t="s">
        <v>4282</v>
      </c>
      <c r="H1" s="2684" t="s">
        <v>2599</v>
      </c>
    </row>
    <row r="2" spans="3:8" ht="24" customHeight="1">
      <c r="C2" s="1776" t="s">
        <v>501</v>
      </c>
      <c r="D2" s="1773" t="s">
        <v>6595</v>
      </c>
      <c r="E2" s="2944">
        <f>CT_tram!G24</f>
        <v>0</v>
      </c>
      <c r="F2" s="2944">
        <f>CT_tram!H24</f>
        <v>0</v>
      </c>
      <c r="G2" s="2944">
        <f>CT_tram!I24</f>
        <v>0</v>
      </c>
      <c r="H2" s="778">
        <f>chitiet!$S$13</f>
        <v>0</v>
      </c>
    </row>
    <row r="3" spans="3:8" ht="21.6" customHeight="1">
      <c r="C3" s="1615">
        <f>chitiet!E244</f>
        <v>0</v>
      </c>
      <c r="D3" s="1608" t="str">
        <f>CT_tram!F2375</f>
        <v>Máy biến áp 22/0,4kV- 1000kVA</v>
      </c>
      <c r="E3" s="778" t="str">
        <f>CT_tram!G2375</f>
        <v>máy</v>
      </c>
      <c r="F3" s="778">
        <f>CT_tram!H2375</f>
        <v>1</v>
      </c>
      <c r="G3" s="778">
        <f>CT_tram!I2375</f>
        <v>1</v>
      </c>
      <c r="H3" s="778">
        <f>chitiet!$S$244</f>
        <v>0</v>
      </c>
    </row>
    <row r="4" spans="3:8" ht="21.6" customHeight="1">
      <c r="C4" s="1615">
        <f>chitiet!E339</f>
        <v>0</v>
      </c>
      <c r="D4" s="1608" t="str">
        <f>CT_tram!F2378</f>
        <v>FCO 24kV - 100A</v>
      </c>
      <c r="E4" s="778" t="str">
        <f>CT_tram!G2378</f>
        <v>cái</v>
      </c>
      <c r="F4" s="778">
        <f>CT_tram!H2378</f>
        <v>3</v>
      </c>
      <c r="G4" s="778">
        <f>CT_tram!I2378</f>
        <v>3</v>
      </c>
      <c r="H4" s="778">
        <f>chitiet!$S$339</f>
        <v>0</v>
      </c>
    </row>
    <row r="5" spans="3:8" ht="21.6" customHeight="1">
      <c r="C5" s="1615">
        <f>chitiet!E356</f>
        <v>0</v>
      </c>
      <c r="D5" s="1608" t="str">
        <f>CT_tram!F2379</f>
        <v>Dây chảy 40K</v>
      </c>
      <c r="E5" s="778" t="str">
        <f>CT_tram!G2379</f>
        <v>Sợi</v>
      </c>
      <c r="F5" s="778">
        <f>CT_tram!H2379</f>
        <v>3</v>
      </c>
      <c r="G5" s="778">
        <f>CT_tram!I2379</f>
        <v>3</v>
      </c>
      <c r="H5" s="778">
        <f>chitiet!$S$356</f>
        <v>0</v>
      </c>
    </row>
    <row r="6" spans="3:8" ht="21.6" customHeight="1">
      <c r="C6" s="1615">
        <f>chitiet!E640</f>
        <v>0</v>
      </c>
      <c r="D6" s="1608" t="str">
        <f>CT_tram!F2380</f>
        <v>Chống sét van LA-18KV-10KA</v>
      </c>
      <c r="E6" s="778" t="str">
        <f>CT_tram!G2380</f>
        <v>cái</v>
      </c>
      <c r="F6" s="778">
        <f>CT_tram!H2380</f>
        <v>6</v>
      </c>
      <c r="G6" s="778">
        <f>CT_tram!I2380</f>
        <v>6</v>
      </c>
      <c r="H6" s="778">
        <f>chitiet!$S$640</f>
        <v>0</v>
      </c>
    </row>
    <row r="7" spans="3:8" ht="21.6" customHeight="1">
      <c r="C7" s="3028"/>
      <c r="D7" s="1774" t="str">
        <f>CT_tram!F2416</f>
        <v>Xà composit bắt  LA, FCO</v>
      </c>
      <c r="E7" s="2945" t="str">
        <f>CT_tram!G2416</f>
        <v>Bộ</v>
      </c>
      <c r="F7" s="2945">
        <f>CT_tram!H2416</f>
        <v>1</v>
      </c>
      <c r="G7" s="2945">
        <f>CT_tram!I2416</f>
        <v>1</v>
      </c>
      <c r="H7" s="778"/>
    </row>
    <row r="8" spans="3:8" ht="21.6" customHeight="1">
      <c r="C8" s="1615"/>
      <c r="D8" s="1774" t="str">
        <f>CT_tram!F2432</f>
        <v xml:space="preserve">Xà kép L75x75x8x2400 (4 ốp) đỡ TU, TI </v>
      </c>
      <c r="E8" s="2945" t="str">
        <f>CT_tram!G2432</f>
        <v>Bộ</v>
      </c>
      <c r="F8" s="2945">
        <f>CT_tram!H2432</f>
        <v>1</v>
      </c>
      <c r="G8" s="2945">
        <f>CT_tram!I2432</f>
        <v>1</v>
      </c>
      <c r="H8" s="778"/>
    </row>
    <row r="9" spans="3:8" ht="21.6" customHeight="1">
      <c r="C9" s="1615"/>
      <c r="D9" s="1774" t="str">
        <f>CT_tram!F2450</f>
        <v>Bộ tiếp địa Trạm 3 pha</v>
      </c>
      <c r="E9" s="2945" t="str">
        <f>CT_tram!G2450</f>
        <v>Bộ</v>
      </c>
      <c r="F9" s="2945">
        <f>CT_tram!H2450</f>
        <v>1</v>
      </c>
      <c r="G9" s="2945">
        <f>CT_tram!I2450</f>
        <v>1</v>
      </c>
      <c r="H9" s="778"/>
    </row>
    <row r="10" spans="3:8" ht="21.6" customHeight="1">
      <c r="C10" s="1615"/>
      <c r="D10" s="1774" t="str">
        <f>CT_tram!F2474</f>
        <v>Tủ đóng cắt hạ thế</v>
      </c>
      <c r="E10" s="2945" t="str">
        <f>CT_tram!G2474</f>
        <v>Bộ</v>
      </c>
      <c r="F10" s="2945">
        <f>CT_tram!H2474</f>
        <v>1</v>
      </c>
      <c r="G10" s="2945">
        <f>CT_tram!I2474</f>
        <v>1</v>
      </c>
      <c r="H10" s="778"/>
    </row>
    <row r="11" spans="3:8" ht="21.6" customHeight="1">
      <c r="C11" s="1615"/>
      <c r="D11" s="1772" t="str">
        <f>CT_tram!F2511</f>
        <v>Bộ dây dẫn trung thế 24kV 3 pha</v>
      </c>
      <c r="E11" s="2946" t="str">
        <f>CT_tram!G2511</f>
        <v>Bộ</v>
      </c>
      <c r="F11" s="2946">
        <f>CT_tram!H2511</f>
        <v>1</v>
      </c>
      <c r="G11" s="2946">
        <f>CT_tram!I2511</f>
        <v>1</v>
      </c>
      <c r="H11" s="778"/>
    </row>
    <row r="12" spans="3:8" ht="21.6" customHeight="1">
      <c r="C12" s="1615"/>
      <c r="D12" s="1772" t="str">
        <f>CT_tram!F2531</f>
        <v>Bộ dây dẫn cáp xuất MBA vào tủ CB</v>
      </c>
      <c r="E12" s="2946" t="str">
        <f>CT_tram!G2531</f>
        <v>Bộ</v>
      </c>
      <c r="F12" s="2946">
        <f>CT_tram!H2531</f>
        <v>1</v>
      </c>
      <c r="G12" s="2946">
        <f>CT_tram!I2531</f>
        <v>1</v>
      </c>
      <c r="H12" s="778"/>
    </row>
    <row r="13" spans="3:8" ht="21.6" customHeight="1">
      <c r="C13" s="3028"/>
      <c r="D13" s="1774" t="str">
        <f>CT_tram!F2550</f>
        <v>Bê tông đỡ máy biến áp + Tủ</v>
      </c>
      <c r="E13" s="2945" t="str">
        <f>CT_tram!G2550</f>
        <v>Bộ</v>
      </c>
      <c r="F13" s="2945">
        <f>CT_tram!H2550</f>
        <v>1</v>
      </c>
      <c r="G13" s="2945">
        <f>CT_tram!I2550</f>
        <v>1</v>
      </c>
      <c r="H13" s="778"/>
    </row>
    <row r="14" spans="3:8" ht="21.6" customHeight="1">
      <c r="C14" s="1615"/>
      <c r="D14" s="1774" t="str">
        <f>CT_tram!F2561</f>
        <v>Hàng rào TBA</v>
      </c>
      <c r="E14" s="2945" t="str">
        <f>CT_tram!G2561</f>
        <v>Bộ</v>
      </c>
      <c r="F14" s="2945">
        <f>CT_tram!H2561</f>
        <v>1</v>
      </c>
      <c r="G14" s="2945">
        <f>CT_tram!I2561</f>
        <v>1</v>
      </c>
      <c r="H14" s="778"/>
    </row>
    <row r="15" spans="3:8" ht="21.6" customHeight="1">
      <c r="C15" s="1776" t="s">
        <v>501</v>
      </c>
      <c r="D15" s="1773" t="s">
        <v>6596</v>
      </c>
      <c r="E15" s="2946"/>
      <c r="F15" s="2946"/>
      <c r="G15" s="2946"/>
      <c r="H15" s="778"/>
    </row>
    <row r="16" spans="3:8" ht="21.6" customHeight="1">
      <c r="C16" s="1615"/>
      <c r="D16" s="1608" t="str">
        <f>chitiet!F244</f>
        <v>Móng M12</v>
      </c>
      <c r="E16" s="778" t="str">
        <f>chitiet!G244</f>
        <v>Móng</v>
      </c>
      <c r="F16" s="778">
        <f>chitiet!H244</f>
        <v>5</v>
      </c>
      <c r="G16" s="778">
        <f>chitiet!$P$244</f>
        <v>5</v>
      </c>
      <c r="H16" s="778"/>
    </row>
    <row r="17" spans="3:8" ht="21.6" customHeight="1">
      <c r="C17" s="1615"/>
      <c r="D17" s="1608" t="str">
        <f>chitiet!F356</f>
        <v>Móng bê tông trụ đôi 12m</v>
      </c>
      <c r="E17" s="778" t="str">
        <f>chitiet!G356</f>
        <v>Móng</v>
      </c>
      <c r="F17" s="778">
        <f>chitiet!H356</f>
        <v>6</v>
      </c>
      <c r="G17" s="778">
        <f>chitiet!$P$356</f>
        <v>6</v>
      </c>
      <c r="H17" s="778"/>
    </row>
    <row r="18" spans="3:8" ht="21.6" customHeight="1">
      <c r="C18" s="1615"/>
      <c r="D18" s="1608" t="str">
        <f>chitiet!F431</f>
        <v>Móng bê tông trụ đơn 14m</v>
      </c>
      <c r="E18" s="778" t="str">
        <f>chitiet!G431</f>
        <v>Móng</v>
      </c>
      <c r="F18" s="778">
        <f>chitiet!H431</f>
        <v>1</v>
      </c>
      <c r="G18" s="778">
        <f>chitiet!$P$431</f>
        <v>1</v>
      </c>
      <c r="H18" s="778"/>
    </row>
    <row r="19" spans="3:8" ht="21.6" customHeight="1">
      <c r="C19" s="3028"/>
      <c r="D19" s="2685" t="str">
        <f>chitiet!F448</f>
        <v>Móng bê tông trụ đơn 14m</v>
      </c>
      <c r="E19" s="778" t="str">
        <f>chitiet!G448</f>
        <v>Móng</v>
      </c>
      <c r="F19" s="778">
        <f>chitiet!H448</f>
        <v>3</v>
      </c>
      <c r="G19" s="778">
        <f>chitiet!$P$448</f>
        <v>3</v>
      </c>
      <c r="H19" s="778"/>
    </row>
    <row r="20" spans="3:8" ht="21.6" customHeight="1">
      <c r="C20" s="1615"/>
      <c r="D20" s="1608" t="str">
        <f>chitiet!F640</f>
        <v>Tiếp địa lặp lại trụ 12m</v>
      </c>
      <c r="E20" s="778" t="str">
        <f>chitiet!G640</f>
        <v>Bộ</v>
      </c>
      <c r="F20" s="778">
        <f>chitiet!H640</f>
        <v>3</v>
      </c>
      <c r="G20" s="778">
        <f>chitiet!$P$640</f>
        <v>3</v>
      </c>
      <c r="H20" s="778"/>
    </row>
    <row r="21" spans="3:8" ht="21.6" customHeight="1">
      <c r="C21" s="1615"/>
      <c r="D21" s="1608" t="str">
        <f>chitiet!F663</f>
        <v>Tiếp địa trụ Recloser, LBS</v>
      </c>
      <c r="E21" s="778" t="str">
        <f>chitiet!G663</f>
        <v>Bộ</v>
      </c>
      <c r="F21" s="778">
        <f>chitiet!H663</f>
        <v>1</v>
      </c>
      <c r="G21" s="778">
        <f>chitiet!$P$663</f>
        <v>1</v>
      </c>
      <c r="H21" s="778"/>
    </row>
    <row r="22" spans="3:8" ht="21.6" customHeight="1">
      <c r="C22" s="1615"/>
      <c r="D22" s="1608" t="str">
        <f>chitiet!F772</f>
        <v>Trụ bê tông ly tâm 12m trồng thủ công+cơ giới</v>
      </c>
      <c r="E22" s="778" t="str">
        <f>chitiet!G772</f>
        <v>Trụ</v>
      </c>
      <c r="F22" s="778">
        <f>chitiet!H772</f>
        <v>17</v>
      </c>
      <c r="G22" s="778">
        <f>chitiet!$P$772</f>
        <v>17</v>
      </c>
      <c r="H22" s="778"/>
    </row>
    <row r="23" spans="3:8" ht="21.6" customHeight="1">
      <c r="C23" s="1615"/>
      <c r="D23" s="1608" t="str">
        <f>chitiet!F783</f>
        <v>Trụ bê tông ly tâm 14m</v>
      </c>
      <c r="E23" s="778" t="str">
        <f>chitiet!G783</f>
        <v>Trụ</v>
      </c>
      <c r="F23" s="778">
        <f>chitiet!H783</f>
        <v>7</v>
      </c>
      <c r="G23" s="778">
        <f>chitiet!$P$783</f>
        <v>7</v>
      </c>
      <c r="H23" s="778"/>
    </row>
    <row r="24" spans="3:8" ht="21.6" customHeight="1">
      <c r="C24" s="1615"/>
      <c r="D24" s="1608" t="str">
        <f>chitiet!F863</f>
        <v>Bộ xà kép L75x75x8 dài 2.2m: X-22K-Đ - C810 (lắp trụ đơn)</v>
      </c>
      <c r="E24" s="778" t="str">
        <f>chitiet!G863</f>
        <v>Bộ</v>
      </c>
      <c r="F24" s="778">
        <f>chitiet!H863</f>
        <v>7</v>
      </c>
      <c r="G24" s="778">
        <f>chitiet!$P$863</f>
        <v>7</v>
      </c>
      <c r="H24" s="778"/>
    </row>
    <row r="25" spans="3:8" ht="21.6" customHeight="1">
      <c r="C25" s="1615"/>
      <c r="D25" s="1608" t="str">
        <f>chitiet!F874</f>
        <v>Bộ xà kép L75x75x8 dài 2.2m: X-22K-K - C810 (lắp theo hướng trụ ghép)</v>
      </c>
      <c r="E25" s="778" t="str">
        <f>chitiet!G874</f>
        <v>Bộ</v>
      </c>
      <c r="F25" s="778">
        <f>chitiet!H874</f>
        <v>10</v>
      </c>
      <c r="G25" s="778">
        <f>chitiet!$P$874</f>
        <v>10</v>
      </c>
      <c r="H25" s="778"/>
    </row>
    <row r="26" spans="3:8" ht="21.6" customHeight="1">
      <c r="C26" s="1615"/>
      <c r="D26" s="1608" t="str">
        <f>chitiet!F952</f>
        <v>Bộ xà lệch đơn L75x75x8 dài 2,1m: X-21ĐL</v>
      </c>
      <c r="E26" s="778" t="str">
        <f>chitiet!G952</f>
        <v>Bộ</v>
      </c>
      <c r="F26" s="778">
        <f>chitiet!H952</f>
        <v>1</v>
      </c>
      <c r="G26" s="778">
        <f>chitiet!$P$952</f>
        <v>1</v>
      </c>
      <c r="H26" s="778"/>
    </row>
    <row r="27" spans="3:8" ht="21.6" customHeight="1">
      <c r="C27" s="1615"/>
      <c r="D27" s="1608" t="str">
        <f>chitiet!F962</f>
        <v>Bộ xà lệch kép L75x75x8 dài 2,1m: X-21KL</v>
      </c>
      <c r="E27" s="778" t="str">
        <f>chitiet!G962</f>
        <v>Bộ</v>
      </c>
      <c r="F27" s="778">
        <f>chitiet!H962</f>
        <v>1</v>
      </c>
      <c r="G27" s="778">
        <f>chitiet!$P$962</f>
        <v>1</v>
      </c>
      <c r="H27" s="778"/>
    </row>
    <row r="28" spans="3:8" ht="21.6" customHeight="1">
      <c r="C28" s="1615"/>
      <c r="D28" s="1608" t="str">
        <f>chitiet!F973</f>
        <v>Bộ xà lệch đơn L75x75x8 dài 2m: X-20ĐL2/3</v>
      </c>
      <c r="E28" s="778" t="str">
        <f>chitiet!G973</f>
        <v>Bộ</v>
      </c>
      <c r="F28" s="778">
        <f>chitiet!H973</f>
        <v>22</v>
      </c>
      <c r="G28" s="778">
        <f>chitiet!$P$973</f>
        <v>22</v>
      </c>
      <c r="H28" s="778"/>
    </row>
    <row r="29" spans="3:8" ht="21.6" customHeight="1">
      <c r="C29" s="1615"/>
      <c r="D29" s="1608" t="str">
        <f>chitiet!F982</f>
        <v>Bộ xà lệch kép L75x75x8 dài 2m: X-20KL2/3</v>
      </c>
      <c r="E29" s="778" t="str">
        <f>chitiet!G982</f>
        <v>Bộ</v>
      </c>
      <c r="F29" s="778">
        <f>chitiet!H982</f>
        <v>3</v>
      </c>
      <c r="G29" s="778">
        <f>chitiet!$P$982</f>
        <v>3</v>
      </c>
      <c r="H29" s="778"/>
    </row>
    <row r="30" spans="3:8" ht="21.6" customHeight="1">
      <c r="C30" s="1615"/>
      <c r="D30" s="1608" t="str">
        <f>chitiet!F1107</f>
        <v>Bộ xà composite 0,8m bắt FCO</v>
      </c>
      <c r="E30" s="778" t="str">
        <f>chitiet!G1107</f>
        <v>Bộ</v>
      </c>
      <c r="F30" s="778">
        <f>chitiet!H1107</f>
        <v>1</v>
      </c>
      <c r="G30" s="778">
        <f>chitiet!$P$1107</f>
        <v>1</v>
      </c>
      <c r="H30" s="778"/>
    </row>
    <row r="31" spans="3:8" ht="21.6" customHeight="1">
      <c r="C31" s="1615"/>
      <c r="D31" s="1608" t="str">
        <f>chitiet!F1791</f>
        <v>Bộ Uclevis đỡ dây trung hòa: Đth-U (trụ đơn)</v>
      </c>
      <c r="E31" s="778" t="str">
        <f>chitiet!G1791</f>
        <v>bộ</v>
      </c>
      <c r="F31" s="778">
        <f>chitiet!H1791</f>
        <v>5</v>
      </c>
      <c r="G31" s="778">
        <f>chitiet!$P$1791</f>
        <v>5</v>
      </c>
      <c r="H31" s="778"/>
    </row>
    <row r="32" spans="3:8" ht="21.6" customHeight="1">
      <c r="C32" s="1615"/>
      <c r="D32" s="1608" t="str">
        <f>chitiet!F1794</f>
        <v>Bộ Uclevis đỡ dây trung hòa trụ ghép: Đth-U-g (trụ ghép)</v>
      </c>
      <c r="E32" s="778" t="str">
        <f>chitiet!G1794</f>
        <v>bộ</v>
      </c>
      <c r="F32" s="778">
        <f>chitiet!H1794</f>
        <v>1</v>
      </c>
      <c r="G32" s="778">
        <f>chitiet!$P$1794</f>
        <v>1</v>
      </c>
      <c r="H32" s="778"/>
    </row>
    <row r="33" spans="3:8" ht="21.6" customHeight="1">
      <c r="C33" s="1615"/>
      <c r="D33" s="1608" t="str">
        <f>chitiet!F1804</f>
        <v>Bộ khóa néo dây trung hòa vào trụ đơn</v>
      </c>
      <c r="E33" s="778" t="str">
        <f>chitiet!G1804</f>
        <v>bộ</v>
      </c>
      <c r="F33" s="778">
        <f>chitiet!H1804</f>
        <v>6</v>
      </c>
      <c r="G33" s="778">
        <f>chitiet!$P$1804</f>
        <v>6</v>
      </c>
      <c r="H33" s="778"/>
    </row>
    <row r="34" spans="3:8" ht="21.6" customHeight="1">
      <c r="C34" s="1615"/>
      <c r="D34" s="1608" t="str">
        <f>chitiet!F1808</f>
        <v>Bộ khóa néo dây trung hòa vào trụ ghép</v>
      </c>
      <c r="E34" s="778" t="str">
        <f>chitiet!G1808</f>
        <v>bộ</v>
      </c>
      <c r="F34" s="778">
        <f>chitiet!H1808</f>
        <v>14</v>
      </c>
      <c r="G34" s="778">
        <f>chitiet!$P$1808</f>
        <v>14</v>
      </c>
      <c r="H34" s="778"/>
    </row>
    <row r="35" spans="3:8" ht="21.6" customHeight="1">
      <c r="C35" s="1615"/>
      <c r="D35" s="1608" t="str">
        <f>chitiet!F1816</f>
        <v>Bộ cách điện đứng+ty sứ : SĐU</v>
      </c>
      <c r="E35" s="778" t="str">
        <f>chitiet!G1816</f>
        <v>bộ</v>
      </c>
      <c r="F35" s="778">
        <f>chitiet!H1816</f>
        <v>154</v>
      </c>
      <c r="G35" s="778">
        <f>chitiet!$P$1816</f>
        <v>154</v>
      </c>
      <c r="H35" s="778"/>
    </row>
    <row r="36" spans="3:8" ht="21.6" customHeight="1">
      <c r="C36" s="1615"/>
      <c r="D36" s="1608" t="str">
        <f>chitiet!F1836</f>
        <v>Chuỗi sứ treo Polymer 25kV lắp vào xà : CĐT ply-X</v>
      </c>
      <c r="E36" s="778" t="str">
        <f>chitiet!G1836</f>
        <v>chuỗi</v>
      </c>
      <c r="F36" s="778">
        <f>chitiet!H1836</f>
        <v>63</v>
      </c>
      <c r="G36" s="778">
        <f>chitiet!$P$1836</f>
        <v>63</v>
      </c>
      <c r="H36" s="778"/>
    </row>
    <row r="37" spans="3:8" ht="21.6" customHeight="1">
      <c r="C37" s="1615"/>
      <c r="D37" s="1608" t="str">
        <f>chitiet!F1843</f>
        <v>Chuỗi sứ treo Polymer kép 25kV lắp vào xà</v>
      </c>
      <c r="E37" s="778" t="str">
        <f>chitiet!G1843</f>
        <v>chuỗi</v>
      </c>
      <c r="F37" s="778">
        <f>chitiet!H1843</f>
        <v>6</v>
      </c>
      <c r="G37" s="778">
        <f>chitiet!$P$1843</f>
        <v>6</v>
      </c>
      <c r="H37" s="778"/>
    </row>
    <row r="38" spans="3:8" ht="21.6" customHeight="1">
      <c r="C38" s="1615"/>
      <c r="D38" s="1608" t="str">
        <f>chitiet!F2320</f>
        <v>LTD 1P 24KV - 800A</v>
      </c>
      <c r="E38" s="778" t="str">
        <f>chitiet!G2320</f>
        <v>cái</v>
      </c>
      <c r="F38" s="778">
        <f>chitiet!H2320</f>
        <v>3</v>
      </c>
      <c r="G38" s="778">
        <f>chitiet!$P$2320</f>
        <v>3</v>
      </c>
      <c r="H38" s="778"/>
    </row>
    <row r="39" spans="3:8" ht="21.6" customHeight="1">
      <c r="C39" s="1615"/>
      <c r="D39" s="1608" t="str">
        <f>chitiet!F2325</f>
        <v xml:space="preserve">FCO 24KV - 200A </v>
      </c>
      <c r="E39" s="778" t="str">
        <f>chitiet!G2325</f>
        <v>cái</v>
      </c>
      <c r="F39" s="778">
        <f>chitiet!H2325</f>
        <v>3</v>
      </c>
      <c r="G39" s="778">
        <f>chitiet!P2325</f>
        <v>3</v>
      </c>
      <c r="H39" s="778"/>
    </row>
    <row r="40" spans="3:8" ht="21.6" customHeight="1">
      <c r="C40" s="1615"/>
      <c r="D40" s="1608" t="str">
        <f>chitiet!F2326</f>
        <v>FCO 24kV - 100A</v>
      </c>
      <c r="E40" s="778" t="str">
        <f>chitiet!G2326</f>
        <v>cái</v>
      </c>
      <c r="F40" s="778">
        <f>chitiet!H2326</f>
        <v>1</v>
      </c>
      <c r="G40" s="778">
        <f>chitiet!P2326</f>
        <v>1</v>
      </c>
      <c r="H40" s="778"/>
    </row>
    <row r="41" spans="3:8" ht="21.6" customHeight="1">
      <c r="C41" s="1615"/>
      <c r="D41" s="1608" t="str">
        <f>chitiet!F2336</f>
        <v>Recloser 24kV 630A - 800A (MBA cấp nguồn + Phụ kiện)</v>
      </c>
      <c r="E41" s="778" t="str">
        <f>chitiet!G2336</f>
        <v>bộ</v>
      </c>
      <c r="F41" s="778">
        <f>chitiet!H2336</f>
        <v>1</v>
      </c>
      <c r="G41" s="778">
        <f>chitiet!P2336</f>
        <v>1</v>
      </c>
      <c r="H41" s="778"/>
    </row>
    <row r="42" spans="3:8" ht="21.6" customHeight="1">
      <c r="C42" s="1615"/>
      <c r="D42" s="1608" t="str">
        <f>chitiet!F2337</f>
        <v>Chống sét van LA-18KV-10KA</v>
      </c>
      <c r="E42" s="778" t="str">
        <f>chitiet!G2337</f>
        <v>cái</v>
      </c>
      <c r="F42" s="778">
        <f>chitiet!H2337</f>
        <v>6</v>
      </c>
      <c r="G42" s="778">
        <f>chitiet!P2337</f>
        <v>6</v>
      </c>
      <c r="H42" s="778"/>
    </row>
    <row r="43" spans="3:8">
      <c r="C43" s="1615"/>
      <c r="D43" s="1608"/>
      <c r="E43" s="778"/>
      <c r="F43" s="778"/>
      <c r="G43" s="778"/>
      <c r="H43" s="778"/>
    </row>
    <row r="44" spans="3:8">
      <c r="C44" s="1615"/>
      <c r="D44" s="1608"/>
      <c r="E44" s="778"/>
      <c r="F44" s="778"/>
      <c r="G44" s="778"/>
      <c r="H44" s="778"/>
    </row>
    <row r="45" spans="3:8">
      <c r="C45" s="1615"/>
      <c r="D45" s="1608"/>
      <c r="E45" s="778"/>
      <c r="F45" s="778"/>
      <c r="G45" s="778"/>
      <c r="H45" s="778"/>
    </row>
    <row r="46" spans="3:8">
      <c r="C46" s="1615"/>
      <c r="D46" s="1608"/>
      <c r="E46" s="778"/>
      <c r="F46" s="778"/>
      <c r="G46" s="778"/>
      <c r="H46" s="778"/>
    </row>
    <row r="47" spans="3:8">
      <c r="C47" s="1615"/>
      <c r="D47" s="1608"/>
      <c r="E47" s="778"/>
      <c r="F47" s="778"/>
      <c r="G47" s="778"/>
      <c r="H47" s="778"/>
    </row>
    <row r="48" spans="3:8">
      <c r="C48" s="1615"/>
      <c r="D48" s="1608"/>
      <c r="E48" s="778"/>
      <c r="F48" s="778"/>
      <c r="G48" s="778"/>
      <c r="H48" s="778"/>
    </row>
    <row r="49" spans="3:8">
      <c r="C49" s="1615"/>
      <c r="D49" s="1608"/>
      <c r="E49" s="778"/>
      <c r="F49" s="778"/>
      <c r="G49" s="778"/>
      <c r="H49" s="778"/>
    </row>
    <row r="50" spans="3:8">
      <c r="C50" s="1615"/>
      <c r="D50" s="1608"/>
      <c r="E50" s="778"/>
      <c r="F50" s="778"/>
      <c r="G50" s="778"/>
      <c r="H50" s="778"/>
    </row>
    <row r="51" spans="3:8">
      <c r="C51" s="1615"/>
      <c r="D51" s="1608"/>
      <c r="E51" s="778"/>
      <c r="F51" s="778"/>
      <c r="G51" s="778"/>
      <c r="H51" s="778"/>
    </row>
    <row r="52" spans="3:8">
      <c r="C52" s="1615"/>
      <c r="D52" s="1608"/>
      <c r="E52" s="778"/>
      <c r="F52" s="778"/>
      <c r="G52" s="778"/>
      <c r="H52" s="778"/>
    </row>
    <row r="53" spans="3:8">
      <c r="C53" s="1615"/>
      <c r="D53" s="1608"/>
      <c r="E53" s="778"/>
      <c r="F53" s="778"/>
      <c r="G53" s="778"/>
      <c r="H53" s="778"/>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O65"/>
  <sheetViews>
    <sheetView workbookViewId="0">
      <selection activeCell="J77" sqref="J77"/>
    </sheetView>
  </sheetViews>
  <sheetFormatPr defaultRowHeight="16.8"/>
  <cols>
    <col min="1" max="1" width="8.81640625" style="1215"/>
    <col min="3" max="3" width="16.453125" style="967" customWidth="1"/>
    <col min="4" max="4" width="6.81640625" customWidth="1"/>
    <col min="5" max="5" width="32.1796875" customWidth="1"/>
    <col min="6" max="6" width="8.08984375" style="1215" customWidth="1"/>
    <col min="7" max="8" width="6.81640625" customWidth="1"/>
    <col min="9" max="9" width="10.54296875" hidden="1" customWidth="1"/>
    <col min="10" max="10" width="6.36328125" customWidth="1"/>
  </cols>
  <sheetData>
    <row r="1" spans="1:15" ht="22.5" customHeight="1">
      <c r="E1" s="897"/>
      <c r="F1" s="897"/>
    </row>
    <row r="3" spans="1:15" ht="33.6">
      <c r="D3" s="1802" t="s">
        <v>1708</v>
      </c>
      <c r="E3" s="1802" t="s">
        <v>4200</v>
      </c>
      <c r="F3" s="1802" t="s">
        <v>4203</v>
      </c>
      <c r="G3" s="1802" t="s">
        <v>4901</v>
      </c>
      <c r="H3" s="1802" t="s">
        <v>4171</v>
      </c>
      <c r="I3" s="1387" t="s">
        <v>4204</v>
      </c>
      <c r="J3" s="1802" t="s">
        <v>4170</v>
      </c>
      <c r="K3" s="1325">
        <v>2</v>
      </c>
    </row>
    <row r="4" spans="1:15" ht="20.399999999999999" hidden="1" customHeight="1">
      <c r="A4" s="1215" t="str">
        <f>N4&amp;B4</f>
        <v>81</v>
      </c>
      <c r="B4">
        <v>1</v>
      </c>
      <c r="C4" s="967" t="s">
        <v>1627</v>
      </c>
      <c r="D4" s="1322">
        <f ca="1">SUM($K$4:K4)</f>
        <v>0</v>
      </c>
      <c r="E4" s="2054" t="e">
        <f t="shared" ref="E4:E35" si="0">VLOOKUP(C4,KhoiLuong,5,0)</f>
        <v>#N/A</v>
      </c>
      <c r="F4" s="1801" t="e">
        <f>VLOOKUP(C4,KhoiLuong,6,0)</f>
        <v>#N/A</v>
      </c>
      <c r="G4" s="1326">
        <f ca="1">SUMIF(KhoiLuong,C4,DuToan)</f>
        <v>0</v>
      </c>
      <c r="H4" s="1326">
        <f ca="1">SUMIF(KhoiLuong,C4,ThiCong)</f>
        <v>0</v>
      </c>
      <c r="I4" s="1326" t="str">
        <f>Solieu!$B$3</f>
        <v>x</v>
      </c>
      <c r="J4" s="1323"/>
      <c r="K4" t="str">
        <f t="shared" ref="K4:K12" ca="1" si="1">IF(OR(G4&gt;0,H4&gt;0),1,"")</f>
        <v/>
      </c>
      <c r="L4" s="897">
        <v>4</v>
      </c>
      <c r="M4">
        <v>9</v>
      </c>
      <c r="N4">
        <v>8</v>
      </c>
      <c r="O4" s="2046">
        <f ca="1">G4</f>
        <v>0</v>
      </c>
    </row>
    <row r="5" spans="1:15" ht="20.399999999999999" hidden="1" customHeight="1">
      <c r="A5" s="1215" t="str">
        <f t="shared" ref="A5:A12" si="2">N5&amp;B5</f>
        <v>81</v>
      </c>
      <c r="B5">
        <v>1</v>
      </c>
      <c r="C5" s="967" t="s">
        <v>242</v>
      </c>
      <c r="D5" s="1801">
        <f ca="1">SUM($K$4:K5)</f>
        <v>0</v>
      </c>
      <c r="E5" s="2054" t="e">
        <f t="shared" si="0"/>
        <v>#N/A</v>
      </c>
      <c r="F5" s="1801" t="e">
        <f t="shared" ref="F5:F13" si="3">VLOOKUP(C5,KhoiLuong,6,0)</f>
        <v>#N/A</v>
      </c>
      <c r="G5" s="1326">
        <f t="shared" ref="G5:G13" ca="1" si="4">SUMIF(KhoiLuong,C5,DuToan)</f>
        <v>0</v>
      </c>
      <c r="H5" s="1326">
        <f t="shared" ref="H5:H13" ca="1" si="5">SUMIF(KhoiLuong,C5,ThiCong)</f>
        <v>0</v>
      </c>
      <c r="I5" s="1326" t="str">
        <f>Solieu!$B$3</f>
        <v>x</v>
      </c>
      <c r="J5" s="1323"/>
      <c r="K5" s="1215" t="str">
        <f t="shared" ca="1" si="1"/>
        <v/>
      </c>
      <c r="L5" s="897">
        <v>1</v>
      </c>
      <c r="M5">
        <v>2</v>
      </c>
      <c r="N5">
        <v>8</v>
      </c>
      <c r="O5" s="2046">
        <f t="shared" ref="O5:O12" ca="1" si="6">G5</f>
        <v>0</v>
      </c>
    </row>
    <row r="6" spans="1:15" ht="20.399999999999999" hidden="1" customHeight="1">
      <c r="A6" s="1215" t="str">
        <f t="shared" si="2"/>
        <v>121</v>
      </c>
      <c r="B6" s="1215">
        <v>1</v>
      </c>
      <c r="C6" s="967" t="s">
        <v>87</v>
      </c>
      <c r="D6" s="1801">
        <f ca="1">SUM($K$4:K6)</f>
        <v>0</v>
      </c>
      <c r="E6" s="2054" t="e">
        <f t="shared" si="0"/>
        <v>#N/A</v>
      </c>
      <c r="F6" s="1801" t="e">
        <f t="shared" si="3"/>
        <v>#N/A</v>
      </c>
      <c r="G6" s="1326">
        <f t="shared" ca="1" si="4"/>
        <v>0</v>
      </c>
      <c r="H6" s="1326">
        <f t="shared" ca="1" si="5"/>
        <v>0</v>
      </c>
      <c r="I6" s="1326" t="str">
        <f>Solieu!$B$3</f>
        <v>x</v>
      </c>
      <c r="J6" s="1323"/>
      <c r="K6" s="1215" t="str">
        <f t="shared" ca="1" si="1"/>
        <v/>
      </c>
      <c r="L6" s="897">
        <v>15</v>
      </c>
      <c r="M6">
        <v>24</v>
      </c>
      <c r="N6">
        <v>12</v>
      </c>
      <c r="O6" s="2046">
        <f t="shared" ca="1" si="6"/>
        <v>0</v>
      </c>
    </row>
    <row r="7" spans="1:15" s="1215" customFormat="1" ht="20.399999999999999" hidden="1" customHeight="1">
      <c r="A7" s="1215" t="str">
        <f t="shared" si="2"/>
        <v>121</v>
      </c>
      <c r="B7" s="1215">
        <v>1</v>
      </c>
      <c r="C7" s="967" t="s">
        <v>102</v>
      </c>
      <c r="D7" s="1801">
        <f ca="1">SUM($K$4:K7)</f>
        <v>0</v>
      </c>
      <c r="E7" s="2054" t="e">
        <f t="shared" si="0"/>
        <v>#N/A</v>
      </c>
      <c r="F7" s="1801" t="e">
        <f t="shared" si="3"/>
        <v>#N/A</v>
      </c>
      <c r="G7" s="1326">
        <f t="shared" ca="1" si="4"/>
        <v>0</v>
      </c>
      <c r="H7" s="1326">
        <f t="shared" ca="1" si="5"/>
        <v>0</v>
      </c>
      <c r="I7" s="1326" t="str">
        <f>Solieu!$B$3</f>
        <v>x</v>
      </c>
      <c r="J7" s="1323"/>
      <c r="K7" s="1215" t="str">
        <f t="shared" ca="1" si="1"/>
        <v/>
      </c>
      <c r="L7" s="897">
        <v>1</v>
      </c>
      <c r="M7" s="1215">
        <v>1</v>
      </c>
      <c r="N7" s="1215">
        <v>12</v>
      </c>
      <c r="O7" s="2046">
        <f t="shared" ca="1" si="6"/>
        <v>0</v>
      </c>
    </row>
    <row r="8" spans="1:15" s="1215" customFormat="1" ht="20.399999999999999" hidden="1" customHeight="1">
      <c r="A8" s="1215" t="str">
        <f t="shared" si="2"/>
        <v>121</v>
      </c>
      <c r="B8" s="1215">
        <v>1</v>
      </c>
      <c r="C8" s="967" t="s">
        <v>762</v>
      </c>
      <c r="D8" s="1801">
        <f ca="1">SUM($K$4:K8)</f>
        <v>0</v>
      </c>
      <c r="E8" s="2054" t="e">
        <f t="shared" si="0"/>
        <v>#N/A</v>
      </c>
      <c r="F8" s="1801" t="e">
        <f t="shared" si="3"/>
        <v>#N/A</v>
      </c>
      <c r="G8" s="1326">
        <f t="shared" ca="1" si="4"/>
        <v>0</v>
      </c>
      <c r="H8" s="1326">
        <f t="shared" ca="1" si="5"/>
        <v>0</v>
      </c>
      <c r="I8" s="1326" t="str">
        <f>Solieu!$B$3</f>
        <v>x</v>
      </c>
      <c r="J8" s="1323"/>
      <c r="K8" s="1215" t="str">
        <f t="shared" ca="1" si="1"/>
        <v/>
      </c>
      <c r="L8" s="897">
        <v>2</v>
      </c>
      <c r="M8" s="1215">
        <v>7</v>
      </c>
      <c r="N8" s="1215">
        <v>12</v>
      </c>
      <c r="O8" s="2046">
        <f t="shared" ca="1" si="6"/>
        <v>0</v>
      </c>
    </row>
    <row r="9" spans="1:15" s="1215" customFormat="1" ht="20.399999999999999" hidden="1" customHeight="1">
      <c r="A9" s="1215" t="str">
        <f t="shared" si="2"/>
        <v>82</v>
      </c>
      <c r="B9" s="1215">
        <v>2</v>
      </c>
      <c r="C9" s="967" t="s">
        <v>761</v>
      </c>
      <c r="D9" s="1801">
        <f ca="1">SUM($K$4:K9)</f>
        <v>0</v>
      </c>
      <c r="E9" s="2054" t="e">
        <f t="shared" si="0"/>
        <v>#N/A</v>
      </c>
      <c r="F9" s="1801" t="e">
        <f t="shared" si="3"/>
        <v>#N/A</v>
      </c>
      <c r="G9" s="1326">
        <f t="shared" ca="1" si="4"/>
        <v>0</v>
      </c>
      <c r="H9" s="1326">
        <f t="shared" ca="1" si="5"/>
        <v>0</v>
      </c>
      <c r="I9" s="1326">
        <v>3</v>
      </c>
      <c r="J9" s="1323"/>
      <c r="K9" s="1215" t="str">
        <f t="shared" ca="1" si="1"/>
        <v/>
      </c>
      <c r="L9" s="897"/>
      <c r="N9" s="1215">
        <v>8</v>
      </c>
      <c r="O9" s="2046">
        <f t="shared" ca="1" si="6"/>
        <v>0</v>
      </c>
    </row>
    <row r="10" spans="1:15" s="1215" customFormat="1" ht="20.399999999999999" hidden="1" customHeight="1">
      <c r="A10" s="1215" t="str">
        <f t="shared" si="2"/>
        <v>82</v>
      </c>
      <c r="B10" s="1215">
        <v>2</v>
      </c>
      <c r="C10" s="967" t="s">
        <v>443</v>
      </c>
      <c r="D10" s="1801">
        <f ca="1">SUM($K$4:K10)</f>
        <v>0</v>
      </c>
      <c r="E10" s="2054" t="e">
        <f t="shared" si="0"/>
        <v>#N/A</v>
      </c>
      <c r="F10" s="1801" t="e">
        <f t="shared" si="3"/>
        <v>#N/A</v>
      </c>
      <c r="G10" s="1326">
        <f t="shared" ca="1" si="4"/>
        <v>0</v>
      </c>
      <c r="H10" s="1326">
        <f t="shared" ca="1" si="5"/>
        <v>0</v>
      </c>
      <c r="I10" s="1326">
        <v>3</v>
      </c>
      <c r="J10" s="1323"/>
      <c r="K10" s="1215" t="str">
        <f t="shared" ca="1" si="1"/>
        <v/>
      </c>
      <c r="L10" s="897"/>
      <c r="N10" s="1215">
        <v>8</v>
      </c>
      <c r="O10" s="2046">
        <f t="shared" ca="1" si="6"/>
        <v>0</v>
      </c>
    </row>
    <row r="11" spans="1:15" s="1215" customFormat="1" ht="20.399999999999999" hidden="1" customHeight="1">
      <c r="A11" s="1215" t="str">
        <f t="shared" si="2"/>
        <v>122</v>
      </c>
      <c r="B11" s="1215">
        <v>2</v>
      </c>
      <c r="C11" s="967" t="s">
        <v>444</v>
      </c>
      <c r="D11" s="1801">
        <f ca="1">SUM($K$4:K11)</f>
        <v>0</v>
      </c>
      <c r="E11" s="2054" t="e">
        <f t="shared" si="0"/>
        <v>#N/A</v>
      </c>
      <c r="F11" s="1801" t="e">
        <f t="shared" si="3"/>
        <v>#N/A</v>
      </c>
      <c r="G11" s="1326">
        <f t="shared" ca="1" si="4"/>
        <v>0</v>
      </c>
      <c r="H11" s="1326">
        <f t="shared" ca="1" si="5"/>
        <v>0</v>
      </c>
      <c r="I11" s="1326">
        <v>3</v>
      </c>
      <c r="J11" s="1323"/>
      <c r="K11" s="1215" t="str">
        <f t="shared" ca="1" si="1"/>
        <v/>
      </c>
      <c r="L11" s="897"/>
      <c r="N11" s="1215">
        <v>12</v>
      </c>
      <c r="O11" s="2046">
        <f t="shared" ca="1" si="6"/>
        <v>0</v>
      </c>
    </row>
    <row r="12" spans="1:15" s="1215" customFormat="1" ht="20.399999999999999" hidden="1" customHeight="1">
      <c r="A12" s="1215" t="str">
        <f t="shared" si="2"/>
        <v>122</v>
      </c>
      <c r="B12" s="1215">
        <v>2</v>
      </c>
      <c r="C12" s="967" t="s">
        <v>958</v>
      </c>
      <c r="D12" s="1801">
        <f ca="1">SUM($K$4:K12)</f>
        <v>0</v>
      </c>
      <c r="E12" s="2054" t="e">
        <f t="shared" si="0"/>
        <v>#N/A</v>
      </c>
      <c r="F12" s="1801" t="e">
        <f t="shared" si="3"/>
        <v>#N/A</v>
      </c>
      <c r="G12" s="1326">
        <f t="shared" ca="1" si="4"/>
        <v>0</v>
      </c>
      <c r="H12" s="1326">
        <f t="shared" ca="1" si="5"/>
        <v>0</v>
      </c>
      <c r="I12" s="1326"/>
      <c r="J12" s="1323"/>
      <c r="K12" s="1215" t="str">
        <f t="shared" ca="1" si="1"/>
        <v/>
      </c>
      <c r="L12" s="897"/>
      <c r="N12" s="1215">
        <v>12</v>
      </c>
      <c r="O12" s="2046">
        <f t="shared" ca="1" si="6"/>
        <v>0</v>
      </c>
    </row>
    <row r="13" spans="1:15" s="1215" customFormat="1" ht="20.399999999999999" hidden="1" customHeight="1">
      <c r="C13" s="967" t="s">
        <v>2176</v>
      </c>
      <c r="D13" s="1801">
        <f ca="1">SUM($K$4:K13)</f>
        <v>0</v>
      </c>
      <c r="E13" s="2054" t="e">
        <f t="shared" si="0"/>
        <v>#N/A</v>
      </c>
      <c r="F13" s="1801" t="e">
        <f t="shared" si="3"/>
        <v>#N/A</v>
      </c>
      <c r="G13" s="1326">
        <f t="shared" ca="1" si="4"/>
        <v>0</v>
      </c>
      <c r="H13" s="1326">
        <f t="shared" ca="1" si="5"/>
        <v>0</v>
      </c>
      <c r="I13" s="1326"/>
      <c r="J13" s="1323"/>
      <c r="K13" s="1215" t="str">
        <f t="shared" ref="K13:K63" ca="1" si="7">IF(OR(G13&gt;0,H13&gt;0),1,"")</f>
        <v/>
      </c>
      <c r="L13" s="897"/>
    </row>
    <row r="14" spans="1:15" s="1215" customFormat="1" ht="20.399999999999999" hidden="1" customHeight="1">
      <c r="C14" s="967" t="s">
        <v>2315</v>
      </c>
      <c r="D14" s="1801">
        <f ca="1">SUM($K$4:K14)</f>
        <v>0</v>
      </c>
      <c r="E14" s="2054" t="e">
        <f t="shared" si="0"/>
        <v>#N/A</v>
      </c>
      <c r="F14" s="1801" t="e">
        <f t="shared" ref="F14:F63" si="8">VLOOKUP(C14,KhoiLuong,6,0)</f>
        <v>#N/A</v>
      </c>
      <c r="G14" s="1326">
        <f t="shared" ref="G14:G63" ca="1" si="9">SUMIF(KhoiLuong,C14,DuToan)</f>
        <v>0</v>
      </c>
      <c r="H14" s="1326">
        <f t="shared" ref="H14:H63" ca="1" si="10">SUMIF(KhoiLuong,C14,ThiCong)</f>
        <v>0</v>
      </c>
      <c r="I14" s="1326"/>
      <c r="J14" s="1323"/>
      <c r="K14" s="1215" t="str">
        <f t="shared" ca="1" si="7"/>
        <v/>
      </c>
      <c r="L14" s="897"/>
    </row>
    <row r="15" spans="1:15" s="1215" customFormat="1" ht="20.399999999999999" hidden="1" customHeight="1">
      <c r="C15" s="967" t="s">
        <v>4128</v>
      </c>
      <c r="D15" s="1801">
        <f ca="1">SUM($K$4:K15)</f>
        <v>0</v>
      </c>
      <c r="E15" s="2054" t="e">
        <f t="shared" si="0"/>
        <v>#N/A</v>
      </c>
      <c r="F15" s="1801" t="e">
        <f t="shared" si="8"/>
        <v>#N/A</v>
      </c>
      <c r="G15" s="1326">
        <f t="shared" ca="1" si="9"/>
        <v>0</v>
      </c>
      <c r="H15" s="1326">
        <f t="shared" ca="1" si="10"/>
        <v>0</v>
      </c>
      <c r="I15" s="1326"/>
      <c r="J15" s="1323"/>
      <c r="K15" s="1215" t="str">
        <f t="shared" ca="1" si="7"/>
        <v/>
      </c>
      <c r="L15" s="897"/>
    </row>
    <row r="16" spans="1:15" s="1215" customFormat="1" ht="20.399999999999999" hidden="1" customHeight="1">
      <c r="C16" s="967" t="s">
        <v>234</v>
      </c>
      <c r="D16" s="1801">
        <f ca="1">SUM($K$4:K16)</f>
        <v>0</v>
      </c>
      <c r="E16" s="2054" t="e">
        <f t="shared" si="0"/>
        <v>#N/A</v>
      </c>
      <c r="F16" s="1801" t="e">
        <f t="shared" si="8"/>
        <v>#N/A</v>
      </c>
      <c r="G16" s="1326">
        <f t="shared" ca="1" si="9"/>
        <v>0</v>
      </c>
      <c r="H16" s="1326">
        <f t="shared" ca="1" si="10"/>
        <v>0</v>
      </c>
      <c r="I16" s="1326"/>
      <c r="J16" s="1323"/>
      <c r="K16" s="1215" t="str">
        <f t="shared" ca="1" si="7"/>
        <v/>
      </c>
      <c r="L16" s="897"/>
    </row>
    <row r="17" spans="3:12" s="1215" customFormat="1" ht="20.399999999999999" hidden="1" customHeight="1">
      <c r="C17" s="967" t="s">
        <v>2177</v>
      </c>
      <c r="D17" s="1801">
        <f ca="1">SUM($K$4:K17)</f>
        <v>0</v>
      </c>
      <c r="E17" s="2054" t="e">
        <f t="shared" si="0"/>
        <v>#N/A</v>
      </c>
      <c r="F17" s="1801" t="e">
        <f t="shared" si="8"/>
        <v>#N/A</v>
      </c>
      <c r="G17" s="1326">
        <f t="shared" ca="1" si="9"/>
        <v>0</v>
      </c>
      <c r="H17" s="1326">
        <f t="shared" ca="1" si="10"/>
        <v>0</v>
      </c>
      <c r="I17" s="1326"/>
      <c r="J17" s="1323"/>
      <c r="K17" s="1215" t="str">
        <f t="shared" ca="1" si="7"/>
        <v/>
      </c>
      <c r="L17" s="897"/>
    </row>
    <row r="18" spans="3:12" s="1215" customFormat="1" ht="20.399999999999999" hidden="1" customHeight="1">
      <c r="C18" s="967" t="s">
        <v>932</v>
      </c>
      <c r="D18" s="1801">
        <f ca="1">SUM($K$4:K18)</f>
        <v>0</v>
      </c>
      <c r="E18" s="2054" t="e">
        <f t="shared" si="0"/>
        <v>#N/A</v>
      </c>
      <c r="F18" s="1801" t="e">
        <f t="shared" si="8"/>
        <v>#N/A</v>
      </c>
      <c r="G18" s="1326">
        <f t="shared" ca="1" si="9"/>
        <v>0</v>
      </c>
      <c r="H18" s="1326">
        <f t="shared" ca="1" si="10"/>
        <v>0</v>
      </c>
      <c r="I18" s="1326"/>
      <c r="J18" s="1323"/>
      <c r="K18" s="1215" t="str">
        <f t="shared" ca="1" si="7"/>
        <v/>
      </c>
      <c r="L18" s="897"/>
    </row>
    <row r="19" spans="3:12" s="1215" customFormat="1" ht="20.399999999999999" hidden="1" customHeight="1">
      <c r="C19" s="967" t="s">
        <v>933</v>
      </c>
      <c r="D19" s="1801">
        <f ca="1">SUM($K$4:K19)</f>
        <v>0</v>
      </c>
      <c r="E19" s="2054" t="e">
        <f t="shared" si="0"/>
        <v>#N/A</v>
      </c>
      <c r="F19" s="1801" t="e">
        <f t="shared" si="8"/>
        <v>#N/A</v>
      </c>
      <c r="G19" s="1326">
        <f t="shared" ca="1" si="9"/>
        <v>0</v>
      </c>
      <c r="H19" s="1326">
        <f t="shared" ca="1" si="10"/>
        <v>0</v>
      </c>
      <c r="I19" s="1326"/>
      <c r="J19" s="1323"/>
      <c r="K19" s="1215" t="str">
        <f t="shared" ca="1" si="7"/>
        <v/>
      </c>
      <c r="L19" s="897"/>
    </row>
    <row r="20" spans="3:12" s="1215" customFormat="1" ht="20.399999999999999" hidden="1" customHeight="1">
      <c r="C20" s="967" t="s">
        <v>2178</v>
      </c>
      <c r="D20" s="1801">
        <f ca="1">SUM($K$4:K20)</f>
        <v>0</v>
      </c>
      <c r="E20" s="2054" t="e">
        <f t="shared" si="0"/>
        <v>#N/A</v>
      </c>
      <c r="F20" s="1801" t="e">
        <f t="shared" si="8"/>
        <v>#N/A</v>
      </c>
      <c r="G20" s="1326">
        <f t="shared" ca="1" si="9"/>
        <v>0</v>
      </c>
      <c r="H20" s="1326">
        <f t="shared" ca="1" si="10"/>
        <v>0</v>
      </c>
      <c r="I20" s="1326"/>
      <c r="J20" s="1323"/>
      <c r="K20" s="1215" t="str">
        <f t="shared" ca="1" si="7"/>
        <v/>
      </c>
      <c r="L20" s="897"/>
    </row>
    <row r="21" spans="3:12" s="1215" customFormat="1" ht="20.399999999999999" hidden="1" customHeight="1">
      <c r="C21" s="967" t="s">
        <v>12</v>
      </c>
      <c r="D21" s="1801">
        <f ca="1">SUM($K$4:K21)</f>
        <v>0</v>
      </c>
      <c r="E21" s="2054" t="e">
        <f t="shared" si="0"/>
        <v>#N/A</v>
      </c>
      <c r="F21" s="1801" t="e">
        <f t="shared" si="8"/>
        <v>#N/A</v>
      </c>
      <c r="G21" s="1326">
        <f t="shared" ca="1" si="9"/>
        <v>0</v>
      </c>
      <c r="H21" s="1326">
        <f t="shared" ca="1" si="10"/>
        <v>0</v>
      </c>
      <c r="I21" s="1326"/>
      <c r="J21" s="1323"/>
      <c r="K21" s="1215" t="str">
        <f t="shared" ca="1" si="7"/>
        <v/>
      </c>
      <c r="L21" s="897"/>
    </row>
    <row r="22" spans="3:12" s="1215" customFormat="1" ht="20.399999999999999" hidden="1" customHeight="1">
      <c r="C22" s="967" t="s">
        <v>695</v>
      </c>
      <c r="D22" s="1801">
        <f ca="1">SUM($K$4:K22)</f>
        <v>0</v>
      </c>
      <c r="E22" s="2054" t="e">
        <f t="shared" si="0"/>
        <v>#N/A</v>
      </c>
      <c r="F22" s="1801" t="e">
        <f t="shared" si="8"/>
        <v>#N/A</v>
      </c>
      <c r="G22" s="1326">
        <f t="shared" ca="1" si="9"/>
        <v>0</v>
      </c>
      <c r="H22" s="1326">
        <f t="shared" ca="1" si="10"/>
        <v>0</v>
      </c>
      <c r="I22" s="1326"/>
      <c r="J22" s="1323"/>
      <c r="K22" s="1215" t="str">
        <f t="shared" ca="1" si="7"/>
        <v/>
      </c>
      <c r="L22" s="897"/>
    </row>
    <row r="23" spans="3:12" s="1215" customFormat="1" ht="20.399999999999999" hidden="1" customHeight="1">
      <c r="C23" s="967" t="s">
        <v>994</v>
      </c>
      <c r="D23" s="1801">
        <f ca="1">SUM($K$4:K23)</f>
        <v>0</v>
      </c>
      <c r="E23" s="2054" t="e">
        <f t="shared" si="0"/>
        <v>#N/A</v>
      </c>
      <c r="F23" s="1801" t="e">
        <f t="shared" si="8"/>
        <v>#N/A</v>
      </c>
      <c r="G23" s="1326">
        <f t="shared" ca="1" si="9"/>
        <v>0</v>
      </c>
      <c r="H23" s="1326">
        <f t="shared" ca="1" si="10"/>
        <v>0</v>
      </c>
      <c r="I23" s="1326"/>
      <c r="J23" s="1323"/>
      <c r="K23" s="1215" t="str">
        <f t="shared" ca="1" si="7"/>
        <v/>
      </c>
      <c r="L23" s="897"/>
    </row>
    <row r="24" spans="3:12" s="1215" customFormat="1" ht="20.399999999999999" hidden="1" customHeight="1">
      <c r="C24" s="967" t="s">
        <v>2303</v>
      </c>
      <c r="D24" s="1801">
        <f ca="1">SUM($K$4:K24)</f>
        <v>0</v>
      </c>
      <c r="E24" s="2054" t="e">
        <f t="shared" si="0"/>
        <v>#N/A</v>
      </c>
      <c r="F24" s="1801" t="e">
        <f t="shared" si="8"/>
        <v>#N/A</v>
      </c>
      <c r="G24" s="1326">
        <f t="shared" ca="1" si="9"/>
        <v>0</v>
      </c>
      <c r="H24" s="1326">
        <f t="shared" ca="1" si="10"/>
        <v>0</v>
      </c>
      <c r="I24" s="1326"/>
      <c r="J24" s="1323"/>
      <c r="K24" s="1215" t="str">
        <f t="shared" ca="1" si="7"/>
        <v/>
      </c>
      <c r="L24" s="897"/>
    </row>
    <row r="25" spans="3:12" s="1215" customFormat="1" ht="20.399999999999999" hidden="1" customHeight="1">
      <c r="C25" s="967" t="s">
        <v>100</v>
      </c>
      <c r="D25" s="1801">
        <f ca="1">SUM($K$4:K25)</f>
        <v>0</v>
      </c>
      <c r="E25" s="2054" t="e">
        <f t="shared" si="0"/>
        <v>#N/A</v>
      </c>
      <c r="F25" s="1801" t="e">
        <f t="shared" si="8"/>
        <v>#N/A</v>
      </c>
      <c r="G25" s="1326">
        <f t="shared" ca="1" si="9"/>
        <v>0</v>
      </c>
      <c r="H25" s="1326">
        <f t="shared" ca="1" si="10"/>
        <v>0</v>
      </c>
      <c r="I25" s="1326"/>
      <c r="J25" s="1323"/>
      <c r="K25" s="1215" t="str">
        <f t="shared" ca="1" si="7"/>
        <v/>
      </c>
      <c r="L25" s="897"/>
    </row>
    <row r="26" spans="3:12" s="1215" customFormat="1" ht="20.399999999999999" hidden="1" customHeight="1">
      <c r="C26" s="967" t="s">
        <v>833</v>
      </c>
      <c r="D26" s="1801">
        <f ca="1">SUM($K$4:K26)</f>
        <v>0</v>
      </c>
      <c r="E26" s="2054" t="e">
        <f t="shared" si="0"/>
        <v>#N/A</v>
      </c>
      <c r="F26" s="1801" t="e">
        <f t="shared" si="8"/>
        <v>#N/A</v>
      </c>
      <c r="G26" s="1326">
        <f t="shared" ca="1" si="9"/>
        <v>0</v>
      </c>
      <c r="H26" s="1326">
        <f t="shared" ca="1" si="10"/>
        <v>0</v>
      </c>
      <c r="I26" s="1326"/>
      <c r="J26" s="1323"/>
      <c r="K26" s="1215" t="str">
        <f t="shared" ca="1" si="7"/>
        <v/>
      </c>
      <c r="L26" s="897"/>
    </row>
    <row r="27" spans="3:12" s="1215" customFormat="1" ht="20.399999999999999" hidden="1" customHeight="1">
      <c r="C27" s="967" t="s">
        <v>834</v>
      </c>
      <c r="D27" s="1801">
        <f ca="1">SUM($K$4:K27)</f>
        <v>0</v>
      </c>
      <c r="E27" s="2054" t="e">
        <f t="shared" si="0"/>
        <v>#N/A</v>
      </c>
      <c r="F27" s="1801" t="e">
        <f t="shared" si="8"/>
        <v>#N/A</v>
      </c>
      <c r="G27" s="1326">
        <f t="shared" ca="1" si="9"/>
        <v>0</v>
      </c>
      <c r="H27" s="1326">
        <f t="shared" ca="1" si="10"/>
        <v>0</v>
      </c>
      <c r="I27" s="1326"/>
      <c r="J27" s="1323"/>
      <c r="K27" s="1215" t="str">
        <f t="shared" ca="1" si="7"/>
        <v/>
      </c>
      <c r="L27" s="897"/>
    </row>
    <row r="28" spans="3:12" s="1215" customFormat="1" ht="20.399999999999999" hidden="1" customHeight="1">
      <c r="C28" s="967" t="s">
        <v>286</v>
      </c>
      <c r="D28" s="1801">
        <f ca="1">SUM($K$4:K28)</f>
        <v>0</v>
      </c>
      <c r="E28" s="2054" t="e">
        <f t="shared" si="0"/>
        <v>#N/A</v>
      </c>
      <c r="F28" s="1801" t="e">
        <f t="shared" si="8"/>
        <v>#N/A</v>
      </c>
      <c r="G28" s="1326">
        <f t="shared" ca="1" si="9"/>
        <v>0</v>
      </c>
      <c r="H28" s="1326">
        <f t="shared" ca="1" si="10"/>
        <v>0</v>
      </c>
      <c r="I28" s="1326"/>
      <c r="J28" s="1323"/>
      <c r="K28" s="1215" t="str">
        <f t="shared" ca="1" si="7"/>
        <v/>
      </c>
      <c r="L28" s="897"/>
    </row>
    <row r="29" spans="3:12" s="1215" customFormat="1" ht="20.399999999999999" hidden="1" customHeight="1">
      <c r="C29" s="967" t="s">
        <v>832</v>
      </c>
      <c r="D29" s="1801">
        <f ca="1">SUM($K$4:K29)</f>
        <v>0</v>
      </c>
      <c r="E29" s="2054" t="e">
        <f t="shared" si="0"/>
        <v>#N/A</v>
      </c>
      <c r="F29" s="1801" t="e">
        <f t="shared" si="8"/>
        <v>#N/A</v>
      </c>
      <c r="G29" s="1326">
        <f t="shared" ca="1" si="9"/>
        <v>0</v>
      </c>
      <c r="H29" s="1326">
        <f t="shared" ca="1" si="10"/>
        <v>0</v>
      </c>
      <c r="I29" s="1326"/>
      <c r="J29" s="1323"/>
      <c r="K29" s="1215" t="str">
        <f t="shared" ca="1" si="7"/>
        <v/>
      </c>
      <c r="L29" s="897"/>
    </row>
    <row r="30" spans="3:12" s="1215" customFormat="1" ht="20.399999999999999" hidden="1" customHeight="1">
      <c r="C30" s="967" t="s">
        <v>760</v>
      </c>
      <c r="D30" s="1801">
        <f ca="1">SUM($K$4:K30)</f>
        <v>0</v>
      </c>
      <c r="E30" s="2054" t="e">
        <f t="shared" si="0"/>
        <v>#N/A</v>
      </c>
      <c r="F30" s="1801" t="e">
        <f t="shared" si="8"/>
        <v>#N/A</v>
      </c>
      <c r="G30" s="1326">
        <f t="shared" ca="1" si="9"/>
        <v>0</v>
      </c>
      <c r="H30" s="1326">
        <f t="shared" ca="1" si="10"/>
        <v>0</v>
      </c>
      <c r="I30" s="1326"/>
      <c r="J30" s="1323"/>
      <c r="K30" s="1215" t="str">
        <f t="shared" ca="1" si="7"/>
        <v/>
      </c>
      <c r="L30" s="897"/>
    </row>
    <row r="31" spans="3:12" s="1215" customFormat="1" ht="20.399999999999999" customHeight="1">
      <c r="C31" s="967" t="s">
        <v>219</v>
      </c>
      <c r="D31" s="1801">
        <f ca="1">SUM($K$4:K31)</f>
        <v>1</v>
      </c>
      <c r="E31" s="2054" t="str">
        <f t="shared" si="0"/>
        <v>Móng M12</v>
      </c>
      <c r="F31" s="1801" t="str">
        <f t="shared" si="8"/>
        <v>Móng</v>
      </c>
      <c r="G31" s="1326">
        <f t="shared" ca="1" si="9"/>
        <v>5</v>
      </c>
      <c r="H31" s="1326">
        <f t="shared" ca="1" si="10"/>
        <v>5</v>
      </c>
      <c r="I31" s="1326"/>
      <c r="J31" s="1323"/>
      <c r="K31" s="1215">
        <f t="shared" ca="1" si="7"/>
        <v>1</v>
      </c>
      <c r="L31" s="897"/>
    </row>
    <row r="32" spans="3:12" s="1215" customFormat="1" ht="20.399999999999999" hidden="1" customHeight="1">
      <c r="C32" s="967" t="s">
        <v>303</v>
      </c>
      <c r="D32" s="1801">
        <f ca="1">SUM($K$4:K32)</f>
        <v>1</v>
      </c>
      <c r="E32" s="2054" t="e">
        <f t="shared" si="0"/>
        <v>#N/A</v>
      </c>
      <c r="F32" s="1801" t="e">
        <f t="shared" si="8"/>
        <v>#N/A</v>
      </c>
      <c r="G32" s="1326">
        <f t="shared" ca="1" si="9"/>
        <v>0</v>
      </c>
      <c r="H32" s="1326">
        <f t="shared" ca="1" si="10"/>
        <v>0</v>
      </c>
      <c r="I32" s="1326"/>
      <c r="J32" s="1323"/>
      <c r="K32" s="1215" t="str">
        <f t="shared" ca="1" si="7"/>
        <v/>
      </c>
      <c r="L32" s="897"/>
    </row>
    <row r="33" spans="3:12" s="1215" customFormat="1" ht="20.399999999999999" hidden="1" customHeight="1">
      <c r="C33" s="967" t="s">
        <v>2263</v>
      </c>
      <c r="D33" s="1801">
        <f ca="1">SUM($K$4:K33)</f>
        <v>1</v>
      </c>
      <c r="E33" s="2054" t="e">
        <f t="shared" si="0"/>
        <v>#N/A</v>
      </c>
      <c r="F33" s="1801" t="e">
        <f t="shared" si="8"/>
        <v>#N/A</v>
      </c>
      <c r="G33" s="1326">
        <f t="shared" ca="1" si="9"/>
        <v>0</v>
      </c>
      <c r="H33" s="1326">
        <f t="shared" ca="1" si="10"/>
        <v>0</v>
      </c>
      <c r="I33" s="1326"/>
      <c r="J33" s="1323"/>
      <c r="K33" s="1215" t="str">
        <f t="shared" ca="1" si="7"/>
        <v/>
      </c>
      <c r="L33" s="897"/>
    </row>
    <row r="34" spans="3:12" s="1215" customFormat="1" ht="20.399999999999999" hidden="1" customHeight="1">
      <c r="C34" s="967" t="s">
        <v>304</v>
      </c>
      <c r="D34" s="1801">
        <f ca="1">SUM($K$4:K34)</f>
        <v>1</v>
      </c>
      <c r="E34" s="2054" t="e">
        <f t="shared" si="0"/>
        <v>#N/A</v>
      </c>
      <c r="F34" s="1801" t="e">
        <f t="shared" si="8"/>
        <v>#N/A</v>
      </c>
      <c r="G34" s="1326">
        <f t="shared" ca="1" si="9"/>
        <v>0</v>
      </c>
      <c r="H34" s="1326">
        <f t="shared" ca="1" si="10"/>
        <v>0</v>
      </c>
      <c r="I34" s="1326"/>
      <c r="J34" s="1323"/>
      <c r="K34" s="1215" t="str">
        <f t="shared" ca="1" si="7"/>
        <v/>
      </c>
      <c r="L34" s="897"/>
    </row>
    <row r="35" spans="3:12" s="1215" customFormat="1" ht="20.399999999999999" hidden="1" customHeight="1">
      <c r="C35" s="967" t="s">
        <v>638</v>
      </c>
      <c r="D35" s="1801">
        <f ca="1">SUM($K$4:K35)</f>
        <v>1</v>
      </c>
      <c r="E35" s="2054" t="e">
        <f t="shared" si="0"/>
        <v>#N/A</v>
      </c>
      <c r="F35" s="1801" t="e">
        <f t="shared" si="8"/>
        <v>#N/A</v>
      </c>
      <c r="G35" s="1326">
        <f t="shared" ca="1" si="9"/>
        <v>0</v>
      </c>
      <c r="H35" s="1326">
        <f t="shared" ca="1" si="10"/>
        <v>0</v>
      </c>
      <c r="I35" s="1326"/>
      <c r="J35" s="1323"/>
      <c r="K35" s="1215" t="str">
        <f t="shared" ca="1" si="7"/>
        <v/>
      </c>
      <c r="L35" s="897"/>
    </row>
    <row r="36" spans="3:12" s="1215" customFormat="1" ht="20.399999999999999" hidden="1" customHeight="1">
      <c r="C36" s="967" t="s">
        <v>647</v>
      </c>
      <c r="D36" s="1801">
        <f ca="1">SUM($K$4:K36)</f>
        <v>1</v>
      </c>
      <c r="E36" s="2054" t="e">
        <f t="shared" ref="E36:E63" si="11">VLOOKUP(C36,KhoiLuong,5,0)</f>
        <v>#N/A</v>
      </c>
      <c r="F36" s="1801" t="e">
        <f t="shared" si="8"/>
        <v>#N/A</v>
      </c>
      <c r="G36" s="1326">
        <f t="shared" ca="1" si="9"/>
        <v>0</v>
      </c>
      <c r="H36" s="1326">
        <f t="shared" ca="1" si="10"/>
        <v>0</v>
      </c>
      <c r="I36" s="1326"/>
      <c r="J36" s="1323"/>
      <c r="K36" s="1215" t="str">
        <f t="shared" ca="1" si="7"/>
        <v/>
      </c>
      <c r="L36" s="897"/>
    </row>
    <row r="37" spans="3:12" s="1215" customFormat="1" ht="20.399999999999999" hidden="1" customHeight="1">
      <c r="C37" s="967" t="s">
        <v>511</v>
      </c>
      <c r="D37" s="1801">
        <f ca="1">SUM($K$4:K37)</f>
        <v>1</v>
      </c>
      <c r="E37" s="2054" t="e">
        <f t="shared" si="11"/>
        <v>#N/A</v>
      </c>
      <c r="F37" s="1801" t="e">
        <f t="shared" si="8"/>
        <v>#N/A</v>
      </c>
      <c r="G37" s="1326">
        <f t="shared" ca="1" si="9"/>
        <v>0</v>
      </c>
      <c r="H37" s="1326">
        <f t="shared" ca="1" si="10"/>
        <v>0</v>
      </c>
      <c r="I37" s="1326"/>
      <c r="J37" s="1323"/>
      <c r="K37" s="1215" t="str">
        <f t="shared" ca="1" si="7"/>
        <v/>
      </c>
      <c r="L37" s="897"/>
    </row>
    <row r="38" spans="3:12" s="1215" customFormat="1" ht="20.399999999999999" hidden="1" customHeight="1">
      <c r="C38" s="967" t="s">
        <v>646</v>
      </c>
      <c r="D38" s="1801">
        <f ca="1">SUM($K$4:K38)</f>
        <v>1</v>
      </c>
      <c r="E38" s="2054" t="e">
        <f t="shared" si="11"/>
        <v>#N/A</v>
      </c>
      <c r="F38" s="1801" t="e">
        <f t="shared" si="8"/>
        <v>#N/A</v>
      </c>
      <c r="G38" s="1326">
        <f t="shared" ca="1" si="9"/>
        <v>0</v>
      </c>
      <c r="H38" s="1326">
        <f t="shared" ca="1" si="10"/>
        <v>0</v>
      </c>
      <c r="I38" s="1326"/>
      <c r="J38" s="1323"/>
      <c r="K38" s="1215" t="str">
        <f t="shared" ca="1" si="7"/>
        <v/>
      </c>
      <c r="L38" s="897"/>
    </row>
    <row r="39" spans="3:12" s="1215" customFormat="1" ht="20.399999999999999" hidden="1" customHeight="1">
      <c r="C39" s="967" t="s">
        <v>1901</v>
      </c>
      <c r="D39" s="1801">
        <f ca="1">SUM($K$4:K39)</f>
        <v>1</v>
      </c>
      <c r="E39" s="2054" t="e">
        <f t="shared" si="11"/>
        <v>#N/A</v>
      </c>
      <c r="F39" s="1801" t="e">
        <f t="shared" si="8"/>
        <v>#N/A</v>
      </c>
      <c r="G39" s="1326">
        <f t="shared" ca="1" si="9"/>
        <v>0</v>
      </c>
      <c r="H39" s="1326">
        <f t="shared" ca="1" si="10"/>
        <v>0</v>
      </c>
      <c r="I39" s="1326"/>
      <c r="J39" s="1323"/>
      <c r="K39" s="1215" t="str">
        <f t="shared" ca="1" si="7"/>
        <v/>
      </c>
      <c r="L39" s="897"/>
    </row>
    <row r="40" spans="3:12" s="1215" customFormat="1" ht="20.399999999999999" hidden="1" customHeight="1">
      <c r="C40" s="967" t="s">
        <v>2180</v>
      </c>
      <c r="D40" s="1801">
        <f ca="1">SUM($K$4:K40)</f>
        <v>1</v>
      </c>
      <c r="E40" s="2054" t="e">
        <f t="shared" si="11"/>
        <v>#N/A</v>
      </c>
      <c r="F40" s="1801" t="e">
        <f t="shared" si="8"/>
        <v>#N/A</v>
      </c>
      <c r="G40" s="1326">
        <f t="shared" ca="1" si="9"/>
        <v>0</v>
      </c>
      <c r="H40" s="1326">
        <f t="shared" ca="1" si="10"/>
        <v>0</v>
      </c>
      <c r="I40" s="1326"/>
      <c r="J40" s="1323"/>
      <c r="K40" s="1215" t="str">
        <f t="shared" ca="1" si="7"/>
        <v/>
      </c>
      <c r="L40" s="897"/>
    </row>
    <row r="41" spans="3:12" s="1215" customFormat="1" ht="20.399999999999999" hidden="1" customHeight="1">
      <c r="C41" s="967" t="s">
        <v>500</v>
      </c>
      <c r="D41" s="1801">
        <f ca="1">SUM($K$4:K41)</f>
        <v>1</v>
      </c>
      <c r="E41" s="2054" t="e">
        <f t="shared" si="11"/>
        <v>#N/A</v>
      </c>
      <c r="F41" s="1801" t="e">
        <f t="shared" si="8"/>
        <v>#N/A</v>
      </c>
      <c r="G41" s="1326">
        <f t="shared" ca="1" si="9"/>
        <v>0</v>
      </c>
      <c r="H41" s="1326">
        <f t="shared" ca="1" si="10"/>
        <v>0</v>
      </c>
      <c r="I41" s="1326"/>
      <c r="J41" s="1323"/>
      <c r="K41" s="1215" t="str">
        <f t="shared" ca="1" si="7"/>
        <v/>
      </c>
      <c r="L41" s="897"/>
    </row>
    <row r="42" spans="3:12" s="1215" customFormat="1" ht="20.399999999999999" hidden="1" customHeight="1">
      <c r="C42" s="967" t="s">
        <v>2304</v>
      </c>
      <c r="D42" s="1801">
        <f ca="1">SUM($K$4:K42)</f>
        <v>1</v>
      </c>
      <c r="E42" s="2054" t="e">
        <f t="shared" si="11"/>
        <v>#N/A</v>
      </c>
      <c r="F42" s="1801" t="e">
        <f t="shared" si="8"/>
        <v>#N/A</v>
      </c>
      <c r="G42" s="1326">
        <f t="shared" ca="1" si="9"/>
        <v>0</v>
      </c>
      <c r="H42" s="1326">
        <f t="shared" ca="1" si="10"/>
        <v>0</v>
      </c>
      <c r="I42" s="1326"/>
      <c r="J42" s="1323"/>
      <c r="K42" s="1215" t="str">
        <f t="shared" ca="1" si="7"/>
        <v/>
      </c>
      <c r="L42" s="897"/>
    </row>
    <row r="43" spans="3:12" s="1215" customFormat="1" ht="20.399999999999999" hidden="1" customHeight="1">
      <c r="C43" s="967" t="s">
        <v>2305</v>
      </c>
      <c r="D43" s="1801">
        <f ca="1">SUM($K$4:K43)</f>
        <v>1</v>
      </c>
      <c r="E43" s="2054" t="e">
        <f t="shared" si="11"/>
        <v>#N/A</v>
      </c>
      <c r="F43" s="1801" t="e">
        <f t="shared" si="8"/>
        <v>#N/A</v>
      </c>
      <c r="G43" s="1326">
        <f t="shared" ca="1" si="9"/>
        <v>0</v>
      </c>
      <c r="H43" s="1326">
        <f t="shared" ca="1" si="10"/>
        <v>0</v>
      </c>
      <c r="I43" s="1326"/>
      <c r="J43" s="1323"/>
      <c r="K43" s="1215" t="str">
        <f t="shared" ca="1" si="7"/>
        <v/>
      </c>
      <c r="L43" s="897"/>
    </row>
    <row r="44" spans="3:12" s="1215" customFormat="1" ht="20.399999999999999" customHeight="1">
      <c r="C44" s="967" t="s">
        <v>2306</v>
      </c>
      <c r="D44" s="1801">
        <f ca="1">SUM($K$4:K44)</f>
        <v>2</v>
      </c>
      <c r="E44" s="2054" t="str">
        <f t="shared" si="11"/>
        <v>Móng bê tông trụ đôi 12m</v>
      </c>
      <c r="F44" s="1801" t="str">
        <f t="shared" si="8"/>
        <v>Móng</v>
      </c>
      <c r="G44" s="1326">
        <f t="shared" ca="1" si="9"/>
        <v>6</v>
      </c>
      <c r="H44" s="1326">
        <f t="shared" ca="1" si="10"/>
        <v>6</v>
      </c>
      <c r="I44" s="1326"/>
      <c r="J44" s="1323"/>
      <c r="K44" s="1215">
        <f t="shared" ca="1" si="7"/>
        <v>1</v>
      </c>
      <c r="L44" s="897"/>
    </row>
    <row r="45" spans="3:12" s="1215" customFormat="1" ht="20.399999999999999" hidden="1" customHeight="1">
      <c r="C45" s="967" t="s">
        <v>744</v>
      </c>
      <c r="D45" s="1801">
        <f ca="1">SUM($K$4:K45)</f>
        <v>2</v>
      </c>
      <c r="E45" s="2054" t="e">
        <f t="shared" si="11"/>
        <v>#N/A</v>
      </c>
      <c r="F45" s="1801" t="e">
        <f t="shared" si="8"/>
        <v>#N/A</v>
      </c>
      <c r="G45" s="1326">
        <f t="shared" ca="1" si="9"/>
        <v>0</v>
      </c>
      <c r="H45" s="1326">
        <f t="shared" ca="1" si="10"/>
        <v>0</v>
      </c>
      <c r="I45" s="1326"/>
      <c r="J45" s="1323"/>
      <c r="K45" s="1215" t="str">
        <f t="shared" ca="1" si="7"/>
        <v/>
      </c>
      <c r="L45" s="897"/>
    </row>
    <row r="46" spans="3:12" s="1215" customFormat="1" ht="20.399999999999999" hidden="1" customHeight="1">
      <c r="C46" s="967" t="s">
        <v>2264</v>
      </c>
      <c r="D46" s="1801">
        <f ca="1">SUM($K$4:K46)</f>
        <v>2</v>
      </c>
      <c r="E46" s="2054" t="e">
        <f t="shared" si="11"/>
        <v>#N/A</v>
      </c>
      <c r="F46" s="1801" t="e">
        <f t="shared" si="8"/>
        <v>#N/A</v>
      </c>
      <c r="G46" s="1326">
        <f t="shared" ca="1" si="9"/>
        <v>0</v>
      </c>
      <c r="H46" s="1326">
        <f t="shared" ca="1" si="10"/>
        <v>0</v>
      </c>
      <c r="I46" s="1326"/>
      <c r="J46" s="1323"/>
      <c r="K46" s="1215" t="str">
        <f t="shared" ca="1" si="7"/>
        <v/>
      </c>
      <c r="L46" s="897"/>
    </row>
    <row r="47" spans="3:12" s="1215" customFormat="1" ht="20.399999999999999" hidden="1" customHeight="1">
      <c r="C47" s="967" t="s">
        <v>780</v>
      </c>
      <c r="D47" s="1801">
        <f ca="1">SUM($K$4:K47)</f>
        <v>2</v>
      </c>
      <c r="E47" s="2054" t="e">
        <f t="shared" si="11"/>
        <v>#N/A</v>
      </c>
      <c r="F47" s="1801" t="e">
        <f t="shared" si="8"/>
        <v>#N/A</v>
      </c>
      <c r="G47" s="1326">
        <f t="shared" ca="1" si="9"/>
        <v>0</v>
      </c>
      <c r="H47" s="1326">
        <f t="shared" ca="1" si="10"/>
        <v>0</v>
      </c>
      <c r="I47" s="1326"/>
      <c r="J47" s="1323"/>
      <c r="K47" s="1215" t="str">
        <f t="shared" ca="1" si="7"/>
        <v/>
      </c>
      <c r="L47" s="897"/>
    </row>
    <row r="48" spans="3:12" s="1215" customFormat="1" ht="20.399999999999999" hidden="1" customHeight="1">
      <c r="C48" s="967" t="s">
        <v>648</v>
      </c>
      <c r="D48" s="1801">
        <f ca="1">SUM($K$4:K48)</f>
        <v>2</v>
      </c>
      <c r="E48" s="2054" t="e">
        <f t="shared" si="11"/>
        <v>#N/A</v>
      </c>
      <c r="F48" s="1801" t="e">
        <f t="shared" si="8"/>
        <v>#N/A</v>
      </c>
      <c r="G48" s="1326">
        <f t="shared" ca="1" si="9"/>
        <v>0</v>
      </c>
      <c r="H48" s="1326">
        <f t="shared" ca="1" si="10"/>
        <v>0</v>
      </c>
      <c r="I48" s="1326"/>
      <c r="J48" s="1323"/>
      <c r="K48" s="1215" t="str">
        <f t="shared" ca="1" si="7"/>
        <v/>
      </c>
      <c r="L48" s="897"/>
    </row>
    <row r="49" spans="3:12" s="1215" customFormat="1" ht="20.399999999999999" hidden="1" customHeight="1">
      <c r="C49" s="967" t="s">
        <v>750</v>
      </c>
      <c r="D49" s="1801">
        <f ca="1">SUM($K$4:K49)</f>
        <v>2</v>
      </c>
      <c r="E49" s="2054" t="e">
        <f t="shared" si="11"/>
        <v>#N/A</v>
      </c>
      <c r="F49" s="1801" t="e">
        <f t="shared" si="8"/>
        <v>#N/A</v>
      </c>
      <c r="G49" s="1326">
        <f t="shared" ca="1" si="9"/>
        <v>0</v>
      </c>
      <c r="H49" s="1326">
        <f t="shared" ca="1" si="10"/>
        <v>0</v>
      </c>
      <c r="I49" s="1326"/>
      <c r="J49" s="1323"/>
      <c r="K49" s="1215" t="str">
        <f t="shared" ca="1" si="7"/>
        <v/>
      </c>
      <c r="L49" s="897"/>
    </row>
    <row r="50" spans="3:12" s="1215" customFormat="1" ht="20.399999999999999" customHeight="1">
      <c r="C50" s="967" t="s">
        <v>2307</v>
      </c>
      <c r="D50" s="1801">
        <f ca="1">SUM($K$4:K50)</f>
        <v>3</v>
      </c>
      <c r="E50" s="2054" t="str">
        <f t="shared" si="11"/>
        <v>Móng bê tông trụ đơn 14m</v>
      </c>
      <c r="F50" s="1801" t="str">
        <f t="shared" si="8"/>
        <v>Móng</v>
      </c>
      <c r="G50" s="1326">
        <f t="shared" ca="1" si="9"/>
        <v>1</v>
      </c>
      <c r="H50" s="1326">
        <f t="shared" ca="1" si="10"/>
        <v>1</v>
      </c>
      <c r="I50" s="1326"/>
      <c r="J50" s="1323"/>
      <c r="K50" s="1215">
        <f t="shared" ca="1" si="7"/>
        <v>1</v>
      </c>
      <c r="L50" s="897"/>
    </row>
    <row r="51" spans="3:12" s="1215" customFormat="1" ht="20.399999999999999" hidden="1" customHeight="1">
      <c r="C51" s="967" t="s">
        <v>649</v>
      </c>
      <c r="D51" s="1801">
        <f ca="1">SUM($K$4:K51)</f>
        <v>3</v>
      </c>
      <c r="E51" s="2054" t="e">
        <f t="shared" si="11"/>
        <v>#N/A</v>
      </c>
      <c r="F51" s="1801" t="e">
        <f t="shared" si="8"/>
        <v>#N/A</v>
      </c>
      <c r="G51" s="1326">
        <f t="shared" ca="1" si="9"/>
        <v>0</v>
      </c>
      <c r="H51" s="1326">
        <f t="shared" ca="1" si="10"/>
        <v>0</v>
      </c>
      <c r="I51" s="1326"/>
      <c r="J51" s="1323"/>
      <c r="K51" s="1215" t="str">
        <f t="shared" ca="1" si="7"/>
        <v/>
      </c>
      <c r="L51" s="897"/>
    </row>
    <row r="52" spans="3:12" s="1215" customFormat="1" ht="20.399999999999999" hidden="1" customHeight="1">
      <c r="C52" s="967" t="s">
        <v>483</v>
      </c>
      <c r="D52" s="1801">
        <f ca="1">SUM($K$4:K52)</f>
        <v>3</v>
      </c>
      <c r="E52" s="2054" t="e">
        <f t="shared" si="11"/>
        <v>#N/A</v>
      </c>
      <c r="F52" s="1801" t="e">
        <f t="shared" si="8"/>
        <v>#N/A</v>
      </c>
      <c r="G52" s="1326">
        <f t="shared" ca="1" si="9"/>
        <v>0</v>
      </c>
      <c r="H52" s="1326">
        <f t="shared" ca="1" si="10"/>
        <v>0</v>
      </c>
      <c r="I52" s="1326"/>
      <c r="J52" s="1323"/>
      <c r="K52" s="1215" t="str">
        <f t="shared" ca="1" si="7"/>
        <v/>
      </c>
      <c r="L52" s="897"/>
    </row>
    <row r="53" spans="3:12" s="1215" customFormat="1" ht="20.399999999999999" hidden="1" customHeight="1">
      <c r="C53" s="967" t="s">
        <v>484</v>
      </c>
      <c r="D53" s="1801">
        <f ca="1">SUM($K$4:K53)</f>
        <v>3</v>
      </c>
      <c r="E53" s="2054" t="e">
        <f t="shared" si="11"/>
        <v>#N/A</v>
      </c>
      <c r="F53" s="1801" t="e">
        <f t="shared" si="8"/>
        <v>#N/A</v>
      </c>
      <c r="G53" s="1326">
        <f t="shared" ca="1" si="9"/>
        <v>0</v>
      </c>
      <c r="H53" s="1326">
        <f t="shared" ca="1" si="10"/>
        <v>0</v>
      </c>
      <c r="I53" s="1326"/>
      <c r="J53" s="1323"/>
      <c r="K53" s="1215" t="str">
        <f t="shared" ca="1" si="7"/>
        <v/>
      </c>
      <c r="L53" s="897"/>
    </row>
    <row r="54" spans="3:12" s="1215" customFormat="1" ht="20.399999999999999" hidden="1" customHeight="1">
      <c r="C54" s="967" t="s">
        <v>285</v>
      </c>
      <c r="D54" s="1801">
        <f ca="1">SUM($K$4:K54)</f>
        <v>3</v>
      </c>
      <c r="E54" s="2054" t="e">
        <f t="shared" si="11"/>
        <v>#N/A</v>
      </c>
      <c r="F54" s="1801" t="e">
        <f t="shared" si="8"/>
        <v>#N/A</v>
      </c>
      <c r="G54" s="1326">
        <f t="shared" ca="1" si="9"/>
        <v>0</v>
      </c>
      <c r="H54" s="1326">
        <f t="shared" ca="1" si="10"/>
        <v>0</v>
      </c>
      <c r="I54" s="1326"/>
      <c r="J54" s="1323"/>
      <c r="K54" s="1215" t="str">
        <f t="shared" ca="1" si="7"/>
        <v/>
      </c>
      <c r="L54" s="897"/>
    </row>
    <row r="55" spans="3:12" s="1215" customFormat="1" ht="20.399999999999999" hidden="1" customHeight="1">
      <c r="C55" s="967" t="s">
        <v>650</v>
      </c>
      <c r="D55" s="1801">
        <f ca="1">SUM($K$4:K55)</f>
        <v>3</v>
      </c>
      <c r="E55" s="2054" t="e">
        <f t="shared" si="11"/>
        <v>#N/A</v>
      </c>
      <c r="F55" s="1801" t="e">
        <f t="shared" si="8"/>
        <v>#N/A</v>
      </c>
      <c r="G55" s="1326">
        <f t="shared" ca="1" si="9"/>
        <v>0</v>
      </c>
      <c r="H55" s="1326">
        <f t="shared" ca="1" si="10"/>
        <v>0</v>
      </c>
      <c r="I55" s="1326"/>
      <c r="J55" s="1323"/>
      <c r="K55" s="1215" t="str">
        <f t="shared" ca="1" si="7"/>
        <v/>
      </c>
      <c r="L55" s="897"/>
    </row>
    <row r="56" spans="3:12" s="1215" customFormat="1" ht="20.399999999999999" hidden="1" customHeight="1">
      <c r="C56" s="967" t="s">
        <v>1642</v>
      </c>
      <c r="D56" s="1801">
        <f ca="1">SUM($K$4:K56)</f>
        <v>3</v>
      </c>
      <c r="E56" s="2054" t="e">
        <f t="shared" si="11"/>
        <v>#N/A</v>
      </c>
      <c r="F56" s="1801" t="e">
        <f t="shared" si="8"/>
        <v>#N/A</v>
      </c>
      <c r="G56" s="1326">
        <f t="shared" ca="1" si="9"/>
        <v>0</v>
      </c>
      <c r="H56" s="1326">
        <f t="shared" ca="1" si="10"/>
        <v>0</v>
      </c>
      <c r="I56" s="1326"/>
      <c r="J56" s="1323"/>
      <c r="K56" s="1215" t="str">
        <f t="shared" ca="1" si="7"/>
        <v/>
      </c>
      <c r="L56" s="897"/>
    </row>
    <row r="57" spans="3:12" s="1215" customFormat="1" ht="20.399999999999999" hidden="1" customHeight="1">
      <c r="C57" s="967" t="s">
        <v>987</v>
      </c>
      <c r="D57" s="1801">
        <f ca="1">SUM($K$4:K57)</f>
        <v>3</v>
      </c>
      <c r="E57" s="2054" t="e">
        <f t="shared" si="11"/>
        <v>#N/A</v>
      </c>
      <c r="F57" s="1801" t="e">
        <f t="shared" si="8"/>
        <v>#N/A</v>
      </c>
      <c r="G57" s="1326">
        <f t="shared" ca="1" si="9"/>
        <v>0</v>
      </c>
      <c r="H57" s="1326">
        <f t="shared" ca="1" si="10"/>
        <v>0</v>
      </c>
      <c r="I57" s="1326"/>
      <c r="J57" s="1323"/>
      <c r="K57" s="1215" t="str">
        <f t="shared" ca="1" si="7"/>
        <v/>
      </c>
      <c r="L57" s="897"/>
    </row>
    <row r="58" spans="3:12" s="1215" customFormat="1" ht="20.399999999999999" hidden="1" customHeight="1">
      <c r="C58" s="967" t="s">
        <v>312</v>
      </c>
      <c r="D58" s="1801">
        <f ca="1">SUM($K$4:K58)</f>
        <v>3</v>
      </c>
      <c r="E58" s="2054" t="e">
        <f t="shared" si="11"/>
        <v>#N/A</v>
      </c>
      <c r="F58" s="1801" t="e">
        <f t="shared" si="8"/>
        <v>#N/A</v>
      </c>
      <c r="G58" s="1326">
        <f t="shared" ca="1" si="9"/>
        <v>0</v>
      </c>
      <c r="H58" s="1326">
        <f t="shared" ca="1" si="10"/>
        <v>0</v>
      </c>
      <c r="I58" s="1326"/>
      <c r="J58" s="1323"/>
      <c r="K58" s="1215" t="str">
        <f t="shared" ca="1" si="7"/>
        <v/>
      </c>
      <c r="L58" s="897"/>
    </row>
    <row r="59" spans="3:12" s="1215" customFormat="1" ht="20.399999999999999" hidden="1" customHeight="1">
      <c r="C59" s="967" t="s">
        <v>891</v>
      </c>
      <c r="D59" s="1801">
        <f ca="1">SUM($K$4:K59)</f>
        <v>3</v>
      </c>
      <c r="E59" s="2054" t="e">
        <f t="shared" si="11"/>
        <v>#N/A</v>
      </c>
      <c r="F59" s="1801" t="e">
        <f t="shared" si="8"/>
        <v>#N/A</v>
      </c>
      <c r="G59" s="1326">
        <f t="shared" ca="1" si="9"/>
        <v>0</v>
      </c>
      <c r="H59" s="1326">
        <f t="shared" ca="1" si="10"/>
        <v>0</v>
      </c>
      <c r="I59" s="1326"/>
      <c r="J59" s="1323"/>
      <c r="K59" s="1215" t="str">
        <f t="shared" ca="1" si="7"/>
        <v/>
      </c>
      <c r="L59" s="897"/>
    </row>
    <row r="60" spans="3:12" s="1215" customFormat="1" ht="20.399999999999999" hidden="1" customHeight="1">
      <c r="C60" s="967" t="s">
        <v>513</v>
      </c>
      <c r="D60" s="1801">
        <f ca="1">SUM($K$4:K60)</f>
        <v>3</v>
      </c>
      <c r="E60" s="2054" t="e">
        <f t="shared" si="11"/>
        <v>#N/A</v>
      </c>
      <c r="F60" s="1801" t="e">
        <f t="shared" si="8"/>
        <v>#N/A</v>
      </c>
      <c r="G60" s="1326">
        <f t="shared" ca="1" si="9"/>
        <v>0</v>
      </c>
      <c r="H60" s="1326">
        <f t="shared" ca="1" si="10"/>
        <v>0</v>
      </c>
      <c r="I60" s="1326"/>
      <c r="J60" s="1323"/>
      <c r="K60" s="1215" t="str">
        <f t="shared" ca="1" si="7"/>
        <v/>
      </c>
      <c r="L60" s="897"/>
    </row>
    <row r="61" spans="3:12" s="1215" customFormat="1" ht="20.399999999999999" hidden="1" customHeight="1">
      <c r="C61" s="967" t="s">
        <v>549</v>
      </c>
      <c r="D61" s="1801">
        <f ca="1">SUM($K$4:K61)</f>
        <v>3</v>
      </c>
      <c r="E61" s="2054" t="e">
        <f t="shared" si="11"/>
        <v>#N/A</v>
      </c>
      <c r="F61" s="1801" t="e">
        <f t="shared" si="8"/>
        <v>#N/A</v>
      </c>
      <c r="G61" s="1326">
        <f t="shared" ca="1" si="9"/>
        <v>0</v>
      </c>
      <c r="H61" s="1326">
        <f t="shared" ca="1" si="10"/>
        <v>0</v>
      </c>
      <c r="I61" s="1326"/>
      <c r="J61" s="1323"/>
      <c r="K61" s="1215" t="str">
        <f t="shared" ca="1" si="7"/>
        <v/>
      </c>
      <c r="L61" s="897"/>
    </row>
    <row r="62" spans="3:12" s="1215" customFormat="1" ht="20.399999999999999" hidden="1" customHeight="1">
      <c r="C62" s="967" t="s">
        <v>1492</v>
      </c>
      <c r="D62" s="1801">
        <f ca="1">SUM($K$4:K62)</f>
        <v>3</v>
      </c>
      <c r="E62" s="2054" t="e">
        <f t="shared" si="11"/>
        <v>#N/A</v>
      </c>
      <c r="F62" s="1801" t="e">
        <f t="shared" si="8"/>
        <v>#N/A</v>
      </c>
      <c r="G62" s="1326">
        <f t="shared" ca="1" si="9"/>
        <v>0</v>
      </c>
      <c r="H62" s="1326">
        <f t="shared" ca="1" si="10"/>
        <v>0</v>
      </c>
      <c r="I62" s="1326"/>
      <c r="J62" s="1323"/>
      <c r="K62" s="1215" t="str">
        <f t="shared" ca="1" si="7"/>
        <v/>
      </c>
      <c r="L62" s="897"/>
    </row>
    <row r="63" spans="3:12" s="1215" customFormat="1" ht="20.399999999999999" hidden="1" customHeight="1">
      <c r="C63" s="967" t="s">
        <v>1493</v>
      </c>
      <c r="D63" s="1801">
        <f ca="1">SUM($K$4:K63)</f>
        <v>3</v>
      </c>
      <c r="E63" s="2054" t="e">
        <f t="shared" si="11"/>
        <v>#N/A</v>
      </c>
      <c r="F63" s="1801" t="e">
        <f t="shared" si="8"/>
        <v>#N/A</v>
      </c>
      <c r="G63" s="1326">
        <f t="shared" ca="1" si="9"/>
        <v>0</v>
      </c>
      <c r="H63" s="1326">
        <f t="shared" ca="1" si="10"/>
        <v>0</v>
      </c>
      <c r="I63" s="1326"/>
      <c r="J63" s="1323"/>
      <c r="K63" s="1215" t="str">
        <f t="shared" ca="1" si="7"/>
        <v/>
      </c>
      <c r="L63" s="897"/>
    </row>
    <row r="64" spans="3:12" ht="20.399999999999999" hidden="1" customHeight="1">
      <c r="C64" s="967" t="s">
        <v>4997</v>
      </c>
      <c r="D64" s="1801">
        <f ca="1">SUM($K$4:K64)</f>
        <v>3</v>
      </c>
      <c r="E64" s="2054"/>
      <c r="F64" s="1801" t="e">
        <f>VLOOKUP(C64,KhoiLuong,6,0)</f>
        <v>#N/A</v>
      </c>
      <c r="G64" s="1326">
        <f ca="1">SUMIF(KhoiLuong,C64,DuToan)</f>
        <v>0</v>
      </c>
      <c r="H64" s="1326">
        <f ca="1">SUMIF(KhoiLuong,C64,ThiCong)</f>
        <v>0</v>
      </c>
      <c r="I64" s="1322"/>
      <c r="J64" s="1323"/>
      <c r="K64" s="1215" t="str">
        <f ca="1">IF(OR(G64&gt;0,H64&gt;0),1,"")</f>
        <v/>
      </c>
    </row>
    <row r="65" spans="4:11" ht="27" customHeight="1">
      <c r="D65" s="1801"/>
      <c r="E65" s="1802" t="s">
        <v>4234</v>
      </c>
      <c r="F65" s="1802"/>
      <c r="G65" s="1327">
        <f ca="1">SUM(G4:G64)</f>
        <v>12</v>
      </c>
      <c r="H65" s="1327">
        <f ca="1">SUM(H4:H64)</f>
        <v>12</v>
      </c>
      <c r="I65" s="1801"/>
      <c r="J65" s="1801"/>
      <c r="K65" s="1215">
        <f ca="1">IF(OR(G65&gt;0,H65&gt;0),1,"")</f>
        <v>1</v>
      </c>
    </row>
  </sheetData>
  <autoFilter ref="K3:K65" xr:uid="{00000000-0009-0000-0000-00001B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1:L16"/>
  <sheetViews>
    <sheetView workbookViewId="0">
      <selection activeCell="C3" sqref="C3:I16"/>
    </sheetView>
  </sheetViews>
  <sheetFormatPr defaultColWidth="8.90625" defaultRowHeight="16.8"/>
  <cols>
    <col min="1" max="1" width="8.90625" style="1215"/>
    <col min="2" max="2" width="14.453125" style="1329" customWidth="1"/>
    <col min="3" max="3" width="4.90625" style="1215" customWidth="1"/>
    <col min="4" max="4" width="32.08984375" style="1215" customWidth="1"/>
    <col min="5" max="5" width="7.1796875" style="1215" customWidth="1"/>
    <col min="6" max="7" width="8.1796875" style="1215" customWidth="1"/>
    <col min="8" max="8" width="10.54296875" style="1215" hidden="1" customWidth="1"/>
    <col min="9" max="9" width="9.36328125" style="1215" customWidth="1"/>
    <col min="10" max="16384" width="8.90625" style="1215"/>
  </cols>
  <sheetData>
    <row r="1" spans="2:12">
      <c r="D1" s="897" t="s">
        <v>2831</v>
      </c>
      <c r="E1" s="897"/>
    </row>
    <row r="3" spans="2:12" s="1614" customFormat="1" ht="36.6" customHeight="1">
      <c r="B3" s="1218"/>
      <c r="C3" s="1802" t="s">
        <v>1708</v>
      </c>
      <c r="D3" s="1802" t="s">
        <v>3974</v>
      </c>
      <c r="E3" s="1387" t="s">
        <v>4203</v>
      </c>
      <c r="F3" s="1387" t="s">
        <v>4901</v>
      </c>
      <c r="G3" s="1387" t="s">
        <v>4171</v>
      </c>
      <c r="H3" s="1387" t="s">
        <v>4204</v>
      </c>
      <c r="I3" s="1387" t="s">
        <v>4170</v>
      </c>
      <c r="J3" s="2044" t="s">
        <v>512</v>
      </c>
      <c r="K3" s="1614">
        <v>2</v>
      </c>
    </row>
    <row r="4" spans="2:12" hidden="1">
      <c r="B4" s="1329" t="s">
        <v>519</v>
      </c>
      <c r="C4" s="1322">
        <f ca="1">SUM($J$4:J4)</f>
        <v>0</v>
      </c>
      <c r="D4" s="2054" t="e">
        <f t="shared" ref="D4:D15" si="0">VLOOKUP(B4,KhoiLuong,5,0)</f>
        <v>#N/A</v>
      </c>
      <c r="E4" s="1801" t="e">
        <f t="shared" ref="E4:E15" si="1">VLOOKUP(B4,KhoiLuong,6,0)</f>
        <v>#N/A</v>
      </c>
      <c r="F4" s="1326">
        <f ca="1">SUMIF(KhoiLuong,B4,DuToan)</f>
        <v>0</v>
      </c>
      <c r="G4" s="1326">
        <f ca="1">SUMIF(KhoiLuong,B4,ThiCong)</f>
        <v>0</v>
      </c>
      <c r="H4" s="1326" t="str">
        <f>VLOOKUP($D$1,Solieu!A:C,2,0)</f>
        <v>x</v>
      </c>
      <c r="I4" s="1323"/>
      <c r="J4" s="1215" t="str">
        <f t="shared" ref="J4:J16" ca="1" si="2">IF(OR(F4&gt;0,G4&gt;0),1,"")</f>
        <v/>
      </c>
      <c r="L4" s="1326"/>
    </row>
    <row r="5" spans="2:12" hidden="1">
      <c r="B5" s="1329" t="s">
        <v>4962</v>
      </c>
      <c r="C5" s="1801">
        <f ca="1">SUM($J$4:J5)</f>
        <v>0</v>
      </c>
      <c r="D5" s="2054" t="e">
        <f t="shared" si="0"/>
        <v>#N/A</v>
      </c>
      <c r="E5" s="1801" t="e">
        <f t="shared" si="1"/>
        <v>#N/A</v>
      </c>
      <c r="F5" s="1326">
        <f t="shared" ref="F5:F15" ca="1" si="3">SUMIF(KhoiLuong,B5,DuToan)</f>
        <v>0</v>
      </c>
      <c r="G5" s="1326">
        <f t="shared" ref="G5:G15" ca="1" si="4">SUMIF(KhoiLuong,B5,ThiCong)</f>
        <v>0</v>
      </c>
      <c r="H5" s="1326" t="str">
        <f>VLOOKUP($D$1,Solieu!A:C,2,0)</f>
        <v>x</v>
      </c>
      <c r="I5" s="1323"/>
      <c r="J5" s="1215" t="str">
        <f t="shared" ca="1" si="2"/>
        <v/>
      </c>
      <c r="K5" s="897"/>
      <c r="L5" s="1326"/>
    </row>
    <row r="6" spans="2:12" ht="43.2" customHeight="1">
      <c r="B6" s="1329" t="s">
        <v>302</v>
      </c>
      <c r="C6" s="1801">
        <f ca="1">SUM($J$4:J6)</f>
        <v>1</v>
      </c>
      <c r="D6" s="2054" t="str">
        <f t="shared" si="0"/>
        <v>Trụ bê tông ly tâm 14m</v>
      </c>
      <c r="E6" s="1801" t="str">
        <f t="shared" si="1"/>
        <v>Trụ</v>
      </c>
      <c r="F6" s="1326">
        <f t="shared" ca="1" si="3"/>
        <v>7</v>
      </c>
      <c r="G6" s="1326">
        <f t="shared" ca="1" si="4"/>
        <v>7</v>
      </c>
      <c r="H6" s="1326" t="str">
        <f>VLOOKUP($D$1,Solieu!A:C,2,0)</f>
        <v>x</v>
      </c>
      <c r="I6" s="1323"/>
      <c r="J6" s="1215">
        <f t="shared" ca="1" si="2"/>
        <v>1</v>
      </c>
      <c r="K6" s="897"/>
    </row>
    <row r="7" spans="2:12" hidden="1">
      <c r="B7" s="2047" t="s">
        <v>232</v>
      </c>
      <c r="C7" s="1801">
        <f ca="1">SUM($J$4:J7)</f>
        <v>1</v>
      </c>
      <c r="D7" s="2054" t="e">
        <f t="shared" si="0"/>
        <v>#N/A</v>
      </c>
      <c r="E7" s="1801" t="e">
        <f t="shared" si="1"/>
        <v>#N/A</v>
      </c>
      <c r="F7" s="1326">
        <f t="shared" ca="1" si="3"/>
        <v>0</v>
      </c>
      <c r="G7" s="1326">
        <f t="shared" ca="1" si="4"/>
        <v>0</v>
      </c>
      <c r="H7" s="1326" t="str">
        <f>VLOOKUP($D$1,Solieu!A:C,2,0)</f>
        <v>x</v>
      </c>
      <c r="I7" s="1323"/>
      <c r="J7" s="1215" t="str">
        <f t="shared" ca="1" si="2"/>
        <v/>
      </c>
      <c r="K7" s="897"/>
    </row>
    <row r="8" spans="2:12" ht="31.5" hidden="1" customHeight="1">
      <c r="B8" s="1329" t="s">
        <v>510</v>
      </c>
      <c r="C8" s="1801">
        <f ca="1">SUM($J$4:J8)</f>
        <v>1</v>
      </c>
      <c r="D8" s="2054" t="e">
        <f t="shared" si="0"/>
        <v>#N/A</v>
      </c>
      <c r="E8" s="1801" t="e">
        <f t="shared" si="1"/>
        <v>#N/A</v>
      </c>
      <c r="F8" s="1326">
        <f t="shared" ca="1" si="3"/>
        <v>0</v>
      </c>
      <c r="G8" s="1326">
        <f t="shared" ca="1" si="4"/>
        <v>0</v>
      </c>
      <c r="I8" s="1323"/>
      <c r="J8" s="1215" t="str">
        <f t="shared" ca="1" si="2"/>
        <v/>
      </c>
    </row>
    <row r="9" spans="2:12" hidden="1">
      <c r="B9" s="1329" t="s">
        <v>300</v>
      </c>
      <c r="C9" s="1801">
        <f ca="1">SUM($J$4:J9)</f>
        <v>1</v>
      </c>
      <c r="D9" s="2054" t="e">
        <f t="shared" si="0"/>
        <v>#N/A</v>
      </c>
      <c r="E9" s="1801" t="e">
        <f t="shared" si="1"/>
        <v>#N/A</v>
      </c>
      <c r="F9" s="1326">
        <f t="shared" ca="1" si="3"/>
        <v>0</v>
      </c>
      <c r="G9" s="1326">
        <f t="shared" ca="1" si="4"/>
        <v>0</v>
      </c>
      <c r="I9" s="1323"/>
      <c r="J9" s="1215" t="str">
        <f t="shared" ca="1" si="2"/>
        <v/>
      </c>
    </row>
    <row r="10" spans="2:12" hidden="1">
      <c r="B10" s="1329" t="s">
        <v>370</v>
      </c>
      <c r="C10" s="1801">
        <f ca="1">SUM($J$4:J10)</f>
        <v>1</v>
      </c>
      <c r="D10" s="2054" t="e">
        <f t="shared" si="0"/>
        <v>#N/A</v>
      </c>
      <c r="E10" s="1801" t="e">
        <f t="shared" si="1"/>
        <v>#N/A</v>
      </c>
      <c r="F10" s="1326">
        <f t="shared" ca="1" si="3"/>
        <v>0</v>
      </c>
      <c r="G10" s="1326">
        <f t="shared" ca="1" si="4"/>
        <v>0</v>
      </c>
      <c r="I10" s="1323"/>
      <c r="J10" s="1215" t="str">
        <f t="shared" ca="1" si="2"/>
        <v/>
      </c>
    </row>
    <row r="11" spans="2:12" hidden="1">
      <c r="B11" s="1329" t="s">
        <v>1186</v>
      </c>
      <c r="C11" s="1801">
        <f ca="1">SUM($J$4:J11)</f>
        <v>1</v>
      </c>
      <c r="D11" s="2054" t="e">
        <f t="shared" si="0"/>
        <v>#N/A</v>
      </c>
      <c r="E11" s="1801" t="e">
        <f t="shared" si="1"/>
        <v>#N/A</v>
      </c>
      <c r="F11" s="1326">
        <f t="shared" ca="1" si="3"/>
        <v>0</v>
      </c>
      <c r="G11" s="1326">
        <f t="shared" ca="1" si="4"/>
        <v>0</v>
      </c>
      <c r="I11" s="1323"/>
      <c r="J11" s="1215" t="str">
        <f t="shared" ca="1" si="2"/>
        <v/>
      </c>
    </row>
    <row r="12" spans="2:12" ht="43.2" customHeight="1">
      <c r="B12" s="1329" t="s">
        <v>301</v>
      </c>
      <c r="C12" s="1801">
        <f ca="1">SUM($J$4:J12)</f>
        <v>2</v>
      </c>
      <c r="D12" s="1324" t="str">
        <f t="shared" si="0"/>
        <v>Trụ bê tông ly tâm 12m trồng thủ công+cơ giới</v>
      </c>
      <c r="E12" s="1801" t="str">
        <f t="shared" si="1"/>
        <v>Trụ</v>
      </c>
      <c r="F12" s="1326">
        <f t="shared" ca="1" si="3"/>
        <v>17</v>
      </c>
      <c r="G12" s="1326">
        <f t="shared" ca="1" si="4"/>
        <v>17</v>
      </c>
      <c r="I12" s="1323"/>
      <c r="J12" s="1215">
        <f t="shared" ca="1" si="2"/>
        <v>1</v>
      </c>
    </row>
    <row r="13" spans="2:12" hidden="1">
      <c r="B13" s="1329" t="s">
        <v>2308</v>
      </c>
      <c r="C13" s="1801">
        <f ca="1">SUM($J$4:J13)</f>
        <v>2</v>
      </c>
      <c r="D13" s="2054" t="e">
        <f t="shared" si="0"/>
        <v>#N/A</v>
      </c>
      <c r="E13" s="1801" t="e">
        <f t="shared" si="1"/>
        <v>#N/A</v>
      </c>
      <c r="F13" s="1326">
        <f t="shared" ca="1" si="3"/>
        <v>0</v>
      </c>
      <c r="G13" s="1326">
        <f t="shared" ca="1" si="4"/>
        <v>0</v>
      </c>
      <c r="I13" s="1323"/>
      <c r="J13" s="1215" t="str">
        <f t="shared" ca="1" si="2"/>
        <v/>
      </c>
    </row>
    <row r="14" spans="2:12" hidden="1">
      <c r="B14" s="1329" t="s">
        <v>4998</v>
      </c>
      <c r="C14" s="1801">
        <f ca="1">SUM($J$4:J14)</f>
        <v>2</v>
      </c>
      <c r="D14" s="2054" t="e">
        <f t="shared" si="0"/>
        <v>#N/A</v>
      </c>
      <c r="E14" s="1801" t="e">
        <f t="shared" si="1"/>
        <v>#N/A</v>
      </c>
      <c r="F14" s="1326">
        <f t="shared" ca="1" si="3"/>
        <v>0</v>
      </c>
      <c r="G14" s="1326">
        <f t="shared" ca="1" si="4"/>
        <v>0</v>
      </c>
      <c r="I14" s="1323"/>
      <c r="J14" s="1215" t="str">
        <f t="shared" ca="1" si="2"/>
        <v/>
      </c>
    </row>
    <row r="15" spans="2:12" hidden="1">
      <c r="B15" s="1329" t="s">
        <v>759</v>
      </c>
      <c r="C15" s="1801">
        <f ca="1">SUM($J$4:J15)</f>
        <v>2</v>
      </c>
      <c r="D15" s="2054" t="e">
        <f t="shared" si="0"/>
        <v>#N/A</v>
      </c>
      <c r="E15" s="1801" t="e">
        <f t="shared" si="1"/>
        <v>#N/A</v>
      </c>
      <c r="F15" s="1326">
        <f t="shared" ca="1" si="3"/>
        <v>0</v>
      </c>
      <c r="G15" s="1326">
        <f t="shared" ca="1" si="4"/>
        <v>0</v>
      </c>
      <c r="I15" s="1323"/>
      <c r="J15" s="1215" t="str">
        <f t="shared" ca="1" si="2"/>
        <v/>
      </c>
    </row>
    <row r="16" spans="2:12" ht="39.75" customHeight="1">
      <c r="C16" s="1801"/>
      <c r="D16" s="1802" t="s">
        <v>4234</v>
      </c>
      <c r="E16" s="1802"/>
      <c r="F16" s="1327">
        <f ca="1">SUM(F4:F15)</f>
        <v>24</v>
      </c>
      <c r="G16" s="1327">
        <f ca="1">SUM(G4:G15)</f>
        <v>24</v>
      </c>
      <c r="H16" s="1801"/>
      <c r="I16" s="1801"/>
      <c r="J16" s="1215">
        <f t="shared" ca="1" si="2"/>
        <v>1</v>
      </c>
    </row>
  </sheetData>
  <autoFilter ref="J3:J16"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33"/>
  <sheetViews>
    <sheetView workbookViewId="0">
      <selection activeCell="I43" sqref="I43"/>
    </sheetView>
  </sheetViews>
  <sheetFormatPr defaultColWidth="8.90625" defaultRowHeight="16.8"/>
  <cols>
    <col min="1" max="1" width="8.90625" style="1215"/>
    <col min="2" max="2" width="14.453125" style="1384" customWidth="1"/>
    <col min="3" max="3" width="5.36328125" style="1215" customWidth="1"/>
    <col min="4" max="4" width="33.6328125" style="1215" customWidth="1"/>
    <col min="5" max="6" width="11" style="1215" customWidth="1"/>
    <col min="7" max="7" width="11" style="1215" hidden="1" customWidth="1"/>
    <col min="8" max="8" width="11" style="1215" customWidth="1"/>
    <col min="9" max="16384" width="8.90625" style="1215"/>
  </cols>
  <sheetData>
    <row r="1" spans="2:10">
      <c r="D1" s="897" t="s">
        <v>4475</v>
      </c>
    </row>
    <row r="3" spans="2:10" ht="33.6">
      <c r="C3" s="1802" t="s">
        <v>1708</v>
      </c>
      <c r="D3" s="1802" t="s">
        <v>4393</v>
      </c>
      <c r="E3" s="1802" t="s">
        <v>4207</v>
      </c>
      <c r="F3" s="1802" t="s">
        <v>4171</v>
      </c>
      <c r="G3" s="1802" t="s">
        <v>4201</v>
      </c>
      <c r="H3" s="1802" t="s">
        <v>4170</v>
      </c>
      <c r="I3" s="1325" t="s">
        <v>512</v>
      </c>
    </row>
    <row r="4" spans="2:10" ht="25.5" hidden="1" customHeight="1">
      <c r="B4" s="1384" t="s">
        <v>1195</v>
      </c>
      <c r="C4" s="1322">
        <f>SUM($I$4:I4)</f>
        <v>0</v>
      </c>
      <c r="D4" s="1324" t="str">
        <f>VLOOKUP(B4,DG!A:C,3,0)</f>
        <v>Bộ CODE lắp néo trung hòa: CODE th-Þ240</v>
      </c>
      <c r="E4" s="1326">
        <f>SUMIF(TongHopKL!$B:$B,B4,TongHopKL!H:H)</f>
        <v>0</v>
      </c>
      <c r="F4" s="1326">
        <f>SUMIF(TongHopKL!$B:$B,B4,TongHopKL!I:I)</f>
        <v>0</v>
      </c>
      <c r="G4" s="1326">
        <f>VLOOKUP($D$1,Solieu!A:C,2,0)</f>
        <v>0</v>
      </c>
      <c r="H4" s="1323"/>
      <c r="I4" s="1215" t="str">
        <f>IF(OR(E4&gt;0,F4&gt;0),1,"")</f>
        <v/>
      </c>
    </row>
    <row r="5" spans="2:10" ht="24.75" hidden="1" customHeight="1">
      <c r="B5" s="1384" t="s">
        <v>633</v>
      </c>
      <c r="C5" s="1322">
        <f>SUM($I$4:I5)</f>
        <v>0</v>
      </c>
      <c r="D5" s="1324" t="str">
        <f>VLOOKUP(B5,DG!A:C,3,0)</f>
        <v>Bộ chằng xuống đơn cho trụ hạ thế: CX.ht</v>
      </c>
      <c r="E5" s="1326">
        <f>SUMIF(TongHopKL!$B:$B,B5,TongHopKL!H:H)</f>
        <v>0</v>
      </c>
      <c r="F5" s="1326">
        <f>SUMIF(TongHopKL!$B:$B,B5,TongHopKL!I:I)</f>
        <v>0</v>
      </c>
      <c r="G5" s="1326">
        <f>VLOOKUP($D$1,Solieu!A:C,2,0)</f>
        <v>0</v>
      </c>
      <c r="H5" s="1323"/>
      <c r="I5" s="1215" t="str">
        <f t="shared" ref="I5:I32" si="0">IF(OR(E5&gt;0,F5&gt;0),1,"")</f>
        <v/>
      </c>
      <c r="J5" s="897"/>
    </row>
    <row r="6" spans="2:10" ht="33.6" hidden="1">
      <c r="B6" s="1384" t="s">
        <v>205</v>
      </c>
      <c r="C6" s="1322">
        <f>SUM($I$4:I6)</f>
        <v>0</v>
      </c>
      <c r="D6" s="1324" t="str">
        <f>VLOOKUP(B6,DG!A:C,3,0)</f>
        <v>Tháo bộ chằng lệch đơn cho trụ hạ thế: CL.ht</v>
      </c>
      <c r="E6" s="1326">
        <f>SUMIF(TongHopKL!$B:$B,B6,TongHopKL!H:H)</f>
        <v>0</v>
      </c>
      <c r="F6" s="1326">
        <f>SUMIF(TongHopKL!$B:$B,B6,TongHopKL!I:I)</f>
        <v>0</v>
      </c>
      <c r="G6" s="1326">
        <f>VLOOKUP($D$1,Solieu!A:C,2,0)</f>
        <v>0</v>
      </c>
      <c r="H6" s="1323"/>
      <c r="I6" s="1215" t="str">
        <f t="shared" si="0"/>
        <v/>
      </c>
      <c r="J6" s="897"/>
    </row>
    <row r="7" spans="2:10" hidden="1">
      <c r="B7" s="1384" t="s">
        <v>632</v>
      </c>
      <c r="C7" s="1322">
        <f>SUM($I$4:I7)</f>
        <v>0</v>
      </c>
      <c r="D7" s="1324" t="str">
        <f>VLOOKUP(B7,DG!A:C,3,0)</f>
        <v>Bộ chằng lệch đơn cho trụ hạ thế: CL.ht</v>
      </c>
      <c r="E7" s="1326">
        <f>SUMIF(TongHopKL!$B:$B,B7,TongHopKL!H:H)</f>
        <v>0</v>
      </c>
      <c r="F7" s="1326">
        <f>SUMIF(TongHopKL!$B:$B,B7,TongHopKL!I:I)</f>
        <v>0</v>
      </c>
      <c r="G7" s="1326">
        <f>VLOOKUP($D$1,Solieu!A:C,2,0)</f>
        <v>0</v>
      </c>
      <c r="H7" s="1323"/>
      <c r="I7" s="1215" t="str">
        <f t="shared" si="0"/>
        <v/>
      </c>
      <c r="J7" s="897"/>
    </row>
    <row r="8" spans="2:10" ht="33.6" hidden="1">
      <c r="B8" s="1384" t="s">
        <v>835</v>
      </c>
      <c r="C8" s="1322">
        <f>SUM($I$4:I8)</f>
        <v>0</v>
      </c>
      <c r="D8" s="1324" t="str">
        <f>VLOOKUP(B8,DG!A:C,3,0)</f>
        <v>Bộ chằng xuống đơn cho trụ 10,5m: CX10-B</v>
      </c>
      <c r="E8" s="1326">
        <f>SUMIF(TongHopKL!$B:$B,B8,TongHopKL!H:H)</f>
        <v>0</v>
      </c>
      <c r="F8" s="1326">
        <f>SUMIF(TongHopKL!$B:$B,B8,TongHopKL!I:I)</f>
        <v>0</v>
      </c>
      <c r="G8" s="1326">
        <f>VLOOKUP($D$1,Solieu!A:C,2,0)</f>
        <v>0</v>
      </c>
      <c r="H8" s="1323"/>
      <c r="I8" s="1215" t="str">
        <f t="shared" si="0"/>
        <v/>
      </c>
      <c r="J8" s="897"/>
    </row>
    <row r="9" spans="2:10" ht="33.6" hidden="1">
      <c r="B9" s="1384" t="s">
        <v>836</v>
      </c>
      <c r="C9" s="1322">
        <f>SUM($I$4:I9)</f>
        <v>0</v>
      </c>
      <c r="D9" s="1324" t="str">
        <f>VLOOKUP(B9,DG!A:C,3,0)</f>
        <v>Bộ chằng lệch đơn cho trụ 10,5m: CL10-B</v>
      </c>
      <c r="E9" s="1326">
        <f>SUMIF(TongHopKL!$B:$B,B9,TongHopKL!H:H)</f>
        <v>0</v>
      </c>
      <c r="F9" s="1326">
        <f>SUMIF(TongHopKL!$B:$B,B9,TongHopKL!I:I)</f>
        <v>0</v>
      </c>
      <c r="G9" s="1326">
        <f>VLOOKUP($D$1,Solieu!A:C,2,0)</f>
        <v>0</v>
      </c>
      <c r="H9" s="1323"/>
      <c r="I9" s="1215" t="str">
        <f t="shared" si="0"/>
        <v/>
      </c>
      <c r="J9" s="897"/>
    </row>
    <row r="10" spans="2:10" ht="33.6" hidden="1">
      <c r="B10" s="1384" t="s">
        <v>837</v>
      </c>
      <c r="C10" s="1322">
        <f>SUM($I$4:I10)</f>
        <v>0</v>
      </c>
      <c r="D10" s="1324" t="str">
        <f>VLOOKUP(B10,DG!A:C,3,0)</f>
        <v>Bộ chằng xuống kép cho trụ 10,5m: CXX10-B</v>
      </c>
      <c r="E10" s="1326">
        <f>SUMIF(TongHopKL!$B:$B,B10,TongHopKL!H:H)</f>
        <v>0</v>
      </c>
      <c r="F10" s="1326">
        <f>SUMIF(TongHopKL!$B:$B,B10,TongHopKL!I:I)</f>
        <v>0</v>
      </c>
      <c r="G10" s="1326">
        <f>VLOOKUP($D$1,Solieu!A:C,2,0)</f>
        <v>0</v>
      </c>
      <c r="H10" s="1323"/>
      <c r="I10" s="1215" t="str">
        <f t="shared" si="0"/>
        <v/>
      </c>
      <c r="J10" s="897"/>
    </row>
    <row r="11" spans="2:10" ht="33.6" hidden="1">
      <c r="B11" s="1384" t="s">
        <v>1270</v>
      </c>
      <c r="C11" s="1322">
        <f>SUM($I$4:I11)</f>
        <v>0</v>
      </c>
      <c r="D11" s="1324" t="str">
        <f>VLOOKUP(B11,DG!A:C,3,0)</f>
        <v>Tháo bộ chằng xuống đơn cho trụ 12m: CX12-B</v>
      </c>
      <c r="E11" s="1326">
        <f>SUMIF(TongHopKL!$B:$B,B11,TongHopKL!H:H)</f>
        <v>0</v>
      </c>
      <c r="F11" s="1326">
        <f>SUMIF(TongHopKL!$B:$B,B11,TongHopKL!I:I)</f>
        <v>0</v>
      </c>
      <c r="G11" s="1326">
        <f>VLOOKUP($D$1,Solieu!A:C,2,0)</f>
        <v>0</v>
      </c>
      <c r="H11" s="1323"/>
      <c r="I11" s="1215" t="str">
        <f t="shared" si="0"/>
        <v/>
      </c>
      <c r="J11" s="897"/>
    </row>
    <row r="12" spans="2:10" ht="35.25" hidden="1" customHeight="1">
      <c r="B12" s="1384" t="s">
        <v>663</v>
      </c>
      <c r="C12" s="1322">
        <f>SUM($I$4:I12)</f>
        <v>0</v>
      </c>
      <c r="D12" s="1324" t="str">
        <f>VLOOKUP(B12,DG!A:C,3,0)</f>
        <v>Bộ chằng xuống đơn cho trụ 12m: CX12-B</v>
      </c>
      <c r="E12" s="1326">
        <f>SUMIF(TongHopKL!$B:$B,B12,TongHopKL!H:H)</f>
        <v>0</v>
      </c>
      <c r="F12" s="1326">
        <f>SUMIF(TongHopKL!$B:$B,B12,TongHopKL!I:I)</f>
        <v>0</v>
      </c>
      <c r="G12" s="1326">
        <f>VLOOKUP($D$1,Solieu!A:C,2,0)</f>
        <v>0</v>
      </c>
      <c r="H12" s="1323"/>
      <c r="I12" s="1215" t="str">
        <f t="shared" si="0"/>
        <v/>
      </c>
      <c r="J12" s="897"/>
    </row>
    <row r="13" spans="2:10" ht="33.6" hidden="1">
      <c r="B13" s="1384" t="s">
        <v>195</v>
      </c>
      <c r="C13" s="1322">
        <f>SUM($I$4:I13)</f>
        <v>0</v>
      </c>
      <c r="D13" s="1324" t="str">
        <f>VLOOKUP(B13,DG!A:C,3,0)</f>
        <v>Tháo bộ chằng lệch đơn cho trụ 12m: CL12-B</v>
      </c>
      <c r="E13" s="1326">
        <f>SUMIF(TongHopKL!$B:$B,B13,TongHopKL!H:H)</f>
        <v>0</v>
      </c>
      <c r="F13" s="1326">
        <f>SUMIF(TongHopKL!$B:$B,B13,TongHopKL!I:I)</f>
        <v>0</v>
      </c>
      <c r="G13" s="1326">
        <f>VLOOKUP($D$1,Solieu!A:C,2,0)</f>
        <v>0</v>
      </c>
      <c r="H13" s="1323"/>
      <c r="I13" s="1215" t="str">
        <f t="shared" si="0"/>
        <v/>
      </c>
      <c r="J13" s="897"/>
    </row>
    <row r="14" spans="2:10" ht="43.5" hidden="1" customHeight="1">
      <c r="B14" s="1384" t="s">
        <v>664</v>
      </c>
      <c r="C14" s="1801">
        <f>SUM($I$4:I14)</f>
        <v>0</v>
      </c>
      <c r="D14" s="1324" t="str">
        <f>VLOOKUP(B14,DG!A:C,3,0)</f>
        <v>Bộ chằng lệch đơn cho trụ 12m: CL12-B</v>
      </c>
      <c r="E14" s="1326">
        <f>SUMIF(TongHopKL!$B:$B,B14,TongHopKL!H:H)</f>
        <v>0</v>
      </c>
      <c r="F14" s="1326">
        <f>SUMIF(TongHopKL!$B:$B,B14,TongHopKL!I:I)</f>
        <v>0</v>
      </c>
      <c r="G14" s="1326">
        <f>VLOOKUP($D$1,Solieu!A:C,2,0)</f>
        <v>0</v>
      </c>
      <c r="H14" s="1323"/>
      <c r="I14" s="1215" t="str">
        <f t="shared" si="0"/>
        <v/>
      </c>
      <c r="J14" s="897"/>
    </row>
    <row r="15" spans="2:10" ht="33.6" hidden="1">
      <c r="B15" s="1384" t="s">
        <v>665</v>
      </c>
      <c r="C15" s="1322">
        <f>SUM($I$4:I15)</f>
        <v>0</v>
      </c>
      <c r="D15" s="1324" t="str">
        <f>VLOOKUP(B15,DG!A:C,3,0)</f>
        <v>Bộ chằng xuống kép cho trụ 12m: CXX12-B</v>
      </c>
      <c r="E15" s="1326">
        <f>SUMIF(TongHopKL!$B:$B,B15,TongHopKL!H:H)</f>
        <v>0</v>
      </c>
      <c r="F15" s="1326">
        <f>SUMIF(TongHopKL!$B:$B,B15,TongHopKL!I:I)</f>
        <v>0</v>
      </c>
      <c r="G15" s="1326">
        <f>VLOOKUP($D$1,Solieu!A:C,2,0)</f>
        <v>0</v>
      </c>
      <c r="H15" s="1323"/>
      <c r="I15" s="1215" t="str">
        <f t="shared" si="0"/>
        <v/>
      </c>
      <c r="J15" s="897"/>
    </row>
    <row r="16" spans="2:10" ht="27" hidden="1" customHeight="1">
      <c r="B16" s="1384" t="s">
        <v>666</v>
      </c>
      <c r="C16" s="1322">
        <f>SUM($I$4:I16)</f>
        <v>0</v>
      </c>
      <c r="D16" s="1324" t="str">
        <f>VLOOKUP(B16,DG!A:C,3,0)</f>
        <v>Bộ chằng xuống đơn cho trụ 14m: CX14-B</v>
      </c>
      <c r="E16" s="1326">
        <f>SUMIF(TongHopKL!$B:$B,B16,TongHopKL!H:H)</f>
        <v>0</v>
      </c>
      <c r="F16" s="1326">
        <f>SUMIF(TongHopKL!$B:$B,B16,TongHopKL!I:I)</f>
        <v>0</v>
      </c>
      <c r="G16" s="1326">
        <f>VLOOKUP($D$1,Solieu!A:C,2,0)</f>
        <v>0</v>
      </c>
      <c r="H16" s="1323"/>
      <c r="I16" s="1215" t="str">
        <f t="shared" si="0"/>
        <v/>
      </c>
    </row>
    <row r="17" spans="2:9" hidden="1">
      <c r="B17" s="1384" t="s">
        <v>912</v>
      </c>
      <c r="C17" s="1322">
        <f>SUM($I$4:I17)</f>
        <v>0</v>
      </c>
      <c r="D17" s="1324" t="str">
        <f>VLOOKUP(B17,DG!A:C,3,0)</f>
        <v>Bộ chằng lệch đơn cho trụ 14m: CL14-B</v>
      </c>
      <c r="E17" s="1326">
        <f>SUMIF(TongHopKL!$B:$B,B17,TongHopKL!H:H)</f>
        <v>0</v>
      </c>
      <c r="F17" s="1326">
        <f>SUMIF(TongHopKL!$B:$B,B17,TongHopKL!I:I)</f>
        <v>0</v>
      </c>
      <c r="G17" s="1326">
        <f>VLOOKUP($D$1,Solieu!A:C,2,0)</f>
        <v>0</v>
      </c>
      <c r="H17" s="1323"/>
      <c r="I17" s="1215" t="str">
        <f t="shared" si="0"/>
        <v/>
      </c>
    </row>
    <row r="18" spans="2:9" ht="33.6" hidden="1">
      <c r="B18" s="1384" t="s">
        <v>913</v>
      </c>
      <c r="C18" s="1322">
        <f>SUM($I$4:I18)</f>
        <v>0</v>
      </c>
      <c r="D18" s="1324" t="str">
        <f>VLOOKUP(B18,DG!A:C,3,0)</f>
        <v>Bộ chằng xuống kép cho trụ 14m: CXX14-B</v>
      </c>
      <c r="E18" s="1326">
        <f>SUMIF(TongHopKL!$B:$B,B18,TongHopKL!H:H)</f>
        <v>0</v>
      </c>
      <c r="F18" s="1326">
        <f>SUMIF(TongHopKL!$B:$B,B18,TongHopKL!I:I)</f>
        <v>0</v>
      </c>
      <c r="G18" s="1326">
        <f>VLOOKUP($D$1,Solieu!A:C,2,0)</f>
        <v>0</v>
      </c>
      <c r="H18" s="1323"/>
      <c r="I18" s="1215" t="str">
        <f t="shared" si="0"/>
        <v/>
      </c>
    </row>
    <row r="19" spans="2:9" hidden="1">
      <c r="B19" s="1384" t="s">
        <v>749</v>
      </c>
      <c r="C19" s="1322">
        <f>SUM($I$4:I19)</f>
        <v>0</v>
      </c>
      <c r="D19" s="1324" t="str">
        <f>VLOOKUP(B19,DG!A:C,3,0)</f>
        <v>Bộ chằng vượt đơn: CK-B</v>
      </c>
      <c r="E19" s="1326">
        <f>SUMIF(TongHopKL!$B:$B,B19,TongHopKL!H:H)</f>
        <v>0</v>
      </c>
      <c r="F19" s="1326">
        <f>SUMIF(TongHopKL!$B:$B,B19,TongHopKL!I:I)</f>
        <v>0</v>
      </c>
      <c r="G19" s="1326">
        <f>VLOOKUP($D$1,Solieu!A:C,2,0)</f>
        <v>0</v>
      </c>
      <c r="H19" s="1323"/>
      <c r="I19" s="1215" t="str">
        <f t="shared" si="0"/>
        <v/>
      </c>
    </row>
    <row r="20" spans="2:9" hidden="1">
      <c r="B20" s="1384" t="s">
        <v>748</v>
      </c>
      <c r="C20" s="1322">
        <f>SUM($I$4:I20)</f>
        <v>0</v>
      </c>
      <c r="D20" s="1324" t="str">
        <f>VLOOKUP(B20,DG!A:C,3,0)</f>
        <v>Bộ chằng vượt kép: CKK-B</v>
      </c>
      <c r="E20" s="1326">
        <f>SUMIF(TongHopKL!$B:$B,B20,TongHopKL!H:H)</f>
        <v>0</v>
      </c>
      <c r="F20" s="1326">
        <f>SUMIF(TongHopKL!$B:$B,B20,TongHopKL!I:I)</f>
        <v>0</v>
      </c>
      <c r="G20" s="1326">
        <f>VLOOKUP($D$1,Solieu!A:C,2,0)</f>
        <v>0</v>
      </c>
      <c r="H20" s="1323"/>
      <c r="I20" s="1215" t="str">
        <f t="shared" si="0"/>
        <v/>
      </c>
    </row>
    <row r="21" spans="2:9" ht="33.6" hidden="1">
      <c r="B21" s="1384" t="s">
        <v>345</v>
      </c>
      <c r="C21" s="1322">
        <f>SUM($I$4:I21)</f>
        <v>0</v>
      </c>
      <c r="D21" s="1324" t="str">
        <f>VLOOKUP(B21,DG!A:C,3,0)</f>
        <v>Bộ chằng xuống đơn cho trụ 10,5m: CX10-C</v>
      </c>
      <c r="E21" s="1326">
        <f>SUMIF(TongHopKL!$B:$B,B21,TongHopKL!H:H)</f>
        <v>0</v>
      </c>
      <c r="F21" s="1326">
        <f>SUMIF(TongHopKL!$B:$B,B21,TongHopKL!I:I)</f>
        <v>0</v>
      </c>
      <c r="G21" s="1326">
        <f>VLOOKUP($D$1,Solieu!A:C,2,0)</f>
        <v>0</v>
      </c>
      <c r="H21" s="1323"/>
      <c r="I21" s="1215" t="str">
        <f t="shared" si="0"/>
        <v/>
      </c>
    </row>
    <row r="22" spans="2:9" ht="33.6" hidden="1">
      <c r="B22" s="1384" t="s">
        <v>1084</v>
      </c>
      <c r="C22" s="1322">
        <f>SUM($I$4:I22)</f>
        <v>0</v>
      </c>
      <c r="D22" s="1324" t="str">
        <f>VLOOKUP(B22,DG!A:C,3,0)</f>
        <v>Bộ chằng lệch đơn cho trụ 10,5m: CL10-C</v>
      </c>
      <c r="E22" s="1326">
        <f>SUMIF(TongHopKL!$B:$B,B22,TongHopKL!H:H)</f>
        <v>0</v>
      </c>
      <c r="F22" s="1326">
        <f>SUMIF(TongHopKL!$B:$B,B22,TongHopKL!I:I)</f>
        <v>0</v>
      </c>
      <c r="G22" s="1326">
        <f>VLOOKUP($D$1,Solieu!A:C,2,0)</f>
        <v>0</v>
      </c>
      <c r="H22" s="1323"/>
      <c r="I22" s="1215" t="str">
        <f t="shared" si="0"/>
        <v/>
      </c>
    </row>
    <row r="23" spans="2:9" ht="33.6" hidden="1">
      <c r="B23" s="1384" t="s">
        <v>1085</v>
      </c>
      <c r="C23" s="1322">
        <f>SUM($I$4:I23)</f>
        <v>0</v>
      </c>
      <c r="D23" s="1324" t="str">
        <f>VLOOKUP(B23,DG!A:C,3,0)</f>
        <v>Bộ chằng xuống kép cho trụ 10,5m: CXX10-C</v>
      </c>
      <c r="E23" s="1326">
        <f>SUMIF(TongHopKL!$B:$B,B23,TongHopKL!H:H)</f>
        <v>0</v>
      </c>
      <c r="F23" s="1326">
        <f>SUMIF(TongHopKL!$B:$B,B23,TongHopKL!I:I)</f>
        <v>0</v>
      </c>
      <c r="G23" s="1326">
        <f>VLOOKUP($D$1,Solieu!A:C,2,0)</f>
        <v>0</v>
      </c>
      <c r="H23" s="1323"/>
      <c r="I23" s="1215" t="str">
        <f t="shared" si="0"/>
        <v/>
      </c>
    </row>
    <row r="24" spans="2:9" ht="33.6" hidden="1">
      <c r="B24" s="1384" t="s">
        <v>1086</v>
      </c>
      <c r="C24" s="1322">
        <f>SUM($I$4:I24)</f>
        <v>0</v>
      </c>
      <c r="D24" s="1324" t="str">
        <f>VLOOKUP(B24,DG!A:C,3,0)</f>
        <v>Bộ chằng xuống đơn cho trụ 12m: CX12-C</v>
      </c>
      <c r="E24" s="1326">
        <f>SUMIF(TongHopKL!$B:$B,B24,TongHopKL!H:H)</f>
        <v>0</v>
      </c>
      <c r="F24" s="1326">
        <f>SUMIF(TongHopKL!$B:$B,B24,TongHopKL!I:I)</f>
        <v>0</v>
      </c>
      <c r="G24" s="1326">
        <f>VLOOKUP($D$1,Solieu!A:C,2,0)</f>
        <v>0</v>
      </c>
      <c r="H24" s="1323"/>
      <c r="I24" s="1215" t="str">
        <f t="shared" si="0"/>
        <v/>
      </c>
    </row>
    <row r="25" spans="2:9" ht="33.6" hidden="1">
      <c r="B25" s="1384" t="s">
        <v>1087</v>
      </c>
      <c r="C25" s="1322">
        <f>SUM($I$4:I25)</f>
        <v>0</v>
      </c>
      <c r="D25" s="1324" t="str">
        <f>VLOOKUP(B25,DG!A:C,3,0)</f>
        <v>Bộ chằng lệch đơn cho trụ 12m: CL12-C</v>
      </c>
      <c r="E25" s="1326">
        <f>SUMIF(TongHopKL!$B:$B,B25,TongHopKL!H:H)</f>
        <v>0</v>
      </c>
      <c r="F25" s="1326">
        <f>SUMIF(TongHopKL!$B:$B,B25,TongHopKL!I:I)</f>
        <v>0</v>
      </c>
      <c r="G25" s="1326">
        <f>VLOOKUP($D$1,Solieu!A:C,2,0)</f>
        <v>0</v>
      </c>
      <c r="H25" s="1323"/>
      <c r="I25" s="1215" t="str">
        <f t="shared" si="0"/>
        <v/>
      </c>
    </row>
    <row r="26" spans="2:9" ht="33.6" hidden="1">
      <c r="B26" s="1384" t="s">
        <v>1088</v>
      </c>
      <c r="C26" s="1322">
        <f>SUM($I$4:I26)</f>
        <v>0</v>
      </c>
      <c r="D26" s="1324" t="str">
        <f>VLOOKUP(B26,DG!A:C,3,0)</f>
        <v>Bộ chằng xuống kép cho trụ 12m: CXX12-C</v>
      </c>
      <c r="E26" s="1326">
        <f>SUMIF(TongHopKL!$B:$B,B26,TongHopKL!H:H)</f>
        <v>0</v>
      </c>
      <c r="F26" s="1326">
        <f>SUMIF(TongHopKL!$B:$B,B26,TongHopKL!I:I)</f>
        <v>0</v>
      </c>
      <c r="G26" s="1326">
        <f>VLOOKUP($D$1,Solieu!A:C,2,0)</f>
        <v>0</v>
      </c>
      <c r="H26" s="1323"/>
      <c r="I26" s="1215" t="str">
        <f t="shared" si="0"/>
        <v/>
      </c>
    </row>
    <row r="27" spans="2:9" ht="33.6" hidden="1">
      <c r="B27" s="1384" t="s">
        <v>1809</v>
      </c>
      <c r="C27" s="1322">
        <f>SUM($I$4:I27)</f>
        <v>0</v>
      </c>
      <c r="D27" s="1324" t="str">
        <f>VLOOKUP(B27,DG!A:C,3,0)</f>
        <v>Bộ chằng xuống đơn cho trụ 14m: CX14-C</v>
      </c>
      <c r="E27" s="1326">
        <f>SUMIF(TongHopKL!$B:$B,B27,TongHopKL!H:H)</f>
        <v>0</v>
      </c>
      <c r="F27" s="1326">
        <f>SUMIF(TongHopKL!$B:$B,B27,TongHopKL!I:I)</f>
        <v>0</v>
      </c>
      <c r="G27" s="1326">
        <f>VLOOKUP($D$1,Solieu!A:C,2,0)</f>
        <v>0</v>
      </c>
      <c r="H27" s="1323"/>
      <c r="I27" s="1215" t="str">
        <f t="shared" si="0"/>
        <v/>
      </c>
    </row>
    <row r="28" spans="2:9" ht="33.6" hidden="1">
      <c r="B28" s="1384" t="s">
        <v>339</v>
      </c>
      <c r="C28" s="1322">
        <f>SUM($I$4:I28)</f>
        <v>0</v>
      </c>
      <c r="D28" s="1324" t="str">
        <f>VLOOKUP(B28,DG!A:C,3,0)</f>
        <v>Bộ chằng lệch đơn cho trụ 14m: CL14-C</v>
      </c>
      <c r="E28" s="1326">
        <f>SUMIF(TongHopKL!$B:$B,B28,TongHopKL!H:H)</f>
        <v>0</v>
      </c>
      <c r="F28" s="1326">
        <f>SUMIF(TongHopKL!$B:$B,B28,TongHopKL!I:I)</f>
        <v>0</v>
      </c>
      <c r="G28" s="1326">
        <f>VLOOKUP($D$1,Solieu!A:C,2,0)</f>
        <v>0</v>
      </c>
      <c r="H28" s="1323"/>
      <c r="I28" s="1215" t="str">
        <f t="shared" si="0"/>
        <v/>
      </c>
    </row>
    <row r="29" spans="2:9" ht="33.6" hidden="1">
      <c r="B29" s="1384" t="s">
        <v>1240</v>
      </c>
      <c r="C29" s="1322">
        <f>SUM($I$4:I29)</f>
        <v>0</v>
      </c>
      <c r="D29" s="1324" t="str">
        <f>VLOOKUP(B29,DG!A:C,3,0)</f>
        <v>Bộ chằng xuống kép cho trụ 14m: CXX14-C</v>
      </c>
      <c r="E29" s="1326">
        <f>SUMIF(TongHopKL!$B:$B,B29,TongHopKL!H:H)</f>
        <v>0</v>
      </c>
      <c r="F29" s="1326">
        <f>SUMIF(TongHopKL!$B:$B,B29,TongHopKL!I:I)</f>
        <v>0</v>
      </c>
      <c r="G29" s="1326">
        <f>VLOOKUP($D$1,Solieu!A:C,2,0)</f>
        <v>0</v>
      </c>
      <c r="H29" s="1323"/>
      <c r="I29" s="1215" t="str">
        <f t="shared" si="0"/>
        <v/>
      </c>
    </row>
    <row r="30" spans="2:9" ht="33.6" hidden="1">
      <c r="B30" s="1384" t="s">
        <v>812</v>
      </c>
      <c r="C30" s="1322">
        <f>SUM($I$4:I30)</f>
        <v>0</v>
      </c>
      <c r="D30" s="1324" t="str">
        <f>VLOOKUP(B30,DG!A:C,3,0)</f>
        <v>Bộ chằng xuống đơn cho trụ 20m: CX20-C</v>
      </c>
      <c r="E30" s="1326">
        <f>SUMIF(TongHopKL!$B:$B,B30,TongHopKL!H:H)</f>
        <v>0</v>
      </c>
      <c r="F30" s="1326">
        <f>SUMIF(TongHopKL!$B:$B,B30,TongHopKL!I:I)</f>
        <v>0</v>
      </c>
      <c r="G30" s="1326">
        <f>VLOOKUP($D$1,Solieu!A:C,2,0)</f>
        <v>0</v>
      </c>
      <c r="H30" s="1323"/>
      <c r="I30" s="1215" t="str">
        <f t="shared" si="0"/>
        <v/>
      </c>
    </row>
    <row r="31" spans="2:9" hidden="1">
      <c r="B31" s="1384" t="s">
        <v>1089</v>
      </c>
      <c r="C31" s="1322">
        <f>SUM($I$4:I31)</f>
        <v>0</v>
      </c>
      <c r="D31" s="1324" t="str">
        <f>VLOOKUP(B31,DG!A:C,3,0)</f>
        <v>Bộ chằng vượt đơn: CK-C</v>
      </c>
      <c r="E31" s="1326">
        <f>SUMIF(TongHopKL!$B:$B,B31,TongHopKL!H:H)</f>
        <v>0</v>
      </c>
      <c r="F31" s="1326">
        <f>SUMIF(TongHopKL!$B:$B,B31,TongHopKL!I:I)</f>
        <v>0</v>
      </c>
      <c r="G31" s="1326">
        <f>VLOOKUP($D$1,Solieu!A:C,2,0)</f>
        <v>0</v>
      </c>
      <c r="H31" s="1323"/>
      <c r="I31" s="1215" t="str">
        <f t="shared" si="0"/>
        <v/>
      </c>
    </row>
    <row r="32" spans="2:9" hidden="1">
      <c r="B32" s="1384" t="s">
        <v>1090</v>
      </c>
      <c r="C32" s="1322">
        <f>SUM($I$4:I32)</f>
        <v>0</v>
      </c>
      <c r="D32" s="1324" t="str">
        <f>VLOOKUP(B32,DG!A:C,3,0)</f>
        <v>Bộ chằng vượt kép: CKK-C</v>
      </c>
      <c r="E32" s="1326">
        <f>SUMIF(TongHopKL!$B:$B,B32,TongHopKL!H:H)</f>
        <v>0</v>
      </c>
      <c r="F32" s="1326">
        <f>SUMIF(TongHopKL!$B:$B,B32,TongHopKL!I:I)</f>
        <v>0</v>
      </c>
      <c r="G32" s="1326">
        <f>VLOOKUP($D$1,Solieu!A:C,2,0)</f>
        <v>0</v>
      </c>
      <c r="H32" s="1323"/>
      <c r="I32" s="1215" t="str">
        <f t="shared" si="0"/>
        <v/>
      </c>
    </row>
    <row r="33" spans="3:9" ht="32.25" customHeight="1">
      <c r="C33" s="1801"/>
      <c r="D33" s="1802" t="s">
        <v>4234</v>
      </c>
      <c r="E33" s="1327">
        <f>SUM(E4:E32)</f>
        <v>0</v>
      </c>
      <c r="F33" s="1327">
        <f>SUM(F4:F32)</f>
        <v>0</v>
      </c>
      <c r="G33" s="1801"/>
      <c r="H33" s="1323"/>
      <c r="I33" s="1215">
        <v>1</v>
      </c>
    </row>
  </sheetData>
  <autoFilter ref="I3:I33" xr:uid="{00000000-0009-0000-0000-00001D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20"/>
  <sheetViews>
    <sheetView workbookViewId="0">
      <selection activeCell="D22" sqref="D22"/>
    </sheetView>
  </sheetViews>
  <sheetFormatPr defaultColWidth="8.90625" defaultRowHeight="16.8"/>
  <cols>
    <col min="1" max="1" width="8.90625" style="1215"/>
    <col min="2" max="2" width="14.453125" style="1348" customWidth="1"/>
    <col min="3" max="3" width="5.6328125" style="1215" customWidth="1"/>
    <col min="4" max="4" width="28.81640625" style="1215" customWidth="1"/>
    <col min="5" max="5" width="7" style="1215" customWidth="1"/>
    <col min="6" max="7" width="8.6328125" style="1215" customWidth="1"/>
    <col min="8" max="8" width="10.54296875" style="1215" hidden="1" customWidth="1"/>
    <col min="9" max="9" width="10.08984375" style="1215" customWidth="1"/>
    <col min="10" max="10" width="8.90625" style="1215"/>
    <col min="11" max="11" width="0" style="1215" hidden="1" customWidth="1"/>
    <col min="12" max="12" width="9.90625" style="1215" customWidth="1"/>
    <col min="13" max="16384" width="8.90625" style="1215"/>
  </cols>
  <sheetData>
    <row r="3" spans="2:11" ht="31.2">
      <c r="C3" s="1802" t="s">
        <v>1708</v>
      </c>
      <c r="D3" s="1802" t="s">
        <v>4296</v>
      </c>
      <c r="E3" s="1387" t="s">
        <v>4203</v>
      </c>
      <c r="F3" s="1387" t="s">
        <v>4901</v>
      </c>
      <c r="G3" s="1387" t="s">
        <v>4171</v>
      </c>
      <c r="H3" s="1387" t="s">
        <v>4204</v>
      </c>
      <c r="I3" s="1387" t="s">
        <v>4170</v>
      </c>
      <c r="J3" s="1325" t="s">
        <v>512</v>
      </c>
    </row>
    <row r="4" spans="2:11" ht="24" hidden="1" customHeight="1">
      <c r="B4" s="1329" t="s">
        <v>2315</v>
      </c>
      <c r="C4" s="1322">
        <f>SUM($J$4:J4)</f>
        <v>0</v>
      </c>
      <c r="D4" s="2054" t="e">
        <f t="shared" ref="D4:D17" si="0">VLOOKUP(B4,KhoiLuong,5,0)</f>
        <v>#N/A</v>
      </c>
      <c r="E4" s="1801" t="e">
        <f t="shared" ref="E4:E17" si="1">VLOOKUP(B4,KhoiLuong,6,0)</f>
        <v>#N/A</v>
      </c>
      <c r="F4" s="1326">
        <f>SUMIF(TongHopKL!$B:$B,B4,TongHopKL!H:H)</f>
        <v>0</v>
      </c>
      <c r="G4" s="1326">
        <f>SUMIF(TongHopKL!$B:$B,B4,TongHopKL!I:I)</f>
        <v>0</v>
      </c>
      <c r="H4" s="1326" t="str">
        <f>VLOOKUP(K4,Solieu!A:C,2,0)</f>
        <v>x</v>
      </c>
      <c r="I4" s="1323"/>
      <c r="J4" s="1215" t="str">
        <f>IF(OR(F4&gt;0,G4&gt;0),1,"")</f>
        <v/>
      </c>
      <c r="K4" s="897" t="s">
        <v>4473</v>
      </c>
    </row>
    <row r="5" spans="2:11" ht="24" hidden="1" customHeight="1">
      <c r="B5" s="1329" t="s">
        <v>4128</v>
      </c>
      <c r="C5" s="1322">
        <f>SUM($J$4:J5)</f>
        <v>0</v>
      </c>
      <c r="D5" s="2054" t="e">
        <f t="shared" si="0"/>
        <v>#N/A</v>
      </c>
      <c r="E5" s="1801" t="e">
        <f t="shared" si="1"/>
        <v>#N/A</v>
      </c>
      <c r="F5" s="1326">
        <f>SUMIF(TongHopKL!$B:$B,B5,TongHopKL!H:H)</f>
        <v>0</v>
      </c>
      <c r="G5" s="1326">
        <f>SUMIF(TongHopKL!$B:$B,B5,TongHopKL!I:I)</f>
        <v>0</v>
      </c>
      <c r="H5" s="1326" t="str">
        <f>VLOOKUP(K5,Solieu!A:C,2,0)</f>
        <v>x</v>
      </c>
      <c r="I5" s="1323"/>
      <c r="J5" s="1215" t="str">
        <f t="shared" ref="J5:J17" si="2">IF(OR(F5&gt;0,G5&gt;0),1,"")</f>
        <v/>
      </c>
      <c r="K5" s="897" t="s">
        <v>4473</v>
      </c>
    </row>
    <row r="6" spans="2:11" ht="26.4" hidden="1" customHeight="1">
      <c r="B6" s="1329" t="s">
        <v>2303</v>
      </c>
      <c r="C6" s="1322">
        <f>SUM($J$4:J6)</f>
        <v>0</v>
      </c>
      <c r="D6" s="2054" t="e">
        <f t="shared" si="0"/>
        <v>#N/A</v>
      </c>
      <c r="E6" s="1801" t="e">
        <f t="shared" si="1"/>
        <v>#N/A</v>
      </c>
      <c r="F6" s="1326">
        <f>SUMIF(TongHopKL!$B:$B,B6,TongHopKL!H:H)</f>
        <v>0</v>
      </c>
      <c r="G6" s="1326">
        <f>SUMIF(TongHopKL!$B:$B,B6,TongHopKL!I:I)</f>
        <v>0</v>
      </c>
      <c r="H6" s="1326" t="str">
        <f>VLOOKUP(K6,Solieu!A:C,2,0)</f>
        <v>x</v>
      </c>
      <c r="I6" s="1323"/>
      <c r="J6" s="1215" t="str">
        <f t="shared" si="2"/>
        <v/>
      </c>
      <c r="K6" s="897" t="s">
        <v>4473</v>
      </c>
    </row>
    <row r="7" spans="2:11" ht="26.4" hidden="1" customHeight="1">
      <c r="B7" s="1329" t="s">
        <v>2305</v>
      </c>
      <c r="C7" s="1322">
        <f>SUM($J$4:J7)</f>
        <v>0</v>
      </c>
      <c r="D7" s="2054" t="e">
        <f t="shared" si="0"/>
        <v>#N/A</v>
      </c>
      <c r="E7" s="1801" t="e">
        <f t="shared" si="1"/>
        <v>#N/A</v>
      </c>
      <c r="F7" s="1326">
        <f>SUMIF(TongHopKL!$B:$B,B7,TongHopKL!H:H)</f>
        <v>0</v>
      </c>
      <c r="G7" s="1326">
        <f>SUMIF(TongHopKL!$B:$B,B7,TongHopKL!I:I)</f>
        <v>0</v>
      </c>
      <c r="H7" s="1326" t="str">
        <f>VLOOKUP(K7,Solieu!A:C,2,0)</f>
        <v>x</v>
      </c>
      <c r="I7" s="1323"/>
      <c r="J7" s="1215" t="str">
        <f t="shared" si="2"/>
        <v/>
      </c>
      <c r="K7" s="897" t="s">
        <v>4473</v>
      </c>
    </row>
    <row r="8" spans="2:11" ht="25.2" customHeight="1">
      <c r="B8" s="1329" t="s">
        <v>2306</v>
      </c>
      <c r="C8" s="1801">
        <f>SUM($J$4:J8)</f>
        <v>1</v>
      </c>
      <c r="D8" s="2054" t="str">
        <f t="shared" si="0"/>
        <v>Móng bê tông trụ đôi 12m</v>
      </c>
      <c r="E8" s="1801" t="str">
        <f t="shared" si="1"/>
        <v>Móng</v>
      </c>
      <c r="F8" s="1326">
        <f>SUMIF(TongHopKL!$B:$B,B8,TongHopKL!H:H)</f>
        <v>6</v>
      </c>
      <c r="G8" s="1326">
        <f>SUMIF(TongHopKL!$B:$B,B8,TongHopKL!I:I)</f>
        <v>6</v>
      </c>
      <c r="H8" s="1326" t="str">
        <f>VLOOKUP(K8,Solieu!A:C,2,0)</f>
        <v>x</v>
      </c>
      <c r="I8" s="1801"/>
      <c r="J8" s="1215">
        <f t="shared" si="2"/>
        <v>1</v>
      </c>
      <c r="K8" s="897" t="s">
        <v>4473</v>
      </c>
    </row>
    <row r="9" spans="2:11" ht="24" hidden="1" customHeight="1">
      <c r="B9" s="1329" t="s">
        <v>2264</v>
      </c>
      <c r="C9" s="1322">
        <f>SUM($J$4:J9)</f>
        <v>1</v>
      </c>
      <c r="D9" s="2054" t="e">
        <f t="shared" si="0"/>
        <v>#N/A</v>
      </c>
      <c r="E9" s="1801" t="e">
        <f t="shared" si="1"/>
        <v>#N/A</v>
      </c>
      <c r="F9" s="1326">
        <f>SUMIF(TongHopKL!$B:$B,B9,TongHopKL!H:H)</f>
        <v>0</v>
      </c>
      <c r="G9" s="1326">
        <f>SUMIF(TongHopKL!$B:$B,B9,TongHopKL!I:I)</f>
        <v>0</v>
      </c>
      <c r="H9" s="1326" t="str">
        <f>VLOOKUP(K9,Solieu!A:C,2,0)</f>
        <v>x</v>
      </c>
      <c r="I9" s="1323"/>
      <c r="J9" s="1215" t="str">
        <f t="shared" si="2"/>
        <v/>
      </c>
      <c r="K9" s="897" t="s">
        <v>4473</v>
      </c>
    </row>
    <row r="10" spans="2:11" ht="25.2" customHeight="1">
      <c r="B10" s="1329" t="s">
        <v>2307</v>
      </c>
      <c r="C10" s="1801">
        <f>SUM($J$4:J10)</f>
        <v>2</v>
      </c>
      <c r="D10" s="2054" t="str">
        <f t="shared" ref="D10:D16" si="3">VLOOKUP(B10,KhoiLuong,5,0)</f>
        <v>Móng bê tông trụ đơn 14m</v>
      </c>
      <c r="E10" s="1801" t="str">
        <f t="shared" ref="E10:E16" si="4">VLOOKUP(B10,KhoiLuong,6,0)</f>
        <v>Móng</v>
      </c>
      <c r="F10" s="1326">
        <f>SUMIF(TongHopKL!$B:$B,B10,TongHopKL!H:H)</f>
        <v>1</v>
      </c>
      <c r="G10" s="1326">
        <f>SUMIF(TongHopKL!$B:$B,B10,TongHopKL!I:I)</f>
        <v>1</v>
      </c>
      <c r="H10" s="1326" t="str">
        <f>VLOOKUP(K10,Solieu!A:C,2,0)</f>
        <v>x</v>
      </c>
      <c r="I10" s="1323"/>
      <c r="J10" s="1215">
        <f t="shared" ref="J10:J16" si="5">IF(OR(F10&gt;0,G10&gt;0),1,"")</f>
        <v>1</v>
      </c>
      <c r="K10" s="897" t="s">
        <v>4473</v>
      </c>
    </row>
    <row r="11" spans="2:11" ht="24" hidden="1" customHeight="1">
      <c r="B11" s="1329" t="s">
        <v>6440</v>
      </c>
      <c r="C11" s="1801">
        <f>SUM($J$4:J11)</f>
        <v>2</v>
      </c>
      <c r="D11" s="2054" t="e">
        <f t="shared" si="3"/>
        <v>#N/A</v>
      </c>
      <c r="E11" s="1801" t="e">
        <f t="shared" si="4"/>
        <v>#N/A</v>
      </c>
      <c r="F11" s="1326">
        <f>SUMIF(TongHopKL!$B:$B,B11,TongHopKL!H:H)</f>
        <v>0</v>
      </c>
      <c r="G11" s="1326">
        <f>SUMIF(TongHopKL!$B:$B,B11,TongHopKL!I:I)</f>
        <v>0</v>
      </c>
      <c r="H11" s="1326" t="str">
        <f>VLOOKUP(K11,Solieu!A:C,2,0)</f>
        <v>x</v>
      </c>
      <c r="I11" s="1323"/>
      <c r="J11" s="1215" t="str">
        <f t="shared" si="5"/>
        <v/>
      </c>
      <c r="K11" s="897" t="s">
        <v>4473</v>
      </c>
    </row>
    <row r="12" spans="2:11" ht="25.2" customHeight="1">
      <c r="B12" s="1329" t="s">
        <v>6475</v>
      </c>
      <c r="C12" s="1801">
        <f>SUM($J$4:J12)</f>
        <v>3</v>
      </c>
      <c r="D12" s="2054" t="str">
        <f t="shared" si="3"/>
        <v>Bê tông đỡ máy biến áp + Tủ</v>
      </c>
      <c r="E12" s="1801" t="str">
        <f t="shared" si="4"/>
        <v>Bộ</v>
      </c>
      <c r="F12" s="1326">
        <f>SUMIF(TongHopKL!$B:$B,B12,TongHopKL!H:H)</f>
        <v>1</v>
      </c>
      <c r="G12" s="1326">
        <f>SUMIF(TongHopKL!$B:$B,B12,TongHopKL!I:I)</f>
        <v>1</v>
      </c>
      <c r="H12" s="1326" t="str">
        <f>VLOOKUP(K12,Solieu!A:C,2,0)</f>
        <v>x</v>
      </c>
      <c r="I12" s="1323"/>
      <c r="J12" s="1215">
        <f t="shared" si="5"/>
        <v>1</v>
      </c>
      <c r="K12" s="897" t="s">
        <v>4473</v>
      </c>
    </row>
    <row r="13" spans="2:11" ht="24" hidden="1" customHeight="1">
      <c r="B13" s="1329" t="s">
        <v>512</v>
      </c>
      <c r="C13" s="1801">
        <f>SUM($J$4:J13)</f>
        <v>3</v>
      </c>
      <c r="D13" s="2054" t="e">
        <f t="shared" si="3"/>
        <v>#N/A</v>
      </c>
      <c r="E13" s="1801" t="e">
        <f t="shared" si="4"/>
        <v>#N/A</v>
      </c>
      <c r="F13" s="1326">
        <f>SUMIF(TongHopKL!$B:$B,B13,TongHopKL!H:H)</f>
        <v>0</v>
      </c>
      <c r="G13" s="1326">
        <f>SUMIF(TongHopKL!$B:$B,B13,TongHopKL!I:I)</f>
        <v>0</v>
      </c>
      <c r="H13" s="1326" t="str">
        <f>VLOOKUP(K13,Solieu!A:C,2,0)</f>
        <v>x</v>
      </c>
      <c r="I13" s="1323"/>
      <c r="J13" s="1215" t="str">
        <f t="shared" si="5"/>
        <v/>
      </c>
      <c r="K13" s="897" t="s">
        <v>4473</v>
      </c>
    </row>
    <row r="14" spans="2:11" ht="24" hidden="1" customHeight="1">
      <c r="B14" s="1329" t="s">
        <v>512</v>
      </c>
      <c r="C14" s="1801">
        <f>SUM($J$4:J14)</f>
        <v>3</v>
      </c>
      <c r="D14" s="2054" t="e">
        <f t="shared" si="3"/>
        <v>#N/A</v>
      </c>
      <c r="E14" s="1801" t="e">
        <f t="shared" si="4"/>
        <v>#N/A</v>
      </c>
      <c r="F14" s="1326">
        <f>SUMIF(TongHopKL!$B:$B,B14,TongHopKL!H:H)</f>
        <v>0</v>
      </c>
      <c r="G14" s="1326">
        <f>SUMIF(TongHopKL!$B:$B,B14,TongHopKL!I:I)</f>
        <v>0</v>
      </c>
      <c r="H14" s="1326" t="str">
        <f>VLOOKUP(K14,Solieu!A:C,2,0)</f>
        <v>x</v>
      </c>
      <c r="I14" s="1323"/>
      <c r="J14" s="1215" t="str">
        <f t="shared" si="5"/>
        <v/>
      </c>
      <c r="K14" s="897" t="s">
        <v>4473</v>
      </c>
    </row>
    <row r="15" spans="2:11" ht="24" hidden="1" customHeight="1">
      <c r="B15" s="1329" t="s">
        <v>512</v>
      </c>
      <c r="C15" s="1801">
        <f>SUM($J$4:J15)</f>
        <v>3</v>
      </c>
      <c r="D15" s="2054" t="e">
        <f t="shared" si="3"/>
        <v>#N/A</v>
      </c>
      <c r="E15" s="1801" t="e">
        <f t="shared" si="4"/>
        <v>#N/A</v>
      </c>
      <c r="F15" s="1326">
        <f>SUMIF(TongHopKL!$B:$B,B15,TongHopKL!H:H)</f>
        <v>0</v>
      </c>
      <c r="G15" s="1326">
        <f>SUMIF(TongHopKL!$B:$B,B15,TongHopKL!I:I)</f>
        <v>0</v>
      </c>
      <c r="H15" s="1326" t="str">
        <f>VLOOKUP(K15,Solieu!A:C,2,0)</f>
        <v>x</v>
      </c>
      <c r="I15" s="1323"/>
      <c r="J15" s="1215" t="str">
        <f t="shared" si="5"/>
        <v/>
      </c>
      <c r="K15" s="897" t="s">
        <v>4473</v>
      </c>
    </row>
    <row r="16" spans="2:11" ht="24" hidden="1" customHeight="1">
      <c r="B16" s="1329" t="s">
        <v>512</v>
      </c>
      <c r="C16" s="1801">
        <f>SUM($J$4:J16)</f>
        <v>3</v>
      </c>
      <c r="D16" s="2054" t="e">
        <f t="shared" si="3"/>
        <v>#N/A</v>
      </c>
      <c r="E16" s="1801" t="e">
        <f t="shared" si="4"/>
        <v>#N/A</v>
      </c>
      <c r="F16" s="1326">
        <f>SUMIF(TongHopKL!$B:$B,B16,TongHopKL!H:H)</f>
        <v>0</v>
      </c>
      <c r="G16" s="1326">
        <f>SUMIF(TongHopKL!$B:$B,B16,TongHopKL!I:I)</f>
        <v>0</v>
      </c>
      <c r="H16" s="1326" t="str">
        <f>VLOOKUP(K16,Solieu!A:C,2,0)</f>
        <v>x</v>
      </c>
      <c r="I16" s="1323"/>
      <c r="J16" s="1215" t="str">
        <f t="shared" si="5"/>
        <v/>
      </c>
      <c r="K16" s="897" t="s">
        <v>4473</v>
      </c>
    </row>
    <row r="17" spans="2:11" ht="24" hidden="1" customHeight="1">
      <c r="B17" s="1329" t="s">
        <v>512</v>
      </c>
      <c r="C17" s="1322">
        <f>SUM($J$4:J17)</f>
        <v>3</v>
      </c>
      <c r="D17" s="2054" t="e">
        <f t="shared" si="0"/>
        <v>#N/A</v>
      </c>
      <c r="E17" s="1801" t="e">
        <f t="shared" si="1"/>
        <v>#N/A</v>
      </c>
      <c r="F17" s="1326">
        <f>SUMIF(TongHopKL!$B:$B,B17,TongHopKL!H:H)</f>
        <v>0</v>
      </c>
      <c r="G17" s="1326">
        <f>SUMIF(TongHopKL!$B:$B,B17,TongHopKL!I:I)</f>
        <v>0</v>
      </c>
      <c r="H17" s="1326" t="str">
        <f>VLOOKUP(K17,Solieu!A:C,2,0)</f>
        <v>x</v>
      </c>
      <c r="I17" s="1323"/>
      <c r="J17" s="1215" t="str">
        <f t="shared" si="2"/>
        <v/>
      </c>
      <c r="K17" s="897" t="s">
        <v>4473</v>
      </c>
    </row>
    <row r="18" spans="2:11" ht="24" customHeight="1">
      <c r="B18" s="1329"/>
      <c r="C18" s="1801"/>
      <c r="D18" s="1802" t="s">
        <v>4234</v>
      </c>
      <c r="E18" s="1802"/>
      <c r="F18" s="1327">
        <f>SUM(F4:F17)</f>
        <v>8</v>
      </c>
      <c r="G18" s="1327">
        <f>SUM(G4:G17)</f>
        <v>8</v>
      </c>
      <c r="H18" s="1801"/>
      <c r="I18" s="1801"/>
      <c r="J18" s="1215">
        <v>1</v>
      </c>
    </row>
    <row r="19" spans="2:11" hidden="1">
      <c r="B19" s="1348" t="s">
        <v>2305</v>
      </c>
    </row>
    <row r="20" spans="2:11" hidden="1">
      <c r="B20" s="1348" t="s">
        <v>2306</v>
      </c>
    </row>
  </sheetData>
  <autoFilter ref="J3:J20" xr:uid="{00000000-0009-0000-0000-00001E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T125"/>
  <sheetViews>
    <sheetView workbookViewId="0">
      <selection activeCell="C3" sqref="C3:I109"/>
    </sheetView>
  </sheetViews>
  <sheetFormatPr defaultColWidth="8.90625" defaultRowHeight="16.8"/>
  <cols>
    <col min="1" max="1" width="18.36328125" style="1378" customWidth="1"/>
    <col min="2" max="2" width="17.36328125" style="1385" bestFit="1" customWidth="1"/>
    <col min="3" max="3" width="5.08984375" style="1215" customWidth="1"/>
    <col min="4" max="4" width="34.453125" style="1215" customWidth="1"/>
    <col min="5" max="5" width="8.81640625" style="1215" customWidth="1"/>
    <col min="6" max="7" width="7.08984375" style="1215" customWidth="1"/>
    <col min="8" max="8" width="11.90625" style="1215" hidden="1" customWidth="1"/>
    <col min="9" max="9" width="9" style="1215" customWidth="1"/>
    <col min="10" max="10" width="8.90625" style="1215"/>
    <col min="11" max="11" width="8.90625" style="1348"/>
    <col min="12" max="16384" width="8.90625" style="1215"/>
  </cols>
  <sheetData>
    <row r="1" spans="1:20">
      <c r="A1" s="2671"/>
      <c r="C1" s="1329"/>
      <c r="D1" s="1329" t="s">
        <v>4476</v>
      </c>
      <c r="E1" s="1329"/>
      <c r="F1" s="1329"/>
      <c r="G1" s="1329"/>
      <c r="I1" s="1329"/>
      <c r="J1" s="1329"/>
      <c r="L1" s="1329"/>
      <c r="M1" s="1329"/>
      <c r="N1" s="1329"/>
      <c r="O1" s="1329"/>
      <c r="P1" s="1329"/>
      <c r="Q1" s="1329"/>
      <c r="R1" s="1329"/>
      <c r="S1" s="1329"/>
      <c r="T1" s="1329"/>
    </row>
    <row r="2" spans="1:20">
      <c r="A2" s="2671"/>
      <c r="C2" s="1329"/>
      <c r="D2" s="1329"/>
      <c r="E2" s="1329"/>
      <c r="F2" s="1329"/>
      <c r="G2" s="1329"/>
      <c r="I2" s="1329"/>
      <c r="J2" s="1329"/>
      <c r="L2" s="1329" t="s">
        <v>533</v>
      </c>
      <c r="M2" s="1329" t="s">
        <v>893</v>
      </c>
      <c r="N2" s="1329" t="s">
        <v>2292</v>
      </c>
      <c r="O2" s="1329" t="s">
        <v>2293</v>
      </c>
      <c r="P2" s="1329" t="s">
        <v>361</v>
      </c>
      <c r="Q2" s="1329" t="s">
        <v>2504</v>
      </c>
      <c r="R2" s="1329" t="s">
        <v>2540</v>
      </c>
      <c r="S2" s="1329" t="s">
        <v>2499</v>
      </c>
      <c r="T2" s="1329" t="s">
        <v>1622</v>
      </c>
    </row>
    <row r="3" spans="1:20" ht="33.6">
      <c r="A3" s="2671"/>
      <c r="C3" s="1802" t="s">
        <v>1708</v>
      </c>
      <c r="D3" s="1802" t="s">
        <v>4202</v>
      </c>
      <c r="E3" s="1802" t="s">
        <v>4203</v>
      </c>
      <c r="F3" s="1802" t="s">
        <v>4901</v>
      </c>
      <c r="G3" s="1802" t="s">
        <v>4171</v>
      </c>
      <c r="H3" s="1387" t="s">
        <v>4204</v>
      </c>
      <c r="I3" s="1802" t="s">
        <v>4170</v>
      </c>
      <c r="J3" s="2049">
        <v>1</v>
      </c>
      <c r="L3" s="1329">
        <v>1</v>
      </c>
      <c r="M3" s="1329">
        <v>2</v>
      </c>
      <c r="N3" s="1329"/>
      <c r="O3" s="1329"/>
      <c r="P3" s="1329"/>
      <c r="Q3" s="1329"/>
      <c r="R3" s="1329"/>
      <c r="S3" s="1329"/>
      <c r="T3" s="1329"/>
    </row>
    <row r="4" spans="1:20" ht="34.5" customHeight="1">
      <c r="A4" s="2671"/>
      <c r="B4" s="1385" t="s">
        <v>4328</v>
      </c>
      <c r="C4" s="1801">
        <f ca="1">SUM($J$4:J4)</f>
        <v>1</v>
      </c>
      <c r="D4" s="1324" t="str">
        <f t="shared" ref="D4:D34" si="0">VLOOKUP(B4,KhoiLuong,5,0)</f>
        <v>Xà composite 110x800x5 dài 2,4m</v>
      </c>
      <c r="E4" s="1326" t="str">
        <f t="shared" ref="E4:E34" si="1">VLOOKUP(B4,KhoiLuong,6,0)</f>
        <v>cái</v>
      </c>
      <c r="F4" s="1326">
        <f t="shared" ref="F4:F34" ca="1" si="2">IF(B4&lt;&gt;0,SUMIF(KhoiLuong,B4,DuToan),0)</f>
        <v>1</v>
      </c>
      <c r="G4" s="1326">
        <f t="shared" ref="G4:G34" ca="1" si="3">IF(B4&lt;&gt;0,SUMIF(KhoiLuong,B4,ThiCong),0)</f>
        <v>1</v>
      </c>
      <c r="H4" s="1326" t="str">
        <f>VLOOKUP($D$1,Solieu!A:C,2,0)</f>
        <v>x</v>
      </c>
      <c r="I4" s="1802"/>
      <c r="J4" s="1329">
        <f t="shared" ref="J4:J68" ca="1" si="4">IF(G4&gt;0,1,"")</f>
        <v>1</v>
      </c>
      <c r="K4" s="2089" t="e">
        <f>SUMIF(#REF!,B4,#REF!)</f>
        <v>#REF!</v>
      </c>
      <c r="L4" s="1329">
        <v>1</v>
      </c>
      <c r="M4" s="1329" t="e">
        <f>K4-L4</f>
        <v>#REF!</v>
      </c>
      <c r="N4" s="1329"/>
      <c r="O4" s="1329"/>
      <c r="P4" s="1329"/>
      <c r="Q4" s="1329"/>
      <c r="R4" s="1329"/>
      <c r="S4" s="1329"/>
      <c r="T4" s="1329"/>
    </row>
    <row r="5" spans="1:20" ht="34.5" customHeight="1">
      <c r="A5" s="2671"/>
      <c r="B5" s="1385" t="s">
        <v>365</v>
      </c>
      <c r="C5" s="1801">
        <f ca="1">SUM($J$4:J5)</f>
        <v>2</v>
      </c>
      <c r="D5" s="1324" t="str">
        <f t="shared" si="0"/>
        <v>Chống composite 40x10x920</v>
      </c>
      <c r="E5" s="1326" t="str">
        <f t="shared" si="1"/>
        <v>cái</v>
      </c>
      <c r="F5" s="1326">
        <f t="shared" ca="1" si="2"/>
        <v>2</v>
      </c>
      <c r="G5" s="1326">
        <f t="shared" ca="1" si="3"/>
        <v>2</v>
      </c>
      <c r="H5" s="1326" t="str">
        <f>VLOOKUP($D$1,Solieu!A:C,2,0)</f>
        <v>x</v>
      </c>
      <c r="I5" s="1802"/>
      <c r="J5" s="1329">
        <f t="shared" ca="1" si="4"/>
        <v>1</v>
      </c>
      <c r="K5" s="2089" t="e">
        <f>SUMIF(#REF!,B5,#REF!)</f>
        <v>#REF!</v>
      </c>
      <c r="L5" s="1329">
        <v>1</v>
      </c>
      <c r="M5" s="1329" t="e">
        <f t="shared" ref="M5:M12" si="5">K5-L5</f>
        <v>#REF!</v>
      </c>
      <c r="N5" s="1329"/>
      <c r="O5" s="1329"/>
      <c r="P5" s="1329"/>
      <c r="Q5" s="1329"/>
      <c r="R5" s="1329"/>
      <c r="S5" s="1329"/>
      <c r="T5" s="1329"/>
    </row>
    <row r="6" spans="1:20" ht="34.5" hidden="1" customHeight="1">
      <c r="A6" s="2671"/>
      <c r="B6" s="1385" t="s">
        <v>2309</v>
      </c>
      <c r="C6" s="1801">
        <f ca="1">SUM($J$4:J6)</f>
        <v>2</v>
      </c>
      <c r="D6" s="1324" t="e">
        <f t="shared" si="0"/>
        <v>#N/A</v>
      </c>
      <c r="E6" s="1326" t="e">
        <f t="shared" si="1"/>
        <v>#N/A</v>
      </c>
      <c r="F6" s="1326">
        <f t="shared" ca="1" si="2"/>
        <v>0</v>
      </c>
      <c r="G6" s="1326">
        <f t="shared" ca="1" si="3"/>
        <v>0</v>
      </c>
      <c r="H6" s="1326" t="str">
        <f>VLOOKUP($D$1,Solieu!A:C,2,0)</f>
        <v>x</v>
      </c>
      <c r="I6" s="1802"/>
      <c r="J6" s="1329" t="str">
        <f t="shared" ca="1" si="4"/>
        <v/>
      </c>
      <c r="K6" s="2089" t="e">
        <f>SUMIF(#REF!,B6,#REF!)</f>
        <v>#REF!</v>
      </c>
      <c r="L6" s="1329">
        <v>1</v>
      </c>
      <c r="M6" s="1329" t="e">
        <f t="shared" si="5"/>
        <v>#REF!</v>
      </c>
      <c r="N6" s="1329"/>
      <c r="O6" s="1329"/>
      <c r="P6" s="1329"/>
      <c r="Q6" s="1329"/>
      <c r="R6" s="1329"/>
      <c r="S6" s="1329"/>
      <c r="T6" s="1329"/>
    </row>
    <row r="7" spans="1:20" ht="34.5" hidden="1" customHeight="1">
      <c r="A7" s="2671"/>
      <c r="B7" s="2088" t="s">
        <v>1291</v>
      </c>
      <c r="C7" s="1801">
        <f ca="1">SUM($J$4:J7)</f>
        <v>2</v>
      </c>
      <c r="D7" s="1324" t="e">
        <f t="shared" si="0"/>
        <v>#N/A</v>
      </c>
      <c r="E7" s="1326" t="e">
        <f t="shared" si="1"/>
        <v>#N/A</v>
      </c>
      <c r="F7" s="1326">
        <f t="shared" ca="1" si="2"/>
        <v>0</v>
      </c>
      <c r="G7" s="1326">
        <f t="shared" ca="1" si="3"/>
        <v>0</v>
      </c>
      <c r="H7" s="1326" t="str">
        <f>VLOOKUP($D$1,Solieu!A:C,2,0)</f>
        <v>x</v>
      </c>
      <c r="I7" s="1802"/>
      <c r="J7" s="1329" t="str">
        <f t="shared" ca="1" si="4"/>
        <v/>
      </c>
      <c r="K7" s="2089" t="e">
        <f>SUMIF(#REF!,B7,#REF!)</f>
        <v>#REF!</v>
      </c>
      <c r="L7" s="1329">
        <v>1</v>
      </c>
      <c r="M7" s="1329" t="e">
        <f t="shared" si="5"/>
        <v>#REF!</v>
      </c>
      <c r="N7" s="1329"/>
      <c r="O7" s="1329"/>
      <c r="P7" s="1329"/>
      <c r="Q7" s="1329"/>
      <c r="R7" s="1329"/>
      <c r="S7" s="1329"/>
      <c r="T7" s="1329"/>
    </row>
    <row r="8" spans="1:20" ht="34.5" customHeight="1">
      <c r="A8" s="2671"/>
      <c r="B8" s="1386" t="s">
        <v>2295</v>
      </c>
      <c r="C8" s="1322">
        <f ca="1">SUM($J$4:J8)</f>
        <v>3</v>
      </c>
      <c r="D8" s="1324" t="str">
        <f t="shared" si="0"/>
        <v>Bộ xà kép L75x75x8 dài 2.2m: X-22K-Đ - C810 (lắp trụ đơn)</v>
      </c>
      <c r="E8" s="1326" t="str">
        <f t="shared" si="1"/>
        <v>Bộ</v>
      </c>
      <c r="F8" s="1326">
        <f t="shared" ca="1" si="2"/>
        <v>7</v>
      </c>
      <c r="G8" s="1326">
        <f t="shared" ca="1" si="3"/>
        <v>7</v>
      </c>
      <c r="H8" s="1326" t="str">
        <f>VLOOKUP($D$1,Solieu!A:C,2,0)</f>
        <v>x</v>
      </c>
      <c r="I8" s="1321"/>
      <c r="J8" s="1215">
        <f t="shared" ca="1" si="4"/>
        <v>1</v>
      </c>
      <c r="K8" s="2048" t="e">
        <f>SUMIF(#REF!,B8,#REF!)</f>
        <v>#REF!</v>
      </c>
      <c r="L8" s="1215">
        <v>15</v>
      </c>
      <c r="M8" s="1215" t="e">
        <f t="shared" si="5"/>
        <v>#REF!</v>
      </c>
    </row>
    <row r="9" spans="1:20" ht="34.5" hidden="1" customHeight="1">
      <c r="A9" s="2671"/>
      <c r="B9" s="1386" t="s">
        <v>2291</v>
      </c>
      <c r="C9" s="1322">
        <f ca="1">SUM($J$4:J9)</f>
        <v>3</v>
      </c>
      <c r="D9" s="1324" t="e">
        <f t="shared" si="0"/>
        <v>#N/A</v>
      </c>
      <c r="E9" s="1326" t="e">
        <f t="shared" si="1"/>
        <v>#N/A</v>
      </c>
      <c r="F9" s="1326">
        <f t="shared" ca="1" si="2"/>
        <v>0</v>
      </c>
      <c r="G9" s="1326">
        <f t="shared" ca="1" si="3"/>
        <v>0</v>
      </c>
      <c r="H9" s="1326" t="str">
        <f>VLOOKUP($D$1,Solieu!A:C,2,0)</f>
        <v>x</v>
      </c>
      <c r="I9" s="1321"/>
      <c r="J9" s="1215" t="str">
        <f t="shared" ca="1" si="4"/>
        <v/>
      </c>
      <c r="K9" s="2048" t="e">
        <f>SUMIF(#REF!,B9,#REF!)</f>
        <v>#REF!</v>
      </c>
      <c r="L9" s="1215">
        <v>42</v>
      </c>
      <c r="M9" s="1215" t="e">
        <f t="shared" si="5"/>
        <v>#REF!</v>
      </c>
    </row>
    <row r="10" spans="1:20" ht="34.5" hidden="1" customHeight="1">
      <c r="A10" s="2671"/>
      <c r="B10" s="2090" t="s">
        <v>909</v>
      </c>
      <c r="C10" s="1801">
        <f ca="1">SUM($J$4:J10)</f>
        <v>3</v>
      </c>
      <c r="D10" s="1324" t="e">
        <f t="shared" si="0"/>
        <v>#N/A</v>
      </c>
      <c r="E10" s="1326" t="e">
        <f t="shared" si="1"/>
        <v>#N/A</v>
      </c>
      <c r="F10" s="1326">
        <f t="shared" ca="1" si="2"/>
        <v>0</v>
      </c>
      <c r="G10" s="1326">
        <f t="shared" ca="1" si="3"/>
        <v>0</v>
      </c>
      <c r="H10" s="1326" t="str">
        <f>VLOOKUP($D$1,Solieu!A:C,2,0)</f>
        <v>x</v>
      </c>
      <c r="I10" s="1802"/>
      <c r="J10" s="1215" t="str">
        <f t="shared" ca="1" si="4"/>
        <v/>
      </c>
      <c r="K10" s="2089" t="e">
        <f>SUMIF(#REF!,B10,#REF!)</f>
        <v>#REF!</v>
      </c>
      <c r="L10" s="1329">
        <v>14</v>
      </c>
      <c r="M10" s="1329" t="e">
        <f t="shared" si="5"/>
        <v>#REF!</v>
      </c>
      <c r="N10" s="1329"/>
      <c r="O10" s="1329"/>
      <c r="P10" s="1329"/>
      <c r="Q10" s="1329"/>
      <c r="R10" s="1329"/>
      <c r="S10" s="1329"/>
      <c r="T10" s="1329"/>
    </row>
    <row r="11" spans="1:20" ht="34.5" hidden="1" customHeight="1">
      <c r="A11" s="2671"/>
      <c r="B11" s="1385" t="s">
        <v>2294</v>
      </c>
      <c r="C11" s="1801">
        <f ca="1">SUM($J$4:J11)</f>
        <v>3</v>
      </c>
      <c r="D11" s="1324" t="e">
        <f t="shared" si="0"/>
        <v>#N/A</v>
      </c>
      <c r="E11" s="1326" t="e">
        <f t="shared" si="1"/>
        <v>#N/A</v>
      </c>
      <c r="F11" s="1326">
        <f t="shared" ca="1" si="2"/>
        <v>0</v>
      </c>
      <c r="G11" s="1326">
        <f t="shared" ca="1" si="3"/>
        <v>0</v>
      </c>
      <c r="H11" s="1326" t="str">
        <f>VLOOKUP($D$1,Solieu!A:C,2,0)</f>
        <v>x</v>
      </c>
      <c r="I11" s="1802"/>
      <c r="J11" s="1215" t="str">
        <f t="shared" ca="1" si="4"/>
        <v/>
      </c>
      <c r="K11" s="2089" t="e">
        <f>SUMIF(#REF!,B11,#REF!)</f>
        <v>#REF!</v>
      </c>
      <c r="L11" s="1329">
        <v>1</v>
      </c>
      <c r="M11" s="1329" t="e">
        <f t="shared" si="5"/>
        <v>#REF!</v>
      </c>
      <c r="N11" s="1329"/>
      <c r="O11" s="1329"/>
      <c r="P11" s="1329"/>
      <c r="Q11" s="1329"/>
      <c r="R11" s="1329"/>
      <c r="S11" s="1329"/>
      <c r="T11" s="1329"/>
    </row>
    <row r="12" spans="1:20" ht="34.5" hidden="1" customHeight="1">
      <c r="A12" s="2671"/>
      <c r="B12" s="1385" t="s">
        <v>2310</v>
      </c>
      <c r="C12" s="1801">
        <f ca="1">SUM($J$4:J12)</f>
        <v>3</v>
      </c>
      <c r="D12" s="1324" t="e">
        <f t="shared" si="0"/>
        <v>#N/A</v>
      </c>
      <c r="E12" s="1326" t="e">
        <f t="shared" si="1"/>
        <v>#N/A</v>
      </c>
      <c r="F12" s="1326">
        <f ca="1">IF(B12&lt;&gt;0,SUMIF(KhoiLuong,B12,DuToan),0)</f>
        <v>0</v>
      </c>
      <c r="G12" s="1326">
        <f t="shared" ca="1" si="3"/>
        <v>0</v>
      </c>
      <c r="H12" s="1326" t="str">
        <f>VLOOKUP($D$1,Solieu!A:C,2,0)</f>
        <v>x</v>
      </c>
      <c r="I12" s="1802"/>
      <c r="J12" s="1215" t="str">
        <f t="shared" ca="1" si="4"/>
        <v/>
      </c>
      <c r="K12" s="2089" t="e">
        <f>SUMIF(#REF!,B12,#REF!)</f>
        <v>#REF!</v>
      </c>
      <c r="L12" s="1329">
        <v>0</v>
      </c>
      <c r="M12" s="1329" t="e">
        <f t="shared" si="5"/>
        <v>#REF!</v>
      </c>
      <c r="N12" s="1329"/>
      <c r="O12" s="1329"/>
      <c r="P12" s="1329"/>
      <c r="Q12" s="1329"/>
      <c r="R12" s="1329"/>
      <c r="S12" s="1329"/>
      <c r="T12" s="1329"/>
    </row>
    <row r="13" spans="1:20" ht="34.5" hidden="1" customHeight="1">
      <c r="A13" s="2671"/>
      <c r="B13" s="1385" t="s">
        <v>1082</v>
      </c>
      <c r="C13" s="1801">
        <f ca="1">SUM($J$4:J13)</f>
        <v>3</v>
      </c>
      <c r="D13" s="1324" t="e">
        <f t="shared" si="0"/>
        <v>#N/A</v>
      </c>
      <c r="E13" s="1326" t="e">
        <f t="shared" si="1"/>
        <v>#N/A</v>
      </c>
      <c r="F13" s="1326">
        <f t="shared" ca="1" si="2"/>
        <v>0</v>
      </c>
      <c r="G13" s="1326">
        <f t="shared" ca="1" si="3"/>
        <v>0</v>
      </c>
      <c r="H13" s="1326" t="str">
        <f>VLOOKUP($D$1,Solieu!A:C,2,0)</f>
        <v>x</v>
      </c>
      <c r="I13" s="1802"/>
      <c r="J13" s="1215" t="str">
        <f t="shared" ca="1" si="4"/>
        <v/>
      </c>
      <c r="L13" s="1329"/>
      <c r="M13" s="1329"/>
      <c r="N13" s="1329"/>
      <c r="O13" s="1329"/>
      <c r="P13" s="1329"/>
      <c r="Q13" s="1329"/>
      <c r="R13" s="1329"/>
      <c r="S13" s="1329"/>
      <c r="T13" s="1329"/>
    </row>
    <row r="14" spans="1:20" ht="34.5" customHeight="1">
      <c r="A14" s="2671"/>
      <c r="B14" s="1385" t="s">
        <v>533</v>
      </c>
      <c r="C14" s="1801">
        <f ca="1">SUM($J$4:J14)</f>
        <v>4</v>
      </c>
      <c r="D14" s="1324" t="str">
        <f t="shared" si="0"/>
        <v>Bộ xà kép L75x75x8 dài 2.2m: X-22K-K - C810 (lắp theo hướng trụ ghép)</v>
      </c>
      <c r="E14" s="1326" t="str">
        <f t="shared" si="1"/>
        <v>Bộ</v>
      </c>
      <c r="F14" s="1326">
        <f t="shared" ca="1" si="2"/>
        <v>10</v>
      </c>
      <c r="G14" s="1326">
        <f t="shared" ca="1" si="3"/>
        <v>10</v>
      </c>
      <c r="H14" s="1326" t="str">
        <f>VLOOKUP($D$1,Solieu!A:C,2,0)</f>
        <v>x</v>
      </c>
      <c r="I14" s="1802"/>
      <c r="J14" s="1215">
        <f t="shared" ca="1" si="4"/>
        <v>1</v>
      </c>
      <c r="L14" s="1329"/>
      <c r="M14" s="1329"/>
      <c r="N14" s="1329"/>
      <c r="O14" s="1329"/>
      <c r="P14" s="1329"/>
      <c r="Q14" s="1329"/>
      <c r="R14" s="1329"/>
      <c r="S14" s="1329"/>
      <c r="T14" s="1329"/>
    </row>
    <row r="15" spans="1:20" ht="34.5" hidden="1" customHeight="1">
      <c r="A15" s="2671"/>
      <c r="B15" s="1385" t="s">
        <v>1112</v>
      </c>
      <c r="C15" s="1801">
        <f ca="1">SUM($J$4:J15)</f>
        <v>4</v>
      </c>
      <c r="D15" s="1324" t="e">
        <f t="shared" si="0"/>
        <v>#N/A</v>
      </c>
      <c r="E15" s="1326" t="e">
        <f t="shared" si="1"/>
        <v>#N/A</v>
      </c>
      <c r="F15" s="1326">
        <f t="shared" ca="1" si="2"/>
        <v>0</v>
      </c>
      <c r="G15" s="1326">
        <f t="shared" ca="1" si="3"/>
        <v>0</v>
      </c>
      <c r="H15" s="1326" t="str">
        <f>VLOOKUP($D$1,Solieu!A:C,2,0)</f>
        <v>x</v>
      </c>
      <c r="I15" s="1802"/>
      <c r="J15" s="1215" t="str">
        <f t="shared" ca="1" si="4"/>
        <v/>
      </c>
      <c r="L15" s="1329"/>
      <c r="M15" s="1329"/>
      <c r="N15" s="1329"/>
      <c r="O15" s="1329"/>
      <c r="P15" s="1329"/>
      <c r="Q15" s="1329"/>
      <c r="R15" s="1329"/>
      <c r="S15" s="1329"/>
      <c r="T15" s="1329"/>
    </row>
    <row r="16" spans="1:20" ht="34.5" hidden="1" customHeight="1">
      <c r="A16" s="2671"/>
      <c r="B16" s="1385" t="s">
        <v>2296</v>
      </c>
      <c r="C16" s="1801">
        <f ca="1">SUM($J$4:J16)</f>
        <v>4</v>
      </c>
      <c r="D16" s="1324" t="e">
        <f t="shared" si="0"/>
        <v>#N/A</v>
      </c>
      <c r="E16" s="1326" t="e">
        <f t="shared" si="1"/>
        <v>#N/A</v>
      </c>
      <c r="F16" s="1326">
        <f t="shared" ca="1" si="2"/>
        <v>0</v>
      </c>
      <c r="G16" s="1326">
        <f t="shared" ca="1" si="3"/>
        <v>0</v>
      </c>
      <c r="H16" s="1326" t="str">
        <f>VLOOKUP($D$1,Solieu!A:C,2,0)</f>
        <v>x</v>
      </c>
      <c r="I16" s="1802"/>
      <c r="J16" s="1215" t="str">
        <f t="shared" ca="1" si="4"/>
        <v/>
      </c>
      <c r="L16" s="1329"/>
      <c r="M16" s="1329"/>
      <c r="N16" s="1329"/>
      <c r="O16" s="1329"/>
      <c r="P16" s="1329"/>
      <c r="Q16" s="1329"/>
      <c r="R16" s="1329"/>
      <c r="S16" s="1329"/>
      <c r="T16" s="1329"/>
    </row>
    <row r="17" spans="1:20" ht="34.5" hidden="1" customHeight="1">
      <c r="A17" s="2671"/>
      <c r="B17" s="1385" t="s">
        <v>910</v>
      </c>
      <c r="C17" s="1801">
        <f ca="1">SUM($J$4:J17)</f>
        <v>4</v>
      </c>
      <c r="D17" s="1324" t="e">
        <f t="shared" si="0"/>
        <v>#N/A</v>
      </c>
      <c r="E17" s="1326" t="e">
        <f t="shared" si="1"/>
        <v>#N/A</v>
      </c>
      <c r="F17" s="1326">
        <f t="shared" ca="1" si="2"/>
        <v>0</v>
      </c>
      <c r="G17" s="1326">
        <f t="shared" ca="1" si="3"/>
        <v>0</v>
      </c>
      <c r="H17" s="1326" t="str">
        <f>VLOOKUP($D$1,Solieu!A:C,2,0)</f>
        <v>x</v>
      </c>
      <c r="I17" s="1802"/>
      <c r="J17" s="1215" t="str">
        <f t="shared" ca="1" si="4"/>
        <v/>
      </c>
      <c r="L17" s="1329"/>
      <c r="M17" s="1329"/>
      <c r="N17" s="1329"/>
      <c r="O17" s="1329"/>
      <c r="P17" s="1329"/>
      <c r="Q17" s="1329"/>
      <c r="R17" s="1329"/>
      <c r="S17" s="1329"/>
      <c r="T17" s="1329"/>
    </row>
    <row r="18" spans="1:20" ht="34.5" hidden="1" customHeight="1">
      <c r="A18" s="2671"/>
      <c r="B18" s="1385" t="s">
        <v>713</v>
      </c>
      <c r="C18" s="1322">
        <f ca="1">SUM($J$4:J18)</f>
        <v>4</v>
      </c>
      <c r="D18" s="1324" t="e">
        <f t="shared" si="0"/>
        <v>#N/A</v>
      </c>
      <c r="E18" s="1326" t="e">
        <f t="shared" si="1"/>
        <v>#N/A</v>
      </c>
      <c r="F18" s="1326">
        <f t="shared" ca="1" si="2"/>
        <v>0</v>
      </c>
      <c r="G18" s="1326">
        <f t="shared" ca="1" si="3"/>
        <v>0</v>
      </c>
      <c r="H18" s="1326" t="str">
        <f>VLOOKUP($D$1,Solieu!A:C,2,0)</f>
        <v>x</v>
      </c>
      <c r="I18" s="1321"/>
      <c r="J18" s="1215" t="str">
        <f t="shared" ca="1" si="4"/>
        <v/>
      </c>
    </row>
    <row r="19" spans="1:20" ht="34.5" hidden="1" customHeight="1">
      <c r="A19" s="2671"/>
      <c r="B19" s="1385" t="s">
        <v>2297</v>
      </c>
      <c r="C19" s="1322">
        <f ca="1">SUM($J$4:J19)</f>
        <v>4</v>
      </c>
      <c r="D19" s="1324" t="e">
        <f t="shared" si="0"/>
        <v>#N/A</v>
      </c>
      <c r="E19" s="1326" t="e">
        <f t="shared" si="1"/>
        <v>#N/A</v>
      </c>
      <c r="F19" s="1326">
        <f t="shared" ca="1" si="2"/>
        <v>0</v>
      </c>
      <c r="G19" s="1326">
        <f t="shared" ca="1" si="3"/>
        <v>0</v>
      </c>
      <c r="H19" s="1326" t="str">
        <f>VLOOKUP($D$1,Solieu!A:C,2,0)</f>
        <v>x</v>
      </c>
      <c r="I19" s="1321"/>
      <c r="J19" s="1215" t="str">
        <f t="shared" ca="1" si="4"/>
        <v/>
      </c>
    </row>
    <row r="20" spans="1:20" ht="34.5" hidden="1" customHeight="1">
      <c r="A20" s="2671"/>
      <c r="B20" s="1385" t="s">
        <v>344</v>
      </c>
      <c r="C20" s="1322">
        <f ca="1">SUM($J$4:J20)</f>
        <v>4</v>
      </c>
      <c r="D20" s="1324" t="e">
        <f t="shared" si="0"/>
        <v>#N/A</v>
      </c>
      <c r="E20" s="1326" t="e">
        <f t="shared" si="1"/>
        <v>#N/A</v>
      </c>
      <c r="F20" s="1326">
        <f t="shared" ca="1" si="2"/>
        <v>0</v>
      </c>
      <c r="G20" s="1326">
        <f t="shared" ca="1" si="3"/>
        <v>0</v>
      </c>
      <c r="H20" s="1326" t="str">
        <f>VLOOKUP($D$1,Solieu!A:C,2,0)</f>
        <v>x</v>
      </c>
      <c r="I20" s="1321"/>
      <c r="J20" s="1215" t="str">
        <f t="shared" ca="1" si="4"/>
        <v/>
      </c>
    </row>
    <row r="21" spans="1:20" ht="34.5" customHeight="1">
      <c r="A21" s="2671"/>
      <c r="B21" s="1385" t="s">
        <v>2292</v>
      </c>
      <c r="C21" s="1322">
        <f ca="1">SUM($J$4:J21)</f>
        <v>5</v>
      </c>
      <c r="D21" s="1324" t="str">
        <f t="shared" si="0"/>
        <v>Bộ xà lệch đơn L75x75x8 dài 2,1m: X-21ĐL</v>
      </c>
      <c r="E21" s="1326" t="str">
        <f t="shared" si="1"/>
        <v>Bộ</v>
      </c>
      <c r="F21" s="1326">
        <f t="shared" ca="1" si="2"/>
        <v>1</v>
      </c>
      <c r="G21" s="1326">
        <f t="shared" ca="1" si="3"/>
        <v>1</v>
      </c>
      <c r="H21" s="1326" t="str">
        <f>VLOOKUP($D$1,Solieu!A:C,2,0)</f>
        <v>x</v>
      </c>
      <c r="I21" s="1321"/>
      <c r="J21" s="1215">
        <f t="shared" ca="1" si="4"/>
        <v>1</v>
      </c>
    </row>
    <row r="22" spans="1:20" ht="34.5" customHeight="1">
      <c r="A22" s="2671"/>
      <c r="B22" s="1385" t="s">
        <v>893</v>
      </c>
      <c r="C22" s="1322">
        <f ca="1">SUM($J$4:J22)</f>
        <v>6</v>
      </c>
      <c r="D22" s="1324" t="str">
        <f t="shared" si="0"/>
        <v>Bộ xà lệch kép L75x75x8 dài 2,1m: X-21KL</v>
      </c>
      <c r="E22" s="1326" t="str">
        <f t="shared" si="1"/>
        <v>Bộ</v>
      </c>
      <c r="F22" s="1326">
        <f t="shared" ca="1" si="2"/>
        <v>1</v>
      </c>
      <c r="G22" s="1326">
        <f t="shared" ca="1" si="3"/>
        <v>1</v>
      </c>
      <c r="H22" s="1326" t="str">
        <f>VLOOKUP($D$1,Solieu!A:C,2,0)</f>
        <v>x</v>
      </c>
      <c r="I22" s="1321"/>
      <c r="J22" s="1215">
        <f t="shared" ca="1" si="4"/>
        <v>1</v>
      </c>
    </row>
    <row r="23" spans="1:20" ht="34.5" customHeight="1">
      <c r="A23" s="2671"/>
      <c r="B23" s="1385" t="s">
        <v>2293</v>
      </c>
      <c r="C23" s="1801">
        <f ca="1">SUM($J$4:J23)</f>
        <v>7</v>
      </c>
      <c r="D23" s="1324" t="str">
        <f t="shared" si="0"/>
        <v>Bộ xà lệch đơn L75x75x8 dài 2m: X-20ĐL2/3</v>
      </c>
      <c r="E23" s="1326" t="str">
        <f t="shared" si="1"/>
        <v>Bộ</v>
      </c>
      <c r="F23" s="1326">
        <f t="shared" ca="1" si="2"/>
        <v>22</v>
      </c>
      <c r="G23" s="1326">
        <f t="shared" ca="1" si="3"/>
        <v>22</v>
      </c>
      <c r="H23" s="1326" t="str">
        <f>VLOOKUP($D$1,Solieu!A:C,2,0)</f>
        <v>x</v>
      </c>
      <c r="I23" s="1802"/>
      <c r="J23" s="1215">
        <f t="shared" ca="1" si="4"/>
        <v>1</v>
      </c>
    </row>
    <row r="24" spans="1:20" ht="34.5" customHeight="1">
      <c r="A24" s="2671"/>
      <c r="B24" s="1385" t="s">
        <v>2119</v>
      </c>
      <c r="C24" s="1801">
        <f ca="1">SUM($J$4:J24)</f>
        <v>8</v>
      </c>
      <c r="D24" s="1324" t="str">
        <f t="shared" si="0"/>
        <v>Bộ xà lệch kép L75x75x8 dài 2m: X-20KL2/3</v>
      </c>
      <c r="E24" s="1326" t="str">
        <f t="shared" si="1"/>
        <v>Bộ</v>
      </c>
      <c r="F24" s="1326">
        <f t="shared" ca="1" si="2"/>
        <v>3</v>
      </c>
      <c r="G24" s="1326">
        <f t="shared" ca="1" si="3"/>
        <v>3</v>
      </c>
      <c r="H24" s="1326" t="str">
        <f>VLOOKUP($D$1,Solieu!A:C,2,0)</f>
        <v>x</v>
      </c>
      <c r="I24" s="1802"/>
      <c r="J24" s="1215">
        <f t="shared" ca="1" si="4"/>
        <v>1</v>
      </c>
    </row>
    <row r="25" spans="1:20" ht="34.5" hidden="1" customHeight="1">
      <c r="A25" s="2671"/>
      <c r="B25" s="1385" t="s">
        <v>2298</v>
      </c>
      <c r="C25" s="1322">
        <f ca="1">SUM($J$4:J25)</f>
        <v>8</v>
      </c>
      <c r="D25" s="1324" t="e">
        <f t="shared" si="0"/>
        <v>#N/A</v>
      </c>
      <c r="E25" s="1326" t="e">
        <f t="shared" si="1"/>
        <v>#N/A</v>
      </c>
      <c r="F25" s="1326">
        <f t="shared" ca="1" si="2"/>
        <v>0</v>
      </c>
      <c r="G25" s="1326">
        <f t="shared" ca="1" si="3"/>
        <v>0</v>
      </c>
      <c r="H25" s="1326" t="str">
        <f>VLOOKUP($D$1,Solieu!A:C,2,0)</f>
        <v>x</v>
      </c>
      <c r="I25" s="1321"/>
      <c r="J25" s="1215" t="str">
        <f t="shared" ca="1" si="4"/>
        <v/>
      </c>
    </row>
    <row r="26" spans="1:20" ht="34.5" hidden="1" customHeight="1">
      <c r="A26" s="2671"/>
      <c r="B26" s="1385" t="s">
        <v>213</v>
      </c>
      <c r="C26" s="1322">
        <f ca="1">SUM($J$4:J26)</f>
        <v>8</v>
      </c>
      <c r="D26" s="1324" t="e">
        <f t="shared" si="0"/>
        <v>#N/A</v>
      </c>
      <c r="E26" s="1326" t="e">
        <f t="shared" si="1"/>
        <v>#N/A</v>
      </c>
      <c r="F26" s="1326">
        <f t="shared" ca="1" si="2"/>
        <v>0</v>
      </c>
      <c r="G26" s="1326">
        <f t="shared" ca="1" si="3"/>
        <v>0</v>
      </c>
      <c r="H26" s="1326" t="str">
        <f>VLOOKUP($D$1,Solieu!A:C,2,0)</f>
        <v>x</v>
      </c>
      <c r="I26" s="1321"/>
      <c r="J26" s="1215" t="str">
        <f t="shared" ca="1" si="4"/>
        <v/>
      </c>
    </row>
    <row r="27" spans="1:20" ht="34.5" hidden="1" customHeight="1">
      <c r="A27" s="2671"/>
      <c r="B27" s="1385" t="s">
        <v>2311</v>
      </c>
      <c r="C27" s="1322">
        <f ca="1">SUM($J$4:J27)</f>
        <v>8</v>
      </c>
      <c r="D27" s="1324" t="e">
        <f t="shared" si="0"/>
        <v>#N/A</v>
      </c>
      <c r="E27" s="1326" t="e">
        <f t="shared" si="1"/>
        <v>#N/A</v>
      </c>
      <c r="F27" s="1326">
        <f t="shared" ca="1" si="2"/>
        <v>0</v>
      </c>
      <c r="G27" s="1326">
        <f t="shared" ca="1" si="3"/>
        <v>0</v>
      </c>
      <c r="H27" s="1326" t="str">
        <f>VLOOKUP($D$1,Solieu!A:C,2,0)</f>
        <v>x</v>
      </c>
      <c r="I27" s="1321"/>
      <c r="J27" s="1215" t="str">
        <f t="shared" ca="1" si="4"/>
        <v/>
      </c>
    </row>
    <row r="28" spans="1:20" ht="34.5" hidden="1" customHeight="1">
      <c r="A28" s="2671"/>
      <c r="B28" s="1385" t="s">
        <v>1501</v>
      </c>
      <c r="C28" s="1322">
        <f ca="1">SUM($J$4:J28)</f>
        <v>8</v>
      </c>
      <c r="D28" s="1324" t="e">
        <f t="shared" si="0"/>
        <v>#N/A</v>
      </c>
      <c r="E28" s="1326" t="e">
        <f t="shared" si="1"/>
        <v>#N/A</v>
      </c>
      <c r="F28" s="1326">
        <f t="shared" ca="1" si="2"/>
        <v>0</v>
      </c>
      <c r="G28" s="1326">
        <f t="shared" ca="1" si="3"/>
        <v>0</v>
      </c>
      <c r="H28" s="1326" t="str">
        <f>VLOOKUP($D$1,Solieu!A:C,2,0)</f>
        <v>x</v>
      </c>
      <c r="I28" s="1321"/>
      <c r="J28" s="1215" t="str">
        <f t="shared" ca="1" si="4"/>
        <v/>
      </c>
    </row>
    <row r="29" spans="1:20" ht="34.5" hidden="1" customHeight="1">
      <c r="A29" s="2671"/>
      <c r="B29" s="1385" t="s">
        <v>1574</v>
      </c>
      <c r="C29" s="1322">
        <f ca="1">SUM($J$4:J29)</f>
        <v>8</v>
      </c>
      <c r="D29" s="1324" t="e">
        <f t="shared" si="0"/>
        <v>#N/A</v>
      </c>
      <c r="E29" s="1326" t="e">
        <f t="shared" si="1"/>
        <v>#N/A</v>
      </c>
      <c r="F29" s="1326">
        <f t="shared" ca="1" si="2"/>
        <v>0</v>
      </c>
      <c r="G29" s="1326">
        <f t="shared" ca="1" si="3"/>
        <v>0</v>
      </c>
      <c r="H29" s="1326" t="str">
        <f>VLOOKUP($D$1,Solieu!A:C,2,0)</f>
        <v>x</v>
      </c>
      <c r="I29" s="1321"/>
      <c r="J29" s="1215" t="str">
        <f t="shared" ca="1" si="4"/>
        <v/>
      </c>
    </row>
    <row r="30" spans="1:20" ht="34.5" hidden="1" customHeight="1">
      <c r="A30" s="2671"/>
      <c r="B30" s="1385" t="s">
        <v>105</v>
      </c>
      <c r="C30" s="1322">
        <f ca="1">SUM($J$4:J30)</f>
        <v>8</v>
      </c>
      <c r="D30" s="1324" t="e">
        <f t="shared" si="0"/>
        <v>#N/A</v>
      </c>
      <c r="E30" s="1326" t="e">
        <f t="shared" si="1"/>
        <v>#N/A</v>
      </c>
      <c r="F30" s="1326">
        <f t="shared" ca="1" si="2"/>
        <v>0</v>
      </c>
      <c r="G30" s="1326">
        <f t="shared" ca="1" si="3"/>
        <v>0</v>
      </c>
      <c r="H30" s="1326" t="str">
        <f>VLOOKUP($D$1,Solieu!A:C,2,0)</f>
        <v>x</v>
      </c>
      <c r="I30" s="1321"/>
      <c r="J30" s="1215" t="str">
        <f t="shared" ca="1" si="4"/>
        <v/>
      </c>
    </row>
    <row r="31" spans="1:20" ht="34.5" hidden="1" customHeight="1">
      <c r="A31" s="2671"/>
      <c r="B31" s="1385" t="s">
        <v>2299</v>
      </c>
      <c r="C31" s="1322">
        <f ca="1">SUM($J$4:J31)</f>
        <v>8</v>
      </c>
      <c r="D31" s="1324" t="e">
        <f t="shared" si="0"/>
        <v>#N/A</v>
      </c>
      <c r="E31" s="1326" t="e">
        <f t="shared" si="1"/>
        <v>#N/A</v>
      </c>
      <c r="F31" s="1326">
        <f t="shared" ca="1" si="2"/>
        <v>0</v>
      </c>
      <c r="G31" s="1326">
        <f t="shared" ca="1" si="3"/>
        <v>0</v>
      </c>
      <c r="H31" s="1326" t="str">
        <f>VLOOKUP($D$1,Solieu!A:C,2,0)</f>
        <v>x</v>
      </c>
      <c r="I31" s="1321"/>
      <c r="J31" s="1215" t="str">
        <f t="shared" ca="1" si="4"/>
        <v/>
      </c>
    </row>
    <row r="32" spans="1:20" ht="34.5" hidden="1" customHeight="1">
      <c r="A32" s="2671"/>
      <c r="B32" s="1385" t="s">
        <v>807</v>
      </c>
      <c r="C32" s="1322">
        <f ca="1">SUM($J$4:J32)</f>
        <v>8</v>
      </c>
      <c r="D32" s="1324" t="e">
        <f t="shared" si="0"/>
        <v>#N/A</v>
      </c>
      <c r="E32" s="1326" t="e">
        <f t="shared" si="1"/>
        <v>#N/A</v>
      </c>
      <c r="F32" s="1326">
        <f t="shared" ca="1" si="2"/>
        <v>0</v>
      </c>
      <c r="G32" s="1326">
        <f t="shared" ca="1" si="3"/>
        <v>0</v>
      </c>
      <c r="H32" s="1326" t="str">
        <f>VLOOKUP($D$1,Solieu!A:C,2,0)</f>
        <v>x</v>
      </c>
      <c r="I32" s="1321"/>
      <c r="J32" s="1215" t="str">
        <f t="shared" ca="1" si="4"/>
        <v/>
      </c>
    </row>
    <row r="33" spans="1:10" ht="34.5" hidden="1" customHeight="1">
      <c r="A33" s="2671"/>
      <c r="B33" s="1385" t="s">
        <v>1868</v>
      </c>
      <c r="C33" s="1322">
        <f ca="1">SUM($J$4:J33)</f>
        <v>8</v>
      </c>
      <c r="D33" s="1324" t="e">
        <f t="shared" si="0"/>
        <v>#N/A</v>
      </c>
      <c r="E33" s="1326" t="e">
        <f t="shared" si="1"/>
        <v>#N/A</v>
      </c>
      <c r="F33" s="1326">
        <f t="shared" ca="1" si="2"/>
        <v>0</v>
      </c>
      <c r="G33" s="1326">
        <f t="shared" ca="1" si="3"/>
        <v>0</v>
      </c>
      <c r="H33" s="1326" t="str">
        <f>VLOOKUP($D$1,Solieu!A:C,2,0)</f>
        <v>x</v>
      </c>
      <c r="I33" s="1321"/>
      <c r="J33" s="1215" t="str">
        <f t="shared" ca="1" si="4"/>
        <v/>
      </c>
    </row>
    <row r="34" spans="1:10" ht="34.5" hidden="1" customHeight="1">
      <c r="A34" s="2671"/>
      <c r="B34" s="1385" t="s">
        <v>4811</v>
      </c>
      <c r="C34" s="1322">
        <f ca="1">SUM($J$4:J34)</f>
        <v>8</v>
      </c>
      <c r="D34" s="1324" t="e">
        <f t="shared" si="0"/>
        <v>#N/A</v>
      </c>
      <c r="E34" s="1326" t="e">
        <f t="shared" si="1"/>
        <v>#N/A</v>
      </c>
      <c r="F34" s="1326">
        <f t="shared" ca="1" si="2"/>
        <v>0</v>
      </c>
      <c r="G34" s="1326">
        <f t="shared" ca="1" si="3"/>
        <v>0</v>
      </c>
      <c r="H34" s="1326" t="str">
        <f>VLOOKUP($D$1,Solieu!A:C,2,0)</f>
        <v>x</v>
      </c>
      <c r="I34" s="1321"/>
      <c r="J34" s="1215" t="str">
        <f t="shared" ca="1" si="4"/>
        <v/>
      </c>
    </row>
    <row r="35" spans="1:10" ht="34.5" hidden="1" customHeight="1">
      <c r="A35" s="2671"/>
      <c r="B35" s="1385" t="s">
        <v>4812</v>
      </c>
      <c r="C35" s="1322">
        <f ca="1">SUM($J$4:J35)</f>
        <v>8</v>
      </c>
      <c r="D35" s="1324" t="e">
        <f t="shared" ref="D35:D61" si="6">VLOOKUP(B35,KhoiLuong,5,0)</f>
        <v>#N/A</v>
      </c>
      <c r="E35" s="1326" t="e">
        <f t="shared" ref="E35:E61" si="7">VLOOKUP(B35,KhoiLuong,6,0)</f>
        <v>#N/A</v>
      </c>
      <c r="F35" s="1326">
        <f t="shared" ref="F35:F61" ca="1" si="8">IF(B35&lt;&gt;0,SUMIF(KhoiLuong,B35,DuToan),0)</f>
        <v>0</v>
      </c>
      <c r="G35" s="1326">
        <f t="shared" ref="G35:G61" ca="1" si="9">IF(B35&lt;&gt;0,SUMIF(KhoiLuong,B35,ThiCong),0)</f>
        <v>0</v>
      </c>
      <c r="H35" s="1326" t="str">
        <f>VLOOKUP($D$1,Solieu!A:C,2,0)</f>
        <v>x</v>
      </c>
      <c r="I35" s="1321"/>
      <c r="J35" s="1215" t="str">
        <f t="shared" ca="1" si="4"/>
        <v/>
      </c>
    </row>
    <row r="36" spans="1:10" ht="34.5" hidden="1" customHeight="1">
      <c r="A36" s="2671"/>
      <c r="B36" s="1385" t="s">
        <v>6414</v>
      </c>
      <c r="C36" s="1801">
        <f ca="1">SUM($J$4:J36)</f>
        <v>8</v>
      </c>
      <c r="D36" s="1324" t="e">
        <f>VLOOKUP(B36,KhoiLuong,5,0)</f>
        <v>#N/A</v>
      </c>
      <c r="E36" s="1326" t="e">
        <f>VLOOKUP(B36,KhoiLuong,6,0)</f>
        <v>#N/A</v>
      </c>
      <c r="F36" s="1326">
        <f ca="1">IF(B36&lt;&gt;0,SUMIF(KhoiLuong,B36,DuToan),0)</f>
        <v>0</v>
      </c>
      <c r="G36" s="1326">
        <f ca="1">IF(B36&lt;&gt;0,SUMIF(KhoiLuong,B36,ThiCong),0)</f>
        <v>0</v>
      </c>
      <c r="H36" s="1326" t="str">
        <f>VLOOKUP($D$1,Solieu!A:C,2,0)</f>
        <v>x</v>
      </c>
      <c r="I36" s="1802"/>
      <c r="J36" s="1215" t="str">
        <f ca="1">IF(G36&gt;0,1,"")</f>
        <v/>
      </c>
    </row>
    <row r="37" spans="1:10" ht="34.5" hidden="1" customHeight="1">
      <c r="A37" s="2671"/>
      <c r="B37" s="1385" t="s">
        <v>6415</v>
      </c>
      <c r="C37" s="1801">
        <f ca="1">SUM($J$4:J37)</f>
        <v>8</v>
      </c>
      <c r="D37" s="1324" t="e">
        <f>VLOOKUP(B37,KhoiLuong,5,0)</f>
        <v>#N/A</v>
      </c>
      <c r="E37" s="1326" t="e">
        <f>VLOOKUP(B37,KhoiLuong,6,0)</f>
        <v>#N/A</v>
      </c>
      <c r="F37" s="1326">
        <f ca="1">IF(B37&lt;&gt;0,SUMIF(KhoiLuong,B37,DuToan),0)</f>
        <v>0</v>
      </c>
      <c r="G37" s="1326">
        <f ca="1">IF(B37&lt;&gt;0,SUMIF(KhoiLuong,B37,ThiCong),0)</f>
        <v>0</v>
      </c>
      <c r="H37" s="1326" t="str">
        <f>VLOOKUP($D$1,Solieu!A:C,2,0)</f>
        <v>x</v>
      </c>
      <c r="I37" s="1802"/>
      <c r="J37" s="1215" t="str">
        <f ca="1">IF(G37&gt;0,1,"")</f>
        <v/>
      </c>
    </row>
    <row r="38" spans="1:10" ht="34.5" hidden="1" customHeight="1">
      <c r="A38" s="2671"/>
      <c r="B38" s="1385" t="s">
        <v>6416</v>
      </c>
      <c r="C38" s="1801">
        <f ca="1">SUM($J$4:J38)</f>
        <v>8</v>
      </c>
      <c r="D38" s="1324" t="e">
        <f>VLOOKUP(B38,KhoiLuong,5,0)</f>
        <v>#N/A</v>
      </c>
      <c r="E38" s="1326" t="e">
        <f>VLOOKUP(B38,KhoiLuong,6,0)</f>
        <v>#N/A</v>
      </c>
      <c r="F38" s="1326">
        <f ca="1">IF(B38&lt;&gt;0,SUMIF(KhoiLuong,B38,DuToan),0)</f>
        <v>0</v>
      </c>
      <c r="G38" s="1326">
        <f ca="1">IF(B38&lt;&gt;0,SUMIF(KhoiLuong,B38,ThiCong),0)</f>
        <v>0</v>
      </c>
      <c r="H38" s="1326" t="str">
        <f>VLOOKUP($D$1,Solieu!A:C,2,0)</f>
        <v>x</v>
      </c>
      <c r="I38" s="1802"/>
      <c r="J38" s="1215" t="str">
        <f ca="1">IF(G38&gt;0,1,"")</f>
        <v/>
      </c>
    </row>
    <row r="39" spans="1:10" ht="34.5" customHeight="1">
      <c r="A39" s="2671"/>
      <c r="B39" s="1385" t="s">
        <v>2499</v>
      </c>
      <c r="C39" s="1322">
        <f ca="1">SUM($J$4:J39)</f>
        <v>9</v>
      </c>
      <c r="D39" s="1324" t="str">
        <f t="shared" si="6"/>
        <v>Bộ Uclevis đỡ dây trung hòa: Đth-U (trụ đơn)</v>
      </c>
      <c r="E39" s="1326" t="str">
        <f t="shared" si="7"/>
        <v>bộ</v>
      </c>
      <c r="F39" s="1326">
        <f t="shared" ca="1" si="8"/>
        <v>5</v>
      </c>
      <c r="G39" s="1326">
        <f t="shared" ca="1" si="9"/>
        <v>5</v>
      </c>
      <c r="H39" s="1326" t="str">
        <f>VLOOKUP($D$1,Solieu!A:C,2,0)</f>
        <v>x</v>
      </c>
      <c r="I39" s="1321"/>
      <c r="J39" s="1215">
        <f t="shared" ca="1" si="4"/>
        <v>1</v>
      </c>
    </row>
    <row r="40" spans="1:10" ht="34.5" hidden="1" customHeight="1">
      <c r="A40" s="2671"/>
      <c r="B40" s="1385" t="s">
        <v>1621</v>
      </c>
      <c r="C40" s="1322">
        <f ca="1">SUM($J$4:J40)</f>
        <v>9</v>
      </c>
      <c r="D40" s="1324" t="e">
        <f t="shared" si="6"/>
        <v>#N/A</v>
      </c>
      <c r="E40" s="1326" t="e">
        <f t="shared" si="7"/>
        <v>#N/A</v>
      </c>
      <c r="F40" s="1326">
        <f t="shared" ca="1" si="8"/>
        <v>0</v>
      </c>
      <c r="G40" s="1326">
        <f t="shared" ca="1" si="9"/>
        <v>0</v>
      </c>
      <c r="H40" s="1326" t="str">
        <f>VLOOKUP($D$1,Solieu!A:C,2,0)</f>
        <v>x</v>
      </c>
      <c r="I40" s="1321"/>
      <c r="J40" s="1215" t="str">
        <f t="shared" ca="1" si="4"/>
        <v/>
      </c>
    </row>
    <row r="41" spans="1:10" ht="34.5" customHeight="1">
      <c r="A41" s="2671"/>
      <c r="B41" s="1385" t="s">
        <v>1622</v>
      </c>
      <c r="C41" s="1322">
        <f ca="1">SUM($J$4:J41)</f>
        <v>10</v>
      </c>
      <c r="D41" s="1324" t="str">
        <f t="shared" si="6"/>
        <v>Bộ khóa néo dây trung hòa vào trụ đơn</v>
      </c>
      <c r="E41" s="1326" t="str">
        <f t="shared" si="7"/>
        <v>bộ</v>
      </c>
      <c r="F41" s="1326">
        <f t="shared" ca="1" si="8"/>
        <v>6</v>
      </c>
      <c r="G41" s="1326">
        <f t="shared" ca="1" si="9"/>
        <v>6</v>
      </c>
      <c r="H41" s="1326" t="str">
        <f>VLOOKUP($D$1,Solieu!A:C,2,0)</f>
        <v>x</v>
      </c>
      <c r="I41" s="1321"/>
      <c r="J41" s="1215">
        <f t="shared" ca="1" si="4"/>
        <v>1</v>
      </c>
    </row>
    <row r="42" spans="1:10" ht="34.5" hidden="1" customHeight="1">
      <c r="A42" s="2671"/>
      <c r="B42" s="1385" t="s">
        <v>2160</v>
      </c>
      <c r="C42" s="1322">
        <f ca="1">SUM($J$4:J42)</f>
        <v>10</v>
      </c>
      <c r="D42" s="1324" t="e">
        <f t="shared" si="6"/>
        <v>#N/A</v>
      </c>
      <c r="E42" s="1326" t="e">
        <f t="shared" si="7"/>
        <v>#N/A</v>
      </c>
      <c r="F42" s="1326">
        <f t="shared" ca="1" si="8"/>
        <v>0</v>
      </c>
      <c r="G42" s="1326">
        <f t="shared" ca="1" si="9"/>
        <v>0</v>
      </c>
      <c r="H42" s="1326" t="str">
        <f>VLOOKUP($D$1,Solieu!A:C,2,0)</f>
        <v>x</v>
      </c>
      <c r="I42" s="1321"/>
      <c r="J42" s="1215" t="str">
        <f t="shared" ca="1" si="4"/>
        <v/>
      </c>
    </row>
    <row r="43" spans="1:10" ht="34.5" customHeight="1">
      <c r="A43" s="2671"/>
      <c r="B43" s="1385" t="s">
        <v>2534</v>
      </c>
      <c r="C43" s="1322">
        <f ca="1">SUM($J$4:J43)</f>
        <v>11</v>
      </c>
      <c r="D43" s="1324" t="str">
        <f t="shared" si="6"/>
        <v>Bộ Uclevis đỡ dây trung hòa trụ ghép: Đth-U-g (trụ ghép)</v>
      </c>
      <c r="E43" s="1326" t="str">
        <f t="shared" si="7"/>
        <v>bộ</v>
      </c>
      <c r="F43" s="1326">
        <f t="shared" ca="1" si="8"/>
        <v>1</v>
      </c>
      <c r="G43" s="1326">
        <f t="shared" ca="1" si="9"/>
        <v>1</v>
      </c>
      <c r="H43" s="1326" t="str">
        <f>VLOOKUP($D$1,Solieu!A:C,2,0)</f>
        <v>x</v>
      </c>
      <c r="I43" s="1321"/>
      <c r="J43" s="1215">
        <f t="shared" ca="1" si="4"/>
        <v>1</v>
      </c>
    </row>
    <row r="44" spans="1:10" ht="34.5" hidden="1" customHeight="1">
      <c r="A44" s="2671"/>
      <c r="B44" s="1385" t="s">
        <v>2536</v>
      </c>
      <c r="C44" s="1322">
        <f ca="1">SUM($J$4:J44)</f>
        <v>11</v>
      </c>
      <c r="D44" s="1324" t="e">
        <f t="shared" si="6"/>
        <v>#N/A</v>
      </c>
      <c r="E44" s="1326" t="e">
        <f t="shared" si="7"/>
        <v>#N/A</v>
      </c>
      <c r="F44" s="1326">
        <f t="shared" ca="1" si="8"/>
        <v>0</v>
      </c>
      <c r="G44" s="1326">
        <f t="shared" ca="1" si="9"/>
        <v>0</v>
      </c>
      <c r="H44" s="1326" t="str">
        <f>VLOOKUP($D$1,Solieu!A:C,2,0)</f>
        <v>x</v>
      </c>
      <c r="I44" s="1321"/>
      <c r="J44" s="1215" t="str">
        <f t="shared" ca="1" si="4"/>
        <v/>
      </c>
    </row>
    <row r="45" spans="1:10" ht="34.5" customHeight="1">
      <c r="A45" s="2671"/>
      <c r="B45" s="1385" t="s">
        <v>534</v>
      </c>
      <c r="C45" s="1322">
        <f ca="1">SUM($J$4:J45)</f>
        <v>12</v>
      </c>
      <c r="D45" s="1324" t="str">
        <f t="shared" si="6"/>
        <v>Bộ khóa néo dây trung hòa vào trụ ghép</v>
      </c>
      <c r="E45" s="1326" t="str">
        <f t="shared" si="7"/>
        <v>bộ</v>
      </c>
      <c r="F45" s="1326">
        <f t="shared" ca="1" si="8"/>
        <v>14</v>
      </c>
      <c r="G45" s="1326">
        <f t="shared" ca="1" si="9"/>
        <v>14</v>
      </c>
      <c r="H45" s="1326" t="str">
        <f>VLOOKUP($D$1,Solieu!A:C,2,0)</f>
        <v>x</v>
      </c>
      <c r="I45" s="1321"/>
      <c r="J45" s="1215">
        <f t="shared" ca="1" si="4"/>
        <v>1</v>
      </c>
    </row>
    <row r="46" spans="1:10" ht="34.5" hidden="1" customHeight="1">
      <c r="A46" s="2671"/>
      <c r="B46" s="1385" t="s">
        <v>2259</v>
      </c>
      <c r="C46" s="1322">
        <f ca="1">SUM($J$4:J46)</f>
        <v>12</v>
      </c>
      <c r="D46" s="1324" t="e">
        <f t="shared" si="6"/>
        <v>#N/A</v>
      </c>
      <c r="E46" s="1326" t="e">
        <f t="shared" si="7"/>
        <v>#N/A</v>
      </c>
      <c r="F46" s="1326">
        <f t="shared" ca="1" si="8"/>
        <v>0</v>
      </c>
      <c r="G46" s="1326">
        <f t="shared" ca="1" si="9"/>
        <v>0</v>
      </c>
      <c r="H46" s="1326" t="str">
        <f>VLOOKUP($D$1,Solieu!A:C,2,0)</f>
        <v>x</v>
      </c>
      <c r="I46" s="1321"/>
      <c r="J46" s="1215" t="str">
        <f t="shared" ca="1" si="4"/>
        <v/>
      </c>
    </row>
    <row r="47" spans="1:10" ht="34.5" hidden="1" customHeight="1">
      <c r="A47" s="2671"/>
      <c r="B47" s="1385" t="s">
        <v>667</v>
      </c>
      <c r="C47" s="1322">
        <f ca="1">SUM($J$4:J47)</f>
        <v>12</v>
      </c>
      <c r="D47" s="1324" t="e">
        <f t="shared" si="6"/>
        <v>#N/A</v>
      </c>
      <c r="E47" s="1326" t="e">
        <f t="shared" si="7"/>
        <v>#N/A</v>
      </c>
      <c r="F47" s="1326">
        <f t="shared" ca="1" si="8"/>
        <v>0</v>
      </c>
      <c r="G47" s="1326">
        <f t="shared" ca="1" si="9"/>
        <v>0</v>
      </c>
      <c r="H47" s="1326" t="str">
        <f>VLOOKUP($D$1,Solieu!A:C,2,0)</f>
        <v>x</v>
      </c>
      <c r="I47" s="1321"/>
      <c r="J47" s="1215" t="str">
        <f t="shared" ca="1" si="4"/>
        <v/>
      </c>
    </row>
    <row r="48" spans="1:10" ht="34.5" hidden="1" customHeight="1">
      <c r="A48" s="2671"/>
      <c r="B48" s="1385" t="s">
        <v>1449</v>
      </c>
      <c r="C48" s="1322">
        <f ca="1">SUM($J$4:J48)</f>
        <v>12</v>
      </c>
      <c r="D48" s="1324" t="e">
        <f t="shared" si="6"/>
        <v>#N/A</v>
      </c>
      <c r="E48" s="1326" t="e">
        <f t="shared" si="7"/>
        <v>#N/A</v>
      </c>
      <c r="F48" s="1326">
        <f t="shared" ca="1" si="8"/>
        <v>0</v>
      </c>
      <c r="G48" s="1326">
        <f t="shared" ca="1" si="9"/>
        <v>0</v>
      </c>
      <c r="H48" s="1326" t="str">
        <f>VLOOKUP($D$1,Solieu!A:C,2,0)</f>
        <v>x</v>
      </c>
      <c r="I48" s="1321"/>
      <c r="J48" s="1215" t="str">
        <f t="shared" ca="1" si="4"/>
        <v/>
      </c>
    </row>
    <row r="49" spans="1:10" ht="34.5" customHeight="1">
      <c r="A49" s="2671"/>
      <c r="B49" s="1385" t="s">
        <v>696</v>
      </c>
      <c r="C49" s="1322">
        <f ca="1">SUM($J$4:J49)</f>
        <v>13</v>
      </c>
      <c r="D49" s="1324" t="str">
        <f t="shared" si="6"/>
        <v xml:space="preserve">Sứ đứng 24KV </v>
      </c>
      <c r="E49" s="1326" t="str">
        <f t="shared" si="7"/>
        <v>cái</v>
      </c>
      <c r="F49" s="1326">
        <f t="shared" ca="1" si="8"/>
        <v>160</v>
      </c>
      <c r="G49" s="1326">
        <f t="shared" ca="1" si="9"/>
        <v>160</v>
      </c>
      <c r="H49" s="1326" t="str">
        <f>VLOOKUP($D$1,Solieu!A:C,2,0)</f>
        <v>x</v>
      </c>
      <c r="I49" s="1321"/>
      <c r="J49" s="1215">
        <f t="shared" ca="1" si="4"/>
        <v>1</v>
      </c>
    </row>
    <row r="50" spans="1:10" ht="34.5" hidden="1" customHeight="1">
      <c r="A50" s="2671"/>
      <c r="B50" s="1385" t="s">
        <v>4904</v>
      </c>
      <c r="C50" s="1322">
        <f ca="1">SUM($J$4:J50)</f>
        <v>13</v>
      </c>
      <c r="D50" s="1324" t="e">
        <f t="shared" si="6"/>
        <v>#N/A</v>
      </c>
      <c r="E50" s="1326" t="e">
        <f t="shared" si="7"/>
        <v>#N/A</v>
      </c>
      <c r="F50" s="1326">
        <f t="shared" ca="1" si="8"/>
        <v>0</v>
      </c>
      <c r="G50" s="1326">
        <f t="shared" ca="1" si="9"/>
        <v>0</v>
      </c>
      <c r="H50" s="1326" t="str">
        <f>VLOOKUP($D$1,Solieu!A:C,2,0)</f>
        <v>x</v>
      </c>
      <c r="I50" s="1321"/>
      <c r="J50" s="1215" t="str">
        <f t="shared" ca="1" si="4"/>
        <v/>
      </c>
    </row>
    <row r="51" spans="1:10" hidden="1">
      <c r="A51" s="2671"/>
      <c r="B51" s="1385" t="s">
        <v>2128</v>
      </c>
      <c r="C51" s="1322">
        <f ca="1">SUM($J$4:J51)</f>
        <v>13</v>
      </c>
      <c r="D51" s="1324" t="e">
        <f t="shared" si="6"/>
        <v>#N/A</v>
      </c>
      <c r="E51" s="1326" t="e">
        <f t="shared" si="7"/>
        <v>#N/A</v>
      </c>
      <c r="F51" s="1326">
        <f t="shared" ca="1" si="8"/>
        <v>0</v>
      </c>
      <c r="G51" s="1326">
        <f t="shared" ca="1" si="9"/>
        <v>0</v>
      </c>
      <c r="H51" s="1326" t="str">
        <f>VLOOKUP($D$1,Solieu!A:C,2,0)</f>
        <v>x</v>
      </c>
      <c r="I51" s="1321"/>
      <c r="J51" s="1215" t="str">
        <f t="shared" ca="1" si="4"/>
        <v/>
      </c>
    </row>
    <row r="52" spans="1:10">
      <c r="A52" s="2671"/>
      <c r="B52" s="1385" t="s">
        <v>1029</v>
      </c>
      <c r="C52" s="1322">
        <f ca="1">SUM($J$4:J52)</f>
        <v>14</v>
      </c>
      <c r="D52" s="1324" t="str">
        <f t="shared" si="6"/>
        <v>Sứ treo polymer</v>
      </c>
      <c r="E52" s="1326" t="str">
        <f t="shared" si="7"/>
        <v>chuỗi</v>
      </c>
      <c r="F52" s="1326">
        <f t="shared" ca="1" si="8"/>
        <v>75</v>
      </c>
      <c r="G52" s="1326">
        <f t="shared" ca="1" si="9"/>
        <v>75</v>
      </c>
      <c r="H52" s="1326" t="str">
        <f>VLOOKUP($D$1,Solieu!A:C,2,0)</f>
        <v>x</v>
      </c>
      <c r="I52" s="1321"/>
      <c r="J52" s="1215">
        <f t="shared" ca="1" si="4"/>
        <v>1</v>
      </c>
    </row>
    <row r="53" spans="1:10" hidden="1">
      <c r="A53" s="2671"/>
      <c r="B53" s="1385" t="s">
        <v>538</v>
      </c>
      <c r="C53" s="1322">
        <f ca="1">SUM($J$4:J53)</f>
        <v>14</v>
      </c>
      <c r="D53" s="1324" t="e">
        <f t="shared" si="6"/>
        <v>#N/A</v>
      </c>
      <c r="E53" s="1326" t="e">
        <f t="shared" si="7"/>
        <v>#N/A</v>
      </c>
      <c r="F53" s="1326">
        <f t="shared" ca="1" si="8"/>
        <v>0</v>
      </c>
      <c r="G53" s="1326">
        <f t="shared" ca="1" si="9"/>
        <v>0</v>
      </c>
      <c r="H53" s="1326" t="str">
        <f>VLOOKUP($D$1,Solieu!A:C,2,0)</f>
        <v>x</v>
      </c>
      <c r="I53" s="1321"/>
      <c r="J53" s="1215" t="str">
        <f t="shared" ca="1" si="4"/>
        <v/>
      </c>
    </row>
    <row r="54" spans="1:10" hidden="1">
      <c r="A54" s="2671"/>
      <c r="B54" s="1385" t="s">
        <v>580</v>
      </c>
      <c r="C54" s="1322">
        <f ca="1">SUM($J$4:J54)</f>
        <v>14</v>
      </c>
      <c r="D54" s="1324" t="e">
        <f t="shared" si="6"/>
        <v>#N/A</v>
      </c>
      <c r="E54" s="1326" t="e">
        <f t="shared" si="7"/>
        <v>#N/A</v>
      </c>
      <c r="F54" s="1326">
        <f t="shared" ca="1" si="8"/>
        <v>0</v>
      </c>
      <c r="G54" s="1326">
        <f t="shared" ca="1" si="9"/>
        <v>0</v>
      </c>
      <c r="H54" s="1326" t="str">
        <f>VLOOKUP($D$1,Solieu!A:C,2,0)</f>
        <v>x</v>
      </c>
      <c r="I54" s="1321"/>
      <c r="J54" s="1215" t="str">
        <f t="shared" ca="1" si="4"/>
        <v/>
      </c>
    </row>
    <row r="55" spans="1:10" hidden="1">
      <c r="A55" s="2671"/>
      <c r="B55" s="1385" t="s">
        <v>1875</v>
      </c>
      <c r="C55" s="1322">
        <f ca="1">SUM($J$4:J55)</f>
        <v>14</v>
      </c>
      <c r="D55" s="1324" t="e">
        <f t="shared" si="6"/>
        <v>#N/A</v>
      </c>
      <c r="E55" s="1326" t="e">
        <f t="shared" si="7"/>
        <v>#N/A</v>
      </c>
      <c r="F55" s="1326">
        <f t="shared" ca="1" si="8"/>
        <v>0</v>
      </c>
      <c r="G55" s="1326">
        <f t="shared" ca="1" si="9"/>
        <v>0</v>
      </c>
      <c r="H55" s="1326" t="str">
        <f>VLOOKUP($D$1,Solieu!A:C,2,0)</f>
        <v>x</v>
      </c>
      <c r="I55" s="1321"/>
      <c r="J55" s="1215" t="str">
        <f t="shared" ca="1" si="4"/>
        <v/>
      </c>
    </row>
    <row r="56" spans="1:10" hidden="1">
      <c r="A56" s="2671"/>
      <c r="B56" s="1385" t="s">
        <v>826</v>
      </c>
      <c r="C56" s="1322">
        <f ca="1">SUM($J$4:J56)</f>
        <v>14</v>
      </c>
      <c r="D56" s="1324" t="e">
        <f t="shared" si="6"/>
        <v>#N/A</v>
      </c>
      <c r="E56" s="1326" t="e">
        <f t="shared" si="7"/>
        <v>#N/A</v>
      </c>
      <c r="F56" s="1326">
        <f t="shared" ca="1" si="8"/>
        <v>0</v>
      </c>
      <c r="G56" s="1326">
        <f t="shared" ca="1" si="9"/>
        <v>0</v>
      </c>
      <c r="H56" s="1326" t="str">
        <f>VLOOKUP($D$1,Solieu!A:C,2,0)</f>
        <v>x</v>
      </c>
      <c r="I56" s="1321"/>
      <c r="J56" s="1215" t="str">
        <f t="shared" ca="1" si="4"/>
        <v/>
      </c>
    </row>
    <row r="57" spans="1:10" hidden="1">
      <c r="A57" s="2671"/>
      <c r="B57" s="1455" t="s">
        <v>2060</v>
      </c>
      <c r="C57" s="1322">
        <f ca="1">SUM($J$4:J57)</f>
        <v>14</v>
      </c>
      <c r="D57" s="1324" t="e">
        <f t="shared" si="6"/>
        <v>#N/A</v>
      </c>
      <c r="E57" s="1326" t="e">
        <f t="shared" si="7"/>
        <v>#N/A</v>
      </c>
      <c r="F57" s="1326">
        <f t="shared" ca="1" si="8"/>
        <v>0</v>
      </c>
      <c r="G57" s="1326">
        <f t="shared" ca="1" si="9"/>
        <v>0</v>
      </c>
      <c r="H57" s="1326" t="str">
        <f>VLOOKUP($D$1,Solieu!A:C,2,0)</f>
        <v>x</v>
      </c>
      <c r="I57" s="1321"/>
      <c r="J57" s="1215" t="str">
        <f t="shared" ca="1" si="4"/>
        <v/>
      </c>
    </row>
    <row r="58" spans="1:10" hidden="1">
      <c r="A58" s="2671"/>
      <c r="B58" s="1385" t="s">
        <v>1693</v>
      </c>
      <c r="C58" s="1322">
        <f ca="1">SUM($J$4:J58)</f>
        <v>14</v>
      </c>
      <c r="D58" s="1324" t="e">
        <f t="shared" si="6"/>
        <v>#N/A</v>
      </c>
      <c r="E58" s="1326" t="e">
        <f t="shared" si="7"/>
        <v>#N/A</v>
      </c>
      <c r="F58" s="1326">
        <f t="shared" ca="1" si="8"/>
        <v>0</v>
      </c>
      <c r="G58" s="1326">
        <f t="shared" ca="1" si="9"/>
        <v>0</v>
      </c>
      <c r="H58" s="1326" t="str">
        <f>VLOOKUP($D$1,Solieu!A:C,2,0)</f>
        <v>x</v>
      </c>
      <c r="I58" s="1321"/>
      <c r="J58" s="1215" t="str">
        <f t="shared" ca="1" si="4"/>
        <v/>
      </c>
    </row>
    <row r="59" spans="1:10" hidden="1">
      <c r="A59" s="2671"/>
      <c r="B59" s="1385" t="s">
        <v>1692</v>
      </c>
      <c r="C59" s="1322">
        <f ca="1">SUM($J$4:J59)</f>
        <v>14</v>
      </c>
      <c r="D59" s="1324" t="e">
        <f t="shared" si="6"/>
        <v>#N/A</v>
      </c>
      <c r="E59" s="1326" t="e">
        <f t="shared" si="7"/>
        <v>#N/A</v>
      </c>
      <c r="F59" s="1326">
        <f t="shared" ca="1" si="8"/>
        <v>0</v>
      </c>
      <c r="G59" s="1326">
        <f t="shared" ca="1" si="9"/>
        <v>0</v>
      </c>
      <c r="H59" s="1326" t="str">
        <f>VLOOKUP($D$1,Solieu!A:C,2,0)</f>
        <v>x</v>
      </c>
      <c r="I59" s="1321"/>
      <c r="J59" s="1215" t="str">
        <f t="shared" ca="1" si="4"/>
        <v/>
      </c>
    </row>
    <row r="60" spans="1:10" hidden="1">
      <c r="A60" s="2671"/>
      <c r="B60" s="1385" t="s">
        <v>1159</v>
      </c>
      <c r="C60" s="1322">
        <f ca="1">SUM($J$4:J60)</f>
        <v>14</v>
      </c>
      <c r="D60" s="1324" t="e">
        <f t="shared" si="6"/>
        <v>#N/A</v>
      </c>
      <c r="E60" s="1326" t="e">
        <f t="shared" si="7"/>
        <v>#N/A</v>
      </c>
      <c r="F60" s="1326">
        <f t="shared" ca="1" si="8"/>
        <v>0</v>
      </c>
      <c r="G60" s="1326">
        <f t="shared" ca="1" si="9"/>
        <v>0</v>
      </c>
      <c r="H60" s="1326" t="str">
        <f>VLOOKUP($D$1,Solieu!A:C,2,0)</f>
        <v>x</v>
      </c>
      <c r="I60" s="1321"/>
      <c r="J60" s="1215" t="str">
        <f t="shared" ca="1" si="4"/>
        <v/>
      </c>
    </row>
    <row r="61" spans="1:10" hidden="1">
      <c r="A61" s="2671"/>
      <c r="B61" s="1680" t="s">
        <v>1158</v>
      </c>
      <c r="C61" s="1322">
        <f ca="1">SUM($J$4:J61)</f>
        <v>14</v>
      </c>
      <c r="D61" s="1324" t="e">
        <f t="shared" si="6"/>
        <v>#N/A</v>
      </c>
      <c r="E61" s="1326" t="e">
        <f t="shared" si="7"/>
        <v>#N/A</v>
      </c>
      <c r="F61" s="1326">
        <f t="shared" ca="1" si="8"/>
        <v>0</v>
      </c>
      <c r="G61" s="1326">
        <f t="shared" ca="1" si="9"/>
        <v>0</v>
      </c>
      <c r="H61" s="1326" t="str">
        <f>VLOOKUP($D$1,Solieu!A:C,2,0)</f>
        <v>x</v>
      </c>
      <c r="I61" s="1321"/>
      <c r="J61" s="1215" t="str">
        <f t="shared" ca="1" si="4"/>
        <v/>
      </c>
    </row>
    <row r="62" spans="1:10" hidden="1">
      <c r="A62" s="2671"/>
      <c r="B62" s="1680" t="s">
        <v>146</v>
      </c>
      <c r="C62" s="1322">
        <f ca="1">SUM($J$4:J62)</f>
        <v>14</v>
      </c>
      <c r="D62" s="1324" t="e">
        <f t="shared" ref="D62:D73" si="10">VLOOKUP(B62,KhoiLuong,5,0)</f>
        <v>#N/A</v>
      </c>
      <c r="E62" s="1326" t="e">
        <f t="shared" ref="E62:E73" si="11">VLOOKUP(B62,KhoiLuong,6,0)</f>
        <v>#N/A</v>
      </c>
      <c r="F62" s="1326">
        <f t="shared" ref="F62:F73" ca="1" si="12">IF(B62&lt;&gt;0,SUMIF(KhoiLuong,B62,DuToan),0)</f>
        <v>0</v>
      </c>
      <c r="G62" s="1326">
        <f t="shared" ref="G62:G73" ca="1" si="13">IF(B62&lt;&gt;0,SUMIF(KhoiLuong,B62,ThiCong),0)</f>
        <v>0</v>
      </c>
      <c r="H62" s="1326" t="str">
        <f>VLOOKUP($D$1,Solieu!A:C,2,0)</f>
        <v>x</v>
      </c>
      <c r="I62" s="1321"/>
      <c r="J62" s="1215" t="str">
        <f t="shared" ca="1" si="4"/>
        <v/>
      </c>
    </row>
    <row r="63" spans="1:10" hidden="1">
      <c r="A63" s="2671"/>
      <c r="B63" s="1680" t="s">
        <v>1734</v>
      </c>
      <c r="C63" s="1322">
        <f ca="1">SUM($J$4:J63)</f>
        <v>14</v>
      </c>
      <c r="D63" s="1324" t="e">
        <f t="shared" si="10"/>
        <v>#N/A</v>
      </c>
      <c r="E63" s="1326" t="e">
        <f t="shared" si="11"/>
        <v>#N/A</v>
      </c>
      <c r="F63" s="1326">
        <f t="shared" ca="1" si="12"/>
        <v>0</v>
      </c>
      <c r="G63" s="1326">
        <f t="shared" ca="1" si="13"/>
        <v>0</v>
      </c>
      <c r="H63" s="1326" t="str">
        <f>VLOOKUP($D$1,Solieu!A:C,2,0)</f>
        <v>x</v>
      </c>
      <c r="I63" s="1321"/>
      <c r="J63" s="1215" t="str">
        <f t="shared" ca="1" si="4"/>
        <v/>
      </c>
    </row>
    <row r="64" spans="1:10" hidden="1">
      <c r="A64" s="2671"/>
      <c r="B64" s="1680" t="s">
        <v>2208</v>
      </c>
      <c r="C64" s="1322">
        <f ca="1">SUM($J$4:J64)</f>
        <v>14</v>
      </c>
      <c r="D64" s="1324" t="e">
        <f t="shared" si="10"/>
        <v>#N/A</v>
      </c>
      <c r="E64" s="1326" t="e">
        <f t="shared" si="11"/>
        <v>#N/A</v>
      </c>
      <c r="F64" s="1326">
        <f t="shared" ca="1" si="12"/>
        <v>0</v>
      </c>
      <c r="G64" s="1326">
        <f t="shared" ca="1" si="13"/>
        <v>0</v>
      </c>
      <c r="H64" s="1326" t="str">
        <f>VLOOKUP($D$1,Solieu!A:C,2,0)</f>
        <v>x</v>
      </c>
      <c r="I64" s="1321"/>
      <c r="J64" s="1215" t="str">
        <f t="shared" ca="1" si="4"/>
        <v/>
      </c>
    </row>
    <row r="65" spans="1:10" hidden="1">
      <c r="A65" s="2671"/>
      <c r="B65" s="1680" t="s">
        <v>2024</v>
      </c>
      <c r="C65" s="1322">
        <f ca="1">SUM($J$4:J65)</f>
        <v>14</v>
      </c>
      <c r="D65" s="1324" t="e">
        <f t="shared" si="10"/>
        <v>#N/A</v>
      </c>
      <c r="E65" s="1326" t="e">
        <f t="shared" si="11"/>
        <v>#N/A</v>
      </c>
      <c r="F65" s="1326">
        <f t="shared" ca="1" si="12"/>
        <v>0</v>
      </c>
      <c r="G65" s="1326">
        <f t="shared" ca="1" si="13"/>
        <v>0</v>
      </c>
      <c r="H65" s="1326" t="str">
        <f>VLOOKUP($D$1,Solieu!A:C,2,0)</f>
        <v>x</v>
      </c>
      <c r="I65" s="1321"/>
      <c r="J65" s="1215" t="str">
        <f t="shared" ca="1" si="4"/>
        <v/>
      </c>
    </row>
    <row r="66" spans="1:10" hidden="1">
      <c r="A66" s="2671"/>
      <c r="B66" s="1680" t="s">
        <v>4495</v>
      </c>
      <c r="C66" s="1322">
        <f ca="1">SUM($J$4:J66)</f>
        <v>14</v>
      </c>
      <c r="D66" s="1324" t="e">
        <f t="shared" si="10"/>
        <v>#N/A</v>
      </c>
      <c r="E66" s="1326" t="e">
        <f t="shared" si="11"/>
        <v>#N/A</v>
      </c>
      <c r="F66" s="1326">
        <f t="shared" ca="1" si="12"/>
        <v>0</v>
      </c>
      <c r="G66" s="1326">
        <f t="shared" ca="1" si="13"/>
        <v>0</v>
      </c>
      <c r="H66" s="1326" t="str">
        <f>VLOOKUP($D$1,Solieu!A:C,2,0)</f>
        <v>x</v>
      </c>
      <c r="I66" s="1321"/>
      <c r="J66" s="1215" t="str">
        <f t="shared" ca="1" si="4"/>
        <v/>
      </c>
    </row>
    <row r="67" spans="1:10" hidden="1">
      <c r="A67" s="2671"/>
      <c r="B67" s="1680" t="s">
        <v>2211</v>
      </c>
      <c r="C67" s="1322">
        <f ca="1">SUM($J$4:J67)</f>
        <v>14</v>
      </c>
      <c r="D67" s="1324" t="e">
        <f t="shared" si="10"/>
        <v>#N/A</v>
      </c>
      <c r="E67" s="1326" t="e">
        <f t="shared" si="11"/>
        <v>#N/A</v>
      </c>
      <c r="F67" s="1326">
        <f t="shared" ca="1" si="12"/>
        <v>0</v>
      </c>
      <c r="G67" s="1326">
        <f t="shared" ca="1" si="13"/>
        <v>0</v>
      </c>
      <c r="H67" s="1326" t="str">
        <f>VLOOKUP($D$1,Solieu!A:C,2,0)</f>
        <v>x</v>
      </c>
      <c r="I67" s="1321"/>
      <c r="J67" s="1215" t="str">
        <f t="shared" ca="1" si="4"/>
        <v/>
      </c>
    </row>
    <row r="68" spans="1:10" hidden="1">
      <c r="A68" s="2671"/>
      <c r="B68" s="1680" t="s">
        <v>2210</v>
      </c>
      <c r="C68" s="1322">
        <f ca="1">SUM($J$4:J68)</f>
        <v>14</v>
      </c>
      <c r="D68" s="1324" t="e">
        <f t="shared" si="10"/>
        <v>#N/A</v>
      </c>
      <c r="E68" s="1326" t="e">
        <f t="shared" si="11"/>
        <v>#N/A</v>
      </c>
      <c r="F68" s="1326">
        <f t="shared" ca="1" si="12"/>
        <v>0</v>
      </c>
      <c r="G68" s="1326">
        <f t="shared" ca="1" si="13"/>
        <v>0</v>
      </c>
      <c r="H68" s="1326" t="str">
        <f>VLOOKUP($D$1,Solieu!A:C,2,0)</f>
        <v>x</v>
      </c>
      <c r="I68" s="1321"/>
      <c r="J68" s="1215" t="str">
        <f t="shared" ca="1" si="4"/>
        <v/>
      </c>
    </row>
    <row r="69" spans="1:10" hidden="1">
      <c r="A69" s="2671"/>
      <c r="B69" s="1680" t="s">
        <v>2209</v>
      </c>
      <c r="C69" s="1322">
        <f ca="1">SUM($J$4:J69)</f>
        <v>14</v>
      </c>
      <c r="D69" s="1324" t="e">
        <f t="shared" si="10"/>
        <v>#N/A</v>
      </c>
      <c r="E69" s="1326" t="e">
        <f t="shared" si="11"/>
        <v>#N/A</v>
      </c>
      <c r="F69" s="1326">
        <f t="shared" ca="1" si="12"/>
        <v>0</v>
      </c>
      <c r="G69" s="1326">
        <f t="shared" ca="1" si="13"/>
        <v>0</v>
      </c>
      <c r="H69" s="1326" t="str">
        <f>VLOOKUP($D$1,Solieu!A:C,2,0)</f>
        <v>x</v>
      </c>
      <c r="I69" s="1321"/>
      <c r="J69" s="1215" t="str">
        <f t="shared" ref="J69:J121" ca="1" si="14">IF(G69&gt;0,1,"")</f>
        <v/>
      </c>
    </row>
    <row r="70" spans="1:10" hidden="1">
      <c r="A70" s="2671"/>
      <c r="B70" s="1680" t="s">
        <v>2061</v>
      </c>
      <c r="C70" s="1322">
        <f ca="1">SUM($J$4:J70)</f>
        <v>14</v>
      </c>
      <c r="D70" s="1324" t="e">
        <f t="shared" si="10"/>
        <v>#N/A</v>
      </c>
      <c r="E70" s="1326" t="e">
        <f t="shared" si="11"/>
        <v>#N/A</v>
      </c>
      <c r="F70" s="1326">
        <f t="shared" ca="1" si="12"/>
        <v>0</v>
      </c>
      <c r="G70" s="1326">
        <f t="shared" ca="1" si="13"/>
        <v>0</v>
      </c>
      <c r="H70" s="1326" t="str">
        <f>VLOOKUP($D$1,Solieu!A:C,2,0)</f>
        <v>x</v>
      </c>
      <c r="I70" s="1321"/>
      <c r="J70" s="1215" t="str">
        <f t="shared" ca="1" si="14"/>
        <v/>
      </c>
    </row>
    <row r="71" spans="1:10" hidden="1">
      <c r="A71" s="2671"/>
      <c r="B71" s="1680" t="s">
        <v>313</v>
      </c>
      <c r="C71" s="1322">
        <f ca="1">SUM($J$4:J71)</f>
        <v>14</v>
      </c>
      <c r="D71" s="1324" t="e">
        <f t="shared" si="10"/>
        <v>#N/A</v>
      </c>
      <c r="E71" s="1326" t="e">
        <f t="shared" si="11"/>
        <v>#N/A</v>
      </c>
      <c r="F71" s="1326">
        <f t="shared" ca="1" si="12"/>
        <v>0</v>
      </c>
      <c r="G71" s="1326">
        <f t="shared" ca="1" si="13"/>
        <v>0</v>
      </c>
      <c r="H71" s="1326" t="str">
        <f>VLOOKUP($D$1,Solieu!A:C,2,0)</f>
        <v>x</v>
      </c>
      <c r="I71" s="1321"/>
      <c r="J71" s="1215" t="str">
        <f t="shared" ca="1" si="14"/>
        <v/>
      </c>
    </row>
    <row r="72" spans="1:10" hidden="1">
      <c r="A72" s="2671"/>
      <c r="B72" s="1680" t="s">
        <v>2258</v>
      </c>
      <c r="C72" s="1322">
        <f ca="1">SUM($J$4:J72)</f>
        <v>14</v>
      </c>
      <c r="D72" s="1324" t="e">
        <f t="shared" si="10"/>
        <v>#N/A</v>
      </c>
      <c r="E72" s="1326" t="e">
        <f t="shared" si="11"/>
        <v>#N/A</v>
      </c>
      <c r="F72" s="1326">
        <f t="shared" ca="1" si="12"/>
        <v>0</v>
      </c>
      <c r="G72" s="1326">
        <f t="shared" ca="1" si="13"/>
        <v>0</v>
      </c>
      <c r="H72" s="1326" t="str">
        <f>VLOOKUP($D$1,Solieu!A:C,2,0)</f>
        <v>x</v>
      </c>
      <c r="I72" s="1321"/>
      <c r="J72" s="1215" t="str">
        <f t="shared" ca="1" si="14"/>
        <v/>
      </c>
    </row>
    <row r="73" spans="1:10" hidden="1">
      <c r="A73" s="2671"/>
      <c r="B73" s="1680" t="s">
        <v>1429</v>
      </c>
      <c r="C73" s="1322">
        <f ca="1">SUM($J$4:J73)</f>
        <v>14</v>
      </c>
      <c r="D73" s="1324" t="e">
        <f t="shared" si="10"/>
        <v>#N/A</v>
      </c>
      <c r="E73" s="1326" t="e">
        <f t="shared" si="11"/>
        <v>#N/A</v>
      </c>
      <c r="F73" s="1326">
        <f t="shared" ca="1" si="12"/>
        <v>0</v>
      </c>
      <c r="G73" s="1326">
        <f t="shared" ca="1" si="13"/>
        <v>0</v>
      </c>
      <c r="H73" s="1326" t="str">
        <f>VLOOKUP($D$1,Solieu!A:C,2,0)</f>
        <v>x</v>
      </c>
      <c r="I73" s="1321"/>
      <c r="J73" s="1215" t="str">
        <f t="shared" ca="1" si="14"/>
        <v/>
      </c>
    </row>
    <row r="74" spans="1:10" hidden="1">
      <c r="B74" s="1385" t="s">
        <v>1428</v>
      </c>
      <c r="C74" s="1801">
        <f ca="1">SUM($J$4:J74)</f>
        <v>14</v>
      </c>
      <c r="D74" s="1324" t="e">
        <f>VLOOKUP(B74,KhoiLuong,5,0)</f>
        <v>#N/A</v>
      </c>
      <c r="E74" s="1326" t="e">
        <f>VLOOKUP(B74,KhoiLuong,6,0)</f>
        <v>#N/A</v>
      </c>
      <c r="F74" s="1326">
        <f ca="1">IF(B74&lt;&gt;0,SUMIF(KhoiLuong,B74,DuToan),0)</f>
        <v>0</v>
      </c>
      <c r="G74" s="1326">
        <f ca="1">IF(B74&lt;&gt;0,SUMIF(KhoiLuong,B74,ThiCong),0)</f>
        <v>0</v>
      </c>
      <c r="H74" s="1326" t="str">
        <f>VLOOKUP($D$1,Solieu!A:C,2,0)</f>
        <v>x</v>
      </c>
      <c r="I74" s="1802"/>
      <c r="J74" s="1215" t="str">
        <f t="shared" ca="1" si="14"/>
        <v/>
      </c>
    </row>
    <row r="75" spans="1:10" hidden="1">
      <c r="B75" s="1385" t="s">
        <v>2219</v>
      </c>
      <c r="C75" s="1801">
        <f ca="1">SUM($J$4:J75)</f>
        <v>14</v>
      </c>
      <c r="D75" s="1324" t="e">
        <f>VLOOKUP(B75,KhoiLuong,5,0)</f>
        <v>#N/A</v>
      </c>
      <c r="E75" s="1326" t="e">
        <f>VLOOKUP(B75,KhoiLuong,6,0)</f>
        <v>#N/A</v>
      </c>
      <c r="F75" s="1326">
        <f ca="1">IF(B75&lt;&gt;0,SUMIF(KhoiLuong,B75,DuToan),0)</f>
        <v>0</v>
      </c>
      <c r="G75" s="1326">
        <f ca="1">IF(B75&lt;&gt;0,SUMIF(KhoiLuong,B75,ThiCong),0)</f>
        <v>0</v>
      </c>
      <c r="H75" s="1326" t="str">
        <f>VLOOKUP($D$1,Solieu!A:C,2,0)</f>
        <v>x</v>
      </c>
      <c r="I75" s="1802"/>
      <c r="J75" s="1215" t="str">
        <f t="shared" ca="1" si="14"/>
        <v/>
      </c>
    </row>
    <row r="76" spans="1:10" hidden="1">
      <c r="B76" s="1385" t="s">
        <v>1156</v>
      </c>
      <c r="C76" s="1801">
        <f ca="1">SUM($J$4:J76)</f>
        <v>14</v>
      </c>
      <c r="D76" s="1324" t="e">
        <f>VLOOKUP(B76,KhoiLuong,5,0)</f>
        <v>#N/A</v>
      </c>
      <c r="E76" s="1326" t="e">
        <f>VLOOKUP(B76,KhoiLuong,6,0)</f>
        <v>#N/A</v>
      </c>
      <c r="F76" s="1326">
        <f ca="1">IF(B76&lt;&gt;0,SUMIF(KhoiLuong,B76,DuToan),0)</f>
        <v>0</v>
      </c>
      <c r="G76" s="1326">
        <f ca="1">IF(B76&lt;&gt;0,SUMIF(KhoiLuong,B76,ThiCong),0)</f>
        <v>0</v>
      </c>
      <c r="H76" s="1326" t="str">
        <f>VLOOKUP($D$1,Solieu!A:C,2,0)</f>
        <v>x</v>
      </c>
      <c r="I76" s="1802"/>
      <c r="J76" s="1215" t="str">
        <f t="shared" ca="1" si="14"/>
        <v/>
      </c>
    </row>
    <row r="77" spans="1:10" hidden="1">
      <c r="B77" s="1385" t="s">
        <v>1157</v>
      </c>
      <c r="C77" s="1801">
        <f ca="1">SUM($J$4:J77)</f>
        <v>14</v>
      </c>
      <c r="D77" s="1324" t="e">
        <f t="shared" ref="D77:D121" si="15">VLOOKUP(B77,KhoiLuong,5,0)</f>
        <v>#N/A</v>
      </c>
      <c r="E77" s="1326" t="e">
        <f t="shared" ref="E77:E121" si="16">VLOOKUP(B77,KhoiLuong,6,0)</f>
        <v>#N/A</v>
      </c>
      <c r="F77" s="1326">
        <f t="shared" ref="F77:F121" ca="1" si="17">IF(B77&lt;&gt;0,SUMIF(KhoiLuong,B77,DuToan),0)</f>
        <v>0</v>
      </c>
      <c r="G77" s="1326">
        <f t="shared" ref="G77:G121" ca="1" si="18">IF(B77&lt;&gt;0,SUMIF(KhoiLuong,B77,ThiCong),0)</f>
        <v>0</v>
      </c>
      <c r="H77" s="1326" t="str">
        <f>VLOOKUP($D$1,Solieu!A:C,2,0)</f>
        <v>x</v>
      </c>
      <c r="I77" s="1802"/>
      <c r="J77" s="1215" t="str">
        <f t="shared" ca="1" si="14"/>
        <v/>
      </c>
    </row>
    <row r="78" spans="1:10" hidden="1">
      <c r="B78" s="1385" t="s">
        <v>1379</v>
      </c>
      <c r="C78" s="1801">
        <f ca="1">SUM($J$4:J78)</f>
        <v>14</v>
      </c>
      <c r="D78" s="1324" t="e">
        <f t="shared" si="15"/>
        <v>#N/A</v>
      </c>
      <c r="E78" s="1326" t="e">
        <f t="shared" si="16"/>
        <v>#N/A</v>
      </c>
      <c r="F78" s="1326">
        <f t="shared" ca="1" si="17"/>
        <v>0</v>
      </c>
      <c r="G78" s="1326">
        <f t="shared" ca="1" si="18"/>
        <v>0</v>
      </c>
      <c r="H78" s="1326" t="str">
        <f>VLOOKUP($D$1,Solieu!A:C,2,0)</f>
        <v>x</v>
      </c>
      <c r="I78" s="1802"/>
      <c r="J78" s="1215" t="str">
        <f t="shared" ca="1" si="14"/>
        <v/>
      </c>
    </row>
    <row r="79" spans="1:10" hidden="1">
      <c r="B79" s="1386" t="s">
        <v>887</v>
      </c>
      <c r="C79" s="1801">
        <f ca="1">SUM($J$4:J79)</f>
        <v>14</v>
      </c>
      <c r="D79" s="1324" t="e">
        <f t="shared" si="15"/>
        <v>#N/A</v>
      </c>
      <c r="E79" s="1326" t="e">
        <f t="shared" si="16"/>
        <v>#N/A</v>
      </c>
      <c r="F79" s="1326">
        <f t="shared" ca="1" si="17"/>
        <v>0</v>
      </c>
      <c r="G79" s="1326">
        <f t="shared" ca="1" si="18"/>
        <v>0</v>
      </c>
      <c r="H79" s="1326" t="str">
        <f>VLOOKUP($D$1,Solieu!A:C,2,0)</f>
        <v>x</v>
      </c>
      <c r="I79" s="1802"/>
      <c r="J79" s="1215" t="str">
        <f t="shared" ca="1" si="14"/>
        <v/>
      </c>
    </row>
    <row r="80" spans="1:10" hidden="1">
      <c r="B80" s="1385" t="s">
        <v>628</v>
      </c>
      <c r="C80" s="1801">
        <f ca="1">SUM($J$4:J80)</f>
        <v>14</v>
      </c>
      <c r="D80" s="1324" t="e">
        <f t="shared" si="15"/>
        <v>#N/A</v>
      </c>
      <c r="E80" s="1326" t="e">
        <f t="shared" si="16"/>
        <v>#N/A</v>
      </c>
      <c r="F80" s="1326">
        <f t="shared" ca="1" si="17"/>
        <v>0</v>
      </c>
      <c r="G80" s="1326">
        <f t="shared" ca="1" si="18"/>
        <v>0</v>
      </c>
      <c r="H80" s="1326" t="str">
        <f>VLOOKUP($D$1,Solieu!A:C,2,0)</f>
        <v>x</v>
      </c>
      <c r="I80" s="1802"/>
      <c r="J80" s="1215" t="str">
        <f t="shared" ca="1" si="14"/>
        <v/>
      </c>
    </row>
    <row r="81" spans="2:10" hidden="1">
      <c r="B81" s="1385" t="s">
        <v>615</v>
      </c>
      <c r="C81" s="1801">
        <f ca="1">SUM($J$4:J81)</f>
        <v>14</v>
      </c>
      <c r="D81" s="1324" t="e">
        <f t="shared" si="15"/>
        <v>#N/A</v>
      </c>
      <c r="E81" s="1326" t="e">
        <f t="shared" si="16"/>
        <v>#N/A</v>
      </c>
      <c r="F81" s="1326">
        <f t="shared" ca="1" si="17"/>
        <v>0</v>
      </c>
      <c r="G81" s="1326">
        <f t="shared" ca="1" si="18"/>
        <v>0</v>
      </c>
      <c r="H81" s="1326" t="str">
        <f>VLOOKUP($D$1,Solieu!A:C,2,0)</f>
        <v>x</v>
      </c>
      <c r="I81" s="1802"/>
      <c r="J81" s="1215" t="str">
        <f t="shared" ca="1" si="14"/>
        <v/>
      </c>
    </row>
    <row r="82" spans="2:10" hidden="1">
      <c r="B82" s="1385" t="s">
        <v>1024</v>
      </c>
      <c r="C82" s="1801">
        <f ca="1">SUM($J$4:J82)</f>
        <v>14</v>
      </c>
      <c r="D82" s="1324" t="e">
        <f t="shared" si="15"/>
        <v>#N/A</v>
      </c>
      <c r="E82" s="1326" t="e">
        <f t="shared" si="16"/>
        <v>#N/A</v>
      </c>
      <c r="F82" s="1326">
        <f t="shared" ca="1" si="17"/>
        <v>0</v>
      </c>
      <c r="G82" s="1326">
        <f t="shared" ca="1" si="18"/>
        <v>0</v>
      </c>
      <c r="H82" s="1326" t="str">
        <f>VLOOKUP($D$1,Solieu!A:C,2,0)</f>
        <v>x</v>
      </c>
      <c r="I82" s="1802"/>
      <c r="J82" s="1215" t="str">
        <f t="shared" ca="1" si="14"/>
        <v/>
      </c>
    </row>
    <row r="83" spans="2:10" hidden="1">
      <c r="B83" s="1385" t="s">
        <v>838</v>
      </c>
      <c r="C83" s="1801">
        <f ca="1">SUM($J$4:J83)</f>
        <v>14</v>
      </c>
      <c r="D83" s="1324" t="e">
        <f t="shared" si="15"/>
        <v>#N/A</v>
      </c>
      <c r="E83" s="1326" t="e">
        <f t="shared" si="16"/>
        <v>#N/A</v>
      </c>
      <c r="F83" s="1326">
        <f t="shared" ca="1" si="17"/>
        <v>0</v>
      </c>
      <c r="G83" s="1326">
        <f t="shared" ca="1" si="18"/>
        <v>0</v>
      </c>
      <c r="H83" s="1326" t="str">
        <f>VLOOKUP($D$1,Solieu!A:C,2,0)</f>
        <v>x</v>
      </c>
      <c r="I83" s="1802"/>
      <c r="J83" s="1215" t="str">
        <f t="shared" ca="1" si="14"/>
        <v/>
      </c>
    </row>
    <row r="84" spans="2:10" ht="33.6">
      <c r="B84" s="1385" t="s">
        <v>1915</v>
      </c>
      <c r="C84" s="1801">
        <f ca="1">SUM($J$4:J84)</f>
        <v>15</v>
      </c>
      <c r="D84" s="1324" t="str">
        <f t="shared" si="15"/>
        <v>Thùng điện kế 450x300x200mm đo đếm trung thế</v>
      </c>
      <c r="E84" s="1326" t="str">
        <f t="shared" si="16"/>
        <v>cái</v>
      </c>
      <c r="F84" s="1326">
        <f t="shared" ca="1" si="17"/>
        <v>1</v>
      </c>
      <c r="G84" s="1326">
        <f t="shared" ca="1" si="18"/>
        <v>1</v>
      </c>
      <c r="H84" s="1326" t="str">
        <f>VLOOKUP($D$1,Solieu!A:C,2,0)</f>
        <v>x</v>
      </c>
      <c r="I84" s="1802"/>
      <c r="J84" s="1215">
        <f t="shared" ca="1" si="14"/>
        <v>1</v>
      </c>
    </row>
    <row r="85" spans="2:10" hidden="1">
      <c r="B85" s="1385" t="s">
        <v>1026</v>
      </c>
      <c r="C85" s="1801">
        <f ca="1">SUM($J$4:J85)</f>
        <v>15</v>
      </c>
      <c r="D85" s="1324" t="e">
        <f t="shared" si="15"/>
        <v>#N/A</v>
      </c>
      <c r="E85" s="1326" t="e">
        <f t="shared" si="16"/>
        <v>#N/A</v>
      </c>
      <c r="F85" s="1326">
        <f t="shared" ca="1" si="17"/>
        <v>0</v>
      </c>
      <c r="G85" s="1326">
        <f t="shared" ca="1" si="18"/>
        <v>0</v>
      </c>
      <c r="H85" s="1326" t="str">
        <f>VLOOKUP($D$1,Solieu!A:C,2,0)</f>
        <v>x</v>
      </c>
      <c r="I85" s="1802"/>
      <c r="J85" s="1215" t="str">
        <f t="shared" ca="1" si="14"/>
        <v/>
      </c>
    </row>
    <row r="86" spans="2:10" hidden="1">
      <c r="B86" s="1385" t="s">
        <v>1504</v>
      </c>
      <c r="C86" s="1801">
        <f ca="1">SUM($J$4:J86)</f>
        <v>15</v>
      </c>
      <c r="D86" s="1324" t="e">
        <f t="shared" si="15"/>
        <v>#N/A</v>
      </c>
      <c r="E86" s="1326" t="e">
        <f t="shared" si="16"/>
        <v>#N/A</v>
      </c>
      <c r="F86" s="1326">
        <f t="shared" ca="1" si="17"/>
        <v>0</v>
      </c>
      <c r="G86" s="1326">
        <f t="shared" ca="1" si="18"/>
        <v>0</v>
      </c>
      <c r="H86" s="1326" t="str">
        <f>VLOOKUP($D$1,Solieu!A:C,2,0)</f>
        <v>x</v>
      </c>
      <c r="I86" s="1802"/>
      <c r="J86" s="1215" t="str">
        <f t="shared" ca="1" si="14"/>
        <v/>
      </c>
    </row>
    <row r="87" spans="2:10" hidden="1">
      <c r="B87" s="1385" t="s">
        <v>917</v>
      </c>
      <c r="C87" s="1801">
        <f ca="1">SUM($J$4:J87)</f>
        <v>15</v>
      </c>
      <c r="D87" s="1324" t="e">
        <f t="shared" si="15"/>
        <v>#N/A</v>
      </c>
      <c r="E87" s="1326" t="e">
        <f t="shared" si="16"/>
        <v>#N/A</v>
      </c>
      <c r="F87" s="1326">
        <f t="shared" ca="1" si="17"/>
        <v>0</v>
      </c>
      <c r="G87" s="1326">
        <f t="shared" ca="1" si="18"/>
        <v>0</v>
      </c>
      <c r="H87" s="1326" t="str">
        <f>VLOOKUP($D$1,Solieu!A:C,2,0)</f>
        <v>x</v>
      </c>
      <c r="I87" s="1802"/>
      <c r="J87" s="1215" t="str">
        <f t="shared" ca="1" si="14"/>
        <v/>
      </c>
    </row>
    <row r="88" spans="2:10" hidden="1">
      <c r="B88" s="1385" t="s">
        <v>1000</v>
      </c>
      <c r="C88" s="1801">
        <f ca="1">SUM($J$4:J88)</f>
        <v>15</v>
      </c>
      <c r="D88" s="1324" t="e">
        <f t="shared" si="15"/>
        <v>#N/A</v>
      </c>
      <c r="E88" s="1326" t="e">
        <f t="shared" si="16"/>
        <v>#N/A</v>
      </c>
      <c r="F88" s="1326">
        <f t="shared" ca="1" si="17"/>
        <v>0</v>
      </c>
      <c r="G88" s="1326">
        <f t="shared" ca="1" si="18"/>
        <v>0</v>
      </c>
      <c r="H88" s="1326" t="str">
        <f>VLOOKUP($D$1,Solieu!A:C,2,0)</f>
        <v>x</v>
      </c>
      <c r="I88" s="1802"/>
      <c r="J88" s="1215" t="str">
        <f t="shared" ca="1" si="14"/>
        <v/>
      </c>
    </row>
    <row r="89" spans="2:10" hidden="1">
      <c r="B89" s="1385" t="s">
        <v>1587</v>
      </c>
      <c r="C89" s="1801">
        <f ca="1">SUM($J$4:J89)</f>
        <v>15</v>
      </c>
      <c r="D89" s="1324" t="e">
        <f t="shared" si="15"/>
        <v>#N/A</v>
      </c>
      <c r="E89" s="1326" t="e">
        <f t="shared" si="16"/>
        <v>#N/A</v>
      </c>
      <c r="F89" s="1326">
        <f t="shared" ca="1" si="17"/>
        <v>0</v>
      </c>
      <c r="G89" s="1326">
        <f t="shared" ca="1" si="18"/>
        <v>0</v>
      </c>
      <c r="H89" s="1326" t="str">
        <f>VLOOKUP($D$1,Solieu!A:C,2,0)</f>
        <v>x</v>
      </c>
      <c r="I89" s="1802"/>
      <c r="J89" s="1215" t="str">
        <f t="shared" ca="1" si="14"/>
        <v/>
      </c>
    </row>
    <row r="90" spans="2:10" hidden="1">
      <c r="B90" s="1385" t="s">
        <v>4990</v>
      </c>
      <c r="C90" s="1801">
        <f ca="1">SUM($J$4:J90)</f>
        <v>15</v>
      </c>
      <c r="D90" s="1324" t="e">
        <f t="shared" si="15"/>
        <v>#N/A</v>
      </c>
      <c r="E90" s="1326" t="e">
        <f t="shared" si="16"/>
        <v>#N/A</v>
      </c>
      <c r="F90" s="1326">
        <f t="shared" ca="1" si="17"/>
        <v>0</v>
      </c>
      <c r="G90" s="1326">
        <f t="shared" ca="1" si="18"/>
        <v>0</v>
      </c>
      <c r="H90" s="1326" t="str">
        <f>VLOOKUP($D$1,Solieu!A:C,2,0)</f>
        <v>x</v>
      </c>
      <c r="I90" s="1802"/>
      <c r="J90" s="1215" t="str">
        <f t="shared" ca="1" si="14"/>
        <v/>
      </c>
    </row>
    <row r="91" spans="2:10" hidden="1">
      <c r="B91" s="1385" t="s">
        <v>1136</v>
      </c>
      <c r="C91" s="1801">
        <f ca="1">SUM($J$4:J91)</f>
        <v>15</v>
      </c>
      <c r="D91" s="1324" t="e">
        <f t="shared" si="15"/>
        <v>#N/A</v>
      </c>
      <c r="E91" s="1326" t="e">
        <f t="shared" si="16"/>
        <v>#N/A</v>
      </c>
      <c r="F91" s="1326">
        <f t="shared" ca="1" si="17"/>
        <v>0</v>
      </c>
      <c r="G91" s="1326">
        <f t="shared" ca="1" si="18"/>
        <v>0</v>
      </c>
      <c r="H91" s="1326" t="str">
        <f>VLOOKUP($D$1,Solieu!A:C,2,0)</f>
        <v>x</v>
      </c>
      <c r="I91" s="1802"/>
      <c r="J91" s="1215" t="str">
        <f t="shared" ca="1" si="14"/>
        <v/>
      </c>
    </row>
    <row r="92" spans="2:10" hidden="1">
      <c r="B92" s="1385" t="s">
        <v>1408</v>
      </c>
      <c r="C92" s="1801">
        <f ca="1">SUM($J$4:J92)</f>
        <v>15</v>
      </c>
      <c r="D92" s="1324" t="e">
        <f t="shared" si="15"/>
        <v>#N/A</v>
      </c>
      <c r="E92" s="1326" t="e">
        <f t="shared" si="16"/>
        <v>#N/A</v>
      </c>
      <c r="F92" s="1326">
        <f t="shared" ca="1" si="17"/>
        <v>0</v>
      </c>
      <c r="G92" s="1326">
        <f t="shared" ca="1" si="18"/>
        <v>0</v>
      </c>
      <c r="H92" s="1326" t="str">
        <f>VLOOKUP($D$1,Solieu!A:C,2,0)</f>
        <v>x</v>
      </c>
      <c r="I92" s="1802"/>
      <c r="J92" s="1215" t="str">
        <f t="shared" ca="1" si="14"/>
        <v/>
      </c>
    </row>
    <row r="93" spans="2:10" hidden="1">
      <c r="B93" s="1385" t="s">
        <v>1138</v>
      </c>
      <c r="C93" s="1801">
        <f ca="1">SUM($J$4:J93)</f>
        <v>15</v>
      </c>
      <c r="D93" s="1324" t="e">
        <f t="shared" si="15"/>
        <v>#N/A</v>
      </c>
      <c r="E93" s="1326" t="e">
        <f t="shared" si="16"/>
        <v>#N/A</v>
      </c>
      <c r="F93" s="1326">
        <f t="shared" ca="1" si="17"/>
        <v>0</v>
      </c>
      <c r="G93" s="1326">
        <f t="shared" ca="1" si="18"/>
        <v>0</v>
      </c>
      <c r="H93" s="1326" t="str">
        <f>VLOOKUP($D$1,Solieu!A:C,2,0)</f>
        <v>x</v>
      </c>
      <c r="I93" s="1802"/>
      <c r="J93" s="1215" t="str">
        <f t="shared" ca="1" si="14"/>
        <v/>
      </c>
    </row>
    <row r="94" spans="2:10" hidden="1">
      <c r="B94" s="1385" t="s">
        <v>1137</v>
      </c>
      <c r="C94" s="1801">
        <f ca="1">SUM($J$4:J94)</f>
        <v>15</v>
      </c>
      <c r="D94" s="1324" t="e">
        <f t="shared" si="15"/>
        <v>#N/A</v>
      </c>
      <c r="E94" s="1326" t="e">
        <f t="shared" si="16"/>
        <v>#N/A</v>
      </c>
      <c r="F94" s="1326">
        <f t="shared" ca="1" si="17"/>
        <v>0</v>
      </c>
      <c r="G94" s="1326">
        <f t="shared" ca="1" si="18"/>
        <v>0</v>
      </c>
      <c r="H94" s="1326" t="str">
        <f>VLOOKUP($D$1,Solieu!A:C,2,0)</f>
        <v>x</v>
      </c>
      <c r="I94" s="1802"/>
      <c r="J94" s="1215" t="str">
        <f t="shared" ca="1" si="14"/>
        <v/>
      </c>
    </row>
    <row r="95" spans="2:10" hidden="1">
      <c r="B95" s="1385" t="s">
        <v>4829</v>
      </c>
      <c r="C95" s="1801">
        <f ca="1">SUM($J$4:J95)</f>
        <v>15</v>
      </c>
      <c r="D95" s="1324" t="e">
        <f t="shared" si="15"/>
        <v>#N/A</v>
      </c>
      <c r="E95" s="1326" t="e">
        <f t="shared" si="16"/>
        <v>#N/A</v>
      </c>
      <c r="F95" s="1326">
        <f t="shared" ca="1" si="17"/>
        <v>0</v>
      </c>
      <c r="G95" s="1326">
        <f t="shared" ca="1" si="18"/>
        <v>0</v>
      </c>
      <c r="H95" s="1326" t="str">
        <f>VLOOKUP($D$1,Solieu!A:C,2,0)</f>
        <v>x</v>
      </c>
      <c r="I95" s="1802"/>
      <c r="J95" s="1215" t="str">
        <f t="shared" ca="1" si="14"/>
        <v/>
      </c>
    </row>
    <row r="96" spans="2:10" hidden="1">
      <c r="B96" s="1385" t="s">
        <v>4830</v>
      </c>
      <c r="C96" s="1801">
        <f ca="1">SUM($J$4:J96)</f>
        <v>15</v>
      </c>
      <c r="D96" s="1324" t="e">
        <f t="shared" si="15"/>
        <v>#N/A</v>
      </c>
      <c r="E96" s="1326" t="e">
        <f t="shared" si="16"/>
        <v>#N/A</v>
      </c>
      <c r="F96" s="1326">
        <f t="shared" ca="1" si="17"/>
        <v>0</v>
      </c>
      <c r="G96" s="1326">
        <f t="shared" ca="1" si="18"/>
        <v>0</v>
      </c>
      <c r="H96" s="1326" t="str">
        <f>VLOOKUP($D$1,Solieu!A:C,2,0)</f>
        <v>x</v>
      </c>
      <c r="I96" s="1802"/>
      <c r="J96" s="1215" t="str">
        <f t="shared" ca="1" si="14"/>
        <v/>
      </c>
    </row>
    <row r="97" spans="2:10" hidden="1">
      <c r="B97" s="1385" t="s">
        <v>4831</v>
      </c>
      <c r="C97" s="1801">
        <f ca="1">SUM($J$4:J97)</f>
        <v>15</v>
      </c>
      <c r="D97" s="1324" t="e">
        <f t="shared" si="15"/>
        <v>#N/A</v>
      </c>
      <c r="E97" s="1326" t="e">
        <f t="shared" si="16"/>
        <v>#N/A</v>
      </c>
      <c r="F97" s="1326">
        <f t="shared" ca="1" si="17"/>
        <v>0</v>
      </c>
      <c r="G97" s="1326">
        <f t="shared" ca="1" si="18"/>
        <v>0</v>
      </c>
      <c r="H97" s="1326" t="str">
        <f>VLOOKUP($D$1,Solieu!A:C,2,0)</f>
        <v>x</v>
      </c>
      <c r="I97" s="1802"/>
      <c r="J97" s="1215" t="str">
        <f t="shared" ca="1" si="14"/>
        <v/>
      </c>
    </row>
    <row r="98" spans="2:10" hidden="1">
      <c r="B98" s="1385" t="s">
        <v>4832</v>
      </c>
      <c r="C98" s="1801">
        <f ca="1">SUM($J$4:J98)</f>
        <v>15</v>
      </c>
      <c r="D98" s="1324" t="e">
        <f t="shared" si="15"/>
        <v>#N/A</v>
      </c>
      <c r="E98" s="1326" t="e">
        <f t="shared" si="16"/>
        <v>#N/A</v>
      </c>
      <c r="F98" s="1326">
        <f t="shared" ca="1" si="17"/>
        <v>0</v>
      </c>
      <c r="G98" s="1326">
        <f t="shared" ca="1" si="18"/>
        <v>0</v>
      </c>
      <c r="H98" s="1326" t="str">
        <f>VLOOKUP($D$1,Solieu!A:C,2,0)</f>
        <v>x</v>
      </c>
      <c r="I98" s="1802"/>
      <c r="J98" s="1215" t="str">
        <f t="shared" ca="1" si="14"/>
        <v/>
      </c>
    </row>
    <row r="99" spans="2:10" hidden="1">
      <c r="B99" s="1385" t="s">
        <v>4833</v>
      </c>
      <c r="C99" s="1801">
        <f ca="1">SUM($J$4:J99)</f>
        <v>15</v>
      </c>
      <c r="D99" s="1324" t="e">
        <f t="shared" si="15"/>
        <v>#N/A</v>
      </c>
      <c r="E99" s="1326" t="e">
        <f t="shared" si="16"/>
        <v>#N/A</v>
      </c>
      <c r="F99" s="1326">
        <f t="shared" ca="1" si="17"/>
        <v>0</v>
      </c>
      <c r="G99" s="1326">
        <f t="shared" ca="1" si="18"/>
        <v>0</v>
      </c>
      <c r="H99" s="1326" t="str">
        <f>VLOOKUP($D$1,Solieu!A:C,2,0)</f>
        <v>x</v>
      </c>
      <c r="I99" s="1802"/>
      <c r="J99" s="1215" t="str">
        <f t="shared" ca="1" si="14"/>
        <v/>
      </c>
    </row>
    <row r="100" spans="2:10" hidden="1">
      <c r="B100" s="1385" t="s">
        <v>4834</v>
      </c>
      <c r="C100" s="1801">
        <f ca="1">SUM($J$4:J100)</f>
        <v>15</v>
      </c>
      <c r="D100" s="1324" t="e">
        <f t="shared" si="15"/>
        <v>#N/A</v>
      </c>
      <c r="E100" s="1326" t="e">
        <f t="shared" si="16"/>
        <v>#N/A</v>
      </c>
      <c r="F100" s="1326">
        <f t="shared" ca="1" si="17"/>
        <v>0</v>
      </c>
      <c r="G100" s="1326">
        <f t="shared" ca="1" si="18"/>
        <v>0</v>
      </c>
      <c r="H100" s="1326" t="str">
        <f>VLOOKUP($D$1,Solieu!A:C,2,0)</f>
        <v>x</v>
      </c>
      <c r="I100" s="1802"/>
      <c r="J100" s="1215" t="str">
        <f t="shared" ca="1" si="14"/>
        <v/>
      </c>
    </row>
    <row r="101" spans="2:10" hidden="1">
      <c r="B101" s="1385" t="s">
        <v>4835</v>
      </c>
      <c r="C101" s="1801">
        <f ca="1">SUM($J$4:J101)</f>
        <v>15</v>
      </c>
      <c r="D101" s="1324" t="e">
        <f t="shared" si="15"/>
        <v>#N/A</v>
      </c>
      <c r="E101" s="1326" t="e">
        <f t="shared" si="16"/>
        <v>#N/A</v>
      </c>
      <c r="F101" s="1326">
        <f t="shared" ca="1" si="17"/>
        <v>0</v>
      </c>
      <c r="G101" s="1326">
        <f t="shared" ca="1" si="18"/>
        <v>0</v>
      </c>
      <c r="H101" s="1326" t="str">
        <f>VLOOKUP($D$1,Solieu!A:C,2,0)</f>
        <v>x</v>
      </c>
      <c r="I101" s="1802"/>
      <c r="J101" s="1215" t="str">
        <f t="shared" ca="1" si="14"/>
        <v/>
      </c>
    </row>
    <row r="102" spans="2:10" hidden="1">
      <c r="B102" s="1385" t="s">
        <v>2506</v>
      </c>
      <c r="C102" s="1801">
        <f ca="1">SUM($J$4:J102)</f>
        <v>15</v>
      </c>
      <c r="D102" s="1324" t="e">
        <f t="shared" si="15"/>
        <v>#N/A</v>
      </c>
      <c r="E102" s="1326" t="e">
        <f t="shared" si="16"/>
        <v>#N/A</v>
      </c>
      <c r="F102" s="1326">
        <f t="shared" ca="1" si="17"/>
        <v>0</v>
      </c>
      <c r="G102" s="1326">
        <f t="shared" ca="1" si="18"/>
        <v>0</v>
      </c>
      <c r="H102" s="1326" t="str">
        <f>VLOOKUP($D$1,Solieu!A:C,2,0)</f>
        <v>x</v>
      </c>
      <c r="I102" s="1802"/>
      <c r="J102" s="1215" t="str">
        <f t="shared" ca="1" si="14"/>
        <v/>
      </c>
    </row>
    <row r="103" spans="2:10" hidden="1">
      <c r="B103" s="1385" t="s">
        <v>2508</v>
      </c>
      <c r="C103" s="1801">
        <f ca="1">SUM($J$4:J103)</f>
        <v>15</v>
      </c>
      <c r="D103" s="1324" t="e">
        <f t="shared" si="15"/>
        <v>#N/A</v>
      </c>
      <c r="E103" s="1326" t="e">
        <f t="shared" si="16"/>
        <v>#N/A</v>
      </c>
      <c r="F103" s="1326">
        <f t="shared" ca="1" si="17"/>
        <v>0</v>
      </c>
      <c r="G103" s="1326">
        <f t="shared" ca="1" si="18"/>
        <v>0</v>
      </c>
      <c r="H103" s="1326" t="str">
        <f>VLOOKUP($D$1,Solieu!A:C,2,0)</f>
        <v>x</v>
      </c>
      <c r="I103" s="1802"/>
      <c r="J103" s="1215" t="str">
        <f t="shared" ca="1" si="14"/>
        <v/>
      </c>
    </row>
    <row r="104" spans="2:10" hidden="1">
      <c r="B104" s="1385" t="s">
        <v>2510</v>
      </c>
      <c r="C104" s="1801">
        <f ca="1">SUM($J$4:J104)</f>
        <v>15</v>
      </c>
      <c r="D104" s="1324" t="e">
        <f t="shared" si="15"/>
        <v>#N/A</v>
      </c>
      <c r="E104" s="1326" t="e">
        <f t="shared" si="16"/>
        <v>#N/A</v>
      </c>
      <c r="F104" s="1326">
        <f t="shared" ca="1" si="17"/>
        <v>0</v>
      </c>
      <c r="G104" s="1326">
        <f t="shared" ca="1" si="18"/>
        <v>0</v>
      </c>
      <c r="H104" s="1326" t="str">
        <f>VLOOKUP($D$1,Solieu!A:C,2,0)</f>
        <v>x</v>
      </c>
      <c r="I104" s="1802"/>
      <c r="J104" s="1215" t="str">
        <f t="shared" ca="1" si="14"/>
        <v/>
      </c>
    </row>
    <row r="105" spans="2:10" hidden="1">
      <c r="B105" s="1385" t="s">
        <v>2513</v>
      </c>
      <c r="C105" s="1801">
        <f ca="1">SUM($J$4:J105)</f>
        <v>15</v>
      </c>
      <c r="D105" s="1324" t="e">
        <f t="shared" si="15"/>
        <v>#N/A</v>
      </c>
      <c r="E105" s="1326" t="e">
        <f t="shared" si="16"/>
        <v>#N/A</v>
      </c>
      <c r="F105" s="1326">
        <f t="shared" ca="1" si="17"/>
        <v>0</v>
      </c>
      <c r="G105" s="1326">
        <f t="shared" ca="1" si="18"/>
        <v>0</v>
      </c>
      <c r="H105" s="1326" t="str">
        <f>VLOOKUP($D$1,Solieu!A:C,2,0)</f>
        <v>x</v>
      </c>
      <c r="I105" s="1802"/>
      <c r="J105" s="1215" t="str">
        <f t="shared" ca="1" si="14"/>
        <v/>
      </c>
    </row>
    <row r="106" spans="2:10" ht="33.6">
      <c r="B106" s="1385" t="s">
        <v>2515</v>
      </c>
      <c r="C106" s="1801">
        <f ca="1">SUM($J$4:J106)</f>
        <v>16</v>
      </c>
      <c r="D106" s="1324" t="str">
        <f t="shared" si="15"/>
        <v>Chuỗi sứ treo Polymer 25kV lắp vào xà : CĐT ply-X</v>
      </c>
      <c r="E106" s="1326" t="str">
        <f t="shared" si="16"/>
        <v>chuỗi</v>
      </c>
      <c r="F106" s="1326">
        <f t="shared" ca="1" si="17"/>
        <v>63</v>
      </c>
      <c r="G106" s="1326">
        <f t="shared" ca="1" si="18"/>
        <v>63</v>
      </c>
      <c r="H106" s="1326" t="str">
        <f>VLOOKUP($D$1,Solieu!A:C,2,0)</f>
        <v>x</v>
      </c>
      <c r="I106" s="1802"/>
      <c r="J106" s="1215">
        <f t="shared" ca="1" si="14"/>
        <v>1</v>
      </c>
    </row>
    <row r="107" spans="2:10" hidden="1">
      <c r="B107" s="1385" t="s">
        <v>2529</v>
      </c>
      <c r="C107" s="1801">
        <f ca="1">SUM($J$4:J107)</f>
        <v>16</v>
      </c>
      <c r="D107" s="1324" t="e">
        <f t="shared" si="15"/>
        <v>#N/A</v>
      </c>
      <c r="E107" s="1326" t="e">
        <f t="shared" si="16"/>
        <v>#N/A</v>
      </c>
      <c r="F107" s="1326">
        <f t="shared" ca="1" si="17"/>
        <v>0</v>
      </c>
      <c r="G107" s="1326">
        <f t="shared" ca="1" si="18"/>
        <v>0</v>
      </c>
      <c r="H107" s="1326" t="str">
        <f>VLOOKUP($D$1,Solieu!A:C,2,0)</f>
        <v>x</v>
      </c>
      <c r="I107" s="1802"/>
      <c r="J107" s="1215" t="str">
        <f t="shared" ca="1" si="14"/>
        <v/>
      </c>
    </row>
    <row r="108" spans="2:10" hidden="1">
      <c r="B108" s="1385" t="s">
        <v>2541</v>
      </c>
      <c r="C108" s="1801">
        <f ca="1">SUM($J$4:J108)</f>
        <v>16</v>
      </c>
      <c r="D108" s="1324" t="e">
        <f t="shared" si="15"/>
        <v>#N/A</v>
      </c>
      <c r="E108" s="1326" t="e">
        <f t="shared" si="16"/>
        <v>#N/A</v>
      </c>
      <c r="F108" s="1326">
        <f t="shared" ca="1" si="17"/>
        <v>0</v>
      </c>
      <c r="G108" s="1326">
        <f t="shared" ca="1" si="18"/>
        <v>0</v>
      </c>
      <c r="H108" s="1326" t="str">
        <f>VLOOKUP($D$1,Solieu!A:C,2,0)</f>
        <v>x</v>
      </c>
      <c r="I108" s="1802"/>
      <c r="J108" s="1215" t="str">
        <f t="shared" ca="1" si="14"/>
        <v/>
      </c>
    </row>
    <row r="109" spans="2:10">
      <c r="B109" s="1385" t="s">
        <v>5634</v>
      </c>
      <c r="C109" s="1801">
        <f ca="1">SUM($J$4:J109)</f>
        <v>17</v>
      </c>
      <c r="D109" s="1324" t="str">
        <f t="shared" si="15"/>
        <v>Tủ ACB + thanh cái 1600A</v>
      </c>
      <c r="E109" s="1326" t="str">
        <f t="shared" si="16"/>
        <v>cái</v>
      </c>
      <c r="F109" s="1326">
        <f t="shared" ca="1" si="17"/>
        <v>1</v>
      </c>
      <c r="G109" s="1326">
        <f t="shared" ca="1" si="18"/>
        <v>1</v>
      </c>
      <c r="H109" s="1326" t="str">
        <f>VLOOKUP($D$1,Solieu!A:C,2,0)</f>
        <v>x</v>
      </c>
      <c r="I109" s="1802"/>
      <c r="J109" s="1215">
        <f t="shared" ca="1" si="14"/>
        <v>1</v>
      </c>
    </row>
    <row r="110" spans="2:10" hidden="1">
      <c r="B110" s="1385" t="s">
        <v>5636</v>
      </c>
      <c r="C110" s="1801">
        <f ca="1">SUM($J$4:J110)</f>
        <v>17</v>
      </c>
      <c r="D110" s="1324" t="e">
        <f t="shared" si="15"/>
        <v>#N/A</v>
      </c>
      <c r="E110" s="1326" t="e">
        <f t="shared" si="16"/>
        <v>#N/A</v>
      </c>
      <c r="F110" s="1326">
        <f t="shared" ca="1" si="17"/>
        <v>0</v>
      </c>
      <c r="G110" s="1326">
        <f t="shared" ca="1" si="18"/>
        <v>0</v>
      </c>
      <c r="H110" s="1326" t="str">
        <f>VLOOKUP($D$1,Solieu!A:C,2,0)</f>
        <v>x</v>
      </c>
      <c r="I110" s="1802"/>
      <c r="J110" s="1215" t="str">
        <f t="shared" ca="1" si="14"/>
        <v/>
      </c>
    </row>
    <row r="111" spans="2:10" hidden="1">
      <c r="B111" s="1385" t="s">
        <v>5638</v>
      </c>
      <c r="C111" s="1801">
        <f ca="1">SUM($J$4:J111)</f>
        <v>17</v>
      </c>
      <c r="D111" s="1324" t="e">
        <f t="shared" si="15"/>
        <v>#N/A</v>
      </c>
      <c r="E111" s="1326" t="e">
        <f t="shared" si="16"/>
        <v>#N/A</v>
      </c>
      <c r="F111" s="1326">
        <f t="shared" ca="1" si="17"/>
        <v>0</v>
      </c>
      <c r="G111" s="1326">
        <f t="shared" ca="1" si="18"/>
        <v>0</v>
      </c>
      <c r="H111" s="1326" t="str">
        <f>VLOOKUP($D$1,Solieu!A:C,2,0)</f>
        <v>x</v>
      </c>
      <c r="I111" s="1802"/>
      <c r="J111" s="1215" t="str">
        <f t="shared" ca="1" si="14"/>
        <v/>
      </c>
    </row>
    <row r="112" spans="2:10" hidden="1">
      <c r="B112" s="1385" t="s">
        <v>5641</v>
      </c>
      <c r="C112" s="1801">
        <f ca="1">SUM($J$4:J112)</f>
        <v>17</v>
      </c>
      <c r="D112" s="1324" t="e">
        <f t="shared" si="15"/>
        <v>#N/A</v>
      </c>
      <c r="E112" s="1326" t="e">
        <f t="shared" si="16"/>
        <v>#N/A</v>
      </c>
      <c r="F112" s="1326">
        <f t="shared" ca="1" si="17"/>
        <v>0</v>
      </c>
      <c r="G112" s="1326">
        <f t="shared" ca="1" si="18"/>
        <v>0</v>
      </c>
      <c r="H112" s="1326" t="str">
        <f>VLOOKUP($D$1,Solieu!A:C,2,0)</f>
        <v>x</v>
      </c>
      <c r="I112" s="1802"/>
      <c r="J112" s="1215" t="str">
        <f t="shared" ca="1" si="14"/>
        <v/>
      </c>
    </row>
    <row r="113" spans="2:10" hidden="1">
      <c r="B113" s="1385" t="s">
        <v>5643</v>
      </c>
      <c r="C113" s="1801">
        <f ca="1">SUM($J$4:J113)</f>
        <v>17</v>
      </c>
      <c r="D113" s="1324" t="e">
        <f t="shared" si="15"/>
        <v>#N/A</v>
      </c>
      <c r="E113" s="1326" t="e">
        <f t="shared" si="16"/>
        <v>#N/A</v>
      </c>
      <c r="F113" s="1326">
        <f t="shared" ca="1" si="17"/>
        <v>0</v>
      </c>
      <c r="G113" s="1326">
        <f t="shared" ca="1" si="18"/>
        <v>0</v>
      </c>
      <c r="H113" s="1326" t="str">
        <f>VLOOKUP($D$1,Solieu!A:C,2,0)</f>
        <v>x</v>
      </c>
      <c r="I113" s="1802"/>
      <c r="J113" s="1215" t="str">
        <f t="shared" ca="1" si="14"/>
        <v/>
      </c>
    </row>
    <row r="114" spans="2:10" hidden="1">
      <c r="B114" s="1385" t="s">
        <v>5645</v>
      </c>
      <c r="C114" s="1801">
        <f ca="1">SUM($J$4:J114)</f>
        <v>17</v>
      </c>
      <c r="D114" s="1324" t="e">
        <f t="shared" si="15"/>
        <v>#N/A</v>
      </c>
      <c r="E114" s="1326" t="e">
        <f t="shared" si="16"/>
        <v>#N/A</v>
      </c>
      <c r="F114" s="1326">
        <f t="shared" ca="1" si="17"/>
        <v>0</v>
      </c>
      <c r="G114" s="1326">
        <f t="shared" ca="1" si="18"/>
        <v>0</v>
      </c>
      <c r="H114" s="1326" t="str">
        <f>VLOOKUP($D$1,Solieu!A:C,2,0)</f>
        <v>x</v>
      </c>
      <c r="I114" s="1802"/>
      <c r="J114" s="1215" t="str">
        <f t="shared" ca="1" si="14"/>
        <v/>
      </c>
    </row>
    <row r="115" spans="2:10" hidden="1">
      <c r="B115" s="1385" t="s">
        <v>5647</v>
      </c>
      <c r="C115" s="1801">
        <f ca="1">SUM($J$4:J115)</f>
        <v>17</v>
      </c>
      <c r="D115" s="1324" t="e">
        <f t="shared" si="15"/>
        <v>#N/A</v>
      </c>
      <c r="E115" s="1326" t="e">
        <f t="shared" si="16"/>
        <v>#N/A</v>
      </c>
      <c r="F115" s="1326">
        <f t="shared" ca="1" si="17"/>
        <v>0</v>
      </c>
      <c r="G115" s="1326">
        <f t="shared" ca="1" si="18"/>
        <v>0</v>
      </c>
      <c r="H115" s="1326" t="str">
        <f>VLOOKUP($D$1,Solieu!A:C,2,0)</f>
        <v>x</v>
      </c>
      <c r="I115" s="1802"/>
      <c r="J115" s="1215" t="str">
        <f t="shared" ca="1" si="14"/>
        <v/>
      </c>
    </row>
    <row r="116" spans="2:10" hidden="1">
      <c r="B116" s="1385" t="s">
        <v>5649</v>
      </c>
      <c r="C116" s="1801">
        <f ca="1">SUM($J$4:J116)</f>
        <v>17</v>
      </c>
      <c r="D116" s="1324" t="e">
        <f t="shared" si="15"/>
        <v>#N/A</v>
      </c>
      <c r="E116" s="1326" t="e">
        <f t="shared" si="16"/>
        <v>#N/A</v>
      </c>
      <c r="F116" s="1326">
        <f t="shared" ca="1" si="17"/>
        <v>0</v>
      </c>
      <c r="G116" s="1326">
        <f t="shared" ca="1" si="18"/>
        <v>0</v>
      </c>
      <c r="H116" s="1326" t="str">
        <f>VLOOKUP($D$1,Solieu!A:C,2,0)</f>
        <v>x</v>
      </c>
      <c r="I116" s="1802"/>
      <c r="J116" s="1215" t="str">
        <f t="shared" ca="1" si="14"/>
        <v/>
      </c>
    </row>
    <row r="117" spans="2:10" hidden="1">
      <c r="B117" s="1385" t="s">
        <v>5651</v>
      </c>
      <c r="C117" s="1801">
        <f ca="1">SUM($J$4:J117)</f>
        <v>17</v>
      </c>
      <c r="D117" s="1324" t="e">
        <f t="shared" si="15"/>
        <v>#N/A</v>
      </c>
      <c r="E117" s="1326" t="e">
        <f t="shared" si="16"/>
        <v>#N/A</v>
      </c>
      <c r="F117" s="1326">
        <f t="shared" ca="1" si="17"/>
        <v>0</v>
      </c>
      <c r="G117" s="1326">
        <f t="shared" ca="1" si="18"/>
        <v>0</v>
      </c>
      <c r="H117" s="1326" t="str">
        <f>VLOOKUP($D$1,Solieu!A:C,2,0)</f>
        <v>x</v>
      </c>
      <c r="I117" s="1802"/>
      <c r="J117" s="1215" t="str">
        <f t="shared" ca="1" si="14"/>
        <v/>
      </c>
    </row>
    <row r="118" spans="2:10" hidden="1">
      <c r="B118" s="1385" t="s">
        <v>5653</v>
      </c>
      <c r="C118" s="1801">
        <f ca="1">SUM($J$4:J118)</f>
        <v>17</v>
      </c>
      <c r="D118" s="1324" t="e">
        <f t="shared" si="15"/>
        <v>#N/A</v>
      </c>
      <c r="E118" s="1326" t="e">
        <f t="shared" si="16"/>
        <v>#N/A</v>
      </c>
      <c r="F118" s="1326">
        <f t="shared" ca="1" si="17"/>
        <v>0</v>
      </c>
      <c r="G118" s="1326">
        <f t="shared" ca="1" si="18"/>
        <v>0</v>
      </c>
      <c r="H118" s="1326" t="str">
        <f>VLOOKUP($D$1,Solieu!A:C,2,0)</f>
        <v>x</v>
      </c>
      <c r="I118" s="1802"/>
      <c r="J118" s="1215" t="str">
        <f t="shared" ca="1" si="14"/>
        <v/>
      </c>
    </row>
    <row r="119" spans="2:10" hidden="1">
      <c r="B119" s="1385" t="s">
        <v>5654</v>
      </c>
      <c r="C119" s="1801">
        <f ca="1">SUM($J$4:J119)</f>
        <v>17</v>
      </c>
      <c r="D119" s="1324" t="e">
        <f t="shared" si="15"/>
        <v>#N/A</v>
      </c>
      <c r="E119" s="1326" t="e">
        <f t="shared" si="16"/>
        <v>#N/A</v>
      </c>
      <c r="F119" s="1326">
        <f t="shared" ca="1" si="17"/>
        <v>0</v>
      </c>
      <c r="G119" s="1326">
        <f t="shared" ca="1" si="18"/>
        <v>0</v>
      </c>
      <c r="H119" s="1326" t="str">
        <f>VLOOKUP($D$1,Solieu!A:C,2,0)</f>
        <v>x</v>
      </c>
      <c r="I119" s="1802"/>
      <c r="J119" s="1215" t="str">
        <f t="shared" ca="1" si="14"/>
        <v/>
      </c>
    </row>
    <row r="120" spans="2:10" hidden="1">
      <c r="B120" s="1385" t="s">
        <v>5657</v>
      </c>
      <c r="C120" s="1801">
        <f ca="1">SUM($J$4:J120)</f>
        <v>17</v>
      </c>
      <c r="D120" s="1324" t="e">
        <f t="shared" si="15"/>
        <v>#N/A</v>
      </c>
      <c r="E120" s="1326" t="e">
        <f t="shared" si="16"/>
        <v>#N/A</v>
      </c>
      <c r="F120" s="1326">
        <f t="shared" ca="1" si="17"/>
        <v>0</v>
      </c>
      <c r="G120" s="1326">
        <f t="shared" ca="1" si="18"/>
        <v>0</v>
      </c>
      <c r="H120" s="1326" t="str">
        <f>VLOOKUP($D$1,Solieu!A:C,2,0)</f>
        <v>x</v>
      </c>
      <c r="I120" s="1802"/>
      <c r="J120" s="1215" t="str">
        <f t="shared" ca="1" si="14"/>
        <v/>
      </c>
    </row>
    <row r="121" spans="2:10" hidden="1">
      <c r="B121" s="1385" t="s">
        <v>5660</v>
      </c>
      <c r="C121" s="1801">
        <f ca="1">SUM($J$4:J121)</f>
        <v>17</v>
      </c>
      <c r="D121" s="1324" t="e">
        <f t="shared" si="15"/>
        <v>#N/A</v>
      </c>
      <c r="E121" s="1326" t="e">
        <f t="shared" si="16"/>
        <v>#N/A</v>
      </c>
      <c r="F121" s="1326">
        <f t="shared" ca="1" si="17"/>
        <v>0</v>
      </c>
      <c r="G121" s="1326">
        <f t="shared" ca="1" si="18"/>
        <v>0</v>
      </c>
      <c r="H121" s="1326" t="str">
        <f>VLOOKUP($D$1,Solieu!A:C,2,0)</f>
        <v>x</v>
      </c>
      <c r="I121" s="1802"/>
      <c r="J121" s="1215" t="str">
        <f t="shared" ca="1" si="14"/>
        <v/>
      </c>
    </row>
    <row r="122" spans="2:10" hidden="1">
      <c r="B122" s="1385" t="s">
        <v>6454</v>
      </c>
      <c r="C122" s="1801">
        <f ca="1">SUM($J$4:J122)</f>
        <v>17</v>
      </c>
      <c r="D122" s="1324" t="e">
        <f t="shared" ref="D122" si="19">VLOOKUP(B122,KhoiLuong,5,0)</f>
        <v>#N/A</v>
      </c>
      <c r="E122" s="1326" t="e">
        <f t="shared" ref="E122" si="20">VLOOKUP(B122,KhoiLuong,6,0)</f>
        <v>#N/A</v>
      </c>
      <c r="F122" s="1326">
        <f t="shared" ref="F122" ca="1" si="21">IF(B122&lt;&gt;0,SUMIF(KhoiLuong,B122,DuToan),0)</f>
        <v>0</v>
      </c>
      <c r="G122" s="1326">
        <f t="shared" ref="G122" ca="1" si="22">IF(B122&lt;&gt;0,SUMIF(KhoiLuong,B122,ThiCong),0)</f>
        <v>0</v>
      </c>
      <c r="I122" s="1802"/>
    </row>
    <row r="123" spans="2:10" hidden="1">
      <c r="B123" s="1385" t="s">
        <v>6414</v>
      </c>
      <c r="C123" s="1801">
        <f ca="1">SUM($J$4:J123)</f>
        <v>17</v>
      </c>
      <c r="D123" s="1324" t="e">
        <f t="shared" ref="D123:D124" si="23">VLOOKUP(B123,KhoiLuong,5,0)</f>
        <v>#N/A</v>
      </c>
      <c r="E123" s="1326" t="e">
        <f t="shared" ref="E123:E124" si="24">VLOOKUP(B123,KhoiLuong,6,0)</f>
        <v>#N/A</v>
      </c>
      <c r="F123" s="1326">
        <f t="shared" ref="F123:F124" ca="1" si="25">IF(B123&lt;&gt;0,SUMIF(KhoiLuong,B123,DuToan),0)</f>
        <v>0</v>
      </c>
      <c r="G123" s="1326">
        <f t="shared" ref="G123:G124" ca="1" si="26">IF(B123&lt;&gt;0,SUMIF(KhoiLuong,B123,ThiCong),0)</f>
        <v>0</v>
      </c>
      <c r="I123" s="1802"/>
    </row>
    <row r="124" spans="2:10" hidden="1">
      <c r="B124" s="1385" t="s">
        <v>6416</v>
      </c>
      <c r="C124" s="1801">
        <f ca="1">SUM($J$4:J124)</f>
        <v>17</v>
      </c>
      <c r="D124" s="1324" t="e">
        <f t="shared" si="23"/>
        <v>#N/A</v>
      </c>
      <c r="E124" s="1326" t="e">
        <f t="shared" si="24"/>
        <v>#N/A</v>
      </c>
      <c r="F124" s="1326">
        <f t="shared" ca="1" si="25"/>
        <v>0</v>
      </c>
      <c r="G124" s="1326">
        <f t="shared" ca="1" si="26"/>
        <v>0</v>
      </c>
    </row>
    <row r="125" spans="2:10">
      <c r="B125" s="1385" t="s">
        <v>246</v>
      </c>
    </row>
  </sheetData>
  <autoFilter ref="J3:J124" xr:uid="{00000000-0009-0000-0000-00001F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3:K24"/>
  <sheetViews>
    <sheetView workbookViewId="0">
      <selection activeCell="C3" sqref="C3:H6"/>
    </sheetView>
  </sheetViews>
  <sheetFormatPr defaultColWidth="8.90625" defaultRowHeight="16.8"/>
  <cols>
    <col min="1" max="1" width="8.90625" style="1215"/>
    <col min="2" max="2" width="14.453125" style="1215" customWidth="1"/>
    <col min="3" max="3" width="5.36328125" style="1215" customWidth="1"/>
    <col min="4" max="4" width="16.54296875" style="1215" customWidth="1"/>
    <col min="5" max="5" width="24.6328125" style="1215" customWidth="1"/>
    <col min="6" max="7" width="8.08984375" style="1215" customWidth="1"/>
    <col min="8" max="8" width="5.90625" style="1215" customWidth="1"/>
    <col min="9" max="9" width="8.90625" style="1215"/>
    <col min="10" max="10" width="15.453125" style="1215" customWidth="1"/>
    <col min="11" max="11" width="17.54296875" style="1215" customWidth="1"/>
    <col min="12" max="16384" width="8.90625" style="1215"/>
  </cols>
  <sheetData>
    <row r="3" spans="1:11">
      <c r="C3" s="3256" t="s">
        <v>1708</v>
      </c>
      <c r="D3" s="1344" t="s">
        <v>4477</v>
      </c>
      <c r="E3" s="3257" t="s">
        <v>4206</v>
      </c>
      <c r="F3" s="3258" t="s">
        <v>4479</v>
      </c>
      <c r="G3" s="3258"/>
      <c r="H3" s="3259" t="s">
        <v>4170</v>
      </c>
      <c r="I3" s="1336" t="s">
        <v>512</v>
      </c>
    </row>
    <row r="4" spans="1:11">
      <c r="C4" s="3256"/>
      <c r="D4" s="1345" t="s">
        <v>4478</v>
      </c>
      <c r="E4" s="3257"/>
      <c r="F4" s="1343" t="s">
        <v>4207</v>
      </c>
      <c r="G4" s="1343" t="s">
        <v>4171</v>
      </c>
      <c r="H4" s="3260"/>
      <c r="I4" s="1215">
        <f>IF(OR(E4&gt;0,F4&gt;0),1,"")</f>
        <v>1</v>
      </c>
      <c r="J4" s="897" t="s">
        <v>4604</v>
      </c>
      <c r="K4" s="1215" t="s">
        <v>4605</v>
      </c>
    </row>
    <row r="5" spans="1:11" ht="52.5" customHeight="1">
      <c r="A5" s="1883" t="s">
        <v>1239</v>
      </c>
      <c r="B5" s="1215" t="s">
        <v>6569</v>
      </c>
      <c r="C5" s="1340">
        <v>1</v>
      </c>
      <c r="D5" s="1346" t="str">
        <f>$J$4&amp;J5&amp;$K$4&amp;K5</f>
        <v>Từ cột 270/028 đến cột 270/028/007/014</v>
      </c>
      <c r="E5" s="1342" t="str">
        <f t="shared" ref="E5:E15" si="0">VLOOKUP(B5,DonGia,3,0)&amp;" + "&amp;VLOOKUP(A5,DonGia,3,0)</f>
        <v>Cáp 24KV ACXH 95mm2 + Cáp nhôm lõi thép AC-70/11</v>
      </c>
      <c r="F5" s="2055">
        <f ca="1">SUMIF(KhoiLuong,B5,DuToan)</f>
        <v>2970.3420000000006</v>
      </c>
      <c r="G5" s="2055">
        <f ca="1">SUMIF(KhoiLuong,B5,ThiCong)</f>
        <v>2970.3420000000006</v>
      </c>
      <c r="H5" s="1341"/>
      <c r="I5" s="1215">
        <f ca="1">IF(AND(E5&gt;0,F5&gt;0),1,"")</f>
        <v>1</v>
      </c>
      <c r="J5" s="2059" t="str">
        <f>WORD!AJ2</f>
        <v>270/028</v>
      </c>
      <c r="K5" s="2059" t="s">
        <v>6598</v>
      </c>
    </row>
    <row r="6" spans="1:11" ht="58.2" customHeight="1">
      <c r="A6" s="1883" t="s">
        <v>88</v>
      </c>
      <c r="B6" s="1215" t="s">
        <v>6570</v>
      </c>
      <c r="C6" s="1340">
        <v>2</v>
      </c>
      <c r="D6" s="1346" t="str">
        <f>$J$4&amp;J6&amp;$K$4&amp;K6</f>
        <v>Từ cột 270/028/007/014 đến cột 270/028/007/019/009</v>
      </c>
      <c r="E6" s="1342" t="str">
        <f t="shared" si="0"/>
        <v>Cáp 24KV ACXH 70mm2 + Cáp nhôm lõi thép AC-50/8</v>
      </c>
      <c r="F6" s="2055">
        <f ca="1">SUMIF(KhoiLuong,B6,DuToan)</f>
        <v>1649.34</v>
      </c>
      <c r="G6" s="2055">
        <f ca="1">SUMIF(KhoiLuong,B6,ThiCong)</f>
        <v>1649.34</v>
      </c>
      <c r="H6" s="1341"/>
      <c r="I6" s="1215">
        <f t="shared" ref="I6:I15" ca="1" si="1">IF(AND(E6&gt;0,F6&gt;0),1,"")</f>
        <v>1</v>
      </c>
      <c r="J6" s="2059" t="s">
        <v>6598</v>
      </c>
      <c r="K6" s="1757" t="s">
        <v>6600</v>
      </c>
    </row>
    <row r="7" spans="1:11" ht="50.4">
      <c r="A7" s="1883" t="s">
        <v>88</v>
      </c>
      <c r="B7" s="1215" t="s">
        <v>6432</v>
      </c>
      <c r="C7" s="1334">
        <v>1</v>
      </c>
      <c r="D7" s="1346" t="str">
        <f>$J$4&amp;J7&amp;$K$4&amp;K7</f>
        <v>Từ cột 270/028 đến cột 270/028/019/006</v>
      </c>
      <c r="E7" s="1342" t="e">
        <f t="shared" si="0"/>
        <v>#N/A</v>
      </c>
      <c r="F7" s="2055">
        <f ca="1">SUMIF(KhoiLuong,B7,DuToan)</f>
        <v>0</v>
      </c>
      <c r="G7" s="2055">
        <f ca="1">SUMIF(KhoiLuong,B7,ThiCong)</f>
        <v>0</v>
      </c>
      <c r="H7" s="1335"/>
      <c r="I7" s="1215" t="e">
        <f t="shared" ca="1" si="1"/>
        <v>#N/A</v>
      </c>
      <c r="J7" s="2672" t="str">
        <f>WORD!AJ2</f>
        <v>270/028</v>
      </c>
      <c r="K7" s="2672" t="str">
        <f>WORD!AK2</f>
        <v>270/028/019/006</v>
      </c>
    </row>
    <row r="8" spans="1:11">
      <c r="B8" s="1215" t="s">
        <v>512</v>
      </c>
      <c r="C8" s="1322">
        <v>5</v>
      </c>
      <c r="D8" s="1324" t="e">
        <f>VLOOKUP(B8,chitiet!A:F,5,0)</f>
        <v>#N/A</v>
      </c>
      <c r="E8" s="1342" t="e">
        <f t="shared" si="0"/>
        <v>#N/A</v>
      </c>
      <c r="F8" s="2055"/>
      <c r="G8" s="2055"/>
      <c r="H8" s="1323"/>
      <c r="I8" s="1215" t="e">
        <f t="shared" si="1"/>
        <v>#N/A</v>
      </c>
      <c r="J8" s="897"/>
    </row>
    <row r="9" spans="1:11">
      <c r="B9" s="1215" t="s">
        <v>512</v>
      </c>
      <c r="C9" s="1322">
        <v>6</v>
      </c>
      <c r="D9" s="1324" t="e">
        <f>VLOOKUP(B9,chitiet!A:F,5,0)</f>
        <v>#N/A</v>
      </c>
      <c r="E9" s="1342" t="e">
        <f t="shared" si="0"/>
        <v>#N/A</v>
      </c>
      <c r="F9" s="2055"/>
      <c r="G9" s="2055"/>
      <c r="H9" s="1323"/>
      <c r="I9" s="1215" t="e">
        <f t="shared" si="1"/>
        <v>#N/A</v>
      </c>
      <c r="J9" s="897"/>
    </row>
    <row r="10" spans="1:11">
      <c r="B10" s="1215" t="s">
        <v>512</v>
      </c>
      <c r="C10" s="1322">
        <v>7</v>
      </c>
      <c r="D10" s="1324" t="e">
        <f>VLOOKUP(B10,chitiet!A:F,5,0)</f>
        <v>#N/A</v>
      </c>
      <c r="E10" s="1342" t="e">
        <f t="shared" si="0"/>
        <v>#N/A</v>
      </c>
      <c r="F10" s="2055"/>
      <c r="G10" s="2055"/>
      <c r="H10" s="1323"/>
      <c r="I10" s="1215" t="e">
        <f t="shared" si="1"/>
        <v>#N/A</v>
      </c>
      <c r="J10" s="897"/>
    </row>
    <row r="11" spans="1:11">
      <c r="B11" s="1215" t="s">
        <v>512</v>
      </c>
      <c r="C11" s="1322">
        <v>8</v>
      </c>
      <c r="D11" s="1324" t="e">
        <f>VLOOKUP(B11,chitiet!A:F,5,0)</f>
        <v>#N/A</v>
      </c>
      <c r="E11" s="1342" t="e">
        <f t="shared" si="0"/>
        <v>#N/A</v>
      </c>
      <c r="F11" s="2055"/>
      <c r="G11" s="2055"/>
      <c r="H11" s="1323"/>
      <c r="I11" s="1215" t="e">
        <f t="shared" si="1"/>
        <v>#N/A</v>
      </c>
      <c r="J11" s="897"/>
    </row>
    <row r="12" spans="1:11">
      <c r="B12" s="1215" t="s">
        <v>512</v>
      </c>
      <c r="C12" s="1322">
        <v>9</v>
      </c>
      <c r="D12" s="1324" t="e">
        <f>VLOOKUP(B12,chitiet!A:F,5,0)</f>
        <v>#N/A</v>
      </c>
      <c r="E12" s="1342" t="e">
        <f t="shared" si="0"/>
        <v>#N/A</v>
      </c>
      <c r="F12" s="2055"/>
      <c r="G12" s="2055"/>
      <c r="H12" s="1323"/>
      <c r="I12" s="1215" t="e">
        <f t="shared" si="1"/>
        <v>#N/A</v>
      </c>
      <c r="J12" s="897"/>
    </row>
    <row r="13" spans="1:11">
      <c r="B13" s="1215" t="s">
        <v>512</v>
      </c>
      <c r="C13" s="1322">
        <v>10</v>
      </c>
      <c r="D13" s="1324" t="e">
        <f>VLOOKUP(B13,chitiet!A:F,5,0)</f>
        <v>#N/A</v>
      </c>
      <c r="E13" s="1342" t="e">
        <f t="shared" si="0"/>
        <v>#N/A</v>
      </c>
      <c r="F13" s="2055"/>
      <c r="G13" s="2055"/>
      <c r="H13" s="1323"/>
      <c r="I13" s="1215" t="e">
        <f t="shared" si="1"/>
        <v>#N/A</v>
      </c>
      <c r="J13" s="897"/>
    </row>
    <row r="14" spans="1:11">
      <c r="B14" s="1215" t="s">
        <v>512</v>
      </c>
      <c r="C14" s="1322">
        <v>11</v>
      </c>
      <c r="D14" s="1324" t="e">
        <f>VLOOKUP(B14,chitiet!A:F,5,0)</f>
        <v>#N/A</v>
      </c>
      <c r="E14" s="1342" t="e">
        <f t="shared" si="0"/>
        <v>#N/A</v>
      </c>
      <c r="F14" s="2055"/>
      <c r="G14" s="2055"/>
      <c r="H14" s="1323"/>
      <c r="I14" s="1215" t="e">
        <f t="shared" si="1"/>
        <v>#N/A</v>
      </c>
      <c r="J14" s="897"/>
    </row>
    <row r="15" spans="1:11">
      <c r="B15" s="1215" t="s">
        <v>512</v>
      </c>
      <c r="C15" s="1337">
        <v>12</v>
      </c>
      <c r="D15" s="1338" t="e">
        <f>VLOOKUP(B15,chitiet!A:F,5,0)</f>
        <v>#N/A</v>
      </c>
      <c r="E15" s="1342" t="e">
        <f t="shared" si="0"/>
        <v>#N/A</v>
      </c>
      <c r="F15" s="2055"/>
      <c r="G15" s="2055"/>
      <c r="H15" s="1339"/>
      <c r="I15" s="1215" t="e">
        <f t="shared" si="1"/>
        <v>#N/A</v>
      </c>
      <c r="J15" s="897"/>
    </row>
    <row r="16" spans="1:11">
      <c r="B16" s="1215" t="s">
        <v>512</v>
      </c>
      <c r="F16" s="2055"/>
      <c r="G16" s="2055"/>
    </row>
    <row r="17" spans="6:7">
      <c r="F17" s="2055"/>
      <c r="G17" s="2055"/>
    </row>
    <row r="18" spans="6:7">
      <c r="F18" s="2055"/>
      <c r="G18" s="2055"/>
    </row>
    <row r="19" spans="6:7">
      <c r="F19" s="2055"/>
      <c r="G19" s="2055"/>
    </row>
    <row r="20" spans="6:7">
      <c r="F20" s="2055"/>
      <c r="G20" s="2055"/>
    </row>
    <row r="21" spans="6:7">
      <c r="F21" s="2055"/>
      <c r="G21" s="2055"/>
    </row>
    <row r="22" spans="6:7">
      <c r="F22" s="2055"/>
      <c r="G22" s="2055"/>
    </row>
    <row r="23" spans="6:7">
      <c r="F23" s="2055"/>
      <c r="G23" s="2055"/>
    </row>
    <row r="24" spans="6:7">
      <c r="F24" s="2055"/>
      <c r="G24" s="2055"/>
    </row>
  </sheetData>
  <autoFilter ref="I3:I24" xr:uid="{00000000-0009-0000-0000-000020000000}"/>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1:J26"/>
  <sheetViews>
    <sheetView workbookViewId="0">
      <selection activeCell="C1" sqref="C1:H20"/>
    </sheetView>
  </sheetViews>
  <sheetFormatPr defaultColWidth="8.90625" defaultRowHeight="16.8"/>
  <cols>
    <col min="1" max="1" width="8.90625" style="1614"/>
    <col min="2" max="2" width="10.1796875" style="1614" bestFit="1" customWidth="1"/>
    <col min="3" max="3" width="6.1796875" style="1614" customWidth="1"/>
    <col min="4" max="4" width="29.54296875" style="1367" customWidth="1"/>
    <col min="5" max="7" width="8.08984375" style="953" customWidth="1"/>
    <col min="8" max="8" width="9.08984375" style="1614" customWidth="1"/>
    <col min="9" max="9" width="5.81640625" style="1614" customWidth="1"/>
    <col min="10" max="16384" width="8.90625" style="1614"/>
  </cols>
  <sheetData>
    <row r="1" spans="1:10" ht="37.5" customHeight="1">
      <c r="A1" s="1614" t="s">
        <v>512</v>
      </c>
      <c r="C1" s="1610" t="s">
        <v>1708</v>
      </c>
      <c r="D1" s="1611" t="s">
        <v>4563</v>
      </c>
      <c r="E1" s="1611" t="s">
        <v>4203</v>
      </c>
      <c r="F1" s="1611" t="s">
        <v>4901</v>
      </c>
      <c r="G1" s="1611" t="s">
        <v>4171</v>
      </c>
      <c r="H1" s="1610" t="s">
        <v>4170</v>
      </c>
      <c r="I1" s="1614" t="s">
        <v>4564</v>
      </c>
    </row>
    <row r="2" spans="1:10" ht="25.2" customHeight="1">
      <c r="A2" s="1614" t="s">
        <v>512</v>
      </c>
      <c r="B2" s="1612" t="str">
        <f>'NT-VT'!A6</f>
        <v>tr10001</v>
      </c>
      <c r="C2" s="1615">
        <f>SUM($I$2:I2)</f>
        <v>1</v>
      </c>
      <c r="D2" s="2058" t="str">
        <f t="shared" ref="D2:D24" si="0">VLOOKUP(B2,DonGia,3,0)</f>
        <v>Máy biến áp 22/0,4kV- 1000kVA</v>
      </c>
      <c r="E2" s="1613" t="str">
        <f>'NT-VT'!D6</f>
        <v>máy</v>
      </c>
      <c r="F2" s="1613">
        <f t="shared" ref="F2" ca="1" si="1">SUMIF(KhoiLuong,B2,DuToan)</f>
        <v>1</v>
      </c>
      <c r="G2" s="1613">
        <f t="shared" ref="G2" ca="1" si="2">SUMIF(KhoiLuong,B2,ThiCong)</f>
        <v>1</v>
      </c>
      <c r="H2" s="1608"/>
      <c r="I2" s="1614">
        <f>IF(A2&lt;&gt;0,1,"")</f>
        <v>1</v>
      </c>
    </row>
    <row r="3" spans="1:10" ht="39" customHeight="1">
      <c r="A3" s="1614" t="s">
        <v>512</v>
      </c>
      <c r="B3" s="1612" t="str">
        <f>'NT-VT'!A7</f>
        <v>FCO100-22</v>
      </c>
      <c r="C3" s="1615">
        <f>SUM($I$2:I3)</f>
        <v>2</v>
      </c>
      <c r="D3" s="2058" t="str">
        <f t="shared" si="0"/>
        <v>FCO 24kV - 100A</v>
      </c>
      <c r="E3" s="1613" t="str">
        <f>'NT-VT'!D7</f>
        <v>cái</v>
      </c>
      <c r="F3" s="1613">
        <f t="shared" ref="F3:F24" ca="1" si="3">SUMIF(KhoiLuong,B3,DuToan)</f>
        <v>4</v>
      </c>
      <c r="G3" s="1613">
        <f t="shared" ref="G3:G24" ca="1" si="4">SUMIF(KhoiLuong,B3,ThiCong)</f>
        <v>4</v>
      </c>
      <c r="H3" s="1608"/>
      <c r="I3" s="1614">
        <f t="shared" ref="I3:I26" si="5">IF(A3&lt;&gt;0,1,"")</f>
        <v>1</v>
      </c>
    </row>
    <row r="4" spans="1:10" ht="25.2" customHeight="1">
      <c r="A4" s="1614" t="s">
        <v>512</v>
      </c>
      <c r="B4" s="1612" t="str">
        <f>'NT-VT'!A8</f>
        <v>FCO200-22</v>
      </c>
      <c r="C4" s="1615">
        <f>SUM($I$2:I4)</f>
        <v>3</v>
      </c>
      <c r="D4" s="2058" t="str">
        <f t="shared" si="0"/>
        <v xml:space="preserve">FCO 24KV - 200A </v>
      </c>
      <c r="E4" s="1613" t="str">
        <f>'NT-VT'!D8</f>
        <v>cái</v>
      </c>
      <c r="F4" s="1613">
        <f t="shared" ca="1" si="3"/>
        <v>3</v>
      </c>
      <c r="G4" s="1613">
        <f t="shared" ca="1" si="4"/>
        <v>3</v>
      </c>
      <c r="H4" s="1608"/>
      <c r="I4" s="1614">
        <f t="shared" si="5"/>
        <v>1</v>
      </c>
    </row>
    <row r="5" spans="1:10" ht="21.75" customHeight="1">
      <c r="A5" s="1614" t="s">
        <v>512</v>
      </c>
      <c r="B5" s="1612" t="str">
        <f>'NT-VT'!A9</f>
        <v>LA18</v>
      </c>
      <c r="C5" s="1615">
        <f>SUM($I$2:I5)</f>
        <v>4</v>
      </c>
      <c r="D5" s="2058" t="str">
        <f t="shared" si="0"/>
        <v>Chống sét van LA-18KV-10KA</v>
      </c>
      <c r="E5" s="1613" t="str">
        <f>'NT-VT'!D9</f>
        <v>cái</v>
      </c>
      <c r="F5" s="1613">
        <f t="shared" ca="1" si="3"/>
        <v>12</v>
      </c>
      <c r="G5" s="1613">
        <f t="shared" ca="1" si="4"/>
        <v>12</v>
      </c>
      <c r="H5" s="1608"/>
      <c r="I5" s="1614">
        <f t="shared" si="5"/>
        <v>1</v>
      </c>
    </row>
    <row r="6" spans="1:10" ht="21.75" hidden="1" customHeight="1">
      <c r="B6" s="1612" t="str">
        <f>'NT-VT'!A10</f>
        <v>SD</v>
      </c>
      <c r="C6" s="1615">
        <f>SUM($I$2:I6)</f>
        <v>4</v>
      </c>
      <c r="D6" s="2058" t="str">
        <f t="shared" si="0"/>
        <v xml:space="preserve">Sứ đứng 24KV </v>
      </c>
      <c r="E6" s="1613" t="str">
        <f>'NT-VT'!D10</f>
        <v>cái</v>
      </c>
      <c r="F6" s="1613">
        <f t="shared" ca="1" si="3"/>
        <v>160</v>
      </c>
      <c r="G6" s="1613">
        <f t="shared" ca="1" si="4"/>
        <v>160</v>
      </c>
      <c r="H6" s="1608"/>
      <c r="I6" s="1614" t="str">
        <f t="shared" si="5"/>
        <v/>
      </c>
    </row>
    <row r="7" spans="1:10" ht="25.2" hidden="1" customHeight="1">
      <c r="B7" s="1612" t="str">
        <f>'NT-VT'!A11</f>
        <v>Stply</v>
      </c>
      <c r="C7" s="1615">
        <f>SUM($I$2:I7)</f>
        <v>4</v>
      </c>
      <c r="D7" s="2058" t="str">
        <f t="shared" si="0"/>
        <v>Sứ treo polymer</v>
      </c>
      <c r="E7" s="1613" t="str">
        <f>'NT-VT'!D11</f>
        <v>chuỗi</v>
      </c>
      <c r="F7" s="1613">
        <f t="shared" ca="1" si="3"/>
        <v>75</v>
      </c>
      <c r="G7" s="1613">
        <f t="shared" ca="1" si="4"/>
        <v>75</v>
      </c>
      <c r="H7" s="1608"/>
      <c r="I7" s="1614" t="str">
        <f t="shared" si="5"/>
        <v/>
      </c>
    </row>
    <row r="8" spans="1:10" ht="25.2" customHeight="1">
      <c r="A8" s="1614" t="s">
        <v>512</v>
      </c>
      <c r="B8" s="1612" t="str">
        <f>'NT-VT'!A12</f>
        <v>cv240</v>
      </c>
      <c r="C8" s="1615">
        <f>SUM($I$2:I8)</f>
        <v>5</v>
      </c>
      <c r="D8" s="2058" t="str">
        <f t="shared" si="0"/>
        <v>Cáp đồng bọc CV240</v>
      </c>
      <c r="E8" s="1613" t="str">
        <f>'NT-VT'!D12</f>
        <v>mét</v>
      </c>
      <c r="F8" s="1613">
        <f t="shared" ca="1" si="3"/>
        <v>72</v>
      </c>
      <c r="G8" s="1613">
        <f t="shared" ca="1" si="4"/>
        <v>72</v>
      </c>
      <c r="H8" s="1608"/>
      <c r="I8" s="1614">
        <f t="shared" si="5"/>
        <v>1</v>
      </c>
    </row>
    <row r="9" spans="1:10" ht="25.2" hidden="1" customHeight="1">
      <c r="B9" s="1612" t="str">
        <f>'NT-VT'!A13</f>
        <v>cxv25</v>
      </c>
      <c r="C9" s="1615">
        <f>SUM($I$2:I9)</f>
        <v>5</v>
      </c>
      <c r="D9" s="2058" t="str">
        <f t="shared" si="0"/>
        <v>Cáp đồng bọc 24KV-CXV-25</v>
      </c>
      <c r="E9" s="1613" t="str">
        <f>'NT-VT'!D13</f>
        <v>mét</v>
      </c>
      <c r="F9" s="1613">
        <f t="shared" ca="1" si="3"/>
        <v>46</v>
      </c>
      <c r="G9" s="1613">
        <f t="shared" ca="1" si="4"/>
        <v>46</v>
      </c>
      <c r="H9" s="1608"/>
      <c r="I9" s="1614" t="str">
        <f t="shared" si="5"/>
        <v/>
      </c>
    </row>
    <row r="10" spans="1:10" ht="25.2" hidden="1" customHeight="1">
      <c r="B10" s="1612" t="str">
        <f>'NT-VT'!A14</f>
        <v>cxv95</v>
      </c>
      <c r="C10" s="1615">
        <f>SUM($I$2:I10)</f>
        <v>5</v>
      </c>
      <c r="D10" s="2058" t="str">
        <f t="shared" si="0"/>
        <v>Cáp đồng bọc 24KV-CXV-95</v>
      </c>
      <c r="E10" s="1613" t="str">
        <f>'NT-VT'!D14</f>
        <v>mét</v>
      </c>
      <c r="F10" s="1613">
        <f t="shared" ca="1" si="3"/>
        <v>15</v>
      </c>
      <c r="G10" s="1613">
        <f t="shared" ca="1" si="4"/>
        <v>15</v>
      </c>
      <c r="H10" s="1608"/>
      <c r="I10" s="1614" t="str">
        <f t="shared" si="5"/>
        <v/>
      </c>
    </row>
    <row r="11" spans="1:10" ht="25.2" customHeight="1">
      <c r="A11" s="1614" t="s">
        <v>512</v>
      </c>
      <c r="B11" s="1612" t="str">
        <f>'NT-VT'!A15</f>
        <v>CVV4X4</v>
      </c>
      <c r="C11" s="1615">
        <f>SUM($I$2:I11)</f>
        <v>6</v>
      </c>
      <c r="D11" s="2058" t="str">
        <f t="shared" si="0"/>
        <v xml:space="preserve">Cáp CVV 4x4mm2  </v>
      </c>
      <c r="E11" s="1613" t="str">
        <f>'NT-VT'!D15</f>
        <v>mét</v>
      </c>
      <c r="F11" s="1613">
        <f t="shared" ca="1" si="3"/>
        <v>33</v>
      </c>
      <c r="G11" s="1613">
        <f t="shared" ca="1" si="4"/>
        <v>33</v>
      </c>
      <c r="H11" s="1608"/>
      <c r="I11" s="1614">
        <f t="shared" si="5"/>
        <v>1</v>
      </c>
    </row>
    <row r="12" spans="1:10" hidden="1">
      <c r="B12" s="1612" t="str">
        <f>'NT-VT'!A16</f>
        <v>acxh70</v>
      </c>
      <c r="C12" s="1615">
        <f>SUM($I$2:I12)</f>
        <v>6</v>
      </c>
      <c r="D12" s="2058" t="str">
        <f t="shared" si="0"/>
        <v>Cáp 24KV ACXH 70mm2</v>
      </c>
      <c r="E12" s="1613" t="str">
        <f>'NT-VT'!D16</f>
        <v>mét</v>
      </c>
      <c r="F12" s="1613">
        <f t="shared" ca="1" si="3"/>
        <v>1649.34</v>
      </c>
      <c r="G12" s="1613">
        <f t="shared" ca="1" si="4"/>
        <v>1649.34</v>
      </c>
      <c r="H12" s="1608"/>
      <c r="I12" s="1614" t="str">
        <f t="shared" si="5"/>
        <v/>
      </c>
    </row>
    <row r="13" spans="1:10" hidden="1">
      <c r="B13" s="1612" t="str">
        <f>'NT-VT'!A17</f>
        <v>acxh95</v>
      </c>
      <c r="C13" s="1615">
        <f>SUM($I$2:I13)</f>
        <v>6</v>
      </c>
      <c r="D13" s="2058" t="str">
        <f t="shared" si="0"/>
        <v>Cáp 24KV ACXH 95mm2</v>
      </c>
      <c r="E13" s="1613" t="str">
        <f>'NT-VT'!D17</f>
        <v>mét</v>
      </c>
      <c r="F13" s="1613">
        <f t="shared" ca="1" si="3"/>
        <v>2970.3420000000006</v>
      </c>
      <c r="G13" s="1613">
        <f t="shared" ca="1" si="4"/>
        <v>2970.3420000000006</v>
      </c>
      <c r="H13" s="1608"/>
      <c r="I13" s="1614" t="str">
        <f t="shared" si="5"/>
        <v/>
      </c>
      <c r="J13" s="1328"/>
    </row>
    <row r="14" spans="1:10" hidden="1">
      <c r="B14" s="1612" t="str">
        <f>'NT-VT'!A18</f>
        <v>M25</v>
      </c>
      <c r="C14" s="1615">
        <f>SUM($I$2:I14)</f>
        <v>6</v>
      </c>
      <c r="D14" s="2058" t="str">
        <f t="shared" si="0"/>
        <v>Cáp đồng trần M25mm2</v>
      </c>
      <c r="E14" s="1613" t="str">
        <f>'NT-VT'!D18</f>
        <v>kg</v>
      </c>
      <c r="F14" s="1613">
        <f t="shared" ca="1" si="3"/>
        <v>30.462</v>
      </c>
      <c r="G14" s="1613">
        <f t="shared" ca="1" si="4"/>
        <v>30.462</v>
      </c>
      <c r="H14" s="1608"/>
      <c r="I14" s="1614" t="str">
        <f t="shared" si="5"/>
        <v/>
      </c>
    </row>
    <row r="15" spans="1:10" hidden="1">
      <c r="B15" s="1612" t="str">
        <f>'NT-VT'!A19</f>
        <v>AC50</v>
      </c>
      <c r="C15" s="1615">
        <f>SUM($I$2:I15)</f>
        <v>6</v>
      </c>
      <c r="D15" s="2058" t="str">
        <f t="shared" si="0"/>
        <v>Cáp nhôm lõi thép AC-50/8</v>
      </c>
      <c r="E15" s="1613" t="str">
        <f>'NT-VT'!D19</f>
        <v>kg</v>
      </c>
      <c r="F15" s="1613">
        <f t="shared" ca="1" si="3"/>
        <v>107.2071</v>
      </c>
      <c r="G15" s="1613">
        <f t="shared" ca="1" si="4"/>
        <v>107.2071</v>
      </c>
      <c r="H15" s="1608"/>
      <c r="I15" s="1614" t="str">
        <f t="shared" si="5"/>
        <v/>
      </c>
    </row>
    <row r="16" spans="1:10" hidden="1">
      <c r="B16" s="1612" t="str">
        <f>'NT-VT'!A20</f>
        <v>AC70</v>
      </c>
      <c r="C16" s="1615">
        <f>SUM($I$2:I16)</f>
        <v>6</v>
      </c>
      <c r="D16" s="2058" t="str">
        <f t="shared" si="0"/>
        <v>Cáp nhôm lõi thép AC-70/11</v>
      </c>
      <c r="E16" s="1613" t="str">
        <f>'NT-VT'!D20</f>
        <v>kg</v>
      </c>
      <c r="F16" s="1613">
        <f t="shared" ca="1" si="3"/>
        <v>271.29123600000003</v>
      </c>
      <c r="G16" s="1613">
        <f t="shared" ca="1" si="4"/>
        <v>271.29123600000003</v>
      </c>
      <c r="H16" s="1608"/>
      <c r="I16" s="1614" t="str">
        <f t="shared" si="5"/>
        <v/>
      </c>
    </row>
    <row r="17" spans="1:10" hidden="1">
      <c r="B17" s="1612" t="str">
        <f>'NT-VT'!A21</f>
        <v>T12</v>
      </c>
      <c r="C17" s="1615">
        <f>SUM($I$2:I17)</f>
        <v>6</v>
      </c>
      <c r="D17" s="2058" t="str">
        <f t="shared" si="0"/>
        <v>Trụ BTLT 12m F540 dự ứng lực</v>
      </c>
      <c r="E17" s="1613" t="str">
        <f>'NT-VT'!D21</f>
        <v>trụ</v>
      </c>
      <c r="F17" s="1613">
        <f t="shared" ca="1" si="3"/>
        <v>17</v>
      </c>
      <c r="G17" s="1613">
        <f t="shared" ca="1" si="4"/>
        <v>17</v>
      </c>
      <c r="H17" s="1608"/>
      <c r="I17" s="1614" t="str">
        <f t="shared" si="5"/>
        <v/>
      </c>
    </row>
    <row r="18" spans="1:10" hidden="1">
      <c r="B18" s="1612" t="str">
        <f>'NT-VT'!A22</f>
        <v>T14</v>
      </c>
      <c r="C18" s="1615">
        <f>SUM($I$2:I18)</f>
        <v>6</v>
      </c>
      <c r="D18" s="2058" t="str">
        <f t="shared" si="0"/>
        <v>Trụ BTLT 14m F650 dự ứng lực</v>
      </c>
      <c r="E18" s="1613" t="str">
        <f>'NT-VT'!D22</f>
        <v>trụ</v>
      </c>
      <c r="F18" s="1613">
        <f t="shared" ca="1" si="3"/>
        <v>7</v>
      </c>
      <c r="G18" s="1613">
        <f t="shared" ca="1" si="4"/>
        <v>7</v>
      </c>
      <c r="H18" s="1608"/>
      <c r="I18" s="1614" t="str">
        <f t="shared" si="5"/>
        <v/>
      </c>
      <c r="J18" s="1328"/>
    </row>
    <row r="19" spans="1:10" hidden="1">
      <c r="B19" s="1612" t="str">
        <f>'NT-VT'!A23</f>
        <v>com800</v>
      </c>
      <c r="C19" s="1615">
        <f>SUM($I$2:I19)</f>
        <v>6</v>
      </c>
      <c r="D19" s="2058" t="str">
        <f t="shared" si="0"/>
        <v>Đà composite 0,8m</v>
      </c>
      <c r="E19" s="1613" t="str">
        <f>'NT-VT'!D23</f>
        <v>cây</v>
      </c>
      <c r="F19" s="1613">
        <f t="shared" ca="1" si="3"/>
        <v>1</v>
      </c>
      <c r="G19" s="1613">
        <f t="shared" ca="1" si="4"/>
        <v>1</v>
      </c>
      <c r="H19" s="1608"/>
      <c r="I19" s="1614" t="str">
        <f t="shared" si="5"/>
        <v/>
      </c>
    </row>
    <row r="20" spans="1:10" ht="33.6">
      <c r="A20" s="1614" t="s">
        <v>512</v>
      </c>
      <c r="B20" s="1612" t="str">
        <f>'NT-VT'!A24</f>
        <v>acb1600</v>
      </c>
      <c r="C20" s="1615">
        <f>SUM($I$2:I20)</f>
        <v>7</v>
      </c>
      <c r="D20" s="2058" t="str">
        <f t="shared" si="0"/>
        <v>ACB 3P - 1600A - 65KA (nạp lò xo bằng tay)</v>
      </c>
      <c r="E20" s="1613" t="str">
        <f>'NT-VT'!D24</f>
        <v>cái</v>
      </c>
      <c r="F20" s="1613">
        <f t="shared" ca="1" si="3"/>
        <v>1</v>
      </c>
      <c r="G20" s="1613">
        <f t="shared" ca="1" si="4"/>
        <v>1</v>
      </c>
      <c r="H20" s="1608"/>
      <c r="I20" s="1614">
        <f t="shared" si="5"/>
        <v>1</v>
      </c>
    </row>
    <row r="21" spans="1:10" ht="25.2" hidden="1" customHeight="1">
      <c r="B21" s="1612" t="str">
        <f>'NT-VT'!A25</f>
        <v>b1050</v>
      </c>
      <c r="C21" s="1615">
        <f>SUM($I$2:I21)</f>
        <v>7</v>
      </c>
      <c r="D21" s="2058" t="str">
        <f t="shared" si="0"/>
        <v>Boulon 10x50+ 2 long đền vuông D12-50x50x3/Zn</v>
      </c>
      <c r="E21" s="1613" t="str">
        <f>'NT-VT'!D25</f>
        <v>bộ</v>
      </c>
      <c r="F21" s="1613">
        <f t="shared" ca="1" si="3"/>
        <v>24</v>
      </c>
      <c r="G21" s="1613">
        <f t="shared" ca="1" si="4"/>
        <v>24</v>
      </c>
      <c r="H21" s="1347"/>
      <c r="I21" s="1614" t="str">
        <f t="shared" si="5"/>
        <v/>
      </c>
    </row>
    <row r="22" spans="1:10" ht="25.2" hidden="1" customHeight="1">
      <c r="B22" s="1612" t="str">
        <f>'NT-VT'!A26</f>
        <v>B14350</v>
      </c>
      <c r="C22" s="1615">
        <f>SUM($I$2:I22)</f>
        <v>7</v>
      </c>
      <c r="D22" s="2058" t="str">
        <f t="shared" si="0"/>
        <v>Boulon 14x350+ 2 long đền vuông D16-50x50x3/Zn</v>
      </c>
      <c r="E22" s="1613" t="str">
        <f>'NT-VT'!D26</f>
        <v>bộ</v>
      </c>
      <c r="F22" s="1613">
        <f t="shared" ca="1" si="3"/>
        <v>36</v>
      </c>
      <c r="G22" s="1613">
        <f t="shared" ca="1" si="4"/>
        <v>36</v>
      </c>
      <c r="H22" s="1347"/>
      <c r="I22" s="1614" t="str">
        <f t="shared" si="5"/>
        <v/>
      </c>
      <c r="J22" s="1328"/>
    </row>
    <row r="23" spans="1:10" ht="33.6" hidden="1">
      <c r="B23" s="1612" t="str">
        <f>'NT-VT'!A27</f>
        <v>B16150</v>
      </c>
      <c r="C23" s="1615">
        <f>SUM($I$2:I23)</f>
        <v>7</v>
      </c>
      <c r="D23" s="2058" t="str">
        <f>VLOOKUP(B23,KhoiLuong,5,0)</f>
        <v>Boulon 16x150+ 2 long đền vuông D18-50x50x3/Zn</v>
      </c>
      <c r="E23" s="1613" t="str">
        <f>'NT-VT'!D27</f>
        <v>bộ</v>
      </c>
      <c r="F23" s="1613">
        <f t="shared" ca="1" si="3"/>
        <v>2</v>
      </c>
      <c r="G23" s="1613">
        <f t="shared" ca="1" si="4"/>
        <v>2</v>
      </c>
      <c r="H23" s="1347"/>
      <c r="I23" s="1614" t="str">
        <f t="shared" si="5"/>
        <v/>
      </c>
      <c r="J23" s="1488"/>
    </row>
    <row r="24" spans="1:10" ht="33.6" hidden="1">
      <c r="B24" s="1612" t="str">
        <f>'NT-VT'!A28</f>
        <v>B16250</v>
      </c>
      <c r="C24" s="1615">
        <f>SUM($I$2:I24)</f>
        <v>7</v>
      </c>
      <c r="D24" s="2058" t="str">
        <f t="shared" si="0"/>
        <v>Boulon 16x250+ 2 long đền vuông D18-50x50x3/Zn</v>
      </c>
      <c r="E24" s="1613" t="str">
        <f>'NT-VT'!D28</f>
        <v>bộ</v>
      </c>
      <c r="F24" s="1613">
        <f t="shared" ca="1" si="3"/>
        <v>46</v>
      </c>
      <c r="G24" s="1613">
        <f t="shared" ca="1" si="4"/>
        <v>46</v>
      </c>
      <c r="H24" s="1347"/>
      <c r="I24" s="1614" t="str">
        <f t="shared" si="5"/>
        <v/>
      </c>
      <c r="J24" s="1488"/>
    </row>
    <row r="25" spans="1:10" hidden="1">
      <c r="C25" s="1328"/>
      <c r="E25" s="1367"/>
      <c r="F25" s="1367"/>
      <c r="G25" s="1613">
        <f>VLOOKUP(B25,Solieu!G:L,6,0)</f>
        <v>0</v>
      </c>
      <c r="H25" s="1328"/>
      <c r="I25" s="1614" t="str">
        <f t="shared" si="5"/>
        <v/>
      </c>
    </row>
    <row r="26" spans="1:10" ht="9.6" hidden="1" customHeight="1">
      <c r="G26" s="1613">
        <f>VLOOKUP(B26,Solieu!G:L,6,0)</f>
        <v>0</v>
      </c>
      <c r="I26" s="1614" t="str">
        <f t="shared" si="5"/>
        <v/>
      </c>
    </row>
  </sheetData>
  <autoFilter ref="B1:I26" xr:uid="{00000000-0009-0000-0000-000021000000}">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B3:K67"/>
  <sheetViews>
    <sheetView topLeftCell="C7" workbookViewId="0">
      <selection activeCell="D9" sqref="D9:D31"/>
    </sheetView>
  </sheetViews>
  <sheetFormatPr defaultColWidth="8.90625" defaultRowHeight="16.8"/>
  <cols>
    <col min="1" max="1" width="8.90625" style="1329"/>
    <col min="2" max="2" width="14.453125" style="1218" customWidth="1"/>
    <col min="3" max="3" width="5.36328125" style="1329" customWidth="1"/>
    <col min="4" max="4" width="61.6328125" style="1329" customWidth="1"/>
    <col min="5" max="5" width="11.54296875" style="1329" hidden="1" customWidth="1"/>
    <col min="6" max="6" width="9.54296875" style="1329" hidden="1" customWidth="1"/>
    <col min="7" max="7" width="10.54296875" style="1329" customWidth="1"/>
    <col min="8" max="8" width="35.36328125" style="1329" customWidth="1"/>
    <col min="9" max="9" width="8.90625" style="1329"/>
    <col min="10" max="11" width="8.90625" style="2948"/>
    <col min="12" max="16384" width="8.90625" style="1329"/>
  </cols>
  <sheetData>
    <row r="3" spans="2:11">
      <c r="G3" s="1329" t="s">
        <v>1956</v>
      </c>
    </row>
    <row r="4" spans="2:11">
      <c r="D4" s="3261" t="str">
        <f>"- Tiếp địa TBA tại vị trí trụ số:"&amp;F4&amp;"."</f>
        <v>- Tiếp địa TBA tại vị trí trụ số:015/002.</v>
      </c>
      <c r="E4" s="3261"/>
      <c r="F4" s="1329" t="s">
        <v>4562</v>
      </c>
    </row>
    <row r="5" spans="2:11">
      <c r="D5" s="3261" t="str">
        <f>"- Tiếp địa lặp lại đường dây trung thế tại vị trí trụ số: "&amp;F5&amp;"."</f>
        <v>- Tiếp địa lặp lại đường dây trung thế tại vị trí trụ số: 015.</v>
      </c>
      <c r="E5" s="3261"/>
      <c r="F5" s="1607" t="s">
        <v>4556</v>
      </c>
    </row>
    <row r="6" spans="2:11">
      <c r="D6" s="3261" t="str">
        <f>"- Tiếp địa lặp lại đường dây trung thế tại vị trí trụ số: "&amp;F6&amp;"."</f>
        <v>- Tiếp địa lặp lại đường dây trung thế tại vị trí trụ số: .</v>
      </c>
      <c r="E6" s="3261"/>
      <c r="G6" s="1329" t="s">
        <v>512</v>
      </c>
    </row>
    <row r="8" spans="2:11" ht="36.6" customHeight="1">
      <c r="C8" s="1993" t="s">
        <v>1708</v>
      </c>
      <c r="D8" s="1993" t="s">
        <v>4202</v>
      </c>
      <c r="E8" s="1802" t="s">
        <v>4204</v>
      </c>
      <c r="F8" s="1802" t="s">
        <v>4205</v>
      </c>
      <c r="G8" s="1336" t="s">
        <v>1956</v>
      </c>
    </row>
    <row r="9" spans="2:11" ht="24.9" customHeight="1">
      <c r="C9" s="1877"/>
      <c r="D9" s="2001" t="str">
        <f>H9&amp;": "&amp;ROUND(K9,1)&amp;" "&amp;I9</f>
        <v>Tiếp địa lặp lại trụ 12m: 3 Bộ</v>
      </c>
      <c r="E9" s="1998" t="str">
        <f>Solieu!B1</f>
        <v>Thi công</v>
      </c>
      <c r="F9" s="2045" t="s">
        <v>4188</v>
      </c>
      <c r="G9" s="1329">
        <f>IF(SUM(G10:G16)&gt;0,1,"")</f>
        <v>1</v>
      </c>
      <c r="H9" s="1775" t="str">
        <f>chitiet!F640</f>
        <v>Tiếp địa lặp lại trụ 12m</v>
      </c>
      <c r="I9" s="1340" t="str">
        <f>chitiet!G640</f>
        <v>Bộ</v>
      </c>
      <c r="J9" s="2949">
        <f>chitiet!H640</f>
        <v>3</v>
      </c>
      <c r="K9" s="2949">
        <f>chitiet!P640</f>
        <v>3</v>
      </c>
    </row>
    <row r="10" spans="2:11" ht="24.9" customHeight="1">
      <c r="C10" s="2002"/>
      <c r="D10" s="2003" t="str">
        <f>" - "&amp;H10&amp;": "&amp;ROUND(J10,1)&amp;" "&amp;I10</f>
        <v xml:space="preserve"> - Cáp đồng trần M25mm2: 6,7 kg</v>
      </c>
      <c r="E10" s="1998"/>
      <c r="F10" s="2045"/>
      <c r="G10" s="1329">
        <f t="shared" ref="G10:G16" si="0">IF(K10&gt;0,1,"")</f>
        <v>1</v>
      </c>
      <c r="H10" s="1772" t="str">
        <f>chitiet!F641</f>
        <v>Cáp đồng trần M25mm2</v>
      </c>
      <c r="I10" s="1340" t="str">
        <f>chitiet!G641</f>
        <v>kg</v>
      </c>
      <c r="J10" s="2949">
        <f>chitiet!H641</f>
        <v>6.7200000000000006</v>
      </c>
      <c r="K10" s="2949">
        <f>chitiet!P641</f>
        <v>6.7200000000000006</v>
      </c>
    </row>
    <row r="11" spans="2:11" ht="24.9" customHeight="1">
      <c r="B11" s="1616"/>
      <c r="C11" s="2002"/>
      <c r="D11" s="2003" t="str">
        <f t="shared" ref="D11:D17" si="1">" - "&amp;H11&amp;": "&amp;ROUND(J11,1)&amp;" "&amp;I11</f>
        <v xml:space="preserve"> - Cọc tiếp đất Þ 16- 2,4m + kẹp cọc mạ đồng: 3 bộ</v>
      </c>
      <c r="E11" s="1998"/>
      <c r="F11" s="2045"/>
      <c r="G11" s="1329">
        <f t="shared" si="0"/>
        <v>1</v>
      </c>
      <c r="H11" s="1772" t="str">
        <f>chitiet!F642</f>
        <v>Cọc tiếp đất Þ 16- 2,4m + kẹp cọc mạ đồng</v>
      </c>
      <c r="I11" s="1340" t="str">
        <f>chitiet!G642</f>
        <v>bộ</v>
      </c>
      <c r="J11" s="2949">
        <f>chitiet!H642</f>
        <v>3</v>
      </c>
      <c r="K11" s="2949">
        <f>chitiet!P642</f>
        <v>3</v>
      </c>
    </row>
    <row r="12" spans="2:11" ht="24.9" customHeight="1">
      <c r="C12" s="2002"/>
      <c r="D12" s="2003" t="str">
        <f t="shared" si="1"/>
        <v xml:space="preserve"> - Kẹp ép WR cỡ dây 50mm2: 6 cái</v>
      </c>
      <c r="E12" s="1998"/>
      <c r="F12" s="2045"/>
      <c r="G12" s="1329">
        <f t="shared" si="0"/>
        <v>1</v>
      </c>
      <c r="H12" s="1772" t="str">
        <f>chitiet!F643</f>
        <v>Kẹp ép WR cỡ dây 50mm2</v>
      </c>
      <c r="I12" s="1340" t="str">
        <f>chitiet!G643</f>
        <v>cái</v>
      </c>
      <c r="J12" s="2949">
        <f>chitiet!H643</f>
        <v>6</v>
      </c>
      <c r="K12" s="2949">
        <f>chitiet!P643</f>
        <v>6</v>
      </c>
    </row>
    <row r="13" spans="2:11" ht="24.9" customHeight="1">
      <c r="C13" s="2002"/>
      <c r="D13" s="2003" t="str">
        <f t="shared" si="1"/>
        <v xml:space="preserve"> - Ốc siết cáp cỡ 25mm2: 6 cái</v>
      </c>
      <c r="E13" s="1937"/>
      <c r="F13" s="1884"/>
      <c r="G13" s="1329">
        <f t="shared" si="0"/>
        <v>1</v>
      </c>
      <c r="H13" s="1772" t="str">
        <f>chitiet!F646</f>
        <v>Ốc siết cáp cỡ 25mm2</v>
      </c>
      <c r="I13" s="1340" t="str">
        <f>chitiet!G646</f>
        <v>cái</v>
      </c>
      <c r="J13" s="2949">
        <f>chitiet!H646</f>
        <v>6</v>
      </c>
      <c r="K13" s="2949">
        <f>chitiet!$P$646</f>
        <v>6</v>
      </c>
    </row>
    <row r="14" spans="2:11" ht="24.9" hidden="1" customHeight="1">
      <c r="C14" s="2002"/>
      <c r="D14" s="2003" t="str">
        <f t="shared" si="1"/>
        <v xml:space="preserve"> - : 0 </v>
      </c>
      <c r="E14" s="1937"/>
      <c r="F14" s="1884"/>
      <c r="G14" s="1329" t="str">
        <f t="shared" si="0"/>
        <v/>
      </c>
      <c r="H14" s="1772"/>
      <c r="I14" s="1340"/>
      <c r="J14" s="2949"/>
      <c r="K14" s="2949"/>
    </row>
    <row r="15" spans="2:11" ht="24.9" hidden="1" customHeight="1">
      <c r="C15" s="2002"/>
      <c r="D15" s="2003" t="str">
        <f t="shared" si="1"/>
        <v xml:space="preserve"> - : 0 </v>
      </c>
      <c r="E15" s="1937"/>
      <c r="F15" s="1884"/>
      <c r="G15" s="1329" t="str">
        <f t="shared" si="0"/>
        <v/>
      </c>
      <c r="H15" s="1772"/>
      <c r="I15" s="1340"/>
      <c r="J15" s="2949"/>
      <c r="K15" s="2949"/>
    </row>
    <row r="16" spans="2:11" ht="24.9" hidden="1" customHeight="1">
      <c r="C16" s="2002"/>
      <c r="D16" s="2003" t="str">
        <f t="shared" si="1"/>
        <v xml:space="preserve"> - : 0 </v>
      </c>
      <c r="E16" s="1937"/>
      <c r="F16" s="1884"/>
      <c r="G16" s="1329" t="str">
        <f t="shared" si="0"/>
        <v/>
      </c>
      <c r="H16" s="1772"/>
      <c r="I16" s="1340"/>
      <c r="J16" s="2949"/>
      <c r="K16" s="2949"/>
    </row>
    <row r="17" spans="2:11" ht="27" customHeight="1">
      <c r="C17" s="1877"/>
      <c r="D17" s="2003" t="str">
        <f t="shared" si="1"/>
        <v xml:space="preserve"> - Độ chôn sâu đầu cọc đến mặt đất: 0,5 mét</v>
      </c>
      <c r="E17" s="1999"/>
      <c r="F17" s="1938"/>
      <c r="G17" s="1329">
        <f>G9</f>
        <v>1</v>
      </c>
      <c r="H17" s="1950" t="s">
        <v>4798</v>
      </c>
      <c r="I17" s="2004" t="s">
        <v>2532</v>
      </c>
      <c r="J17" s="2950">
        <v>0.5</v>
      </c>
      <c r="K17" s="2950"/>
    </row>
    <row r="18" spans="2:11" ht="24.9" customHeight="1">
      <c r="C18" s="1877"/>
      <c r="D18" s="2001" t="str">
        <f>H18&amp;": "&amp;ROUND(J18,1)&amp;" "&amp;I18</f>
        <v>Bộ tiếp địa Trạm 3 pha: 1 Bộ</v>
      </c>
      <c r="E18" s="1998" t="str">
        <f>Solieu!B9</f>
        <v>x</v>
      </c>
      <c r="F18" s="1927" t="s">
        <v>4188</v>
      </c>
      <c r="G18" s="1329">
        <v>1</v>
      </c>
      <c r="H18" s="2087" t="str">
        <f>CT_tram!F2450</f>
        <v>Bộ tiếp địa Trạm 3 pha</v>
      </c>
      <c r="I18" s="1777" t="str">
        <f>CT_tram!G2450</f>
        <v>Bộ</v>
      </c>
      <c r="J18" s="1777">
        <f>CT_tram!H2450</f>
        <v>1</v>
      </c>
      <c r="K18" s="3039">
        <f>CT_tram!I2450</f>
        <v>1</v>
      </c>
    </row>
    <row r="19" spans="2:11" ht="24.9" customHeight="1">
      <c r="C19" s="2002"/>
      <c r="D19" s="2003" t="str">
        <f>" - "&amp;H19&amp;": "&amp;ROUND(J19,1)&amp;" "&amp;I19</f>
        <v xml:space="preserve"> - Cáp đồng trần M25mm2: 10m noái leân voû caùc thieát bò: 11,9 kg</v>
      </c>
      <c r="E19" s="1998"/>
      <c r="F19" s="1927"/>
      <c r="G19" s="1329">
        <f t="shared" ref="G19:G30" si="2">IF(K19&gt;0,1,"")</f>
        <v>1</v>
      </c>
      <c r="H19" s="1774" t="str">
        <f>CT_tram!F2453</f>
        <v>Cáp đồng trần M25mm2: 10m noái leân voû caùc thieát bò</v>
      </c>
      <c r="I19" s="1777" t="str">
        <f>CT_tram!G2453</f>
        <v>kg</v>
      </c>
      <c r="J19" s="2949">
        <f>CT_tram!H2453</f>
        <v>11.87</v>
      </c>
      <c r="K19" s="2948">
        <f>CT_tram!I2453</f>
        <v>11.87</v>
      </c>
    </row>
    <row r="20" spans="2:11" ht="24.9" customHeight="1">
      <c r="B20" s="1616"/>
      <c r="C20" s="2002"/>
      <c r="D20" s="2003" t="str">
        <f t="shared" ref="D20:D31" si="3">" - "&amp;H20&amp;": "&amp;ROUND(J20,1)&amp;" "&amp;I20</f>
        <v xml:space="preserve"> - Cọc tiếp đất Þ 16- 2,4m + kẹp cọc mạ đồng: 10 bộ</v>
      </c>
      <c r="E20" s="1998"/>
      <c r="F20" s="1927"/>
      <c r="G20" s="1329">
        <f t="shared" si="2"/>
        <v>1</v>
      </c>
      <c r="H20" s="1774" t="str">
        <f>CT_tram!F2454</f>
        <v>Cọc tiếp đất Þ 16- 2,4m + kẹp cọc mạ đồng</v>
      </c>
      <c r="I20" s="1777" t="str">
        <f>CT_tram!G2454</f>
        <v>bộ</v>
      </c>
      <c r="J20" s="2949">
        <f>CT_tram!H2454</f>
        <v>10</v>
      </c>
      <c r="K20" s="2948">
        <f>CT_tram!I2454</f>
        <v>10</v>
      </c>
    </row>
    <row r="21" spans="2:11" ht="24.9" customHeight="1">
      <c r="C21" s="2002"/>
      <c r="D21" s="2003" t="str">
        <f t="shared" si="3"/>
        <v xml:space="preserve"> - Kẹp ép WR cỡ dây 50mm2: 2 cái</v>
      </c>
      <c r="E21" s="1998"/>
      <c r="F21" s="1927"/>
      <c r="G21" s="1329">
        <f t="shared" si="2"/>
        <v>1</v>
      </c>
      <c r="H21" s="1774" t="str">
        <f>CT_tram!F2456</f>
        <v>Kẹp ép WR cỡ dây 50mm2</v>
      </c>
      <c r="I21" s="1777" t="str">
        <f>CT_tram!G2456</f>
        <v>cái</v>
      </c>
      <c r="J21" s="2949">
        <f>CT_tram!H2456</f>
        <v>2</v>
      </c>
      <c r="K21" s="2948">
        <f>CT_tram!I2456</f>
        <v>2</v>
      </c>
    </row>
    <row r="22" spans="2:11" ht="24.9" customHeight="1">
      <c r="C22" s="2002"/>
      <c r="D22" s="2003" t="str">
        <f t="shared" si="3"/>
        <v xml:space="preserve"> - Ốc siết cáp cỡ 25mm2: 8 cái</v>
      </c>
      <c r="E22" s="1937"/>
      <c r="F22" s="1884"/>
      <c r="G22" s="1329">
        <f t="shared" si="2"/>
        <v>1</v>
      </c>
      <c r="H22" s="1774" t="str">
        <f>CT_tram!F2458</f>
        <v>Ốc siết cáp cỡ 25mm2</v>
      </c>
      <c r="I22" s="1777" t="str">
        <f>CT_tram!G2458</f>
        <v>cái</v>
      </c>
      <c r="J22" s="2949">
        <f>CT_tram!H2458</f>
        <v>8</v>
      </c>
      <c r="K22" s="2948">
        <f>CT_tram!I2458</f>
        <v>8</v>
      </c>
    </row>
    <row r="23" spans="2:11" ht="24.9" hidden="1" customHeight="1">
      <c r="C23" s="2002"/>
      <c r="D23" s="2003" t="str">
        <f>" - "&amp;H23&amp;": "&amp;ROUND(J23,1)&amp;" "&amp;I23</f>
        <v xml:space="preserve"> - : 0 </v>
      </c>
      <c r="E23" s="1937"/>
      <c r="F23" s="1884"/>
      <c r="G23" s="1329" t="str">
        <f t="shared" si="2"/>
        <v/>
      </c>
      <c r="H23" s="1774"/>
      <c r="I23" s="1777"/>
      <c r="J23" s="2949"/>
      <c r="K23" s="2949"/>
    </row>
    <row r="24" spans="2:11" ht="24.9" hidden="1" customHeight="1">
      <c r="C24" s="2002"/>
      <c r="D24" s="2003" t="str">
        <f>" - "&amp;H24&amp;": "&amp;ROUND(J24,1)&amp;" "&amp;I24</f>
        <v xml:space="preserve"> - : 0 </v>
      </c>
      <c r="E24" s="1937"/>
      <c r="F24" s="1884"/>
      <c r="G24" s="1329" t="str">
        <f t="shared" si="2"/>
        <v/>
      </c>
      <c r="H24" s="1774"/>
      <c r="I24" s="1777"/>
      <c r="J24" s="2949"/>
      <c r="K24" s="2949"/>
    </row>
    <row r="25" spans="2:11" ht="24.9" hidden="1" customHeight="1">
      <c r="C25" s="2002"/>
      <c r="D25" s="2003" t="str">
        <f t="shared" si="3"/>
        <v xml:space="preserve"> - : 0 </v>
      </c>
      <c r="E25" s="1937"/>
      <c r="F25" s="1884"/>
      <c r="G25" s="1329" t="str">
        <f t="shared" si="2"/>
        <v/>
      </c>
      <c r="H25" s="1772"/>
      <c r="I25" s="1340"/>
      <c r="J25" s="2949"/>
      <c r="K25" s="2949"/>
    </row>
    <row r="26" spans="2:11" ht="24.9" hidden="1" customHeight="1">
      <c r="C26" s="2002"/>
      <c r="D26" s="2003" t="str">
        <f t="shared" ref="D26:D28" si="4">" - "&amp;H26&amp;": "&amp;ROUND(J26,1)&amp;" "&amp;I26</f>
        <v xml:space="preserve"> - : 0 </v>
      </c>
      <c r="E26" s="1937"/>
      <c r="F26" s="1884"/>
      <c r="G26" s="1329" t="str">
        <f t="shared" ref="G26:G28" si="5">IF(K26&gt;0,1,"")</f>
        <v/>
      </c>
      <c r="H26" s="1772"/>
      <c r="I26" s="1340"/>
      <c r="J26" s="2949"/>
      <c r="K26" s="2949"/>
    </row>
    <row r="27" spans="2:11" ht="24.9" hidden="1" customHeight="1">
      <c r="C27" s="2002"/>
      <c r="D27" s="2003" t="str">
        <f t="shared" si="4"/>
        <v xml:space="preserve"> - : 0 </v>
      </c>
      <c r="E27" s="1937"/>
      <c r="F27" s="1884"/>
      <c r="G27" s="1329" t="str">
        <f t="shared" si="5"/>
        <v/>
      </c>
      <c r="H27" s="1772"/>
      <c r="I27" s="1340"/>
      <c r="J27" s="2949"/>
      <c r="K27" s="2949"/>
    </row>
    <row r="28" spans="2:11" ht="24.9" hidden="1" customHeight="1">
      <c r="C28" s="2002"/>
      <c r="D28" s="2003" t="str">
        <f t="shared" si="4"/>
        <v xml:space="preserve"> - : 0 </v>
      </c>
      <c r="E28" s="1937"/>
      <c r="F28" s="1884"/>
      <c r="G28" s="1329" t="str">
        <f t="shared" si="5"/>
        <v/>
      </c>
      <c r="H28" s="1772"/>
      <c r="I28" s="1340"/>
      <c r="J28" s="2949"/>
      <c r="K28" s="2949"/>
    </row>
    <row r="29" spans="2:11" ht="24.9" hidden="1" customHeight="1">
      <c r="C29" s="2002"/>
      <c r="D29" s="2003" t="str">
        <f t="shared" si="3"/>
        <v xml:space="preserve"> - : 0 </v>
      </c>
      <c r="E29" s="1937"/>
      <c r="F29" s="1884"/>
      <c r="G29" s="1329" t="str">
        <f t="shared" si="2"/>
        <v/>
      </c>
      <c r="H29" s="1772"/>
      <c r="I29" s="1340"/>
      <c r="J29" s="2949"/>
      <c r="K29" s="2949"/>
    </row>
    <row r="30" spans="2:11" ht="24.9" hidden="1" customHeight="1">
      <c r="C30" s="2002"/>
      <c r="D30" s="2003" t="str">
        <f t="shared" si="3"/>
        <v xml:space="preserve"> - Khoảng cách cọc cách cọc: 3 mét</v>
      </c>
      <c r="E30" s="1937"/>
      <c r="F30" s="1884"/>
      <c r="G30" s="1329" t="str">
        <f t="shared" si="2"/>
        <v/>
      </c>
      <c r="H30" s="1950" t="s">
        <v>4799</v>
      </c>
      <c r="I30" s="2004" t="s">
        <v>2532</v>
      </c>
      <c r="J30" s="2950">
        <v>3</v>
      </c>
      <c r="K30" s="2949"/>
    </row>
    <row r="31" spans="2:11" ht="24.9" customHeight="1">
      <c r="C31" s="1877"/>
      <c r="D31" s="2003" t="str">
        <f t="shared" si="3"/>
        <v xml:space="preserve"> - Độ chôn sâu đầu cọc đến mặt đất: 0,5 mét</v>
      </c>
      <c r="E31" s="1999"/>
      <c r="F31" s="1938"/>
      <c r="G31" s="1329">
        <f>G18</f>
        <v>1</v>
      </c>
      <c r="H31" s="1950" t="s">
        <v>4798</v>
      </c>
      <c r="I31" s="2004" t="s">
        <v>2532</v>
      </c>
      <c r="J31" s="2950">
        <v>0.5</v>
      </c>
      <c r="K31" s="2950"/>
    </row>
    <row r="32" spans="2:11" ht="24.9" hidden="1" customHeight="1">
      <c r="C32" s="1877"/>
      <c r="D32" s="2001" t="str">
        <f>H32&amp;": "&amp;ROUND(J32,1)&amp;" "&amp;I32</f>
        <v xml:space="preserve">: 0 </v>
      </c>
      <c r="E32" s="1998" t="str">
        <f>E18</f>
        <v>x</v>
      </c>
      <c r="F32" s="1927" t="s">
        <v>4188</v>
      </c>
      <c r="G32" s="1329" t="str">
        <f>IF(SUM(G33:G36)&gt;0,1,"")</f>
        <v/>
      </c>
      <c r="H32" s="1773"/>
      <c r="I32" s="1776"/>
      <c r="J32" s="2951"/>
      <c r="K32" s="2951"/>
    </row>
    <row r="33" spans="3:11" ht="24.9" hidden="1" customHeight="1">
      <c r="C33" s="1877"/>
      <c r="D33" s="2003" t="str">
        <f>H33&amp;": "&amp;ROUND(J33,1)&amp;" "&amp;I33</f>
        <v xml:space="preserve">: 0 </v>
      </c>
      <c r="E33" s="1999"/>
      <c r="F33" s="1938"/>
      <c r="G33" s="1329" t="str">
        <f>IF(K33&gt;0,1,"")</f>
        <v/>
      </c>
      <c r="H33" s="1774"/>
      <c r="I33" s="1777"/>
      <c r="J33" s="2949"/>
      <c r="K33" s="2949"/>
    </row>
    <row r="34" spans="3:11" ht="24.9" hidden="1" customHeight="1">
      <c r="C34" s="1877"/>
      <c r="D34" s="2003" t="str">
        <f>" - "&amp;H34&amp;": "&amp;ROUND(J34,1)&amp;" "&amp;I34</f>
        <v xml:space="preserve"> - : 0 </v>
      </c>
      <c r="E34" s="1999"/>
      <c r="F34" s="1938"/>
      <c r="G34" s="1329" t="str">
        <f t="shared" ref="G34:G40" si="6">IF(K34&gt;0,1,"")</f>
        <v/>
      </c>
      <c r="H34" s="1774"/>
      <c r="I34" s="1777"/>
      <c r="J34" s="2949"/>
      <c r="K34" s="2949"/>
    </row>
    <row r="35" spans="3:11" ht="24.9" hidden="1" customHeight="1">
      <c r="C35" s="1877"/>
      <c r="D35" s="2003" t="str">
        <f t="shared" ref="D35:D46" si="7">" - "&amp;H35&amp;": "&amp;ROUND(J35,1)&amp;" "&amp;I35</f>
        <v xml:space="preserve"> - : 0 </v>
      </c>
      <c r="E35" s="1999"/>
      <c r="F35" s="1938"/>
      <c r="G35" s="1329" t="str">
        <f t="shared" si="6"/>
        <v/>
      </c>
      <c r="H35" s="1774"/>
      <c r="I35" s="1777"/>
      <c r="J35" s="2949"/>
      <c r="K35" s="2949"/>
    </row>
    <row r="36" spans="3:11" ht="24.9" hidden="1" customHeight="1">
      <c r="C36" s="1877"/>
      <c r="D36" s="2003" t="str">
        <f t="shared" si="7"/>
        <v xml:space="preserve"> - : 0 </v>
      </c>
      <c r="E36" s="1999"/>
      <c r="F36" s="1938"/>
      <c r="G36" s="1329" t="str">
        <f t="shared" si="6"/>
        <v/>
      </c>
      <c r="H36" s="1774"/>
      <c r="I36" s="1777"/>
      <c r="J36" s="2949"/>
      <c r="K36" s="2949"/>
    </row>
    <row r="37" spans="3:11" ht="24.9" hidden="1" customHeight="1">
      <c r="C37" s="1877"/>
      <c r="D37" s="2003" t="str">
        <f t="shared" si="7"/>
        <v xml:space="preserve"> - : 0 </v>
      </c>
      <c r="E37" s="1998"/>
      <c r="F37" s="1927"/>
      <c r="G37" s="1329" t="str">
        <f t="shared" si="6"/>
        <v/>
      </c>
      <c r="H37" s="1774"/>
      <c r="I37" s="1777"/>
      <c r="J37" s="2949"/>
      <c r="K37" s="2949"/>
    </row>
    <row r="38" spans="3:11" ht="24.9" hidden="1" customHeight="1">
      <c r="C38" s="1877"/>
      <c r="D38" s="2003" t="str">
        <f t="shared" si="7"/>
        <v xml:space="preserve"> - : 0 </v>
      </c>
      <c r="E38" s="1998"/>
      <c r="F38" s="1927"/>
      <c r="G38" s="1329" t="str">
        <f t="shared" si="6"/>
        <v/>
      </c>
      <c r="H38" s="1774"/>
      <c r="I38" s="1777"/>
      <c r="J38" s="2949"/>
      <c r="K38" s="2949"/>
    </row>
    <row r="39" spans="3:11" ht="24.9" hidden="1" customHeight="1">
      <c r="C39" s="1877"/>
      <c r="D39" s="2003" t="str">
        <f t="shared" si="7"/>
        <v xml:space="preserve"> - : 0 </v>
      </c>
      <c r="E39" s="2000"/>
      <c r="F39" s="1800"/>
      <c r="G39" s="1329" t="str">
        <f t="shared" si="6"/>
        <v/>
      </c>
      <c r="H39" s="1772"/>
      <c r="I39" s="1340"/>
      <c r="J39" s="2949"/>
      <c r="K39" s="2949"/>
    </row>
    <row r="40" spans="3:11" ht="24.9" hidden="1" customHeight="1">
      <c r="C40" s="1877"/>
      <c r="D40" s="2003" t="str">
        <f t="shared" si="7"/>
        <v xml:space="preserve"> - : 0 </v>
      </c>
      <c r="E40" s="2000"/>
      <c r="F40" s="1800"/>
      <c r="G40" s="1329" t="str">
        <f t="shared" si="6"/>
        <v/>
      </c>
      <c r="H40" s="1772"/>
      <c r="I40" s="1340"/>
      <c r="J40" s="2949"/>
      <c r="K40" s="2949"/>
    </row>
    <row r="41" spans="3:11" ht="24.9" hidden="1" customHeight="1">
      <c r="C41" s="1877"/>
      <c r="D41" s="2003" t="str">
        <f>" - "&amp;H41&amp;": "&amp;ROUND(J41,1)&amp;" "&amp;I41</f>
        <v xml:space="preserve"> - : 0 </v>
      </c>
      <c r="E41" s="2000"/>
      <c r="F41" s="1800"/>
      <c r="G41" s="1329" t="str">
        <f>IF(K41&gt;0,1,"")</f>
        <v/>
      </c>
      <c r="H41" s="1772"/>
      <c r="I41" s="1340"/>
      <c r="J41" s="2949"/>
      <c r="K41" s="2949"/>
    </row>
    <row r="42" spans="3:11" ht="24.9" hidden="1" customHeight="1">
      <c r="C42" s="1877"/>
      <c r="D42" s="2003" t="str">
        <f>" - "&amp;H42&amp;": "&amp;ROUND(J42,1)&amp;" "&amp;I42</f>
        <v xml:space="preserve"> - : 0 </v>
      </c>
      <c r="E42" s="2000"/>
      <c r="F42" s="1800"/>
      <c r="G42" s="1329" t="str">
        <f>IF(K42&gt;0,1,"")</f>
        <v/>
      </c>
      <c r="H42" s="1772"/>
      <c r="I42" s="1340"/>
      <c r="J42" s="2949"/>
      <c r="K42" s="2949"/>
    </row>
    <row r="43" spans="3:11" ht="24.9" hidden="1" customHeight="1">
      <c r="C43" s="1877"/>
      <c r="D43" s="2003" t="str">
        <f>" - "&amp;H43&amp;": "&amp;ROUND(J43,1)&amp;" "&amp;I43</f>
        <v xml:space="preserve"> - : 0 </v>
      </c>
      <c r="E43" s="2000"/>
      <c r="F43" s="1800"/>
      <c r="G43" s="1329" t="str">
        <f>IF(K43&gt;0,1,"")</f>
        <v/>
      </c>
      <c r="H43" s="1772"/>
      <c r="I43" s="1340"/>
      <c r="J43" s="2949"/>
      <c r="K43" s="2949"/>
    </row>
    <row r="44" spans="3:11" ht="24.9" hidden="1" customHeight="1">
      <c r="C44" s="1877"/>
      <c r="D44" s="2003" t="str">
        <f>" - "&amp;H44&amp;": "&amp;ROUND(J44,1)&amp;" "&amp;I44</f>
        <v xml:space="preserve"> - : 0 </v>
      </c>
      <c r="E44" s="2000"/>
      <c r="F44" s="1800"/>
      <c r="G44" s="1329" t="str">
        <f>IF(K44&gt;0,1,"")</f>
        <v/>
      </c>
      <c r="H44" s="1772"/>
      <c r="I44" s="1340"/>
      <c r="J44" s="2949"/>
      <c r="K44" s="2949"/>
    </row>
    <row r="45" spans="3:11" ht="24.9" hidden="1" customHeight="1">
      <c r="C45" s="1877"/>
      <c r="D45" s="2003" t="str">
        <f t="shared" si="7"/>
        <v xml:space="preserve"> - Độ chôn sâu đầu cọc đến mặt đất: 0,5 mét</v>
      </c>
      <c r="E45" s="1999"/>
      <c r="F45" s="1938"/>
      <c r="G45" s="1329" t="str">
        <f>G32</f>
        <v/>
      </c>
      <c r="H45" s="1950" t="s">
        <v>4798</v>
      </c>
      <c r="I45" s="2004" t="s">
        <v>2532</v>
      </c>
      <c r="J45" s="2950">
        <v>0.5</v>
      </c>
      <c r="K45" s="2950"/>
    </row>
    <row r="46" spans="3:11" ht="24.9" hidden="1" customHeight="1">
      <c r="C46" s="1877"/>
      <c r="D46" s="2003" t="str">
        <f t="shared" si="7"/>
        <v xml:space="preserve"> - Khoảng cách cọc cách cọc: 3 mét</v>
      </c>
      <c r="E46" s="1999"/>
      <c r="F46" s="1938"/>
      <c r="G46" s="1329" t="str">
        <f>G32</f>
        <v/>
      </c>
      <c r="H46" s="1950" t="s">
        <v>4799</v>
      </c>
      <c r="I46" s="2004" t="s">
        <v>2532</v>
      </c>
      <c r="J46" s="2950">
        <v>3</v>
      </c>
      <c r="K46" s="2950"/>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2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1:L34"/>
  <sheetViews>
    <sheetView topLeftCell="C1" workbookViewId="0">
      <selection activeCell="J16" sqref="J16"/>
    </sheetView>
  </sheetViews>
  <sheetFormatPr defaultColWidth="8.90625" defaultRowHeight="24.9" customHeight="1"/>
  <cols>
    <col min="1" max="2" width="8.90625" style="1329"/>
    <col min="3" max="3" width="3.36328125" style="1329" customWidth="1"/>
    <col min="4" max="4" width="60.6328125" style="2063" customWidth="1"/>
    <col min="5" max="6" width="3.453125" style="1329" customWidth="1"/>
    <col min="7" max="7" width="5.90625" style="1790" bestFit="1" customWidth="1"/>
    <col min="8" max="8" width="30.81640625" style="2063" customWidth="1"/>
    <col min="9" max="16384" width="8.90625" style="1329"/>
  </cols>
  <sheetData>
    <row r="1" spans="2:12" ht="16.8"/>
    <row r="2" spans="2:12" ht="16.8">
      <c r="F2" s="2012">
        <f>72/88</f>
        <v>0.81818181818181823</v>
      </c>
      <c r="G2" s="2050">
        <f>62/88</f>
        <v>0.70454545454545459</v>
      </c>
    </row>
    <row r="3" spans="2:12" ht="16.8">
      <c r="C3" s="2064"/>
      <c r="D3" s="2003"/>
      <c r="E3" s="2064"/>
      <c r="F3" s="2064"/>
    </row>
    <row r="4" spans="2:12" ht="16.8">
      <c r="C4" s="2064"/>
      <c r="D4" s="2003"/>
      <c r="E4" s="2064"/>
      <c r="F4" s="2064"/>
    </row>
    <row r="5" spans="2:12" ht="16.8">
      <c r="C5" s="2064"/>
      <c r="D5" s="2003"/>
      <c r="E5" s="2064"/>
      <c r="F5" s="2064"/>
    </row>
    <row r="6" spans="2:12" ht="16.8">
      <c r="C6" s="3262" t="s">
        <v>4202</v>
      </c>
      <c r="D6" s="3262"/>
      <c r="E6" s="2062"/>
      <c r="F6" s="2062"/>
    </row>
    <row r="7" spans="2:12" ht="24" customHeight="1">
      <c r="C7" s="2065"/>
      <c r="D7" s="2066" t="s">
        <v>4209</v>
      </c>
      <c r="E7" s="2007"/>
      <c r="F7" s="2062"/>
      <c r="G7" s="2051">
        <v>1</v>
      </c>
      <c r="H7" s="2060" t="str">
        <f>chitiet!F1860</f>
        <v>Phụ kiện đấu nối đầu đường dây</v>
      </c>
      <c r="I7" s="2061">
        <f>chitiet!G1860</f>
        <v>0</v>
      </c>
      <c r="J7" s="2061">
        <f>chitiet!H1860</f>
        <v>0</v>
      </c>
      <c r="K7" s="2061">
        <f>chitiet!P1860</f>
        <v>0</v>
      </c>
      <c r="L7" s="2061"/>
    </row>
    <row r="8" spans="2:12" ht="24" customHeight="1">
      <c r="B8" s="2067"/>
      <c r="C8" s="2065"/>
      <c r="D8" s="2068" t="str">
        <f>" - "&amp;H8&amp;": "&amp;K8&amp;" "&amp;I8&amp;"."</f>
        <v xml:space="preserve"> - Dây buộc đầu sứ cỡ dây 95mm2: 86 cái.</v>
      </c>
      <c r="E8" s="2007"/>
      <c r="F8" s="2062"/>
      <c r="G8" s="2051">
        <f>IF(K8&gt;0,1,"")</f>
        <v>1</v>
      </c>
      <c r="H8" s="2009" t="str">
        <f>chitiet!F1861</f>
        <v>Dây buộc đầu sứ cỡ dây 95mm2</v>
      </c>
      <c r="I8" s="1947" t="str">
        <f>chitiet!G1861</f>
        <v>cái</v>
      </c>
      <c r="J8" s="1947">
        <f>chitiet!H1861</f>
        <v>86</v>
      </c>
      <c r="K8" s="1947">
        <f>chitiet!P1861</f>
        <v>86</v>
      </c>
      <c r="L8" s="1947"/>
    </row>
    <row r="9" spans="2:12" ht="24" customHeight="1">
      <c r="B9" s="2069"/>
      <c r="C9" s="2065"/>
      <c r="D9" s="2068" t="str">
        <f t="shared" ref="D9:D17" si="0">" - "&amp;H9&amp;": "&amp;K9&amp;" "&amp;I9&amp;"."</f>
        <v xml:space="preserve"> - Dây buộc cổ sứ cỡ dây 95mm2: 60 cái.</v>
      </c>
      <c r="E9" s="2007"/>
      <c r="F9" s="2062"/>
      <c r="G9" s="2051">
        <f t="shared" ref="G9:G34" si="1">IF(K9&gt;0,1,"")</f>
        <v>1</v>
      </c>
      <c r="H9" s="2009" t="str">
        <f>chitiet!F1862</f>
        <v>Dây buộc cổ sứ cỡ dây 95mm2</v>
      </c>
      <c r="I9" s="1947" t="str">
        <f>chitiet!G1862</f>
        <v>cái</v>
      </c>
      <c r="J9" s="1947">
        <f>chitiet!H1862</f>
        <v>60</v>
      </c>
      <c r="K9" s="1947">
        <f>chitiet!P1862</f>
        <v>60</v>
      </c>
      <c r="L9" s="1947"/>
    </row>
    <row r="10" spans="2:12" ht="24" customHeight="1">
      <c r="C10" s="2065"/>
      <c r="D10" s="2068" t="str">
        <f t="shared" si="0"/>
        <v xml:space="preserve"> - Kẹp quai 4/0: 9 cái.</v>
      </c>
      <c r="E10" s="2007"/>
      <c r="F10" s="2062"/>
      <c r="G10" s="2051">
        <f t="shared" si="1"/>
        <v>1</v>
      </c>
      <c r="H10" s="2009" t="str">
        <f>chitiet!F1865</f>
        <v>Kẹp quai 4/0</v>
      </c>
      <c r="I10" s="1947" t="str">
        <f>chitiet!G1865</f>
        <v>cái</v>
      </c>
      <c r="J10" s="1947">
        <f>chitiet!H1865</f>
        <v>9</v>
      </c>
      <c r="K10" s="1947">
        <f>chitiet!P1865</f>
        <v>9</v>
      </c>
      <c r="L10" s="1947"/>
    </row>
    <row r="11" spans="2:12" ht="24" customHeight="1">
      <c r="B11" s="2070"/>
      <c r="C11" s="2065"/>
      <c r="D11" s="2068" t="str">
        <f t="shared" si="0"/>
        <v xml:space="preserve"> - Kẹp hotline 4/0: 9 cái.</v>
      </c>
      <c r="E11" s="2007"/>
      <c r="F11" s="2062"/>
      <c r="G11" s="2051">
        <f t="shared" si="1"/>
        <v>1</v>
      </c>
      <c r="H11" s="2010" t="str">
        <f>chitiet!F1866</f>
        <v>Kẹp hotline 4/0</v>
      </c>
      <c r="I11" s="1947" t="str">
        <f>chitiet!G1866</f>
        <v>cái</v>
      </c>
      <c r="J11" s="1947">
        <f>chitiet!H1866</f>
        <v>9</v>
      </c>
      <c r="K11" s="1947">
        <f>chitiet!P1866</f>
        <v>9</v>
      </c>
      <c r="L11" s="1947"/>
    </row>
    <row r="12" spans="2:12" ht="24.9" customHeight="1">
      <c r="C12" s="2065"/>
      <c r="D12" s="2068" t="str">
        <f t="shared" si="0"/>
        <v xml:space="preserve"> - Kẹp ép WR cỡ dây 70mm2: 4 cái.</v>
      </c>
      <c r="E12" s="2007"/>
      <c r="F12" s="2062"/>
      <c r="G12" s="2051">
        <f t="shared" si="1"/>
        <v>1</v>
      </c>
      <c r="H12" s="2009" t="str">
        <f>chitiet!F1867</f>
        <v>Kẹp ép WR cỡ dây 70mm2</v>
      </c>
      <c r="I12" s="1947" t="str">
        <f>chitiet!G1867</f>
        <v>cái</v>
      </c>
      <c r="J12" s="1947">
        <f>chitiet!H1867</f>
        <v>4</v>
      </c>
      <c r="K12" s="1947">
        <f>chitiet!P1867</f>
        <v>4</v>
      </c>
      <c r="L12" s="1947"/>
    </row>
    <row r="13" spans="2:12" ht="24.9" customHeight="1">
      <c r="C13" s="2065"/>
      <c r="D13" s="2068" t="str">
        <f t="shared" si="0"/>
        <v xml:space="preserve"> - Kẹp ép WR cỡ dây 95mm2: 42 cái.</v>
      </c>
      <c r="E13" s="2007"/>
      <c r="F13" s="2062"/>
      <c r="G13" s="2051">
        <f t="shared" si="1"/>
        <v>1</v>
      </c>
      <c r="H13" s="2009" t="str">
        <f>chitiet!F1868</f>
        <v>Kẹp ép WR cỡ dây 95mm2</v>
      </c>
      <c r="I13" s="1947" t="str">
        <f>chitiet!G1868</f>
        <v>cái</v>
      </c>
      <c r="J13" s="1947">
        <f>chitiet!H1868</f>
        <v>42</v>
      </c>
      <c r="K13" s="1947">
        <f>chitiet!P1868</f>
        <v>42</v>
      </c>
      <c r="L13" s="1947"/>
    </row>
    <row r="14" spans="2:12" ht="24.9" customHeight="1">
      <c r="C14" s="2065"/>
      <c r="D14" s="2068" t="str">
        <f t="shared" si="0"/>
        <v xml:space="preserve"> - :  .</v>
      </c>
      <c r="E14" s="2007"/>
      <c r="F14" s="2062"/>
      <c r="G14" s="2051" t="str">
        <f t="shared" si="1"/>
        <v/>
      </c>
      <c r="H14" s="2009"/>
      <c r="I14" s="1947"/>
      <c r="J14" s="1947"/>
      <c r="K14" s="1947"/>
      <c r="L14" s="1947"/>
    </row>
    <row r="15" spans="2:12" ht="24.9" customHeight="1">
      <c r="C15" s="2065"/>
      <c r="D15" s="2068" t="str">
        <f t="shared" si="0"/>
        <v xml:space="preserve"> - :  .</v>
      </c>
      <c r="E15" s="2007"/>
      <c r="F15" s="2062"/>
      <c r="G15" s="2051" t="str">
        <f t="shared" si="1"/>
        <v/>
      </c>
    </row>
    <row r="16" spans="2:12" ht="24.9" customHeight="1">
      <c r="C16" s="2065"/>
      <c r="D16" s="2068" t="str">
        <f t="shared" si="0"/>
        <v xml:space="preserve"> - :  .</v>
      </c>
      <c r="E16" s="2007"/>
      <c r="F16" s="2062"/>
      <c r="G16" s="2051" t="str">
        <f t="shared" si="1"/>
        <v/>
      </c>
    </row>
    <row r="17" spans="2:12" ht="24.9" customHeight="1">
      <c r="C17" s="2065"/>
      <c r="D17" s="2068" t="str">
        <f t="shared" si="0"/>
        <v xml:space="preserve"> - :  .</v>
      </c>
      <c r="E17" s="2007"/>
      <c r="F17" s="2062"/>
      <c r="G17" s="2051" t="str">
        <f t="shared" si="1"/>
        <v/>
      </c>
    </row>
    <row r="18" spans="2:12" ht="24.9" customHeight="1">
      <c r="C18" s="2065"/>
      <c r="D18" s="2068"/>
      <c r="E18" s="2007"/>
      <c r="F18" s="2062"/>
      <c r="G18" s="2051" t="str">
        <f t="shared" si="1"/>
        <v/>
      </c>
    </row>
    <row r="19" spans="2:12" ht="24.9" customHeight="1">
      <c r="C19" s="2065"/>
      <c r="D19" s="2068"/>
      <c r="E19" s="2007"/>
      <c r="F19" s="2062"/>
      <c r="G19" s="2051" t="str">
        <f t="shared" si="1"/>
        <v/>
      </c>
    </row>
    <row r="20" spans="2:12" ht="24.9" customHeight="1">
      <c r="B20" s="2070"/>
      <c r="C20" s="2071"/>
      <c r="D20" s="2066" t="s">
        <v>4554</v>
      </c>
      <c r="E20" s="2007"/>
      <c r="F20" s="2008"/>
      <c r="G20" s="2051" t="str">
        <f t="shared" si="1"/>
        <v/>
      </c>
      <c r="H20" s="2072"/>
      <c r="I20" s="2072"/>
      <c r="J20" s="2072"/>
      <c r="K20" s="2072"/>
      <c r="L20" s="2072"/>
    </row>
    <row r="21" spans="2:12" ht="24.9" customHeight="1">
      <c r="B21" s="2070"/>
      <c r="C21" s="2071"/>
      <c r="D21" s="2068" t="str">
        <f t="shared" ref="D21:D34" si="2">" - "&amp;H21&amp;": "&amp;L21&amp;" "&amp;I21&amp;"."</f>
        <v xml:space="preserve"> - :  .</v>
      </c>
      <c r="E21" s="2007"/>
      <c r="F21" s="2008"/>
      <c r="G21" s="2051" t="str">
        <f t="shared" si="1"/>
        <v/>
      </c>
    </row>
    <row r="22" spans="2:12" ht="24.9" customHeight="1">
      <c r="B22" s="2070"/>
      <c r="C22" s="2071"/>
      <c r="D22" s="2068" t="str">
        <f t="shared" si="2"/>
        <v xml:space="preserve"> - :  .</v>
      </c>
      <c r="E22" s="2007"/>
      <c r="F22" s="2008"/>
      <c r="G22" s="2051" t="str">
        <f t="shared" si="1"/>
        <v/>
      </c>
    </row>
    <row r="23" spans="2:12" ht="24.9" customHeight="1">
      <c r="B23" s="2073"/>
      <c r="C23" s="2071"/>
      <c r="D23" s="2068" t="str">
        <f t="shared" si="2"/>
        <v xml:space="preserve"> - :  .</v>
      </c>
      <c r="E23" s="2007"/>
      <c r="F23" s="2008"/>
      <c r="G23" s="2051" t="str">
        <f t="shared" si="1"/>
        <v/>
      </c>
    </row>
    <row r="24" spans="2:12" ht="24.9" customHeight="1">
      <c r="C24" s="2064"/>
      <c r="D24" s="2068" t="str">
        <f t="shared" si="2"/>
        <v xml:space="preserve"> - :  .</v>
      </c>
      <c r="E24" s="2064"/>
      <c r="F24" s="2064"/>
      <c r="G24" s="2051" t="str">
        <f t="shared" si="1"/>
        <v/>
      </c>
    </row>
    <row r="25" spans="2:12" ht="24.9" customHeight="1">
      <c r="C25" s="2064"/>
      <c r="D25" s="2068" t="str">
        <f t="shared" si="2"/>
        <v xml:space="preserve"> - :  .</v>
      </c>
      <c r="E25" s="2064"/>
      <c r="F25" s="2064"/>
      <c r="G25" s="2051" t="str">
        <f t="shared" si="1"/>
        <v/>
      </c>
    </row>
    <row r="26" spans="2:12" ht="24.9" customHeight="1">
      <c r="C26" s="2064"/>
      <c r="D26" s="2068" t="str">
        <f t="shared" si="2"/>
        <v xml:space="preserve"> - :  .</v>
      </c>
      <c r="E26" s="2064"/>
      <c r="F26" s="2064"/>
      <c r="G26" s="2051" t="str">
        <f t="shared" si="1"/>
        <v/>
      </c>
    </row>
    <row r="27" spans="2:12" ht="24.9" customHeight="1">
      <c r="D27" s="2068" t="str">
        <f t="shared" si="2"/>
        <v xml:space="preserve"> - :  .</v>
      </c>
      <c r="G27" s="2051" t="str">
        <f t="shared" si="1"/>
        <v/>
      </c>
    </row>
    <row r="28" spans="2:12" ht="24.9" customHeight="1">
      <c r="D28" s="2068" t="str">
        <f t="shared" si="2"/>
        <v xml:space="preserve"> - :  .</v>
      </c>
      <c r="G28" s="2051" t="str">
        <f t="shared" si="1"/>
        <v/>
      </c>
    </row>
    <row r="29" spans="2:12" ht="24.9" customHeight="1">
      <c r="D29" s="2068" t="str">
        <f t="shared" si="2"/>
        <v xml:space="preserve"> - :  .</v>
      </c>
      <c r="G29" s="2051" t="str">
        <f t="shared" si="1"/>
        <v/>
      </c>
    </row>
    <row r="30" spans="2:12" ht="24.9" customHeight="1">
      <c r="D30" s="2068" t="str">
        <f t="shared" si="2"/>
        <v xml:space="preserve"> - :  .</v>
      </c>
      <c r="G30" s="2051" t="str">
        <f t="shared" si="1"/>
        <v/>
      </c>
    </row>
    <row r="31" spans="2:12" ht="24.9" customHeight="1">
      <c r="D31" s="2068" t="str">
        <f t="shared" si="2"/>
        <v xml:space="preserve"> - :  .</v>
      </c>
      <c r="G31" s="2051" t="str">
        <f t="shared" si="1"/>
        <v/>
      </c>
    </row>
    <row r="32" spans="2:12" ht="24.9" customHeight="1">
      <c r="D32" s="2068" t="str">
        <f t="shared" si="2"/>
        <v xml:space="preserve"> - :  .</v>
      </c>
      <c r="G32" s="2051" t="str">
        <f t="shared" si="1"/>
        <v/>
      </c>
    </row>
    <row r="33" spans="4:7" ht="24.9" customHeight="1">
      <c r="D33" s="2068" t="str">
        <f t="shared" si="2"/>
        <v xml:space="preserve"> - :  .</v>
      </c>
      <c r="G33" s="2051" t="str">
        <f t="shared" si="1"/>
        <v/>
      </c>
    </row>
    <row r="34" spans="4:7" ht="24.9" customHeight="1">
      <c r="D34" s="2068" t="str">
        <f t="shared" si="2"/>
        <v xml:space="preserve"> - :  .</v>
      </c>
      <c r="G34" s="2051" t="str">
        <f t="shared" si="1"/>
        <v/>
      </c>
    </row>
  </sheetData>
  <autoFilter ref="G6:G34" xr:uid="{00000000-0009-0000-0000-000023000000}"/>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68" customWidth="1"/>
    <col min="3" max="3" width="48.54296875" style="1367" customWidth="1"/>
    <col min="4" max="4" width="7.81640625" customWidth="1"/>
    <col min="5" max="5" width="8.1796875" customWidth="1"/>
    <col min="6" max="6" width="10.453125" customWidth="1"/>
    <col min="7" max="7" width="50.08984375" style="1378" customWidth="1"/>
  </cols>
  <sheetData>
    <row r="2" spans="2:7">
      <c r="B2" s="1388" t="s">
        <v>4185</v>
      </c>
      <c r="C2" s="1389" t="s">
        <v>4488</v>
      </c>
      <c r="D2" s="1390" t="s">
        <v>1411</v>
      </c>
      <c r="E2" s="1391"/>
      <c r="F2" s="1215" t="s">
        <v>4185</v>
      </c>
    </row>
    <row r="3" spans="2:7">
      <c r="B3" s="1392">
        <v>43874</v>
      </c>
      <c r="C3" s="1393" t="s">
        <v>4486</v>
      </c>
      <c r="D3" s="1394" t="s">
        <v>512</v>
      </c>
      <c r="E3" s="1395"/>
      <c r="F3" s="1368"/>
      <c r="G3" s="1383" t="s">
        <v>4142</v>
      </c>
    </row>
    <row r="4" spans="2:7">
      <c r="B4" s="1392"/>
      <c r="C4" s="1393" t="s">
        <v>4487</v>
      </c>
      <c r="D4" s="1394" t="s">
        <v>512</v>
      </c>
      <c r="E4" s="1395"/>
      <c r="F4" s="1368"/>
      <c r="G4" s="1383" t="s">
        <v>4143</v>
      </c>
    </row>
    <row r="5" spans="2:7">
      <c r="B5" s="1392"/>
      <c r="C5" s="1393" t="s">
        <v>4489</v>
      </c>
      <c r="D5" s="1394" t="s">
        <v>512</v>
      </c>
      <c r="E5" s="1395"/>
      <c r="F5" s="1368"/>
      <c r="G5" s="1383" t="s">
        <v>4144</v>
      </c>
    </row>
    <row r="6" spans="2:7" hidden="1">
      <c r="B6" s="1392"/>
      <c r="C6" s="1396" t="e">
        <f>'2Mong'!E4</f>
        <v>#N/A</v>
      </c>
      <c r="D6" s="1397">
        <f ca="1">'2Mong'!H4</f>
        <v>0</v>
      </c>
      <c r="E6" s="1395"/>
      <c r="F6" s="1368"/>
      <c r="G6" s="1383" t="s">
        <v>4145</v>
      </c>
    </row>
    <row r="7" spans="2:7" hidden="1">
      <c r="B7" s="1392"/>
      <c r="C7" s="1396" t="e">
        <f>'2Mong'!E5</f>
        <v>#N/A</v>
      </c>
      <c r="D7" s="1397">
        <f ca="1">'2Mong'!H5</f>
        <v>0</v>
      </c>
      <c r="E7" s="1395"/>
      <c r="F7" s="1368"/>
      <c r="G7" s="1383" t="s">
        <v>4146</v>
      </c>
    </row>
    <row r="8" spans="2:7" hidden="1">
      <c r="B8" s="1392"/>
      <c r="C8" s="1396" t="e">
        <f>'2Mong'!E6</f>
        <v>#N/A</v>
      </c>
      <c r="D8" s="1397">
        <f ca="1">'2Mong'!H6</f>
        <v>0</v>
      </c>
      <c r="E8" s="1395"/>
      <c r="F8" s="1368">
        <v>42719</v>
      </c>
      <c r="G8" s="1383" t="s">
        <v>4147</v>
      </c>
    </row>
    <row r="9" spans="2:7" hidden="1">
      <c r="B9" s="1392"/>
      <c r="C9" s="1396" t="e">
        <f>'2Mong'!E7</f>
        <v>#N/A</v>
      </c>
      <c r="D9" s="1397">
        <f ca="1">'2Mong'!H7</f>
        <v>0</v>
      </c>
      <c r="E9" s="1395"/>
      <c r="F9" s="1368">
        <v>42713</v>
      </c>
      <c r="G9" s="1383" t="s">
        <v>4148</v>
      </c>
    </row>
    <row r="10" spans="2:7" hidden="1">
      <c r="B10" s="1392"/>
      <c r="C10" s="1396" t="e">
        <f>'2Mong'!E8</f>
        <v>#N/A</v>
      </c>
      <c r="D10" s="1397">
        <f ca="1">'2Mong'!H8</f>
        <v>0</v>
      </c>
      <c r="E10" s="1395"/>
      <c r="F10" s="1368"/>
      <c r="G10" s="1383" t="s">
        <v>4149</v>
      </c>
    </row>
    <row r="11" spans="2:7" hidden="1">
      <c r="B11" s="1392"/>
      <c r="C11" s="1396" t="e">
        <f>'2Mong'!E9</f>
        <v>#N/A</v>
      </c>
      <c r="D11" s="1397">
        <f ca="1">'2Mong'!H9</f>
        <v>0</v>
      </c>
      <c r="E11" s="1395"/>
      <c r="F11" s="1368">
        <v>42719</v>
      </c>
      <c r="G11" s="1383" t="s">
        <v>4150</v>
      </c>
    </row>
    <row r="12" spans="2:7" hidden="1">
      <c r="B12" s="1392"/>
      <c r="C12" s="1396" t="e">
        <f>'2Mong'!E10</f>
        <v>#N/A</v>
      </c>
      <c r="D12" s="1397">
        <f ca="1">'2Mong'!H10</f>
        <v>0</v>
      </c>
      <c r="E12" s="1395"/>
      <c r="F12" s="1368"/>
      <c r="G12" s="1383" t="s">
        <v>4151</v>
      </c>
    </row>
    <row r="13" spans="2:7" hidden="1">
      <c r="B13" s="1392"/>
      <c r="C13" s="1396" t="e">
        <f>'2Mong'!E11</f>
        <v>#N/A</v>
      </c>
      <c r="D13" s="1397">
        <f ca="1">'2Mong'!H11</f>
        <v>0</v>
      </c>
      <c r="E13" s="1395"/>
      <c r="F13" s="1368"/>
      <c r="G13" s="1383" t="s">
        <v>4152</v>
      </c>
    </row>
    <row r="14" spans="2:7" hidden="1">
      <c r="B14" s="1392"/>
      <c r="C14" s="1396" t="e">
        <f>'2Mong'!E12</f>
        <v>#N/A</v>
      </c>
      <c r="D14" s="1397">
        <f ca="1">'2Mong'!H12</f>
        <v>0</v>
      </c>
      <c r="E14" s="1395"/>
      <c r="F14" s="1368"/>
      <c r="G14" s="1383" t="s">
        <v>4153</v>
      </c>
    </row>
    <row r="15" spans="2:7">
      <c r="B15" s="1392"/>
      <c r="C15" s="1396" t="e">
        <f>'2Mong'!#REF!</f>
        <v>#REF!</v>
      </c>
      <c r="D15" s="1397" t="e">
        <f>'2Mong'!#REF!</f>
        <v>#REF!</v>
      </c>
      <c r="E15" s="1395"/>
      <c r="F15" s="1368"/>
      <c r="G15" s="1383" t="s">
        <v>4154</v>
      </c>
    </row>
    <row r="16" spans="2:7" hidden="1">
      <c r="B16" s="1392"/>
      <c r="C16" s="1396" t="e">
        <f>'2Mong'!#REF!</f>
        <v>#REF!</v>
      </c>
      <c r="D16" s="1397" t="e">
        <f>'2Mong'!#REF!</f>
        <v>#REF!</v>
      </c>
      <c r="E16" s="1395"/>
      <c r="F16" s="1368"/>
      <c r="G16" s="1383" t="s">
        <v>4155</v>
      </c>
    </row>
    <row r="17" spans="2:7" hidden="1">
      <c r="B17" s="1392"/>
      <c r="C17" s="1396" t="e">
        <f>'2Mong'!#REF!</f>
        <v>#REF!</v>
      </c>
      <c r="D17" s="1397" t="e">
        <f>'2Mong'!#REF!</f>
        <v>#REF!</v>
      </c>
      <c r="E17" s="1395"/>
      <c r="F17" s="1368"/>
      <c r="G17" s="1383" t="s">
        <v>4156</v>
      </c>
    </row>
    <row r="18" spans="2:7" hidden="1">
      <c r="B18" s="1392"/>
      <c r="C18" s="1396" t="e">
        <f>'2Mong'!#REF!</f>
        <v>#REF!</v>
      </c>
      <c r="D18" s="1397" t="e">
        <f>'2Mong'!#REF!</f>
        <v>#REF!</v>
      </c>
      <c r="E18" s="1395"/>
      <c r="F18" s="1368"/>
      <c r="G18" s="1383" t="s">
        <v>4157</v>
      </c>
    </row>
    <row r="19" spans="2:7" hidden="1">
      <c r="B19" s="1392"/>
      <c r="C19" s="1396" t="e">
        <f>'2Mong'!#REF!</f>
        <v>#REF!</v>
      </c>
      <c r="D19" s="1397" t="e">
        <f>'2Mong'!#REF!</f>
        <v>#REF!</v>
      </c>
      <c r="E19" s="1395"/>
      <c r="F19" s="1368"/>
      <c r="G19" s="1383" t="s">
        <v>4158</v>
      </c>
    </row>
    <row r="20" spans="2:7" hidden="1">
      <c r="B20" s="1392"/>
      <c r="C20" s="1396" t="e">
        <f>'2Mong'!#REF!</f>
        <v>#REF!</v>
      </c>
      <c r="D20" s="1397" t="e">
        <f>'2Mong'!#REF!</f>
        <v>#REF!</v>
      </c>
      <c r="E20" s="1395"/>
      <c r="F20" s="1368"/>
      <c r="G20" s="1383" t="s">
        <v>4159</v>
      </c>
    </row>
    <row r="21" spans="2:7" hidden="1">
      <c r="B21" s="1392"/>
      <c r="C21" s="1396" t="e">
        <f>'2Mong'!#REF!</f>
        <v>#REF!</v>
      </c>
      <c r="D21" s="1397" t="e">
        <f>'2Mong'!#REF!</f>
        <v>#REF!</v>
      </c>
      <c r="E21" s="1395"/>
    </row>
    <row r="22" spans="2:7" hidden="1">
      <c r="B22" s="1392"/>
      <c r="C22" s="1396" t="e">
        <f>'2Mong'!#REF!</f>
        <v>#REF!</v>
      </c>
      <c r="D22" s="1397" t="e">
        <f>'2Mong'!#REF!</f>
        <v>#REF!</v>
      </c>
      <c r="E22" s="1395"/>
    </row>
    <row r="23" spans="2:7" hidden="1">
      <c r="B23" s="1392"/>
      <c r="C23" s="1396" t="e">
        <f>'2Mong'!#REF!</f>
        <v>#REF!</v>
      </c>
      <c r="D23" s="1397" t="e">
        <f>'2Mong'!#REF!</f>
        <v>#REF!</v>
      </c>
      <c r="E23" s="1395"/>
    </row>
    <row r="24" spans="2:7" hidden="1">
      <c r="B24" s="1392"/>
      <c r="C24" s="1396" t="e">
        <f>'2Mong'!#REF!</f>
        <v>#REF!</v>
      </c>
      <c r="D24" s="1397" t="e">
        <f>'2Mong'!#REF!</f>
        <v>#REF!</v>
      </c>
      <c r="E24" s="1395"/>
    </row>
    <row r="25" spans="2:7" hidden="1">
      <c r="B25" s="1392"/>
      <c r="C25" s="1396" t="e">
        <f>'2Mong'!#REF!</f>
        <v>#REF!</v>
      </c>
      <c r="D25" s="1397" t="e">
        <f>'2Mong'!#REF!</f>
        <v>#REF!</v>
      </c>
      <c r="E25" s="1395"/>
    </row>
    <row r="26" spans="2:7" hidden="1">
      <c r="B26" s="1392"/>
      <c r="C26" s="1396" t="e">
        <f>'2Mong'!#REF!</f>
        <v>#REF!</v>
      </c>
      <c r="D26" s="1397" t="e">
        <f>'2Mong'!#REF!</f>
        <v>#REF!</v>
      </c>
      <c r="E26" s="1395"/>
    </row>
    <row r="27" spans="2:7" hidden="1">
      <c r="B27" s="1392"/>
      <c r="C27" s="1396" t="e">
        <f>'2Mong'!#REF!</f>
        <v>#REF!</v>
      </c>
      <c r="D27" s="1397" t="e">
        <f>'2Mong'!#REF!</f>
        <v>#REF!</v>
      </c>
      <c r="E27" s="1395"/>
    </row>
    <row r="28" spans="2:7" hidden="1">
      <c r="B28" s="1392"/>
      <c r="C28" s="1396" t="e">
        <f>'2Mong'!#REF!</f>
        <v>#REF!</v>
      </c>
      <c r="D28" s="1397" t="e">
        <f>'2Mong'!#REF!</f>
        <v>#REF!</v>
      </c>
      <c r="E28" s="1395"/>
    </row>
    <row r="29" spans="2:7" hidden="1">
      <c r="B29" s="1392"/>
      <c r="C29" s="1396" t="e">
        <f>'2Mong'!#REF!</f>
        <v>#REF!</v>
      </c>
      <c r="D29" s="1397" t="e">
        <f>'2Mong'!#REF!</f>
        <v>#REF!</v>
      </c>
      <c r="E29" s="1395"/>
    </row>
    <row r="30" spans="2:7" hidden="1">
      <c r="B30" s="1392"/>
      <c r="C30" s="1396" t="e">
        <f>'2Mong'!#REF!</f>
        <v>#REF!</v>
      </c>
      <c r="D30" s="1397" t="e">
        <f>'2Mong'!#REF!</f>
        <v>#REF!</v>
      </c>
      <c r="E30" s="1395"/>
    </row>
    <row r="31" spans="2:7" hidden="1">
      <c r="B31" s="1392"/>
      <c r="C31" s="1396" t="e">
        <f>'2Mong'!#REF!</f>
        <v>#REF!</v>
      </c>
      <c r="D31" s="1397" t="e">
        <f>'2Mong'!#REF!</f>
        <v>#REF!</v>
      </c>
      <c r="E31" s="1395"/>
    </row>
    <row r="32" spans="2:7" hidden="1">
      <c r="B32" s="1392"/>
      <c r="C32" s="1396" t="e">
        <f>'2Mong'!#REF!</f>
        <v>#REF!</v>
      </c>
      <c r="D32" s="1397" t="e">
        <f>'2Mong'!#REF!</f>
        <v>#REF!</v>
      </c>
      <c r="E32" s="1395"/>
    </row>
    <row r="33" spans="2:7" hidden="1">
      <c r="B33" s="1392"/>
      <c r="C33" s="1396" t="e">
        <f>'2Mong'!#REF!</f>
        <v>#REF!</v>
      </c>
      <c r="D33" s="1397" t="e">
        <f>'2Mong'!#REF!</f>
        <v>#REF!</v>
      </c>
      <c r="E33" s="1395"/>
    </row>
    <row r="34" spans="2:7" hidden="1">
      <c r="B34" s="1392"/>
      <c r="C34" s="1396" t="e">
        <f>'2Mong'!#REF!</f>
        <v>#REF!</v>
      </c>
      <c r="D34" s="1397" t="e">
        <f>'2Mong'!#REF!</f>
        <v>#REF!</v>
      </c>
      <c r="E34" s="1395"/>
    </row>
    <row r="35" spans="2:7" hidden="1">
      <c r="B35" s="1392"/>
      <c r="C35" s="1396" t="e">
        <f>'2Mong'!#REF!</f>
        <v>#REF!</v>
      </c>
      <c r="D35" s="1397" t="e">
        <f>'2Mong'!#REF!</f>
        <v>#REF!</v>
      </c>
      <c r="E35" s="1395"/>
    </row>
    <row r="36" spans="2:7" hidden="1">
      <c r="B36" s="1392"/>
      <c r="C36" s="1396" t="e">
        <f>'2Mong'!#REF!</f>
        <v>#REF!</v>
      </c>
      <c r="D36" s="1397" t="e">
        <f>'2Mong'!#REF!</f>
        <v>#REF!</v>
      </c>
      <c r="E36" s="1395"/>
    </row>
    <row r="37" spans="2:7" hidden="1">
      <c r="B37" s="1392"/>
      <c r="C37" s="1396" t="e">
        <f>'2Mong'!#REF!</f>
        <v>#REF!</v>
      </c>
      <c r="D37" s="1397" t="e">
        <f>'2Mong'!#REF!</f>
        <v>#REF!</v>
      </c>
      <c r="E37" s="1395"/>
    </row>
    <row r="38" spans="2:7" hidden="1">
      <c r="B38" s="1392"/>
      <c r="C38" s="1396" t="e">
        <f>'2Mong'!#REF!</f>
        <v>#REF!</v>
      </c>
      <c r="D38" s="1397" t="e">
        <f>'2Mong'!#REF!</f>
        <v>#REF!</v>
      </c>
      <c r="E38" s="1395"/>
    </row>
    <row r="39" spans="2:7" hidden="1">
      <c r="B39" s="1392"/>
      <c r="C39" s="1396" t="e">
        <f>'2Mong'!#REF!</f>
        <v>#REF!</v>
      </c>
      <c r="D39" s="1397" t="e">
        <f>'2Mong'!#REF!</f>
        <v>#REF!</v>
      </c>
      <c r="E39" s="1395"/>
    </row>
    <row r="40" spans="2:7" hidden="1">
      <c r="B40" s="1392"/>
      <c r="C40" s="1396" t="e">
        <f>'2Mong'!#REF!</f>
        <v>#REF!</v>
      </c>
      <c r="D40" s="1397" t="e">
        <f>'2Mong'!#REF!</f>
        <v>#REF!</v>
      </c>
      <c r="E40" s="1395"/>
    </row>
    <row r="41" spans="2:7" hidden="1">
      <c r="B41" s="1392"/>
      <c r="C41" s="1396" t="e">
        <f>'2Mong'!#REF!</f>
        <v>#REF!</v>
      </c>
      <c r="D41" s="1397" t="e">
        <f>'2Mong'!#REF!</f>
        <v>#REF!</v>
      </c>
      <c r="E41" s="1395"/>
    </row>
    <row r="42" spans="2:7" s="1215" customFormat="1" hidden="1">
      <c r="B42" s="1392"/>
      <c r="C42" s="1396" t="e">
        <f>'2Mong'!#REF!</f>
        <v>#REF!</v>
      </c>
      <c r="D42" s="1397" t="e">
        <f>'2Mong'!#REF!</f>
        <v>#REF!</v>
      </c>
      <c r="E42" s="1395"/>
      <c r="G42" s="1378"/>
    </row>
    <row r="43" spans="2:7" s="1215" customFormat="1" hidden="1">
      <c r="B43" s="1392"/>
      <c r="C43" s="1396" t="e">
        <f>'2Mong'!#REF!</f>
        <v>#REF!</v>
      </c>
      <c r="D43" s="1397" t="e">
        <f>'2Mong'!#REF!</f>
        <v>#REF!</v>
      </c>
      <c r="E43" s="1395"/>
      <c r="G43" s="1378"/>
    </row>
    <row r="44" spans="2:7" s="1215" customFormat="1" hidden="1">
      <c r="B44" s="1392"/>
      <c r="C44" s="1396" t="e">
        <f>'2Mong'!#REF!</f>
        <v>#REF!</v>
      </c>
      <c r="D44" s="1397" t="e">
        <f>'2Mong'!#REF!</f>
        <v>#REF!</v>
      </c>
      <c r="E44" s="1395"/>
      <c r="G44" s="1378"/>
    </row>
    <row r="45" spans="2:7" s="1215" customFormat="1" hidden="1">
      <c r="B45" s="1392"/>
      <c r="C45" s="1396" t="e">
        <f>'2Mong'!#REF!</f>
        <v>#REF!</v>
      </c>
      <c r="D45" s="1397" t="e">
        <f>'2Mong'!#REF!</f>
        <v>#REF!</v>
      </c>
      <c r="E45" s="1395"/>
      <c r="G45" s="1378"/>
    </row>
    <row r="46" spans="2:7" s="1215" customFormat="1" hidden="1">
      <c r="B46" s="1392"/>
      <c r="C46" s="1396" t="e">
        <f>'2Mong'!#REF!</f>
        <v>#REF!</v>
      </c>
      <c r="D46" s="1397" t="e">
        <f>'2Mong'!#REF!</f>
        <v>#REF!</v>
      </c>
      <c r="E46" s="1395"/>
      <c r="G46" s="1378"/>
    </row>
    <row r="47" spans="2:7" s="1215" customFormat="1" hidden="1">
      <c r="B47" s="1392"/>
      <c r="C47" s="1396" t="e">
        <f>'2Mong'!#REF!</f>
        <v>#REF!</v>
      </c>
      <c r="D47" s="1397" t="e">
        <f>'2Mong'!#REF!</f>
        <v>#REF!</v>
      </c>
      <c r="E47" s="1395"/>
      <c r="G47" s="1378"/>
    </row>
    <row r="48" spans="2:7" s="1215" customFormat="1" hidden="1">
      <c r="B48" s="1392"/>
      <c r="C48" s="1396" t="e">
        <f>'2Mong'!#REF!</f>
        <v>#REF!</v>
      </c>
      <c r="D48" s="1397" t="e">
        <f>'2Mong'!#REF!</f>
        <v>#REF!</v>
      </c>
      <c r="E48" s="1395"/>
      <c r="G48" s="1378"/>
    </row>
    <row r="49" spans="2:7" s="1215" customFormat="1" hidden="1">
      <c r="B49" s="1392"/>
      <c r="C49" s="1396" t="e">
        <f>'2Mong'!#REF!</f>
        <v>#REF!</v>
      </c>
      <c r="D49" s="1397" t="e">
        <f>'2Mong'!#REF!</f>
        <v>#REF!</v>
      </c>
      <c r="E49" s="1395"/>
      <c r="G49" s="1378"/>
    </row>
    <row r="50" spans="2:7" s="1215" customFormat="1" hidden="1">
      <c r="B50" s="1392"/>
      <c r="C50" s="1396" t="e">
        <f>'2Mong'!#REF!</f>
        <v>#REF!</v>
      </c>
      <c r="D50" s="1397" t="e">
        <f>'2Mong'!#REF!</f>
        <v>#REF!</v>
      </c>
      <c r="E50" s="1395"/>
      <c r="G50" s="1378"/>
    </row>
    <row r="51" spans="2:7" s="1215" customFormat="1" hidden="1">
      <c r="B51" s="1392"/>
      <c r="C51" s="1396" t="e">
        <f>'2Mong'!#REF!</f>
        <v>#REF!</v>
      </c>
      <c r="D51" s="1397" t="e">
        <f>'2Mong'!#REF!</f>
        <v>#REF!</v>
      </c>
      <c r="E51" s="1395"/>
      <c r="G51" s="1378"/>
    </row>
    <row r="52" spans="2:7" s="1215" customFormat="1" hidden="1">
      <c r="B52" s="1392"/>
      <c r="C52" s="1396" t="e">
        <f>'2Mong'!#REF!</f>
        <v>#REF!</v>
      </c>
      <c r="D52" s="1397" t="e">
        <f>'2Mong'!#REF!</f>
        <v>#REF!</v>
      </c>
      <c r="E52" s="1395"/>
      <c r="G52" s="1378"/>
    </row>
    <row r="53" spans="2:7" s="1215" customFormat="1" hidden="1">
      <c r="B53" s="1392"/>
      <c r="C53" s="1396" t="e">
        <f>'2Mong'!#REF!</f>
        <v>#REF!</v>
      </c>
      <c r="D53" s="1397" t="e">
        <f>'2Mong'!#REF!</f>
        <v>#REF!</v>
      </c>
      <c r="E53" s="1395"/>
      <c r="G53" s="1378"/>
    </row>
    <row r="54" spans="2:7" s="1215" customFormat="1" hidden="1">
      <c r="B54" s="1392"/>
      <c r="C54" s="1396" t="e">
        <f>'2Mong'!#REF!</f>
        <v>#REF!</v>
      </c>
      <c r="D54" s="1397" t="e">
        <f>'2Mong'!#REF!</f>
        <v>#REF!</v>
      </c>
      <c r="E54" s="1395"/>
      <c r="G54" s="1378"/>
    </row>
    <row r="55" spans="2:7" s="1215" customFormat="1" hidden="1">
      <c r="B55" s="1392"/>
      <c r="C55" s="1396" t="e">
        <f>'2Mong'!#REF!</f>
        <v>#REF!</v>
      </c>
      <c r="D55" s="1397" t="e">
        <f>'2Mong'!#REF!</f>
        <v>#REF!</v>
      </c>
      <c r="E55" s="1395"/>
      <c r="G55" s="1378"/>
    </row>
    <row r="56" spans="2:7" s="1215" customFormat="1" hidden="1">
      <c r="B56" s="1392"/>
      <c r="C56" s="1396" t="e">
        <f>'2Mong'!#REF!</f>
        <v>#REF!</v>
      </c>
      <c r="D56" s="1397" t="e">
        <f>'2Mong'!#REF!</f>
        <v>#REF!</v>
      </c>
      <c r="E56" s="1395"/>
      <c r="G56" s="1378"/>
    </row>
    <row r="57" spans="2:7" s="1215" customFormat="1" hidden="1">
      <c r="B57" s="1392"/>
      <c r="C57" s="1396" t="e">
        <f>'2Mong'!#REF!</f>
        <v>#REF!</v>
      </c>
      <c r="D57" s="1397" t="e">
        <f>'2Mong'!#REF!</f>
        <v>#REF!</v>
      </c>
      <c r="E57" s="1395"/>
      <c r="G57" s="1378"/>
    </row>
    <row r="58" spans="2:7" s="1215" customFormat="1" hidden="1">
      <c r="B58" s="1392"/>
      <c r="C58" s="1396" t="e">
        <f>'2Mong'!#REF!</f>
        <v>#REF!</v>
      </c>
      <c r="D58" s="1397" t="e">
        <f>'2Mong'!#REF!</f>
        <v>#REF!</v>
      </c>
      <c r="E58" s="1395"/>
      <c r="G58" s="1378"/>
    </row>
    <row r="59" spans="2:7" s="1215" customFormat="1" hidden="1">
      <c r="B59" s="1392"/>
      <c r="C59" s="1396" t="e">
        <f>'2Mong'!#REF!</f>
        <v>#REF!</v>
      </c>
      <c r="D59" s="1397" t="e">
        <f>'2Mong'!#REF!</f>
        <v>#REF!</v>
      </c>
      <c r="E59" s="1395"/>
      <c r="G59" s="1378"/>
    </row>
    <row r="60" spans="2:7" s="1215" customFormat="1" hidden="1">
      <c r="B60" s="1392"/>
      <c r="C60" s="1396" t="e">
        <f>'2Mong'!#REF!</f>
        <v>#REF!</v>
      </c>
      <c r="D60" s="1397" t="e">
        <f>'2Mong'!#REF!</f>
        <v>#REF!</v>
      </c>
      <c r="E60" s="1395"/>
      <c r="G60" s="1378"/>
    </row>
    <row r="61" spans="2:7" s="1215" customFormat="1" hidden="1">
      <c r="B61" s="1392"/>
      <c r="C61" s="1396" t="e">
        <f>'2Mong'!#REF!</f>
        <v>#REF!</v>
      </c>
      <c r="D61" s="1397" t="e">
        <f>'2Mong'!#REF!</f>
        <v>#REF!</v>
      </c>
      <c r="E61" s="1395"/>
      <c r="G61" s="1378"/>
    </row>
    <row r="62" spans="2:7" s="1215" customFormat="1" hidden="1">
      <c r="B62" s="1392"/>
      <c r="C62" s="1396" t="e">
        <f>'2Mong'!#REF!</f>
        <v>#REF!</v>
      </c>
      <c r="D62" s="1397" t="e">
        <f>'2Mong'!#REF!</f>
        <v>#REF!</v>
      </c>
      <c r="E62" s="1395"/>
      <c r="G62" s="1378"/>
    </row>
    <row r="63" spans="2:7" s="1215" customFormat="1" hidden="1">
      <c r="B63" s="1392"/>
      <c r="C63" s="1396" t="e">
        <f>'2Mong'!#REF!</f>
        <v>#REF!</v>
      </c>
      <c r="D63" s="1397" t="e">
        <f>'2Mong'!#REF!</f>
        <v>#REF!</v>
      </c>
      <c r="E63" s="1395"/>
      <c r="G63" s="1378"/>
    </row>
    <row r="64" spans="2:7" s="1215" customFormat="1" hidden="1">
      <c r="B64" s="1392"/>
      <c r="C64" s="1396" t="e">
        <f>'2Mong'!#REF!</f>
        <v>#REF!</v>
      </c>
      <c r="D64" s="1397" t="e">
        <f>'2Mong'!#REF!</f>
        <v>#REF!</v>
      </c>
      <c r="E64" s="1395"/>
      <c r="G64" s="1378"/>
    </row>
    <row r="65" spans="2:7" s="1215" customFormat="1" hidden="1">
      <c r="B65" s="1392"/>
      <c r="C65" s="1396" t="e">
        <f>'2Mong'!#REF!</f>
        <v>#REF!</v>
      </c>
      <c r="D65" s="1397" t="e">
        <f>'2Mong'!#REF!</f>
        <v>#REF!</v>
      </c>
      <c r="E65" s="1395"/>
      <c r="G65" s="1378"/>
    </row>
    <row r="66" spans="2:7" s="1215" customFormat="1" hidden="1">
      <c r="B66" s="1392"/>
      <c r="C66" s="1396" t="e">
        <f>'2Mong'!#REF!</f>
        <v>#REF!</v>
      </c>
      <c r="D66" s="1397" t="e">
        <f>'2Mong'!#REF!</f>
        <v>#REF!</v>
      </c>
      <c r="E66" s="1395"/>
      <c r="G66" s="1378"/>
    </row>
    <row r="67" spans="2:7" s="1215" customFormat="1" hidden="1">
      <c r="B67" s="1392"/>
      <c r="C67" s="1396" t="e">
        <f>'2Mong'!#REF!</f>
        <v>#REF!</v>
      </c>
      <c r="D67" s="1397" t="e">
        <f>'2Mong'!#REF!</f>
        <v>#REF!</v>
      </c>
      <c r="E67" s="1395"/>
      <c r="G67" s="1378"/>
    </row>
    <row r="68" spans="2:7" s="1215" customFormat="1" hidden="1">
      <c r="B68" s="1392"/>
      <c r="C68" s="1396" t="e">
        <f>'2Mong'!#REF!</f>
        <v>#REF!</v>
      </c>
      <c r="D68" s="1397" t="e">
        <f>'2Mong'!#REF!</f>
        <v>#REF!</v>
      </c>
      <c r="E68" s="1395"/>
      <c r="G68" s="1378"/>
    </row>
    <row r="69" spans="2:7" s="1215" customFormat="1" hidden="1">
      <c r="B69" s="1392"/>
      <c r="C69" s="1396" t="e">
        <f>'2Mong'!#REF!</f>
        <v>#REF!</v>
      </c>
      <c r="D69" s="1397" t="e">
        <f>'2Mong'!#REF!</f>
        <v>#REF!</v>
      </c>
      <c r="E69" s="1395"/>
      <c r="G69" s="1378"/>
    </row>
    <row r="70" spans="2:7" s="1215" customFormat="1" hidden="1">
      <c r="B70" s="1392"/>
      <c r="C70" s="1396" t="e">
        <f>'2Mong'!#REF!</f>
        <v>#REF!</v>
      </c>
      <c r="D70" s="1397" t="e">
        <f>'2Mong'!#REF!</f>
        <v>#REF!</v>
      </c>
      <c r="E70" s="1395"/>
      <c r="G70" s="1378"/>
    </row>
    <row r="71" spans="2:7" s="1215" customFormat="1" hidden="1">
      <c r="B71" s="1392"/>
      <c r="C71" s="1396" t="e">
        <f>'2Mong'!#REF!</f>
        <v>#REF!</v>
      </c>
      <c r="D71" s="1397" t="e">
        <f>'2Mong'!#REF!</f>
        <v>#REF!</v>
      </c>
      <c r="E71" s="1395"/>
      <c r="G71" s="1378"/>
    </row>
    <row r="72" spans="2:7" ht="33.6">
      <c r="B72" s="1392"/>
      <c r="C72" s="1393" t="s">
        <v>4522</v>
      </c>
      <c r="D72" s="1394" t="s">
        <v>512</v>
      </c>
      <c r="E72" s="1395"/>
    </row>
    <row r="73" spans="2:7" ht="22.5" customHeight="1">
      <c r="B73" s="1392"/>
      <c r="C73" s="1393" t="s">
        <v>4527</v>
      </c>
      <c r="D73" s="1394" t="s">
        <v>512</v>
      </c>
      <c r="E73" s="1395"/>
    </row>
    <row r="74" spans="2:7" ht="30.75" hidden="1" customHeight="1">
      <c r="B74" s="1392">
        <f>B3</f>
        <v>43874</v>
      </c>
      <c r="C74" s="1393" t="str">
        <f>"Dựng trụ "</f>
        <v xml:space="preserve">Dựng trụ </v>
      </c>
      <c r="D74" s="1394" t="e">
        <f ca="1">SUM(D75:D84)</f>
        <v>#REF!</v>
      </c>
      <c r="E74" s="1395"/>
    </row>
    <row r="75" spans="2:7" hidden="1">
      <c r="B75" s="1392"/>
      <c r="C75" s="1396" t="e">
        <f>'3Tru'!D4</f>
        <v>#N/A</v>
      </c>
      <c r="D75" s="1397">
        <f ca="1">'3Tru'!G4</f>
        <v>0</v>
      </c>
      <c r="E75" s="1395"/>
    </row>
    <row r="76" spans="2:7" hidden="1">
      <c r="B76" s="1392"/>
      <c r="C76" s="1396" t="e">
        <f>'3Tru'!D5</f>
        <v>#N/A</v>
      </c>
      <c r="D76" s="1397">
        <f ca="1">'3Tru'!G5</f>
        <v>0</v>
      </c>
      <c r="E76" s="1395"/>
    </row>
    <row r="77" spans="2:7" hidden="1">
      <c r="B77" s="1392"/>
      <c r="C77" s="1396" t="str">
        <f>'3Tru'!D6</f>
        <v>Trụ bê tông ly tâm 14m</v>
      </c>
      <c r="D77" s="1397">
        <f ca="1">'3Tru'!G6</f>
        <v>7</v>
      </c>
      <c r="E77" s="1395"/>
    </row>
    <row r="78" spans="2:7" hidden="1">
      <c r="B78" s="1392"/>
      <c r="C78" s="1396" t="e">
        <f>'3Tru'!D7</f>
        <v>#N/A</v>
      </c>
      <c r="D78" s="1397">
        <f ca="1">'3Tru'!G7</f>
        <v>0</v>
      </c>
      <c r="E78" s="1395"/>
    </row>
    <row r="79" spans="2:7" hidden="1">
      <c r="B79" s="1392"/>
      <c r="C79" s="1396" t="e">
        <f>'3Tru'!#REF!</f>
        <v>#REF!</v>
      </c>
      <c r="D79" s="1397" t="e">
        <f>'3Tru'!#REF!</f>
        <v>#REF!</v>
      </c>
      <c r="E79" s="1395"/>
    </row>
    <row r="80" spans="2:7" hidden="1">
      <c r="B80" s="1392"/>
      <c r="C80" s="1396" t="e">
        <f>'3Tru'!#REF!</f>
        <v>#REF!</v>
      </c>
      <c r="D80" s="1397" t="e">
        <f>'3Tru'!#REF!</f>
        <v>#REF!</v>
      </c>
      <c r="E80" s="1395"/>
    </row>
    <row r="81" spans="2:5" hidden="1">
      <c r="B81" s="1392"/>
      <c r="C81" s="1396" t="e">
        <f>'3Tru'!#REF!</f>
        <v>#REF!</v>
      </c>
      <c r="D81" s="1397" t="e">
        <f>'3Tru'!#REF!</f>
        <v>#REF!</v>
      </c>
      <c r="E81" s="1395"/>
    </row>
    <row r="82" spans="2:5" hidden="1">
      <c r="B82" s="1392"/>
      <c r="C82" s="1396" t="e">
        <f>'3Tru'!#REF!</f>
        <v>#REF!</v>
      </c>
      <c r="D82" s="1397" t="e">
        <f>'3Tru'!#REF!</f>
        <v>#REF!</v>
      </c>
      <c r="E82" s="1395"/>
    </row>
    <row r="83" spans="2:5" hidden="1">
      <c r="B83" s="1392"/>
      <c r="C83" s="1396" t="e">
        <f>'3Tru'!#REF!</f>
        <v>#REF!</v>
      </c>
      <c r="D83" s="1397" t="e">
        <f>'3Tru'!#REF!</f>
        <v>#REF!</v>
      </c>
      <c r="E83" s="1395"/>
    </row>
    <row r="84" spans="2:5" hidden="1">
      <c r="B84" s="1392"/>
      <c r="C84" s="1396" t="e">
        <f>'3Tru'!#REF!</f>
        <v>#REF!</v>
      </c>
      <c r="D84" s="1397" t="e">
        <f>'3Tru'!#REF!</f>
        <v>#REF!</v>
      </c>
      <c r="E84" s="1395"/>
    </row>
    <row r="85" spans="2:5" ht="36.75" hidden="1" customHeight="1">
      <c r="B85" s="1392">
        <f>B74+1</f>
        <v>43875</v>
      </c>
      <c r="C85" s="1393" t="s">
        <v>4491</v>
      </c>
      <c r="D85" s="1394">
        <f>SUM(D86:D92)</f>
        <v>6</v>
      </c>
      <c r="E85" s="1395"/>
    </row>
    <row r="86" spans="2:5" hidden="1">
      <c r="B86" s="1392"/>
      <c r="C86" s="1396" t="e">
        <f>'5BT'!D4</f>
        <v>#N/A</v>
      </c>
      <c r="D86" s="1397">
        <f>'5BT'!G4</f>
        <v>0</v>
      </c>
      <c r="E86" s="1395"/>
    </row>
    <row r="87" spans="2:5" hidden="1">
      <c r="B87" s="1392"/>
      <c r="C87" s="1396" t="e">
        <f>'5BT'!D5</f>
        <v>#N/A</v>
      </c>
      <c r="D87" s="1397">
        <f>'5BT'!G5</f>
        <v>0</v>
      </c>
      <c r="E87" s="1395"/>
    </row>
    <row r="88" spans="2:5" hidden="1">
      <c r="B88" s="1392"/>
      <c r="C88" s="1396" t="e">
        <f>'5BT'!D6</f>
        <v>#N/A</v>
      </c>
      <c r="D88" s="1397">
        <f>'5BT'!G6</f>
        <v>0</v>
      </c>
      <c r="E88" s="1395"/>
    </row>
    <row r="89" spans="2:5" hidden="1">
      <c r="B89" s="1392"/>
      <c r="C89" s="1396" t="e">
        <f>'5BT'!D7</f>
        <v>#N/A</v>
      </c>
      <c r="D89" s="1397">
        <f>'5BT'!G7</f>
        <v>0</v>
      </c>
      <c r="E89" s="1395"/>
    </row>
    <row r="90" spans="2:5" hidden="1">
      <c r="B90" s="1392"/>
      <c r="C90" s="1396" t="str">
        <f>'5BT'!D8</f>
        <v>Móng bê tông trụ đôi 12m</v>
      </c>
      <c r="D90" s="1397">
        <f>'5BT'!G8</f>
        <v>6</v>
      </c>
      <c r="E90" s="1395"/>
    </row>
    <row r="91" spans="2:5" hidden="1">
      <c r="B91" s="1392"/>
      <c r="C91" s="1396" t="e">
        <f>'5BT'!D9</f>
        <v>#N/A</v>
      </c>
      <c r="D91" s="1397">
        <f>'5BT'!G9</f>
        <v>0</v>
      </c>
      <c r="E91" s="1395"/>
    </row>
    <row r="92" spans="2:5" hidden="1">
      <c r="B92" s="1392"/>
      <c r="C92" s="1396" t="e">
        <f>'5BT'!D17</f>
        <v>#N/A</v>
      </c>
      <c r="D92" s="1397">
        <f>'5BT'!G17</f>
        <v>0</v>
      </c>
      <c r="E92" s="1395"/>
    </row>
    <row r="93" spans="2:5" ht="33.75" customHeight="1">
      <c r="B93" s="1392">
        <f>B85</f>
        <v>43875</v>
      </c>
      <c r="C93" s="1393" t="s">
        <v>4490</v>
      </c>
      <c r="D93" s="1394">
        <f>SUM(D94:D122)</f>
        <v>0</v>
      </c>
      <c r="E93" s="1395"/>
    </row>
    <row r="94" spans="2:5" hidden="1">
      <c r="B94" s="1392"/>
      <c r="C94" s="1396" t="str">
        <f>'4Neo'!D4&amp;": "&amp;D94&amp;" bộ"</f>
        <v>Bộ CODE lắp néo trung hòa: CODE th-Þ240: 0 bộ</v>
      </c>
      <c r="D94" s="1397">
        <f>'4Neo'!F4</f>
        <v>0</v>
      </c>
      <c r="E94" s="1395"/>
    </row>
    <row r="95" spans="2:5" hidden="1">
      <c r="B95" s="1392"/>
      <c r="C95" s="1396" t="str">
        <f>'4Neo'!D5&amp;": "&amp;D95&amp;" bộ"</f>
        <v>Bộ chằng xuống đơn cho trụ hạ thế: CX.ht: 0 bộ</v>
      </c>
      <c r="D95" s="1397">
        <f>'4Neo'!F5</f>
        <v>0</v>
      </c>
      <c r="E95" s="1395"/>
    </row>
    <row r="96" spans="2:5" hidden="1">
      <c r="B96" s="1392"/>
      <c r="C96" s="1396" t="str">
        <f>'4Neo'!D6&amp;": "&amp;D96&amp;" bộ"</f>
        <v>Tháo bộ chằng lệch đơn cho trụ hạ thế: CL.ht: 0 bộ</v>
      </c>
      <c r="D96" s="1397">
        <f>'4Neo'!F6</f>
        <v>0</v>
      </c>
      <c r="E96" s="1395"/>
    </row>
    <row r="97" spans="2:7" hidden="1">
      <c r="B97" s="1392"/>
      <c r="C97" s="1396" t="str">
        <f>'4Neo'!D7&amp;": "&amp;D97&amp;" bộ"</f>
        <v>Bộ chằng lệch đơn cho trụ hạ thế: CL.ht: 0 bộ</v>
      </c>
      <c r="D97" s="1397">
        <f>'4Neo'!F7</f>
        <v>0</v>
      </c>
      <c r="E97" s="1395"/>
    </row>
    <row r="98" spans="2:7" hidden="1">
      <c r="B98" s="1392"/>
      <c r="C98" s="1396" t="str">
        <f>'4Neo'!D8&amp;": "&amp;D98&amp;" bộ"</f>
        <v>Bộ chằng xuống đơn cho trụ 10,5m: CX10-B: 0 bộ</v>
      </c>
      <c r="D98" s="1397">
        <f>'4Neo'!F8</f>
        <v>0</v>
      </c>
      <c r="E98" s="1395"/>
    </row>
    <row r="99" spans="2:7" hidden="1">
      <c r="B99" s="1392"/>
      <c r="C99" s="1396" t="str">
        <f>'4Neo'!D9&amp;": "&amp;D99&amp;" bộ"</f>
        <v>Bộ chằng lệch đơn cho trụ 10,5m: CL10-B: 0 bộ</v>
      </c>
      <c r="D99" s="1397">
        <f>'4Neo'!F9</f>
        <v>0</v>
      </c>
      <c r="E99" s="1395"/>
    </row>
    <row r="100" spans="2:7" hidden="1">
      <c r="B100" s="1392"/>
      <c r="C100" s="1396" t="str">
        <f>'4Neo'!D10&amp;": "&amp;D100&amp;" bộ"</f>
        <v>Bộ chằng xuống kép cho trụ 10,5m: CXX10-B: 0 bộ</v>
      </c>
      <c r="D100" s="1397">
        <f>'4Neo'!F10</f>
        <v>0</v>
      </c>
      <c r="E100" s="1395"/>
    </row>
    <row r="101" spans="2:7" hidden="1">
      <c r="B101" s="1392"/>
      <c r="C101" s="1396" t="str">
        <f>'4Neo'!D11&amp;": "&amp;D101&amp;" bộ"</f>
        <v>Tháo bộ chằng xuống đơn cho trụ 12m: CX12-B: 0 bộ</v>
      </c>
      <c r="D101" s="1397">
        <f>'4Neo'!F11</f>
        <v>0</v>
      </c>
      <c r="E101" s="1395"/>
    </row>
    <row r="102" spans="2:7" hidden="1">
      <c r="B102" s="1392"/>
      <c r="C102" s="1396" t="str">
        <f>'4Neo'!D12&amp;": "&amp;D102&amp;" bộ"</f>
        <v>Bộ chằng xuống đơn cho trụ 12m: CX12-B: 0 bộ</v>
      </c>
      <c r="D102" s="1397">
        <f>'4Neo'!F12</f>
        <v>0</v>
      </c>
      <c r="E102" s="1395"/>
    </row>
    <row r="103" spans="2:7" hidden="1">
      <c r="B103" s="1392"/>
      <c r="C103" s="1396" t="str">
        <f>'4Neo'!D13&amp;": "&amp;D103&amp;" bộ"</f>
        <v>Tháo bộ chằng lệch đơn cho trụ 12m: CL12-B: 0 bộ</v>
      </c>
      <c r="D103" s="1397">
        <f>'4Neo'!F13</f>
        <v>0</v>
      </c>
      <c r="E103" s="1395"/>
    </row>
    <row r="104" spans="2:7">
      <c r="B104" s="1392"/>
      <c r="C104" s="1396" t="str">
        <f>'4Neo'!D14&amp;": "&amp;D104&amp;" bộ"</f>
        <v>Bộ chằng lệch đơn cho trụ 12m: CL12-B: 0 bộ</v>
      </c>
      <c r="D104" s="1397">
        <f>'4Neo'!F14</f>
        <v>0</v>
      </c>
      <c r="E104" s="1395"/>
    </row>
    <row r="105" spans="2:7" hidden="1">
      <c r="B105" s="1392"/>
      <c r="C105" s="1396" t="str">
        <f>'4Neo'!D15&amp;": "&amp;D105&amp;" bộ"</f>
        <v>Bộ chằng xuống kép cho trụ 12m: CXX12-B: 0 bộ</v>
      </c>
      <c r="D105" s="1397">
        <f>'4Neo'!F15</f>
        <v>0</v>
      </c>
      <c r="E105" s="1395"/>
    </row>
    <row r="106" spans="2:7" s="1215" customFormat="1" hidden="1">
      <c r="B106" s="1392"/>
      <c r="C106" s="1396" t="str">
        <f>'4Neo'!D16&amp;": "&amp;D106&amp;" bộ"</f>
        <v>Bộ chằng xuống đơn cho trụ 14m: CX14-B: 0 bộ</v>
      </c>
      <c r="D106" s="1397">
        <f>'4Neo'!F16</f>
        <v>0</v>
      </c>
      <c r="E106" s="1395"/>
      <c r="G106" s="1378"/>
    </row>
    <row r="107" spans="2:7" s="1215" customFormat="1" hidden="1">
      <c r="B107" s="1392"/>
      <c r="C107" s="1396" t="str">
        <f>'4Neo'!D17&amp;": "&amp;D107&amp;" bộ"</f>
        <v>Bộ chằng lệch đơn cho trụ 14m: CL14-B: 0 bộ</v>
      </c>
      <c r="D107" s="1397">
        <f>'4Neo'!F17</f>
        <v>0</v>
      </c>
      <c r="E107" s="1395"/>
      <c r="G107" s="1378"/>
    </row>
    <row r="108" spans="2:7" s="1215" customFormat="1" hidden="1">
      <c r="B108" s="1392"/>
      <c r="C108" s="1396" t="str">
        <f>'4Neo'!D18&amp;": "&amp;D108&amp;" bộ"</f>
        <v>Bộ chằng xuống kép cho trụ 14m: CXX14-B: 0 bộ</v>
      </c>
      <c r="D108" s="1397">
        <f>'4Neo'!F18</f>
        <v>0</v>
      </c>
      <c r="E108" s="1395"/>
      <c r="G108" s="1378"/>
    </row>
    <row r="109" spans="2:7" s="1215" customFormat="1" hidden="1">
      <c r="B109" s="1392"/>
      <c r="C109" s="1396" t="str">
        <f>'4Neo'!D19&amp;": "&amp;D109&amp;" bộ"</f>
        <v>Bộ chằng vượt đơn: CK-B: 0 bộ</v>
      </c>
      <c r="D109" s="1397">
        <f>'4Neo'!F19</f>
        <v>0</v>
      </c>
      <c r="E109" s="1395"/>
      <c r="G109" s="1378"/>
    </row>
    <row r="110" spans="2:7" s="1215" customFormat="1" hidden="1">
      <c r="B110" s="1392"/>
      <c r="C110" s="1396" t="str">
        <f>'4Neo'!D20&amp;": "&amp;D110&amp;" bộ"</f>
        <v>Bộ chằng vượt kép: CKK-B: 0 bộ</v>
      </c>
      <c r="D110" s="1397">
        <f>'4Neo'!F20</f>
        <v>0</v>
      </c>
      <c r="E110" s="1395"/>
      <c r="G110" s="1378"/>
    </row>
    <row r="111" spans="2:7" s="1215" customFormat="1" hidden="1">
      <c r="B111" s="1392"/>
      <c r="C111" s="1396" t="str">
        <f>'4Neo'!D21&amp;": "&amp;D111&amp;" bộ"</f>
        <v>Bộ chằng xuống đơn cho trụ 10,5m: CX10-C: 0 bộ</v>
      </c>
      <c r="D111" s="1397">
        <f>'4Neo'!F21</f>
        <v>0</v>
      </c>
      <c r="E111" s="1395"/>
      <c r="G111" s="1378"/>
    </row>
    <row r="112" spans="2:7" s="1215" customFormat="1" hidden="1">
      <c r="B112" s="1392"/>
      <c r="C112" s="1396" t="str">
        <f>'4Neo'!D22&amp;": "&amp;D112&amp;" bộ"</f>
        <v>Bộ chằng lệch đơn cho trụ 10,5m: CL10-C: 0 bộ</v>
      </c>
      <c r="D112" s="1397">
        <f>'4Neo'!F22</f>
        <v>0</v>
      </c>
      <c r="E112" s="1395"/>
      <c r="G112" s="1378"/>
    </row>
    <row r="113" spans="2:7" s="1215" customFormat="1" hidden="1">
      <c r="B113" s="1392"/>
      <c r="C113" s="1396" t="str">
        <f>'4Neo'!D23&amp;": "&amp;D113&amp;" bộ"</f>
        <v>Bộ chằng xuống kép cho trụ 10,5m: CXX10-C: 0 bộ</v>
      </c>
      <c r="D113" s="1397">
        <f>'4Neo'!F23</f>
        <v>0</v>
      </c>
      <c r="E113" s="1395"/>
      <c r="G113" s="1378"/>
    </row>
    <row r="114" spans="2:7" s="1215" customFormat="1" hidden="1">
      <c r="B114" s="1392"/>
      <c r="C114" s="1396" t="str">
        <f>'4Neo'!D24&amp;": "&amp;D114&amp;" bộ"</f>
        <v>Bộ chằng xuống đơn cho trụ 12m: CX12-C: 0 bộ</v>
      </c>
      <c r="D114" s="1397">
        <f>'4Neo'!F24</f>
        <v>0</v>
      </c>
      <c r="E114" s="1395"/>
      <c r="G114" s="1378"/>
    </row>
    <row r="115" spans="2:7" s="1215" customFormat="1" hidden="1">
      <c r="B115" s="1392"/>
      <c r="C115" s="1396" t="str">
        <f>'4Neo'!D25&amp;": "&amp;D115&amp;" bộ"</f>
        <v>Bộ chằng lệch đơn cho trụ 12m: CL12-C: 0 bộ</v>
      </c>
      <c r="D115" s="1397">
        <f>'4Neo'!F25</f>
        <v>0</v>
      </c>
      <c r="E115" s="1395"/>
      <c r="G115" s="1378"/>
    </row>
    <row r="116" spans="2:7" s="1215" customFormat="1" hidden="1">
      <c r="B116" s="1392"/>
      <c r="C116" s="1396" t="str">
        <f>'4Neo'!D26&amp;": "&amp;D116&amp;" bộ"</f>
        <v>Bộ chằng xuống kép cho trụ 12m: CXX12-C: 0 bộ</v>
      </c>
      <c r="D116" s="1397">
        <f>'4Neo'!F26</f>
        <v>0</v>
      </c>
      <c r="E116" s="1395"/>
      <c r="G116" s="1378"/>
    </row>
    <row r="117" spans="2:7" s="1215" customFormat="1" hidden="1">
      <c r="B117" s="1392"/>
      <c r="C117" s="1396" t="str">
        <f>'4Neo'!D27&amp;": "&amp;D117&amp;" bộ"</f>
        <v>Bộ chằng xuống đơn cho trụ 14m: CX14-C: 0 bộ</v>
      </c>
      <c r="D117" s="1397">
        <f>'4Neo'!F27</f>
        <v>0</v>
      </c>
      <c r="E117" s="1395"/>
      <c r="G117" s="1378"/>
    </row>
    <row r="118" spans="2:7" s="1215" customFormat="1" hidden="1">
      <c r="B118" s="1392"/>
      <c r="C118" s="1396" t="str">
        <f>'4Neo'!D28&amp;": "&amp;D118&amp;" bộ"</f>
        <v>Bộ chằng lệch đơn cho trụ 14m: CL14-C: 0 bộ</v>
      </c>
      <c r="D118" s="1397">
        <f>'4Neo'!F28</f>
        <v>0</v>
      </c>
      <c r="E118" s="1395"/>
      <c r="G118" s="1378"/>
    </row>
    <row r="119" spans="2:7" s="1215" customFormat="1" hidden="1">
      <c r="B119" s="1392"/>
      <c r="C119" s="1396" t="str">
        <f>'4Neo'!D29&amp;": "&amp;D119&amp;" bộ"</f>
        <v>Bộ chằng xuống kép cho trụ 14m: CXX14-C: 0 bộ</v>
      </c>
      <c r="D119" s="1397">
        <f>'4Neo'!F29</f>
        <v>0</v>
      </c>
      <c r="E119" s="1395"/>
      <c r="G119" s="1378"/>
    </row>
    <row r="120" spans="2:7" s="1215" customFormat="1" hidden="1">
      <c r="B120" s="1392"/>
      <c r="C120" s="1396" t="str">
        <f>'4Neo'!D30&amp;": "&amp;D120&amp;" bộ"</f>
        <v>Bộ chằng xuống đơn cho trụ 20m: CX20-C: 0 bộ</v>
      </c>
      <c r="D120" s="1397">
        <f>'4Neo'!F30</f>
        <v>0</v>
      </c>
      <c r="E120" s="1395"/>
      <c r="G120" s="1378"/>
    </row>
    <row r="121" spans="2:7" s="1215" customFormat="1" hidden="1">
      <c r="B121" s="1392"/>
      <c r="C121" s="1396" t="str">
        <f>'4Neo'!D31&amp;": "&amp;D121&amp;" bộ"</f>
        <v>Bộ chằng vượt đơn: CK-C: 0 bộ</v>
      </c>
      <c r="D121" s="1397">
        <f>'4Neo'!F31</f>
        <v>0</v>
      </c>
      <c r="E121" s="1395"/>
      <c r="G121" s="1378"/>
    </row>
    <row r="122" spans="2:7" s="1215" customFormat="1" hidden="1">
      <c r="B122" s="1392"/>
      <c r="C122" s="1396" t="str">
        <f>'4Neo'!D32&amp;": "&amp;D122&amp;" bộ"</f>
        <v>Bộ chằng vượt kép: CKK-C: 0 bộ</v>
      </c>
      <c r="D122" s="1397">
        <f>'4Neo'!F32</f>
        <v>0</v>
      </c>
      <c r="E122" s="1395"/>
      <c r="G122" s="1378"/>
    </row>
    <row r="123" spans="2:7" s="1215" customFormat="1" ht="35.25" hidden="1" customHeight="1">
      <c r="B123" s="1392"/>
      <c r="C123" s="1393" t="s">
        <v>4528</v>
      </c>
      <c r="D123" s="1398" t="e">
        <f ca="1">SUM(D74,D85,D93)</f>
        <v>#REF!</v>
      </c>
      <c r="E123" s="1395"/>
      <c r="G123" s="1378"/>
    </row>
    <row r="124" spans="2:7" ht="32.25" hidden="1" customHeight="1">
      <c r="B124" s="1392">
        <f>B3+2</f>
        <v>43876</v>
      </c>
      <c r="C124" s="1393" t="s">
        <v>4523</v>
      </c>
      <c r="D124" s="1394" t="e">
        <f ca="1">SUM(D125:D181)</f>
        <v>#REF!</v>
      </c>
      <c r="E124" s="1395"/>
    </row>
    <row r="125" spans="2:7">
      <c r="B125" s="1392"/>
      <c r="C125" s="1396" t="str">
        <f>'6PK'!D4</f>
        <v>Xà composite 110x800x5 dài 2,4m</v>
      </c>
      <c r="D125" s="1397">
        <f ca="1">'6PK'!G4</f>
        <v>1</v>
      </c>
      <c r="E125" s="1951" t="str">
        <f>'6PK'!E4</f>
        <v>cái</v>
      </c>
    </row>
    <row r="126" spans="2:7" hidden="1">
      <c r="B126" s="1392"/>
      <c r="C126" s="1396" t="str">
        <f>'6PK'!D5</f>
        <v>Chống composite 40x10x920</v>
      </c>
      <c r="D126" s="1397">
        <f ca="1">'6PK'!G5</f>
        <v>2</v>
      </c>
      <c r="E126" s="1951" t="str">
        <f>'6PK'!E5</f>
        <v>cái</v>
      </c>
    </row>
    <row r="127" spans="2:7" hidden="1">
      <c r="B127" s="1392"/>
      <c r="C127" s="1396" t="e">
        <f>'6PK'!#REF!</f>
        <v>#REF!</v>
      </c>
      <c r="D127" s="1397" t="e">
        <f>'6PK'!#REF!</f>
        <v>#REF!</v>
      </c>
      <c r="E127" s="1951" t="e">
        <f>'6PK'!#REF!</f>
        <v>#REF!</v>
      </c>
    </row>
    <row r="128" spans="2:7">
      <c r="B128" s="1392"/>
      <c r="C128" s="1396" t="e">
        <f>'6PK'!D6</f>
        <v>#N/A</v>
      </c>
      <c r="D128" s="1397">
        <f ca="1">'6PK'!G6</f>
        <v>0</v>
      </c>
      <c r="E128" s="1951" t="e">
        <f>'6PK'!E6</f>
        <v>#N/A</v>
      </c>
    </row>
    <row r="129" spans="2:5" hidden="1">
      <c r="B129" s="1392"/>
      <c r="C129" s="1396" t="e">
        <f>'6PK'!D7</f>
        <v>#N/A</v>
      </c>
      <c r="D129" s="1397">
        <f ca="1">'6PK'!G7</f>
        <v>0</v>
      </c>
      <c r="E129" s="1951" t="e">
        <f>'6PK'!E7</f>
        <v>#N/A</v>
      </c>
    </row>
    <row r="130" spans="2:5" ht="18" hidden="1" customHeight="1">
      <c r="B130" s="1392"/>
      <c r="C130" s="1396" t="str">
        <f>'6PK'!D8</f>
        <v>Bộ xà kép L75x75x8 dài 2.2m: X-22K-Đ - C810 (lắp trụ đơn)</v>
      </c>
      <c r="D130" s="1397">
        <f ca="1">'6PK'!G8</f>
        <v>7</v>
      </c>
      <c r="E130" s="1951" t="str">
        <f>'6PK'!E8</f>
        <v>Bộ</v>
      </c>
    </row>
    <row r="131" spans="2:5" hidden="1">
      <c r="B131" s="1392"/>
      <c r="C131" s="1396" t="e">
        <f>'6PK'!D9</f>
        <v>#N/A</v>
      </c>
      <c r="D131" s="1397">
        <f ca="1">'6PK'!G9</f>
        <v>0</v>
      </c>
      <c r="E131" s="1951" t="e">
        <f>'6PK'!E9</f>
        <v>#N/A</v>
      </c>
    </row>
    <row r="132" spans="2:5" hidden="1">
      <c r="B132" s="1392"/>
      <c r="C132" s="1396" t="e">
        <f>'6PK'!D10</f>
        <v>#N/A</v>
      </c>
      <c r="D132" s="1397">
        <f ca="1">'6PK'!G10</f>
        <v>0</v>
      </c>
      <c r="E132" s="1951" t="e">
        <f>'6PK'!E10</f>
        <v>#N/A</v>
      </c>
    </row>
    <row r="133" spans="2:5" hidden="1">
      <c r="B133" s="1392"/>
      <c r="C133" s="1396" t="e">
        <f>'6PK'!D11</f>
        <v>#N/A</v>
      </c>
      <c r="D133" s="1397">
        <f ca="1">'6PK'!G11</f>
        <v>0</v>
      </c>
      <c r="E133" s="1951" t="e">
        <f>'6PK'!E11</f>
        <v>#N/A</v>
      </c>
    </row>
    <row r="134" spans="2:5" hidden="1">
      <c r="B134" s="1392"/>
      <c r="C134" s="1396" t="e">
        <f>'6PK'!D12</f>
        <v>#N/A</v>
      </c>
      <c r="D134" s="1397">
        <f ca="1">'6PK'!G12</f>
        <v>0</v>
      </c>
      <c r="E134" s="1951" t="e">
        <f>'6PK'!E12</f>
        <v>#N/A</v>
      </c>
    </row>
    <row r="135" spans="2:5" hidden="1">
      <c r="B135" s="1392"/>
      <c r="C135" s="1396" t="e">
        <f>'6PK'!#REF!</f>
        <v>#REF!</v>
      </c>
      <c r="D135" s="1397" t="e">
        <f>'6PK'!#REF!</f>
        <v>#REF!</v>
      </c>
      <c r="E135" s="1951" t="e">
        <f>'6PK'!#REF!</f>
        <v>#REF!</v>
      </c>
    </row>
    <row r="136" spans="2:5" hidden="1">
      <c r="B136" s="1392"/>
      <c r="C136" s="1396" t="e">
        <f>'6PK'!#REF!</f>
        <v>#REF!</v>
      </c>
      <c r="D136" s="1397" t="e">
        <f>'6PK'!#REF!</f>
        <v>#REF!</v>
      </c>
      <c r="E136" s="1951" t="e">
        <f>'6PK'!#REF!</f>
        <v>#REF!</v>
      </c>
    </row>
    <row r="137" spans="2:5" hidden="1">
      <c r="B137" s="1392"/>
      <c r="C137" s="1396" t="e">
        <f>'6PK'!#REF!</f>
        <v>#REF!</v>
      </c>
      <c r="D137" s="1397" t="e">
        <f>'6PK'!#REF!</f>
        <v>#REF!</v>
      </c>
      <c r="E137" s="1951" t="e">
        <f>'6PK'!#REF!</f>
        <v>#REF!</v>
      </c>
    </row>
    <row r="138" spans="2:5" hidden="1">
      <c r="B138" s="1392"/>
      <c r="C138" s="1396" t="e">
        <f>'6PK'!#REF!</f>
        <v>#REF!</v>
      </c>
      <c r="D138" s="1397" t="e">
        <f>'6PK'!#REF!</f>
        <v>#REF!</v>
      </c>
      <c r="E138" s="1951" t="e">
        <f>'6PK'!#REF!</f>
        <v>#REF!</v>
      </c>
    </row>
    <row r="139" spans="2:5">
      <c r="B139" s="1392"/>
      <c r="C139" s="1396" t="e">
        <f>'6PK'!D13</f>
        <v>#N/A</v>
      </c>
      <c r="D139" s="1397">
        <f ca="1">'6PK'!G13</f>
        <v>0</v>
      </c>
      <c r="E139" s="1951" t="e">
        <f>'6PK'!E13</f>
        <v>#N/A</v>
      </c>
    </row>
    <row r="140" spans="2:5" ht="33.6">
      <c r="B140" s="1392"/>
      <c r="C140" s="1396" t="str">
        <f>'6PK'!D14</f>
        <v>Bộ xà kép L75x75x8 dài 2.2m: X-22K-K - C810 (lắp theo hướng trụ ghép)</v>
      </c>
      <c r="D140" s="1397">
        <f ca="1">'6PK'!G14</f>
        <v>10</v>
      </c>
      <c r="E140" s="1951" t="str">
        <f>'6PK'!E14</f>
        <v>Bộ</v>
      </c>
    </row>
    <row r="141" spans="2:5">
      <c r="B141" s="1392"/>
      <c r="C141" s="1396" t="e">
        <f>'6PK'!D15</f>
        <v>#N/A</v>
      </c>
      <c r="D141" s="1397">
        <f ca="1">'6PK'!G15</f>
        <v>0</v>
      </c>
      <c r="E141" s="1951" t="e">
        <f>'6PK'!E15</f>
        <v>#N/A</v>
      </c>
    </row>
    <row r="142" spans="2:5" hidden="1">
      <c r="B142" s="1392"/>
      <c r="C142" s="1396" t="e">
        <f>'6PK'!D16</f>
        <v>#N/A</v>
      </c>
      <c r="D142" s="1397">
        <f ca="1">'6PK'!G16</f>
        <v>0</v>
      </c>
      <c r="E142" s="1951" t="e">
        <f>'6PK'!E16</f>
        <v>#N/A</v>
      </c>
    </row>
    <row r="143" spans="2:5" hidden="1">
      <c r="B143" s="1392"/>
      <c r="C143" s="1396" t="e">
        <f>'6PK'!D17</f>
        <v>#N/A</v>
      </c>
      <c r="D143" s="1397">
        <f ca="1">'6PK'!G17</f>
        <v>0</v>
      </c>
      <c r="E143" s="1951" t="e">
        <f>'6PK'!E17</f>
        <v>#N/A</v>
      </c>
    </row>
    <row r="144" spans="2:5" hidden="1">
      <c r="B144" s="1392"/>
      <c r="C144" s="1396" t="e">
        <f>'6PK'!#REF!</f>
        <v>#REF!</v>
      </c>
      <c r="D144" s="1397" t="e">
        <f>'6PK'!#REF!</f>
        <v>#REF!</v>
      </c>
      <c r="E144" s="1951" t="e">
        <f>'6PK'!#REF!</f>
        <v>#REF!</v>
      </c>
    </row>
    <row r="145" spans="2:5">
      <c r="B145" s="1392"/>
      <c r="C145" s="1396" t="e">
        <f>'6PK'!D18</f>
        <v>#N/A</v>
      </c>
      <c r="D145" s="1397">
        <f ca="1">'6PK'!G18</f>
        <v>0</v>
      </c>
      <c r="E145" s="1951" t="e">
        <f>'6PK'!E18</f>
        <v>#N/A</v>
      </c>
    </row>
    <row r="146" spans="2:5" hidden="1">
      <c r="B146" s="1392"/>
      <c r="C146" s="1396" t="e">
        <f>'6PK'!#REF!</f>
        <v>#REF!</v>
      </c>
      <c r="D146" s="1397" t="e">
        <f>'6PK'!#REF!</f>
        <v>#REF!</v>
      </c>
      <c r="E146" s="1951" t="e">
        <f>'6PK'!#REF!</f>
        <v>#REF!</v>
      </c>
    </row>
    <row r="147" spans="2:5" hidden="1">
      <c r="B147" s="1392"/>
      <c r="C147" s="1396" t="e">
        <f>'6PK'!D19</f>
        <v>#N/A</v>
      </c>
      <c r="D147" s="1397">
        <f ca="1">'6PK'!G19</f>
        <v>0</v>
      </c>
      <c r="E147" s="1951" t="e">
        <f>'6PK'!E19</f>
        <v>#N/A</v>
      </c>
    </row>
    <row r="148" spans="2:5" hidden="1">
      <c r="B148" s="1392"/>
      <c r="C148" s="1396" t="e">
        <f>'6PK'!D20</f>
        <v>#N/A</v>
      </c>
      <c r="D148" s="1397">
        <f ca="1">'6PK'!G20</f>
        <v>0</v>
      </c>
      <c r="E148" s="1951" t="e">
        <f>'6PK'!E20</f>
        <v>#N/A</v>
      </c>
    </row>
    <row r="149" spans="2:5" hidden="1">
      <c r="B149" s="1392"/>
      <c r="C149" s="1396" t="str">
        <f>'6PK'!D21</f>
        <v>Bộ xà lệch đơn L75x75x8 dài 2,1m: X-21ĐL</v>
      </c>
      <c r="D149" s="1397">
        <f ca="1">'6PK'!G21</f>
        <v>1</v>
      </c>
      <c r="E149" s="1951" t="str">
        <f>'6PK'!E21</f>
        <v>Bộ</v>
      </c>
    </row>
    <row r="150" spans="2:5" hidden="1">
      <c r="B150" s="1392"/>
      <c r="C150" s="1396" t="str">
        <f>'6PK'!D22</f>
        <v>Bộ xà lệch kép L75x75x8 dài 2,1m: X-21KL</v>
      </c>
      <c r="D150" s="1397">
        <f ca="1">'6PK'!G22</f>
        <v>1</v>
      </c>
      <c r="E150" s="1951" t="str">
        <f>'6PK'!E22</f>
        <v>Bộ</v>
      </c>
    </row>
    <row r="151" spans="2:5" hidden="1">
      <c r="B151" s="1392"/>
      <c r="C151" s="1396" t="e">
        <f>'6PK'!D25</f>
        <v>#N/A</v>
      </c>
      <c r="D151" s="1397">
        <f ca="1">'6PK'!G25</f>
        <v>0</v>
      </c>
      <c r="E151" s="1951" t="e">
        <f>'6PK'!E25</f>
        <v>#N/A</v>
      </c>
    </row>
    <row r="152" spans="2:5" hidden="1">
      <c r="B152" s="1392"/>
      <c r="C152" s="1396" t="e">
        <f>'6PK'!D26</f>
        <v>#N/A</v>
      </c>
      <c r="D152" s="1397">
        <f ca="1">'6PK'!G26</f>
        <v>0</v>
      </c>
      <c r="E152" s="1951" t="e">
        <f>'6PK'!E26</f>
        <v>#N/A</v>
      </c>
    </row>
    <row r="153" spans="2:5" hidden="1">
      <c r="B153" s="1392"/>
      <c r="C153" s="1396" t="e">
        <f>'6PK'!D27</f>
        <v>#N/A</v>
      </c>
      <c r="D153" s="1397">
        <f ca="1">'6PK'!G27</f>
        <v>0</v>
      </c>
      <c r="E153" s="1951" t="e">
        <f>'6PK'!E27</f>
        <v>#N/A</v>
      </c>
    </row>
    <row r="154" spans="2:5" hidden="1">
      <c r="B154" s="1392"/>
      <c r="C154" s="1396" t="e">
        <f>'6PK'!D28</f>
        <v>#N/A</v>
      </c>
      <c r="D154" s="1397">
        <f ca="1">'6PK'!G28</f>
        <v>0</v>
      </c>
      <c r="E154" s="1951" t="e">
        <f>'6PK'!E28</f>
        <v>#N/A</v>
      </c>
    </row>
    <row r="155" spans="2:5" hidden="1">
      <c r="B155" s="1392"/>
      <c r="C155" s="1396" t="e">
        <f>'6PK'!D29</f>
        <v>#N/A</v>
      </c>
      <c r="D155" s="1397">
        <f ca="1">'6PK'!G29</f>
        <v>0</v>
      </c>
      <c r="E155" s="1951" t="e">
        <f>'6PK'!E29</f>
        <v>#N/A</v>
      </c>
    </row>
    <row r="156" spans="2:5" hidden="1">
      <c r="B156" s="1392"/>
      <c r="C156" s="1396" t="e">
        <f>'6PK'!D30</f>
        <v>#N/A</v>
      </c>
      <c r="D156" s="1397">
        <f ca="1">'6PK'!G30</f>
        <v>0</v>
      </c>
      <c r="E156" s="1951" t="e">
        <f>'6PK'!E30</f>
        <v>#N/A</v>
      </c>
    </row>
    <row r="157" spans="2:5" hidden="1">
      <c r="B157" s="1392"/>
      <c r="C157" s="1396" t="e">
        <f>'6PK'!D31</f>
        <v>#N/A</v>
      </c>
      <c r="D157" s="1397">
        <f ca="1">'6PK'!G31</f>
        <v>0</v>
      </c>
      <c r="E157" s="1951" t="e">
        <f>'6PK'!E31</f>
        <v>#N/A</v>
      </c>
    </row>
    <row r="158" spans="2:5" hidden="1">
      <c r="B158" s="1392"/>
      <c r="C158" s="1396" t="e">
        <f>'6PK'!D32</f>
        <v>#N/A</v>
      </c>
      <c r="D158" s="1397">
        <f ca="1">'6PK'!G32</f>
        <v>0</v>
      </c>
      <c r="E158" s="1951" t="e">
        <f>'6PK'!E32</f>
        <v>#N/A</v>
      </c>
    </row>
    <row r="159" spans="2:5" hidden="1">
      <c r="B159" s="1392"/>
      <c r="C159" s="1396" t="e">
        <f>'6PK'!D33</f>
        <v>#N/A</v>
      </c>
      <c r="D159" s="1397">
        <f ca="1">'6PK'!G33</f>
        <v>0</v>
      </c>
      <c r="E159" s="1951" t="e">
        <f>'6PK'!E33</f>
        <v>#N/A</v>
      </c>
    </row>
    <row r="160" spans="2:5" hidden="1">
      <c r="B160" s="1392"/>
      <c r="C160" s="1396" t="e">
        <f>'6PK'!D34</f>
        <v>#N/A</v>
      </c>
      <c r="D160" s="1397">
        <f ca="1">'6PK'!G34</f>
        <v>0</v>
      </c>
      <c r="E160" s="1951" t="e">
        <f>'6PK'!E34</f>
        <v>#N/A</v>
      </c>
    </row>
    <row r="161" spans="2:5" hidden="1">
      <c r="B161" s="1392"/>
      <c r="C161" s="1396" t="e">
        <f>'6PK'!D35</f>
        <v>#N/A</v>
      </c>
      <c r="D161" s="1397">
        <f ca="1">'6PK'!G35</f>
        <v>0</v>
      </c>
      <c r="E161" s="1951" t="e">
        <f>'6PK'!E35</f>
        <v>#N/A</v>
      </c>
    </row>
    <row r="162" spans="2:5" hidden="1">
      <c r="B162" s="1392"/>
      <c r="C162" s="1396" t="str">
        <f>'6PK'!D39</f>
        <v>Bộ Uclevis đỡ dây trung hòa: Đth-U (trụ đơn)</v>
      </c>
      <c r="D162" s="1397">
        <f ca="1">'6PK'!G39</f>
        <v>5</v>
      </c>
      <c r="E162" s="1951" t="str">
        <f>'6PK'!E39</f>
        <v>bộ</v>
      </c>
    </row>
    <row r="163" spans="2:5" hidden="1">
      <c r="B163" s="1392"/>
      <c r="C163" s="1396" t="e">
        <f>'6PK'!D40</f>
        <v>#N/A</v>
      </c>
      <c r="D163" s="1397">
        <f ca="1">'6PK'!G40</f>
        <v>0</v>
      </c>
      <c r="E163" s="1951" t="e">
        <f>'6PK'!E40</f>
        <v>#N/A</v>
      </c>
    </row>
    <row r="164" spans="2:5" hidden="1">
      <c r="B164" s="1392"/>
      <c r="C164" s="1396" t="str">
        <f>'6PK'!D41</f>
        <v>Bộ khóa néo dây trung hòa vào trụ đơn</v>
      </c>
      <c r="D164" s="1397">
        <f ca="1">'6PK'!G41</f>
        <v>6</v>
      </c>
      <c r="E164" s="1951" t="str">
        <f>'6PK'!E41</f>
        <v>bộ</v>
      </c>
    </row>
    <row r="165" spans="2:5" hidden="1">
      <c r="B165" s="1392"/>
      <c r="C165" s="1396" t="e">
        <f>'6PK'!D42</f>
        <v>#N/A</v>
      </c>
      <c r="D165" s="1397">
        <f ca="1">'6PK'!G42</f>
        <v>0</v>
      </c>
      <c r="E165" s="1951" t="e">
        <f>'6PK'!E42</f>
        <v>#N/A</v>
      </c>
    </row>
    <row r="166" spans="2:5" hidden="1">
      <c r="B166" s="1392"/>
      <c r="C166" s="1396" t="str">
        <f>'6PK'!D43</f>
        <v>Bộ Uclevis đỡ dây trung hòa trụ ghép: Đth-U-g (trụ ghép)</v>
      </c>
      <c r="D166" s="1397">
        <f ca="1">'6PK'!G43</f>
        <v>1</v>
      </c>
      <c r="E166" s="1951" t="str">
        <f>'6PK'!E43</f>
        <v>bộ</v>
      </c>
    </row>
    <row r="167" spans="2:5" hidden="1">
      <c r="B167" s="1392"/>
      <c r="C167" s="1396" t="e">
        <f>'6PK'!D44</f>
        <v>#N/A</v>
      </c>
      <c r="D167" s="1397">
        <f ca="1">'6PK'!G44</f>
        <v>0</v>
      </c>
      <c r="E167" s="1951" t="e">
        <f>'6PK'!E44</f>
        <v>#N/A</v>
      </c>
    </row>
    <row r="168" spans="2:5" hidden="1">
      <c r="B168" s="1392"/>
      <c r="C168" s="1396" t="str">
        <f>'6PK'!D45</f>
        <v>Bộ khóa néo dây trung hòa vào trụ ghép</v>
      </c>
      <c r="D168" s="1397">
        <f ca="1">'6PK'!G45</f>
        <v>14</v>
      </c>
      <c r="E168" s="1951" t="str">
        <f>'6PK'!E45</f>
        <v>bộ</v>
      </c>
    </row>
    <row r="169" spans="2:5" hidden="1">
      <c r="B169" s="1392"/>
      <c r="C169" s="1396" t="e">
        <f>'6PK'!#REF!</f>
        <v>#REF!</v>
      </c>
      <c r="D169" s="1397" t="e">
        <f>'6PK'!#REF!</f>
        <v>#REF!</v>
      </c>
      <c r="E169" s="1951" t="e">
        <f>'6PK'!#REF!</f>
        <v>#REF!</v>
      </c>
    </row>
    <row r="170" spans="2:5" hidden="1">
      <c r="B170" s="1392"/>
      <c r="C170" s="1396" t="e">
        <f>'6PK'!D46</f>
        <v>#N/A</v>
      </c>
      <c r="D170" s="1397">
        <f ca="1">'6PK'!G46</f>
        <v>0</v>
      </c>
      <c r="E170" s="1951" t="e">
        <f>'6PK'!E46</f>
        <v>#N/A</v>
      </c>
    </row>
    <row r="171" spans="2:5" hidden="1">
      <c r="B171" s="1392"/>
      <c r="C171" s="1396" t="e">
        <f>'6PK'!D47</f>
        <v>#N/A</v>
      </c>
      <c r="D171" s="1397">
        <f ca="1">'6PK'!G47</f>
        <v>0</v>
      </c>
      <c r="E171" s="1951" t="e">
        <f>'6PK'!E47</f>
        <v>#N/A</v>
      </c>
    </row>
    <row r="172" spans="2:5" hidden="1">
      <c r="B172" s="1392"/>
      <c r="C172" s="1396" t="e">
        <f>'6PK'!D48</f>
        <v>#N/A</v>
      </c>
      <c r="D172" s="1397">
        <f ca="1">'6PK'!G48</f>
        <v>0</v>
      </c>
      <c r="E172" s="1951" t="e">
        <f>'6PK'!E48</f>
        <v>#N/A</v>
      </c>
    </row>
    <row r="173" spans="2:5" hidden="1">
      <c r="B173" s="1392"/>
      <c r="C173" s="1396" t="str">
        <f>'6PK'!D49</f>
        <v xml:space="preserve">Sứ đứng 24KV </v>
      </c>
      <c r="D173" s="1397">
        <f ca="1">'6PK'!G49</f>
        <v>160</v>
      </c>
      <c r="E173" s="1951" t="str">
        <f>'6PK'!E49</f>
        <v>cái</v>
      </c>
    </row>
    <row r="174" spans="2:5" hidden="1">
      <c r="B174" s="1392"/>
      <c r="C174" s="1396" t="e">
        <f>'6PK'!D50</f>
        <v>#N/A</v>
      </c>
      <c r="D174" s="1397">
        <f ca="1">'6PK'!G50</f>
        <v>0</v>
      </c>
      <c r="E174" s="1951" t="e">
        <f>'6PK'!E50</f>
        <v>#N/A</v>
      </c>
    </row>
    <row r="175" spans="2:5" hidden="1">
      <c r="B175" s="1392"/>
      <c r="C175" s="1396" t="e">
        <f>'6PK'!#REF!</f>
        <v>#REF!</v>
      </c>
      <c r="D175" s="1397" t="e">
        <f>'6PK'!#REF!</f>
        <v>#REF!</v>
      </c>
      <c r="E175" s="1951" t="e">
        <f>'6PK'!#REF!</f>
        <v>#REF!</v>
      </c>
    </row>
    <row r="176" spans="2:5" hidden="1">
      <c r="B176" s="1392"/>
      <c r="C176" s="1396" t="e">
        <f>'6PK'!#REF!</f>
        <v>#REF!</v>
      </c>
      <c r="D176" s="1397" t="e">
        <f>'6PK'!#REF!</f>
        <v>#REF!</v>
      </c>
      <c r="E176" s="1951" t="e">
        <f>'6PK'!#REF!</f>
        <v>#REF!</v>
      </c>
    </row>
    <row r="177" spans="2:7" hidden="1">
      <c r="B177" s="1392"/>
      <c r="C177" s="1396" t="e">
        <f>'6PK'!#REF!</f>
        <v>#REF!</v>
      </c>
      <c r="D177" s="1397" t="e">
        <f>'6PK'!#REF!</f>
        <v>#REF!</v>
      </c>
      <c r="E177" s="1951" t="e">
        <f>'6PK'!#REF!</f>
        <v>#REF!</v>
      </c>
    </row>
    <row r="178" spans="2:7" hidden="1">
      <c r="B178" s="1392"/>
      <c r="C178" s="1396" t="e">
        <f>'6PK'!#REF!</f>
        <v>#REF!</v>
      </c>
      <c r="D178" s="1397" t="e">
        <f>'6PK'!#REF!</f>
        <v>#REF!</v>
      </c>
      <c r="E178" s="1951" t="e">
        <f>'6PK'!#REF!</f>
        <v>#REF!</v>
      </c>
    </row>
    <row r="179" spans="2:7" hidden="1">
      <c r="B179" s="1392"/>
      <c r="C179" s="1396" t="e">
        <f>'6PK'!#REF!</f>
        <v>#REF!</v>
      </c>
      <c r="D179" s="1397" t="e">
        <f>'6PK'!#REF!</f>
        <v>#REF!</v>
      </c>
      <c r="E179" s="1951" t="e">
        <f>'6PK'!#REF!</f>
        <v>#REF!</v>
      </c>
    </row>
    <row r="180" spans="2:7" hidden="1">
      <c r="B180" s="1392"/>
      <c r="C180" s="1396" t="e">
        <f>'6PK'!D51</f>
        <v>#N/A</v>
      </c>
      <c r="D180" s="1397">
        <f ca="1">'6PK'!G51</f>
        <v>0</v>
      </c>
      <c r="E180" s="1951" t="e">
        <f>'6PK'!E51</f>
        <v>#N/A</v>
      </c>
    </row>
    <row r="181" spans="2:7" hidden="1">
      <c r="B181" s="1392"/>
      <c r="C181" s="1396" t="e">
        <f>'6PK'!#REF!</f>
        <v>#REF!</v>
      </c>
      <c r="D181" s="1397" t="e">
        <f>'6PK'!#REF!</f>
        <v>#REF!</v>
      </c>
      <c r="E181" s="1951" t="e">
        <f>'6PK'!#REF!</f>
        <v>#REF!</v>
      </c>
    </row>
    <row r="182" spans="2:7" s="1215" customFormat="1" hidden="1">
      <c r="B182" s="1392"/>
      <c r="C182" s="1396" t="e">
        <f>'6PK'!#REF!</f>
        <v>#REF!</v>
      </c>
      <c r="D182" s="1397" t="e">
        <f>'6PK'!#REF!</f>
        <v>#REF!</v>
      </c>
      <c r="E182" s="1951" t="e">
        <f>'6PK'!#REF!</f>
        <v>#REF!</v>
      </c>
      <c r="G182" s="1378"/>
    </row>
    <row r="183" spans="2:7" s="1215" customFormat="1" hidden="1">
      <c r="B183" s="1392"/>
      <c r="C183" s="1396" t="str">
        <f>'6PK'!D52</f>
        <v>Sứ treo polymer</v>
      </c>
      <c r="D183" s="1397">
        <f ca="1">'6PK'!G52</f>
        <v>75</v>
      </c>
      <c r="E183" s="1951" t="str">
        <f>'6PK'!E52</f>
        <v>chuỗi</v>
      </c>
      <c r="G183" s="1378"/>
    </row>
    <row r="184" spans="2:7" s="1215" customFormat="1" hidden="1">
      <c r="B184" s="1392"/>
      <c r="C184" s="1396" t="e">
        <f>'6PK'!D53</f>
        <v>#N/A</v>
      </c>
      <c r="D184" s="1397">
        <f ca="1">'6PK'!G53</f>
        <v>0</v>
      </c>
      <c r="E184" s="1951" t="e">
        <f>'6PK'!E53</f>
        <v>#N/A</v>
      </c>
      <c r="G184" s="1378"/>
    </row>
    <row r="185" spans="2:7" s="1215" customFormat="1" hidden="1">
      <c r="B185" s="1392"/>
      <c r="C185" s="1396" t="e">
        <f>'6PK'!D54</f>
        <v>#N/A</v>
      </c>
      <c r="D185" s="1397">
        <f ca="1">'6PK'!G54</f>
        <v>0</v>
      </c>
      <c r="E185" s="1951" t="e">
        <f>'6PK'!E54</f>
        <v>#N/A</v>
      </c>
      <c r="G185" s="1378"/>
    </row>
    <row r="186" spans="2:7" s="1215" customFormat="1" hidden="1">
      <c r="B186" s="1392"/>
      <c r="C186" s="1396" t="e">
        <f>'6PK'!D55</f>
        <v>#N/A</v>
      </c>
      <c r="D186" s="1397">
        <f ca="1">'6PK'!G55</f>
        <v>0</v>
      </c>
      <c r="E186" s="1951" t="e">
        <f>'6PK'!E55</f>
        <v>#N/A</v>
      </c>
      <c r="G186" s="1378"/>
    </row>
    <row r="187" spans="2:7" s="1215" customFormat="1" hidden="1">
      <c r="B187" s="1392"/>
      <c r="C187" s="1396" t="e">
        <f>'6PK'!D56</f>
        <v>#N/A</v>
      </c>
      <c r="D187" s="1397">
        <f ca="1">'6PK'!G56</f>
        <v>0</v>
      </c>
      <c r="E187" s="1951" t="e">
        <f>'6PK'!E56</f>
        <v>#N/A</v>
      </c>
      <c r="G187" s="1378"/>
    </row>
    <row r="188" spans="2:7" s="1215" customFormat="1" hidden="1">
      <c r="B188" s="1392"/>
      <c r="C188" s="1396" t="e">
        <f>'6PK'!D57</f>
        <v>#N/A</v>
      </c>
      <c r="D188" s="1397">
        <f ca="1">'6PK'!G57</f>
        <v>0</v>
      </c>
      <c r="E188" s="1951" t="e">
        <f>'6PK'!E57</f>
        <v>#N/A</v>
      </c>
      <c r="G188" s="1378"/>
    </row>
    <row r="189" spans="2:7" s="1215" customFormat="1" hidden="1">
      <c r="B189" s="1392"/>
      <c r="C189" s="1396" t="e">
        <f>'6PK'!D58</f>
        <v>#N/A</v>
      </c>
      <c r="D189" s="1397">
        <f ca="1">'6PK'!G58</f>
        <v>0</v>
      </c>
      <c r="E189" s="1951" t="e">
        <f>'6PK'!E58</f>
        <v>#N/A</v>
      </c>
      <c r="G189" s="1378"/>
    </row>
    <row r="190" spans="2:7" s="1215" customFormat="1" hidden="1">
      <c r="B190" s="1392"/>
      <c r="C190" s="1396" t="e">
        <f>'6PK'!D59</f>
        <v>#N/A</v>
      </c>
      <c r="D190" s="1397">
        <f ca="1">'6PK'!G59</f>
        <v>0</v>
      </c>
      <c r="E190" s="1951" t="e">
        <f>'6PK'!E59</f>
        <v>#N/A</v>
      </c>
      <c r="G190" s="1378"/>
    </row>
    <row r="191" spans="2:7" s="1215" customFormat="1" hidden="1">
      <c r="B191" s="1392"/>
      <c r="C191" s="1396" t="e">
        <f>'6PK'!D60</f>
        <v>#N/A</v>
      </c>
      <c r="D191" s="1397">
        <f ca="1">'6PK'!G60</f>
        <v>0</v>
      </c>
      <c r="E191" s="1951" t="e">
        <f>'6PK'!E60</f>
        <v>#N/A</v>
      </c>
      <c r="G191" s="1378"/>
    </row>
    <row r="192" spans="2:7" s="1215" customFormat="1" hidden="1">
      <c r="B192" s="1392"/>
      <c r="C192" s="1396" t="e">
        <f>'6PK'!D69</f>
        <v>#N/A</v>
      </c>
      <c r="D192" s="1397">
        <f ca="1">'6PK'!G69</f>
        <v>0</v>
      </c>
      <c r="E192" s="1951" t="str">
        <f>'6PK'!H61</f>
        <v>x</v>
      </c>
      <c r="G192" s="1378"/>
    </row>
    <row r="193" spans="2:7" s="1215" customFormat="1" hidden="1">
      <c r="B193" s="1392"/>
      <c r="C193" s="1396" t="e">
        <f>'6PK'!D70</f>
        <v>#N/A</v>
      </c>
      <c r="D193" s="1397">
        <f ca="1">'6PK'!G70</f>
        <v>0</v>
      </c>
      <c r="E193" s="1951" t="str">
        <f>'6PK'!H62</f>
        <v>x</v>
      </c>
      <c r="G193" s="1378"/>
    </row>
    <row r="194" spans="2:7" s="1215" customFormat="1" hidden="1">
      <c r="B194" s="1392"/>
      <c r="C194" s="1396" t="e">
        <f>'6PK'!D71</f>
        <v>#N/A</v>
      </c>
      <c r="D194" s="1397">
        <f ca="1">'6PK'!G71</f>
        <v>0</v>
      </c>
      <c r="E194" s="1951" t="str">
        <f>'6PK'!H63</f>
        <v>x</v>
      </c>
      <c r="G194" s="1378"/>
    </row>
    <row r="195" spans="2:7" s="1215" customFormat="1" hidden="1">
      <c r="B195" s="1392"/>
      <c r="C195" s="1396" t="e">
        <f>'6PK'!D72</f>
        <v>#N/A</v>
      </c>
      <c r="D195" s="1397">
        <f ca="1">'6PK'!G72</f>
        <v>0</v>
      </c>
      <c r="E195" s="1951" t="str">
        <f>'6PK'!H64</f>
        <v>x</v>
      </c>
      <c r="G195" s="1378"/>
    </row>
    <row r="196" spans="2:7" s="1215" customFormat="1" hidden="1">
      <c r="B196" s="1392"/>
      <c r="C196" s="1396" t="e">
        <f>'6PK'!D73</f>
        <v>#N/A</v>
      </c>
      <c r="D196" s="1397">
        <f ca="1">'6PK'!G73</f>
        <v>0</v>
      </c>
      <c r="E196" s="1951" t="str">
        <f>'6PK'!H65</f>
        <v>x</v>
      </c>
      <c r="G196" s="1378"/>
    </row>
    <row r="197" spans="2:7" s="1215" customFormat="1" hidden="1">
      <c r="B197" s="1392"/>
      <c r="C197" s="1396" t="e">
        <f>'6PK'!D74</f>
        <v>#N/A</v>
      </c>
      <c r="D197" s="1397">
        <f ca="1">'6PK'!G74</f>
        <v>0</v>
      </c>
      <c r="E197" s="1951" t="str">
        <f>'6PK'!H66</f>
        <v>x</v>
      </c>
      <c r="G197" s="1378"/>
    </row>
    <row r="198" spans="2:7" hidden="1">
      <c r="B198" s="1392">
        <f>B124</f>
        <v>43876</v>
      </c>
      <c r="C198" s="1396" t="str">
        <f>"Kéo, rải, căng dây trung thế:"</f>
        <v>Kéo, rải, căng dây trung thế:</v>
      </c>
      <c r="D198" s="1394" t="e">
        <f ca="1">D124</f>
        <v>#REF!</v>
      </c>
      <c r="E198" s="1395"/>
    </row>
    <row r="199" spans="2:7" s="1215" customFormat="1" ht="33.6" hidden="1">
      <c r="B199" s="1392"/>
      <c r="C199" s="1396" t="str">
        <f ca="1">'7day'!E5&amp;" dài "&amp;'7day'!F5&amp;" mét."</f>
        <v>Cáp 24KV ACXH 95mm2 + Cáp nhôm lõi thép AC-70/11 dài 2970,342 mét.</v>
      </c>
      <c r="D199" s="1394">
        <f ca="1">'7day'!G5</f>
        <v>2970.3420000000006</v>
      </c>
      <c r="E199" s="1395"/>
      <c r="G199" s="1378"/>
    </row>
    <row r="200" spans="2:7" s="1215" customFormat="1" ht="33.6" hidden="1">
      <c r="B200" s="1392"/>
      <c r="C200" s="1396" t="str">
        <f ca="1">'7day'!E6&amp;" dài "&amp;'7day'!F6&amp;" mét."</f>
        <v>Cáp 24KV ACXH 70mm2 + Cáp nhôm lõi thép AC-50/8 dài 1649,34 mét.</v>
      </c>
      <c r="D200" s="1394">
        <f ca="1">'7day'!G6</f>
        <v>1649.34</v>
      </c>
      <c r="E200" s="1395"/>
      <c r="G200" s="1378"/>
    </row>
    <row r="201" spans="2:7" s="1215" customFormat="1" hidden="1">
      <c r="B201" s="1392"/>
      <c r="C201" s="1396" t="e">
        <f ca="1">'7day'!E7&amp;" dài "&amp;'7day'!F7&amp;" mét."</f>
        <v>#N/A</v>
      </c>
      <c r="D201" s="1394">
        <f ca="1">'7day'!G7</f>
        <v>0</v>
      </c>
      <c r="E201" s="1395"/>
      <c r="G201" s="1378"/>
    </row>
    <row r="202" spans="2:7" s="1215" customFormat="1" hidden="1">
      <c r="B202" s="1392"/>
      <c r="C202" s="1396" t="e">
        <f>'7day'!E8&amp;" dài "&amp;'7day'!F8&amp;" mét."</f>
        <v>#N/A</v>
      </c>
      <c r="D202" s="1394">
        <f>'7day'!G8</f>
        <v>0</v>
      </c>
      <c r="E202" s="1395"/>
      <c r="G202" s="1378"/>
    </row>
    <row r="203" spans="2:7" ht="33.6" hidden="1">
      <c r="B203" s="1392"/>
      <c r="C203" s="1393" t="s">
        <v>4524</v>
      </c>
      <c r="D203" s="1394" t="e">
        <f ca="1">D198+D124</f>
        <v>#REF!</v>
      </c>
      <c r="E203" s="1395"/>
    </row>
    <row r="204" spans="2:7" hidden="1">
      <c r="B204" s="1392">
        <f>B198</f>
        <v>43876</v>
      </c>
      <c r="C204" s="1393" t="str">
        <f>"Lắp đặt trạm biến áp"</f>
        <v>Lắp đặt trạm biến áp</v>
      </c>
      <c r="D204" s="1394">
        <f ca="1">'8TB'!F2</f>
        <v>1</v>
      </c>
      <c r="E204" s="1395"/>
    </row>
    <row r="205" spans="2:7" hidden="1">
      <c r="B205" s="1392"/>
      <c r="C205" s="1393" t="str">
        <f ca="1">'8TB'!D2&amp;": "&amp;'8TB'!F2&amp;" "&amp;'8TB'!E2</f>
        <v>Máy biến áp 22/0,4kV- 1000kVA: 1 máy</v>
      </c>
      <c r="D205" s="1394">
        <f ca="1">'8TB'!F3</f>
        <v>4</v>
      </c>
      <c r="E205" s="1399"/>
    </row>
    <row r="206" spans="2:7">
      <c r="B206" s="1392"/>
      <c r="C206" s="1393" t="str">
        <f ca="1">'8TB'!D3&amp;": "&amp;'8TB'!F3&amp;" "&amp;'8TB'!E3</f>
        <v>FCO 24kV - 100A: 4 cái</v>
      </c>
      <c r="D206" s="1394">
        <f ca="1">'8TB'!F4</f>
        <v>3</v>
      </c>
      <c r="E206" s="1399"/>
    </row>
    <row r="207" spans="2:7" hidden="1">
      <c r="B207" s="1392"/>
      <c r="C207" s="1393" t="str">
        <f ca="1">'8TB'!D4&amp;": "&amp;'8TB'!F4&amp;" "&amp;'8TB'!E4</f>
        <v>FCO 24KV - 200A : 3 cái</v>
      </c>
      <c r="D207" s="1394">
        <f ca="1">'8TB'!F5</f>
        <v>12</v>
      </c>
      <c r="E207" s="1399"/>
    </row>
    <row r="208" spans="2:7">
      <c r="B208" s="1392"/>
      <c r="C208" s="1393" t="str">
        <f ca="1">'8TB'!D5&amp;": "&amp;'8TB'!F5&amp;" "&amp;'8TB'!E5</f>
        <v>Chống sét van LA-18KV-10KA: 12 cái</v>
      </c>
      <c r="D208" s="1394">
        <f ca="1">'8TB'!F6</f>
        <v>160</v>
      </c>
      <c r="E208" s="1399"/>
    </row>
    <row r="209" spans="2:7" hidden="1">
      <c r="B209" s="1392"/>
      <c r="C209" s="1393" t="str">
        <f ca="1">'8TB'!D6&amp;": "&amp;'8TB'!F6&amp;" "&amp;'8TB'!E6</f>
        <v>Sứ đứng 24KV : 160 cái</v>
      </c>
      <c r="D209" s="1394">
        <f ca="1">'8TB'!F7</f>
        <v>75</v>
      </c>
      <c r="E209" s="1399"/>
    </row>
    <row r="210" spans="2:7" hidden="1">
      <c r="B210" s="1392"/>
      <c r="C210" s="1393" t="str">
        <f ca="1">'8TB'!D7&amp;": "&amp;'8TB'!F7&amp;" "&amp;'8TB'!E7</f>
        <v>Sứ treo polymer: 75 chuỗi</v>
      </c>
      <c r="D210" s="1394">
        <f ca="1">'8TB'!F8</f>
        <v>72</v>
      </c>
      <c r="E210" s="1399"/>
    </row>
    <row r="211" spans="2:7" s="1215" customFormat="1">
      <c r="B211" s="1392"/>
      <c r="C211" s="1393" t="str">
        <f ca="1">'8TB'!D8&amp;": "&amp;'8TB'!F8&amp;" "&amp;'8TB'!E8</f>
        <v>Cáp đồng bọc CV240: 72 mét</v>
      </c>
      <c r="D211" s="1394">
        <f ca="1">'8TB'!F9</f>
        <v>46</v>
      </c>
      <c r="E211" s="1399"/>
      <c r="G211" s="1378"/>
    </row>
    <row r="212" spans="2:7" s="1215" customFormat="1" hidden="1">
      <c r="B212" s="1392"/>
      <c r="C212" s="1393" t="str">
        <f ca="1">'8TB'!D9&amp;": "&amp;'8TB'!F9&amp;" "&amp;'8TB'!E9</f>
        <v>Cáp đồng bọc 24KV-CXV-25: 46 mét</v>
      </c>
      <c r="D212" s="1394">
        <f ca="1">'8TB'!F10</f>
        <v>15</v>
      </c>
      <c r="E212" s="1399"/>
      <c r="G212" s="1378"/>
    </row>
    <row r="213" spans="2:7" s="1215" customFormat="1" hidden="1">
      <c r="B213" s="1392"/>
      <c r="C213" s="1393" t="str">
        <f ca="1">'8TB'!D10&amp;": "&amp;'8TB'!F10&amp;" "&amp;'8TB'!E10</f>
        <v>Cáp đồng bọc 24KV-CXV-95: 15 mét</v>
      </c>
      <c r="D213" s="1394">
        <f ca="1">'8TB'!F11</f>
        <v>33</v>
      </c>
      <c r="E213" s="1399"/>
      <c r="G213" s="1378"/>
    </row>
    <row r="214" spans="2:7" s="1215" customFormat="1" hidden="1">
      <c r="B214" s="1392"/>
      <c r="C214" s="1393" t="str">
        <f ca="1">'8TB'!D11&amp;": "&amp;'8TB'!F11&amp;" "&amp;'8TB'!E11</f>
        <v>Cáp CVV 4x4mm2  : 33 mét</v>
      </c>
      <c r="D214" s="1394">
        <f ca="1">'8TB'!F12</f>
        <v>1649.34</v>
      </c>
      <c r="E214" s="1399"/>
      <c r="G214" s="1378"/>
    </row>
    <row r="215" spans="2:7" s="1215" customFormat="1" hidden="1">
      <c r="B215" s="1392"/>
      <c r="C215" s="1393" t="str">
        <f ca="1">'8TB'!D12&amp;": "&amp;'8TB'!F12&amp;" "&amp;'8TB'!E12</f>
        <v>Cáp 24KV ACXH 70mm2: 1649,34 mét</v>
      </c>
      <c r="D215" s="1394">
        <f ca="1">'8TB'!F13</f>
        <v>2970.3420000000006</v>
      </c>
      <c r="E215" s="1399"/>
      <c r="G215" s="1378"/>
    </row>
    <row r="216" spans="2:7" s="1215" customFormat="1" hidden="1">
      <c r="B216" s="1392"/>
      <c r="C216" s="1393" t="str">
        <f ca="1">'8TB'!D13&amp;": "&amp;'8TB'!F13&amp;" "&amp;'8TB'!E13</f>
        <v>Cáp 24KV ACXH 95mm2: 2970,342 mét</v>
      </c>
      <c r="D216" s="1394">
        <f ca="1">'8TB'!F14</f>
        <v>30.462</v>
      </c>
      <c r="E216" s="1399"/>
      <c r="G216" s="1378"/>
    </row>
    <row r="217" spans="2:7" s="1215" customFormat="1" hidden="1">
      <c r="B217" s="1392"/>
      <c r="C217" s="1393" t="str">
        <f ca="1">'8TB'!D14&amp;": "&amp;'8TB'!F14&amp;" "&amp;'8TB'!E14</f>
        <v>Cáp đồng trần M25mm2: 30,462 kg</v>
      </c>
      <c r="D217" s="1394">
        <f ca="1">'8TB'!F15</f>
        <v>107.2071</v>
      </c>
      <c r="E217" s="1399"/>
      <c r="G217" s="1378"/>
    </row>
    <row r="218" spans="2:7" s="1215" customFormat="1">
      <c r="B218" s="1392"/>
      <c r="C218" s="1393" t="str">
        <f ca="1">'8TB'!D15&amp;": "&amp;'8TB'!F15&amp;" "&amp;'8TB'!E15</f>
        <v>Cáp nhôm lõi thép AC-50/8: 107,2071 kg</v>
      </c>
      <c r="D218" s="1394">
        <f ca="1">'8TB'!F16</f>
        <v>271.29123600000003</v>
      </c>
      <c r="E218" s="1399"/>
      <c r="G218" s="1378"/>
    </row>
    <row r="219" spans="2:7" s="1215" customFormat="1">
      <c r="B219" s="1392"/>
      <c r="C219" s="1393" t="str">
        <f ca="1">'8TB'!D16&amp;": "&amp;'8TB'!F16&amp;" "&amp;'8TB'!E16</f>
        <v>Cáp nhôm lõi thép AC-70/11: 271,291236 kg</v>
      </c>
      <c r="D219" s="1394">
        <f ca="1">'8TB'!F17</f>
        <v>17</v>
      </c>
      <c r="E219" s="1399"/>
      <c r="G219" s="1378"/>
    </row>
    <row r="220" spans="2:7" s="1215" customFormat="1">
      <c r="B220" s="1392"/>
      <c r="C220" s="1393" t="str">
        <f ca="1">'8TB'!D17&amp;": "&amp;'8TB'!F17&amp;" "&amp;'8TB'!E17</f>
        <v>Trụ BTLT 12m F540 dự ứng lực: 17 trụ</v>
      </c>
      <c r="D220" s="1394">
        <f ca="1">'8TB'!F18</f>
        <v>7</v>
      </c>
      <c r="E220" s="1399"/>
      <c r="G220" s="1378"/>
    </row>
    <row r="221" spans="2:7" s="1215" customFormat="1" hidden="1">
      <c r="B221" s="1392"/>
      <c r="C221" s="1393" t="str">
        <f ca="1">'8TB'!D18&amp;": "&amp;'8TB'!F18&amp;" "&amp;'8TB'!E18</f>
        <v>Trụ BTLT 14m F650 dự ứng lực: 7 trụ</v>
      </c>
      <c r="D221" s="1394">
        <f ca="1">'8TB'!F19</f>
        <v>1</v>
      </c>
      <c r="E221" s="1399"/>
      <c r="G221" s="1378"/>
    </row>
    <row r="222" spans="2:7" s="1215" customFormat="1" hidden="1">
      <c r="B222" s="1392"/>
      <c r="C222" s="1393" t="str">
        <f ca="1">'8TB'!D19&amp;": "&amp;'8TB'!F19&amp;" "&amp;'8TB'!E19</f>
        <v>Đà composite 0,8m: 1 cây</v>
      </c>
      <c r="D222" s="1394">
        <f ca="1">'8TB'!F20</f>
        <v>1</v>
      </c>
      <c r="E222" s="1399"/>
      <c r="G222" s="1378"/>
    </row>
    <row r="223" spans="2:7" s="1215" customFormat="1">
      <c r="B223" s="1392"/>
      <c r="C223" s="1393" t="str">
        <f ca="1">'8TB'!D20&amp;": "&amp;'8TB'!F20&amp;" "&amp;'8TB'!E20</f>
        <v>ACB 3P - 1600A - 65KA (nạp lò xo bằng tay): 1 cái</v>
      </c>
      <c r="D223" s="1394">
        <f ca="1">'8TB'!F21</f>
        <v>24</v>
      </c>
      <c r="E223" s="1399"/>
      <c r="G223" s="1378"/>
    </row>
    <row r="224" spans="2:7" s="1215" customFormat="1">
      <c r="B224" s="1392"/>
      <c r="C224" s="1393" t="str">
        <f ca="1">'8TB'!D21&amp;": "&amp;'8TB'!F21&amp;" "&amp;'8TB'!E21</f>
        <v>Boulon 10x50+ 2 long đền vuông D12-50x50x3/Zn: 24 bộ</v>
      </c>
      <c r="D224" s="1394">
        <f ca="1">'8TB'!F22</f>
        <v>36</v>
      </c>
      <c r="E224" s="1399"/>
      <c r="G224" s="1378"/>
    </row>
    <row r="225" spans="2:7" s="1215" customFormat="1" ht="33.6" hidden="1">
      <c r="B225" s="1392"/>
      <c r="C225" s="1393" t="str">
        <f ca="1">'8TB'!D22&amp;": "&amp;'8TB'!F22&amp;" "&amp;'8TB'!E22</f>
        <v>Boulon 14x350+ 2 long đền vuông D16-50x50x3/Zn: 36 bộ</v>
      </c>
      <c r="D225" s="1394">
        <f ca="1">'8TB'!F23</f>
        <v>2</v>
      </c>
      <c r="E225" s="1399"/>
      <c r="G225" s="1378"/>
    </row>
    <row r="226" spans="2:7" s="1215" customFormat="1" hidden="1">
      <c r="B226" s="1392"/>
      <c r="C226" s="1393" t="str">
        <f ca="1">'8TB'!D23&amp;": "&amp;'8TB'!F23&amp;" "&amp;'8TB'!E23</f>
        <v>Boulon 16x150+ 2 long đền vuông D18-50x50x3/Zn: 2 bộ</v>
      </c>
      <c r="D226" s="1394">
        <f ca="1">'8TB'!F24</f>
        <v>46</v>
      </c>
      <c r="E226" s="1399"/>
      <c r="G226" s="1378"/>
    </row>
    <row r="227" spans="2:7" s="1215" customFormat="1" ht="33.6" hidden="1">
      <c r="B227" s="1392"/>
      <c r="C227" s="1393" t="str">
        <f ca="1">'8TB'!D24&amp;": "&amp;'8TB'!F24&amp;" "&amp;'8TB'!E24</f>
        <v>Boulon 16x250+ 2 long đền vuông D18-50x50x3/Zn: 46 bộ</v>
      </c>
      <c r="D227" s="1394">
        <f>'8TB'!F25</f>
        <v>0</v>
      </c>
      <c r="E227" s="1399"/>
      <c r="G227" s="1378"/>
    </row>
    <row r="228" spans="2:7" s="1215" customFormat="1" hidden="1">
      <c r="B228" s="1392"/>
      <c r="C228" s="1393" t="str">
        <f>'8TB'!D25&amp;": "&amp;'8TB'!F25&amp;" "&amp;'8TB'!E25</f>
        <v xml:space="preserve">:  </v>
      </c>
      <c r="D228" s="1394">
        <f>'8TB'!F26</f>
        <v>0</v>
      </c>
      <c r="E228" s="1399"/>
      <c r="G228" s="1378"/>
    </row>
    <row r="229" spans="2:7" s="1215" customFormat="1" hidden="1">
      <c r="B229" s="1392"/>
      <c r="C229" s="1393" t="str">
        <f>'8TB'!D26&amp;": "&amp;'8TB'!F26&amp;" "&amp;'8TB'!E26</f>
        <v xml:space="preserve">:  </v>
      </c>
      <c r="D229" s="1394">
        <f>'8TB'!F27</f>
        <v>0</v>
      </c>
      <c r="E229" s="1399"/>
      <c r="G229" s="1378"/>
    </row>
    <row r="230" spans="2:7" s="1215" customFormat="1" hidden="1">
      <c r="B230" s="1392"/>
      <c r="C230" s="1393" t="str">
        <f>'8TB'!D27&amp;": "&amp;'8TB'!F27&amp;" "&amp;'8TB'!E27</f>
        <v xml:space="preserve">:  </v>
      </c>
      <c r="D230" s="1394">
        <f>'8TB'!F29</f>
        <v>0</v>
      </c>
      <c r="E230" s="1399"/>
      <c r="G230" s="1378"/>
    </row>
    <row r="231" spans="2:7" s="1215" customFormat="1" hidden="1">
      <c r="B231" s="1392"/>
      <c r="C231" s="1393" t="str">
        <f>'8TB'!D28&amp;": "&amp;'8TB'!F28&amp;" "&amp;'8TB'!E28</f>
        <v xml:space="preserve">:  </v>
      </c>
      <c r="D231" s="1394">
        <f>'8TB'!F30</f>
        <v>0</v>
      </c>
      <c r="E231" s="1399"/>
      <c r="G231" s="1378"/>
    </row>
    <row r="232" spans="2:7" s="1215" customFormat="1" hidden="1">
      <c r="B232" s="1392"/>
      <c r="C232" s="1393" t="str">
        <f>'8TB'!D29&amp;": "&amp;'8TB'!F29&amp;" "&amp;'8TB'!E29</f>
        <v xml:space="preserve">:  </v>
      </c>
      <c r="D232" s="1394">
        <f>'8TB'!F31</f>
        <v>0</v>
      </c>
      <c r="E232" s="1399"/>
      <c r="G232" s="1378"/>
    </row>
    <row r="233" spans="2:7">
      <c r="B233" s="1392">
        <f>B204</f>
        <v>43876</v>
      </c>
      <c r="C233" s="1393" t="s">
        <v>4525</v>
      </c>
      <c r="D233" s="1394" t="s">
        <v>512</v>
      </c>
      <c r="E233" s="1395"/>
    </row>
    <row r="234" spans="2:7">
      <c r="B234" s="1392"/>
      <c r="C234" s="1396" t="str">
        <f>'9TD'!D18</f>
        <v>Bộ tiếp địa Trạm 3 pha: 1 Bộ</v>
      </c>
      <c r="D234" s="1394">
        <f>'9TD'!J18</f>
        <v>1</v>
      </c>
      <c r="E234" s="1395"/>
    </row>
    <row r="235" spans="2:7" ht="33.6" hidden="1">
      <c r="B235" s="1392"/>
      <c r="C235" s="1396" t="str">
        <f>'9TD'!D19</f>
        <v xml:space="preserve"> - Cáp đồng trần M25mm2: 10m noái leân voû caùc thieát bò: 11,9 kg</v>
      </c>
      <c r="D235" s="1394">
        <f>'9TD'!J19</f>
        <v>11.87</v>
      </c>
      <c r="E235" s="1395"/>
    </row>
    <row r="236" spans="2:7">
      <c r="B236" s="1392"/>
      <c r="C236" s="1396" t="str">
        <f>'9TD'!D20</f>
        <v xml:space="preserve"> - Cọc tiếp đất Þ 16- 2,4m + kẹp cọc mạ đồng: 10 bộ</v>
      </c>
      <c r="D236" s="1394">
        <f>'9TD'!J20</f>
        <v>10</v>
      </c>
      <c r="E236" s="1395"/>
    </row>
    <row r="237" spans="2:7">
      <c r="B237" s="1392"/>
      <c r="C237" s="1396" t="str">
        <f>'9TD'!D21</f>
        <v xml:space="preserve"> - Kẹp ép WR cỡ dây 50mm2: 2 cái</v>
      </c>
      <c r="D237" s="1394">
        <f>'9TD'!J21</f>
        <v>2</v>
      </c>
      <c r="E237" s="1395"/>
    </row>
    <row r="238" spans="2:7">
      <c r="B238" s="1392"/>
      <c r="C238" s="1396" t="str">
        <f>'9TD'!D22</f>
        <v xml:space="preserve"> - Ốc siết cáp cỡ 25mm2: 8 cái</v>
      </c>
      <c r="D238" s="1394">
        <f>'9TD'!J22</f>
        <v>8</v>
      </c>
      <c r="E238" s="1395"/>
    </row>
    <row r="239" spans="2:7" hidden="1">
      <c r="B239" s="1392"/>
      <c r="C239" s="1396" t="str">
        <f>'9TD'!D25</f>
        <v xml:space="preserve"> - : 0 </v>
      </c>
      <c r="D239" s="1394">
        <f>'9TD'!J25</f>
        <v>0</v>
      </c>
      <c r="E239" s="1395"/>
    </row>
    <row r="240" spans="2:7" s="1215" customFormat="1" hidden="1">
      <c r="B240" s="1392"/>
      <c r="C240" s="1396" t="str">
        <f>'9TD'!D29</f>
        <v xml:space="preserve"> - : 0 </v>
      </c>
      <c r="D240" s="1394">
        <f>'9TD'!J29</f>
        <v>0</v>
      </c>
      <c r="E240" s="1395"/>
      <c r="G240" s="1378"/>
    </row>
    <row r="241" spans="2:7" s="1215" customFormat="1" hidden="1">
      <c r="B241" s="1392"/>
      <c r="C241" s="1396" t="str">
        <f>'9TD'!D30</f>
        <v xml:space="preserve"> - Khoảng cách cọc cách cọc: 3 mét</v>
      </c>
      <c r="D241" s="1394">
        <f>'9TD'!J30</f>
        <v>3</v>
      </c>
      <c r="E241" s="1395"/>
      <c r="G241" s="1378"/>
    </row>
    <row r="242" spans="2:7" s="1215" customFormat="1" hidden="1">
      <c r="B242" s="1392"/>
      <c r="C242" s="1396" t="str">
        <f>'9TD'!D31</f>
        <v xml:space="preserve"> - Độ chôn sâu đầu cọc đến mặt đất: 0,5 mét</v>
      </c>
      <c r="D242" s="1394">
        <f>'9TD'!J31</f>
        <v>0.5</v>
      </c>
      <c r="E242" s="1395"/>
      <c r="G242" s="1378"/>
    </row>
    <row r="243" spans="2:7" s="1215" customFormat="1">
      <c r="B243" s="1392"/>
      <c r="C243" s="1396" t="str">
        <f>'9TD'!D32</f>
        <v xml:space="preserve">: 0 </v>
      </c>
      <c r="D243" s="1394">
        <f>'9TD'!J32</f>
        <v>0</v>
      </c>
      <c r="E243" s="1395"/>
      <c r="G243" s="1378"/>
    </row>
    <row r="244" spans="2:7" s="1215" customFormat="1" hidden="1">
      <c r="B244" s="1392"/>
      <c r="C244" s="1396" t="str">
        <f>'9TD'!D33</f>
        <v xml:space="preserve">: 0 </v>
      </c>
      <c r="D244" s="1394">
        <f>'9TD'!J33</f>
        <v>0</v>
      </c>
      <c r="E244" s="1395"/>
      <c r="G244" s="1378"/>
    </row>
    <row r="245" spans="2:7" s="1215" customFormat="1">
      <c r="B245" s="1392"/>
      <c r="C245" s="1396" t="str">
        <f>'9TD'!D34</f>
        <v xml:space="preserve"> - : 0 </v>
      </c>
      <c r="D245" s="1394">
        <f>'9TD'!J34</f>
        <v>0</v>
      </c>
      <c r="E245" s="1395"/>
      <c r="G245" s="1378"/>
    </row>
    <row r="246" spans="2:7" s="1215" customFormat="1">
      <c r="B246" s="1392"/>
      <c r="C246" s="1396" t="str">
        <f>'9TD'!D35</f>
        <v xml:space="preserve"> - : 0 </v>
      </c>
      <c r="D246" s="1394">
        <f>'9TD'!J35</f>
        <v>0</v>
      </c>
      <c r="E246" s="1395"/>
      <c r="G246" s="1378"/>
    </row>
    <row r="247" spans="2:7" s="1215" customFormat="1">
      <c r="B247" s="1392"/>
      <c r="C247" s="1396" t="str">
        <f>'9TD'!D36</f>
        <v xml:space="preserve"> - : 0 </v>
      </c>
      <c r="D247" s="1394">
        <f>'9TD'!J36</f>
        <v>0</v>
      </c>
      <c r="E247" s="1395"/>
      <c r="G247" s="1378"/>
    </row>
    <row r="248" spans="2:7" s="1215" customFormat="1">
      <c r="B248" s="1392"/>
      <c r="C248" s="1396" t="str">
        <f>'9TD'!D37</f>
        <v xml:space="preserve"> - : 0 </v>
      </c>
      <c r="D248" s="1394">
        <f>'9TD'!J37</f>
        <v>0</v>
      </c>
      <c r="E248" s="1395"/>
      <c r="G248" s="1378"/>
    </row>
    <row r="249" spans="2:7" s="1215" customFormat="1" hidden="1">
      <c r="B249" s="1392"/>
      <c r="C249" s="1396" t="str">
        <f>'9TD'!D38</f>
        <v xml:space="preserve"> - : 0 </v>
      </c>
      <c r="D249" s="1394">
        <f>'9TD'!J38</f>
        <v>0</v>
      </c>
      <c r="E249" s="1395"/>
      <c r="G249" s="1378"/>
    </row>
    <row r="250" spans="2:7" s="1215" customFormat="1" hidden="1">
      <c r="B250" s="1392"/>
      <c r="C250" s="1396" t="str">
        <f>'9TD'!D39</f>
        <v xml:space="preserve"> - : 0 </v>
      </c>
      <c r="D250" s="1394">
        <f>'9TD'!J39</f>
        <v>0</v>
      </c>
      <c r="E250" s="1395"/>
      <c r="G250" s="1378"/>
    </row>
    <row r="251" spans="2:7" hidden="1">
      <c r="B251" s="1392"/>
      <c r="C251" s="1396" t="str">
        <f>'9TD'!D40</f>
        <v xml:space="preserve"> - : 0 </v>
      </c>
      <c r="D251" s="1394">
        <f>'9TD'!J40</f>
        <v>0</v>
      </c>
      <c r="E251" s="1395"/>
    </row>
    <row r="252" spans="2:7" s="1215" customFormat="1">
      <c r="B252" s="1392"/>
      <c r="C252" s="1396" t="str">
        <f>'9TD'!D45</f>
        <v xml:space="preserve"> - Độ chôn sâu đầu cọc đến mặt đất: 0,5 mét</v>
      </c>
      <c r="D252" s="1394" t="s">
        <v>512</v>
      </c>
      <c r="E252" s="1395"/>
      <c r="G252" s="1378"/>
    </row>
    <row r="253" spans="2:7" s="1215" customFormat="1">
      <c r="B253" s="1392"/>
      <c r="C253" s="1396" t="str">
        <f>'9TD'!D46</f>
        <v xml:space="preserve"> - Khoảng cách cọc cách cọc: 3 mét</v>
      </c>
      <c r="D253" s="1394" t="s">
        <v>512</v>
      </c>
      <c r="E253" s="1395"/>
      <c r="G253" s="1378"/>
    </row>
    <row r="254" spans="2:7" s="1215" customFormat="1" hidden="1">
      <c r="B254" s="1392"/>
      <c r="C254" s="1396">
        <f>'9TD'!D47</f>
        <v>0</v>
      </c>
      <c r="D254" s="1394">
        <f>'9TD'!J47</f>
        <v>0</v>
      </c>
      <c r="E254" s="1395"/>
      <c r="G254" s="1378"/>
    </row>
    <row r="255" spans="2:7" s="1215" customFormat="1" hidden="1">
      <c r="B255" s="1392"/>
      <c r="C255" s="1396">
        <f>'9TD'!D48</f>
        <v>0</v>
      </c>
      <c r="D255" s="1394">
        <f>'9TD'!J48</f>
        <v>0</v>
      </c>
      <c r="E255" s="1395"/>
      <c r="G255" s="1378"/>
    </row>
    <row r="256" spans="2:7" hidden="1">
      <c r="B256" s="1392"/>
      <c r="C256" s="1396">
        <f>'9TD'!D49</f>
        <v>0</v>
      </c>
      <c r="D256" s="1394">
        <f>'9TD'!J49</f>
        <v>0</v>
      </c>
      <c r="E256" s="1395"/>
    </row>
    <row r="257" spans="2:7" s="1215" customFormat="1" ht="33.6" hidden="1">
      <c r="B257" s="1392"/>
      <c r="C257" s="1393" t="s">
        <v>4529</v>
      </c>
      <c r="D257" s="1394"/>
      <c r="E257" s="1395"/>
      <c r="G257" s="1378"/>
    </row>
    <row r="258" spans="2:7" ht="33.6">
      <c r="B258" s="1392">
        <f>B233</f>
        <v>43876</v>
      </c>
      <c r="C258" s="1393" t="s">
        <v>4526</v>
      </c>
      <c r="D258" s="1394" t="s">
        <v>512</v>
      </c>
      <c r="E258" s="1395"/>
    </row>
    <row r="259" spans="2:7">
      <c r="B259" s="1392"/>
      <c r="C259" s="1396" t="str">
        <f>'10DN'!D7</f>
        <v>Đấu nối trung thế vào đường dây trung thế hiện hữu:</v>
      </c>
      <c r="D259" s="1394">
        <f>'10DN'!L7</f>
        <v>0</v>
      </c>
      <c r="E259" s="1395"/>
    </row>
    <row r="260" spans="2:7" hidden="1">
      <c r="B260" s="1392"/>
      <c r="C260" s="1396" t="str">
        <f>'10DN'!D8</f>
        <v xml:space="preserve"> - Dây buộc đầu sứ cỡ dây 95mm2: 86 cái.</v>
      </c>
      <c r="D260" s="1394">
        <f>'10DN'!L8</f>
        <v>0</v>
      </c>
      <c r="E260" s="1395"/>
    </row>
    <row r="261" spans="2:7" hidden="1">
      <c r="B261" s="1392"/>
      <c r="C261" s="1396" t="str">
        <f>'10DN'!D9</f>
        <v xml:space="preserve"> - Dây buộc cổ sứ cỡ dây 95mm2: 60 cái.</v>
      </c>
      <c r="D261" s="1394">
        <f>'10DN'!L9</f>
        <v>0</v>
      </c>
      <c r="E261" s="1395"/>
    </row>
    <row r="262" spans="2:7">
      <c r="B262" s="1392"/>
      <c r="C262" s="1396" t="str">
        <f>'10DN'!D10</f>
        <v xml:space="preserve"> - Kẹp quai 4/0: 9 cái.</v>
      </c>
      <c r="D262" s="1394">
        <f>'10DN'!L10</f>
        <v>0</v>
      </c>
      <c r="E262" s="1395"/>
    </row>
    <row r="263" spans="2:7">
      <c r="B263" s="1392"/>
      <c r="C263" s="1396" t="str">
        <f>'10DN'!D11</f>
        <v xml:space="preserve"> - Kẹp hotline 4/0: 9 cái.</v>
      </c>
      <c r="D263" s="1394">
        <f>'10DN'!L11</f>
        <v>0</v>
      </c>
      <c r="E263" s="1395"/>
    </row>
    <row r="264" spans="2:7">
      <c r="B264" s="1392"/>
      <c r="C264" s="1396" t="str">
        <f>'10DN'!D12</f>
        <v xml:space="preserve"> - Kẹp ép WR cỡ dây 70mm2: 4 cái.</v>
      </c>
      <c r="D264" s="1394">
        <f>'10DN'!L12</f>
        <v>0</v>
      </c>
      <c r="E264" s="1395"/>
    </row>
    <row r="265" spans="2:7" hidden="1">
      <c r="B265" s="1392"/>
      <c r="C265" s="1396" t="str">
        <f>'10DN'!D13</f>
        <v xml:space="preserve"> - Kẹp ép WR cỡ dây 95mm2: 42 cái.</v>
      </c>
      <c r="D265" s="1394">
        <f>'10DN'!L13</f>
        <v>0</v>
      </c>
      <c r="E265" s="1395"/>
    </row>
    <row r="266" spans="2:7" hidden="1">
      <c r="B266" s="1392"/>
      <c r="C266" s="1396" t="str">
        <f>'10DN'!D14</f>
        <v xml:space="preserve"> - :  .</v>
      </c>
      <c r="D266" s="1394">
        <f>'10DN'!L14</f>
        <v>0</v>
      </c>
      <c r="E266" s="1395"/>
    </row>
    <row r="267" spans="2:7" hidden="1">
      <c r="B267" s="1392"/>
      <c r="C267" s="1396" t="str">
        <f>'10DN'!D15</f>
        <v xml:space="preserve"> - :  .</v>
      </c>
      <c r="D267" s="1394">
        <f>'10DN'!L15</f>
        <v>0</v>
      </c>
      <c r="E267" s="1395"/>
    </row>
    <row r="268" spans="2:7" s="1215" customFormat="1" hidden="1">
      <c r="B268" s="1392"/>
      <c r="C268" s="1396" t="str">
        <f>'10DN'!D20</f>
        <v>Đấu nối hạ thế vào đường dây hạ thế hiện hữu:</v>
      </c>
      <c r="D268" s="1394">
        <f>'10DN'!L16</f>
        <v>0</v>
      </c>
      <c r="E268" s="1395"/>
      <c r="G268" s="1378"/>
    </row>
    <row r="269" spans="2:7" s="1215" customFormat="1" hidden="1">
      <c r="B269" s="1392"/>
      <c r="C269" s="1396" t="str">
        <f>'10DN'!D21</f>
        <v xml:space="preserve"> - :  .</v>
      </c>
      <c r="D269" s="1394">
        <f>'10DN'!L21</f>
        <v>0</v>
      </c>
      <c r="E269" s="1395"/>
      <c r="G269" s="1378"/>
    </row>
    <row r="270" spans="2:7" s="1215" customFormat="1" hidden="1">
      <c r="B270" s="1392"/>
      <c r="C270" s="1396" t="str">
        <f>'10DN'!D22</f>
        <v xml:space="preserve"> - :  .</v>
      </c>
      <c r="D270" s="1394">
        <f>'10DN'!L22</f>
        <v>0</v>
      </c>
      <c r="E270" s="1395"/>
      <c r="G270" s="1378"/>
    </row>
    <row r="271" spans="2:7" s="1215" customFormat="1" hidden="1">
      <c r="B271" s="1392"/>
      <c r="C271" s="1396" t="str">
        <f>'10DN'!D23</f>
        <v xml:space="preserve"> - :  .</v>
      </c>
      <c r="D271" s="1394">
        <f>'10DN'!L23</f>
        <v>0</v>
      </c>
      <c r="E271" s="1395"/>
      <c r="G271" s="1378"/>
    </row>
    <row r="272" spans="2:7" s="1215" customFormat="1" hidden="1">
      <c r="B272" s="1392"/>
      <c r="C272" s="1396" t="str">
        <f>'10DN'!D24</f>
        <v xml:space="preserve"> - :  .</v>
      </c>
      <c r="D272" s="1394">
        <f>'10DN'!L24</f>
        <v>0</v>
      </c>
      <c r="E272" s="1395"/>
      <c r="G272" s="1378"/>
    </row>
    <row r="273" spans="2:7" s="1215" customFormat="1" hidden="1">
      <c r="B273" s="1392"/>
      <c r="C273" s="1396" t="str">
        <f>'10DN'!D25</f>
        <v xml:space="preserve"> - :  .</v>
      </c>
      <c r="D273" s="1394">
        <f>'10DN'!L25</f>
        <v>0</v>
      </c>
      <c r="E273" s="1395"/>
      <c r="G273" s="1378"/>
    </row>
    <row r="274" spans="2:7" hidden="1">
      <c r="B274" s="1392"/>
      <c r="C274" s="1396" t="str">
        <f>'10DN'!D26</f>
        <v xml:space="preserve"> - :  .</v>
      </c>
      <c r="D274" s="1394">
        <f>'10DN'!L26</f>
        <v>0</v>
      </c>
      <c r="E274" s="1395"/>
    </row>
    <row r="275" spans="2:7" ht="33.6" hidden="1">
      <c r="B275" s="1400"/>
      <c r="C275" s="1401" t="s">
        <v>4530</v>
      </c>
      <c r="D275" s="1402"/>
      <c r="E275" s="1403"/>
    </row>
  </sheetData>
  <autoFilter ref="D2:D275" xr:uid="{00000000-0009-0000-0000-000024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21" customWidth="1"/>
    <col min="2" max="2" width="28.81640625" style="821" customWidth="1"/>
    <col min="3" max="3" width="6.36328125" style="825" customWidth="1"/>
    <col min="4" max="4" width="6.08984375" style="825" customWidth="1"/>
    <col min="5" max="5" width="36.1796875" style="821" customWidth="1"/>
    <col min="6" max="6" width="36.453125" style="821" customWidth="1"/>
    <col min="7" max="7" width="5.1796875" style="847" bestFit="1" customWidth="1"/>
    <col min="8" max="9" width="8.90625" style="847"/>
    <col min="10" max="16384" width="8.90625" style="814"/>
  </cols>
  <sheetData>
    <row r="1" spans="1:9" ht="38.25" customHeight="1">
      <c r="A1" s="3263" t="s">
        <v>4603</v>
      </c>
      <c r="B1" s="3263"/>
      <c r="C1" s="3263"/>
      <c r="D1" s="3263"/>
      <c r="E1" s="3263"/>
      <c r="F1" s="3263"/>
      <c r="H1" s="1215"/>
    </row>
    <row r="2" spans="1:9" s="815" customFormat="1" ht="33.75" customHeight="1">
      <c r="A2" s="1308" t="s">
        <v>4198</v>
      </c>
      <c r="B2" s="1308" t="s">
        <v>4176</v>
      </c>
      <c r="C2" s="1308" t="s">
        <v>4177</v>
      </c>
      <c r="D2" s="1308" t="s">
        <v>4178</v>
      </c>
      <c r="E2" s="1308" t="s">
        <v>4179</v>
      </c>
      <c r="F2" s="1308" t="s">
        <v>4180</v>
      </c>
      <c r="G2" s="838" t="s">
        <v>1956</v>
      </c>
      <c r="H2" s="838"/>
      <c r="I2" s="848"/>
    </row>
    <row r="3" spans="1:9" ht="35.1" customHeight="1">
      <c r="A3" s="1309">
        <f>SUM($G$3:G3)</f>
        <v>1</v>
      </c>
      <c r="B3" s="1310" t="str">
        <f>'NT-VT'!C6</f>
        <v>Máy biến áp 22/0,4kV- 1000kVA</v>
      </c>
      <c r="C3" s="1311" t="str">
        <f>'NT-VT'!D6</f>
        <v>máy</v>
      </c>
      <c r="D3" s="1312">
        <f>'NT-VT'!E6</f>
        <v>1</v>
      </c>
      <c r="E3" s="1309">
        <f>'NT-VT'!F6</f>
        <v>0</v>
      </c>
      <c r="F3" s="1309">
        <f>'NT-VT'!G6</f>
        <v>0</v>
      </c>
      <c r="G3" s="835">
        <f>IF(D3&gt;0,1,0)</f>
        <v>1</v>
      </c>
      <c r="H3" s="849"/>
      <c r="I3" s="825"/>
    </row>
    <row r="4" spans="1:9" ht="35.1" customHeight="1">
      <c r="A4" s="1309">
        <f>SUM($G$3:G4)</f>
        <v>2</v>
      </c>
      <c r="B4" s="1310" t="str">
        <f>'NT-VT'!C7</f>
        <v>FCO 24kV - 100A</v>
      </c>
      <c r="C4" s="1311" t="str">
        <f>'NT-VT'!D7</f>
        <v>cái</v>
      </c>
      <c r="D4" s="1312">
        <f>'NT-VT'!E7</f>
        <v>4</v>
      </c>
      <c r="E4" s="1309" t="str">
        <f>'NT-VT'!F7</f>
        <v>Chance</v>
      </c>
      <c r="F4" s="1309" t="str">
        <f>'NT-VT'!G7</f>
        <v>Cty TNHH MTV Đại Thiên An</v>
      </c>
      <c r="G4" s="835">
        <f t="shared" ref="G4:G67" si="0">IF(D4&gt;0,1,0)</f>
        <v>1</v>
      </c>
      <c r="H4" s="850"/>
    </row>
    <row r="5" spans="1:9" ht="35.1" customHeight="1">
      <c r="A5" s="1309">
        <f>SUM($G$3:G5)</f>
        <v>3</v>
      </c>
      <c r="B5" s="1310" t="str">
        <f>'NT-VT'!C8</f>
        <v xml:space="preserve">FCO 24KV - 200A </v>
      </c>
      <c r="C5" s="1311" t="str">
        <f>'NT-VT'!D8</f>
        <v>cái</v>
      </c>
      <c r="D5" s="1312">
        <f>'NT-VT'!E8</f>
        <v>3</v>
      </c>
      <c r="E5" s="1309" t="str">
        <f>'NT-VT'!F8</f>
        <v>Chance</v>
      </c>
      <c r="F5" s="1309" t="str">
        <f>'NT-VT'!G8</f>
        <v>Cty TNHH MTV Đại Thiên An</v>
      </c>
      <c r="G5" s="835">
        <f t="shared" si="0"/>
        <v>1</v>
      </c>
      <c r="H5" s="850"/>
    </row>
    <row r="6" spans="1:9" ht="35.1" customHeight="1">
      <c r="A6" s="1309">
        <f>SUM($G$3:G6)</f>
        <v>4</v>
      </c>
      <c r="B6" s="1310" t="str">
        <f>'NT-VT'!C9</f>
        <v>Chống sét van LA-18KV-10KA</v>
      </c>
      <c r="C6" s="1311" t="str">
        <f>'NT-VT'!D9</f>
        <v>cái</v>
      </c>
      <c r="D6" s="1312">
        <f>'NT-VT'!E9</f>
        <v>12</v>
      </c>
      <c r="E6" s="1309" t="str">
        <f>'NT-VT'!F9</f>
        <v>Cooper</v>
      </c>
      <c r="F6" s="1309" t="str">
        <f>'NT-VT'!G9</f>
        <v>Cty TNHH MTV Đại Thiên An</v>
      </c>
      <c r="G6" s="835">
        <f t="shared" si="0"/>
        <v>1</v>
      </c>
      <c r="H6" s="850"/>
    </row>
    <row r="7" spans="1:9" ht="35.1" customHeight="1">
      <c r="A7" s="1309">
        <f>SUM($G$3:G7)</f>
        <v>5</v>
      </c>
      <c r="B7" s="1310" t="str">
        <f>'NT-VT'!C10</f>
        <v xml:space="preserve">Sứ đứng 24KV </v>
      </c>
      <c r="C7" s="1311" t="str">
        <f>'NT-VT'!D10</f>
        <v>cái</v>
      </c>
      <c r="D7" s="1312">
        <f>'NT-VT'!E10</f>
        <v>160</v>
      </c>
      <c r="E7" s="1309" t="str">
        <f>'NT-VT'!F10</f>
        <v>Minh Long</v>
      </c>
      <c r="F7" s="1309" t="str">
        <f>'NT-VT'!G10</f>
        <v>Minh Long</v>
      </c>
      <c r="G7" s="835">
        <f t="shared" si="0"/>
        <v>1</v>
      </c>
      <c r="H7" s="849"/>
      <c r="I7" s="825"/>
    </row>
    <row r="8" spans="1:9" ht="35.1" customHeight="1">
      <c r="A8" s="1309">
        <f>SUM($G$3:G8)</f>
        <v>6</v>
      </c>
      <c r="B8" s="1310" t="str">
        <f>'NT-VT'!C11</f>
        <v>Sứ treo polymer</v>
      </c>
      <c r="C8" s="1311" t="str">
        <f>'NT-VT'!D11</f>
        <v>chuỗi</v>
      </c>
      <c r="D8" s="1312">
        <f>'NT-VT'!E11</f>
        <v>75</v>
      </c>
      <c r="E8" s="1309" t="str">
        <f>'NT-VT'!F11</f>
        <v>DTR</v>
      </c>
      <c r="F8" s="1309" t="str">
        <f>'NT-VT'!G11</f>
        <v>Cty TNHH MTV Đại Thiên An</v>
      </c>
      <c r="G8" s="835">
        <f t="shared" si="0"/>
        <v>1</v>
      </c>
      <c r="H8" s="849"/>
      <c r="I8" s="825"/>
    </row>
    <row r="9" spans="1:9" ht="35.1" customHeight="1">
      <c r="A9" s="1309">
        <f>SUM($G$3:G9)</f>
        <v>7</v>
      </c>
      <c r="B9" s="1310" t="str">
        <f>'NT-VT'!C12</f>
        <v>Cáp đồng bọc CV240</v>
      </c>
      <c r="C9" s="1311" t="str">
        <f>'NT-VT'!D12</f>
        <v>mét</v>
      </c>
      <c r="D9" s="1312">
        <f>'NT-VT'!E12</f>
        <v>72</v>
      </c>
      <c r="E9" s="1309" t="str">
        <f>'NT-VT'!F13</f>
        <v>Cty TNHHSX-TM Dây &amp; Cáp Điện Tài Trường Thành</v>
      </c>
      <c r="F9" s="1309" t="str">
        <f>'NT-VT'!G13</f>
        <v>Cty TNHHSX-TM Dây &amp; Cáp Điện Tài Trường Thành</v>
      </c>
      <c r="G9" s="835">
        <f t="shared" si="0"/>
        <v>1</v>
      </c>
      <c r="H9" s="849"/>
      <c r="I9" s="825"/>
    </row>
    <row r="10" spans="1:9" ht="35.1" customHeight="1">
      <c r="A10" s="1309">
        <f>SUM($G$3:G10)</f>
        <v>8</v>
      </c>
      <c r="B10" s="1310" t="str">
        <f>'NT-VT'!C13</f>
        <v>Cáp đồng bọc 24KV-CXV-25</v>
      </c>
      <c r="C10" s="1311" t="str">
        <f>'NT-VT'!D13</f>
        <v>mét</v>
      </c>
      <c r="D10" s="1312">
        <f>'NT-VT'!E13</f>
        <v>46</v>
      </c>
      <c r="E10" s="1309" t="str">
        <f>'NT-VT'!F14</f>
        <v>Cty TNHHSX-TM Dây &amp; Cáp Điện Tài Trường Thành</v>
      </c>
      <c r="F10" s="1309" t="str">
        <f>'NT-VT'!G14</f>
        <v>Cty TNHHSX-TM Dây &amp; Cáp Điện Tài Trường Thành</v>
      </c>
      <c r="G10" s="835">
        <f t="shared" si="0"/>
        <v>1</v>
      </c>
      <c r="H10" s="849"/>
      <c r="I10" s="825"/>
    </row>
    <row r="11" spans="1:9" ht="35.1" customHeight="1">
      <c r="A11" s="1309">
        <f>SUM($G$3:G11)</f>
        <v>9</v>
      </c>
      <c r="B11" s="1310" t="str">
        <f>'NT-VT'!C14</f>
        <v>Cáp đồng bọc 24KV-CXV-95</v>
      </c>
      <c r="C11" s="1311" t="str">
        <f>'NT-VT'!D14</f>
        <v>mét</v>
      </c>
      <c r="D11" s="1312">
        <f>'NT-VT'!E14</f>
        <v>15</v>
      </c>
      <c r="E11" s="1309" t="str">
        <f>'NT-VT'!F15</f>
        <v>Cty TNHHSX-TM Dây &amp; Cáp Điện Tài Trường Thành</v>
      </c>
      <c r="F11" s="1309" t="str">
        <f>'NT-VT'!G15</f>
        <v>Cty TNHHSX-TM Dây &amp; Cáp Điện Tài Trường Thành</v>
      </c>
      <c r="G11" s="835">
        <f t="shared" si="0"/>
        <v>1</v>
      </c>
      <c r="H11" s="850"/>
    </row>
    <row r="12" spans="1:9" ht="35.1" customHeight="1">
      <c r="A12" s="1309">
        <f>SUM($G$3:G12)</f>
        <v>10</v>
      </c>
      <c r="B12" s="1310" t="str">
        <f>'NT-VT'!C15</f>
        <v xml:space="preserve">Cáp CVV 4x4mm2  </v>
      </c>
      <c r="C12" s="1311" t="str">
        <f>'NT-VT'!D15</f>
        <v>mét</v>
      </c>
      <c r="D12" s="1312">
        <f>'NT-VT'!E15</f>
        <v>33</v>
      </c>
      <c r="E12" s="1309" t="str">
        <f>'NT-VT'!F16</f>
        <v>Cty TNHHSX-TM Dây &amp; Cáp Điện Tài Trường Thành</v>
      </c>
      <c r="F12" s="1309" t="str">
        <f>'NT-VT'!G16</f>
        <v>Cty TNHHSX-TM Dây &amp; Cáp Điện Tài Trường Thành</v>
      </c>
      <c r="G12" s="835">
        <f t="shared" si="0"/>
        <v>1</v>
      </c>
      <c r="H12" s="849"/>
      <c r="I12" s="825"/>
    </row>
    <row r="13" spans="1:9" ht="35.1" customHeight="1">
      <c r="A13" s="1309">
        <f>SUM($G$3:G13)</f>
        <v>11</v>
      </c>
      <c r="B13" s="1310" t="str">
        <f>'NT-VT'!C16</f>
        <v>Cáp 24KV ACXH 70mm2</v>
      </c>
      <c r="C13" s="1311" t="str">
        <f>'NT-VT'!D16</f>
        <v>mét</v>
      </c>
      <c r="D13" s="1312">
        <f>'NT-VT'!E16</f>
        <v>1649.34</v>
      </c>
      <c r="E13" s="1309" t="str">
        <f>'NT-VT'!F17</f>
        <v>Cty TNHHSX-TM Dây &amp; Cáp Điện Tài Trường Thành</v>
      </c>
      <c r="F13" s="1309" t="str">
        <f>'NT-VT'!G17</f>
        <v>Cty TNHHSX-TM Dây &amp; Cáp Điện Tài Trường Thành</v>
      </c>
      <c r="G13" s="835">
        <f t="shared" si="0"/>
        <v>1</v>
      </c>
      <c r="H13" s="849"/>
      <c r="I13" s="825"/>
    </row>
    <row r="14" spans="1:9" ht="35.1" customHeight="1">
      <c r="A14" s="1309">
        <f>SUM($G$3:G14)</f>
        <v>12</v>
      </c>
      <c r="B14" s="1310" t="str">
        <f>'NT-VT'!C17</f>
        <v>Cáp 24KV ACXH 95mm2</v>
      </c>
      <c r="C14" s="1311" t="str">
        <f>'NT-VT'!D17</f>
        <v>mét</v>
      </c>
      <c r="D14" s="1312">
        <f>'NT-VT'!E17</f>
        <v>2970.3420000000006</v>
      </c>
      <c r="E14" s="1309" t="str">
        <f>'NT-VT'!F18</f>
        <v>Cty TNHHSX-TM Dây &amp; Cáp Điện Tài Trường Thành</v>
      </c>
      <c r="F14" s="1309" t="str">
        <f>'NT-VT'!G18</f>
        <v>Cty TNHHSX-TM Dây &amp; Cáp Điện Tài Trường Thành</v>
      </c>
      <c r="G14" s="835">
        <f t="shared" si="0"/>
        <v>1</v>
      </c>
      <c r="H14" s="849"/>
      <c r="I14" s="825"/>
    </row>
    <row r="15" spans="1:9" ht="35.1" customHeight="1">
      <c r="A15" s="1309">
        <f>SUM($G$3:G15)</f>
        <v>13</v>
      </c>
      <c r="B15" s="1310" t="str">
        <f>'NT-VT'!C18</f>
        <v>Cáp đồng trần M25mm2: 10m noái leân voû caùc thieát bò</v>
      </c>
      <c r="C15" s="1311" t="str">
        <f>'NT-VT'!D18</f>
        <v>kg</v>
      </c>
      <c r="D15" s="1312">
        <f>'NT-VT'!E18</f>
        <v>30.462</v>
      </c>
      <c r="E15" s="1309" t="str">
        <f>'NT-VT'!F19</f>
        <v>Cty TNHHSX-TM Dây &amp; Cáp Điện Tài Trường Thành</v>
      </c>
      <c r="F15" s="1309" t="str">
        <f>'NT-VT'!G19</f>
        <v>Cty TNHHSX-TM Dây &amp; Cáp Điện Tài Trường Thành</v>
      </c>
      <c r="G15" s="835">
        <f t="shared" si="0"/>
        <v>1</v>
      </c>
      <c r="H15" s="849"/>
      <c r="I15" s="825"/>
    </row>
    <row r="16" spans="1:9" ht="35.1" customHeight="1">
      <c r="A16" s="1309">
        <f>SUM($G$3:G16)</f>
        <v>14</v>
      </c>
      <c r="B16" s="1310" t="str">
        <f>'NT-VT'!C19</f>
        <v>Cáp nhôm lõi thép AC-50/8</v>
      </c>
      <c r="C16" s="1311" t="str">
        <f>'NT-VT'!D19</f>
        <v>kg</v>
      </c>
      <c r="D16" s="1312">
        <f>'NT-VT'!E19</f>
        <v>107.2071</v>
      </c>
      <c r="E16" s="1309" t="str">
        <f>'NT-VT'!F20</f>
        <v>Cty TNHHSX-TM Dây &amp; Cáp Điện Tài Trường Thành</v>
      </c>
      <c r="F16" s="1309" t="str">
        <f>'NT-VT'!G20</f>
        <v>Cty TNHHSX-TM Dây &amp; Cáp Điện Tài Trường Thành</v>
      </c>
      <c r="G16" s="835">
        <f t="shared" si="0"/>
        <v>1</v>
      </c>
      <c r="H16" s="849"/>
      <c r="I16" s="825"/>
    </row>
    <row r="17" spans="1:9" ht="35.1" customHeight="1">
      <c r="A17" s="1309">
        <f>SUM($G$3:G17)</f>
        <v>15</v>
      </c>
      <c r="B17" s="1310" t="str">
        <f>'NT-VT'!C20</f>
        <v>Cáp nhôm lõi thép AC-70/11</v>
      </c>
      <c r="C17" s="1311" t="str">
        <f>'NT-VT'!D20</f>
        <v>kg</v>
      </c>
      <c r="D17" s="1312">
        <f>'NT-VT'!E20</f>
        <v>271.29123600000003</v>
      </c>
      <c r="E17" s="1309" t="str">
        <f>'NT-VT'!F21</f>
        <v>Cty Cổ phần Bê tông ly tâm Thủ Đức</v>
      </c>
      <c r="F17" s="1309" t="str">
        <f>'NT-VT'!G21</f>
        <v>Cty Cổ phần Bê tông ly tâm Thủ Đức</v>
      </c>
      <c r="G17" s="835">
        <f t="shared" si="0"/>
        <v>1</v>
      </c>
      <c r="H17" s="849"/>
      <c r="I17" s="851"/>
    </row>
    <row r="18" spans="1:9" ht="35.1" customHeight="1">
      <c r="A18" s="1309">
        <f>SUM($G$3:G18)</f>
        <v>16</v>
      </c>
      <c r="B18" s="1310" t="str">
        <f>'NT-VT'!C21</f>
        <v>Trụ BTLT 12m F540 dự ứng lực</v>
      </c>
      <c r="C18" s="1311" t="str">
        <f>'NT-VT'!D21</f>
        <v>trụ</v>
      </c>
      <c r="D18" s="1312">
        <f>'NT-VT'!E21</f>
        <v>17</v>
      </c>
      <c r="E18" s="1309" t="str">
        <f>'NT-VT'!F22</f>
        <v>Cty Cổ phần Bê tông ly tâm Thủ Đức</v>
      </c>
      <c r="F18" s="1309" t="str">
        <f>'NT-VT'!G22</f>
        <v>Cty Cổ phần Bê tông ly tâm Thủ Đức</v>
      </c>
      <c r="G18" s="835">
        <f t="shared" si="0"/>
        <v>1</v>
      </c>
      <c r="H18" s="849"/>
      <c r="I18" s="851"/>
    </row>
    <row r="19" spans="1:9" ht="35.1" customHeight="1">
      <c r="A19" s="1309">
        <f>SUM($G$3:G19)</f>
        <v>17</v>
      </c>
      <c r="B19" s="1310" t="str">
        <f>'NT-VT'!C22</f>
        <v>Trụ BTLT 14m F650 dự ứng lực</v>
      </c>
      <c r="C19" s="1311" t="str">
        <f>'NT-VT'!D22</f>
        <v>trụ</v>
      </c>
      <c r="D19" s="1312">
        <f>'NT-VT'!E22</f>
        <v>7</v>
      </c>
      <c r="E19" s="1309" t="str">
        <f>'NT-VT'!F23</f>
        <v>Cty TNHH MTV Đại Thiên An</v>
      </c>
      <c r="F19" s="1309" t="str">
        <f>'NT-VT'!G23</f>
        <v>Cty TNHH MTV Đại Thiên An</v>
      </c>
      <c r="G19" s="835">
        <f t="shared" si="0"/>
        <v>1</v>
      </c>
      <c r="H19" s="849"/>
      <c r="I19" s="851"/>
    </row>
    <row r="20" spans="1:9" ht="35.1" customHeight="1">
      <c r="A20" s="1309">
        <f>SUM($G$3:G20)</f>
        <v>18</v>
      </c>
      <c r="B20" s="1310" t="str">
        <f>'NT-VT'!C23</f>
        <v>Đà composite 0,8m</v>
      </c>
      <c r="C20" s="1311" t="str">
        <f>'NT-VT'!D23</f>
        <v>cây</v>
      </c>
      <c r="D20" s="1312">
        <f>'NT-VT'!E23</f>
        <v>1</v>
      </c>
      <c r="E20" s="1309" t="str">
        <f>'NT-VT'!F24</f>
        <v>nt</v>
      </c>
      <c r="F20" s="1309" t="str">
        <f>'NT-VT'!G24</f>
        <v>nt</v>
      </c>
      <c r="G20" s="835">
        <f t="shared" si="0"/>
        <v>1</v>
      </c>
      <c r="H20" s="850"/>
    </row>
    <row r="21" spans="1:9" ht="35.1" customHeight="1">
      <c r="A21" s="1309">
        <f>SUM($G$3:G21)</f>
        <v>19</v>
      </c>
      <c r="B21" s="1310" t="str">
        <f>'NT-VT'!C24</f>
        <v>ACB 3P - 1600A - 65KA (nạp lò xo bằng tay)</v>
      </c>
      <c r="C21" s="1311" t="str">
        <f>'NT-VT'!D24</f>
        <v>cái</v>
      </c>
      <c r="D21" s="1312">
        <f>'NT-VT'!E24</f>
        <v>1</v>
      </c>
      <c r="E21" s="1309" t="str">
        <f>'NT-VT'!F25</f>
        <v>nt</v>
      </c>
      <c r="F21" s="1309" t="str">
        <f>'NT-VT'!G25</f>
        <v>nt</v>
      </c>
      <c r="G21" s="835">
        <f t="shared" si="0"/>
        <v>1</v>
      </c>
      <c r="H21" s="849"/>
      <c r="I21" s="825"/>
    </row>
    <row r="22" spans="1:9" ht="35.1" customHeight="1">
      <c r="A22" s="1309">
        <f>SUM($G$3:G22)</f>
        <v>20</v>
      </c>
      <c r="B22" s="1310" t="str">
        <f>'NT-VT'!C25</f>
        <v>Boulon 10x50+ 2 long đền vuông D12-50x50x3/Zn</v>
      </c>
      <c r="C22" s="1311" t="str">
        <f>'NT-VT'!D25</f>
        <v>bộ</v>
      </c>
      <c r="D22" s="1312">
        <f>'NT-VT'!E25</f>
        <v>24</v>
      </c>
      <c r="E22" s="1309" t="str">
        <f>'NT-VT'!F26</f>
        <v>nt</v>
      </c>
      <c r="F22" s="1309" t="str">
        <f>'NT-VT'!G26</f>
        <v>nt</v>
      </c>
      <c r="G22" s="835">
        <f t="shared" si="0"/>
        <v>1</v>
      </c>
      <c r="H22" s="849"/>
      <c r="I22" s="825"/>
    </row>
    <row r="23" spans="1:9" ht="35.1" customHeight="1">
      <c r="A23" s="1309">
        <f>SUM($G$3:G23)</f>
        <v>21</v>
      </c>
      <c r="B23" s="1310" t="str">
        <f>'NT-VT'!C26</f>
        <v>Boulon 14x350+ 2 long đền vuông D16-50x50x3/Zn</v>
      </c>
      <c r="C23" s="1311" t="str">
        <f>'NT-VT'!D26</f>
        <v>bộ</v>
      </c>
      <c r="D23" s="1312">
        <f>'NT-VT'!E26</f>
        <v>36</v>
      </c>
      <c r="E23" s="1309" t="str">
        <f>'NT-VT'!F27</f>
        <v>nt</v>
      </c>
      <c r="F23" s="1309" t="str">
        <f>'NT-VT'!G27</f>
        <v>nt</v>
      </c>
      <c r="G23" s="835">
        <f t="shared" si="0"/>
        <v>1</v>
      </c>
      <c r="H23" s="849"/>
      <c r="I23" s="851"/>
    </row>
    <row r="24" spans="1:9" ht="35.1" customHeight="1">
      <c r="A24" s="1309">
        <f>SUM($G$3:G24)</f>
        <v>22</v>
      </c>
      <c r="B24" s="1310" t="str">
        <f>'NT-VT'!C27</f>
        <v>Boulon 16x150+ 2 long đền vuông D18-50x50x3/Zn</v>
      </c>
      <c r="C24" s="1311" t="str">
        <f>'NT-VT'!D27</f>
        <v>bộ</v>
      </c>
      <c r="D24" s="1312">
        <f>'NT-VT'!E27</f>
        <v>2</v>
      </c>
      <c r="E24" s="1309" t="str">
        <f>'NT-VT'!F28</f>
        <v>nt</v>
      </c>
      <c r="F24" s="1309" t="str">
        <f>'NT-VT'!G28</f>
        <v>nt</v>
      </c>
      <c r="G24" s="835">
        <f t="shared" si="0"/>
        <v>1</v>
      </c>
      <c r="H24" s="849"/>
      <c r="I24" s="851"/>
    </row>
    <row r="25" spans="1:9" ht="35.1" customHeight="1">
      <c r="A25" s="1309">
        <f>SUM($G$3:G25)</f>
        <v>23</v>
      </c>
      <c r="B25" s="1310" t="str">
        <f>'NT-VT'!C28</f>
        <v>Boulon 16x250+ 2 long đền vuông D18-50x50x3/Zn</v>
      </c>
      <c r="C25" s="1311" t="str">
        <f>'NT-VT'!D28</f>
        <v>bộ</v>
      </c>
      <c r="D25" s="1312">
        <f>'NT-VT'!E28</f>
        <v>46</v>
      </c>
      <c r="E25" s="1309" t="str">
        <f>'NT-VT'!F29</f>
        <v>nt</v>
      </c>
      <c r="F25" s="1309" t="str">
        <f>'NT-VT'!G29</f>
        <v>nt</v>
      </c>
      <c r="G25" s="835">
        <f t="shared" si="0"/>
        <v>1</v>
      </c>
      <c r="H25" s="849"/>
      <c r="I25" s="825"/>
    </row>
    <row r="26" spans="1:9" ht="35.1" customHeight="1">
      <c r="A26" s="1309">
        <f>SUM($G$3:G26)</f>
        <v>24</v>
      </c>
      <c r="B26" s="1310" t="str">
        <f>'NT-VT'!C29</f>
        <v>Boulon 16x300+ 2 long đền vuông D18-50x50x3/Zn</v>
      </c>
      <c r="C26" s="1311" t="str">
        <f>'NT-VT'!D29</f>
        <v>bộ</v>
      </c>
      <c r="D26" s="1312">
        <f>'NT-VT'!E29</f>
        <v>19</v>
      </c>
      <c r="E26" s="1309" t="str">
        <f>'NT-VT'!F30</f>
        <v>nt</v>
      </c>
      <c r="F26" s="1309" t="str">
        <f>'NT-VT'!G30</f>
        <v>nt</v>
      </c>
      <c r="G26" s="835">
        <f t="shared" si="0"/>
        <v>1</v>
      </c>
      <c r="H26" s="849"/>
      <c r="I26" s="825"/>
    </row>
    <row r="27" spans="1:9" ht="35.1" customHeight="1">
      <c r="A27" s="1309">
        <f>SUM($G$3:G27)</f>
        <v>25</v>
      </c>
      <c r="B27" s="1310" t="str">
        <f>'NT-VT'!C30</f>
        <v>Boulon 16x300VRS+ 4 long đền vuông D18-50x50x3/Zn</v>
      </c>
      <c r="C27" s="1311" t="str">
        <f>'NT-VT'!D30</f>
        <v>bộ</v>
      </c>
      <c r="D27" s="1312">
        <f>'NT-VT'!E30</f>
        <v>20</v>
      </c>
      <c r="E27" s="1309" t="str">
        <f>'NT-VT'!F31</f>
        <v>nt</v>
      </c>
      <c r="F27" s="1309" t="str">
        <f>'NT-VT'!G31</f>
        <v>nt</v>
      </c>
      <c r="G27" s="835">
        <f t="shared" si="0"/>
        <v>1</v>
      </c>
      <c r="H27" s="849"/>
      <c r="I27" s="825"/>
    </row>
    <row r="28" spans="1:9" ht="35.1" customHeight="1">
      <c r="A28" s="1309">
        <f>SUM($G$3:G28)</f>
        <v>26</v>
      </c>
      <c r="B28" s="1310" t="str">
        <f>'NT-VT'!C31</f>
        <v>Boulon 16x35+ 2 long đền vuông D18-50x50x3/Zn</v>
      </c>
      <c r="C28" s="1311" t="str">
        <f>'NT-VT'!D31</f>
        <v>bộ</v>
      </c>
      <c r="D28" s="1312">
        <f>'NT-VT'!E31</f>
        <v>24</v>
      </c>
      <c r="E28" s="1309" t="str">
        <f>'NT-VT'!F32</f>
        <v>nt</v>
      </c>
      <c r="F28" s="1309" t="str">
        <f>'NT-VT'!G32</f>
        <v>nt</v>
      </c>
      <c r="G28" s="835">
        <f t="shared" si="0"/>
        <v>1</v>
      </c>
      <c r="H28" s="849"/>
      <c r="I28" s="825"/>
    </row>
    <row r="29" spans="1:9" ht="35.1" customHeight="1">
      <c r="A29" s="1309">
        <f>SUM($G$3:G29)</f>
        <v>27</v>
      </c>
      <c r="B29" s="1310" t="str">
        <f>'NT-VT'!C32</f>
        <v>Boulon 16x350+ 2 long đền vuông D18-50x50x3/Zn</v>
      </c>
      <c r="C29" s="1311" t="str">
        <f>'NT-VT'!D32</f>
        <v>bộ</v>
      </c>
      <c r="D29" s="1312">
        <f>'NT-VT'!E32</f>
        <v>7</v>
      </c>
      <c r="E29" s="1309" t="str">
        <f>'NT-VT'!F33</f>
        <v>nt</v>
      </c>
      <c r="F29" s="1309" t="str">
        <f>'NT-VT'!G33</f>
        <v>nt</v>
      </c>
      <c r="G29" s="835">
        <f t="shared" si="0"/>
        <v>1</v>
      </c>
      <c r="H29" s="849"/>
      <c r="I29" s="851"/>
    </row>
    <row r="30" spans="1:9" ht="35.1" customHeight="1">
      <c r="A30" s="1309">
        <f>SUM($G$3:G30)</f>
        <v>28</v>
      </c>
      <c r="B30" s="1310" t="str">
        <f>'NT-VT'!C33</f>
        <v>Boulon 16x400+ 2 long đền vuông D18-50x50x3/Zn</v>
      </c>
      <c r="C30" s="1311" t="str">
        <f>'NT-VT'!D33</f>
        <v>bộ</v>
      </c>
      <c r="D30" s="1312">
        <f>'NT-VT'!E33</f>
        <v>2</v>
      </c>
      <c r="E30" s="1309" t="str">
        <f>'NT-VT'!F34</f>
        <v>nt</v>
      </c>
      <c r="F30" s="1309" t="str">
        <f>'NT-VT'!G34</f>
        <v>nt</v>
      </c>
      <c r="G30" s="835">
        <f t="shared" si="0"/>
        <v>1</v>
      </c>
      <c r="H30" s="850"/>
    </row>
    <row r="31" spans="1:9" ht="35.1" customHeight="1">
      <c r="A31" s="1309">
        <f>SUM($G$3:G31)</f>
        <v>29</v>
      </c>
      <c r="B31" s="1310" t="str">
        <f>'NT-VT'!C34</f>
        <v>Boulon 16x50+ 2 long đền vuông D18-50x50x3/Zn</v>
      </c>
      <c r="C31" s="1311" t="str">
        <f>'NT-VT'!D34</f>
        <v>bộ</v>
      </c>
      <c r="D31" s="1312">
        <f>'NT-VT'!E34</f>
        <v>61</v>
      </c>
      <c r="E31" s="1309" t="str">
        <f>'NT-VT'!F35</f>
        <v>nt</v>
      </c>
      <c r="F31" s="1309" t="str">
        <f>'NT-VT'!G35</f>
        <v>nt</v>
      </c>
      <c r="G31" s="835">
        <f t="shared" si="0"/>
        <v>1</v>
      </c>
      <c r="H31" s="849"/>
      <c r="I31" s="851"/>
    </row>
    <row r="32" spans="1:9" ht="35.1" customHeight="1">
      <c r="A32" s="1309">
        <f>SUM($G$3:G32)</f>
        <v>30</v>
      </c>
      <c r="B32" s="1310" t="str">
        <f>'NT-VT'!C35</f>
        <v>Boulon 16x500+ 2 long đền vuông D18-50x50x3/Zn</v>
      </c>
      <c r="C32" s="1311" t="str">
        <f>'NT-VT'!D35</f>
        <v>bộ</v>
      </c>
      <c r="D32" s="1312">
        <f>'NT-VT'!E35</f>
        <v>10</v>
      </c>
      <c r="E32" s="1309" t="str">
        <f>'NT-VT'!F36</f>
        <v>nt</v>
      </c>
      <c r="F32" s="1309" t="str">
        <f>'NT-VT'!G36</f>
        <v>nt</v>
      </c>
      <c r="G32" s="835">
        <f t="shared" si="0"/>
        <v>1</v>
      </c>
      <c r="H32" s="849"/>
      <c r="I32" s="851"/>
    </row>
    <row r="33" spans="1:9" ht="35.1" customHeight="1">
      <c r="A33" s="1309">
        <f>SUM($G$3:G33)</f>
        <v>31</v>
      </c>
      <c r="B33" s="1310" t="str">
        <f>'NT-VT'!C36</f>
        <v>Boulon 16x550+ long đền vuông D18-50x50x3/Zn</v>
      </c>
      <c r="C33" s="1311" t="str">
        <f>'NT-VT'!D36</f>
        <v>bộ</v>
      </c>
      <c r="D33" s="1312">
        <f>'NT-VT'!E36</f>
        <v>1</v>
      </c>
      <c r="E33" s="1309" t="str">
        <f>'NT-VT'!F37</f>
        <v>nt</v>
      </c>
      <c r="F33" s="1309" t="str">
        <f>'NT-VT'!G37</f>
        <v>nt</v>
      </c>
      <c r="G33" s="835">
        <f t="shared" si="0"/>
        <v>1</v>
      </c>
      <c r="H33" s="850"/>
    </row>
    <row r="34" spans="1:9" ht="35.1" customHeight="1">
      <c r="A34" s="1309">
        <f>SUM($G$3:G34)</f>
        <v>32</v>
      </c>
      <c r="B34" s="1310" t="str">
        <f>'NT-VT'!C37</f>
        <v>Boulon 16x550VRS+ 4 long đền vuông D18-50x50x3/Zn</v>
      </c>
      <c r="C34" s="1311" t="str">
        <f>'NT-VT'!D37</f>
        <v>bộ</v>
      </c>
      <c r="D34" s="1312">
        <f>'NT-VT'!E37</f>
        <v>20</v>
      </c>
      <c r="E34" s="1309" t="str">
        <f>'NT-VT'!F38</f>
        <v>nt</v>
      </c>
      <c r="F34" s="1309" t="str">
        <f>'NT-VT'!G38</f>
        <v>nt</v>
      </c>
      <c r="G34" s="835">
        <f t="shared" si="0"/>
        <v>1</v>
      </c>
      <c r="H34" s="849"/>
      <c r="I34" s="851"/>
    </row>
    <row r="35" spans="1:9" ht="35.1" customHeight="1">
      <c r="A35" s="1309">
        <f>SUM($G$3:G35)</f>
        <v>33</v>
      </c>
      <c r="B35" s="1310" t="str">
        <f>'NT-VT'!C38</f>
        <v>Boulon 16x600+ 2 long đền vuông D18-50x50x3/Zn</v>
      </c>
      <c r="C35" s="1311" t="str">
        <f>'NT-VT'!D38</f>
        <v>bộ</v>
      </c>
      <c r="D35" s="1312">
        <f>'NT-VT'!E38</f>
        <v>10</v>
      </c>
      <c r="E35" s="1309" t="str">
        <f>'NT-VT'!F39</f>
        <v>nt</v>
      </c>
      <c r="F35" s="1309" t="str">
        <f>'NT-VT'!G39</f>
        <v>nt</v>
      </c>
      <c r="G35" s="835">
        <f t="shared" si="0"/>
        <v>1</v>
      </c>
      <c r="H35" s="849"/>
      <c r="I35" s="851"/>
    </row>
    <row r="36" spans="1:9" ht="35.1" customHeight="1">
      <c r="A36" s="1309">
        <f>SUM($G$3:G36)</f>
        <v>34</v>
      </c>
      <c r="B36" s="1310" t="str">
        <f>'NT-VT'!C39</f>
        <v>Boulon 16x650VRS+ 4 long đền vuông D18-50x50x3/Zn</v>
      </c>
      <c r="C36" s="1311" t="str">
        <f>'NT-VT'!D39</f>
        <v>bộ</v>
      </c>
      <c r="D36" s="1312">
        <f>'NT-VT'!E39</f>
        <v>6</v>
      </c>
      <c r="E36" s="1309" t="str">
        <f>'NT-VT'!F40</f>
        <v>nt</v>
      </c>
      <c r="F36" s="1309" t="str">
        <f>'NT-VT'!G40</f>
        <v>nt</v>
      </c>
      <c r="G36" s="835">
        <f t="shared" si="0"/>
        <v>1</v>
      </c>
      <c r="H36" s="849"/>
      <c r="I36" s="851"/>
    </row>
    <row r="37" spans="1:9" ht="35.1" customHeight="1">
      <c r="A37" s="1309">
        <f>SUM($G$3:G37)</f>
        <v>35</v>
      </c>
      <c r="B37" s="1310" t="str">
        <f>'NT-VT'!C40</f>
        <v>Boulon 16x750VRS+ 4 long đền vuông D18-50x50x3/Zn</v>
      </c>
      <c r="C37" s="1311" t="str">
        <f>'NT-VT'!D40</f>
        <v>bộ</v>
      </c>
      <c r="D37" s="1312">
        <f>'NT-VT'!E40</f>
        <v>6</v>
      </c>
      <c r="E37" s="1309" t="str">
        <f>'NT-VT'!F41</f>
        <v>nt</v>
      </c>
      <c r="F37" s="1309" t="str">
        <f>'NT-VT'!G41</f>
        <v>nt</v>
      </c>
      <c r="G37" s="835">
        <f t="shared" si="0"/>
        <v>1</v>
      </c>
      <c r="H37" s="849"/>
      <c r="I37" s="851"/>
    </row>
    <row r="38" spans="1:9" ht="35.1" customHeight="1">
      <c r="A38" s="1309">
        <f>SUM($G$3:G38)</f>
        <v>36</v>
      </c>
      <c r="B38" s="1310" t="str">
        <f>'NT-VT'!C41</f>
        <v>Boulon 16x80+ 2 long đền vuông D18-50x50x3/Zn</v>
      </c>
      <c r="C38" s="1311" t="str">
        <f>'NT-VT'!D41</f>
        <v>bộ</v>
      </c>
      <c r="D38" s="1312">
        <f>'NT-VT'!E41</f>
        <v>6</v>
      </c>
      <c r="E38" s="1309" t="str">
        <f>'NT-VT'!F42</f>
        <v>nt</v>
      </c>
      <c r="F38" s="1309" t="str">
        <f>'NT-VT'!G42</f>
        <v>nt</v>
      </c>
      <c r="G38" s="835">
        <f t="shared" si="0"/>
        <v>1</v>
      </c>
      <c r="H38" s="849"/>
      <c r="I38" s="825"/>
    </row>
    <row r="39" spans="1:9" ht="35.1" customHeight="1">
      <c r="A39" s="1309">
        <f>SUM($G$3:G39)</f>
        <v>37</v>
      </c>
      <c r="B39" s="1310" t="str">
        <f>'NT-VT'!C42</f>
        <v>Lưới B40 - 1800-3/Zn</v>
      </c>
      <c r="C39" s="1311" t="str">
        <f>'NT-VT'!D42</f>
        <v>mét</v>
      </c>
      <c r="D39" s="1312">
        <f>'NT-VT'!E42</f>
        <v>14.2</v>
      </c>
      <c r="E39" s="1309" t="str">
        <f>'NT-VT'!F43</f>
        <v>nt</v>
      </c>
      <c r="F39" s="1309" t="str">
        <f>'NT-VT'!G43</f>
        <v>nt</v>
      </c>
      <c r="G39" s="835">
        <f t="shared" si="0"/>
        <v>1</v>
      </c>
      <c r="H39" s="850"/>
    </row>
    <row r="40" spans="1:9" ht="35.1" customHeight="1">
      <c r="A40" s="1309">
        <f>SUM($G$3:G40)</f>
        <v>38</v>
      </c>
      <c r="B40" s="1310" t="str">
        <f>'NT-VT'!C43</f>
        <v xml:space="preserve">Bakelit 550x450 dầy 10mm </v>
      </c>
      <c r="C40" s="1311" t="str">
        <f>'NT-VT'!D43</f>
        <v>cái</v>
      </c>
      <c r="D40" s="1312">
        <f>'NT-VT'!E43</f>
        <v>1</v>
      </c>
      <c r="E40" s="1309" t="str">
        <f>'NT-VT'!F44</f>
        <v>nt</v>
      </c>
      <c r="F40" s="1309" t="str">
        <f>'NT-VT'!G44</f>
        <v>nt</v>
      </c>
      <c r="G40" s="835">
        <f t="shared" si="0"/>
        <v>1</v>
      </c>
      <c r="H40" s="850"/>
    </row>
    <row r="41" spans="1:9" ht="35.1" customHeight="1">
      <c r="A41" s="1309">
        <f>SUM($G$3:G41)</f>
        <v>39</v>
      </c>
      <c r="B41" s="1310" t="str">
        <f>'NT-VT'!C44</f>
        <v>Bảng tên trạm, bảng báo nguy hiểm + đinh vít</v>
      </c>
      <c r="C41" s="1311" t="str">
        <f>'NT-VT'!D44</f>
        <v>bộ</v>
      </c>
      <c r="D41" s="1312">
        <f>'NT-VT'!E44</f>
        <v>1</v>
      </c>
      <c r="E41" s="1309" t="str">
        <f>'NT-VT'!F45</f>
        <v>nt</v>
      </c>
      <c r="F41" s="1309" t="str">
        <f>'NT-VT'!G45</f>
        <v>nt</v>
      </c>
      <c r="G41" s="835">
        <f t="shared" si="0"/>
        <v>1</v>
      </c>
      <c r="H41" s="849"/>
      <c r="I41" s="851"/>
    </row>
    <row r="42" spans="1:9" ht="35.1" customHeight="1">
      <c r="A42" s="1309">
        <f>SUM($G$3:G42)</f>
        <v>40</v>
      </c>
      <c r="B42" s="1310" t="str">
        <f>'NT-VT'!C45</f>
        <v>Băng keo cách điện</v>
      </c>
      <c r="C42" s="1311" t="str">
        <f>'NT-VT'!D45</f>
        <v>cuộn</v>
      </c>
      <c r="D42" s="1312">
        <f>'NT-VT'!E45</f>
        <v>2</v>
      </c>
      <c r="E42" s="1309" t="str">
        <f>'NT-VT'!F46</f>
        <v>nt</v>
      </c>
      <c r="F42" s="1309" t="str">
        <f>'NT-VT'!G46</f>
        <v>nt</v>
      </c>
      <c r="G42" s="835">
        <f t="shared" si="0"/>
        <v>1</v>
      </c>
      <c r="H42" s="849"/>
      <c r="I42" s="825"/>
    </row>
    <row r="43" spans="1:9" ht="35.1" customHeight="1">
      <c r="A43" s="1309">
        <f>SUM($G$3:G43)</f>
        <v>41</v>
      </c>
      <c r="B43" s="1310" t="str">
        <f>'NT-VT'!C46</f>
        <v>Băng keo cách điện trung thế</v>
      </c>
      <c r="C43" s="1311" t="str">
        <f>'NT-VT'!D46</f>
        <v>cuộn</v>
      </c>
      <c r="D43" s="1312">
        <f>'NT-VT'!E46</f>
        <v>8</v>
      </c>
      <c r="E43" s="1309" t="str">
        <f>'NT-VT'!F47</f>
        <v>nt</v>
      </c>
      <c r="F43" s="1309" t="str">
        <f>'NT-VT'!G47</f>
        <v>nt</v>
      </c>
      <c r="G43" s="835">
        <f t="shared" si="0"/>
        <v>1</v>
      </c>
      <c r="H43" s="849"/>
      <c r="I43" s="851"/>
    </row>
    <row r="44" spans="1:9" ht="35.1" customHeight="1">
      <c r="A44" s="1309">
        <f>SUM($G$3:G44)</f>
        <v>42</v>
      </c>
      <c r="B44" s="1310" t="str">
        <f>'NT-VT'!C47</f>
        <v>Bass LI bắt FCO</v>
      </c>
      <c r="C44" s="1311" t="str">
        <f>'NT-VT'!D47</f>
        <v>Bộ</v>
      </c>
      <c r="D44" s="1312">
        <f>'NT-VT'!E47</f>
        <v>6</v>
      </c>
      <c r="E44" s="1309" t="str">
        <f>'NT-VT'!F48</f>
        <v>nt</v>
      </c>
      <c r="F44" s="1309" t="str">
        <f>'NT-VT'!G48</f>
        <v>nt</v>
      </c>
      <c r="G44" s="835">
        <f t="shared" si="0"/>
        <v>1</v>
      </c>
      <c r="H44" s="849"/>
      <c r="I44" s="825"/>
    </row>
    <row r="45" spans="1:9" ht="35.1" customHeight="1">
      <c r="A45" s="1309">
        <f>SUM($G$3:G45)</f>
        <v>43</v>
      </c>
      <c r="B45" s="1310" t="str">
        <f>'NT-VT'!C48</f>
        <v>Bass LL bắt FCO, LA</v>
      </c>
      <c r="C45" s="1311" t="str">
        <f>'NT-VT'!D48</f>
        <v>bộ</v>
      </c>
      <c r="D45" s="1312">
        <f>'NT-VT'!E48</f>
        <v>6</v>
      </c>
      <c r="E45" s="1309" t="str">
        <f>'NT-VT'!F49</f>
        <v>nt</v>
      </c>
      <c r="F45" s="1309" t="str">
        <f>'NT-VT'!G49</f>
        <v>nt</v>
      </c>
      <c r="G45" s="835">
        <f t="shared" si="0"/>
        <v>1</v>
      </c>
      <c r="H45" s="849"/>
      <c r="I45" s="825"/>
    </row>
    <row r="46" spans="1:9" ht="35.1" customHeight="1">
      <c r="A46" s="1309">
        <f>SUM($G$3:G46)</f>
        <v>44</v>
      </c>
      <c r="B46" s="1310" t="str">
        <f>'NT-VT'!C49</f>
        <v>Boulon mắt 16x300+ 2 long đền vuông D18-50x50x3/Zn</v>
      </c>
      <c r="C46" s="1311" t="str">
        <f>'NT-VT'!D49</f>
        <v>bộ</v>
      </c>
      <c r="D46" s="1312">
        <f>'NT-VT'!E49</f>
        <v>6</v>
      </c>
      <c r="E46" s="1309" t="str">
        <f>'NT-VT'!F50</f>
        <v>nt</v>
      </c>
      <c r="F46" s="1309" t="str">
        <f>'NT-VT'!G50</f>
        <v>nt</v>
      </c>
      <c r="G46" s="835">
        <f t="shared" si="0"/>
        <v>1</v>
      </c>
      <c r="H46" s="849"/>
      <c r="I46" s="825"/>
    </row>
    <row r="47" spans="1:9" ht="35.1" customHeight="1">
      <c r="A47" s="1309">
        <f>SUM($G$3:G47)</f>
        <v>45</v>
      </c>
      <c r="B47" s="1310" t="str">
        <f>'NT-VT'!C50</f>
        <v>Boulon mắt 16x550+ 1 long đền vuông D18-50x50x3/Zn</v>
      </c>
      <c r="C47" s="1311" t="str">
        <f>'NT-VT'!D50</f>
        <v>bộ</v>
      </c>
      <c r="D47" s="1312">
        <f>'NT-VT'!E50</f>
        <v>1</v>
      </c>
      <c r="E47" s="1309" t="str">
        <f>'NT-VT'!F51</f>
        <v>nt</v>
      </c>
      <c r="F47" s="1309" t="str">
        <f>'NT-VT'!G51</f>
        <v>nt</v>
      </c>
      <c r="G47" s="835">
        <f t="shared" si="0"/>
        <v>1</v>
      </c>
      <c r="H47" s="849"/>
      <c r="I47" s="825"/>
    </row>
    <row r="48" spans="1:9" ht="35.1" customHeight="1">
      <c r="A48" s="1309">
        <f>SUM($G$3:G48)</f>
        <v>46</v>
      </c>
      <c r="B48" s="1310" t="str">
        <f>'NT-VT'!C51</f>
        <v>Côllier 25x2</v>
      </c>
      <c r="C48" s="1311" t="str">
        <f>'NT-VT'!D51</f>
        <v>bộ</v>
      </c>
      <c r="D48" s="1312">
        <f>'NT-VT'!E51</f>
        <v>4</v>
      </c>
      <c r="E48" s="1309" t="str">
        <f>'NT-VT'!F52</f>
        <v>nt</v>
      </c>
      <c r="F48" s="1309" t="str">
        <f>'NT-VT'!G52</f>
        <v>nt</v>
      </c>
      <c r="G48" s="835">
        <f t="shared" si="0"/>
        <v>1</v>
      </c>
      <c r="H48" s="849"/>
      <c r="I48" s="825"/>
    </row>
    <row r="49" spans="1:9" ht="35.1" customHeight="1">
      <c r="A49" s="1309">
        <f>SUM($G$3:G49)</f>
        <v>47</v>
      </c>
      <c r="B49" s="1310" t="str">
        <f>'NT-VT'!C52</f>
        <v>Cổ dê CDĐKĐT( bắt thùng điện kế)</v>
      </c>
      <c r="C49" s="1311" t="str">
        <f>'NT-VT'!D52</f>
        <v>bộ</v>
      </c>
      <c r="D49" s="1312">
        <f>'NT-VT'!E52</f>
        <v>1</v>
      </c>
      <c r="E49" s="1309" t="str">
        <f>'NT-VT'!F53</f>
        <v>nt</v>
      </c>
      <c r="F49" s="1309" t="str">
        <f>'NT-VT'!G53</f>
        <v>nt</v>
      </c>
      <c r="G49" s="835">
        <f t="shared" si="0"/>
        <v>1</v>
      </c>
      <c r="H49" s="849"/>
      <c r="I49" s="825"/>
    </row>
    <row r="50" spans="1:9" ht="35.1" customHeight="1">
      <c r="A50" s="1309">
        <f>SUM($G$3:G50)</f>
        <v>48</v>
      </c>
      <c r="B50" s="1310" t="str">
        <f>'NT-VT'!C53</f>
        <v>Cổ dê kẹp ống PVC Ø 60</v>
      </c>
      <c r="C50" s="1311" t="str">
        <f>'NT-VT'!D53</f>
        <v>bộ</v>
      </c>
      <c r="D50" s="1312">
        <f>'NT-VT'!E53</f>
        <v>4</v>
      </c>
      <c r="E50" s="1309" t="str">
        <f>'NT-VT'!F54</f>
        <v>nt</v>
      </c>
      <c r="F50" s="1309" t="str">
        <f>'NT-VT'!G54</f>
        <v>nt</v>
      </c>
      <c r="G50" s="835">
        <f t="shared" si="0"/>
        <v>1</v>
      </c>
      <c r="H50" s="849"/>
      <c r="I50" s="825"/>
    </row>
    <row r="51" spans="1:9" ht="35.1" customHeight="1">
      <c r="A51" s="1309">
        <f>SUM($G$3:G51)</f>
        <v>49</v>
      </c>
      <c r="B51" s="1310" t="str">
        <f>'NT-VT'!C54</f>
        <v>Cổ dê bắt tủ trạm trụ ghép D320/60x6</v>
      </c>
      <c r="C51" s="1311" t="str">
        <f>'NT-VT'!D54</f>
        <v>bộ</v>
      </c>
      <c r="D51" s="1312">
        <f>'NT-VT'!E54</f>
        <v>1</v>
      </c>
      <c r="E51" s="1309" t="str">
        <f>'NT-VT'!F55</f>
        <v>nt</v>
      </c>
      <c r="F51" s="1309" t="str">
        <f>'NT-VT'!G55</f>
        <v>nt</v>
      </c>
      <c r="G51" s="835">
        <f t="shared" si="0"/>
        <v>1</v>
      </c>
      <c r="H51" s="849"/>
      <c r="I51" s="825"/>
    </row>
    <row r="52" spans="1:9" ht="35.1" customHeight="1">
      <c r="A52" s="1309">
        <f>SUM($G$3:G52)</f>
        <v>50</v>
      </c>
      <c r="B52" s="1310" t="str">
        <f>'NT-VT'!C55</f>
        <v>Chụp đầu cosse  240mm2</v>
      </c>
      <c r="C52" s="1311" t="str">
        <f>'NT-VT'!D55</f>
        <v>cái</v>
      </c>
      <c r="D52" s="1312">
        <f>'NT-VT'!E55</f>
        <v>28</v>
      </c>
      <c r="E52" s="1309" t="str">
        <f>'NT-VT'!F56</f>
        <v>nt</v>
      </c>
      <c r="F52" s="1309" t="str">
        <f>'NT-VT'!G56</f>
        <v>nt</v>
      </c>
      <c r="G52" s="835">
        <f t="shared" si="0"/>
        <v>1</v>
      </c>
      <c r="H52" s="849"/>
      <c r="I52" s="825"/>
    </row>
    <row r="53" spans="1:9" ht="35.1" customHeight="1">
      <c r="A53" s="1309">
        <f>SUM($G$3:G53)</f>
        <v>51</v>
      </c>
      <c r="B53" s="1310" t="str">
        <f>'NT-VT'!C56</f>
        <v>Chụp đầu cực FCO (bộ 2 cái)</v>
      </c>
      <c r="C53" s="1311" t="str">
        <f>'NT-VT'!D56</f>
        <v>bộ</v>
      </c>
      <c r="D53" s="1312">
        <f>'NT-VT'!E56</f>
        <v>7</v>
      </c>
      <c r="E53" s="1309" t="str">
        <f>'NT-VT'!F57</f>
        <v>nt</v>
      </c>
      <c r="F53" s="1309" t="str">
        <f>'NT-VT'!G57</f>
        <v>nt</v>
      </c>
      <c r="G53" s="835">
        <f t="shared" si="0"/>
        <v>1</v>
      </c>
      <c r="H53" s="849"/>
      <c r="I53" s="825"/>
    </row>
    <row r="54" spans="1:9" ht="35.1" customHeight="1">
      <c r="A54" s="1309">
        <f>SUM($G$3:G54)</f>
        <v>52</v>
      </c>
      <c r="B54" s="1310" t="str">
        <f>'NT-VT'!C57</f>
        <v>Dây chảy 140K</v>
      </c>
      <c r="C54" s="1311" t="str">
        <f>'NT-VT'!D57</f>
        <v>Sợi</v>
      </c>
      <c r="D54" s="1312">
        <f>'NT-VT'!E57</f>
        <v>3</v>
      </c>
      <c r="E54" s="1309" t="str">
        <f>'NT-VT'!F58</f>
        <v>nt</v>
      </c>
      <c r="F54" s="1309" t="str">
        <f>'NT-VT'!G58</f>
        <v>nt</v>
      </c>
      <c r="G54" s="835">
        <f t="shared" si="0"/>
        <v>1</v>
      </c>
      <c r="H54" s="849"/>
      <c r="I54" s="825"/>
    </row>
    <row r="55" spans="1:9" ht="35.1" customHeight="1">
      <c r="A55" s="1309">
        <f>SUM($G$3:G55)</f>
        <v>53</v>
      </c>
      <c r="B55" s="1310" t="str">
        <f>'NT-VT'!C58</f>
        <v>Dây chảy 3K</v>
      </c>
      <c r="C55" s="1311" t="str">
        <f>'NT-VT'!D58</f>
        <v>Sợi</v>
      </c>
      <c r="D55" s="1312">
        <f>'NT-VT'!E58</f>
        <v>1</v>
      </c>
      <c r="E55" s="1309" t="str">
        <f>'NT-VT'!F59</f>
        <v>nt</v>
      </c>
      <c r="F55" s="1309" t="str">
        <f>'NT-VT'!G59</f>
        <v>nt</v>
      </c>
      <c r="G55" s="835">
        <f t="shared" si="0"/>
        <v>1</v>
      </c>
      <c r="H55" s="849"/>
      <c r="I55" s="825"/>
    </row>
    <row r="56" spans="1:9" ht="35.1" customHeight="1">
      <c r="A56" s="1309">
        <f>SUM($G$3:G56)</f>
        <v>54</v>
      </c>
      <c r="B56" s="1310" t="str">
        <f>'NT-VT'!C59</f>
        <v>Dây chảy 40K</v>
      </c>
      <c r="C56" s="1311" t="str">
        <f>'NT-VT'!D59</f>
        <v>Sợi</v>
      </c>
      <c r="D56" s="1312">
        <f>'NT-VT'!E59</f>
        <v>3</v>
      </c>
      <c r="E56" s="1309" t="str">
        <f>'NT-VT'!F60</f>
        <v>nt</v>
      </c>
      <c r="F56" s="1309" t="str">
        <f>'NT-VT'!G60</f>
        <v>nt</v>
      </c>
      <c r="G56" s="835">
        <f t="shared" si="0"/>
        <v>1</v>
      </c>
      <c r="H56" s="849"/>
      <c r="I56" s="825"/>
    </row>
    <row r="57" spans="1:9" ht="35.1" customHeight="1">
      <c r="A57" s="1309">
        <f>SUM($G$3:G57)</f>
        <v>55</v>
      </c>
      <c r="B57" s="1310" t="str">
        <f>'NT-VT'!C60</f>
        <v>Chụp đầu cực LA</v>
      </c>
      <c r="C57" s="1311" t="str">
        <f>'NT-VT'!D60</f>
        <v>cái</v>
      </c>
      <c r="D57" s="1312">
        <f>'NT-VT'!E60</f>
        <v>12</v>
      </c>
      <c r="E57" s="1309" t="str">
        <f>'NT-VT'!F61</f>
        <v>nt</v>
      </c>
      <c r="F57" s="1309" t="str">
        <f>'NT-VT'!G61</f>
        <v>nt</v>
      </c>
      <c r="G57" s="835">
        <f t="shared" si="0"/>
        <v>1</v>
      </c>
      <c r="H57" s="849"/>
      <c r="I57" s="825"/>
    </row>
    <row r="58" spans="1:9" ht="35.1" customHeight="1">
      <c r="A58" s="1309">
        <f>SUM($G$3:G58)</f>
        <v>56</v>
      </c>
      <c r="B58" s="1310" t="str">
        <f>'NT-VT'!C61</f>
        <v>Chụp đầu cực LBS, Recloser</v>
      </c>
      <c r="C58" s="1311" t="str">
        <f>'NT-VT'!D61</f>
        <v>cái</v>
      </c>
      <c r="D58" s="1312">
        <f>'NT-VT'!E61</f>
        <v>6</v>
      </c>
      <c r="E58" s="1309" t="str">
        <f>'NT-VT'!F62</f>
        <v>nt</v>
      </c>
      <c r="F58" s="1309" t="str">
        <f>'NT-VT'!G62</f>
        <v>nt</v>
      </c>
      <c r="G58" s="835">
        <f t="shared" si="0"/>
        <v>1</v>
      </c>
      <c r="H58" s="849"/>
      <c r="I58" s="825"/>
    </row>
    <row r="59" spans="1:9" ht="35.1" customHeight="1">
      <c r="A59" s="1309">
        <f>SUM($G$3:G59)</f>
        <v>57</v>
      </c>
      <c r="B59" s="1310" t="str">
        <f>'NT-VT'!C62</f>
        <v>Chụp đầu MBA</v>
      </c>
      <c r="C59" s="1311" t="str">
        <f>'NT-VT'!D62</f>
        <v>cái</v>
      </c>
      <c r="D59" s="1312">
        <f>'NT-VT'!E62</f>
        <v>3</v>
      </c>
      <c r="E59" s="1309" t="str">
        <f>'NT-VT'!F63</f>
        <v>nt</v>
      </c>
      <c r="F59" s="1309" t="str">
        <f>'NT-VT'!G63</f>
        <v>nt</v>
      </c>
      <c r="G59" s="835">
        <f t="shared" si="0"/>
        <v>1</v>
      </c>
      <c r="H59" s="849"/>
      <c r="I59" s="825"/>
    </row>
    <row r="60" spans="1:9" ht="35.1" customHeight="1">
      <c r="A60" s="1309">
        <f>SUM($G$3:G60)</f>
        <v>58</v>
      </c>
      <c r="B60" s="1310" t="str">
        <f>'NT-VT'!C63</f>
        <v>Nắp chụp kẹp quai + hotline</v>
      </c>
      <c r="C60" s="1311" t="str">
        <f>'NT-VT'!D63</f>
        <v>bộ</v>
      </c>
      <c r="D60" s="1312">
        <f>'NT-VT'!E63</f>
        <v>9</v>
      </c>
      <c r="E60" s="1309" t="str">
        <f>'NT-VT'!F64</f>
        <v>nt</v>
      </c>
      <c r="F60" s="1309" t="str">
        <f>'NT-VT'!G64</f>
        <v>nt</v>
      </c>
      <c r="G60" s="835">
        <f t="shared" si="0"/>
        <v>1</v>
      </c>
      <c r="H60" s="849"/>
      <c r="I60" s="825"/>
    </row>
    <row r="61" spans="1:9" ht="35.1" customHeight="1">
      <c r="A61" s="1309">
        <f>SUM($G$3:G61)</f>
        <v>59</v>
      </c>
      <c r="B61" s="1310" t="str">
        <f>'NT-VT'!C64</f>
        <v>Chụp đầu cực TI, TU</v>
      </c>
      <c r="C61" s="1311" t="str">
        <f>'NT-VT'!D64</f>
        <v>Cái</v>
      </c>
      <c r="D61" s="1312">
        <f>'NT-VT'!E64</f>
        <v>9</v>
      </c>
      <c r="E61" s="1309" t="str">
        <f>'NT-VT'!F65</f>
        <v>nt</v>
      </c>
      <c r="F61" s="1309" t="str">
        <f>'NT-VT'!G65</f>
        <v>nt</v>
      </c>
      <c r="G61" s="835">
        <f t="shared" si="0"/>
        <v>1</v>
      </c>
      <c r="H61" s="849"/>
      <c r="I61" s="825"/>
    </row>
    <row r="62" spans="1:9" ht="35.1" customHeight="1">
      <c r="A62" s="1309">
        <f>SUM($G$3:G62)</f>
        <v>60</v>
      </c>
      <c r="B62" s="1310" t="str">
        <f>'NT-VT'!C65</f>
        <v>Xà composite 110x800x5 dài 2,4m</v>
      </c>
      <c r="C62" s="1311" t="str">
        <f>'NT-VT'!D65</f>
        <v>cái</v>
      </c>
      <c r="D62" s="1312">
        <f>'NT-VT'!E65</f>
        <v>1</v>
      </c>
      <c r="E62" s="1309" t="str">
        <f>'NT-VT'!F66</f>
        <v>nt</v>
      </c>
      <c r="F62" s="1309" t="str">
        <f>'NT-VT'!G66</f>
        <v>nt</v>
      </c>
      <c r="G62" s="835">
        <f t="shared" si="0"/>
        <v>1</v>
      </c>
      <c r="H62" s="849"/>
      <c r="I62" s="825"/>
    </row>
    <row r="63" spans="1:9" ht="35.1" customHeight="1">
      <c r="A63" s="1309">
        <f>SUM($G$3:G63)</f>
        <v>61</v>
      </c>
      <c r="B63" s="1310" t="str">
        <f>'NT-VT'!C66</f>
        <v>Thanh chống Composite 10x40x720</v>
      </c>
      <c r="C63" s="1311" t="str">
        <f>'NT-VT'!D66</f>
        <v>cái</v>
      </c>
      <c r="D63" s="1312">
        <f>'NT-VT'!E66</f>
        <v>2</v>
      </c>
      <c r="E63" s="1309" t="str">
        <f>'NT-VT'!F67</f>
        <v>nt</v>
      </c>
      <c r="F63" s="1309" t="str">
        <f>'NT-VT'!G67</f>
        <v>nt</v>
      </c>
      <c r="G63" s="835">
        <f t="shared" si="0"/>
        <v>1</v>
      </c>
      <c r="H63" s="849"/>
      <c r="I63" s="825"/>
    </row>
    <row r="64" spans="1:9" ht="35.1" customHeight="1">
      <c r="A64" s="1309">
        <f>SUM($G$3:G64)</f>
        <v>62</v>
      </c>
      <c r="B64" s="1310" t="str">
        <f>'NT-VT'!C67</f>
        <v>Chống composite 40x10x920</v>
      </c>
      <c r="C64" s="1311" t="str">
        <f>'NT-VT'!D67</f>
        <v>cái</v>
      </c>
      <c r="D64" s="1312">
        <f>'NT-VT'!E67</f>
        <v>2</v>
      </c>
      <c r="E64" s="1309" t="str">
        <f>'NT-VT'!F68</f>
        <v>nt</v>
      </c>
      <c r="F64" s="1309" t="str">
        <f>'NT-VT'!G68</f>
        <v>nt</v>
      </c>
      <c r="G64" s="835">
        <f t="shared" si="0"/>
        <v>1</v>
      </c>
      <c r="H64" s="849"/>
      <c r="I64" s="825"/>
    </row>
    <row r="65" spans="1:9" ht="35.1" customHeight="1">
      <c r="A65" s="1309">
        <f>SUM($G$3:G65)</f>
        <v>63</v>
      </c>
      <c r="B65" s="1310" t="str">
        <f>'NT-VT'!C68</f>
        <v>Đầu cosse ép Cu 240mm2</v>
      </c>
      <c r="C65" s="1311" t="str">
        <f>'NT-VT'!D68</f>
        <v>cái</v>
      </c>
      <c r="D65" s="1312">
        <f>'NT-VT'!E68</f>
        <v>28</v>
      </c>
      <c r="E65" s="1309" t="e">
        <f>'NT-VT'!#REF!</f>
        <v>#REF!</v>
      </c>
      <c r="F65" s="1309" t="e">
        <f>'NT-VT'!#REF!</f>
        <v>#REF!</v>
      </c>
      <c r="G65" s="835">
        <f t="shared" si="0"/>
        <v>1</v>
      </c>
      <c r="H65" s="849"/>
      <c r="I65" s="825"/>
    </row>
    <row r="66" spans="1:9" ht="35.1" customHeight="1">
      <c r="A66" s="1309" t="e">
        <f>SUM($G$3:G66)</f>
        <v>#REF!</v>
      </c>
      <c r="B66" s="1310" t="e">
        <f>'NT-VT'!#REF!</f>
        <v>#REF!</v>
      </c>
      <c r="C66" s="1311" t="e">
        <f>'NT-VT'!#REF!</f>
        <v>#REF!</v>
      </c>
      <c r="D66" s="1312" t="e">
        <f>'NT-VT'!#REF!</f>
        <v>#REF!</v>
      </c>
      <c r="E66" s="1309" t="str">
        <f>'NT-VT'!F69</f>
        <v>nt</v>
      </c>
      <c r="F66" s="1309" t="str">
        <f>'NT-VT'!G69</f>
        <v>nt</v>
      </c>
      <c r="G66" s="835" t="e">
        <f t="shared" si="0"/>
        <v>#REF!</v>
      </c>
      <c r="H66" s="849"/>
      <c r="I66" s="825"/>
    </row>
    <row r="67" spans="1:9" ht="35.1" customHeight="1">
      <c r="A67" s="1309" t="e">
        <f>SUM($G$3:G67)</f>
        <v>#REF!</v>
      </c>
      <c r="B67" s="1310" t="str">
        <f>'NT-VT'!C69</f>
        <v>Đầu cosse ép Cu 4mm2 + bao PVC  (ñaáu TU)</v>
      </c>
      <c r="C67" s="1311" t="str">
        <f>'NT-VT'!D69</f>
        <v>cái</v>
      </c>
      <c r="D67" s="1312">
        <f>'NT-VT'!E69</f>
        <v>16</v>
      </c>
      <c r="E67" s="1309" t="str">
        <f>'NT-VT'!F70</f>
        <v>nt</v>
      </c>
      <c r="F67" s="1309" t="str">
        <f>'NT-VT'!G70</f>
        <v>nt</v>
      </c>
      <c r="G67" s="835">
        <f t="shared" si="0"/>
        <v>1</v>
      </c>
      <c r="H67" s="849"/>
      <c r="I67" s="825"/>
    </row>
    <row r="68" spans="1:9" ht="35.1" customHeight="1">
      <c r="A68" s="1309" t="e">
        <f>SUM($G$3:G68)</f>
        <v>#REF!</v>
      </c>
      <c r="B68" s="1310" t="str">
        <f>'NT-VT'!C70</f>
        <v>Chân sứ đứng D20</v>
      </c>
      <c r="C68" s="1311" t="str">
        <f>'NT-VT'!D70</f>
        <v>cái</v>
      </c>
      <c r="D68" s="1312">
        <f>'NT-VT'!E70</f>
        <v>160</v>
      </c>
      <c r="E68" s="1309" t="str">
        <f>'NT-VT'!F71</f>
        <v>nt</v>
      </c>
      <c r="F68" s="1309" t="str">
        <f>'NT-VT'!G71</f>
        <v>nt</v>
      </c>
      <c r="G68" s="835">
        <f t="shared" ref="G68:G93" si="1">IF(D68&gt;0,1,0)</f>
        <v>1</v>
      </c>
      <c r="H68" s="849"/>
      <c r="I68" s="825"/>
    </row>
    <row r="69" spans="1:9" ht="35.1" customHeight="1">
      <c r="A69" s="1309" t="e">
        <f>SUM($G$3:G69)</f>
        <v>#REF!</v>
      </c>
      <c r="B69" s="1310" t="str">
        <f>'NT-VT'!C71</f>
        <v>Cọc tiếp đất Þ 16- 2,4m + kẹp cọc mạ đồng</v>
      </c>
      <c r="C69" s="1311" t="str">
        <f>'NT-VT'!D71</f>
        <v>bộ</v>
      </c>
      <c r="D69" s="1312">
        <f>'NT-VT'!E71</f>
        <v>22</v>
      </c>
      <c r="E69" s="1309" t="str">
        <f>'NT-VT'!F72</f>
        <v>nt</v>
      </c>
      <c r="F69" s="1309" t="str">
        <f>'NT-VT'!G72</f>
        <v>nt</v>
      </c>
      <c r="G69" s="835">
        <f t="shared" si="1"/>
        <v>1</v>
      </c>
      <c r="H69" s="849"/>
      <c r="I69" s="825"/>
    </row>
    <row r="70" spans="1:9" ht="35.1" customHeight="1">
      <c r="A70" s="1309" t="e">
        <f>SUM($G$3:G70)</f>
        <v>#REF!</v>
      </c>
      <c r="B70" s="1310" t="str">
        <f>'NT-VT'!C72</f>
        <v>Co 90 độ PVC 42</v>
      </c>
      <c r="C70" s="1311" t="str">
        <f>'NT-VT'!D72</f>
        <v>cái</v>
      </c>
      <c r="D70" s="1312">
        <f>'NT-VT'!E72</f>
        <v>2</v>
      </c>
      <c r="E70" s="1309" t="str">
        <f>'NT-VT'!F73</f>
        <v>nt</v>
      </c>
      <c r="F70" s="1309" t="str">
        <f>'NT-VT'!G73</f>
        <v>nt</v>
      </c>
      <c r="G70" s="835">
        <f t="shared" si="1"/>
        <v>1</v>
      </c>
      <c r="H70" s="849"/>
      <c r="I70" s="825"/>
    </row>
    <row r="71" spans="1:9" ht="35.1" customHeight="1">
      <c r="A71" s="1309" t="e">
        <f>SUM($G$3:G71)</f>
        <v>#REF!</v>
      </c>
      <c r="B71" s="1310" t="str">
        <f>'NT-VT'!C73</f>
        <v>Co 90 độ PVC 60</v>
      </c>
      <c r="C71" s="1311" t="str">
        <f>'NT-VT'!D73</f>
        <v>cái</v>
      </c>
      <c r="D71" s="1312">
        <f>'NT-VT'!E73</f>
        <v>8</v>
      </c>
      <c r="E71" s="1309" t="str">
        <f>'NT-VT'!F74</f>
        <v>nt</v>
      </c>
      <c r="F71" s="1309" t="str">
        <f>'NT-VT'!G74</f>
        <v>nt</v>
      </c>
      <c r="G71" s="835">
        <f t="shared" si="1"/>
        <v>1</v>
      </c>
      <c r="H71" s="849"/>
      <c r="I71" s="825"/>
    </row>
    <row r="72" spans="1:9" ht="35.1" customHeight="1">
      <c r="A72" s="1309" t="e">
        <f>SUM($G$3:G72)</f>
        <v>#REF!</v>
      </c>
      <c r="B72" s="1310" t="str">
        <f>'NT-VT'!C74</f>
        <v>Dây rút cáp</v>
      </c>
      <c r="C72" s="1311" t="str">
        <f>'NT-VT'!D74</f>
        <v>bọc</v>
      </c>
      <c r="D72" s="1312">
        <f>'NT-VT'!E74</f>
        <v>3</v>
      </c>
      <c r="E72" s="1309" t="str">
        <f>'NT-VT'!F75</f>
        <v>nt</v>
      </c>
      <c r="F72" s="1309" t="str">
        <f>'NT-VT'!G75</f>
        <v>nt</v>
      </c>
      <c r="G72" s="835">
        <f t="shared" si="1"/>
        <v>1</v>
      </c>
      <c r="H72" s="849"/>
      <c r="I72" s="825"/>
    </row>
    <row r="73" spans="1:9" ht="35.1" hidden="1" customHeight="1">
      <c r="A73" s="1309" t="e">
        <f>SUM($G$3:G73)</f>
        <v>#REF!</v>
      </c>
      <c r="B73" s="1310" t="str">
        <f>'NT-VT'!C75</f>
        <v>Gạch ống</v>
      </c>
      <c r="C73" s="1311" t="str">
        <f>'NT-VT'!D75</f>
        <v>viên</v>
      </c>
      <c r="D73" s="1312">
        <f>'NT-VT'!E75</f>
        <v>350</v>
      </c>
      <c r="E73" s="1309" t="str">
        <f>'NT-VT'!F76</f>
        <v>nt</v>
      </c>
      <c r="F73" s="1309" t="str">
        <f>'NT-VT'!G76</f>
        <v>nt</v>
      </c>
      <c r="G73" s="835">
        <f t="shared" si="1"/>
        <v>1</v>
      </c>
      <c r="H73" s="849"/>
      <c r="I73" s="825"/>
    </row>
    <row r="74" spans="1:9" ht="35.1" hidden="1" customHeight="1">
      <c r="A74" s="1309" t="e">
        <f>SUM($G$3:G74)</f>
        <v>#REF!</v>
      </c>
      <c r="B74" s="1310" t="str">
        <f>'NT-VT'!C76</f>
        <v>Giáp níu dừng dây bọc (70-95mm2)</v>
      </c>
      <c r="C74" s="1311" t="str">
        <f>'NT-VT'!D76</f>
        <v>cái</v>
      </c>
      <c r="D74" s="1312">
        <f>'NT-VT'!E76</f>
        <v>69</v>
      </c>
      <c r="E74" s="1309" t="str">
        <f>'NT-VT'!F77</f>
        <v>nt</v>
      </c>
      <c r="F74" s="1309" t="str">
        <f>'NT-VT'!G77</f>
        <v>nt</v>
      </c>
      <c r="G74" s="835">
        <f t="shared" si="1"/>
        <v>1</v>
      </c>
      <c r="H74" s="849"/>
      <c r="I74" s="825"/>
    </row>
    <row r="75" spans="1:9" ht="35.1" hidden="1" customHeight="1">
      <c r="A75" s="1309" t="e">
        <f>SUM($G$3:G75)</f>
        <v>#REF!</v>
      </c>
      <c r="B75" s="1310" t="str">
        <f>'NT-VT'!C77</f>
        <v>Kẹp ép WR cỡ dây 185mm2</v>
      </c>
      <c r="C75" s="1311" t="str">
        <f>'NT-VT'!D77</f>
        <v>cái</v>
      </c>
      <c r="D75" s="1312">
        <f>'NT-VT'!E77</f>
        <v>2</v>
      </c>
      <c r="E75" s="1309" t="str">
        <f>'NT-VT'!F78</f>
        <v>nt</v>
      </c>
      <c r="F75" s="1309" t="str">
        <f>'NT-VT'!G78</f>
        <v>nt</v>
      </c>
      <c r="G75" s="835">
        <f t="shared" si="1"/>
        <v>1</v>
      </c>
      <c r="H75" s="849"/>
      <c r="I75" s="825"/>
    </row>
    <row r="76" spans="1:9" ht="35.1" hidden="1" customHeight="1">
      <c r="A76" s="1309" t="e">
        <f>SUM($G$3:G76)</f>
        <v>#REF!</v>
      </c>
      <c r="B76" s="1310" t="str">
        <f>'NT-VT'!C78</f>
        <v>Kẹp ép WR cỡ dây 50mm2</v>
      </c>
      <c r="C76" s="1311" t="str">
        <f>'NT-VT'!D78</f>
        <v>cái</v>
      </c>
      <c r="D76" s="1312">
        <f>'NT-VT'!E78</f>
        <v>8</v>
      </c>
      <c r="E76" s="1309" t="str">
        <f>'NT-VT'!F79</f>
        <v>nt</v>
      </c>
      <c r="F76" s="1309" t="str">
        <f>'NT-VT'!G79</f>
        <v>nt</v>
      </c>
      <c r="G76" s="835">
        <f t="shared" si="1"/>
        <v>1</v>
      </c>
      <c r="H76" s="849"/>
      <c r="I76" s="825"/>
    </row>
    <row r="77" spans="1:9" ht="35.1" hidden="1" customHeight="1">
      <c r="A77" s="1309" t="e">
        <f>SUM($G$3:G77)</f>
        <v>#REF!</v>
      </c>
      <c r="B77" s="1310" t="str">
        <f>'NT-VT'!C79</f>
        <v>Kẹp ép WR cỡ dây 70mm2</v>
      </c>
      <c r="C77" s="1311" t="str">
        <f>'NT-VT'!D79</f>
        <v>cái</v>
      </c>
      <c r="D77" s="1312">
        <f>'NT-VT'!E79</f>
        <v>4</v>
      </c>
      <c r="E77" s="1309" t="str">
        <f>'NT-VT'!F80</f>
        <v>nt</v>
      </c>
      <c r="F77" s="1309" t="str">
        <f>'NT-VT'!G80</f>
        <v>nt</v>
      </c>
      <c r="G77" s="835">
        <f t="shared" si="1"/>
        <v>1</v>
      </c>
      <c r="H77" s="849"/>
      <c r="I77" s="825"/>
    </row>
    <row r="78" spans="1:9" ht="35.1" hidden="1" customHeight="1">
      <c r="A78" s="1309" t="e">
        <f>SUM($G$3:G78)</f>
        <v>#REF!</v>
      </c>
      <c r="B78" s="1310" t="str">
        <f>'NT-VT'!C80</f>
        <v>Kẹp ép WR cỡ dây 95mm2</v>
      </c>
      <c r="C78" s="1311" t="str">
        <f>'NT-VT'!D80</f>
        <v>cái</v>
      </c>
      <c r="D78" s="1312">
        <f>'NT-VT'!E80</f>
        <v>42</v>
      </c>
      <c r="E78" s="1309" t="str">
        <f>'NT-VT'!F81</f>
        <v>nt</v>
      </c>
      <c r="F78" s="1309" t="str">
        <f>'NT-VT'!G81</f>
        <v>nt</v>
      </c>
      <c r="G78" s="835">
        <f t="shared" si="1"/>
        <v>1</v>
      </c>
      <c r="H78" s="849"/>
      <c r="I78" s="825"/>
    </row>
    <row r="79" spans="1:9" ht="35.1" hidden="1" customHeight="1">
      <c r="A79" s="1309" t="e">
        <f>SUM($G$3:G79)</f>
        <v>#REF!</v>
      </c>
      <c r="B79" s="1310" t="str">
        <f>'NT-VT'!C81</f>
        <v>Keo dán ống PVC (500gr)</v>
      </c>
      <c r="C79" s="1311" t="str">
        <f>'NT-VT'!D81</f>
        <v>lon</v>
      </c>
      <c r="D79" s="1312">
        <f>'NT-VT'!E81</f>
        <v>1</v>
      </c>
      <c r="E79" s="1309" t="str">
        <f>'NT-VT'!F82</f>
        <v>nt</v>
      </c>
      <c r="F79" s="1309" t="str">
        <f>'NT-VT'!G82</f>
        <v>nt</v>
      </c>
      <c r="G79" s="835">
        <f t="shared" si="1"/>
        <v>1</v>
      </c>
      <c r="H79" s="849"/>
      <c r="I79" s="825"/>
    </row>
    <row r="80" spans="1:9" ht="35.1" hidden="1" customHeight="1">
      <c r="A80" s="1309" t="e">
        <f>SUM($G$3:G80)</f>
        <v>#REF!</v>
      </c>
      <c r="B80" s="1310" t="str">
        <f>'NT-VT'!C82</f>
        <v>Keo silicon bít miệng ống:</v>
      </c>
      <c r="C80" s="1311" t="str">
        <f>'NT-VT'!D82</f>
        <v>ống</v>
      </c>
      <c r="D80" s="1312">
        <f>'NT-VT'!E82</f>
        <v>7</v>
      </c>
      <c r="E80" s="1309" t="str">
        <f>'NT-VT'!F83</f>
        <v>nt</v>
      </c>
      <c r="F80" s="1309" t="str">
        <f>'NT-VT'!G83</f>
        <v>nt</v>
      </c>
      <c r="G80" s="835">
        <f t="shared" si="1"/>
        <v>1</v>
      </c>
      <c r="H80" s="849"/>
      <c r="I80" s="825"/>
    </row>
    <row r="81" spans="1:9" ht="35.1" hidden="1" customHeight="1">
      <c r="A81" s="1309" t="e">
        <f>SUM($G$3:G81)</f>
        <v>#REF!</v>
      </c>
      <c r="B81" s="1310" t="str">
        <f>'NT-VT'!C83</f>
        <v xml:space="preserve">Kẹp hotline 4/0: </v>
      </c>
      <c r="C81" s="1311" t="str">
        <f>'NT-VT'!D83</f>
        <v>cái</v>
      </c>
      <c r="D81" s="1312">
        <f>'NT-VT'!E83</f>
        <v>12</v>
      </c>
      <c r="E81" s="1309" t="str">
        <f>'NT-VT'!F84</f>
        <v>nt</v>
      </c>
      <c r="F81" s="1309" t="str">
        <f>'NT-VT'!G84</f>
        <v>nt</v>
      </c>
      <c r="G81" s="835">
        <f t="shared" si="1"/>
        <v>1</v>
      </c>
      <c r="H81" s="849"/>
      <c r="I81" s="825"/>
    </row>
    <row r="82" spans="1:9" ht="35.1" hidden="1" customHeight="1">
      <c r="A82" s="1309" t="e">
        <f>SUM($G$3:G82)</f>
        <v>#REF!</v>
      </c>
      <c r="B82" s="1310" t="str">
        <f>'NT-VT'!C84</f>
        <v>Khánh lắp chuỗi sứ polymer kép</v>
      </c>
      <c r="C82" s="1311" t="str">
        <f>'NT-VT'!D84</f>
        <v>cái</v>
      </c>
      <c r="D82" s="1312">
        <f>'NT-VT'!E84</f>
        <v>12</v>
      </c>
      <c r="E82" s="1309" t="str">
        <f>'NT-VT'!F85</f>
        <v>nt</v>
      </c>
      <c r="F82" s="1309" t="str">
        <f>'NT-VT'!G85</f>
        <v>nt</v>
      </c>
      <c r="G82" s="835">
        <f t="shared" si="1"/>
        <v>1</v>
      </c>
      <c r="H82" s="849"/>
      <c r="I82" s="825"/>
    </row>
    <row r="83" spans="1:9" ht="35.1" hidden="1" customHeight="1">
      <c r="A83" s="1309" t="e">
        <f>SUM($G$3:G83)</f>
        <v>#REF!</v>
      </c>
      <c r="B83" s="1310" t="str">
        <f>'NT-VT'!C85</f>
        <v>Khóa néo dây cỡ dây 50</v>
      </c>
      <c r="C83" s="1311" t="str">
        <f>'NT-VT'!D85</f>
        <v>cái</v>
      </c>
      <c r="D83" s="1312">
        <f>'NT-VT'!E85</f>
        <v>6</v>
      </c>
      <c r="E83" s="1309" t="str">
        <f>'NT-VT'!F86</f>
        <v>nt</v>
      </c>
      <c r="F83" s="1309" t="str">
        <f>'NT-VT'!G86</f>
        <v>nt</v>
      </c>
      <c r="G83" s="835">
        <f t="shared" si="1"/>
        <v>1</v>
      </c>
      <c r="H83" s="849"/>
      <c r="I83" s="825"/>
    </row>
    <row r="84" spans="1:9" ht="35.1" hidden="1" customHeight="1">
      <c r="A84" s="1309" t="e">
        <f>SUM($G$3:G84)</f>
        <v>#REF!</v>
      </c>
      <c r="B84" s="1310" t="str">
        <f>'NT-VT'!C86</f>
        <v>Khóa néo dây cỡ dây 70</v>
      </c>
      <c r="C84" s="1311" t="str">
        <f>'NT-VT'!D86</f>
        <v>cái</v>
      </c>
      <c r="D84" s="1312">
        <f>'NT-VT'!E86</f>
        <v>28</v>
      </c>
      <c r="E84" s="1309" t="str">
        <f>'NT-VT'!F87</f>
        <v>nt</v>
      </c>
      <c r="F84" s="1309" t="str">
        <f>'NT-VT'!G87</f>
        <v>nt</v>
      </c>
      <c r="G84" s="835">
        <f t="shared" si="1"/>
        <v>1</v>
      </c>
      <c r="H84" s="849"/>
      <c r="I84" s="825"/>
    </row>
    <row r="85" spans="1:9" ht="35.1" hidden="1" customHeight="1">
      <c r="A85" s="1309" t="e">
        <f>SUM($G$3:G85)</f>
        <v>#REF!</v>
      </c>
      <c r="B85" s="1310" t="str">
        <f>'NT-VT'!C87</f>
        <v>Kẹp quai 4/0</v>
      </c>
      <c r="C85" s="1311" t="str">
        <f>'NT-VT'!D87</f>
        <v>cái</v>
      </c>
      <c r="D85" s="1312">
        <f>'NT-VT'!E87</f>
        <v>12</v>
      </c>
      <c r="E85" s="1309" t="str">
        <f>'NT-VT'!F88</f>
        <v>nt</v>
      </c>
      <c r="F85" s="1309" t="str">
        <f>'NT-VT'!G88</f>
        <v>nt</v>
      </c>
      <c r="G85" s="835">
        <f t="shared" si="1"/>
        <v>1</v>
      </c>
      <c r="H85" s="849"/>
      <c r="I85" s="825"/>
    </row>
    <row r="86" spans="1:9" ht="35.1" hidden="1" customHeight="1">
      <c r="A86" s="1309" t="e">
        <f>SUM($G$3:G86)</f>
        <v>#REF!</v>
      </c>
      <c r="B86" s="1310" t="str">
        <f>'NT-VT'!C88</f>
        <v>Khâu ven răng ngoài D60</v>
      </c>
      <c r="C86" s="1311" t="str">
        <f>'NT-VT'!D88</f>
        <v>cái</v>
      </c>
      <c r="D86" s="1312">
        <f>'NT-VT'!E88</f>
        <v>1</v>
      </c>
      <c r="E86" s="1309" t="str">
        <f>'NT-VT'!F89</f>
        <v>nt</v>
      </c>
      <c r="F86" s="1309" t="str">
        <f>'NT-VT'!G89</f>
        <v>nt</v>
      </c>
      <c r="G86" s="835">
        <f t="shared" si="1"/>
        <v>1</v>
      </c>
      <c r="H86" s="849"/>
      <c r="I86" s="825"/>
    </row>
    <row r="87" spans="1:9" ht="35.1" hidden="1" customHeight="1">
      <c r="A87" s="1309" t="e">
        <f>SUM($G$3:G87)</f>
        <v>#REF!</v>
      </c>
      <c r="B87" s="1310" t="str">
        <f>'NT-VT'!C89</f>
        <v>Khâu ven răng trong D60</v>
      </c>
      <c r="C87" s="1311" t="str">
        <f>'NT-VT'!D89</f>
        <v>cái</v>
      </c>
      <c r="D87" s="1312">
        <f>'NT-VT'!E89</f>
        <v>1</v>
      </c>
      <c r="E87" s="1309" t="str">
        <f>'NT-VT'!F90</f>
        <v>nt</v>
      </c>
      <c r="F87" s="1309" t="str">
        <f>'NT-VT'!G90</f>
        <v>nt</v>
      </c>
      <c r="G87" s="835">
        <f t="shared" si="1"/>
        <v>1</v>
      </c>
      <c r="H87" s="849"/>
      <c r="I87" s="825"/>
    </row>
    <row r="88" spans="1:9" ht="35.1" hidden="1" customHeight="1">
      <c r="A88" s="1309" t="e">
        <f>SUM($G$3:G88)</f>
        <v>#REF!</v>
      </c>
      <c r="B88" s="1310" t="str">
        <f>'NT-VT'!C90</f>
        <v>Gia công và lắp dựng khung cửa sắt</v>
      </c>
      <c r="C88" s="1311" t="str">
        <f>'NT-VT'!D90</f>
        <v>m2</v>
      </c>
      <c r="D88" s="1312">
        <f>'NT-VT'!E90</f>
        <v>24</v>
      </c>
      <c r="E88" s="1309" t="str">
        <f>'NT-VT'!F91</f>
        <v>nt</v>
      </c>
      <c r="F88" s="1309" t="str">
        <f>'NT-VT'!G91</f>
        <v>nt</v>
      </c>
      <c r="G88" s="835">
        <f t="shared" si="1"/>
        <v>1</v>
      </c>
      <c r="H88" s="849"/>
      <c r="I88" s="825"/>
    </row>
    <row r="89" spans="1:9" ht="35.1" hidden="1" customHeight="1">
      <c r="A89" s="1309" t="e">
        <f>SUM($G$3:G89)</f>
        <v>#REF!</v>
      </c>
      <c r="B89" s="1310" t="str">
        <f>'NT-VT'!C91</f>
        <v>LTD 1P 24KV - 800A</v>
      </c>
      <c r="C89" s="1311" t="str">
        <f>'NT-VT'!D91</f>
        <v>cái</v>
      </c>
      <c r="D89" s="1312">
        <f>'NT-VT'!E91</f>
        <v>3</v>
      </c>
      <c r="E89" s="1309" t="str">
        <f>'NT-VT'!F92</f>
        <v>nt</v>
      </c>
      <c r="F89" s="1309" t="str">
        <f>'NT-VT'!G92</f>
        <v>nt</v>
      </c>
      <c r="G89" s="835">
        <f t="shared" si="1"/>
        <v>1</v>
      </c>
      <c r="H89" s="849"/>
      <c r="I89" s="825"/>
    </row>
    <row r="90" spans="1:9" ht="35.1" hidden="1" customHeight="1">
      <c r="A90" s="1309" t="e">
        <f>SUM($G$3:G90)</f>
        <v>#REF!</v>
      </c>
      <c r="B90" s="1310"/>
      <c r="C90" s="1311" t="str">
        <f>'NT-VT'!D93</f>
        <v>cái</v>
      </c>
      <c r="D90" s="1312">
        <f>'NT-VT'!E93</f>
        <v>150</v>
      </c>
      <c r="E90" s="1309" t="str">
        <f>'NT-VT'!F93</f>
        <v>nt</v>
      </c>
      <c r="F90" s="1309" t="str">
        <f>'NT-VT'!G93</f>
        <v>nt</v>
      </c>
      <c r="G90" s="835">
        <f t="shared" si="1"/>
        <v>1</v>
      </c>
      <c r="H90" s="849"/>
      <c r="I90" s="825"/>
    </row>
    <row r="91" spans="1:9" ht="35.1" hidden="1" customHeight="1">
      <c r="A91" s="1309" t="e">
        <f>SUM($G$3:G91)</f>
        <v>#REF!</v>
      </c>
      <c r="B91" s="1310"/>
      <c r="C91" s="1311" t="str">
        <f>'NT-VT'!D94</f>
        <v>cái</v>
      </c>
      <c r="D91" s="1312">
        <f>'NT-VT'!E94</f>
        <v>5</v>
      </c>
      <c r="E91" s="1309" t="str">
        <f>'NT-VT'!F94</f>
        <v>nt</v>
      </c>
      <c r="F91" s="1309" t="str">
        <f>'NT-VT'!G94</f>
        <v>nt</v>
      </c>
      <c r="G91" s="835">
        <f t="shared" si="1"/>
        <v>1</v>
      </c>
      <c r="H91" s="849"/>
      <c r="I91" s="825"/>
    </row>
    <row r="92" spans="1:9" ht="35.1" hidden="1" customHeight="1">
      <c r="A92" s="1309" t="e">
        <f>SUM($G$3:G92)</f>
        <v>#REF!</v>
      </c>
      <c r="B92" s="1310"/>
      <c r="C92" s="1311" t="str">
        <f>'NT-VT'!D95</f>
        <v>m</v>
      </c>
      <c r="D92" s="1312">
        <f>'NT-VT'!E95</f>
        <v>27</v>
      </c>
      <c r="E92" s="1309" t="str">
        <f>'NT-VT'!F95</f>
        <v>nt</v>
      </c>
      <c r="F92" s="1309" t="str">
        <f>'NT-VT'!G95</f>
        <v>nt</v>
      </c>
      <c r="G92" s="835">
        <f t="shared" si="1"/>
        <v>1</v>
      </c>
      <c r="H92" s="849"/>
      <c r="I92" s="825"/>
    </row>
    <row r="93" spans="1:9" ht="35.1" hidden="1" customHeight="1">
      <c r="A93" s="1309" t="e">
        <f>SUM($G$3:G93)</f>
        <v>#REF!</v>
      </c>
      <c r="B93" s="1310"/>
      <c r="C93" s="1311" t="str">
        <f>'NT-VT'!D96</f>
        <v>cái</v>
      </c>
      <c r="D93" s="1312">
        <f>'NT-VT'!E96</f>
        <v>84</v>
      </c>
      <c r="E93" s="1309" t="str">
        <f>'NT-VT'!F96</f>
        <v>nt</v>
      </c>
      <c r="F93" s="1309" t="str">
        <f>'NT-VT'!G96</f>
        <v>nt</v>
      </c>
      <c r="G93" s="835">
        <f t="shared" si="1"/>
        <v>1</v>
      </c>
      <c r="H93" s="849"/>
      <c r="I93" s="825"/>
    </row>
    <row r="94" spans="1:9" ht="35.1" customHeight="1">
      <c r="A94" s="1309" t="e">
        <f>SUM($G$3:G94)</f>
        <v>#REF!</v>
      </c>
      <c r="B94" s="1310" t="s">
        <v>4493</v>
      </c>
      <c r="C94" s="1311"/>
      <c r="D94" s="1312"/>
      <c r="E94" s="1309" t="str">
        <f>'NT-VT'!F97</f>
        <v>nt</v>
      </c>
      <c r="F94" s="1309" t="str">
        <f>'NT-VT'!G97</f>
        <v>nt</v>
      </c>
      <c r="G94" s="835">
        <v>1</v>
      </c>
      <c r="H94" s="849"/>
      <c r="I94" s="825"/>
    </row>
  </sheetData>
  <autoFilter ref="A2:I94" xr:uid="{00000000-0009-0000-0000-000025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2020-08-29T03:24:26Z</dcterms:modified>
</cp:coreProperties>
</file>